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agsi0001\Documents\Utbet kursintäkter mm 2019\"/>
    </mc:Choice>
  </mc:AlternateContent>
  <bookViews>
    <workbookView xWindow="0" yWindow="0" windowWidth="28800" windowHeight="8295" tabRatio="867"/>
  </bookViews>
  <sheets>
    <sheet name="INFO RTV 2019" sheetId="90" r:id="rId1"/>
    <sheet name="Start" sheetId="3" r:id="rId2"/>
    <sheet name="Totalt per inst" sheetId="95" r:id="rId3"/>
    <sheet name="Bokforder Sept--" sheetId="186" r:id="rId4"/>
    <sheet name="Bokforder Juni--" sheetId="182" state="hidden" r:id="rId5"/>
    <sheet name="Bokforder Mars---" sheetId="179" state="hidden" r:id="rId6"/>
    <sheet name="Bokforder Januari --" sheetId="160" state="hidden" r:id="rId7"/>
    <sheet name="Utfördelat tom aug" sheetId="187" r:id="rId8"/>
    <sheet name="Utfördelat tom maj" sheetId="181" state="hidden" r:id="rId9"/>
    <sheet name="Medv" sheetId="73" r:id="rId10"/>
    <sheet name="Kursansv till medv" sheetId="74" r:id="rId11"/>
    <sheet name="Inst per termin" sheetId="168" r:id="rId12"/>
    <sheet name="kurser alla" sheetId="178" r:id="rId13"/>
    <sheet name="Prislapp" sheetId="51" r:id="rId14"/>
    <sheet name="kurspris" sheetId="55" r:id="rId15"/>
    <sheet name="Orgenheter" sheetId="26" r:id="rId16"/>
    <sheet name="Program" sheetId="53" r:id="rId17"/>
    <sheet name="Ansvar kurs" sheetId="78" r:id="rId18"/>
    <sheet name="Totalt pivot" sheetId="83" r:id="rId19"/>
    <sheet name="Pivot Kursmedv % (2)" sheetId="162" r:id="rId20"/>
    <sheet name="Pivot Kursmedv %" sheetId="131" r:id="rId21"/>
    <sheet name="underlag medverkande 2" sheetId="70" r:id="rId22"/>
  </sheets>
  <definedNames>
    <definedName name="_xlnm._FilterDatabase" localSheetId="17" hidden="1">'Ansvar kurs'!$A$1:$C$865</definedName>
    <definedName name="_xlnm._FilterDatabase" localSheetId="6" hidden="1">'Bokforder Januari --'!$A$4:$N$4</definedName>
    <definedName name="_xlnm._FilterDatabase" localSheetId="4" hidden="1">'Bokforder Juni--'!$A$4:$N$4</definedName>
    <definedName name="_xlnm._FilterDatabase" localSheetId="5" hidden="1">'Bokforder Mars---'!$A$4:$N$4</definedName>
    <definedName name="_xlnm._FilterDatabase" localSheetId="3" hidden="1">'Bokforder Sept--'!$A$4:$N$4</definedName>
    <definedName name="_xlnm._FilterDatabase" localSheetId="12" hidden="1">'kurser alla'!$A$1:$BN$1280</definedName>
    <definedName name="_xlnm._FilterDatabase" localSheetId="14" hidden="1">kurspris!$A$1:$T$792</definedName>
    <definedName name="_xlnm._FilterDatabase" localSheetId="15" hidden="1">Orgenheter!$A$1:$G$1</definedName>
    <definedName name="_xlnm._FilterDatabase" localSheetId="1" hidden="1">Start!#REF!</definedName>
    <definedName name="_xlnm._FilterDatabase" localSheetId="21" hidden="1">'underlag medverkande 2'!$A$1:$T$105</definedName>
    <definedName name="_xlnm.Print_Area" localSheetId="17">'Ansvar kurs'!$A$1:$C$774</definedName>
    <definedName name="_xlnm.Print_Area" localSheetId="6">'Bokforder Januari --'!$A$1:$N$73</definedName>
    <definedName name="_xlnm.Print_Area" localSheetId="4">'Bokforder Juni--'!$A$1:$N$73</definedName>
    <definedName name="_xlnm.Print_Area" localSheetId="5">'Bokforder Mars---'!$A$1:$N$73</definedName>
    <definedName name="_xlnm.Print_Area" localSheetId="3">'Bokforder Sept--'!$A$1:$N$73</definedName>
    <definedName name="_xlnm.Print_Area" localSheetId="12">'kurser alla'!$A$1:$AP$135</definedName>
    <definedName name="_xlnm.Print_Area" localSheetId="14">kurspris!$A$1:$N$792</definedName>
    <definedName name="_xlnm.Print_Area" localSheetId="9">Medv!$A$1:$K$28</definedName>
    <definedName name="_xlnm.Print_Area" localSheetId="1">Start!$B$1:$F$33</definedName>
    <definedName name="_xlnm.Print_Area" localSheetId="2">'Totalt per inst'!$A$2:$S$51</definedName>
    <definedName name="_xlnm.Print_Area" localSheetId="21">'underlag medverkande 2'!$A$1:$I$99</definedName>
    <definedName name="_xlnm.Print_Titles" localSheetId="17">'Ansvar kurs'!$1:$1</definedName>
    <definedName name="_xlnm.Print_Titles" localSheetId="6">'Bokforder Januari --'!$4:$4</definedName>
    <definedName name="_xlnm.Print_Titles" localSheetId="4">'Bokforder Juni--'!$4:$4</definedName>
    <definedName name="_xlnm.Print_Titles" localSheetId="5">'Bokforder Mars---'!$4:$4</definedName>
    <definedName name="_xlnm.Print_Titles" localSheetId="3">'Bokforder Sept--'!$4:$4</definedName>
    <definedName name="_xlnm.Print_Titles" localSheetId="10">'Kursansv till medv'!$4:$4</definedName>
    <definedName name="_xlnm.Print_Titles" localSheetId="14">kurspris!$1:$1</definedName>
    <definedName name="_xlnm.Print_Titles" localSheetId="9">Medv!$3:$3</definedName>
    <definedName name="_xlnm.Print_Titles" localSheetId="19">'Pivot Kursmedv % (2)'!$3:$3</definedName>
    <definedName name="_xlnm.Print_Titles" localSheetId="18">'Totalt pivot'!$4:$4</definedName>
  </definedNames>
  <calcPr calcId="162913"/>
  <pivotCaches>
    <pivotCache cacheId="0" r:id="rId23"/>
    <pivotCache cacheId="1" r:id="rId24"/>
    <pivotCache cacheId="2" r:id="rId25"/>
    <pivotCache cacheId="3" r:id="rId26"/>
  </pivotCaches>
</workbook>
</file>

<file path=xl/calcChain.xml><?xml version="1.0" encoding="utf-8"?>
<calcChain xmlns="http://schemas.openxmlformats.org/spreadsheetml/2006/main">
  <c r="T763" i="178" l="1"/>
  <c r="U763" i="178" s="1"/>
  <c r="W763" i="178"/>
  <c r="X763" i="178"/>
  <c r="Y763" i="178"/>
  <c r="AA763" i="178"/>
  <c r="AD763" i="178"/>
  <c r="AE763" i="178"/>
  <c r="AF763" i="178"/>
  <c r="AG763" i="178"/>
  <c r="AH763" i="178"/>
  <c r="AI763" i="178"/>
  <c r="AJ763" i="178"/>
  <c r="AK763" i="178"/>
  <c r="AL763" i="178"/>
  <c r="AM763" i="178"/>
  <c r="AN763" i="178"/>
  <c r="AO763" i="178"/>
  <c r="Q763" i="178"/>
  <c r="AR763" i="178" s="1"/>
  <c r="B763" i="178"/>
  <c r="T511" i="178"/>
  <c r="U511" i="178" s="1"/>
  <c r="W511" i="178"/>
  <c r="X511" i="178"/>
  <c r="Y511" i="178"/>
  <c r="AA511" i="178"/>
  <c r="AD511" i="178"/>
  <c r="AE511" i="178"/>
  <c r="AF511" i="178"/>
  <c r="AG511" i="178"/>
  <c r="AH511" i="178"/>
  <c r="AI511" i="178"/>
  <c r="AJ511" i="178"/>
  <c r="AK511" i="178"/>
  <c r="AL511" i="178"/>
  <c r="AM511" i="178"/>
  <c r="AN511" i="178"/>
  <c r="BK511" i="178" s="1"/>
  <c r="AO511" i="178"/>
  <c r="Q511" i="178"/>
  <c r="AR511" i="178" s="1"/>
  <c r="B511" i="178"/>
  <c r="T506" i="178"/>
  <c r="U506" i="178" s="1"/>
  <c r="W506" i="178"/>
  <c r="X506" i="178"/>
  <c r="Y506" i="178"/>
  <c r="AA506" i="178"/>
  <c r="AD506" i="178"/>
  <c r="AE506" i="178"/>
  <c r="AF506" i="178"/>
  <c r="AG506" i="178"/>
  <c r="AH506" i="178"/>
  <c r="AI506" i="178"/>
  <c r="AJ506" i="178"/>
  <c r="AK506" i="178"/>
  <c r="AL506" i="178"/>
  <c r="AM506" i="178"/>
  <c r="AN506" i="178"/>
  <c r="AO506" i="178"/>
  <c r="Q506" i="178"/>
  <c r="AR506" i="178" s="1"/>
  <c r="B506" i="178"/>
  <c r="T472" i="178"/>
  <c r="U472" i="178" s="1"/>
  <c r="W472" i="178"/>
  <c r="X472" i="178"/>
  <c r="Y472" i="178"/>
  <c r="AA472" i="178"/>
  <c r="AD472" i="178"/>
  <c r="AE472" i="178"/>
  <c r="AF472" i="178"/>
  <c r="AG472" i="178"/>
  <c r="AH472" i="178"/>
  <c r="AI472" i="178"/>
  <c r="AJ472" i="178"/>
  <c r="AK472" i="178"/>
  <c r="AL472" i="178"/>
  <c r="AM472" i="178"/>
  <c r="AN472" i="178"/>
  <c r="AO472" i="178"/>
  <c r="Q472" i="178"/>
  <c r="AR472" i="178" s="1"/>
  <c r="B472" i="178"/>
  <c r="B1228" i="178"/>
  <c r="Q1228" i="178"/>
  <c r="S1228" i="178" s="1"/>
  <c r="T1228" i="178"/>
  <c r="U1228" i="178" s="1"/>
  <c r="W1228" i="178"/>
  <c r="X1228" i="178"/>
  <c r="Y1228" i="178"/>
  <c r="AA1228" i="178"/>
  <c r="AD1228" i="178"/>
  <c r="AE1228" i="178"/>
  <c r="AF1228" i="178"/>
  <c r="AV1228" i="178" s="1"/>
  <c r="AG1228" i="178"/>
  <c r="AH1228" i="178"/>
  <c r="AI1228" i="178"/>
  <c r="AJ1228" i="178"/>
  <c r="BD1228" i="178" s="1"/>
  <c r="AK1228" i="178"/>
  <c r="AL1228" i="178"/>
  <c r="AM1228" i="178"/>
  <c r="AN1228" i="178"/>
  <c r="BK1228" i="178" s="1"/>
  <c r="AO1228" i="178"/>
  <c r="BF506" i="178" l="1"/>
  <c r="AX506" i="178"/>
  <c r="AT506" i="178"/>
  <c r="AB763" i="178"/>
  <c r="BK763" i="178"/>
  <c r="BJ763" i="178"/>
  <c r="BF763" i="178"/>
  <c r="BB763" i="178"/>
  <c r="AX763" i="178"/>
  <c r="AT763" i="178"/>
  <c r="BH1228" i="178"/>
  <c r="BM763" i="178"/>
  <c r="BM1228" i="178"/>
  <c r="AB506" i="178"/>
  <c r="AB511" i="178"/>
  <c r="S763" i="178"/>
  <c r="BH763" i="178"/>
  <c r="BD763" i="178"/>
  <c r="AZ763" i="178"/>
  <c r="AV763" i="178"/>
  <c r="V763" i="178"/>
  <c r="BK506" i="178"/>
  <c r="BJ511" i="178"/>
  <c r="BF511" i="178"/>
  <c r="BB511" i="178"/>
  <c r="AX511" i="178"/>
  <c r="AT511" i="178"/>
  <c r="BK472" i="178"/>
  <c r="BJ506" i="178"/>
  <c r="BM511" i="178"/>
  <c r="BB506" i="178"/>
  <c r="S511" i="178"/>
  <c r="BH511" i="178"/>
  <c r="BD511" i="178"/>
  <c r="AZ511" i="178"/>
  <c r="AV511" i="178"/>
  <c r="V511" i="178"/>
  <c r="BM506" i="178"/>
  <c r="AB472" i="178"/>
  <c r="S506" i="178"/>
  <c r="BH506" i="178"/>
  <c r="BD506" i="178"/>
  <c r="AZ506" i="178"/>
  <c r="AV506" i="178"/>
  <c r="V506" i="178"/>
  <c r="BJ472" i="178"/>
  <c r="BF472" i="178"/>
  <c r="BB472" i="178"/>
  <c r="AX472" i="178"/>
  <c r="AT472" i="178"/>
  <c r="BM472" i="178"/>
  <c r="S472" i="178"/>
  <c r="BH472" i="178"/>
  <c r="BD472" i="178"/>
  <c r="AZ472" i="178"/>
  <c r="AV472" i="178"/>
  <c r="V472" i="178"/>
  <c r="BF1228" i="178"/>
  <c r="AX1228" i="178"/>
  <c r="AZ1228" i="178"/>
  <c r="AR1228" i="178"/>
  <c r="AB1228" i="178"/>
  <c r="AT1228" i="178"/>
  <c r="BB1228" i="178"/>
  <c r="BJ1228" i="178"/>
  <c r="Z1228" i="178"/>
  <c r="AC1228" i="178" s="1"/>
  <c r="AU1228" i="178"/>
  <c r="AY1228" i="178"/>
  <c r="BC1228" i="178"/>
  <c r="BG1228" i="178"/>
  <c r="BL1228" i="178"/>
  <c r="AS1228" i="178"/>
  <c r="AW1228" i="178"/>
  <c r="BA1228" i="178"/>
  <c r="BE1228" i="178"/>
  <c r="BI1228" i="178"/>
  <c r="BN1228" i="178"/>
  <c r="V1228" i="178"/>
  <c r="D30" i="3"/>
  <c r="C30" i="3"/>
  <c r="K62" i="186"/>
  <c r="K60" i="186"/>
  <c r="K58" i="186"/>
  <c r="K56" i="186"/>
  <c r="K54" i="186"/>
  <c r="K52" i="186"/>
  <c r="K50" i="186"/>
  <c r="K48" i="186"/>
  <c r="K44" i="186"/>
  <c r="K42" i="186"/>
  <c r="K38" i="186"/>
  <c r="K36" i="186"/>
  <c r="K34" i="186"/>
  <c r="K32" i="186"/>
  <c r="K30" i="186"/>
  <c r="K28" i="186"/>
  <c r="K26" i="186"/>
  <c r="K24" i="186"/>
  <c r="K22" i="186"/>
  <c r="K20" i="186"/>
  <c r="K18" i="186"/>
  <c r="K16" i="186"/>
  <c r="K12" i="186"/>
  <c r="K10" i="186"/>
  <c r="K8" i="186"/>
  <c r="K6" i="186"/>
  <c r="L4" i="187"/>
  <c r="L5" i="187"/>
  <c r="L6" i="187"/>
  <c r="L7" i="187"/>
  <c r="L8" i="187"/>
  <c r="L9" i="187"/>
  <c r="L10" i="187"/>
  <c r="L11" i="187"/>
  <c r="L12" i="187"/>
  <c r="L13" i="187"/>
  <c r="L14" i="187"/>
  <c r="L15" i="187"/>
  <c r="L16" i="187"/>
  <c r="L17" i="187"/>
  <c r="L19" i="187"/>
  <c r="L20" i="187"/>
  <c r="L21" i="187"/>
  <c r="L22" i="187"/>
  <c r="L23" i="187"/>
  <c r="L24" i="187"/>
  <c r="L25" i="187"/>
  <c r="L26" i="187"/>
  <c r="L27" i="187"/>
  <c r="L28" i="187"/>
  <c r="K4" i="187"/>
  <c r="K5" i="187"/>
  <c r="K6" i="187"/>
  <c r="K7" i="187"/>
  <c r="K8" i="187"/>
  <c r="K9" i="187"/>
  <c r="K10" i="187"/>
  <c r="K11" i="187"/>
  <c r="K12" i="187"/>
  <c r="K13" i="187"/>
  <c r="K14" i="187"/>
  <c r="K15" i="187"/>
  <c r="K16" i="187"/>
  <c r="K17" i="187"/>
  <c r="K18" i="187"/>
  <c r="K19" i="187"/>
  <c r="K20" i="187"/>
  <c r="K21" i="187"/>
  <c r="K22" i="187"/>
  <c r="K23" i="187"/>
  <c r="K24" i="187"/>
  <c r="K25" i="187"/>
  <c r="K26" i="187"/>
  <c r="K27" i="187"/>
  <c r="K28" i="187"/>
  <c r="J4" i="187"/>
  <c r="J5" i="187"/>
  <c r="J6" i="187"/>
  <c r="J7" i="187"/>
  <c r="J8" i="187"/>
  <c r="J9" i="187"/>
  <c r="J10" i="187"/>
  <c r="J11" i="187"/>
  <c r="J12" i="187"/>
  <c r="J13" i="187"/>
  <c r="J14" i="187"/>
  <c r="J15" i="187"/>
  <c r="J16" i="187"/>
  <c r="J17" i="187"/>
  <c r="J18" i="187"/>
  <c r="J19" i="187"/>
  <c r="J20" i="187"/>
  <c r="J21" i="187"/>
  <c r="J22" i="187"/>
  <c r="J23" i="187"/>
  <c r="J24" i="187"/>
  <c r="J25" i="187"/>
  <c r="J26" i="187"/>
  <c r="J27" i="187"/>
  <c r="J28" i="187"/>
  <c r="I18" i="187"/>
  <c r="K3" i="187"/>
  <c r="J3" i="187"/>
  <c r="BL763" i="178" l="1"/>
  <c r="AS763" i="178"/>
  <c r="AW763" i="178"/>
  <c r="BA763" i="178"/>
  <c r="BE763" i="178"/>
  <c r="BI763" i="178"/>
  <c r="AU763" i="178"/>
  <c r="AY763" i="178"/>
  <c r="BC763" i="178"/>
  <c r="BG763" i="178"/>
  <c r="BN763" i="178"/>
  <c r="Z763" i="178"/>
  <c r="AC763" i="178" s="1"/>
  <c r="BL511" i="178"/>
  <c r="AS511" i="178"/>
  <c r="AW511" i="178"/>
  <c r="BA511" i="178"/>
  <c r="BE511" i="178"/>
  <c r="BI511" i="178"/>
  <c r="AU511" i="178"/>
  <c r="AY511" i="178"/>
  <c r="BC511" i="178"/>
  <c r="BG511" i="178"/>
  <c r="BN511" i="178"/>
  <c r="Z511" i="178"/>
  <c r="AC511" i="178" s="1"/>
  <c r="BL506" i="178"/>
  <c r="BN506" i="178"/>
  <c r="AS506" i="178"/>
  <c r="AW506" i="178"/>
  <c r="BA506" i="178"/>
  <c r="BE506" i="178"/>
  <c r="BI506" i="178"/>
  <c r="AU506" i="178"/>
  <c r="AY506" i="178"/>
  <c r="BC506" i="178"/>
  <c r="BG506" i="178"/>
  <c r="Z506" i="178"/>
  <c r="AC506" i="178" s="1"/>
  <c r="BL472" i="178"/>
  <c r="AS472" i="178"/>
  <c r="AW472" i="178"/>
  <c r="BA472" i="178"/>
  <c r="BE472" i="178"/>
  <c r="BI472" i="178"/>
  <c r="BN472" i="178"/>
  <c r="AU472" i="178"/>
  <c r="AY472" i="178"/>
  <c r="BC472" i="178"/>
  <c r="BG472" i="178"/>
  <c r="Z472" i="178"/>
  <c r="AC472" i="178" s="1"/>
  <c r="L3" i="187"/>
  <c r="F28" i="187" l="1"/>
  <c r="E28" i="187"/>
  <c r="G28" i="187" s="1"/>
  <c r="G27" i="187"/>
  <c r="F27" i="187"/>
  <c r="E27" i="187"/>
  <c r="F26" i="187"/>
  <c r="G26" i="187" s="1"/>
  <c r="E26" i="187"/>
  <c r="F25" i="187"/>
  <c r="E25" i="187"/>
  <c r="G25" i="187" s="1"/>
  <c r="F24" i="187"/>
  <c r="E24" i="187"/>
  <c r="G24" i="187" s="1"/>
  <c r="G23" i="187"/>
  <c r="F23" i="187"/>
  <c r="E23" i="187"/>
  <c r="F22" i="187"/>
  <c r="G22" i="187" s="1"/>
  <c r="E22" i="187"/>
  <c r="F21" i="187"/>
  <c r="E21" i="187"/>
  <c r="G21" i="187" s="1"/>
  <c r="F20" i="187"/>
  <c r="E20" i="187"/>
  <c r="G20" i="187" s="1"/>
  <c r="G19" i="187"/>
  <c r="F19" i="187"/>
  <c r="E19" i="187"/>
  <c r="F18" i="187"/>
  <c r="G18" i="187" s="1"/>
  <c r="E18" i="187"/>
  <c r="F17" i="187"/>
  <c r="E17" i="187"/>
  <c r="G17" i="187" s="1"/>
  <c r="F16" i="187"/>
  <c r="E16" i="187"/>
  <c r="G16" i="187" s="1"/>
  <c r="G15" i="187"/>
  <c r="F15" i="187"/>
  <c r="E15" i="187"/>
  <c r="F14" i="187"/>
  <c r="G14" i="187" s="1"/>
  <c r="E14" i="187"/>
  <c r="F13" i="187"/>
  <c r="E13" i="187"/>
  <c r="G13" i="187" s="1"/>
  <c r="F12" i="187"/>
  <c r="E12" i="187"/>
  <c r="G12" i="187" s="1"/>
  <c r="G11" i="187"/>
  <c r="F11" i="187"/>
  <c r="E11" i="187"/>
  <c r="F10" i="187"/>
  <c r="G10" i="187" s="1"/>
  <c r="E10" i="187"/>
  <c r="F9" i="187"/>
  <c r="E9" i="187"/>
  <c r="G9" i="187" s="1"/>
  <c r="F8" i="187"/>
  <c r="E8" i="187"/>
  <c r="G8" i="187" s="1"/>
  <c r="G7" i="187"/>
  <c r="F7" i="187"/>
  <c r="E7" i="187"/>
  <c r="F6" i="187"/>
  <c r="G6" i="187" s="1"/>
  <c r="E6" i="187"/>
  <c r="F5" i="187"/>
  <c r="E5" i="187"/>
  <c r="G5" i="187" s="1"/>
  <c r="F4" i="187"/>
  <c r="E4" i="187"/>
  <c r="G4" i="187" s="1"/>
  <c r="G3" i="187"/>
  <c r="F3" i="187"/>
  <c r="E3" i="187"/>
  <c r="E62" i="186"/>
  <c r="D62" i="186"/>
  <c r="E60" i="186"/>
  <c r="D60" i="186"/>
  <c r="E58" i="186"/>
  <c r="D58" i="186"/>
  <c r="E56" i="186"/>
  <c r="D56" i="186"/>
  <c r="E54" i="186"/>
  <c r="D54" i="186"/>
  <c r="E52" i="186"/>
  <c r="D52" i="186"/>
  <c r="E50" i="186"/>
  <c r="D50" i="186"/>
  <c r="E48" i="186"/>
  <c r="D48" i="186"/>
  <c r="E44" i="186"/>
  <c r="D44" i="186"/>
  <c r="E42" i="186"/>
  <c r="D42" i="186"/>
  <c r="E36" i="186"/>
  <c r="D36" i="186"/>
  <c r="E34" i="186"/>
  <c r="D34" i="186"/>
  <c r="E32" i="186"/>
  <c r="D32" i="186"/>
  <c r="L32" i="186" s="1"/>
  <c r="L33" i="186" s="1"/>
  <c r="E30" i="186"/>
  <c r="D30" i="186"/>
  <c r="E28" i="186"/>
  <c r="D28" i="186"/>
  <c r="E26" i="186"/>
  <c r="D26" i="186"/>
  <c r="L26" i="186" s="1"/>
  <c r="L27" i="186" s="1"/>
  <c r="E24" i="186"/>
  <c r="D24" i="186"/>
  <c r="L24" i="186" s="1"/>
  <c r="L25" i="186" s="1"/>
  <c r="E22" i="186"/>
  <c r="D22" i="186"/>
  <c r="E20" i="186"/>
  <c r="D20" i="186"/>
  <c r="E18" i="186"/>
  <c r="D18" i="186"/>
  <c r="L18" i="186" s="1"/>
  <c r="E16" i="186"/>
  <c r="D16" i="186"/>
  <c r="L16" i="186" s="1"/>
  <c r="L17" i="186" s="1"/>
  <c r="E12" i="186"/>
  <c r="D12" i="186"/>
  <c r="E10" i="186"/>
  <c r="D10" i="186"/>
  <c r="E8" i="186"/>
  <c r="D8" i="186"/>
  <c r="E6" i="186"/>
  <c r="D6" i="186"/>
  <c r="L6" i="186" s="1"/>
  <c r="L7" i="186" s="1"/>
  <c r="L48" i="186" l="1"/>
  <c r="L56" i="186"/>
  <c r="L57" i="186" s="1"/>
  <c r="L50" i="186"/>
  <c r="L51" i="186" s="1"/>
  <c r="L54" i="186"/>
  <c r="L55" i="186" s="1"/>
  <c r="L58" i="186"/>
  <c r="L59" i="186" s="1"/>
  <c r="L62" i="186"/>
  <c r="L63" i="186" s="1"/>
  <c r="L52" i="186"/>
  <c r="L53" i="186" s="1"/>
  <c r="L60" i="186"/>
  <c r="L61" i="186" s="1"/>
  <c r="L44" i="186"/>
  <c r="L42" i="186"/>
  <c r="L36" i="186"/>
  <c r="L37" i="186" s="1"/>
  <c r="L30" i="186"/>
  <c r="L31" i="186" s="1"/>
  <c r="L22" i="186"/>
  <c r="L23" i="186" s="1"/>
  <c r="L28" i="186"/>
  <c r="L29" i="186" s="1"/>
  <c r="L20" i="186"/>
  <c r="L21" i="186" s="1"/>
  <c r="L34" i="186"/>
  <c r="L35" i="186" s="1"/>
  <c r="L10" i="186"/>
  <c r="L11" i="186" s="1"/>
  <c r="L8" i="186"/>
  <c r="L9" i="186" s="1"/>
  <c r="L12" i="186"/>
  <c r="L13" i="186" s="1"/>
  <c r="L49" i="186"/>
  <c r="L45" i="186"/>
  <c r="L43" i="186"/>
  <c r="E38" i="186"/>
  <c r="D66" i="186"/>
  <c r="L19" i="186"/>
  <c r="E66" i="186"/>
  <c r="P1106" i="178"/>
  <c r="P1097" i="178"/>
  <c r="P363" i="178"/>
  <c r="P1202" i="178"/>
  <c r="P1252" i="178"/>
  <c r="P1239" i="178"/>
  <c r="P1234" i="178"/>
  <c r="P1253" i="178"/>
  <c r="P1203" i="178"/>
  <c r="P394" i="178"/>
  <c r="P419" i="178"/>
  <c r="P641" i="178"/>
  <c r="P945" i="178"/>
  <c r="P392" i="178"/>
  <c r="P417" i="178"/>
  <c r="P639" i="178"/>
  <c r="P943" i="178"/>
  <c r="P389" i="178"/>
  <c r="P414" i="178"/>
  <c r="P636" i="178"/>
  <c r="P940" i="178"/>
  <c r="P412" i="178"/>
  <c r="P387" i="178"/>
  <c r="P634" i="178"/>
  <c r="P581" i="178"/>
  <c r="L38" i="186" l="1"/>
  <c r="L39" i="186" s="1"/>
  <c r="T1223" i="178"/>
  <c r="U1223" i="178" s="1"/>
  <c r="W1223" i="178"/>
  <c r="X1223" i="178"/>
  <c r="Y1223" i="178"/>
  <c r="AA1223" i="178"/>
  <c r="AD1223" i="178"/>
  <c r="AE1223" i="178"/>
  <c r="AF1223" i="178"/>
  <c r="AG1223" i="178"/>
  <c r="AH1223" i="178"/>
  <c r="AI1223" i="178"/>
  <c r="AJ1223" i="178"/>
  <c r="AK1223" i="178"/>
  <c r="AL1223" i="178"/>
  <c r="AM1223" i="178"/>
  <c r="AN1223" i="178"/>
  <c r="AO1223" i="178"/>
  <c r="T1229" i="178"/>
  <c r="V1229" i="178" s="1"/>
  <c r="W1229" i="178"/>
  <c r="X1229" i="178"/>
  <c r="Y1229" i="178"/>
  <c r="AA1229" i="178"/>
  <c r="AD1229" i="178"/>
  <c r="AE1229" i="178"/>
  <c r="AF1229" i="178"/>
  <c r="AG1229" i="178"/>
  <c r="AH1229" i="178"/>
  <c r="AI1229" i="178"/>
  <c r="AJ1229" i="178"/>
  <c r="AK1229" i="178"/>
  <c r="AL1229" i="178"/>
  <c r="AM1229" i="178"/>
  <c r="AN1229" i="178"/>
  <c r="AO1229" i="178"/>
  <c r="T1230" i="178"/>
  <c r="U1230" i="178" s="1"/>
  <c r="W1230" i="178"/>
  <c r="X1230" i="178"/>
  <c r="Y1230" i="178"/>
  <c r="AA1230" i="178"/>
  <c r="AD1230" i="178"/>
  <c r="AE1230" i="178"/>
  <c r="AF1230" i="178"/>
  <c r="AG1230" i="178"/>
  <c r="AH1230" i="178"/>
  <c r="AI1230" i="178"/>
  <c r="AJ1230" i="178"/>
  <c r="AK1230" i="178"/>
  <c r="AL1230" i="178"/>
  <c r="AM1230" i="178"/>
  <c r="AN1230" i="178"/>
  <c r="AO1230" i="178"/>
  <c r="T1235" i="178"/>
  <c r="W1235" i="178"/>
  <c r="X1235" i="178"/>
  <c r="Y1235" i="178"/>
  <c r="AA1235" i="178"/>
  <c r="AD1235" i="178"/>
  <c r="AE1235" i="178"/>
  <c r="AF1235" i="178"/>
  <c r="AG1235" i="178"/>
  <c r="AH1235" i="178"/>
  <c r="AI1235" i="178"/>
  <c r="AJ1235" i="178"/>
  <c r="AK1235" i="178"/>
  <c r="AL1235" i="178"/>
  <c r="AM1235" i="178"/>
  <c r="AN1235" i="178"/>
  <c r="AO1235" i="178"/>
  <c r="T1224" i="178"/>
  <c r="U1224" i="178" s="1"/>
  <c r="W1224" i="178"/>
  <c r="X1224" i="178"/>
  <c r="Y1224" i="178"/>
  <c r="AA1224" i="178"/>
  <c r="AD1224" i="178"/>
  <c r="AE1224" i="178"/>
  <c r="AF1224" i="178"/>
  <c r="AG1224" i="178"/>
  <c r="AH1224" i="178"/>
  <c r="AI1224" i="178"/>
  <c r="AJ1224" i="178"/>
  <c r="AK1224" i="178"/>
  <c r="AL1224" i="178"/>
  <c r="AM1224" i="178"/>
  <c r="AN1224" i="178"/>
  <c r="AO1224" i="178"/>
  <c r="T1225" i="178"/>
  <c r="V1225" i="178" s="1"/>
  <c r="W1225" i="178"/>
  <c r="X1225" i="178"/>
  <c r="Y1225" i="178"/>
  <c r="AA1225" i="178"/>
  <c r="AD1225" i="178"/>
  <c r="AE1225" i="178"/>
  <c r="AF1225" i="178"/>
  <c r="AG1225" i="178"/>
  <c r="AH1225" i="178"/>
  <c r="AI1225" i="178"/>
  <c r="AJ1225" i="178"/>
  <c r="AK1225" i="178"/>
  <c r="AL1225" i="178"/>
  <c r="AM1225" i="178"/>
  <c r="AN1225" i="178"/>
  <c r="AO1225" i="178"/>
  <c r="T1231" i="178"/>
  <c r="U1231" i="178" s="1"/>
  <c r="W1231" i="178"/>
  <c r="X1231" i="178"/>
  <c r="Y1231" i="178"/>
  <c r="AA1231" i="178"/>
  <c r="AD1231" i="178"/>
  <c r="AE1231" i="178"/>
  <c r="AF1231" i="178"/>
  <c r="AG1231" i="178"/>
  <c r="AH1231" i="178"/>
  <c r="AI1231" i="178"/>
  <c r="AJ1231" i="178"/>
  <c r="AK1231" i="178"/>
  <c r="AL1231" i="178"/>
  <c r="AM1231" i="178"/>
  <c r="AN1231" i="178"/>
  <c r="AO1231" i="178"/>
  <c r="T1232" i="178"/>
  <c r="W1232" i="178"/>
  <c r="X1232" i="178"/>
  <c r="Y1232" i="178"/>
  <c r="AA1232" i="178"/>
  <c r="AD1232" i="178"/>
  <c r="AE1232" i="178"/>
  <c r="AF1232" i="178"/>
  <c r="AG1232" i="178"/>
  <c r="AH1232" i="178"/>
  <c r="AI1232" i="178"/>
  <c r="AJ1232" i="178"/>
  <c r="AK1232" i="178"/>
  <c r="AL1232" i="178"/>
  <c r="AM1232" i="178"/>
  <c r="AN1232" i="178"/>
  <c r="AO1232" i="178"/>
  <c r="T1236" i="178"/>
  <c r="U1236" i="178" s="1"/>
  <c r="W1236" i="178"/>
  <c r="X1236" i="178"/>
  <c r="Y1236" i="178"/>
  <c r="AA1236" i="178"/>
  <c r="AD1236" i="178"/>
  <c r="AE1236" i="178"/>
  <c r="AF1236" i="178"/>
  <c r="AG1236" i="178"/>
  <c r="AH1236" i="178"/>
  <c r="AI1236" i="178"/>
  <c r="AJ1236" i="178"/>
  <c r="AK1236" i="178"/>
  <c r="AL1236" i="178"/>
  <c r="AM1236" i="178"/>
  <c r="AN1236" i="178"/>
  <c r="AO1236" i="178"/>
  <c r="T1237" i="178"/>
  <c r="V1237" i="178" s="1"/>
  <c r="W1237" i="178"/>
  <c r="X1237" i="178"/>
  <c r="Y1237" i="178"/>
  <c r="AA1237" i="178"/>
  <c r="AD1237" i="178"/>
  <c r="AE1237" i="178"/>
  <c r="AF1237" i="178"/>
  <c r="AG1237" i="178"/>
  <c r="AH1237" i="178"/>
  <c r="AI1237" i="178"/>
  <c r="AJ1237" i="178"/>
  <c r="AK1237" i="178"/>
  <c r="AL1237" i="178"/>
  <c r="AM1237" i="178"/>
  <c r="AN1237" i="178"/>
  <c r="AO1237" i="178"/>
  <c r="T1198" i="178"/>
  <c r="U1198" i="178" s="1"/>
  <c r="W1198" i="178"/>
  <c r="X1198" i="178"/>
  <c r="Y1198" i="178"/>
  <c r="AA1198" i="178"/>
  <c r="AD1198" i="178"/>
  <c r="AE1198" i="178"/>
  <c r="AF1198" i="178"/>
  <c r="AG1198" i="178"/>
  <c r="AH1198" i="178"/>
  <c r="AI1198" i="178"/>
  <c r="AJ1198" i="178"/>
  <c r="AK1198" i="178"/>
  <c r="AL1198" i="178"/>
  <c r="AM1198" i="178"/>
  <c r="AN1198" i="178"/>
  <c r="AO1198" i="178"/>
  <c r="T1201" i="178"/>
  <c r="W1201" i="178"/>
  <c r="X1201" i="178"/>
  <c r="Y1201" i="178"/>
  <c r="AA1201" i="178"/>
  <c r="AD1201" i="178"/>
  <c r="AE1201" i="178"/>
  <c r="AF1201" i="178"/>
  <c r="AG1201" i="178"/>
  <c r="AH1201" i="178"/>
  <c r="AI1201" i="178"/>
  <c r="AJ1201" i="178"/>
  <c r="AK1201" i="178"/>
  <c r="AL1201" i="178"/>
  <c r="AM1201" i="178"/>
  <c r="AN1201" i="178"/>
  <c r="AO1201" i="178"/>
  <c r="T1204" i="178"/>
  <c r="U1204" i="178" s="1"/>
  <c r="W1204" i="178"/>
  <c r="X1204" i="178"/>
  <c r="Y1204" i="178"/>
  <c r="AA1204" i="178"/>
  <c r="AD1204" i="178"/>
  <c r="AE1204" i="178"/>
  <c r="AF1204" i="178"/>
  <c r="AG1204" i="178"/>
  <c r="AH1204" i="178"/>
  <c r="AI1204" i="178"/>
  <c r="AJ1204" i="178"/>
  <c r="AK1204" i="178"/>
  <c r="AL1204" i="178"/>
  <c r="AM1204" i="178"/>
  <c r="AN1204" i="178"/>
  <c r="AO1204" i="178"/>
  <c r="T1205" i="178"/>
  <c r="V1205" i="178" s="1"/>
  <c r="W1205" i="178"/>
  <c r="X1205" i="178"/>
  <c r="Y1205" i="178"/>
  <c r="AA1205" i="178"/>
  <c r="AD1205" i="178"/>
  <c r="AE1205" i="178"/>
  <c r="AF1205" i="178"/>
  <c r="AG1205" i="178"/>
  <c r="AH1205" i="178"/>
  <c r="AI1205" i="178"/>
  <c r="AJ1205" i="178"/>
  <c r="AK1205" i="178"/>
  <c r="AL1205" i="178"/>
  <c r="AM1205" i="178"/>
  <c r="AN1205" i="178"/>
  <c r="AO1205" i="178"/>
  <c r="T1226" i="178"/>
  <c r="U1226" i="178" s="1"/>
  <c r="W1226" i="178"/>
  <c r="X1226" i="178"/>
  <c r="Y1226" i="178"/>
  <c r="AA1226" i="178"/>
  <c r="AD1226" i="178"/>
  <c r="AE1226" i="178"/>
  <c r="AF1226" i="178"/>
  <c r="AG1226" i="178"/>
  <c r="AH1226" i="178"/>
  <c r="AI1226" i="178"/>
  <c r="AJ1226" i="178"/>
  <c r="AK1226" i="178"/>
  <c r="AL1226" i="178"/>
  <c r="AM1226" i="178"/>
  <c r="AN1226" i="178"/>
  <c r="AO1226" i="178"/>
  <c r="T1233" i="178"/>
  <c r="V1233" i="178" s="1"/>
  <c r="W1233" i="178"/>
  <c r="X1233" i="178"/>
  <c r="Y1233" i="178"/>
  <c r="AA1233" i="178"/>
  <c r="AD1233" i="178"/>
  <c r="AE1233" i="178"/>
  <c r="AF1233" i="178"/>
  <c r="AG1233" i="178"/>
  <c r="AH1233" i="178"/>
  <c r="AI1233" i="178"/>
  <c r="AJ1233" i="178"/>
  <c r="AK1233" i="178"/>
  <c r="AL1233" i="178"/>
  <c r="AM1233" i="178"/>
  <c r="AN1233" i="178"/>
  <c r="AO1233" i="178"/>
  <c r="T1238" i="178"/>
  <c r="U1238" i="178" s="1"/>
  <c r="W1238" i="178"/>
  <c r="X1238" i="178"/>
  <c r="Y1238" i="178"/>
  <c r="AA1238" i="178"/>
  <c r="AD1238" i="178"/>
  <c r="AE1238" i="178"/>
  <c r="AF1238" i="178"/>
  <c r="AG1238" i="178"/>
  <c r="AH1238" i="178"/>
  <c r="AI1238" i="178"/>
  <c r="AJ1238" i="178"/>
  <c r="AK1238" i="178"/>
  <c r="AL1238" i="178"/>
  <c r="AM1238" i="178"/>
  <c r="AN1238" i="178"/>
  <c r="AO1238" i="178"/>
  <c r="T1249" i="178"/>
  <c r="V1249" i="178" s="1"/>
  <c r="W1249" i="178"/>
  <c r="X1249" i="178"/>
  <c r="Y1249" i="178"/>
  <c r="AA1249" i="178"/>
  <c r="AD1249" i="178"/>
  <c r="AE1249" i="178"/>
  <c r="AF1249" i="178"/>
  <c r="AG1249" i="178"/>
  <c r="AH1249" i="178"/>
  <c r="AI1249" i="178"/>
  <c r="AJ1249" i="178"/>
  <c r="AK1249" i="178"/>
  <c r="AL1249" i="178"/>
  <c r="AM1249" i="178"/>
  <c r="AN1249" i="178"/>
  <c r="AO1249" i="178"/>
  <c r="T1250" i="178"/>
  <c r="U1250" i="178" s="1"/>
  <c r="W1250" i="178"/>
  <c r="X1250" i="178"/>
  <c r="Y1250" i="178"/>
  <c r="AA1250" i="178"/>
  <c r="AD1250" i="178"/>
  <c r="AE1250" i="178"/>
  <c r="AF1250" i="178"/>
  <c r="AG1250" i="178"/>
  <c r="AH1250" i="178"/>
  <c r="AI1250" i="178"/>
  <c r="AJ1250" i="178"/>
  <c r="AK1250" i="178"/>
  <c r="AL1250" i="178"/>
  <c r="AM1250" i="178"/>
  <c r="AN1250" i="178"/>
  <c r="AO1250" i="178"/>
  <c r="T1251" i="178"/>
  <c r="V1251" i="178" s="1"/>
  <c r="W1251" i="178"/>
  <c r="X1251" i="178"/>
  <c r="Y1251" i="178"/>
  <c r="AA1251" i="178"/>
  <c r="AD1251" i="178"/>
  <c r="AE1251" i="178"/>
  <c r="AF1251" i="178"/>
  <c r="AG1251" i="178"/>
  <c r="AH1251" i="178"/>
  <c r="AI1251" i="178"/>
  <c r="AJ1251" i="178"/>
  <c r="AK1251" i="178"/>
  <c r="AL1251" i="178"/>
  <c r="AM1251" i="178"/>
  <c r="AN1251" i="178"/>
  <c r="AO1251" i="178"/>
  <c r="T1199" i="178"/>
  <c r="U1199" i="178" s="1"/>
  <c r="W1199" i="178"/>
  <c r="X1199" i="178"/>
  <c r="Y1199" i="178"/>
  <c r="AA1199" i="178"/>
  <c r="AD1199" i="178"/>
  <c r="AE1199" i="178"/>
  <c r="AF1199" i="178"/>
  <c r="AG1199" i="178"/>
  <c r="AH1199" i="178"/>
  <c r="AI1199" i="178"/>
  <c r="AJ1199" i="178"/>
  <c r="AK1199" i="178"/>
  <c r="AL1199" i="178"/>
  <c r="AM1199" i="178"/>
  <c r="AN1199" i="178"/>
  <c r="AO1199" i="178"/>
  <c r="T1200" i="178"/>
  <c r="V1200" i="178" s="1"/>
  <c r="W1200" i="178"/>
  <c r="X1200" i="178"/>
  <c r="Y1200" i="178"/>
  <c r="AA1200" i="178"/>
  <c r="AD1200" i="178"/>
  <c r="AE1200" i="178"/>
  <c r="AF1200" i="178"/>
  <c r="AG1200" i="178"/>
  <c r="AH1200" i="178"/>
  <c r="AI1200" i="178"/>
  <c r="AJ1200" i="178"/>
  <c r="AK1200" i="178"/>
  <c r="AL1200" i="178"/>
  <c r="AM1200" i="178"/>
  <c r="AN1200" i="178"/>
  <c r="AO1200" i="178"/>
  <c r="T1202" i="178"/>
  <c r="U1202" i="178" s="1"/>
  <c r="W1202" i="178"/>
  <c r="X1202" i="178"/>
  <c r="Y1202" i="178"/>
  <c r="AA1202" i="178"/>
  <c r="AD1202" i="178"/>
  <c r="AE1202" i="178"/>
  <c r="AF1202" i="178"/>
  <c r="AG1202" i="178"/>
  <c r="AH1202" i="178"/>
  <c r="AI1202" i="178"/>
  <c r="AJ1202" i="178"/>
  <c r="AK1202" i="178"/>
  <c r="AL1202" i="178"/>
  <c r="AM1202" i="178"/>
  <c r="AN1202" i="178"/>
  <c r="AO1202" i="178"/>
  <c r="T1203" i="178"/>
  <c r="V1203" i="178" s="1"/>
  <c r="W1203" i="178"/>
  <c r="X1203" i="178"/>
  <c r="Y1203" i="178"/>
  <c r="AA1203" i="178"/>
  <c r="AD1203" i="178"/>
  <c r="AE1203" i="178"/>
  <c r="AF1203" i="178"/>
  <c r="AG1203" i="178"/>
  <c r="AH1203" i="178"/>
  <c r="AI1203" i="178"/>
  <c r="AJ1203" i="178"/>
  <c r="AK1203" i="178"/>
  <c r="AL1203" i="178"/>
  <c r="AM1203" i="178"/>
  <c r="AN1203" i="178"/>
  <c r="AO1203" i="178"/>
  <c r="T1227" i="178"/>
  <c r="U1227" i="178" s="1"/>
  <c r="W1227" i="178"/>
  <c r="X1227" i="178"/>
  <c r="Y1227" i="178"/>
  <c r="AA1227" i="178"/>
  <c r="AD1227" i="178"/>
  <c r="AE1227" i="178"/>
  <c r="AF1227" i="178"/>
  <c r="AG1227" i="178"/>
  <c r="AH1227" i="178"/>
  <c r="AI1227" i="178"/>
  <c r="AJ1227" i="178"/>
  <c r="AK1227" i="178"/>
  <c r="AL1227" i="178"/>
  <c r="AM1227" i="178"/>
  <c r="AN1227" i="178"/>
  <c r="AO1227" i="178"/>
  <c r="T1234" i="178"/>
  <c r="V1234" i="178" s="1"/>
  <c r="W1234" i="178"/>
  <c r="X1234" i="178"/>
  <c r="Y1234" i="178"/>
  <c r="AA1234" i="178"/>
  <c r="AD1234" i="178"/>
  <c r="AE1234" i="178"/>
  <c r="AF1234" i="178"/>
  <c r="AG1234" i="178"/>
  <c r="AH1234" i="178"/>
  <c r="AI1234" i="178"/>
  <c r="AJ1234" i="178"/>
  <c r="AK1234" i="178"/>
  <c r="AL1234" i="178"/>
  <c r="AM1234" i="178"/>
  <c r="AN1234" i="178"/>
  <c r="AO1234" i="178"/>
  <c r="T1239" i="178"/>
  <c r="U1239" i="178" s="1"/>
  <c r="W1239" i="178"/>
  <c r="X1239" i="178"/>
  <c r="Y1239" i="178"/>
  <c r="AA1239" i="178"/>
  <c r="AD1239" i="178"/>
  <c r="AE1239" i="178"/>
  <c r="AF1239" i="178"/>
  <c r="AG1239" i="178"/>
  <c r="AH1239" i="178"/>
  <c r="AI1239" i="178"/>
  <c r="AJ1239" i="178"/>
  <c r="AK1239" i="178"/>
  <c r="AL1239" i="178"/>
  <c r="AM1239" i="178"/>
  <c r="AN1239" i="178"/>
  <c r="AO1239" i="178"/>
  <c r="T1252" i="178"/>
  <c r="U1252" i="178" s="1"/>
  <c r="W1252" i="178"/>
  <c r="X1252" i="178"/>
  <c r="Y1252" i="178"/>
  <c r="AA1252" i="178"/>
  <c r="AD1252" i="178"/>
  <c r="AE1252" i="178"/>
  <c r="AF1252" i="178"/>
  <c r="AG1252" i="178"/>
  <c r="AH1252" i="178"/>
  <c r="AI1252" i="178"/>
  <c r="AJ1252" i="178"/>
  <c r="AK1252" i="178"/>
  <c r="AL1252" i="178"/>
  <c r="AM1252" i="178"/>
  <c r="AN1252" i="178"/>
  <c r="AO1252" i="178"/>
  <c r="T1253" i="178"/>
  <c r="V1253" i="178" s="1"/>
  <c r="W1253" i="178"/>
  <c r="X1253" i="178"/>
  <c r="Y1253" i="178"/>
  <c r="AA1253" i="178"/>
  <c r="AD1253" i="178"/>
  <c r="AE1253" i="178"/>
  <c r="AF1253" i="178"/>
  <c r="AG1253" i="178"/>
  <c r="AH1253" i="178"/>
  <c r="AI1253" i="178"/>
  <c r="AJ1253" i="178"/>
  <c r="AK1253" i="178"/>
  <c r="AL1253" i="178"/>
  <c r="AM1253" i="178"/>
  <c r="AN1253" i="178"/>
  <c r="AO1253" i="178"/>
  <c r="Q1223" i="178"/>
  <c r="S1223" i="178" s="1"/>
  <c r="BG1223" i="178" s="1"/>
  <c r="Q1229" i="178"/>
  <c r="Q1230" i="178"/>
  <c r="S1230" i="178" s="1"/>
  <c r="Q1235" i="178"/>
  <c r="Q1224" i="178"/>
  <c r="Q1225" i="178"/>
  <c r="S1225" i="178" s="1"/>
  <c r="Q1231" i="178"/>
  <c r="Q1232" i="178"/>
  <c r="Q1236" i="178"/>
  <c r="Q1237" i="178"/>
  <c r="S1237" i="178" s="1"/>
  <c r="Q1198" i="178"/>
  <c r="Q1201" i="178"/>
  <c r="S1201" i="178" s="1"/>
  <c r="Q1204" i="178"/>
  <c r="Q1205" i="178"/>
  <c r="Q1226" i="178"/>
  <c r="S1226" i="178" s="1"/>
  <c r="Q1233" i="178"/>
  <c r="S1233" i="178" s="1"/>
  <c r="Q1238" i="178"/>
  <c r="Q1249" i="178"/>
  <c r="S1249" i="178" s="1"/>
  <c r="Q1250" i="178"/>
  <c r="S1250" i="178" s="1"/>
  <c r="Q1251" i="178"/>
  <c r="S1251" i="178" s="1"/>
  <c r="Q1199" i="178"/>
  <c r="S1199" i="178" s="1"/>
  <c r="Q1200" i="178"/>
  <c r="S1200" i="178" s="1"/>
  <c r="Q1202" i="178"/>
  <c r="S1202" i="178" s="1"/>
  <c r="Q1203" i="178"/>
  <c r="S1203" i="178" s="1"/>
  <c r="Q1227" i="178"/>
  <c r="S1227" i="178" s="1"/>
  <c r="Q1234" i="178"/>
  <c r="S1234" i="178" s="1"/>
  <c r="Q1239" i="178"/>
  <c r="S1239" i="178" s="1"/>
  <c r="Q1252" i="178"/>
  <c r="S1252" i="178" s="1"/>
  <c r="Q1253" i="178"/>
  <c r="S1253" i="178" s="1"/>
  <c r="B1223" i="178"/>
  <c r="B1229" i="178"/>
  <c r="B1230" i="178"/>
  <c r="B1235" i="178"/>
  <c r="B1224" i="178"/>
  <c r="B1225" i="178"/>
  <c r="B1231" i="178"/>
  <c r="B1232" i="178"/>
  <c r="B1236" i="178"/>
  <c r="B1237" i="178"/>
  <c r="B1198" i="178"/>
  <c r="B1201" i="178"/>
  <c r="B1204" i="178"/>
  <c r="B1205" i="178"/>
  <c r="B1226" i="178"/>
  <c r="B1233" i="178"/>
  <c r="B1238" i="178"/>
  <c r="B1249" i="178"/>
  <c r="B1250" i="178"/>
  <c r="B1251" i="178"/>
  <c r="B1199" i="178"/>
  <c r="B1200" i="178"/>
  <c r="B1202" i="178"/>
  <c r="B1203" i="178"/>
  <c r="B1227" i="178"/>
  <c r="B1234" i="178"/>
  <c r="B1239" i="178"/>
  <c r="B1252" i="178"/>
  <c r="B1253" i="178"/>
  <c r="T1065" i="178"/>
  <c r="U1065" i="178" s="1"/>
  <c r="W1065" i="178"/>
  <c r="X1065" i="178"/>
  <c r="Y1065" i="178"/>
  <c r="AA1065" i="178"/>
  <c r="AD1065" i="178"/>
  <c r="AE1065" i="178"/>
  <c r="AF1065" i="178"/>
  <c r="AG1065" i="178"/>
  <c r="AH1065" i="178"/>
  <c r="AI1065" i="178"/>
  <c r="AJ1065" i="178"/>
  <c r="AK1065" i="178"/>
  <c r="AL1065" i="178"/>
  <c r="AM1065" i="178"/>
  <c r="AN1065" i="178"/>
  <c r="AO1065" i="178"/>
  <c r="T185" i="178"/>
  <c r="W185" i="178"/>
  <c r="X185" i="178"/>
  <c r="Y185" i="178"/>
  <c r="AA185" i="178"/>
  <c r="AD185" i="178"/>
  <c r="AE185" i="178"/>
  <c r="AF185" i="178"/>
  <c r="AG185" i="178"/>
  <c r="AH185" i="178"/>
  <c r="AI185" i="178"/>
  <c r="AJ185" i="178"/>
  <c r="AK185" i="178"/>
  <c r="AL185" i="178"/>
  <c r="AM185" i="178"/>
  <c r="AN185" i="178"/>
  <c r="AO185" i="178"/>
  <c r="T186" i="178"/>
  <c r="U186" i="178" s="1"/>
  <c r="W186" i="178"/>
  <c r="X186" i="178"/>
  <c r="Y186" i="178"/>
  <c r="AA186" i="178"/>
  <c r="AD186" i="178"/>
  <c r="AE186" i="178"/>
  <c r="AF186" i="178"/>
  <c r="AG186" i="178"/>
  <c r="AH186" i="178"/>
  <c r="AI186" i="178"/>
  <c r="AJ186" i="178"/>
  <c r="AK186" i="178"/>
  <c r="AL186" i="178"/>
  <c r="AM186" i="178"/>
  <c r="AN186" i="178"/>
  <c r="AO186" i="178"/>
  <c r="T190" i="178"/>
  <c r="V190" i="178" s="1"/>
  <c r="W190" i="178"/>
  <c r="X190" i="178"/>
  <c r="Y190" i="178"/>
  <c r="AA190" i="178"/>
  <c r="AD190" i="178"/>
  <c r="AE190" i="178"/>
  <c r="AF190" i="178"/>
  <c r="AG190" i="178"/>
  <c r="AH190" i="178"/>
  <c r="AI190" i="178"/>
  <c r="AJ190" i="178"/>
  <c r="AK190" i="178"/>
  <c r="AL190" i="178"/>
  <c r="AM190" i="178"/>
  <c r="AN190" i="178"/>
  <c r="AO190" i="178"/>
  <c r="T191" i="178"/>
  <c r="U191" i="178" s="1"/>
  <c r="W191" i="178"/>
  <c r="X191" i="178"/>
  <c r="Y191" i="178"/>
  <c r="AA191" i="178"/>
  <c r="AD191" i="178"/>
  <c r="AE191" i="178"/>
  <c r="AF191" i="178"/>
  <c r="AG191" i="178"/>
  <c r="AH191" i="178"/>
  <c r="AI191" i="178"/>
  <c r="AJ191" i="178"/>
  <c r="AK191" i="178"/>
  <c r="AL191" i="178"/>
  <c r="AM191" i="178"/>
  <c r="AN191" i="178"/>
  <c r="AO191" i="178"/>
  <c r="T205" i="178"/>
  <c r="U205" i="178" s="1"/>
  <c r="W205" i="178"/>
  <c r="X205" i="178"/>
  <c r="Y205" i="178"/>
  <c r="AA205" i="178"/>
  <c r="AD205" i="178"/>
  <c r="AE205" i="178"/>
  <c r="AF205" i="178"/>
  <c r="AG205" i="178"/>
  <c r="AH205" i="178"/>
  <c r="AI205" i="178"/>
  <c r="AJ205" i="178"/>
  <c r="AK205" i="178"/>
  <c r="AL205" i="178"/>
  <c r="AM205" i="178"/>
  <c r="AN205" i="178"/>
  <c r="AO205" i="178"/>
  <c r="T741" i="178"/>
  <c r="U741" i="178" s="1"/>
  <c r="W741" i="178"/>
  <c r="X741" i="178"/>
  <c r="Y741" i="178"/>
  <c r="AA741" i="178"/>
  <c r="AD741" i="178"/>
  <c r="AE741" i="178"/>
  <c r="AF741" i="178"/>
  <c r="AG741" i="178"/>
  <c r="AH741" i="178"/>
  <c r="AI741" i="178"/>
  <c r="AJ741" i="178"/>
  <c r="AK741" i="178"/>
  <c r="AL741" i="178"/>
  <c r="AM741" i="178"/>
  <c r="AN741" i="178"/>
  <c r="AO741" i="178"/>
  <c r="T770" i="178"/>
  <c r="U770" i="178" s="1"/>
  <c r="W770" i="178"/>
  <c r="X770" i="178"/>
  <c r="Y770" i="178"/>
  <c r="AA770" i="178"/>
  <c r="AD770" i="178"/>
  <c r="AE770" i="178"/>
  <c r="AF770" i="178"/>
  <c r="AG770" i="178"/>
  <c r="AH770" i="178"/>
  <c r="AI770" i="178"/>
  <c r="AJ770" i="178"/>
  <c r="AK770" i="178"/>
  <c r="AL770" i="178"/>
  <c r="AM770" i="178"/>
  <c r="AN770" i="178"/>
  <c r="AO770" i="178"/>
  <c r="T828" i="178"/>
  <c r="W828" i="178"/>
  <c r="X828" i="178"/>
  <c r="Y828" i="178"/>
  <c r="AA828" i="178"/>
  <c r="AD828" i="178"/>
  <c r="AE828" i="178"/>
  <c r="AF828" i="178"/>
  <c r="AG828" i="178"/>
  <c r="AH828" i="178"/>
  <c r="AI828" i="178"/>
  <c r="AJ828" i="178"/>
  <c r="AK828" i="178"/>
  <c r="AL828" i="178"/>
  <c r="AM828" i="178"/>
  <c r="AN828" i="178"/>
  <c r="AO828" i="178"/>
  <c r="T1272" i="178"/>
  <c r="V1272" i="178" s="1"/>
  <c r="W1272" i="178"/>
  <c r="X1272" i="178"/>
  <c r="Y1272" i="178"/>
  <c r="AA1272" i="178"/>
  <c r="AD1272" i="178"/>
  <c r="AE1272" i="178"/>
  <c r="AF1272" i="178"/>
  <c r="AG1272" i="178"/>
  <c r="AH1272" i="178"/>
  <c r="AI1272" i="178"/>
  <c r="AJ1272" i="178"/>
  <c r="AK1272" i="178"/>
  <c r="AL1272" i="178"/>
  <c r="AM1272" i="178"/>
  <c r="AN1272" i="178"/>
  <c r="AO1272" i="178"/>
  <c r="T35" i="178"/>
  <c r="U35" i="178" s="1"/>
  <c r="W35" i="178"/>
  <c r="X35" i="178"/>
  <c r="Y35" i="178"/>
  <c r="AA35" i="178"/>
  <c r="AD35" i="178"/>
  <c r="AE35" i="178"/>
  <c r="AF35" i="178"/>
  <c r="AG35" i="178"/>
  <c r="AH35" i="178"/>
  <c r="AI35" i="178"/>
  <c r="AJ35" i="178"/>
  <c r="AK35" i="178"/>
  <c r="AL35" i="178"/>
  <c r="AM35" i="178"/>
  <c r="AN35" i="178"/>
  <c r="AO35" i="178"/>
  <c r="T44" i="178"/>
  <c r="V44" i="178" s="1"/>
  <c r="W44" i="178"/>
  <c r="X44" i="178"/>
  <c r="Y44" i="178"/>
  <c r="AA44" i="178"/>
  <c r="AD44" i="178"/>
  <c r="AE44" i="178"/>
  <c r="AF44" i="178"/>
  <c r="AG44" i="178"/>
  <c r="AH44" i="178"/>
  <c r="AI44" i="178"/>
  <c r="AJ44" i="178"/>
  <c r="AK44" i="178"/>
  <c r="AL44" i="178"/>
  <c r="AM44" i="178"/>
  <c r="AN44" i="178"/>
  <c r="AO44" i="178"/>
  <c r="T67" i="178"/>
  <c r="U67" i="178" s="1"/>
  <c r="W67" i="178"/>
  <c r="X67" i="178"/>
  <c r="Y67" i="178"/>
  <c r="AA67" i="178"/>
  <c r="AD67" i="178"/>
  <c r="AE67" i="178"/>
  <c r="AF67" i="178"/>
  <c r="AG67" i="178"/>
  <c r="AH67" i="178"/>
  <c r="AI67" i="178"/>
  <c r="AJ67" i="178"/>
  <c r="AK67" i="178"/>
  <c r="AL67" i="178"/>
  <c r="AM67" i="178"/>
  <c r="AN67" i="178"/>
  <c r="AO67" i="178"/>
  <c r="T226" i="178"/>
  <c r="W226" i="178"/>
  <c r="X226" i="178"/>
  <c r="Y226" i="178"/>
  <c r="AA226" i="178"/>
  <c r="AD226" i="178"/>
  <c r="AE226" i="178"/>
  <c r="AF226" i="178"/>
  <c r="AG226" i="178"/>
  <c r="AH226" i="178"/>
  <c r="AI226" i="178"/>
  <c r="AJ226" i="178"/>
  <c r="AK226" i="178"/>
  <c r="AL226" i="178"/>
  <c r="AM226" i="178"/>
  <c r="AN226" i="178"/>
  <c r="AO226" i="178"/>
  <c r="T233" i="178"/>
  <c r="U233" i="178" s="1"/>
  <c r="W233" i="178"/>
  <c r="X233" i="178"/>
  <c r="Y233" i="178"/>
  <c r="AA233" i="178"/>
  <c r="AD233" i="178"/>
  <c r="AE233" i="178"/>
  <c r="AF233" i="178"/>
  <c r="AG233" i="178"/>
  <c r="AH233" i="178"/>
  <c r="AI233" i="178"/>
  <c r="AJ233" i="178"/>
  <c r="AK233" i="178"/>
  <c r="AL233" i="178"/>
  <c r="AM233" i="178"/>
  <c r="AN233" i="178"/>
  <c r="AO233" i="178"/>
  <c r="T282" i="178"/>
  <c r="U282" i="178" s="1"/>
  <c r="W282" i="178"/>
  <c r="X282" i="178"/>
  <c r="Y282" i="178"/>
  <c r="AA282" i="178"/>
  <c r="AD282" i="178"/>
  <c r="AE282" i="178"/>
  <c r="AF282" i="178"/>
  <c r="AG282" i="178"/>
  <c r="AH282" i="178"/>
  <c r="AI282" i="178"/>
  <c r="AJ282" i="178"/>
  <c r="AK282" i="178"/>
  <c r="AL282" i="178"/>
  <c r="AM282" i="178"/>
  <c r="AN282" i="178"/>
  <c r="AO282" i="178"/>
  <c r="T422" i="178"/>
  <c r="U422" i="178" s="1"/>
  <c r="W422" i="178"/>
  <c r="X422" i="178"/>
  <c r="Y422" i="178"/>
  <c r="AA422" i="178"/>
  <c r="AD422" i="178"/>
  <c r="AE422" i="178"/>
  <c r="AF422" i="178"/>
  <c r="AG422" i="178"/>
  <c r="AH422" i="178"/>
  <c r="AI422" i="178"/>
  <c r="AJ422" i="178"/>
  <c r="AK422" i="178"/>
  <c r="AL422" i="178"/>
  <c r="AM422" i="178"/>
  <c r="AN422" i="178"/>
  <c r="AO422" i="178"/>
  <c r="T656" i="178"/>
  <c r="V656" i="178" s="1"/>
  <c r="W656" i="178"/>
  <c r="X656" i="178"/>
  <c r="Y656" i="178"/>
  <c r="AA656" i="178"/>
  <c r="AD656" i="178"/>
  <c r="AE656" i="178"/>
  <c r="AF656" i="178"/>
  <c r="AG656" i="178"/>
  <c r="AH656" i="178"/>
  <c r="AI656" i="178"/>
  <c r="AJ656" i="178"/>
  <c r="AK656" i="178"/>
  <c r="AL656" i="178"/>
  <c r="AM656" i="178"/>
  <c r="AN656" i="178"/>
  <c r="AO656" i="178"/>
  <c r="T56" i="178"/>
  <c r="U56" i="178" s="1"/>
  <c r="W56" i="178"/>
  <c r="X56" i="178"/>
  <c r="Y56" i="178"/>
  <c r="AA56" i="178"/>
  <c r="AD56" i="178"/>
  <c r="AE56" i="178"/>
  <c r="AF56" i="178"/>
  <c r="AG56" i="178"/>
  <c r="AH56" i="178"/>
  <c r="AI56" i="178"/>
  <c r="AJ56" i="178"/>
  <c r="AK56" i="178"/>
  <c r="AL56" i="178"/>
  <c r="AM56" i="178"/>
  <c r="AN56" i="178"/>
  <c r="AO56" i="178"/>
  <c r="T57" i="178"/>
  <c r="U57" i="178" s="1"/>
  <c r="W57" i="178"/>
  <c r="X57" i="178"/>
  <c r="Y57" i="178"/>
  <c r="AA57" i="178"/>
  <c r="AD57" i="178"/>
  <c r="AE57" i="178"/>
  <c r="AF57" i="178"/>
  <c r="AG57" i="178"/>
  <c r="AH57" i="178"/>
  <c r="AI57" i="178"/>
  <c r="AJ57" i="178"/>
  <c r="AK57" i="178"/>
  <c r="AL57" i="178"/>
  <c r="AM57" i="178"/>
  <c r="AN57" i="178"/>
  <c r="AO57" i="178"/>
  <c r="T432" i="178"/>
  <c r="U432" i="178" s="1"/>
  <c r="W432" i="178"/>
  <c r="X432" i="178"/>
  <c r="Y432" i="178"/>
  <c r="AA432" i="178"/>
  <c r="AD432" i="178"/>
  <c r="AE432" i="178"/>
  <c r="AF432" i="178"/>
  <c r="AG432" i="178"/>
  <c r="AH432" i="178"/>
  <c r="AI432" i="178"/>
  <c r="AJ432" i="178"/>
  <c r="AK432" i="178"/>
  <c r="AL432" i="178"/>
  <c r="AM432" i="178"/>
  <c r="AN432" i="178"/>
  <c r="AO432" i="178"/>
  <c r="T481" i="178"/>
  <c r="V481" i="178" s="1"/>
  <c r="W481" i="178"/>
  <c r="X481" i="178"/>
  <c r="Y481" i="178"/>
  <c r="AA481" i="178"/>
  <c r="AD481" i="178"/>
  <c r="AE481" i="178"/>
  <c r="AF481" i="178"/>
  <c r="AG481" i="178"/>
  <c r="AH481" i="178"/>
  <c r="AI481" i="178"/>
  <c r="AJ481" i="178"/>
  <c r="AK481" i="178"/>
  <c r="AL481" i="178"/>
  <c r="AM481" i="178"/>
  <c r="AN481" i="178"/>
  <c r="AO481" i="178"/>
  <c r="T657" i="178"/>
  <c r="U657" i="178" s="1"/>
  <c r="W657" i="178"/>
  <c r="X657" i="178"/>
  <c r="Y657" i="178"/>
  <c r="AA657" i="178"/>
  <c r="AD657" i="178"/>
  <c r="AE657" i="178"/>
  <c r="AF657" i="178"/>
  <c r="AG657" i="178"/>
  <c r="AH657" i="178"/>
  <c r="AI657" i="178"/>
  <c r="AJ657" i="178"/>
  <c r="AK657" i="178"/>
  <c r="AL657" i="178"/>
  <c r="AM657" i="178"/>
  <c r="AN657" i="178"/>
  <c r="AO657" i="178"/>
  <c r="T58" i="178"/>
  <c r="W58" i="178"/>
  <c r="X58" i="178"/>
  <c r="Y58" i="178"/>
  <c r="AA58" i="178"/>
  <c r="AD58" i="178"/>
  <c r="AE58" i="178"/>
  <c r="AF58" i="178"/>
  <c r="AG58" i="178"/>
  <c r="AH58" i="178"/>
  <c r="AI58" i="178"/>
  <c r="AJ58" i="178"/>
  <c r="AK58" i="178"/>
  <c r="AL58" i="178"/>
  <c r="AM58" i="178"/>
  <c r="AN58" i="178"/>
  <c r="AO58" i="178"/>
  <c r="T145" i="178"/>
  <c r="W145" i="178"/>
  <c r="X145" i="178"/>
  <c r="Y145" i="178"/>
  <c r="AA145" i="178"/>
  <c r="AD145" i="178"/>
  <c r="AE145" i="178"/>
  <c r="AF145" i="178"/>
  <c r="AG145" i="178"/>
  <c r="AH145" i="178"/>
  <c r="AI145" i="178"/>
  <c r="AJ145" i="178"/>
  <c r="AK145" i="178"/>
  <c r="AL145" i="178"/>
  <c r="AM145" i="178"/>
  <c r="AN145" i="178"/>
  <c r="AO145" i="178"/>
  <c r="T151" i="178"/>
  <c r="V151" i="178" s="1"/>
  <c r="W151" i="178"/>
  <c r="X151" i="178"/>
  <c r="Y151" i="178"/>
  <c r="AA151" i="178"/>
  <c r="AD151" i="178"/>
  <c r="AE151" i="178"/>
  <c r="AF151" i="178"/>
  <c r="AG151" i="178"/>
  <c r="AH151" i="178"/>
  <c r="AI151" i="178"/>
  <c r="AJ151" i="178"/>
  <c r="AK151" i="178"/>
  <c r="AL151" i="178"/>
  <c r="AM151" i="178"/>
  <c r="AN151" i="178"/>
  <c r="AO151" i="178"/>
  <c r="T248" i="178"/>
  <c r="U248" i="178" s="1"/>
  <c r="W248" i="178"/>
  <c r="X248" i="178"/>
  <c r="Y248" i="178"/>
  <c r="AA248" i="178"/>
  <c r="AD248" i="178"/>
  <c r="AE248" i="178"/>
  <c r="AF248" i="178"/>
  <c r="AG248" i="178"/>
  <c r="AH248" i="178"/>
  <c r="AI248" i="178"/>
  <c r="AJ248" i="178"/>
  <c r="AK248" i="178"/>
  <c r="AL248" i="178"/>
  <c r="AM248" i="178"/>
  <c r="AN248" i="178"/>
  <c r="AO248" i="178"/>
  <c r="T423" i="178"/>
  <c r="V423" i="178" s="1"/>
  <c r="W423" i="178"/>
  <c r="X423" i="178"/>
  <c r="Y423" i="178"/>
  <c r="AA423" i="178"/>
  <c r="AD423" i="178"/>
  <c r="AE423" i="178"/>
  <c r="AF423" i="178"/>
  <c r="AG423" i="178"/>
  <c r="AH423" i="178"/>
  <c r="AI423" i="178"/>
  <c r="AJ423" i="178"/>
  <c r="AK423" i="178"/>
  <c r="AL423" i="178"/>
  <c r="AM423" i="178"/>
  <c r="AN423" i="178"/>
  <c r="AO423" i="178"/>
  <c r="T973" i="178"/>
  <c r="U973" i="178" s="1"/>
  <c r="W973" i="178"/>
  <c r="X973" i="178"/>
  <c r="Y973" i="178"/>
  <c r="AA973" i="178"/>
  <c r="AD973" i="178"/>
  <c r="AE973" i="178"/>
  <c r="AF973" i="178"/>
  <c r="AG973" i="178"/>
  <c r="AH973" i="178"/>
  <c r="AI973" i="178"/>
  <c r="AJ973" i="178"/>
  <c r="AK973" i="178"/>
  <c r="AL973" i="178"/>
  <c r="AM973" i="178"/>
  <c r="AN973" i="178"/>
  <c r="AO973" i="178"/>
  <c r="T1024" i="178"/>
  <c r="W1024" i="178"/>
  <c r="X1024" i="178"/>
  <c r="Y1024" i="178"/>
  <c r="AA1024" i="178"/>
  <c r="AD1024" i="178"/>
  <c r="AE1024" i="178"/>
  <c r="AF1024" i="178"/>
  <c r="AG1024" i="178"/>
  <c r="AH1024" i="178"/>
  <c r="AI1024" i="178"/>
  <c r="AJ1024" i="178"/>
  <c r="AK1024" i="178"/>
  <c r="AL1024" i="178"/>
  <c r="AM1024" i="178"/>
  <c r="AN1024" i="178"/>
  <c r="AO1024" i="178"/>
  <c r="T1164" i="178"/>
  <c r="U1164" i="178" s="1"/>
  <c r="W1164" i="178"/>
  <c r="X1164" i="178"/>
  <c r="Y1164" i="178"/>
  <c r="AA1164" i="178"/>
  <c r="AD1164" i="178"/>
  <c r="AE1164" i="178"/>
  <c r="AF1164" i="178"/>
  <c r="AG1164" i="178"/>
  <c r="AH1164" i="178"/>
  <c r="AI1164" i="178"/>
  <c r="AJ1164" i="178"/>
  <c r="AK1164" i="178"/>
  <c r="AL1164" i="178"/>
  <c r="AM1164" i="178"/>
  <c r="AN1164" i="178"/>
  <c r="AO1164" i="178"/>
  <c r="T1181" i="178"/>
  <c r="V1181" i="178" s="1"/>
  <c r="W1181" i="178"/>
  <c r="X1181" i="178"/>
  <c r="Y1181" i="178"/>
  <c r="AA1181" i="178"/>
  <c r="AD1181" i="178"/>
  <c r="AE1181" i="178"/>
  <c r="AF1181" i="178"/>
  <c r="AG1181" i="178"/>
  <c r="AH1181" i="178"/>
  <c r="AI1181" i="178"/>
  <c r="AJ1181" i="178"/>
  <c r="AK1181" i="178"/>
  <c r="AL1181" i="178"/>
  <c r="AM1181" i="178"/>
  <c r="AN1181" i="178"/>
  <c r="AO1181" i="178"/>
  <c r="T12" i="178"/>
  <c r="U12" i="178" s="1"/>
  <c r="W12" i="178"/>
  <c r="X12" i="178"/>
  <c r="Y12" i="178"/>
  <c r="AA12" i="178"/>
  <c r="AD12" i="178"/>
  <c r="AE12" i="178"/>
  <c r="AF12" i="178"/>
  <c r="AG12" i="178"/>
  <c r="AH12" i="178"/>
  <c r="AI12" i="178"/>
  <c r="AJ12" i="178"/>
  <c r="AK12" i="178"/>
  <c r="AL12" i="178"/>
  <c r="AM12" i="178"/>
  <c r="AN12" i="178"/>
  <c r="AO12" i="178"/>
  <c r="T72" i="178"/>
  <c r="V72" i="178" s="1"/>
  <c r="W72" i="178"/>
  <c r="X72" i="178"/>
  <c r="Y72" i="178"/>
  <c r="AA72" i="178"/>
  <c r="AD72" i="178"/>
  <c r="AE72" i="178"/>
  <c r="AF72" i="178"/>
  <c r="AG72" i="178"/>
  <c r="AH72" i="178"/>
  <c r="AI72" i="178"/>
  <c r="AJ72" i="178"/>
  <c r="AK72" i="178"/>
  <c r="AL72" i="178"/>
  <c r="AM72" i="178"/>
  <c r="AN72" i="178"/>
  <c r="AO72" i="178"/>
  <c r="T77" i="178"/>
  <c r="U77" i="178" s="1"/>
  <c r="W77" i="178"/>
  <c r="X77" i="178"/>
  <c r="Y77" i="178"/>
  <c r="AA77" i="178"/>
  <c r="AD77" i="178"/>
  <c r="AE77" i="178"/>
  <c r="AF77" i="178"/>
  <c r="AG77" i="178"/>
  <c r="AH77" i="178"/>
  <c r="AI77" i="178"/>
  <c r="AJ77" i="178"/>
  <c r="AK77" i="178"/>
  <c r="AL77" i="178"/>
  <c r="AM77" i="178"/>
  <c r="AN77" i="178"/>
  <c r="AO77" i="178"/>
  <c r="T119" i="178"/>
  <c r="V119" i="178" s="1"/>
  <c r="W119" i="178"/>
  <c r="X119" i="178"/>
  <c r="Y119" i="178"/>
  <c r="AA119" i="178"/>
  <c r="AD119" i="178"/>
  <c r="AE119" i="178"/>
  <c r="AF119" i="178"/>
  <c r="AG119" i="178"/>
  <c r="AH119" i="178"/>
  <c r="AI119" i="178"/>
  <c r="AJ119" i="178"/>
  <c r="AK119" i="178"/>
  <c r="AL119" i="178"/>
  <c r="AM119" i="178"/>
  <c r="AN119" i="178"/>
  <c r="AO119" i="178"/>
  <c r="T146" i="178"/>
  <c r="U146" i="178" s="1"/>
  <c r="W146" i="178"/>
  <c r="X146" i="178"/>
  <c r="Y146" i="178"/>
  <c r="AA146" i="178"/>
  <c r="AD146" i="178"/>
  <c r="AE146" i="178"/>
  <c r="AF146" i="178"/>
  <c r="AG146" i="178"/>
  <c r="AH146" i="178"/>
  <c r="AI146" i="178"/>
  <c r="AJ146" i="178"/>
  <c r="AK146" i="178"/>
  <c r="AL146" i="178"/>
  <c r="AM146" i="178"/>
  <c r="AN146" i="178"/>
  <c r="AO146" i="178"/>
  <c r="T152" i="178"/>
  <c r="V152" i="178" s="1"/>
  <c r="W152" i="178"/>
  <c r="X152" i="178"/>
  <c r="Y152" i="178"/>
  <c r="AA152" i="178"/>
  <c r="AD152" i="178"/>
  <c r="AE152" i="178"/>
  <c r="AF152" i="178"/>
  <c r="AG152" i="178"/>
  <c r="AH152" i="178"/>
  <c r="AI152" i="178"/>
  <c r="AJ152" i="178"/>
  <c r="AK152" i="178"/>
  <c r="AL152" i="178"/>
  <c r="AM152" i="178"/>
  <c r="AN152" i="178"/>
  <c r="AO152" i="178"/>
  <c r="Q1065" i="178"/>
  <c r="Q185" i="178"/>
  <c r="S185" i="178" s="1"/>
  <c r="Q186" i="178"/>
  <c r="Q190" i="178"/>
  <c r="Q191" i="178"/>
  <c r="Q205" i="178"/>
  <c r="Q741" i="178"/>
  <c r="Q770" i="178"/>
  <c r="Q828" i="178"/>
  <c r="S828" i="178" s="1"/>
  <c r="Q1272" i="178"/>
  <c r="Q35" i="178"/>
  <c r="Q44" i="178"/>
  <c r="Q67" i="178"/>
  <c r="Q226" i="178"/>
  <c r="Q233" i="178"/>
  <c r="Q282" i="178"/>
  <c r="Q422" i="178"/>
  <c r="Q656" i="178"/>
  <c r="Q56" i="178"/>
  <c r="Q57" i="178"/>
  <c r="Q432" i="178"/>
  <c r="Q481" i="178"/>
  <c r="Q657" i="178"/>
  <c r="Q58" i="178"/>
  <c r="Q145" i="178"/>
  <c r="Q151" i="178"/>
  <c r="S151" i="178" s="1"/>
  <c r="Q248" i="178"/>
  <c r="Q423" i="178"/>
  <c r="Q973" i="178"/>
  <c r="Q1024" i="178"/>
  <c r="Q1164" i="178"/>
  <c r="Q1181" i="178"/>
  <c r="Q12" i="178"/>
  <c r="Q72" i="178"/>
  <c r="S72" i="178" s="1"/>
  <c r="Q77" i="178"/>
  <c r="S77" i="178" s="1"/>
  <c r="Q119" i="178"/>
  <c r="S119" i="178" s="1"/>
  <c r="Q146" i="178"/>
  <c r="Q152" i="178"/>
  <c r="Q202" i="178"/>
  <c r="Q225" i="178"/>
  <c r="Q227" i="178"/>
  <c r="Q228" i="178"/>
  <c r="Q257" i="178"/>
  <c r="Q260" i="178"/>
  <c r="Q263" i="178"/>
  <c r="Q289" i="178"/>
  <c r="Q308" i="178"/>
  <c r="Q424" i="178"/>
  <c r="Q425" i="178"/>
  <c r="Q433" i="178"/>
  <c r="Q473" i="178"/>
  <c r="Q482" i="178"/>
  <c r="Q530" i="178"/>
  <c r="Q575" i="178"/>
  <c r="Q658" i="178"/>
  <c r="Q667" i="178"/>
  <c r="Q742" i="178"/>
  <c r="Q743" i="178"/>
  <c r="Q771" i="178"/>
  <c r="Q772" i="178"/>
  <c r="Q829" i="178"/>
  <c r="Q972" i="178"/>
  <c r="Q974" i="178"/>
  <c r="Q1008" i="178"/>
  <c r="Q1009" i="178"/>
  <c r="Q1010" i="178"/>
  <c r="Q1015" i="178"/>
  <c r="Q1016" i="178"/>
  <c r="Q1017" i="178"/>
  <c r="Q1025" i="178"/>
  <c r="Q1026" i="178"/>
  <c r="Q1057" i="178"/>
  <c r="Q1058" i="178"/>
  <c r="Q1059" i="178"/>
  <c r="Q1182" i="178"/>
  <c r="Q13" i="178"/>
  <c r="Q14" i="178"/>
  <c r="Q15" i="178"/>
  <c r="Q49" i="178"/>
  <c r="Q54" i="178"/>
  <c r="Q55" i="178"/>
  <c r="Q59" i="178"/>
  <c r="Q73" i="178"/>
  <c r="Q75" i="178"/>
  <c r="Q78" i="178"/>
  <c r="Q80" i="178"/>
  <c r="Q81" i="178"/>
  <c r="Q82" i="178"/>
  <c r="Q120" i="178"/>
  <c r="Q121" i="178"/>
  <c r="Q122" i="178"/>
  <c r="Q123" i="178"/>
  <c r="Q124" i="178"/>
  <c r="Q125" i="178"/>
  <c r="Q126" i="178"/>
  <c r="Q130" i="178"/>
  <c r="Q187" i="178"/>
  <c r="Q188" i="178"/>
  <c r="Q192" i="178"/>
  <c r="Q193" i="178"/>
  <c r="Q203" i="178"/>
  <c r="Q229" i="178"/>
  <c r="Q241" i="178"/>
  <c r="Q242" i="178"/>
  <c r="Q249" i="178"/>
  <c r="Q250" i="178"/>
  <c r="Q255" i="178"/>
  <c r="Q256" i="178"/>
  <c r="Q264" i="178"/>
  <c r="Q265" i="178"/>
  <c r="Q309" i="178"/>
  <c r="Q310" i="178"/>
  <c r="Q330" i="178"/>
  <c r="Q331" i="178"/>
  <c r="Q333" i="178"/>
  <c r="Q334" i="178"/>
  <c r="Q426" i="178"/>
  <c r="Q434" i="178"/>
  <c r="Q461" i="178"/>
  <c r="Q469" i="178"/>
  <c r="Q474" i="178"/>
  <c r="Q483" i="178"/>
  <c r="Q503" i="178"/>
  <c r="Q508" i="178"/>
  <c r="Q531" i="178"/>
  <c r="Q535" i="178"/>
  <c r="Q576" i="178"/>
  <c r="Q659" i="178"/>
  <c r="Q744" i="178"/>
  <c r="Q745" i="178"/>
  <c r="Q746" i="178"/>
  <c r="Q747" i="178"/>
  <c r="Q773" i="178"/>
  <c r="Q774" i="178"/>
  <c r="Q775" i="178"/>
  <c r="Q776" i="178"/>
  <c r="Q830" i="178"/>
  <c r="Q831" i="178"/>
  <c r="Q832" i="178"/>
  <c r="Q833" i="178"/>
  <c r="Q948" i="178"/>
  <c r="Q950" i="178"/>
  <c r="Q967" i="178"/>
  <c r="Q968" i="178"/>
  <c r="Q975" i="178"/>
  <c r="Q977" i="178"/>
  <c r="Q978" i="178"/>
  <c r="Q979" i="178"/>
  <c r="Q980" i="178"/>
  <c r="Q1018" i="178"/>
  <c r="Q1019" i="178"/>
  <c r="Q1041" i="178"/>
  <c r="Q1042" i="178"/>
  <c r="Q1043" i="178"/>
  <c r="Q1044" i="178"/>
  <c r="Q1154" i="178"/>
  <c r="Q1155" i="178"/>
  <c r="Q1156" i="178"/>
  <c r="Q1157" i="178"/>
  <c r="Q1183" i="178"/>
  <c r="Q1184" i="178"/>
  <c r="Q1185" i="178"/>
  <c r="B1065" i="178"/>
  <c r="B185" i="178"/>
  <c r="B186" i="178"/>
  <c r="B190" i="178"/>
  <c r="B191" i="178"/>
  <c r="B205" i="178"/>
  <c r="B741" i="178"/>
  <c r="B770" i="178"/>
  <c r="B828" i="178"/>
  <c r="B1272" i="178"/>
  <c r="B35" i="178"/>
  <c r="B44" i="178"/>
  <c r="B67" i="178"/>
  <c r="B226" i="178"/>
  <c r="B233" i="178"/>
  <c r="B282" i="178"/>
  <c r="B422" i="178"/>
  <c r="B656" i="178"/>
  <c r="B56" i="178"/>
  <c r="B57" i="178"/>
  <c r="B432" i="178"/>
  <c r="B481" i="178"/>
  <c r="B657" i="178"/>
  <c r="B58" i="178"/>
  <c r="B145" i="178"/>
  <c r="B151" i="178"/>
  <c r="B248" i="178"/>
  <c r="B423" i="178"/>
  <c r="B973" i="178"/>
  <c r="B1024" i="178"/>
  <c r="B1164" i="178"/>
  <c r="B1181" i="178"/>
  <c r="B12" i="178"/>
  <c r="B72" i="178"/>
  <c r="B77" i="178"/>
  <c r="B119" i="178"/>
  <c r="B146" i="178"/>
  <c r="B152" i="178"/>
  <c r="AT248" i="178" l="1"/>
  <c r="BE1230" i="178"/>
  <c r="AZ1229" i="178"/>
  <c r="AB1235" i="178"/>
  <c r="BD1231" i="178"/>
  <c r="BM1232" i="178"/>
  <c r="BF67" i="178"/>
  <c r="BD57" i="178"/>
  <c r="AZ282" i="178"/>
  <c r="BD973" i="178"/>
  <c r="BF58" i="178"/>
  <c r="V432" i="178"/>
  <c r="V1198" i="178"/>
  <c r="BM432" i="178"/>
  <c r="AB1205" i="178"/>
  <c r="BM44" i="178"/>
  <c r="V1204" i="178"/>
  <c r="AR233" i="178"/>
  <c r="S1232" i="178"/>
  <c r="AW1232" i="178" s="1"/>
  <c r="AB1232" i="178"/>
  <c r="BM1024" i="178"/>
  <c r="U1253" i="178"/>
  <c r="U1237" i="178"/>
  <c r="V1230" i="178"/>
  <c r="V57" i="178"/>
  <c r="U1200" i="178"/>
  <c r="V191" i="178"/>
  <c r="U1249" i="178"/>
  <c r="BJ1231" i="178"/>
  <c r="U1225" i="178"/>
  <c r="BF1164" i="178"/>
  <c r="BJ1252" i="178"/>
  <c r="BB1252" i="178"/>
  <c r="AT1252" i="178"/>
  <c r="BM1239" i="178"/>
  <c r="AB1239" i="178"/>
  <c r="BK1227" i="178"/>
  <c r="BF1203" i="178"/>
  <c r="AX1203" i="178"/>
  <c r="AB1203" i="178"/>
  <c r="BJ1250" i="178"/>
  <c r="BM1226" i="178"/>
  <c r="AB1226" i="178"/>
  <c r="BM152" i="178"/>
  <c r="BA72" i="178"/>
  <c r="AS151" i="178"/>
  <c r="U1234" i="178"/>
  <c r="V1238" i="178"/>
  <c r="U1205" i="178"/>
  <c r="V1231" i="178"/>
  <c r="V1224" i="178"/>
  <c r="AB1253" i="178"/>
  <c r="AY1239" i="178"/>
  <c r="BJ1200" i="178"/>
  <c r="BC1250" i="178"/>
  <c r="BD1249" i="178"/>
  <c r="S1231" i="178"/>
  <c r="BL1231" i="178" s="1"/>
  <c r="BK1253" i="178"/>
  <c r="BD1239" i="178"/>
  <c r="AV1239" i="178"/>
  <c r="AB1234" i="178"/>
  <c r="BM1202" i="178"/>
  <c r="AB1202" i="178"/>
  <c r="BH1200" i="178"/>
  <c r="AZ1200" i="178"/>
  <c r="AR1200" i="178"/>
  <c r="BJ1249" i="178"/>
  <c r="AB1201" i="178"/>
  <c r="BJ1198" i="178"/>
  <c r="AU1250" i="178"/>
  <c r="S1235" i="178"/>
  <c r="BN1235" i="178" s="1"/>
  <c r="AB1230" i="178"/>
  <c r="BJ1229" i="178"/>
  <c r="AV1231" i="178"/>
  <c r="BG1239" i="178"/>
  <c r="Z1250" i="178"/>
  <c r="AV1249" i="178"/>
  <c r="AB1225" i="178"/>
  <c r="S1198" i="178"/>
  <c r="BA1198" i="178" s="1"/>
  <c r="BF1233" i="178"/>
  <c r="AX1233" i="178"/>
  <c r="AB1233" i="178"/>
  <c r="BJ1205" i="178"/>
  <c r="BB1205" i="178"/>
  <c r="AT1205" i="178"/>
  <c r="BJ1235" i="178"/>
  <c r="AX1235" i="178"/>
  <c r="BA1234" i="178"/>
  <c r="S1224" i="178"/>
  <c r="BG1224" i="178" s="1"/>
  <c r="BN1253" i="178"/>
  <c r="BI1234" i="178"/>
  <c r="AS1234" i="178"/>
  <c r="S1238" i="178"/>
  <c r="BA1238" i="178" s="1"/>
  <c r="S1204" i="178"/>
  <c r="BN1204" i="178" s="1"/>
  <c r="S1236" i="178"/>
  <c r="BN1236" i="178" s="1"/>
  <c r="AX1236" i="178"/>
  <c r="BF1236" i="178"/>
  <c r="AW1227" i="178"/>
  <c r="AS1237" i="178"/>
  <c r="BL1223" i="178"/>
  <c r="S432" i="178"/>
  <c r="Z432" i="178" s="1"/>
  <c r="BE1253" i="178"/>
  <c r="AW1253" i="178"/>
  <c r="BI1252" i="178"/>
  <c r="BA1252" i="178"/>
  <c r="AS1252" i="178"/>
  <c r="BN1234" i="178"/>
  <c r="BJ1227" i="178"/>
  <c r="BL1203" i="178"/>
  <c r="BG1202" i="178"/>
  <c r="AY1202" i="178"/>
  <c r="BK1199" i="178"/>
  <c r="BE1199" i="178"/>
  <c r="AW1199" i="178"/>
  <c r="Z1199" i="178"/>
  <c r="BF1251" i="178"/>
  <c r="AX1251" i="178"/>
  <c r="AB1251" i="178"/>
  <c r="Z1249" i="178"/>
  <c r="AB1238" i="178"/>
  <c r="BL1233" i="178"/>
  <c r="AX1204" i="178"/>
  <c r="AB1204" i="178"/>
  <c r="BD1201" i="178"/>
  <c r="AV1201" i="178"/>
  <c r="BF1237" i="178"/>
  <c r="AX1237" i="178"/>
  <c r="AB1237" i="178"/>
  <c r="BJ1236" i="178"/>
  <c r="BD1232" i="178"/>
  <c r="AV1232" i="178"/>
  <c r="BE1225" i="178"/>
  <c r="BJ1224" i="178"/>
  <c r="AT1224" i="178"/>
  <c r="BD1230" i="178"/>
  <c r="AV1230" i="178"/>
  <c r="BJ1223" i="178"/>
  <c r="Z1223" i="178"/>
  <c r="AZ1225" i="178"/>
  <c r="BE1227" i="178"/>
  <c r="Z1200" i="178"/>
  <c r="BI1237" i="178"/>
  <c r="AB481" i="178"/>
  <c r="S1205" i="178"/>
  <c r="BI1205" i="178" s="1"/>
  <c r="S1229" i="178"/>
  <c r="BI1229" i="178" s="1"/>
  <c r="BJ1253" i="178"/>
  <c r="Z1253" i="178"/>
  <c r="BF1252" i="178"/>
  <c r="AX1252" i="178"/>
  <c r="AB1252" i="178"/>
  <c r="BJ1239" i="178"/>
  <c r="BC1239" i="178"/>
  <c r="AU1239" i="178"/>
  <c r="Z1239" i="178"/>
  <c r="BK1234" i="178"/>
  <c r="BD1234" i="178"/>
  <c r="AV1234" i="178"/>
  <c r="BI1227" i="178"/>
  <c r="BA1227" i="178"/>
  <c r="AS1227" i="178"/>
  <c r="BJ1203" i="178"/>
  <c r="BB1203" i="178"/>
  <c r="AT1203" i="178"/>
  <c r="Z1203" i="178"/>
  <c r="BN1200" i="178"/>
  <c r="AB1200" i="178"/>
  <c r="BJ1199" i="178"/>
  <c r="BL1251" i="178"/>
  <c r="BM1250" i="178"/>
  <c r="BG1250" i="178"/>
  <c r="AY1250" i="178"/>
  <c r="AB1250" i="178"/>
  <c r="BH1249" i="178"/>
  <c r="AZ1249" i="178"/>
  <c r="AR1249" i="178"/>
  <c r="BK1238" i="178"/>
  <c r="BJ1233" i="178"/>
  <c r="BB1233" i="178"/>
  <c r="AT1233" i="178"/>
  <c r="BE1226" i="178"/>
  <c r="AW1226" i="178"/>
  <c r="BJ1201" i="178"/>
  <c r="AB1198" i="178"/>
  <c r="BJ1232" i="178"/>
  <c r="AB1231" i="178"/>
  <c r="BJ1225" i="178"/>
  <c r="BM1235" i="178"/>
  <c r="BJ1230" i="178"/>
  <c r="AB1229" i="178"/>
  <c r="Z1227" i="178"/>
  <c r="AB1199" i="178"/>
  <c r="BA1237" i="178"/>
  <c r="AB145" i="178"/>
  <c r="BH1253" i="178"/>
  <c r="AZ1253" i="178"/>
  <c r="AR1253" i="178"/>
  <c r="BL1252" i="178"/>
  <c r="BE1252" i="178"/>
  <c r="AW1252" i="178"/>
  <c r="Z1252" i="178"/>
  <c r="BH1239" i="178"/>
  <c r="AZ1239" i="178"/>
  <c r="AR1239" i="178"/>
  <c r="BJ1234" i="178"/>
  <c r="Z1234" i="178"/>
  <c r="BF1227" i="178"/>
  <c r="AB1227" i="178"/>
  <c r="BJ1202" i="178"/>
  <c r="BC1202" i="178"/>
  <c r="AU1202" i="178"/>
  <c r="Z1202" i="178"/>
  <c r="BD1200" i="178"/>
  <c r="AV1200" i="178"/>
  <c r="BI1199" i="178"/>
  <c r="BA1199" i="178"/>
  <c r="AS1199" i="178"/>
  <c r="BJ1251" i="178"/>
  <c r="BB1251" i="178"/>
  <c r="AT1251" i="178"/>
  <c r="Z1251" i="178"/>
  <c r="BN1249" i="178"/>
  <c r="AB1249" i="178"/>
  <c r="BJ1238" i="178"/>
  <c r="BJ1226" i="178"/>
  <c r="Z1226" i="178"/>
  <c r="BJ1204" i="178"/>
  <c r="BH1201" i="178"/>
  <c r="AZ1201" i="178"/>
  <c r="AR1201" i="178"/>
  <c r="BJ1237" i="178"/>
  <c r="BB1237" i="178"/>
  <c r="AT1237" i="178"/>
  <c r="BM1236" i="178"/>
  <c r="AB1236" i="178"/>
  <c r="BK1231" i="178"/>
  <c r="BI1225" i="178"/>
  <c r="BA1225" i="178"/>
  <c r="AS1225" i="178"/>
  <c r="BF1224" i="178"/>
  <c r="AX1224" i="178"/>
  <c r="AB1224" i="178"/>
  <c r="BH1230" i="178"/>
  <c r="AR1230" i="178"/>
  <c r="BF1223" i="178"/>
  <c r="AX1223" i="178"/>
  <c r="AB1223" i="178"/>
  <c r="U1181" i="178"/>
  <c r="V973" i="178"/>
  <c r="U481" i="178"/>
  <c r="U190" i="178"/>
  <c r="V1065" i="178"/>
  <c r="BM1252" i="178"/>
  <c r="BN1252" i="178"/>
  <c r="BM1227" i="178"/>
  <c r="BN1227" i="178"/>
  <c r="AX1227" i="178"/>
  <c r="AY1227" i="178"/>
  <c r="BD1203" i="178"/>
  <c r="BE1203" i="178"/>
  <c r="AV1203" i="178"/>
  <c r="AW1203" i="178"/>
  <c r="U1203" i="178"/>
  <c r="BM1199" i="178"/>
  <c r="BN1199" i="178"/>
  <c r="BF1199" i="178"/>
  <c r="BG1199" i="178"/>
  <c r="AX1199" i="178"/>
  <c r="AY1199" i="178"/>
  <c r="BD1251" i="178"/>
  <c r="BE1251" i="178"/>
  <c r="AV1251" i="178"/>
  <c r="AW1251" i="178"/>
  <c r="U1251" i="178"/>
  <c r="BM1238" i="178"/>
  <c r="BF1238" i="178"/>
  <c r="AX1238" i="178"/>
  <c r="BD1233" i="178"/>
  <c r="BE1233" i="178"/>
  <c r="AV1233" i="178"/>
  <c r="AW1233" i="178"/>
  <c r="U1233" i="178"/>
  <c r="BB1226" i="178"/>
  <c r="BC1226" i="178"/>
  <c r="AT1226" i="178"/>
  <c r="AU1226" i="178"/>
  <c r="BH1205" i="178"/>
  <c r="AZ1205" i="178"/>
  <c r="AR1205" i="178"/>
  <c r="BM1204" i="178"/>
  <c r="BF1204" i="178"/>
  <c r="V1201" i="178"/>
  <c r="U1201" i="178"/>
  <c r="BM1237" i="178"/>
  <c r="BN1237" i="178"/>
  <c r="BK1236" i="178"/>
  <c r="BD1236" i="178"/>
  <c r="AV1236" i="178"/>
  <c r="V1236" i="178"/>
  <c r="BB1232" i="178"/>
  <c r="AT1232" i="178"/>
  <c r="BM1231" i="178"/>
  <c r="BF1231" i="178"/>
  <c r="AX1231" i="178"/>
  <c r="U1229" i="178"/>
  <c r="BB1223" i="178"/>
  <c r="BC1223" i="178"/>
  <c r="AT1223" i="178"/>
  <c r="AU1223" i="178"/>
  <c r="BL1253" i="178"/>
  <c r="BD1253" i="178"/>
  <c r="AV1253" i="178"/>
  <c r="BK1252" i="178"/>
  <c r="BC1252" i="178"/>
  <c r="AU1252" i="178"/>
  <c r="BI1239" i="178"/>
  <c r="BA1239" i="178"/>
  <c r="AS1239" i="178"/>
  <c r="BH1234" i="178"/>
  <c r="AZ1234" i="178"/>
  <c r="AR1234" i="178"/>
  <c r="BG1227" i="178"/>
  <c r="AR1227" i="178"/>
  <c r="AY1203" i="178"/>
  <c r="BF1202" i="178"/>
  <c r="BM1200" i="178"/>
  <c r="AW1200" i="178"/>
  <c r="BD1199" i="178"/>
  <c r="BK1251" i="178"/>
  <c r="AU1251" i="178"/>
  <c r="BB1250" i="178"/>
  <c r="BI1249" i="178"/>
  <c r="AS1249" i="178"/>
  <c r="AZ1238" i="178"/>
  <c r="BG1233" i="178"/>
  <c r="BN1226" i="178"/>
  <c r="BK1205" i="178"/>
  <c r="BB1204" i="178"/>
  <c r="AS1201" i="178"/>
  <c r="BG1237" i="178"/>
  <c r="V146" i="178"/>
  <c r="U656" i="178"/>
  <c r="V741" i="178"/>
  <c r="BF1253" i="178"/>
  <c r="BG1253" i="178"/>
  <c r="AX1253" i="178"/>
  <c r="AY1253" i="178"/>
  <c r="V1252" i="178"/>
  <c r="BF1234" i="178"/>
  <c r="BG1234" i="178"/>
  <c r="AX1234" i="178"/>
  <c r="AY1234" i="178"/>
  <c r="V1227" i="178"/>
  <c r="BH1202" i="178"/>
  <c r="BI1202" i="178"/>
  <c r="AZ1202" i="178"/>
  <c r="BA1202" i="178"/>
  <c r="AR1202" i="178"/>
  <c r="AS1202" i="178"/>
  <c r="BF1200" i="178"/>
  <c r="BG1200" i="178"/>
  <c r="AX1200" i="178"/>
  <c r="AY1200" i="178"/>
  <c r="V1199" i="178"/>
  <c r="BH1250" i="178"/>
  <c r="BI1250" i="178"/>
  <c r="AZ1250" i="178"/>
  <c r="BA1250" i="178"/>
  <c r="AR1250" i="178"/>
  <c r="AS1250" i="178"/>
  <c r="BF1249" i="178"/>
  <c r="BG1249" i="178"/>
  <c r="AX1249" i="178"/>
  <c r="AY1249" i="178"/>
  <c r="BH1226" i="178"/>
  <c r="BI1226" i="178"/>
  <c r="AZ1226" i="178"/>
  <c r="BA1226" i="178"/>
  <c r="AR1226" i="178"/>
  <c r="AS1226" i="178"/>
  <c r="BM1205" i="178"/>
  <c r="BF1205" i="178"/>
  <c r="AX1205" i="178"/>
  <c r="BK1204" i="178"/>
  <c r="BD1204" i="178"/>
  <c r="AV1204" i="178"/>
  <c r="BC1201" i="178"/>
  <c r="BB1201" i="178"/>
  <c r="AU1201" i="178"/>
  <c r="AT1201" i="178"/>
  <c r="BM1198" i="178"/>
  <c r="BF1198" i="178"/>
  <c r="AX1198" i="178"/>
  <c r="BK1237" i="178"/>
  <c r="BL1237" i="178"/>
  <c r="BE1237" i="178"/>
  <c r="BD1237" i="178"/>
  <c r="AW1237" i="178"/>
  <c r="AV1237" i="178"/>
  <c r="BB1236" i="178"/>
  <c r="AT1236" i="178"/>
  <c r="BH1232" i="178"/>
  <c r="AZ1232" i="178"/>
  <c r="AR1232" i="178"/>
  <c r="V1235" i="178"/>
  <c r="U1235" i="178"/>
  <c r="AZ1230" i="178"/>
  <c r="BA1230" i="178"/>
  <c r="BK1229" i="178"/>
  <c r="BD1229" i="178"/>
  <c r="AV1229" i="178"/>
  <c r="BH1223" i="178"/>
  <c r="BI1223" i="178"/>
  <c r="AZ1223" i="178"/>
  <c r="BA1223" i="178"/>
  <c r="AR1223" i="178"/>
  <c r="AS1223" i="178"/>
  <c r="BI1253" i="178"/>
  <c r="BA1253" i="178"/>
  <c r="AS1253" i="178"/>
  <c r="BH1252" i="178"/>
  <c r="AZ1252" i="178"/>
  <c r="AR1252" i="178"/>
  <c r="BN1239" i="178"/>
  <c r="BF1239" i="178"/>
  <c r="AX1239" i="178"/>
  <c r="BM1234" i="178"/>
  <c r="BE1234" i="178"/>
  <c r="AW1234" i="178"/>
  <c r="BL1227" i="178"/>
  <c r="BD1227" i="178"/>
  <c r="BK1203" i="178"/>
  <c r="AU1203" i="178"/>
  <c r="BB1202" i="178"/>
  <c r="BI1200" i="178"/>
  <c r="AS1200" i="178"/>
  <c r="AZ1199" i="178"/>
  <c r="BG1251" i="178"/>
  <c r="BN1250" i="178"/>
  <c r="AX1250" i="178"/>
  <c r="BE1249" i="178"/>
  <c r="AV1238" i="178"/>
  <c r="BC1233" i="178"/>
  <c r="AT1204" i="178"/>
  <c r="BH1198" i="178"/>
  <c r="AY1237" i="178"/>
  <c r="BK1224" i="178"/>
  <c r="BB1235" i="178"/>
  <c r="AS1230" i="178"/>
  <c r="BB1227" i="178"/>
  <c r="BC1227" i="178"/>
  <c r="AT1227" i="178"/>
  <c r="AU1227" i="178"/>
  <c r="BH1203" i="178"/>
  <c r="BI1203" i="178"/>
  <c r="AZ1203" i="178"/>
  <c r="BA1203" i="178"/>
  <c r="AR1203" i="178"/>
  <c r="AS1203" i="178"/>
  <c r="BK1200" i="178"/>
  <c r="BL1200" i="178"/>
  <c r="BB1199" i="178"/>
  <c r="BC1199" i="178"/>
  <c r="AT1199" i="178"/>
  <c r="AU1199" i="178"/>
  <c r="BH1251" i="178"/>
  <c r="BI1251" i="178"/>
  <c r="AZ1251" i="178"/>
  <c r="BA1251" i="178"/>
  <c r="AR1251" i="178"/>
  <c r="AS1251" i="178"/>
  <c r="BK1249" i="178"/>
  <c r="BL1249" i="178"/>
  <c r="BB1238" i="178"/>
  <c r="AT1238" i="178"/>
  <c r="BH1233" i="178"/>
  <c r="BI1233" i="178"/>
  <c r="AZ1233" i="178"/>
  <c r="BA1233" i="178"/>
  <c r="AR1233" i="178"/>
  <c r="AS1233" i="178"/>
  <c r="Z1233" i="178"/>
  <c r="BF1226" i="178"/>
  <c r="BG1226" i="178"/>
  <c r="AX1226" i="178"/>
  <c r="AY1226" i="178"/>
  <c r="BD1205" i="178"/>
  <c r="AV1205" i="178"/>
  <c r="Z1201" i="178"/>
  <c r="BK1198" i="178"/>
  <c r="BD1198" i="178"/>
  <c r="AV1198" i="178"/>
  <c r="BM1225" i="178"/>
  <c r="BN1225" i="178"/>
  <c r="BF1225" i="178"/>
  <c r="BG1225" i="178"/>
  <c r="AX1225" i="178"/>
  <c r="AY1225" i="178"/>
  <c r="BD1224" i="178"/>
  <c r="AV1224" i="178"/>
  <c r="AT1235" i="178"/>
  <c r="BN1230" i="178"/>
  <c r="BM1230" i="178"/>
  <c r="BF1230" i="178"/>
  <c r="BG1230" i="178"/>
  <c r="AX1230" i="178"/>
  <c r="AY1230" i="178"/>
  <c r="BB1229" i="178"/>
  <c r="AT1229" i="178"/>
  <c r="BG1252" i="178"/>
  <c r="AY1252" i="178"/>
  <c r="BE1239" i="178"/>
  <c r="AW1239" i="178"/>
  <c r="BL1234" i="178"/>
  <c r="AZ1227" i="178"/>
  <c r="BG1203" i="178"/>
  <c r="BN1202" i="178"/>
  <c r="AX1202" i="178"/>
  <c r="BE1200" i="178"/>
  <c r="BL1199" i="178"/>
  <c r="AV1199" i="178"/>
  <c r="BC1251" i="178"/>
  <c r="AT1250" i="178"/>
  <c r="BA1249" i="178"/>
  <c r="BH1238" i="178"/>
  <c r="AR1238" i="178"/>
  <c r="AY1233" i="178"/>
  <c r="BD1226" i="178"/>
  <c r="BI1201" i="178"/>
  <c r="AZ1198" i="178"/>
  <c r="AV146" i="178"/>
  <c r="AB12" i="178"/>
  <c r="V422" i="178"/>
  <c r="BB1253" i="178"/>
  <c r="BC1253" i="178"/>
  <c r="AT1253" i="178"/>
  <c r="AU1253" i="178"/>
  <c r="BK1239" i="178"/>
  <c r="BL1239" i="178"/>
  <c r="V1239" i="178"/>
  <c r="BB1234" i="178"/>
  <c r="BC1234" i="178"/>
  <c r="AT1234" i="178"/>
  <c r="AU1234" i="178"/>
  <c r="BM1203" i="178"/>
  <c r="BN1203" i="178"/>
  <c r="BK1202" i="178"/>
  <c r="BL1202" i="178"/>
  <c r="BD1202" i="178"/>
  <c r="BE1202" i="178"/>
  <c r="AV1202" i="178"/>
  <c r="AW1202" i="178"/>
  <c r="V1202" i="178"/>
  <c r="BB1200" i="178"/>
  <c r="BC1200" i="178"/>
  <c r="AT1200" i="178"/>
  <c r="AU1200" i="178"/>
  <c r="BM1251" i="178"/>
  <c r="BN1251" i="178"/>
  <c r="BK1250" i="178"/>
  <c r="BL1250" i="178"/>
  <c r="BD1250" i="178"/>
  <c r="BE1250" i="178"/>
  <c r="AV1250" i="178"/>
  <c r="AW1250" i="178"/>
  <c r="V1250" i="178"/>
  <c r="BB1249" i="178"/>
  <c r="BC1249" i="178"/>
  <c r="AT1249" i="178"/>
  <c r="AU1249" i="178"/>
  <c r="BM1233" i="178"/>
  <c r="BN1233" i="178"/>
  <c r="BK1226" i="178"/>
  <c r="BL1226" i="178"/>
  <c r="V1226" i="178"/>
  <c r="BH1204" i="178"/>
  <c r="AZ1204" i="178"/>
  <c r="AR1204" i="178"/>
  <c r="BM1201" i="178"/>
  <c r="BN1201" i="178"/>
  <c r="BG1201" i="178"/>
  <c r="BF1201" i="178"/>
  <c r="AY1201" i="178"/>
  <c r="AX1201" i="178"/>
  <c r="V1232" i="178"/>
  <c r="U1232" i="178"/>
  <c r="BH1231" i="178"/>
  <c r="AZ1231" i="178"/>
  <c r="AR1231" i="178"/>
  <c r="BK1225" i="178"/>
  <c r="BL1225" i="178"/>
  <c r="AW1225" i="178"/>
  <c r="AV1225" i="178"/>
  <c r="BB1224" i="178"/>
  <c r="BH1235" i="178"/>
  <c r="AZ1235" i="178"/>
  <c r="AR1235" i="178"/>
  <c r="BM1253" i="178"/>
  <c r="BD1252" i="178"/>
  <c r="AV1252" i="178"/>
  <c r="BB1239" i="178"/>
  <c r="AT1239" i="178"/>
  <c r="BH1227" i="178"/>
  <c r="AV1227" i="178"/>
  <c r="BC1203" i="178"/>
  <c r="AT1202" i="178"/>
  <c r="BA1200" i="178"/>
  <c r="BH1199" i="178"/>
  <c r="AR1199" i="178"/>
  <c r="AY1251" i="178"/>
  <c r="BF1250" i="178"/>
  <c r="BM1249" i="178"/>
  <c r="AW1249" i="178"/>
  <c r="BD1238" i="178"/>
  <c r="BK1233" i="178"/>
  <c r="AU1233" i="178"/>
  <c r="AV1226" i="178"/>
  <c r="BA1201" i="178"/>
  <c r="AR1198" i="178"/>
  <c r="BD1225" i="178"/>
  <c r="BI1230" i="178"/>
  <c r="BH1236" i="178"/>
  <c r="AZ1236" i="178"/>
  <c r="AR1236" i="178"/>
  <c r="BB1225" i="178"/>
  <c r="BC1225" i="178"/>
  <c r="AT1225" i="178"/>
  <c r="AU1225" i="178"/>
  <c r="BH1224" i="178"/>
  <c r="AZ1224" i="178"/>
  <c r="AR1224" i="178"/>
  <c r="BK1230" i="178"/>
  <c r="BL1230" i="178"/>
  <c r="BM1223" i="178"/>
  <c r="BN1223" i="178"/>
  <c r="BE1201" i="178"/>
  <c r="AW1201" i="178"/>
  <c r="BC1237" i="178"/>
  <c r="AU1237" i="178"/>
  <c r="BH1229" i="178"/>
  <c r="AR1229" i="178"/>
  <c r="AY1223" i="178"/>
  <c r="BK1201" i="178"/>
  <c r="BL1201" i="178"/>
  <c r="BB1198" i="178"/>
  <c r="AT1198" i="178"/>
  <c r="Z1237" i="178"/>
  <c r="BK1232" i="178"/>
  <c r="BB1231" i="178"/>
  <c r="AT1231" i="178"/>
  <c r="Z1225" i="178"/>
  <c r="BM1224" i="178"/>
  <c r="BK1235" i="178"/>
  <c r="BD1235" i="178"/>
  <c r="AV1235" i="178"/>
  <c r="BB1230" i="178"/>
  <c r="BC1230" i="178"/>
  <c r="AT1230" i="178"/>
  <c r="AU1230" i="178"/>
  <c r="Z1230" i="178"/>
  <c r="BM1229" i="178"/>
  <c r="BF1229" i="178"/>
  <c r="AX1229" i="178"/>
  <c r="BD1223" i="178"/>
  <c r="BE1223" i="178"/>
  <c r="AV1223" i="178"/>
  <c r="AW1223" i="178"/>
  <c r="BH1237" i="178"/>
  <c r="AZ1237" i="178"/>
  <c r="AR1237" i="178"/>
  <c r="BF1232" i="178"/>
  <c r="AX1232" i="178"/>
  <c r="BH1225" i="178"/>
  <c r="AR1225" i="178"/>
  <c r="BF1235" i="178"/>
  <c r="AW1230" i="178"/>
  <c r="BK1223" i="178"/>
  <c r="V1223" i="178"/>
  <c r="BC119" i="178"/>
  <c r="AU119" i="178"/>
  <c r="AB1181" i="178"/>
  <c r="S57" i="178"/>
  <c r="BE57" i="178" s="1"/>
  <c r="AB741" i="178"/>
  <c r="BK146" i="178"/>
  <c r="AV973" i="178"/>
  <c r="AX432" i="178"/>
  <c r="BK119" i="178"/>
  <c r="AX1181" i="178"/>
  <c r="AV657" i="178"/>
  <c r="BJ119" i="178"/>
  <c r="BB119" i="178"/>
  <c r="AT119" i="178"/>
  <c r="Z72" i="178"/>
  <c r="BH12" i="178"/>
  <c r="AZ12" i="178"/>
  <c r="AR12" i="178"/>
  <c r="BK1181" i="178"/>
  <c r="BJ423" i="178"/>
  <c r="BB423" i="178"/>
  <c r="AT423" i="178"/>
  <c r="BM57" i="178"/>
  <c r="AB57" i="178"/>
  <c r="BD146" i="178"/>
  <c r="BK58" i="178"/>
  <c r="AX58" i="178"/>
  <c r="BF1181" i="178"/>
  <c r="AB77" i="178"/>
  <c r="BH145" i="178"/>
  <c r="AZ145" i="178"/>
  <c r="AR145" i="178"/>
  <c r="S58" i="178"/>
  <c r="AS58" i="178" s="1"/>
  <c r="AB656" i="178"/>
  <c r="BJ422" i="178"/>
  <c r="AT422" i="178"/>
  <c r="AB282" i="178"/>
  <c r="V282" i="178"/>
  <c r="AV44" i="178"/>
  <c r="BK973" i="178"/>
  <c r="BK423" i="178"/>
  <c r="U119" i="178"/>
  <c r="U72" i="178"/>
  <c r="V67" i="178"/>
  <c r="U1272" i="178"/>
  <c r="AB190" i="178"/>
  <c r="AU77" i="178"/>
  <c r="AY77" i="178"/>
  <c r="BC77" i="178"/>
  <c r="BG77" i="178"/>
  <c r="BL77" i="178"/>
  <c r="AW77" i="178"/>
  <c r="BE77" i="178"/>
  <c r="BN77" i="178"/>
  <c r="AS77" i="178"/>
  <c r="BA77" i="178"/>
  <c r="BI77" i="178"/>
  <c r="AS185" i="178"/>
  <c r="AW185" i="178"/>
  <c r="BA185" i="178"/>
  <c r="BE185" i="178"/>
  <c r="BI185" i="178"/>
  <c r="BN185" i="178"/>
  <c r="AU185" i="178"/>
  <c r="AY185" i="178"/>
  <c r="BC185" i="178"/>
  <c r="BG185" i="178"/>
  <c r="BL185" i="178"/>
  <c r="BL828" i="178"/>
  <c r="AS828" i="178"/>
  <c r="AW828" i="178"/>
  <c r="BA828" i="178"/>
  <c r="BE828" i="178"/>
  <c r="BI828" i="178"/>
  <c r="BN828" i="178"/>
  <c r="BG828" i="178"/>
  <c r="AU828" i="178"/>
  <c r="BB77" i="178"/>
  <c r="BI72" i="178"/>
  <c r="BJ248" i="178"/>
  <c r="BK77" i="178"/>
  <c r="AR77" i="178"/>
  <c r="AV77" i="178"/>
  <c r="AZ77" i="178"/>
  <c r="BD77" i="178"/>
  <c r="BH77" i="178"/>
  <c r="BK1164" i="178"/>
  <c r="AR1164" i="178"/>
  <c r="AV1164" i="178"/>
  <c r="AZ1164" i="178"/>
  <c r="BD1164" i="178"/>
  <c r="BH1164" i="178"/>
  <c r="S1164" i="178"/>
  <c r="Z1164" i="178" s="1"/>
  <c r="BK248" i="178"/>
  <c r="AR248" i="178"/>
  <c r="AV248" i="178"/>
  <c r="AZ248" i="178"/>
  <c r="BD248" i="178"/>
  <c r="BH248" i="178"/>
  <c r="AR657" i="178"/>
  <c r="AX657" i="178"/>
  <c r="BK657" i="178"/>
  <c r="AT657" i="178"/>
  <c r="BD657" i="178"/>
  <c r="BH657" i="178"/>
  <c r="AB657" i="178"/>
  <c r="BM56" i="178"/>
  <c r="AT56" i="178"/>
  <c r="AX56" i="178"/>
  <c r="BB56" i="178"/>
  <c r="BF56" i="178"/>
  <c r="BJ56" i="178"/>
  <c r="S56" i="178"/>
  <c r="Z56" i="178" s="1"/>
  <c r="AR56" i="178"/>
  <c r="AZ56" i="178"/>
  <c r="BH56" i="178"/>
  <c r="BM233" i="178"/>
  <c r="AT233" i="178"/>
  <c r="AX233" i="178"/>
  <c r="BB233" i="178"/>
  <c r="BF233" i="178"/>
  <c r="BJ233" i="178"/>
  <c r="BK233" i="178"/>
  <c r="AV233" i="178"/>
  <c r="BD233" i="178"/>
  <c r="S233" i="178"/>
  <c r="Z233" i="178" s="1"/>
  <c r="AT35" i="178"/>
  <c r="AX35" i="178"/>
  <c r="BB35" i="178"/>
  <c r="BF35" i="178"/>
  <c r="AR35" i="178"/>
  <c r="AV35" i="178"/>
  <c r="AZ35" i="178"/>
  <c r="BD35" i="178"/>
  <c r="BH35" i="178"/>
  <c r="BM35" i="178"/>
  <c r="BJ35" i="178"/>
  <c r="AT770" i="178"/>
  <c r="AX770" i="178"/>
  <c r="BB770" i="178"/>
  <c r="BF770" i="178"/>
  <c r="BJ770" i="178"/>
  <c r="BK770" i="178"/>
  <c r="AR770" i="178"/>
  <c r="AV770" i="178"/>
  <c r="AZ770" i="178"/>
  <c r="BD770" i="178"/>
  <c r="BH770" i="178"/>
  <c r="AB770" i="178"/>
  <c r="AT205" i="178"/>
  <c r="AX205" i="178"/>
  <c r="BB205" i="178"/>
  <c r="BF205" i="178"/>
  <c r="BJ205" i="178"/>
  <c r="BK205" i="178"/>
  <c r="AR205" i="178"/>
  <c r="AV205" i="178"/>
  <c r="AZ205" i="178"/>
  <c r="BD205" i="178"/>
  <c r="BH205" i="178"/>
  <c r="S205" i="178"/>
  <c r="Z205" i="178" s="1"/>
  <c r="AT186" i="178"/>
  <c r="AX186" i="178"/>
  <c r="BB186" i="178"/>
  <c r="BF186" i="178"/>
  <c r="BJ186" i="178"/>
  <c r="BK186" i="178"/>
  <c r="AR186" i="178"/>
  <c r="AV186" i="178"/>
  <c r="AZ186" i="178"/>
  <c r="BD186" i="178"/>
  <c r="BH186" i="178"/>
  <c r="BM186" i="178"/>
  <c r="S186" i="178"/>
  <c r="Z186" i="178" s="1"/>
  <c r="BN72" i="178"/>
  <c r="AU72" i="178"/>
  <c r="AY72" i="178"/>
  <c r="BC72" i="178"/>
  <c r="BG72" i="178"/>
  <c r="AB1164" i="178"/>
  <c r="BN151" i="178"/>
  <c r="AU151" i="178"/>
  <c r="AY151" i="178"/>
  <c r="BC151" i="178"/>
  <c r="BG151" i="178"/>
  <c r="U58" i="178"/>
  <c r="V58" i="178"/>
  <c r="AB233" i="178"/>
  <c r="S770" i="178"/>
  <c r="Z770" i="178" s="1"/>
  <c r="AC770" i="178" s="1"/>
  <c r="BJ77" i="178"/>
  <c r="AT77" i="178"/>
  <c r="AS72" i="178"/>
  <c r="AX1164" i="178"/>
  <c r="BB248" i="178"/>
  <c r="BI151" i="178"/>
  <c r="BA151" i="178"/>
  <c r="BF657" i="178"/>
  <c r="AV56" i="178"/>
  <c r="BH233" i="178"/>
  <c r="AT152" i="178"/>
  <c r="AX152" i="178"/>
  <c r="BB152" i="178"/>
  <c r="BF152" i="178"/>
  <c r="BJ152" i="178"/>
  <c r="BK152" i="178"/>
  <c r="AT72" i="178"/>
  <c r="AX72" i="178"/>
  <c r="BB72" i="178"/>
  <c r="BF72" i="178"/>
  <c r="BJ72" i="178"/>
  <c r="BK72" i="178"/>
  <c r="AT1024" i="178"/>
  <c r="AX1024" i="178"/>
  <c r="BB1024" i="178"/>
  <c r="BF1024" i="178"/>
  <c r="BJ1024" i="178"/>
  <c r="BK1024" i="178"/>
  <c r="AT151" i="178"/>
  <c r="AX151" i="178"/>
  <c r="BB151" i="178"/>
  <c r="BF151" i="178"/>
  <c r="BJ151" i="178"/>
  <c r="BK151" i="178"/>
  <c r="AR481" i="178"/>
  <c r="AV481" i="178"/>
  <c r="AZ481" i="178"/>
  <c r="BD481" i="178"/>
  <c r="BH481" i="178"/>
  <c r="AT481" i="178"/>
  <c r="BB481" i="178"/>
  <c r="BJ481" i="178"/>
  <c r="S481" i="178"/>
  <c r="BK481" i="178"/>
  <c r="AR656" i="178"/>
  <c r="AV656" i="178"/>
  <c r="AZ656" i="178"/>
  <c r="BD656" i="178"/>
  <c r="BH656" i="178"/>
  <c r="BM656" i="178"/>
  <c r="AX656" i="178"/>
  <c r="BF656" i="178"/>
  <c r="S656" i="178"/>
  <c r="Z656" i="178" s="1"/>
  <c r="AR226" i="178"/>
  <c r="AV226" i="178"/>
  <c r="AZ226" i="178"/>
  <c r="BD226" i="178"/>
  <c r="BH226" i="178"/>
  <c r="BM226" i="178"/>
  <c r="AT226" i="178"/>
  <c r="BB226" i="178"/>
  <c r="BJ226" i="178"/>
  <c r="BK226" i="178"/>
  <c r="BM1272" i="178"/>
  <c r="AT1272" i="178"/>
  <c r="AX1272" i="178"/>
  <c r="BB1272" i="178"/>
  <c r="BF1272" i="178"/>
  <c r="BJ1272" i="178"/>
  <c r="BK1272" i="178"/>
  <c r="AZ1272" i="178"/>
  <c r="BD1272" i="178"/>
  <c r="AR1272" i="178"/>
  <c r="AV1272" i="178"/>
  <c r="BM185" i="178"/>
  <c r="AT185" i="178"/>
  <c r="AX185" i="178"/>
  <c r="BB185" i="178"/>
  <c r="BF185" i="178"/>
  <c r="BJ185" i="178"/>
  <c r="BK185" i="178"/>
  <c r="BD185" i="178"/>
  <c r="AR185" i="178"/>
  <c r="BH185" i="178"/>
  <c r="S152" i="178"/>
  <c r="Z152" i="178" s="1"/>
  <c r="AB248" i="178"/>
  <c r="Z151" i="178"/>
  <c r="Z58" i="178"/>
  <c r="AB35" i="178"/>
  <c r="S1272" i="178"/>
  <c r="Z828" i="178"/>
  <c r="AB186" i="178"/>
  <c r="Z185" i="178"/>
  <c r="BD152" i="178"/>
  <c r="AV152" i="178"/>
  <c r="BH72" i="178"/>
  <c r="AZ72" i="178"/>
  <c r="AR72" i="178"/>
  <c r="BM1164" i="178"/>
  <c r="BD1024" i="178"/>
  <c r="AV1024" i="178"/>
  <c r="BH151" i="178"/>
  <c r="AZ151" i="178"/>
  <c r="AR151" i="178"/>
  <c r="BM657" i="178"/>
  <c r="BF481" i="178"/>
  <c r="BK56" i="178"/>
  <c r="BB656" i="178"/>
  <c r="AX226" i="178"/>
  <c r="BH1272" i="178"/>
  <c r="BM770" i="178"/>
  <c r="BM146" i="178"/>
  <c r="AT146" i="178"/>
  <c r="AX146" i="178"/>
  <c r="BB146" i="178"/>
  <c r="BF146" i="178"/>
  <c r="BJ146" i="178"/>
  <c r="BM12" i="178"/>
  <c r="S12" i="178"/>
  <c r="Z12" i="178" s="1"/>
  <c r="AT12" i="178"/>
  <c r="AX12" i="178"/>
  <c r="BB12" i="178"/>
  <c r="BF12" i="178"/>
  <c r="BJ12" i="178"/>
  <c r="BM973" i="178"/>
  <c r="AT973" i="178"/>
  <c r="AX973" i="178"/>
  <c r="BB973" i="178"/>
  <c r="BF973" i="178"/>
  <c r="BJ973" i="178"/>
  <c r="S973" i="178"/>
  <c r="AB973" i="178"/>
  <c r="BM145" i="178"/>
  <c r="AT145" i="178"/>
  <c r="AX145" i="178"/>
  <c r="BB145" i="178"/>
  <c r="BF145" i="178"/>
  <c r="BJ145" i="178"/>
  <c r="BK432" i="178"/>
  <c r="AR432" i="178"/>
  <c r="AV432" i="178"/>
  <c r="AZ432" i="178"/>
  <c r="BD432" i="178"/>
  <c r="BH432" i="178"/>
  <c r="AT432" i="178"/>
  <c r="BB432" i="178"/>
  <c r="BJ432" i="178"/>
  <c r="BK422" i="178"/>
  <c r="AR422" i="178"/>
  <c r="AV422" i="178"/>
  <c r="AZ422" i="178"/>
  <c r="BD422" i="178"/>
  <c r="BH422" i="178"/>
  <c r="BM422" i="178"/>
  <c r="S422" i="178"/>
  <c r="Z422" i="178" s="1"/>
  <c r="AX422" i="178"/>
  <c r="BF422" i="178"/>
  <c r="BK67" i="178"/>
  <c r="AR67" i="178"/>
  <c r="AV67" i="178"/>
  <c r="AZ67" i="178"/>
  <c r="BD67" i="178"/>
  <c r="BH67" i="178"/>
  <c r="AT67" i="178"/>
  <c r="BB67" i="178"/>
  <c r="BJ67" i="178"/>
  <c r="S67" i="178"/>
  <c r="AB67" i="178"/>
  <c r="AR828" i="178"/>
  <c r="AV828" i="178"/>
  <c r="AZ828" i="178"/>
  <c r="BD828" i="178"/>
  <c r="BH828" i="178"/>
  <c r="BM828" i="178"/>
  <c r="AT828" i="178"/>
  <c r="AX828" i="178"/>
  <c r="BB828" i="178"/>
  <c r="BF828" i="178"/>
  <c r="BJ828" i="178"/>
  <c r="BK828" i="178"/>
  <c r="AR741" i="178"/>
  <c r="AV741" i="178"/>
  <c r="AZ741" i="178"/>
  <c r="BD741" i="178"/>
  <c r="BH741" i="178"/>
  <c r="BM741" i="178"/>
  <c r="AT741" i="178"/>
  <c r="AX741" i="178"/>
  <c r="BB741" i="178"/>
  <c r="BF741" i="178"/>
  <c r="BJ741" i="178"/>
  <c r="BK741" i="178"/>
  <c r="AR191" i="178"/>
  <c r="AV191" i="178"/>
  <c r="AZ191" i="178"/>
  <c r="BD191" i="178"/>
  <c r="BH191" i="178"/>
  <c r="BM191" i="178"/>
  <c r="AT191" i="178"/>
  <c r="AX191" i="178"/>
  <c r="BB191" i="178"/>
  <c r="BF191" i="178"/>
  <c r="BJ191" i="178"/>
  <c r="S191" i="178"/>
  <c r="BK191" i="178"/>
  <c r="AR1065" i="178"/>
  <c r="AV1065" i="178"/>
  <c r="AZ1065" i="178"/>
  <c r="BD1065" i="178"/>
  <c r="BH1065" i="178"/>
  <c r="BM1065" i="178"/>
  <c r="AT1065" i="178"/>
  <c r="AX1065" i="178"/>
  <c r="BB1065" i="178"/>
  <c r="BF1065" i="178"/>
  <c r="BJ1065" i="178"/>
  <c r="BK1065" i="178"/>
  <c r="S1065" i="178"/>
  <c r="Z1065" i="178" s="1"/>
  <c r="AB1065" i="178"/>
  <c r="AB146" i="178"/>
  <c r="S146" i="178"/>
  <c r="Z119" i="178"/>
  <c r="BL119" i="178"/>
  <c r="AS119" i="178"/>
  <c r="AW119" i="178"/>
  <c r="BA119" i="178"/>
  <c r="BE119" i="178"/>
  <c r="BI119" i="178"/>
  <c r="Z77" i="178"/>
  <c r="AB72" i="178"/>
  <c r="V1024" i="178"/>
  <c r="U1024" i="178"/>
  <c r="S248" i="178"/>
  <c r="U145" i="178"/>
  <c r="V145" i="178"/>
  <c r="AB432" i="178"/>
  <c r="AB56" i="178"/>
  <c r="AB422" i="178"/>
  <c r="V226" i="178"/>
  <c r="U226" i="178"/>
  <c r="S35" i="178"/>
  <c r="Z35" i="178" s="1"/>
  <c r="AB828" i="178"/>
  <c r="S741" i="178"/>
  <c r="BH146" i="178"/>
  <c r="AZ146" i="178"/>
  <c r="AR146" i="178"/>
  <c r="BG119" i="178"/>
  <c r="AY119" i="178"/>
  <c r="BF77" i="178"/>
  <c r="AX77" i="178"/>
  <c r="BM72" i="178"/>
  <c r="BE72" i="178"/>
  <c r="AW72" i="178"/>
  <c r="BD12" i="178"/>
  <c r="AV12" i="178"/>
  <c r="BJ1164" i="178"/>
  <c r="BB1164" i="178"/>
  <c r="AT1164" i="178"/>
  <c r="BH973" i="178"/>
  <c r="AZ973" i="178"/>
  <c r="AR973" i="178"/>
  <c r="BF248" i="178"/>
  <c r="AX248" i="178"/>
  <c r="BM151" i="178"/>
  <c r="BE151" i="178"/>
  <c r="AW151" i="178"/>
  <c r="BD145" i="178"/>
  <c r="AV145" i="178"/>
  <c r="BJ657" i="178"/>
  <c r="BB657" i="178"/>
  <c r="BF432" i="178"/>
  <c r="BD56" i="178"/>
  <c r="BK656" i="178"/>
  <c r="BB422" i="178"/>
  <c r="AZ233" i="178"/>
  <c r="AX67" i="178"/>
  <c r="BC828" i="178"/>
  <c r="BM205" i="178"/>
  <c r="AZ185" i="178"/>
  <c r="AR119" i="178"/>
  <c r="AV119" i="178"/>
  <c r="AZ119" i="178"/>
  <c r="BD119" i="178"/>
  <c r="BH119" i="178"/>
  <c r="BM119" i="178"/>
  <c r="AR1181" i="178"/>
  <c r="AV1181" i="178"/>
  <c r="AZ1181" i="178"/>
  <c r="BD1181" i="178"/>
  <c r="BH1181" i="178"/>
  <c r="S1181" i="178"/>
  <c r="BM1181" i="178"/>
  <c r="AR423" i="178"/>
  <c r="AV423" i="178"/>
  <c r="AZ423" i="178"/>
  <c r="BD423" i="178"/>
  <c r="BH423" i="178"/>
  <c r="BM423" i="178"/>
  <c r="S423" i="178"/>
  <c r="AR58" i="178"/>
  <c r="AV58" i="178"/>
  <c r="AZ58" i="178"/>
  <c r="BD58" i="178"/>
  <c r="BH58" i="178"/>
  <c r="BM58" i="178"/>
  <c r="AT57" i="178"/>
  <c r="AX57" i="178"/>
  <c r="BB57" i="178"/>
  <c r="BF57" i="178"/>
  <c r="BJ57" i="178"/>
  <c r="BK57" i="178"/>
  <c r="AR57" i="178"/>
  <c r="AZ57" i="178"/>
  <c r="BH57" i="178"/>
  <c r="AT282" i="178"/>
  <c r="AX282" i="178"/>
  <c r="BB282" i="178"/>
  <c r="BF282" i="178"/>
  <c r="BJ282" i="178"/>
  <c r="BK282" i="178"/>
  <c r="AV282" i="178"/>
  <c r="BD282" i="178"/>
  <c r="S282" i="178"/>
  <c r="BM282" i="178"/>
  <c r="AT44" i="178"/>
  <c r="AX44" i="178"/>
  <c r="BB44" i="178"/>
  <c r="BF44" i="178"/>
  <c r="BJ44" i="178"/>
  <c r="BK44" i="178"/>
  <c r="AR44" i="178"/>
  <c r="AZ44" i="178"/>
  <c r="BH44" i="178"/>
  <c r="S44" i="178"/>
  <c r="BK190" i="178"/>
  <c r="AR190" i="178"/>
  <c r="AV190" i="178"/>
  <c r="AZ190" i="178"/>
  <c r="BD190" i="178"/>
  <c r="BH190" i="178"/>
  <c r="BM190" i="178"/>
  <c r="BF190" i="178"/>
  <c r="AT190" i="178"/>
  <c r="BJ190" i="178"/>
  <c r="AX190" i="178"/>
  <c r="S190" i="178"/>
  <c r="BB190" i="178"/>
  <c r="AB152" i="178"/>
  <c r="U152" i="178"/>
  <c r="AB119" i="178"/>
  <c r="V12" i="178"/>
  <c r="S1024" i="178"/>
  <c r="U423" i="178"/>
  <c r="S145" i="178"/>
  <c r="Z145" i="178" s="1"/>
  <c r="S657" i="178"/>
  <c r="S226" i="178"/>
  <c r="Z226" i="178" s="1"/>
  <c r="U44" i="178"/>
  <c r="U828" i="178"/>
  <c r="V828" i="178"/>
  <c r="AB205" i="178"/>
  <c r="AB191" i="178"/>
  <c r="V185" i="178"/>
  <c r="U185" i="178"/>
  <c r="BH152" i="178"/>
  <c r="AZ152" i="178"/>
  <c r="AR152" i="178"/>
  <c r="BN119" i="178"/>
  <c r="BF119" i="178"/>
  <c r="AX119" i="178"/>
  <c r="BM77" i="178"/>
  <c r="BL72" i="178"/>
  <c r="BD72" i="178"/>
  <c r="AV72" i="178"/>
  <c r="BK12" i="178"/>
  <c r="BJ1181" i="178"/>
  <c r="BB1181" i="178"/>
  <c r="AT1181" i="178"/>
  <c r="BH1024" i="178"/>
  <c r="AZ1024" i="178"/>
  <c r="AR1024" i="178"/>
  <c r="BF423" i="178"/>
  <c r="AX423" i="178"/>
  <c r="BM248" i="178"/>
  <c r="BL151" i="178"/>
  <c r="BD151" i="178"/>
  <c r="AV151" i="178"/>
  <c r="BK145" i="178"/>
  <c r="BJ58" i="178"/>
  <c r="BB58" i="178"/>
  <c r="AT58" i="178"/>
  <c r="AZ657" i="178"/>
  <c r="BM481" i="178"/>
  <c r="AX481" i="178"/>
  <c r="AV57" i="178"/>
  <c r="BJ656" i="178"/>
  <c r="AT656" i="178"/>
  <c r="BH282" i="178"/>
  <c r="AR282" i="178"/>
  <c r="BF226" i="178"/>
  <c r="BM67" i="178"/>
  <c r="BD44" i="178"/>
  <c r="BK35" i="178"/>
  <c r="AY828" i="178"/>
  <c r="AV185" i="178"/>
  <c r="AB151" i="178"/>
  <c r="U151" i="178"/>
  <c r="AB58" i="178"/>
  <c r="AB1272" i="178"/>
  <c r="AB1024" i="178"/>
  <c r="AB423" i="178"/>
  <c r="AB226" i="178"/>
  <c r="AB44" i="178"/>
  <c r="AB185" i="178"/>
  <c r="V1164" i="178"/>
  <c r="V248" i="178"/>
  <c r="V657" i="178"/>
  <c r="V56" i="178"/>
  <c r="V233" i="178"/>
  <c r="V35" i="178"/>
  <c r="V770" i="178"/>
  <c r="V205" i="178"/>
  <c r="V186" i="178"/>
  <c r="V77" i="178"/>
  <c r="R193" i="55"/>
  <c r="R194" i="55"/>
  <c r="O193" i="55"/>
  <c r="P193" i="55"/>
  <c r="Q193" i="55"/>
  <c r="O194" i="55"/>
  <c r="P194" i="55"/>
  <c r="Q194" i="55"/>
  <c r="C292" i="78"/>
  <c r="C293" i="78"/>
  <c r="X345" i="178"/>
  <c r="Y345" i="178"/>
  <c r="AA345" i="178"/>
  <c r="AD345" i="178"/>
  <c r="AE345" i="178"/>
  <c r="AF345" i="178"/>
  <c r="AG345" i="178"/>
  <c r="AH345" i="178"/>
  <c r="AI345" i="178"/>
  <c r="AJ345" i="178"/>
  <c r="AK345" i="178"/>
  <c r="AL345" i="178"/>
  <c r="AM345" i="178"/>
  <c r="AN345" i="178"/>
  <c r="AO345" i="178"/>
  <c r="X346" i="178"/>
  <c r="Y346" i="178"/>
  <c r="AA346" i="178"/>
  <c r="AD346" i="178"/>
  <c r="AE346" i="178"/>
  <c r="AF346" i="178"/>
  <c r="AG346" i="178"/>
  <c r="AH346" i="178"/>
  <c r="AI346" i="178"/>
  <c r="AJ346" i="178"/>
  <c r="AK346" i="178"/>
  <c r="AL346" i="178"/>
  <c r="AM346" i="178"/>
  <c r="AN346" i="178"/>
  <c r="AO346" i="178"/>
  <c r="T345" i="178"/>
  <c r="U345" i="178" s="1"/>
  <c r="W345" i="178"/>
  <c r="T346" i="178"/>
  <c r="U346" i="178" s="1"/>
  <c r="W346" i="178"/>
  <c r="Q346" i="178"/>
  <c r="Q345" i="178"/>
  <c r="B345" i="178"/>
  <c r="B346" i="178"/>
  <c r="C765" i="78"/>
  <c r="O408" i="55"/>
  <c r="P408" i="55"/>
  <c r="Q408" i="55"/>
  <c r="R408" i="55"/>
  <c r="C438" i="78"/>
  <c r="AU1204" i="178" l="1"/>
  <c r="AU1232" i="178"/>
  <c r="BE432" i="178"/>
  <c r="BA432" i="178"/>
  <c r="BN432" i="178"/>
  <c r="AY432" i="178"/>
  <c r="AY1232" i="178"/>
  <c r="BC432" i="178"/>
  <c r="BA1236" i="178"/>
  <c r="BC1236" i="178"/>
  <c r="AW1236" i="178"/>
  <c r="BL1236" i="178"/>
  <c r="AY1236" i="178"/>
  <c r="Z1232" i="178"/>
  <c r="AC1232" i="178" s="1"/>
  <c r="BA1232" i="178"/>
  <c r="BN1232" i="178"/>
  <c r="BL1232" i="178"/>
  <c r="BG1232" i="178"/>
  <c r="BE1232" i="178"/>
  <c r="AS432" i="178"/>
  <c r="AS1232" i="178"/>
  <c r="BI1232" i="178"/>
  <c r="BC1232" i="178"/>
  <c r="BG1236" i="178"/>
  <c r="BL1235" i="178"/>
  <c r="AY1231" i="178"/>
  <c r="AU1231" i="178"/>
  <c r="BA1205" i="178"/>
  <c r="BE1198" i="178"/>
  <c r="BC1198" i="178"/>
  <c r="AC1252" i="178"/>
  <c r="BI1238" i="178"/>
  <c r="AC1230" i="178"/>
  <c r="AC1253" i="178"/>
  <c r="AY1229" i="178"/>
  <c r="AW1235" i="178"/>
  <c r="BG1235" i="178"/>
  <c r="BN1229" i="178"/>
  <c r="AC1226" i="178"/>
  <c r="AC1202" i="178"/>
  <c r="AC12" i="178"/>
  <c r="BE58" i="178"/>
  <c r="BA1235" i="178"/>
  <c r="AU1235" i="178"/>
  <c r="AC1233" i="178"/>
  <c r="AC1251" i="178"/>
  <c r="BA58" i="178"/>
  <c r="BE1235" i="178"/>
  <c r="Z1235" i="178"/>
  <c r="AC1235" i="178" s="1"/>
  <c r="BN1205" i="178"/>
  <c r="BC1235" i="178"/>
  <c r="AU58" i="178"/>
  <c r="AC35" i="178"/>
  <c r="BL58" i="178"/>
  <c r="AC1225" i="178"/>
  <c r="AS1235" i="178"/>
  <c r="BI1235" i="178"/>
  <c r="AY1235" i="178"/>
  <c r="AU1238" i="178"/>
  <c r="AY1198" i="178"/>
  <c r="BN1198" i="178"/>
  <c r="BG1238" i="178"/>
  <c r="AC1239" i="178"/>
  <c r="BI1198" i="178"/>
  <c r="AC422" i="178"/>
  <c r="BL1238" i="178"/>
  <c r="AW1238" i="178"/>
  <c r="AC1201" i="178"/>
  <c r="AC1203" i="178"/>
  <c r="AS1238" i="178"/>
  <c r="AC1250" i="178"/>
  <c r="BI1204" i="178"/>
  <c r="AY1205" i="178"/>
  <c r="Z1205" i="178"/>
  <c r="AC1205" i="178" s="1"/>
  <c r="AS1204" i="178"/>
  <c r="BE1204" i="178"/>
  <c r="BG1204" i="178"/>
  <c r="BL1205" i="178"/>
  <c r="AC1065" i="178"/>
  <c r="BA1231" i="178"/>
  <c r="AW1205" i="178"/>
  <c r="BE1231" i="178"/>
  <c r="AC1234" i="178"/>
  <c r="Z1238" i="178"/>
  <c r="AC1238" i="178" s="1"/>
  <c r="AC1227" i="178"/>
  <c r="Z1204" i="178"/>
  <c r="AC1204" i="178" s="1"/>
  <c r="BC58" i="178"/>
  <c r="BN58" i="178"/>
  <c r="BL432" i="178"/>
  <c r="AU432" i="178"/>
  <c r="AW58" i="178"/>
  <c r="BC1231" i="178"/>
  <c r="AS1231" i="178"/>
  <c r="BI1231" i="178"/>
  <c r="BC1238" i="178"/>
  <c r="AU1236" i="178"/>
  <c r="BG1198" i="178"/>
  <c r="BN1231" i="178"/>
  <c r="BE1236" i="178"/>
  <c r="BE1238" i="178"/>
  <c r="Z1236" i="178"/>
  <c r="AC1236" i="178" s="1"/>
  <c r="AC1200" i="178"/>
  <c r="AS1198" i="178"/>
  <c r="Z1198" i="178"/>
  <c r="AC1198" i="178" s="1"/>
  <c r="Z1231" i="178"/>
  <c r="AC1231" i="178" s="1"/>
  <c r="AC77" i="178"/>
  <c r="AW432" i="178"/>
  <c r="BI432" i="178"/>
  <c r="BG432" i="178"/>
  <c r="BI58" i="178"/>
  <c r="AC1164" i="178"/>
  <c r="AU1198" i="178"/>
  <c r="AS1236" i="178"/>
  <c r="BI1236" i="178"/>
  <c r="AW1198" i="178"/>
  <c r="BL1198" i="178"/>
  <c r="BG1231" i="178"/>
  <c r="AY1238" i="178"/>
  <c r="BN1238" i="178"/>
  <c r="AW1231" i="178"/>
  <c r="AC1249" i="178"/>
  <c r="AC1199" i="178"/>
  <c r="AS57" i="178"/>
  <c r="BN1224" i="178"/>
  <c r="AS1224" i="178"/>
  <c r="BI1224" i="178"/>
  <c r="AY1204" i="178"/>
  <c r="BA1204" i="178"/>
  <c r="AU1205" i="178"/>
  <c r="BC1205" i="178"/>
  <c r="BL1229" i="178"/>
  <c r="AW1204" i="178"/>
  <c r="BG1205" i="178"/>
  <c r="BC1204" i="178"/>
  <c r="BL1224" i="178"/>
  <c r="BA1229" i="178"/>
  <c r="BA1224" i="178"/>
  <c r="AU1224" i="178"/>
  <c r="BC1224" i="178"/>
  <c r="AC432" i="178"/>
  <c r="AY1224" i="178"/>
  <c r="BC1229" i="178"/>
  <c r="BE1224" i="178"/>
  <c r="BE1229" i="178"/>
  <c r="AS1229" i="178"/>
  <c r="AC233" i="178"/>
  <c r="AC145" i="178"/>
  <c r="AU57" i="178"/>
  <c r="AC656" i="178"/>
  <c r="BG1229" i="178"/>
  <c r="AC1237" i="178"/>
  <c r="Z1229" i="178"/>
  <c r="AC1229" i="178" s="1"/>
  <c r="AU1229" i="178"/>
  <c r="AW1224" i="178"/>
  <c r="BE1205" i="178"/>
  <c r="AW1229" i="178"/>
  <c r="BL1204" i="178"/>
  <c r="AS1205" i="178"/>
  <c r="AC1223" i="178"/>
  <c r="Z1224" i="178"/>
  <c r="AC1224" i="178" s="1"/>
  <c r="AC226" i="178"/>
  <c r="AW57" i="178"/>
  <c r="AC205" i="178"/>
  <c r="BG57" i="178"/>
  <c r="BN57" i="178"/>
  <c r="BI57" i="178"/>
  <c r="BC57" i="178"/>
  <c r="Z57" i="178"/>
  <c r="AC57" i="178" s="1"/>
  <c r="AC58" i="178"/>
  <c r="BG58" i="178"/>
  <c r="AY58" i="178"/>
  <c r="AC186" i="178"/>
  <c r="BL57" i="178"/>
  <c r="AC72" i="178"/>
  <c r="AC119" i="178"/>
  <c r="AC185" i="178"/>
  <c r="BA57" i="178"/>
  <c r="AY57" i="178"/>
  <c r="Z282" i="178"/>
  <c r="AC282" i="178" s="1"/>
  <c r="BN282" i="178"/>
  <c r="AU282" i="178"/>
  <c r="AY282" i="178"/>
  <c r="BC282" i="178"/>
  <c r="BG282" i="178"/>
  <c r="BL282" i="178"/>
  <c r="AW282" i="178"/>
  <c r="BE282" i="178"/>
  <c r="AS282" i="178"/>
  <c r="BI282" i="178"/>
  <c r="BA282" i="178"/>
  <c r="Z1181" i="178"/>
  <c r="AC1181" i="178" s="1"/>
  <c r="BL1181" i="178"/>
  <c r="AS1181" i="178"/>
  <c r="AW1181" i="178"/>
  <c r="BA1181" i="178"/>
  <c r="BE1181" i="178"/>
  <c r="BI1181" i="178"/>
  <c r="AU1181" i="178"/>
  <c r="BC1181" i="178"/>
  <c r="BN1181" i="178"/>
  <c r="BG1181" i="178"/>
  <c r="AY1181" i="178"/>
  <c r="BL1065" i="178"/>
  <c r="AS1065" i="178"/>
  <c r="AW1065" i="178"/>
  <c r="BA1065" i="178"/>
  <c r="BE1065" i="178"/>
  <c r="BI1065" i="178"/>
  <c r="BN1065" i="178"/>
  <c r="AU1065" i="178"/>
  <c r="AY1065" i="178"/>
  <c r="BC1065" i="178"/>
  <c r="BG1065" i="178"/>
  <c r="BN1024" i="178"/>
  <c r="AU1024" i="178"/>
  <c r="AY1024" i="178"/>
  <c r="BC1024" i="178"/>
  <c r="BG1024" i="178"/>
  <c r="AS1024" i="178"/>
  <c r="BA1024" i="178"/>
  <c r="BI1024" i="178"/>
  <c r="BL1024" i="178"/>
  <c r="BE1024" i="178"/>
  <c r="AW1024" i="178"/>
  <c r="Z423" i="178"/>
  <c r="AC423" i="178" s="1"/>
  <c r="BL423" i="178"/>
  <c r="AS423" i="178"/>
  <c r="AW423" i="178"/>
  <c r="BA423" i="178"/>
  <c r="BE423" i="178"/>
  <c r="BI423" i="178"/>
  <c r="BN423" i="178"/>
  <c r="AY423" i="178"/>
  <c r="BG423" i="178"/>
  <c r="AU423" i="178"/>
  <c r="BC423" i="178"/>
  <c r="AS1272" i="178"/>
  <c r="AW1272" i="178"/>
  <c r="BA1272" i="178"/>
  <c r="BE1272" i="178"/>
  <c r="BI1272" i="178"/>
  <c r="BN1272" i="178"/>
  <c r="AU1272" i="178"/>
  <c r="AY1272" i="178"/>
  <c r="BC1272" i="178"/>
  <c r="BG1272" i="178"/>
  <c r="BL1272" i="178"/>
  <c r="AC152" i="178"/>
  <c r="BL481" i="178"/>
  <c r="AS481" i="178"/>
  <c r="AW481" i="178"/>
  <c r="BA481" i="178"/>
  <c r="BE481" i="178"/>
  <c r="BI481" i="178"/>
  <c r="AU481" i="178"/>
  <c r="BC481" i="178"/>
  <c r="AY481" i="178"/>
  <c r="BN481" i="178"/>
  <c r="BG481" i="178"/>
  <c r="AS657" i="178"/>
  <c r="AW657" i="178"/>
  <c r="BA657" i="178"/>
  <c r="BC657" i="178"/>
  <c r="BG657" i="178"/>
  <c r="AY657" i="178"/>
  <c r="BL657" i="178"/>
  <c r="BI657" i="178"/>
  <c r="AU657" i="178"/>
  <c r="BE657" i="178"/>
  <c r="BN657" i="178"/>
  <c r="Z44" i="178"/>
  <c r="AC44" i="178" s="1"/>
  <c r="BN44" i="178"/>
  <c r="AU44" i="178"/>
  <c r="AY44" i="178"/>
  <c r="BC44" i="178"/>
  <c r="BG44" i="178"/>
  <c r="AS44" i="178"/>
  <c r="BA44" i="178"/>
  <c r="BI44" i="178"/>
  <c r="BE44" i="178"/>
  <c r="BL44" i="178"/>
  <c r="AW44" i="178"/>
  <c r="AU35" i="178"/>
  <c r="AY35" i="178"/>
  <c r="BC35" i="178"/>
  <c r="BG35" i="178"/>
  <c r="AS35" i="178"/>
  <c r="BI35" i="178"/>
  <c r="AW35" i="178"/>
  <c r="BN35" i="178"/>
  <c r="BA35" i="178"/>
  <c r="BE35" i="178"/>
  <c r="BL35" i="178"/>
  <c r="AU248" i="178"/>
  <c r="AY248" i="178"/>
  <c r="BC248" i="178"/>
  <c r="BG248" i="178"/>
  <c r="BL248" i="178"/>
  <c r="AW248" i="178"/>
  <c r="BE248" i="178"/>
  <c r="BN248" i="178"/>
  <c r="AS248" i="178"/>
  <c r="BA248" i="178"/>
  <c r="BI248" i="178"/>
  <c r="AS146" i="178"/>
  <c r="AW146" i="178"/>
  <c r="BA146" i="178"/>
  <c r="BE146" i="178"/>
  <c r="BI146" i="178"/>
  <c r="BN146" i="178"/>
  <c r="AY146" i="178"/>
  <c r="BG146" i="178"/>
  <c r="AU146" i="178"/>
  <c r="BC146" i="178"/>
  <c r="BL146" i="178"/>
  <c r="Z146" i="178"/>
  <c r="AC146" i="178" s="1"/>
  <c r="Z1272" i="178"/>
  <c r="AC1272" i="178" s="1"/>
  <c r="AC151" i="178"/>
  <c r="Z481" i="178"/>
  <c r="AC481" i="178" s="1"/>
  <c r="Z248" i="178"/>
  <c r="AC248" i="178" s="1"/>
  <c r="AS145" i="178"/>
  <c r="AW145" i="178"/>
  <c r="BA145" i="178"/>
  <c r="BE145" i="178"/>
  <c r="BI145" i="178"/>
  <c r="BN145" i="178"/>
  <c r="AU145" i="178"/>
  <c r="BC145" i="178"/>
  <c r="BL145" i="178"/>
  <c r="AY145" i="178"/>
  <c r="BG145" i="178"/>
  <c r="Z190" i="178"/>
  <c r="AC190" i="178" s="1"/>
  <c r="AU190" i="178"/>
  <c r="AY190" i="178"/>
  <c r="BC190" i="178"/>
  <c r="BG190" i="178"/>
  <c r="BL190" i="178"/>
  <c r="AS190" i="178"/>
  <c r="AW190" i="178"/>
  <c r="BA190" i="178"/>
  <c r="BE190" i="178"/>
  <c r="BI190" i="178"/>
  <c r="BN190" i="178"/>
  <c r="BL741" i="178"/>
  <c r="AS741" i="178"/>
  <c r="AW741" i="178"/>
  <c r="BA741" i="178"/>
  <c r="BE741" i="178"/>
  <c r="BI741" i="178"/>
  <c r="BN741" i="178"/>
  <c r="BC741" i="178"/>
  <c r="BG741" i="178"/>
  <c r="AU741" i="178"/>
  <c r="AY741" i="178"/>
  <c r="BL191" i="178"/>
  <c r="AS191" i="178"/>
  <c r="AW191" i="178"/>
  <c r="BA191" i="178"/>
  <c r="BE191" i="178"/>
  <c r="BI191" i="178"/>
  <c r="BN191" i="178"/>
  <c r="AY191" i="178"/>
  <c r="BC191" i="178"/>
  <c r="BG191" i="178"/>
  <c r="AU191" i="178"/>
  <c r="Z191" i="178"/>
  <c r="AC191" i="178" s="1"/>
  <c r="BL656" i="178"/>
  <c r="AS656" i="178"/>
  <c r="AW656" i="178"/>
  <c r="BA656" i="178"/>
  <c r="BE656" i="178"/>
  <c r="BI656" i="178"/>
  <c r="BN656" i="178"/>
  <c r="AY656" i="178"/>
  <c r="BG656" i="178"/>
  <c r="AU656" i="178"/>
  <c r="BC656" i="178"/>
  <c r="Z657" i="178"/>
  <c r="AC657" i="178" s="1"/>
  <c r="Z1024" i="178"/>
  <c r="AC1024" i="178" s="1"/>
  <c r="BN186" i="178"/>
  <c r="AU186" i="178"/>
  <c r="AY186" i="178"/>
  <c r="BC186" i="178"/>
  <c r="BG186" i="178"/>
  <c r="BL186" i="178"/>
  <c r="AW186" i="178"/>
  <c r="BA186" i="178"/>
  <c r="AS186" i="178"/>
  <c r="BE186" i="178"/>
  <c r="BI186" i="178"/>
  <c r="AS233" i="178"/>
  <c r="AW233" i="178"/>
  <c r="BA233" i="178"/>
  <c r="BE233" i="178"/>
  <c r="BI233" i="178"/>
  <c r="BN233" i="178"/>
  <c r="AU233" i="178"/>
  <c r="BC233" i="178"/>
  <c r="BL233" i="178"/>
  <c r="AY233" i="178"/>
  <c r="BG233" i="178"/>
  <c r="BL226" i="178"/>
  <c r="AS226" i="178"/>
  <c r="AW226" i="178"/>
  <c r="BA226" i="178"/>
  <c r="BE226" i="178"/>
  <c r="BI226" i="178"/>
  <c r="AU226" i="178"/>
  <c r="BC226" i="178"/>
  <c r="BG226" i="178"/>
  <c r="BN226" i="178"/>
  <c r="AY226" i="178"/>
  <c r="Z741" i="178"/>
  <c r="AC741" i="178" s="1"/>
  <c r="AU67" i="178"/>
  <c r="AY67" i="178"/>
  <c r="BC67" i="178"/>
  <c r="BG67" i="178"/>
  <c r="BL67" i="178"/>
  <c r="AS67" i="178"/>
  <c r="BA67" i="178"/>
  <c r="BI67" i="178"/>
  <c r="AW67" i="178"/>
  <c r="BN67" i="178"/>
  <c r="BE67" i="178"/>
  <c r="Z67" i="178"/>
  <c r="AC67" i="178" s="1"/>
  <c r="AU422" i="178"/>
  <c r="AY422" i="178"/>
  <c r="BC422" i="178"/>
  <c r="BG422" i="178"/>
  <c r="BL422" i="178"/>
  <c r="AW422" i="178"/>
  <c r="BE422" i="178"/>
  <c r="BN422" i="178"/>
  <c r="BA422" i="178"/>
  <c r="AS422" i="178"/>
  <c r="BI422" i="178"/>
  <c r="AS973" i="178"/>
  <c r="AW973" i="178"/>
  <c r="BA973" i="178"/>
  <c r="BE973" i="178"/>
  <c r="BI973" i="178"/>
  <c r="BN973" i="178"/>
  <c r="AY973" i="178"/>
  <c r="BG973" i="178"/>
  <c r="AU973" i="178"/>
  <c r="BC973" i="178"/>
  <c r="Z973" i="178"/>
  <c r="AC973" i="178" s="1"/>
  <c r="BL973" i="178"/>
  <c r="AS12" i="178"/>
  <c r="AW12" i="178"/>
  <c r="BA12" i="178"/>
  <c r="BE12" i="178"/>
  <c r="BI12" i="178"/>
  <c r="BN12" i="178"/>
  <c r="AU12" i="178"/>
  <c r="BC12" i="178"/>
  <c r="BL12" i="178"/>
  <c r="AY12" i="178"/>
  <c r="BG12" i="178"/>
  <c r="AC828" i="178"/>
  <c r="AC56" i="178"/>
  <c r="BN152" i="178"/>
  <c r="AU152" i="178"/>
  <c r="AY152" i="178"/>
  <c r="BC152" i="178"/>
  <c r="BG152" i="178"/>
  <c r="AS152" i="178"/>
  <c r="BA152" i="178"/>
  <c r="BI152" i="178"/>
  <c r="BL152" i="178"/>
  <c r="AW152" i="178"/>
  <c r="BE152" i="178"/>
  <c r="BN770" i="178"/>
  <c r="AU770" i="178"/>
  <c r="AY770" i="178"/>
  <c r="BC770" i="178"/>
  <c r="BG770" i="178"/>
  <c r="BL770" i="178"/>
  <c r="BE770" i="178"/>
  <c r="AS770" i="178"/>
  <c r="BI770" i="178"/>
  <c r="AW770" i="178"/>
  <c r="BA770" i="178"/>
  <c r="BN205" i="178"/>
  <c r="AU205" i="178"/>
  <c r="AY205" i="178"/>
  <c r="BC205" i="178"/>
  <c r="BG205" i="178"/>
  <c r="BL205" i="178"/>
  <c r="BA205" i="178"/>
  <c r="BE205" i="178"/>
  <c r="AS205" i="178"/>
  <c r="AW205" i="178"/>
  <c r="BI205" i="178"/>
  <c r="AS56" i="178"/>
  <c r="AW56" i="178"/>
  <c r="BA56" i="178"/>
  <c r="BE56" i="178"/>
  <c r="BI56" i="178"/>
  <c r="BN56" i="178"/>
  <c r="AY56" i="178"/>
  <c r="BG56" i="178"/>
  <c r="BC56" i="178"/>
  <c r="AU56" i="178"/>
  <c r="BL56" i="178"/>
  <c r="AU1164" i="178"/>
  <c r="AY1164" i="178"/>
  <c r="BC1164" i="178"/>
  <c r="BG1164" i="178"/>
  <c r="BL1164" i="178"/>
  <c r="AS1164" i="178"/>
  <c r="BA1164" i="178"/>
  <c r="BI1164" i="178"/>
  <c r="AW1164" i="178"/>
  <c r="BE1164" i="178"/>
  <c r="BN1164" i="178"/>
  <c r="AR345" i="178"/>
  <c r="BM346" i="178"/>
  <c r="AB346" i="178"/>
  <c r="BH346" i="178"/>
  <c r="BD346" i="178"/>
  <c r="AZ346" i="178"/>
  <c r="AV346" i="178"/>
  <c r="AR346" i="178"/>
  <c r="BK345" i="178"/>
  <c r="BK346" i="178"/>
  <c r="BJ345" i="178"/>
  <c r="BF345" i="178"/>
  <c r="BB345" i="178"/>
  <c r="AX345" i="178"/>
  <c r="AT345" i="178"/>
  <c r="S345" i="178"/>
  <c r="Z345" i="178" s="1"/>
  <c r="BJ346" i="178"/>
  <c r="BF346" i="178"/>
  <c r="BB346" i="178"/>
  <c r="AX346" i="178"/>
  <c r="AT346" i="178"/>
  <c r="BM345" i="178"/>
  <c r="S346" i="178"/>
  <c r="Z346" i="178" s="1"/>
  <c r="AC346" i="178" s="1"/>
  <c r="AB345" i="178"/>
  <c r="BH345" i="178"/>
  <c r="BD345" i="178"/>
  <c r="AZ345" i="178"/>
  <c r="AV345" i="178"/>
  <c r="V346" i="178"/>
  <c r="V345" i="178"/>
  <c r="AC345" i="178" l="1"/>
  <c r="BL345" i="178"/>
  <c r="AS345" i="178"/>
  <c r="AW345" i="178"/>
  <c r="BA345" i="178"/>
  <c r="BE345" i="178"/>
  <c r="BI345" i="178"/>
  <c r="BN345" i="178"/>
  <c r="AU345" i="178"/>
  <c r="AY345" i="178"/>
  <c r="BC345" i="178"/>
  <c r="BG345" i="178"/>
  <c r="AS346" i="178"/>
  <c r="AW346" i="178"/>
  <c r="BA346" i="178"/>
  <c r="BE346" i="178"/>
  <c r="BI346" i="178"/>
  <c r="BN346" i="178"/>
  <c r="AU346" i="178"/>
  <c r="AY346" i="178"/>
  <c r="BC346" i="178"/>
  <c r="BG346" i="178"/>
  <c r="BL346" i="178"/>
  <c r="E30" i="3" l="1"/>
  <c r="T632" i="178"/>
  <c r="U632" i="178" s="1"/>
  <c r="W632" i="178"/>
  <c r="AD632" i="178"/>
  <c r="AE632" i="178"/>
  <c r="AF632" i="178"/>
  <c r="AG632" i="178"/>
  <c r="AH632" i="178"/>
  <c r="AI632" i="178"/>
  <c r="AJ632" i="178"/>
  <c r="AK632" i="178"/>
  <c r="AL632" i="178"/>
  <c r="AM632" i="178"/>
  <c r="AN632" i="178"/>
  <c r="AO632" i="178"/>
  <c r="T633" i="178"/>
  <c r="U633" i="178" s="1"/>
  <c r="W633" i="178"/>
  <c r="AD633" i="178"/>
  <c r="AE633" i="178"/>
  <c r="AF633" i="178"/>
  <c r="AG633" i="178"/>
  <c r="AH633" i="178"/>
  <c r="AI633" i="178"/>
  <c r="AJ633" i="178"/>
  <c r="AK633" i="178"/>
  <c r="AL633" i="178"/>
  <c r="AM633" i="178"/>
  <c r="AN633" i="178"/>
  <c r="AO633" i="178"/>
  <c r="T197" i="178"/>
  <c r="U197" i="178" s="1"/>
  <c r="W197" i="178"/>
  <c r="AD197" i="178"/>
  <c r="AE197" i="178"/>
  <c r="AF197" i="178"/>
  <c r="AG197" i="178"/>
  <c r="AH197" i="178"/>
  <c r="AI197" i="178"/>
  <c r="AJ197" i="178"/>
  <c r="AK197" i="178"/>
  <c r="AL197" i="178"/>
  <c r="AM197" i="178"/>
  <c r="AN197" i="178"/>
  <c r="AO197" i="178"/>
  <c r="T551" i="178"/>
  <c r="U551" i="178" s="1"/>
  <c r="W551" i="178"/>
  <c r="AD551" i="178"/>
  <c r="AE551" i="178"/>
  <c r="AF551" i="178"/>
  <c r="AG551" i="178"/>
  <c r="AH551" i="178"/>
  <c r="AI551" i="178"/>
  <c r="AJ551" i="178"/>
  <c r="AK551" i="178"/>
  <c r="AL551" i="178"/>
  <c r="AM551" i="178"/>
  <c r="AN551" i="178"/>
  <c r="AO551" i="178"/>
  <c r="T819" i="178"/>
  <c r="U819" i="178" s="1"/>
  <c r="W819" i="178"/>
  <c r="AD819" i="178"/>
  <c r="AE819" i="178"/>
  <c r="AF819" i="178"/>
  <c r="AG819" i="178"/>
  <c r="AH819" i="178"/>
  <c r="AI819" i="178"/>
  <c r="AJ819" i="178"/>
  <c r="AK819" i="178"/>
  <c r="AL819" i="178"/>
  <c r="AM819" i="178"/>
  <c r="AN819" i="178"/>
  <c r="AO819" i="178"/>
  <c r="T880" i="178"/>
  <c r="U880" i="178" s="1"/>
  <c r="W880" i="178"/>
  <c r="AD880" i="178"/>
  <c r="AE880" i="178"/>
  <c r="AF880" i="178"/>
  <c r="AG880" i="178"/>
  <c r="AH880" i="178"/>
  <c r="AI880" i="178"/>
  <c r="AJ880" i="178"/>
  <c r="AK880" i="178"/>
  <c r="AL880" i="178"/>
  <c r="AM880" i="178"/>
  <c r="AN880" i="178"/>
  <c r="AO880" i="178"/>
  <c r="T904" i="178"/>
  <c r="U904" i="178" s="1"/>
  <c r="W904" i="178"/>
  <c r="AD904" i="178"/>
  <c r="AE904" i="178"/>
  <c r="AF904" i="178"/>
  <c r="AG904" i="178"/>
  <c r="AH904" i="178"/>
  <c r="AI904" i="178"/>
  <c r="AJ904" i="178"/>
  <c r="AK904" i="178"/>
  <c r="AL904" i="178"/>
  <c r="AM904" i="178"/>
  <c r="AN904" i="178"/>
  <c r="AO904" i="178"/>
  <c r="T912" i="178"/>
  <c r="U912" i="178" s="1"/>
  <c r="W912" i="178"/>
  <c r="AD912" i="178"/>
  <c r="AE912" i="178"/>
  <c r="AF912" i="178"/>
  <c r="AG912" i="178"/>
  <c r="AH912" i="178"/>
  <c r="AI912" i="178"/>
  <c r="AJ912" i="178"/>
  <c r="AK912" i="178"/>
  <c r="AL912" i="178"/>
  <c r="AM912" i="178"/>
  <c r="AN912" i="178"/>
  <c r="AO912" i="178"/>
  <c r="T170" i="178"/>
  <c r="W170" i="178"/>
  <c r="AD170" i="178"/>
  <c r="AE170" i="178"/>
  <c r="AF170" i="178"/>
  <c r="AG170" i="178"/>
  <c r="AH170" i="178"/>
  <c r="AI170" i="178"/>
  <c r="AJ170" i="178"/>
  <c r="AK170" i="178"/>
  <c r="AL170" i="178"/>
  <c r="AM170" i="178"/>
  <c r="AN170" i="178"/>
  <c r="AO170" i="178"/>
  <c r="T552" i="178"/>
  <c r="V552" i="178" s="1"/>
  <c r="W552" i="178"/>
  <c r="AD552" i="178"/>
  <c r="AE552" i="178"/>
  <c r="AF552" i="178"/>
  <c r="AG552" i="178"/>
  <c r="AH552" i="178"/>
  <c r="AI552" i="178"/>
  <c r="AJ552" i="178"/>
  <c r="AK552" i="178"/>
  <c r="AL552" i="178"/>
  <c r="AM552" i="178"/>
  <c r="AN552" i="178"/>
  <c r="AO552" i="178"/>
  <c r="T724" i="178"/>
  <c r="U724" i="178" s="1"/>
  <c r="W724" i="178"/>
  <c r="AD724" i="178"/>
  <c r="AE724" i="178"/>
  <c r="AF724" i="178"/>
  <c r="AG724" i="178"/>
  <c r="AH724" i="178"/>
  <c r="AI724" i="178"/>
  <c r="AJ724" i="178"/>
  <c r="AK724" i="178"/>
  <c r="AL724" i="178"/>
  <c r="AM724" i="178"/>
  <c r="AN724" i="178"/>
  <c r="AO724" i="178"/>
  <c r="T730" i="178"/>
  <c r="W730" i="178"/>
  <c r="AD730" i="178"/>
  <c r="AE730" i="178"/>
  <c r="AF730" i="178"/>
  <c r="AG730" i="178"/>
  <c r="AH730" i="178"/>
  <c r="AI730" i="178"/>
  <c r="AJ730" i="178"/>
  <c r="AK730" i="178"/>
  <c r="AL730" i="178"/>
  <c r="AM730" i="178"/>
  <c r="AN730" i="178"/>
  <c r="AO730" i="178"/>
  <c r="T821" i="178"/>
  <c r="U821" i="178" s="1"/>
  <c r="W821" i="178"/>
  <c r="AD821" i="178"/>
  <c r="AE821" i="178"/>
  <c r="AF821" i="178"/>
  <c r="AG821" i="178"/>
  <c r="AH821" i="178"/>
  <c r="AI821" i="178"/>
  <c r="AJ821" i="178"/>
  <c r="AK821" i="178"/>
  <c r="AL821" i="178"/>
  <c r="AM821" i="178"/>
  <c r="AN821" i="178"/>
  <c r="AO821" i="178"/>
  <c r="T822" i="178"/>
  <c r="V822" i="178" s="1"/>
  <c r="W822" i="178"/>
  <c r="AD822" i="178"/>
  <c r="AE822" i="178"/>
  <c r="AF822" i="178"/>
  <c r="AG822" i="178"/>
  <c r="AH822" i="178"/>
  <c r="AI822" i="178"/>
  <c r="AJ822" i="178"/>
  <c r="AK822" i="178"/>
  <c r="AL822" i="178"/>
  <c r="AM822" i="178"/>
  <c r="AN822" i="178"/>
  <c r="AO822" i="178"/>
  <c r="T427" i="178"/>
  <c r="U427" i="178" s="1"/>
  <c r="W427" i="178"/>
  <c r="AD427" i="178"/>
  <c r="AE427" i="178"/>
  <c r="AF427" i="178"/>
  <c r="AG427" i="178"/>
  <c r="AH427" i="178"/>
  <c r="AI427" i="178"/>
  <c r="AJ427" i="178"/>
  <c r="AK427" i="178"/>
  <c r="AL427" i="178"/>
  <c r="AM427" i="178"/>
  <c r="AN427" i="178"/>
  <c r="AO427" i="178"/>
  <c r="T493" i="178"/>
  <c r="W493" i="178"/>
  <c r="AD493" i="178"/>
  <c r="AE493" i="178"/>
  <c r="AF493" i="178"/>
  <c r="AG493" i="178"/>
  <c r="AH493" i="178"/>
  <c r="AI493" i="178"/>
  <c r="AJ493" i="178"/>
  <c r="AK493" i="178"/>
  <c r="AL493" i="178"/>
  <c r="AM493" i="178"/>
  <c r="AN493" i="178"/>
  <c r="AO493" i="178"/>
  <c r="T865" i="178"/>
  <c r="U865" i="178" s="1"/>
  <c r="W865" i="178"/>
  <c r="AD865" i="178"/>
  <c r="AE865" i="178"/>
  <c r="AF865" i="178"/>
  <c r="AG865" i="178"/>
  <c r="AH865" i="178"/>
  <c r="AI865" i="178"/>
  <c r="AJ865" i="178"/>
  <c r="AK865" i="178"/>
  <c r="AL865" i="178"/>
  <c r="AM865" i="178"/>
  <c r="AN865" i="178"/>
  <c r="AO865" i="178"/>
  <c r="T387" i="178"/>
  <c r="V387" i="178" s="1"/>
  <c r="W387" i="178"/>
  <c r="AD387" i="178"/>
  <c r="AE387" i="178"/>
  <c r="AF387" i="178"/>
  <c r="AG387" i="178"/>
  <c r="AH387" i="178"/>
  <c r="AI387" i="178"/>
  <c r="AJ387" i="178"/>
  <c r="AK387" i="178"/>
  <c r="AL387" i="178"/>
  <c r="AM387" i="178"/>
  <c r="AN387" i="178"/>
  <c r="AO387" i="178"/>
  <c r="T412" i="178"/>
  <c r="U412" i="178" s="1"/>
  <c r="W412" i="178"/>
  <c r="AD412" i="178"/>
  <c r="AE412" i="178"/>
  <c r="AF412" i="178"/>
  <c r="AG412" i="178"/>
  <c r="AH412" i="178"/>
  <c r="AI412" i="178"/>
  <c r="AJ412" i="178"/>
  <c r="AK412" i="178"/>
  <c r="AL412" i="178"/>
  <c r="AM412" i="178"/>
  <c r="AN412" i="178"/>
  <c r="AO412" i="178"/>
  <c r="T579" i="178"/>
  <c r="W579" i="178"/>
  <c r="AD579" i="178"/>
  <c r="AE579" i="178"/>
  <c r="AF579" i="178"/>
  <c r="AG579" i="178"/>
  <c r="AH579" i="178"/>
  <c r="AI579" i="178"/>
  <c r="AJ579" i="178"/>
  <c r="AK579" i="178"/>
  <c r="AL579" i="178"/>
  <c r="AM579" i="178"/>
  <c r="AN579" i="178"/>
  <c r="AO579" i="178"/>
  <c r="T581" i="178"/>
  <c r="U581" i="178" s="1"/>
  <c r="W581" i="178"/>
  <c r="AD581" i="178"/>
  <c r="AE581" i="178"/>
  <c r="AF581" i="178"/>
  <c r="AG581" i="178"/>
  <c r="AH581" i="178"/>
  <c r="AI581" i="178"/>
  <c r="AJ581" i="178"/>
  <c r="AK581" i="178"/>
  <c r="AL581" i="178"/>
  <c r="AM581" i="178"/>
  <c r="AN581" i="178"/>
  <c r="AO581" i="178"/>
  <c r="T634" i="178"/>
  <c r="V634" i="178" s="1"/>
  <c r="W634" i="178"/>
  <c r="AD634" i="178"/>
  <c r="AE634" i="178"/>
  <c r="AF634" i="178"/>
  <c r="AG634" i="178"/>
  <c r="AH634" i="178"/>
  <c r="AI634" i="178"/>
  <c r="AJ634" i="178"/>
  <c r="AK634" i="178"/>
  <c r="AL634" i="178"/>
  <c r="AM634" i="178"/>
  <c r="AN634" i="178"/>
  <c r="AO634" i="178"/>
  <c r="T662" i="178"/>
  <c r="U662" i="178" s="1"/>
  <c r="W662" i="178"/>
  <c r="AD662" i="178"/>
  <c r="AE662" i="178"/>
  <c r="AF662" i="178"/>
  <c r="AG662" i="178"/>
  <c r="AH662" i="178"/>
  <c r="AI662" i="178"/>
  <c r="AJ662" i="178"/>
  <c r="AK662" i="178"/>
  <c r="AL662" i="178"/>
  <c r="AM662" i="178"/>
  <c r="AN662" i="178"/>
  <c r="AO662" i="178"/>
  <c r="T200" i="178"/>
  <c r="W200" i="178"/>
  <c r="AD200" i="178"/>
  <c r="AE200" i="178"/>
  <c r="AF200" i="178"/>
  <c r="AG200" i="178"/>
  <c r="AH200" i="178"/>
  <c r="AI200" i="178"/>
  <c r="AJ200" i="178"/>
  <c r="AK200" i="178"/>
  <c r="AL200" i="178"/>
  <c r="AM200" i="178"/>
  <c r="AN200" i="178"/>
  <c r="AO200" i="178"/>
  <c r="T883" i="178"/>
  <c r="U883" i="178" s="1"/>
  <c r="W883" i="178"/>
  <c r="AD883" i="178"/>
  <c r="AE883" i="178"/>
  <c r="AF883" i="178"/>
  <c r="AG883" i="178"/>
  <c r="AH883" i="178"/>
  <c r="AI883" i="178"/>
  <c r="AJ883" i="178"/>
  <c r="AK883" i="178"/>
  <c r="AL883" i="178"/>
  <c r="AM883" i="178"/>
  <c r="AN883" i="178"/>
  <c r="AO883" i="178"/>
  <c r="T890" i="178"/>
  <c r="V890" i="178" s="1"/>
  <c r="W890" i="178"/>
  <c r="AD890" i="178"/>
  <c r="AE890" i="178"/>
  <c r="AF890" i="178"/>
  <c r="AG890" i="178"/>
  <c r="AH890" i="178"/>
  <c r="AI890" i="178"/>
  <c r="AJ890" i="178"/>
  <c r="AK890" i="178"/>
  <c r="AL890" i="178"/>
  <c r="AM890" i="178"/>
  <c r="AN890" i="178"/>
  <c r="AO890" i="178"/>
  <c r="T907" i="178"/>
  <c r="U907" i="178" s="1"/>
  <c r="W907" i="178"/>
  <c r="AD907" i="178"/>
  <c r="AE907" i="178"/>
  <c r="AF907" i="178"/>
  <c r="AG907" i="178"/>
  <c r="AH907" i="178"/>
  <c r="AI907" i="178"/>
  <c r="AJ907" i="178"/>
  <c r="AK907" i="178"/>
  <c r="AL907" i="178"/>
  <c r="AM907" i="178"/>
  <c r="AN907" i="178"/>
  <c r="AO907" i="178"/>
  <c r="T915" i="178"/>
  <c r="W915" i="178"/>
  <c r="AD915" i="178"/>
  <c r="AE915" i="178"/>
  <c r="AF915" i="178"/>
  <c r="AG915" i="178"/>
  <c r="AH915" i="178"/>
  <c r="AI915" i="178"/>
  <c r="AJ915" i="178"/>
  <c r="AK915" i="178"/>
  <c r="AL915" i="178"/>
  <c r="AM915" i="178"/>
  <c r="AN915" i="178"/>
  <c r="AO915" i="178"/>
  <c r="T201" i="178"/>
  <c r="U201" i="178" s="1"/>
  <c r="W201" i="178"/>
  <c r="AD201" i="178"/>
  <c r="AE201" i="178"/>
  <c r="AF201" i="178"/>
  <c r="AG201" i="178"/>
  <c r="AH201" i="178"/>
  <c r="AI201" i="178"/>
  <c r="AJ201" i="178"/>
  <c r="AK201" i="178"/>
  <c r="AL201" i="178"/>
  <c r="AM201" i="178"/>
  <c r="AN201" i="178"/>
  <c r="AO201" i="178"/>
  <c r="T554" i="178"/>
  <c r="V554" i="178" s="1"/>
  <c r="W554" i="178"/>
  <c r="AD554" i="178"/>
  <c r="AE554" i="178"/>
  <c r="AF554" i="178"/>
  <c r="AG554" i="178"/>
  <c r="AH554" i="178"/>
  <c r="AI554" i="178"/>
  <c r="AJ554" i="178"/>
  <c r="AK554" i="178"/>
  <c r="AL554" i="178"/>
  <c r="AM554" i="178"/>
  <c r="AN554" i="178"/>
  <c r="AO554" i="178"/>
  <c r="T825" i="178"/>
  <c r="U825" i="178" s="1"/>
  <c r="W825" i="178"/>
  <c r="AD825" i="178"/>
  <c r="AE825" i="178"/>
  <c r="AF825" i="178"/>
  <c r="AG825" i="178"/>
  <c r="AH825" i="178"/>
  <c r="AI825" i="178"/>
  <c r="AJ825" i="178"/>
  <c r="AK825" i="178"/>
  <c r="AL825" i="178"/>
  <c r="AM825" i="178"/>
  <c r="AN825" i="178"/>
  <c r="AO825" i="178"/>
  <c r="T876" i="178"/>
  <c r="V876" i="178" s="1"/>
  <c r="W876" i="178"/>
  <c r="AD876" i="178"/>
  <c r="AE876" i="178"/>
  <c r="AF876" i="178"/>
  <c r="AG876" i="178"/>
  <c r="AH876" i="178"/>
  <c r="AI876" i="178"/>
  <c r="AJ876" i="178"/>
  <c r="AK876" i="178"/>
  <c r="AL876" i="178"/>
  <c r="AM876" i="178"/>
  <c r="AN876" i="178"/>
  <c r="AO876" i="178"/>
  <c r="T908" i="178"/>
  <c r="U908" i="178" s="1"/>
  <c r="W908" i="178"/>
  <c r="AD908" i="178"/>
  <c r="AE908" i="178"/>
  <c r="AF908" i="178"/>
  <c r="AG908" i="178"/>
  <c r="AH908" i="178"/>
  <c r="AI908" i="178"/>
  <c r="AJ908" i="178"/>
  <c r="AK908" i="178"/>
  <c r="AL908" i="178"/>
  <c r="AM908" i="178"/>
  <c r="AN908" i="178"/>
  <c r="AO908" i="178"/>
  <c r="T726" i="178"/>
  <c r="V726" i="178" s="1"/>
  <c r="W726" i="178"/>
  <c r="AD726" i="178"/>
  <c r="AE726" i="178"/>
  <c r="AF726" i="178"/>
  <c r="AG726" i="178"/>
  <c r="AH726" i="178"/>
  <c r="AI726" i="178"/>
  <c r="AJ726" i="178"/>
  <c r="AK726" i="178"/>
  <c r="AL726" i="178"/>
  <c r="AM726" i="178"/>
  <c r="AN726" i="178"/>
  <c r="AO726" i="178"/>
  <c r="T727" i="178"/>
  <c r="U727" i="178" s="1"/>
  <c r="W727" i="178"/>
  <c r="AD727" i="178"/>
  <c r="AE727" i="178"/>
  <c r="AF727" i="178"/>
  <c r="AG727" i="178"/>
  <c r="AH727" i="178"/>
  <c r="AI727" i="178"/>
  <c r="AJ727" i="178"/>
  <c r="AK727" i="178"/>
  <c r="AL727" i="178"/>
  <c r="AM727" i="178"/>
  <c r="AN727" i="178"/>
  <c r="AO727" i="178"/>
  <c r="T731" i="178"/>
  <c r="V731" i="178" s="1"/>
  <c r="W731" i="178"/>
  <c r="AD731" i="178"/>
  <c r="AE731" i="178"/>
  <c r="AF731" i="178"/>
  <c r="AG731" i="178"/>
  <c r="AH731" i="178"/>
  <c r="AI731" i="178"/>
  <c r="AJ731" i="178"/>
  <c r="AK731" i="178"/>
  <c r="AL731" i="178"/>
  <c r="AM731" i="178"/>
  <c r="AN731" i="178"/>
  <c r="AO731" i="178"/>
  <c r="T732" i="178"/>
  <c r="U732" i="178" s="1"/>
  <c r="W732" i="178"/>
  <c r="AD732" i="178"/>
  <c r="AE732" i="178"/>
  <c r="AF732" i="178"/>
  <c r="AG732" i="178"/>
  <c r="AH732" i="178"/>
  <c r="AI732" i="178"/>
  <c r="AJ732" i="178"/>
  <c r="AK732" i="178"/>
  <c r="AL732" i="178"/>
  <c r="AM732" i="178"/>
  <c r="AN732" i="178"/>
  <c r="AO732" i="178"/>
  <c r="T826" i="178"/>
  <c r="V826" i="178" s="1"/>
  <c r="W826" i="178"/>
  <c r="AD826" i="178"/>
  <c r="AE826" i="178"/>
  <c r="AF826" i="178"/>
  <c r="AG826" i="178"/>
  <c r="AH826" i="178"/>
  <c r="AI826" i="178"/>
  <c r="AJ826" i="178"/>
  <c r="AK826" i="178"/>
  <c r="AL826" i="178"/>
  <c r="AM826" i="178"/>
  <c r="AN826" i="178"/>
  <c r="AO826" i="178"/>
  <c r="T827" i="178"/>
  <c r="U827" i="178" s="1"/>
  <c r="W827" i="178"/>
  <c r="AD827" i="178"/>
  <c r="AE827" i="178"/>
  <c r="AF827" i="178"/>
  <c r="AG827" i="178"/>
  <c r="AH827" i="178"/>
  <c r="AI827" i="178"/>
  <c r="AJ827" i="178"/>
  <c r="AK827" i="178"/>
  <c r="AL827" i="178"/>
  <c r="AM827" i="178"/>
  <c r="AN827" i="178"/>
  <c r="AO827" i="178"/>
  <c r="T871" i="178"/>
  <c r="V871" i="178" s="1"/>
  <c r="W871" i="178"/>
  <c r="AD871" i="178"/>
  <c r="AE871" i="178"/>
  <c r="AF871" i="178"/>
  <c r="AG871" i="178"/>
  <c r="AH871" i="178"/>
  <c r="AI871" i="178"/>
  <c r="AJ871" i="178"/>
  <c r="AK871" i="178"/>
  <c r="AL871" i="178"/>
  <c r="AM871" i="178"/>
  <c r="AN871" i="178"/>
  <c r="AO871" i="178"/>
  <c r="T872" i="178"/>
  <c r="W872" i="178"/>
  <c r="AD872" i="178"/>
  <c r="AE872" i="178"/>
  <c r="AF872" i="178"/>
  <c r="AG872" i="178"/>
  <c r="AH872" i="178"/>
  <c r="AI872" i="178"/>
  <c r="AJ872" i="178"/>
  <c r="AK872" i="178"/>
  <c r="AL872" i="178"/>
  <c r="AM872" i="178"/>
  <c r="AN872" i="178"/>
  <c r="AO872" i="178"/>
  <c r="T663" i="178"/>
  <c r="V663" i="178" s="1"/>
  <c r="W663" i="178"/>
  <c r="AD663" i="178"/>
  <c r="AE663" i="178"/>
  <c r="AF663" i="178"/>
  <c r="AG663" i="178"/>
  <c r="AH663" i="178"/>
  <c r="AI663" i="178"/>
  <c r="AJ663" i="178"/>
  <c r="AK663" i="178"/>
  <c r="AL663" i="178"/>
  <c r="AM663" i="178"/>
  <c r="AN663" i="178"/>
  <c r="AO663" i="178"/>
  <c r="T665" i="178"/>
  <c r="W665" i="178"/>
  <c r="AD665" i="178"/>
  <c r="AE665" i="178"/>
  <c r="AF665" i="178"/>
  <c r="AG665" i="178"/>
  <c r="AH665" i="178"/>
  <c r="AI665" i="178"/>
  <c r="AJ665" i="178"/>
  <c r="AK665" i="178"/>
  <c r="AL665" i="178"/>
  <c r="AM665" i="178"/>
  <c r="AN665" i="178"/>
  <c r="AO665" i="178"/>
  <c r="T866" i="178"/>
  <c r="V866" i="178" s="1"/>
  <c r="W866" i="178"/>
  <c r="AD866" i="178"/>
  <c r="AE866" i="178"/>
  <c r="AF866" i="178"/>
  <c r="AG866" i="178"/>
  <c r="AH866" i="178"/>
  <c r="AI866" i="178"/>
  <c r="AJ866" i="178"/>
  <c r="AK866" i="178"/>
  <c r="AL866" i="178"/>
  <c r="AM866" i="178"/>
  <c r="AN866" i="178"/>
  <c r="AO866" i="178"/>
  <c r="T859" i="178"/>
  <c r="W859" i="178"/>
  <c r="AD859" i="178"/>
  <c r="AE859" i="178"/>
  <c r="AF859" i="178"/>
  <c r="AG859" i="178"/>
  <c r="AH859" i="178"/>
  <c r="AI859" i="178"/>
  <c r="AJ859" i="178"/>
  <c r="AK859" i="178"/>
  <c r="AL859" i="178"/>
  <c r="AM859" i="178"/>
  <c r="AN859" i="178"/>
  <c r="AO859" i="178"/>
  <c r="T862" i="178"/>
  <c r="U862" i="178" s="1"/>
  <c r="W862" i="178"/>
  <c r="AD862" i="178"/>
  <c r="AE862" i="178"/>
  <c r="AF862" i="178"/>
  <c r="AG862" i="178"/>
  <c r="AH862" i="178"/>
  <c r="AI862" i="178"/>
  <c r="AJ862" i="178"/>
  <c r="AK862" i="178"/>
  <c r="AL862" i="178"/>
  <c r="AM862" i="178"/>
  <c r="AN862" i="178"/>
  <c r="AO862" i="178"/>
  <c r="T175" i="178"/>
  <c r="W175" i="178"/>
  <c r="AD175" i="178"/>
  <c r="AE175" i="178"/>
  <c r="AF175" i="178"/>
  <c r="AG175" i="178"/>
  <c r="AH175" i="178"/>
  <c r="AI175" i="178"/>
  <c r="AJ175" i="178"/>
  <c r="AK175" i="178"/>
  <c r="AL175" i="178"/>
  <c r="AM175" i="178"/>
  <c r="AN175" i="178"/>
  <c r="AO175" i="178"/>
  <c r="T177" i="178"/>
  <c r="V177" i="178" s="1"/>
  <c r="W177" i="178"/>
  <c r="AD177" i="178"/>
  <c r="AE177" i="178"/>
  <c r="AF177" i="178"/>
  <c r="AG177" i="178"/>
  <c r="AH177" i="178"/>
  <c r="AI177" i="178"/>
  <c r="AJ177" i="178"/>
  <c r="AK177" i="178"/>
  <c r="AL177" i="178"/>
  <c r="AM177" i="178"/>
  <c r="AN177" i="178"/>
  <c r="AO177" i="178"/>
  <c r="T292" i="178"/>
  <c r="W292" i="178"/>
  <c r="AD292" i="178"/>
  <c r="AE292" i="178"/>
  <c r="AF292" i="178"/>
  <c r="AG292" i="178"/>
  <c r="AH292" i="178"/>
  <c r="AI292" i="178"/>
  <c r="AJ292" i="178"/>
  <c r="AK292" i="178"/>
  <c r="AL292" i="178"/>
  <c r="AM292" i="178"/>
  <c r="AN292" i="178"/>
  <c r="AO292" i="178"/>
  <c r="T734" i="178"/>
  <c r="V734" i="178" s="1"/>
  <c r="W734" i="178"/>
  <c r="AD734" i="178"/>
  <c r="AE734" i="178"/>
  <c r="AF734" i="178"/>
  <c r="AG734" i="178"/>
  <c r="AH734" i="178"/>
  <c r="AI734" i="178"/>
  <c r="AJ734" i="178"/>
  <c r="AK734" i="178"/>
  <c r="AL734" i="178"/>
  <c r="AM734" i="178"/>
  <c r="AN734" i="178"/>
  <c r="AO734" i="178"/>
  <c r="T860" i="178"/>
  <c r="W860" i="178"/>
  <c r="AD860" i="178"/>
  <c r="AE860" i="178"/>
  <c r="AF860" i="178"/>
  <c r="AG860" i="178"/>
  <c r="AH860" i="178"/>
  <c r="AI860" i="178"/>
  <c r="AJ860" i="178"/>
  <c r="AK860" i="178"/>
  <c r="AL860" i="178"/>
  <c r="AM860" i="178"/>
  <c r="AN860" i="178"/>
  <c r="AO860" i="178"/>
  <c r="T863" i="178"/>
  <c r="V863" i="178" s="1"/>
  <c r="W863" i="178"/>
  <c r="AD863" i="178"/>
  <c r="AE863" i="178"/>
  <c r="AF863" i="178"/>
  <c r="AG863" i="178"/>
  <c r="AH863" i="178"/>
  <c r="AI863" i="178"/>
  <c r="AJ863" i="178"/>
  <c r="AK863" i="178"/>
  <c r="AL863" i="178"/>
  <c r="AM863" i="178"/>
  <c r="AN863" i="178"/>
  <c r="AO863" i="178"/>
  <c r="T174" i="178"/>
  <c r="W174" i="178"/>
  <c r="AD174" i="178"/>
  <c r="AE174" i="178"/>
  <c r="AF174" i="178"/>
  <c r="AG174" i="178"/>
  <c r="AH174" i="178"/>
  <c r="AI174" i="178"/>
  <c r="AJ174" i="178"/>
  <c r="AK174" i="178"/>
  <c r="AL174" i="178"/>
  <c r="AM174" i="178"/>
  <c r="AN174" i="178"/>
  <c r="AO174" i="178"/>
  <c r="T293" i="178"/>
  <c r="V293" i="178" s="1"/>
  <c r="W293" i="178"/>
  <c r="AD293" i="178"/>
  <c r="AE293" i="178"/>
  <c r="AF293" i="178"/>
  <c r="AG293" i="178"/>
  <c r="AH293" i="178"/>
  <c r="AI293" i="178"/>
  <c r="AJ293" i="178"/>
  <c r="AK293" i="178"/>
  <c r="AL293" i="178"/>
  <c r="AM293" i="178"/>
  <c r="AN293" i="178"/>
  <c r="AO293" i="178"/>
  <c r="T295" i="178"/>
  <c r="W295" i="178"/>
  <c r="AD295" i="178"/>
  <c r="AE295" i="178"/>
  <c r="AF295" i="178"/>
  <c r="AG295" i="178"/>
  <c r="AH295" i="178"/>
  <c r="AI295" i="178"/>
  <c r="AJ295" i="178"/>
  <c r="AK295" i="178"/>
  <c r="AL295" i="178"/>
  <c r="AM295" i="178"/>
  <c r="AN295" i="178"/>
  <c r="AO295" i="178"/>
  <c r="T559" i="178"/>
  <c r="U559" i="178" s="1"/>
  <c r="W559" i="178"/>
  <c r="AD559" i="178"/>
  <c r="AE559" i="178"/>
  <c r="AF559" i="178"/>
  <c r="AG559" i="178"/>
  <c r="AH559" i="178"/>
  <c r="AI559" i="178"/>
  <c r="AJ559" i="178"/>
  <c r="AK559" i="178"/>
  <c r="AL559" i="178"/>
  <c r="AM559" i="178"/>
  <c r="AN559" i="178"/>
  <c r="AO559" i="178"/>
  <c r="T671" i="178"/>
  <c r="W671" i="178"/>
  <c r="AD671" i="178"/>
  <c r="AE671" i="178"/>
  <c r="AF671" i="178"/>
  <c r="AG671" i="178"/>
  <c r="AH671" i="178"/>
  <c r="AI671" i="178"/>
  <c r="AJ671" i="178"/>
  <c r="AK671" i="178"/>
  <c r="AL671" i="178"/>
  <c r="AM671" i="178"/>
  <c r="AN671" i="178"/>
  <c r="AO671" i="178"/>
  <c r="T861" i="178"/>
  <c r="V861" i="178" s="1"/>
  <c r="W861" i="178"/>
  <c r="AD861" i="178"/>
  <c r="AE861" i="178"/>
  <c r="AF861" i="178"/>
  <c r="AG861" i="178"/>
  <c r="AH861" i="178"/>
  <c r="AI861" i="178"/>
  <c r="AJ861" i="178"/>
  <c r="AK861" i="178"/>
  <c r="AL861" i="178"/>
  <c r="AM861" i="178"/>
  <c r="AN861" i="178"/>
  <c r="AO861" i="178"/>
  <c r="T389" i="178"/>
  <c r="U389" i="178" s="1"/>
  <c r="W389" i="178"/>
  <c r="AD389" i="178"/>
  <c r="AE389" i="178"/>
  <c r="AF389" i="178"/>
  <c r="AG389" i="178"/>
  <c r="AH389" i="178"/>
  <c r="AI389" i="178"/>
  <c r="AJ389" i="178"/>
  <c r="AK389" i="178"/>
  <c r="AL389" i="178"/>
  <c r="AM389" i="178"/>
  <c r="AN389" i="178"/>
  <c r="AO389" i="178"/>
  <c r="T414" i="178"/>
  <c r="W414" i="178"/>
  <c r="AD414" i="178"/>
  <c r="AE414" i="178"/>
  <c r="AF414" i="178"/>
  <c r="AG414" i="178"/>
  <c r="AH414" i="178"/>
  <c r="AI414" i="178"/>
  <c r="AJ414" i="178"/>
  <c r="AK414" i="178"/>
  <c r="AL414" i="178"/>
  <c r="AM414" i="178"/>
  <c r="AN414" i="178"/>
  <c r="AO414" i="178"/>
  <c r="T636" i="178"/>
  <c r="V636" i="178" s="1"/>
  <c r="W636" i="178"/>
  <c r="AD636" i="178"/>
  <c r="AE636" i="178"/>
  <c r="AF636" i="178"/>
  <c r="AG636" i="178"/>
  <c r="AH636" i="178"/>
  <c r="AI636" i="178"/>
  <c r="AJ636" i="178"/>
  <c r="AK636" i="178"/>
  <c r="AL636" i="178"/>
  <c r="AM636" i="178"/>
  <c r="AN636" i="178"/>
  <c r="AO636" i="178"/>
  <c r="T919" i="178"/>
  <c r="W919" i="178"/>
  <c r="AD919" i="178"/>
  <c r="AE919" i="178"/>
  <c r="AF919" i="178"/>
  <c r="AG919" i="178"/>
  <c r="AH919" i="178"/>
  <c r="AI919" i="178"/>
  <c r="AJ919" i="178"/>
  <c r="AK919" i="178"/>
  <c r="AL919" i="178"/>
  <c r="AM919" i="178"/>
  <c r="AN919" i="178"/>
  <c r="AO919" i="178"/>
  <c r="T940" i="178"/>
  <c r="U940" i="178" s="1"/>
  <c r="W940" i="178"/>
  <c r="AD940" i="178"/>
  <c r="AE940" i="178"/>
  <c r="AF940" i="178"/>
  <c r="AG940" i="178"/>
  <c r="AH940" i="178"/>
  <c r="AI940" i="178"/>
  <c r="AJ940" i="178"/>
  <c r="AK940" i="178"/>
  <c r="AL940" i="178"/>
  <c r="AM940" i="178"/>
  <c r="AN940" i="178"/>
  <c r="AO940" i="178"/>
  <c r="T390" i="178"/>
  <c r="W390" i="178"/>
  <c r="AD390" i="178"/>
  <c r="AE390" i="178"/>
  <c r="AF390" i="178"/>
  <c r="AG390" i="178"/>
  <c r="AH390" i="178"/>
  <c r="AI390" i="178"/>
  <c r="AJ390" i="178"/>
  <c r="AK390" i="178"/>
  <c r="AL390" i="178"/>
  <c r="AM390" i="178"/>
  <c r="AN390" i="178"/>
  <c r="AO390" i="178"/>
  <c r="T415" i="178"/>
  <c r="V415" i="178" s="1"/>
  <c r="W415" i="178"/>
  <c r="AD415" i="178"/>
  <c r="AE415" i="178"/>
  <c r="AF415" i="178"/>
  <c r="AG415" i="178"/>
  <c r="AH415" i="178"/>
  <c r="AI415" i="178"/>
  <c r="AJ415" i="178"/>
  <c r="AK415" i="178"/>
  <c r="AL415" i="178"/>
  <c r="AM415" i="178"/>
  <c r="AN415" i="178"/>
  <c r="AO415" i="178"/>
  <c r="T637" i="178"/>
  <c r="W637" i="178"/>
  <c r="AD637" i="178"/>
  <c r="AE637" i="178"/>
  <c r="AF637" i="178"/>
  <c r="AG637" i="178"/>
  <c r="AH637" i="178"/>
  <c r="AI637" i="178"/>
  <c r="AJ637" i="178"/>
  <c r="AK637" i="178"/>
  <c r="AL637" i="178"/>
  <c r="AM637" i="178"/>
  <c r="AN637" i="178"/>
  <c r="AO637" i="178"/>
  <c r="T920" i="178"/>
  <c r="V920" i="178" s="1"/>
  <c r="W920" i="178"/>
  <c r="AD920" i="178"/>
  <c r="AE920" i="178"/>
  <c r="AF920" i="178"/>
  <c r="AG920" i="178"/>
  <c r="AH920" i="178"/>
  <c r="AI920" i="178"/>
  <c r="AJ920" i="178"/>
  <c r="AK920" i="178"/>
  <c r="AL920" i="178"/>
  <c r="AM920" i="178"/>
  <c r="AN920" i="178"/>
  <c r="AO920" i="178"/>
  <c r="T941" i="178"/>
  <c r="W941" i="178"/>
  <c r="AD941" i="178"/>
  <c r="AE941" i="178"/>
  <c r="AF941" i="178"/>
  <c r="AG941" i="178"/>
  <c r="AH941" i="178"/>
  <c r="AI941" i="178"/>
  <c r="AJ941" i="178"/>
  <c r="AK941" i="178"/>
  <c r="AL941" i="178"/>
  <c r="AM941" i="178"/>
  <c r="AN941" i="178"/>
  <c r="AO941" i="178"/>
  <c r="T352" i="178"/>
  <c r="U352" i="178" s="1"/>
  <c r="W352" i="178"/>
  <c r="AD352" i="178"/>
  <c r="AE352" i="178"/>
  <c r="AF352" i="178"/>
  <c r="AG352" i="178"/>
  <c r="AH352" i="178"/>
  <c r="AI352" i="178"/>
  <c r="AJ352" i="178"/>
  <c r="AK352" i="178"/>
  <c r="AL352" i="178"/>
  <c r="AM352" i="178"/>
  <c r="AN352" i="178"/>
  <c r="AO352" i="178"/>
  <c r="T487" i="178"/>
  <c r="W487" i="178"/>
  <c r="AD487" i="178"/>
  <c r="AE487" i="178"/>
  <c r="AF487" i="178"/>
  <c r="AG487" i="178"/>
  <c r="AH487" i="178"/>
  <c r="AI487" i="178"/>
  <c r="AJ487" i="178"/>
  <c r="AK487" i="178"/>
  <c r="AL487" i="178"/>
  <c r="AM487" i="178"/>
  <c r="AN487" i="178"/>
  <c r="AO487" i="178"/>
  <c r="T897" i="178"/>
  <c r="U897" i="178" s="1"/>
  <c r="W897" i="178"/>
  <c r="AD897" i="178"/>
  <c r="AE897" i="178"/>
  <c r="AF897" i="178"/>
  <c r="AG897" i="178"/>
  <c r="AH897" i="178"/>
  <c r="AI897" i="178"/>
  <c r="AJ897" i="178"/>
  <c r="AK897" i="178"/>
  <c r="AL897" i="178"/>
  <c r="AM897" i="178"/>
  <c r="AN897" i="178"/>
  <c r="AO897" i="178"/>
  <c r="T1148" i="178"/>
  <c r="W1148" i="178"/>
  <c r="AD1148" i="178"/>
  <c r="AE1148" i="178"/>
  <c r="AF1148" i="178"/>
  <c r="AG1148" i="178"/>
  <c r="AH1148" i="178"/>
  <c r="AI1148" i="178"/>
  <c r="AJ1148" i="178"/>
  <c r="AK1148" i="178"/>
  <c r="AL1148" i="178"/>
  <c r="AM1148" i="178"/>
  <c r="AN1148" i="178"/>
  <c r="AO1148" i="178"/>
  <c r="T353" i="178"/>
  <c r="V353" i="178" s="1"/>
  <c r="W353" i="178"/>
  <c r="AD353" i="178"/>
  <c r="AE353" i="178"/>
  <c r="AF353" i="178"/>
  <c r="AG353" i="178"/>
  <c r="AH353" i="178"/>
  <c r="AI353" i="178"/>
  <c r="AJ353" i="178"/>
  <c r="AK353" i="178"/>
  <c r="AL353" i="178"/>
  <c r="AM353" i="178"/>
  <c r="AN353" i="178"/>
  <c r="AO353" i="178"/>
  <c r="T685" i="178"/>
  <c r="W685" i="178"/>
  <c r="AD685" i="178"/>
  <c r="AE685" i="178"/>
  <c r="AF685" i="178"/>
  <c r="AG685" i="178"/>
  <c r="AH685" i="178"/>
  <c r="AI685" i="178"/>
  <c r="AJ685" i="178"/>
  <c r="AK685" i="178"/>
  <c r="AL685" i="178"/>
  <c r="AM685" i="178"/>
  <c r="AN685" i="178"/>
  <c r="AO685" i="178"/>
  <c r="T898" i="178"/>
  <c r="V898" i="178" s="1"/>
  <c r="W898" i="178"/>
  <c r="AD898" i="178"/>
  <c r="AE898" i="178"/>
  <c r="AF898" i="178"/>
  <c r="AG898" i="178"/>
  <c r="AH898" i="178"/>
  <c r="AI898" i="178"/>
  <c r="AJ898" i="178"/>
  <c r="AK898" i="178"/>
  <c r="AL898" i="178"/>
  <c r="AM898" i="178"/>
  <c r="AN898" i="178"/>
  <c r="AO898" i="178"/>
  <c r="T1149" i="178"/>
  <c r="U1149" i="178" s="1"/>
  <c r="W1149" i="178"/>
  <c r="AD1149" i="178"/>
  <c r="AE1149" i="178"/>
  <c r="AF1149" i="178"/>
  <c r="AG1149" i="178"/>
  <c r="AH1149" i="178"/>
  <c r="AI1149" i="178"/>
  <c r="AJ1149" i="178"/>
  <c r="AK1149" i="178"/>
  <c r="AL1149" i="178"/>
  <c r="AM1149" i="178"/>
  <c r="AN1149" i="178"/>
  <c r="AO1149" i="178"/>
  <c r="T136" i="178"/>
  <c r="W136" i="178"/>
  <c r="AD136" i="178"/>
  <c r="AE136" i="178"/>
  <c r="AF136" i="178"/>
  <c r="AG136" i="178"/>
  <c r="AH136" i="178"/>
  <c r="AI136" i="178"/>
  <c r="AJ136" i="178"/>
  <c r="AK136" i="178"/>
  <c r="AL136" i="178"/>
  <c r="AM136" i="178"/>
  <c r="AN136" i="178"/>
  <c r="AO136" i="178"/>
  <c r="T416" i="178"/>
  <c r="U416" i="178" s="1"/>
  <c r="W416" i="178"/>
  <c r="AD416" i="178"/>
  <c r="AE416" i="178"/>
  <c r="AF416" i="178"/>
  <c r="AG416" i="178"/>
  <c r="AH416" i="178"/>
  <c r="AI416" i="178"/>
  <c r="AJ416" i="178"/>
  <c r="AK416" i="178"/>
  <c r="AL416" i="178"/>
  <c r="AM416" i="178"/>
  <c r="AN416" i="178"/>
  <c r="AO416" i="178"/>
  <c r="T439" i="178"/>
  <c r="W439" i="178"/>
  <c r="AD439" i="178"/>
  <c r="AE439" i="178"/>
  <c r="AF439" i="178"/>
  <c r="AG439" i="178"/>
  <c r="AH439" i="178"/>
  <c r="AI439" i="178"/>
  <c r="AJ439" i="178"/>
  <c r="AK439" i="178"/>
  <c r="AL439" i="178"/>
  <c r="AM439" i="178"/>
  <c r="AN439" i="178"/>
  <c r="AO439" i="178"/>
  <c r="T485" i="178"/>
  <c r="V485" i="178" s="1"/>
  <c r="W485" i="178"/>
  <c r="AD485" i="178"/>
  <c r="AE485" i="178"/>
  <c r="AF485" i="178"/>
  <c r="AG485" i="178"/>
  <c r="AH485" i="178"/>
  <c r="AI485" i="178"/>
  <c r="AJ485" i="178"/>
  <c r="AK485" i="178"/>
  <c r="AL485" i="178"/>
  <c r="AM485" i="178"/>
  <c r="AN485" i="178"/>
  <c r="AO485" i="178"/>
  <c r="T638" i="178"/>
  <c r="W638" i="178"/>
  <c r="AD638" i="178"/>
  <c r="AE638" i="178"/>
  <c r="AF638" i="178"/>
  <c r="AG638" i="178"/>
  <c r="AH638" i="178"/>
  <c r="AI638" i="178"/>
  <c r="AJ638" i="178"/>
  <c r="AK638" i="178"/>
  <c r="AL638" i="178"/>
  <c r="AM638" i="178"/>
  <c r="AN638" i="178"/>
  <c r="AO638" i="178"/>
  <c r="T921" i="178"/>
  <c r="V921" i="178" s="1"/>
  <c r="W921" i="178"/>
  <c r="AD921" i="178"/>
  <c r="AE921" i="178"/>
  <c r="AF921" i="178"/>
  <c r="AG921" i="178"/>
  <c r="AH921" i="178"/>
  <c r="AI921" i="178"/>
  <c r="AJ921" i="178"/>
  <c r="AK921" i="178"/>
  <c r="AL921" i="178"/>
  <c r="AM921" i="178"/>
  <c r="AN921" i="178"/>
  <c r="AO921" i="178"/>
  <c r="T942" i="178"/>
  <c r="W942" i="178"/>
  <c r="AD942" i="178"/>
  <c r="AE942" i="178"/>
  <c r="AF942" i="178"/>
  <c r="AG942" i="178"/>
  <c r="AH942" i="178"/>
  <c r="AI942" i="178"/>
  <c r="AJ942" i="178"/>
  <c r="AK942" i="178"/>
  <c r="AL942" i="178"/>
  <c r="AM942" i="178"/>
  <c r="AN942" i="178"/>
  <c r="AO942" i="178"/>
  <c r="T1147" i="178"/>
  <c r="U1147" i="178" s="1"/>
  <c r="W1147" i="178"/>
  <c r="AD1147" i="178"/>
  <c r="AE1147" i="178"/>
  <c r="AF1147" i="178"/>
  <c r="AG1147" i="178"/>
  <c r="AH1147" i="178"/>
  <c r="AI1147" i="178"/>
  <c r="AJ1147" i="178"/>
  <c r="AK1147" i="178"/>
  <c r="AL1147" i="178"/>
  <c r="AM1147" i="178"/>
  <c r="AN1147" i="178"/>
  <c r="AO1147" i="178"/>
  <c r="T392" i="178"/>
  <c r="V392" i="178" s="1"/>
  <c r="W392" i="178"/>
  <c r="AD392" i="178"/>
  <c r="AE392" i="178"/>
  <c r="AF392" i="178"/>
  <c r="AG392" i="178"/>
  <c r="AH392" i="178"/>
  <c r="AI392" i="178"/>
  <c r="AJ392" i="178"/>
  <c r="AK392" i="178"/>
  <c r="AL392" i="178"/>
  <c r="AM392" i="178"/>
  <c r="AN392" i="178"/>
  <c r="AO392" i="178"/>
  <c r="T489" i="178"/>
  <c r="V489" i="178" s="1"/>
  <c r="W489" i="178"/>
  <c r="AD489" i="178"/>
  <c r="AE489" i="178"/>
  <c r="AF489" i="178"/>
  <c r="AG489" i="178"/>
  <c r="AH489" i="178"/>
  <c r="AI489" i="178"/>
  <c r="AJ489" i="178"/>
  <c r="AK489" i="178"/>
  <c r="AL489" i="178"/>
  <c r="AM489" i="178"/>
  <c r="AN489" i="178"/>
  <c r="AO489" i="178"/>
  <c r="T639" i="178"/>
  <c r="V639" i="178" s="1"/>
  <c r="W639" i="178"/>
  <c r="AD639" i="178"/>
  <c r="AE639" i="178"/>
  <c r="AF639" i="178"/>
  <c r="AG639" i="178"/>
  <c r="AH639" i="178"/>
  <c r="AI639" i="178"/>
  <c r="AJ639" i="178"/>
  <c r="AK639" i="178"/>
  <c r="AL639" i="178"/>
  <c r="AM639" i="178"/>
  <c r="AN639" i="178"/>
  <c r="AO639" i="178"/>
  <c r="T922" i="178"/>
  <c r="U922" i="178" s="1"/>
  <c r="W922" i="178"/>
  <c r="AD922" i="178"/>
  <c r="AE922" i="178"/>
  <c r="AF922" i="178"/>
  <c r="AG922" i="178"/>
  <c r="AH922" i="178"/>
  <c r="AI922" i="178"/>
  <c r="AJ922" i="178"/>
  <c r="AK922" i="178"/>
  <c r="AL922" i="178"/>
  <c r="AM922" i="178"/>
  <c r="AN922" i="178"/>
  <c r="AO922" i="178"/>
  <c r="T943" i="178"/>
  <c r="U943" i="178" s="1"/>
  <c r="W943" i="178"/>
  <c r="AD943" i="178"/>
  <c r="AE943" i="178"/>
  <c r="AF943" i="178"/>
  <c r="AG943" i="178"/>
  <c r="AH943" i="178"/>
  <c r="AI943" i="178"/>
  <c r="AJ943" i="178"/>
  <c r="AK943" i="178"/>
  <c r="AL943" i="178"/>
  <c r="AM943" i="178"/>
  <c r="AN943" i="178"/>
  <c r="AO943" i="178"/>
  <c r="T1150" i="178"/>
  <c r="U1150" i="178" s="1"/>
  <c r="W1150" i="178"/>
  <c r="AD1150" i="178"/>
  <c r="AE1150" i="178"/>
  <c r="AF1150" i="178"/>
  <c r="AG1150" i="178"/>
  <c r="AH1150" i="178"/>
  <c r="AI1150" i="178"/>
  <c r="AJ1150" i="178"/>
  <c r="AK1150" i="178"/>
  <c r="AL1150" i="178"/>
  <c r="AM1150" i="178"/>
  <c r="AN1150" i="178"/>
  <c r="AO1150" i="178"/>
  <c r="T640" i="178"/>
  <c r="U640" i="178" s="1"/>
  <c r="W640" i="178"/>
  <c r="AD640" i="178"/>
  <c r="AE640" i="178"/>
  <c r="AF640" i="178"/>
  <c r="AG640" i="178"/>
  <c r="AH640" i="178"/>
  <c r="AI640" i="178"/>
  <c r="AJ640" i="178"/>
  <c r="AK640" i="178"/>
  <c r="AL640" i="178"/>
  <c r="AM640" i="178"/>
  <c r="AN640" i="178"/>
  <c r="AO640" i="178"/>
  <c r="T923" i="178"/>
  <c r="U923" i="178" s="1"/>
  <c r="W923" i="178"/>
  <c r="AD923" i="178"/>
  <c r="AE923" i="178"/>
  <c r="AF923" i="178"/>
  <c r="AG923" i="178"/>
  <c r="AH923" i="178"/>
  <c r="AI923" i="178"/>
  <c r="AJ923" i="178"/>
  <c r="AK923" i="178"/>
  <c r="AL923" i="178"/>
  <c r="AM923" i="178"/>
  <c r="AN923" i="178"/>
  <c r="AO923" i="178"/>
  <c r="T944" i="178"/>
  <c r="U944" i="178" s="1"/>
  <c r="W944" i="178"/>
  <c r="AD944" i="178"/>
  <c r="AE944" i="178"/>
  <c r="AF944" i="178"/>
  <c r="AG944" i="178"/>
  <c r="AH944" i="178"/>
  <c r="AI944" i="178"/>
  <c r="AJ944" i="178"/>
  <c r="AK944" i="178"/>
  <c r="AL944" i="178"/>
  <c r="AM944" i="178"/>
  <c r="AN944" i="178"/>
  <c r="AO944" i="178"/>
  <c r="T899" i="178"/>
  <c r="U899" i="178" s="1"/>
  <c r="W899" i="178"/>
  <c r="AD899" i="178"/>
  <c r="AE899" i="178"/>
  <c r="AF899" i="178"/>
  <c r="AG899" i="178"/>
  <c r="AH899" i="178"/>
  <c r="AI899" i="178"/>
  <c r="AJ899" i="178"/>
  <c r="AK899" i="178"/>
  <c r="AL899" i="178"/>
  <c r="AM899" i="178"/>
  <c r="AN899" i="178"/>
  <c r="AO899" i="178"/>
  <c r="T689" i="178"/>
  <c r="U689" i="178" s="1"/>
  <c r="W689" i="178"/>
  <c r="AD689" i="178"/>
  <c r="AE689" i="178"/>
  <c r="AF689" i="178"/>
  <c r="AG689" i="178"/>
  <c r="AH689" i="178"/>
  <c r="AI689" i="178"/>
  <c r="AJ689" i="178"/>
  <c r="AK689" i="178"/>
  <c r="AL689" i="178"/>
  <c r="AM689" i="178"/>
  <c r="AN689" i="178"/>
  <c r="AO689" i="178"/>
  <c r="T900" i="178"/>
  <c r="U900" i="178" s="1"/>
  <c r="W900" i="178"/>
  <c r="AD900" i="178"/>
  <c r="AE900" i="178"/>
  <c r="AF900" i="178"/>
  <c r="AG900" i="178"/>
  <c r="AH900" i="178"/>
  <c r="AI900" i="178"/>
  <c r="AJ900" i="178"/>
  <c r="AK900" i="178"/>
  <c r="AL900" i="178"/>
  <c r="AM900" i="178"/>
  <c r="AN900" i="178"/>
  <c r="AO900" i="178"/>
  <c r="T138" i="178"/>
  <c r="U138" i="178" s="1"/>
  <c r="W138" i="178"/>
  <c r="AD138" i="178"/>
  <c r="AE138" i="178"/>
  <c r="AF138" i="178"/>
  <c r="AG138" i="178"/>
  <c r="AH138" i="178"/>
  <c r="AI138" i="178"/>
  <c r="AJ138" i="178"/>
  <c r="AK138" i="178"/>
  <c r="AL138" i="178"/>
  <c r="AM138" i="178"/>
  <c r="AN138" i="178"/>
  <c r="AO138" i="178"/>
  <c r="T157" i="178"/>
  <c r="U157" i="178" s="1"/>
  <c r="W157" i="178"/>
  <c r="AD157" i="178"/>
  <c r="AE157" i="178"/>
  <c r="AF157" i="178"/>
  <c r="AG157" i="178"/>
  <c r="AH157" i="178"/>
  <c r="AI157" i="178"/>
  <c r="AJ157" i="178"/>
  <c r="AK157" i="178"/>
  <c r="AL157" i="178"/>
  <c r="AM157" i="178"/>
  <c r="AN157" i="178"/>
  <c r="AO157" i="178"/>
  <c r="T492" i="178"/>
  <c r="U492" i="178" s="1"/>
  <c r="W492" i="178"/>
  <c r="AD492" i="178"/>
  <c r="AE492" i="178"/>
  <c r="AF492" i="178"/>
  <c r="AG492" i="178"/>
  <c r="AH492" i="178"/>
  <c r="AI492" i="178"/>
  <c r="AJ492" i="178"/>
  <c r="AK492" i="178"/>
  <c r="AL492" i="178"/>
  <c r="AM492" i="178"/>
  <c r="AN492" i="178"/>
  <c r="AO492" i="178"/>
  <c r="T1153" i="178"/>
  <c r="U1153" i="178" s="1"/>
  <c r="W1153" i="178"/>
  <c r="AD1153" i="178"/>
  <c r="AE1153" i="178"/>
  <c r="AF1153" i="178"/>
  <c r="AG1153" i="178"/>
  <c r="AH1153" i="178"/>
  <c r="AI1153" i="178"/>
  <c r="AJ1153" i="178"/>
  <c r="AK1153" i="178"/>
  <c r="AL1153" i="178"/>
  <c r="AM1153" i="178"/>
  <c r="AN1153" i="178"/>
  <c r="AO1153" i="178"/>
  <c r="T137" i="178"/>
  <c r="V137" i="178" s="1"/>
  <c r="W137" i="178"/>
  <c r="AD137" i="178"/>
  <c r="AE137" i="178"/>
  <c r="AF137" i="178"/>
  <c r="AG137" i="178"/>
  <c r="AH137" i="178"/>
  <c r="AI137" i="178"/>
  <c r="AJ137" i="178"/>
  <c r="AK137" i="178"/>
  <c r="AL137" i="178"/>
  <c r="AM137" i="178"/>
  <c r="AN137" i="178"/>
  <c r="AO137" i="178"/>
  <c r="T490" i="178"/>
  <c r="U490" i="178" s="1"/>
  <c r="W490" i="178"/>
  <c r="AD490" i="178"/>
  <c r="AE490" i="178"/>
  <c r="AF490" i="178"/>
  <c r="AG490" i="178"/>
  <c r="AH490" i="178"/>
  <c r="AI490" i="178"/>
  <c r="AJ490" i="178"/>
  <c r="AK490" i="178"/>
  <c r="AL490" i="178"/>
  <c r="AM490" i="178"/>
  <c r="AN490" i="178"/>
  <c r="AO490" i="178"/>
  <c r="T394" i="178"/>
  <c r="V394" i="178" s="1"/>
  <c r="W394" i="178"/>
  <c r="AD394" i="178"/>
  <c r="AE394" i="178"/>
  <c r="AF394" i="178"/>
  <c r="AG394" i="178"/>
  <c r="AH394" i="178"/>
  <c r="AI394" i="178"/>
  <c r="AJ394" i="178"/>
  <c r="AK394" i="178"/>
  <c r="AL394" i="178"/>
  <c r="AM394" i="178"/>
  <c r="AN394" i="178"/>
  <c r="AO394" i="178"/>
  <c r="T419" i="178"/>
  <c r="U419" i="178" s="1"/>
  <c r="W419" i="178"/>
  <c r="AD419" i="178"/>
  <c r="AE419" i="178"/>
  <c r="AF419" i="178"/>
  <c r="AG419" i="178"/>
  <c r="AH419" i="178"/>
  <c r="AI419" i="178"/>
  <c r="AJ419" i="178"/>
  <c r="AK419" i="178"/>
  <c r="AL419" i="178"/>
  <c r="AM419" i="178"/>
  <c r="AN419" i="178"/>
  <c r="AO419" i="178"/>
  <c r="T641" i="178"/>
  <c r="V641" i="178" s="1"/>
  <c r="W641" i="178"/>
  <c r="AD641" i="178"/>
  <c r="AE641" i="178"/>
  <c r="AF641" i="178"/>
  <c r="AG641" i="178"/>
  <c r="AH641" i="178"/>
  <c r="AI641" i="178"/>
  <c r="AJ641" i="178"/>
  <c r="AK641" i="178"/>
  <c r="AL641" i="178"/>
  <c r="AM641" i="178"/>
  <c r="AN641" i="178"/>
  <c r="AO641" i="178"/>
  <c r="T924" i="178"/>
  <c r="U924" i="178" s="1"/>
  <c r="W924" i="178"/>
  <c r="AD924" i="178"/>
  <c r="AE924" i="178"/>
  <c r="AF924" i="178"/>
  <c r="AG924" i="178"/>
  <c r="AH924" i="178"/>
  <c r="AI924" i="178"/>
  <c r="AJ924" i="178"/>
  <c r="AK924" i="178"/>
  <c r="AL924" i="178"/>
  <c r="AM924" i="178"/>
  <c r="AN924" i="178"/>
  <c r="AO924" i="178"/>
  <c r="T945" i="178"/>
  <c r="V945" i="178" s="1"/>
  <c r="W945" i="178"/>
  <c r="AD945" i="178"/>
  <c r="AE945" i="178"/>
  <c r="AF945" i="178"/>
  <c r="AG945" i="178"/>
  <c r="AH945" i="178"/>
  <c r="AI945" i="178"/>
  <c r="AJ945" i="178"/>
  <c r="AK945" i="178"/>
  <c r="AL945" i="178"/>
  <c r="AM945" i="178"/>
  <c r="AN945" i="178"/>
  <c r="AO945" i="178"/>
  <c r="T803" i="178"/>
  <c r="U803" i="178" s="1"/>
  <c r="W803" i="178"/>
  <c r="AD803" i="178"/>
  <c r="AE803" i="178"/>
  <c r="AF803" i="178"/>
  <c r="AG803" i="178"/>
  <c r="AH803" i="178"/>
  <c r="AI803" i="178"/>
  <c r="AJ803" i="178"/>
  <c r="AK803" i="178"/>
  <c r="AL803" i="178"/>
  <c r="AM803" i="178"/>
  <c r="AN803" i="178"/>
  <c r="AO803" i="178"/>
  <c r="T809" i="178"/>
  <c r="V809" i="178" s="1"/>
  <c r="W809" i="178"/>
  <c r="AD809" i="178"/>
  <c r="AE809" i="178"/>
  <c r="AF809" i="178"/>
  <c r="AG809" i="178"/>
  <c r="AH809" i="178"/>
  <c r="AI809" i="178"/>
  <c r="AJ809" i="178"/>
  <c r="AK809" i="178"/>
  <c r="AL809" i="178"/>
  <c r="AM809" i="178"/>
  <c r="AN809" i="178"/>
  <c r="AO809" i="178"/>
  <c r="T159" i="178"/>
  <c r="U159" i="178" s="1"/>
  <c r="W159" i="178"/>
  <c r="AD159" i="178"/>
  <c r="AE159" i="178"/>
  <c r="AF159" i="178"/>
  <c r="AG159" i="178"/>
  <c r="AH159" i="178"/>
  <c r="AI159" i="178"/>
  <c r="AJ159" i="178"/>
  <c r="AK159" i="178"/>
  <c r="AL159" i="178"/>
  <c r="AM159" i="178"/>
  <c r="AN159" i="178"/>
  <c r="AO159" i="178"/>
  <c r="T892" i="178"/>
  <c r="V892" i="178" s="1"/>
  <c r="W892" i="178"/>
  <c r="AD892" i="178"/>
  <c r="AE892" i="178"/>
  <c r="AF892" i="178"/>
  <c r="AG892" i="178"/>
  <c r="AH892" i="178"/>
  <c r="AI892" i="178"/>
  <c r="AJ892" i="178"/>
  <c r="AK892" i="178"/>
  <c r="AL892" i="178"/>
  <c r="AM892" i="178"/>
  <c r="AN892" i="178"/>
  <c r="AO892" i="178"/>
  <c r="T356" i="178"/>
  <c r="U356" i="178" s="1"/>
  <c r="W356" i="178"/>
  <c r="AD356" i="178"/>
  <c r="AE356" i="178"/>
  <c r="AF356" i="178"/>
  <c r="AG356" i="178"/>
  <c r="AH356" i="178"/>
  <c r="AI356" i="178"/>
  <c r="AJ356" i="178"/>
  <c r="AK356" i="178"/>
  <c r="AL356" i="178"/>
  <c r="AM356" i="178"/>
  <c r="AN356" i="178"/>
  <c r="AO356" i="178"/>
  <c r="T364" i="178"/>
  <c r="U364" i="178" s="1"/>
  <c r="W364" i="178"/>
  <c r="AD364" i="178"/>
  <c r="AE364" i="178"/>
  <c r="AF364" i="178"/>
  <c r="AG364" i="178"/>
  <c r="AH364" i="178"/>
  <c r="AI364" i="178"/>
  <c r="AJ364" i="178"/>
  <c r="AK364" i="178"/>
  <c r="AL364" i="178"/>
  <c r="AM364" i="178"/>
  <c r="AN364" i="178"/>
  <c r="AO364" i="178"/>
  <c r="T691" i="178"/>
  <c r="U691" i="178" s="1"/>
  <c r="W691" i="178"/>
  <c r="AD691" i="178"/>
  <c r="AE691" i="178"/>
  <c r="AF691" i="178"/>
  <c r="AG691" i="178"/>
  <c r="AH691" i="178"/>
  <c r="AI691" i="178"/>
  <c r="AJ691" i="178"/>
  <c r="AK691" i="178"/>
  <c r="AL691" i="178"/>
  <c r="AM691" i="178"/>
  <c r="AN691" i="178"/>
  <c r="AO691" i="178"/>
  <c r="T699" i="178"/>
  <c r="U699" i="178" s="1"/>
  <c r="W699" i="178"/>
  <c r="AD699" i="178"/>
  <c r="AE699" i="178"/>
  <c r="AF699" i="178"/>
  <c r="AG699" i="178"/>
  <c r="AH699" i="178"/>
  <c r="AI699" i="178"/>
  <c r="AJ699" i="178"/>
  <c r="AK699" i="178"/>
  <c r="AL699" i="178"/>
  <c r="AM699" i="178"/>
  <c r="AN699" i="178"/>
  <c r="AO699" i="178"/>
  <c r="T700" i="178"/>
  <c r="U700" i="178" s="1"/>
  <c r="W700" i="178"/>
  <c r="AD700" i="178"/>
  <c r="AE700" i="178"/>
  <c r="AF700" i="178"/>
  <c r="AG700" i="178"/>
  <c r="AH700" i="178"/>
  <c r="AI700" i="178"/>
  <c r="AJ700" i="178"/>
  <c r="AK700" i="178"/>
  <c r="AL700" i="178"/>
  <c r="AM700" i="178"/>
  <c r="AN700" i="178"/>
  <c r="AO700" i="178"/>
  <c r="T701" i="178"/>
  <c r="U701" i="178" s="1"/>
  <c r="W701" i="178"/>
  <c r="AD701" i="178"/>
  <c r="AE701" i="178"/>
  <c r="AF701" i="178"/>
  <c r="AG701" i="178"/>
  <c r="AH701" i="178"/>
  <c r="AI701" i="178"/>
  <c r="AJ701" i="178"/>
  <c r="AK701" i="178"/>
  <c r="AL701" i="178"/>
  <c r="AM701" i="178"/>
  <c r="AN701" i="178"/>
  <c r="AO701" i="178"/>
  <c r="T144" i="178"/>
  <c r="U144" i="178" s="1"/>
  <c r="W144" i="178"/>
  <c r="AD144" i="178"/>
  <c r="AE144" i="178"/>
  <c r="AF144" i="178"/>
  <c r="AG144" i="178"/>
  <c r="AH144" i="178"/>
  <c r="AI144" i="178"/>
  <c r="AJ144" i="178"/>
  <c r="AK144" i="178"/>
  <c r="AL144" i="178"/>
  <c r="AM144" i="178"/>
  <c r="AN144" i="178"/>
  <c r="AO144" i="178"/>
  <c r="T148" i="178"/>
  <c r="U148" i="178" s="1"/>
  <c r="W148" i="178"/>
  <c r="AD148" i="178"/>
  <c r="AE148" i="178"/>
  <c r="AF148" i="178"/>
  <c r="AG148" i="178"/>
  <c r="AH148" i="178"/>
  <c r="AI148" i="178"/>
  <c r="AJ148" i="178"/>
  <c r="AK148" i="178"/>
  <c r="AL148" i="178"/>
  <c r="AM148" i="178"/>
  <c r="AN148" i="178"/>
  <c r="AO148" i="178"/>
  <c r="T480" i="178"/>
  <c r="U480" i="178" s="1"/>
  <c r="W480" i="178"/>
  <c r="AD480" i="178"/>
  <c r="AE480" i="178"/>
  <c r="AF480" i="178"/>
  <c r="AG480" i="178"/>
  <c r="AH480" i="178"/>
  <c r="AI480" i="178"/>
  <c r="AJ480" i="178"/>
  <c r="AK480" i="178"/>
  <c r="AL480" i="178"/>
  <c r="AM480" i="178"/>
  <c r="AN480" i="178"/>
  <c r="AO480" i="178"/>
  <c r="T1051" i="178"/>
  <c r="U1051" i="178" s="1"/>
  <c r="W1051" i="178"/>
  <c r="AD1051" i="178"/>
  <c r="AE1051" i="178"/>
  <c r="AF1051" i="178"/>
  <c r="AG1051" i="178"/>
  <c r="AH1051" i="178"/>
  <c r="AI1051" i="178"/>
  <c r="AJ1051" i="178"/>
  <c r="AK1051" i="178"/>
  <c r="AL1051" i="178"/>
  <c r="AM1051" i="178"/>
  <c r="AN1051" i="178"/>
  <c r="AO1051" i="178"/>
  <c r="T1063" i="178"/>
  <c r="U1063" i="178" s="1"/>
  <c r="W1063" i="178"/>
  <c r="AD1063" i="178"/>
  <c r="AE1063" i="178"/>
  <c r="AF1063" i="178"/>
  <c r="AG1063" i="178"/>
  <c r="AH1063" i="178"/>
  <c r="AI1063" i="178"/>
  <c r="AJ1063" i="178"/>
  <c r="AK1063" i="178"/>
  <c r="AL1063" i="178"/>
  <c r="AM1063" i="178"/>
  <c r="AN1063" i="178"/>
  <c r="AO1063" i="178"/>
  <c r="T1064" i="178"/>
  <c r="U1064" i="178" s="1"/>
  <c r="W1064" i="178"/>
  <c r="AD1064" i="178"/>
  <c r="AE1064" i="178"/>
  <c r="AF1064" i="178"/>
  <c r="AG1064" i="178"/>
  <c r="AH1064" i="178"/>
  <c r="AI1064" i="178"/>
  <c r="AJ1064" i="178"/>
  <c r="AK1064" i="178"/>
  <c r="AL1064" i="178"/>
  <c r="AM1064" i="178"/>
  <c r="AN1064" i="178"/>
  <c r="AO1064" i="178"/>
  <c r="T280" i="178"/>
  <c r="U280" i="178" s="1"/>
  <c r="W280" i="178"/>
  <c r="AD280" i="178"/>
  <c r="AE280" i="178"/>
  <c r="AF280" i="178"/>
  <c r="AG280" i="178"/>
  <c r="AH280" i="178"/>
  <c r="AI280" i="178"/>
  <c r="AJ280" i="178"/>
  <c r="AK280" i="178"/>
  <c r="AL280" i="178"/>
  <c r="AM280" i="178"/>
  <c r="AN280" i="178"/>
  <c r="AO280" i="178"/>
  <c r="T202" i="178"/>
  <c r="U202" i="178" s="1"/>
  <c r="W202" i="178"/>
  <c r="AD202" i="178"/>
  <c r="AE202" i="178"/>
  <c r="AF202" i="178"/>
  <c r="AG202" i="178"/>
  <c r="AH202" i="178"/>
  <c r="AI202" i="178"/>
  <c r="AJ202" i="178"/>
  <c r="AK202" i="178"/>
  <c r="AL202" i="178"/>
  <c r="AM202" i="178"/>
  <c r="AN202" i="178"/>
  <c r="AO202" i="178"/>
  <c r="T228" i="178"/>
  <c r="U228" i="178" s="1"/>
  <c r="W228" i="178"/>
  <c r="AD228" i="178"/>
  <c r="AE228" i="178"/>
  <c r="AF228" i="178"/>
  <c r="AG228" i="178"/>
  <c r="AH228" i="178"/>
  <c r="AI228" i="178"/>
  <c r="AJ228" i="178"/>
  <c r="AK228" i="178"/>
  <c r="AL228" i="178"/>
  <c r="AM228" i="178"/>
  <c r="AN228" i="178"/>
  <c r="AO228" i="178"/>
  <c r="T289" i="178"/>
  <c r="U289" i="178" s="1"/>
  <c r="W289" i="178"/>
  <c r="AD289" i="178"/>
  <c r="AE289" i="178"/>
  <c r="AF289" i="178"/>
  <c r="AG289" i="178"/>
  <c r="AH289" i="178"/>
  <c r="AI289" i="178"/>
  <c r="AJ289" i="178"/>
  <c r="AK289" i="178"/>
  <c r="AL289" i="178"/>
  <c r="AM289" i="178"/>
  <c r="AN289" i="178"/>
  <c r="AO289" i="178"/>
  <c r="T308" i="178"/>
  <c r="U308" i="178" s="1"/>
  <c r="W308" i="178"/>
  <c r="AD308" i="178"/>
  <c r="AE308" i="178"/>
  <c r="AF308" i="178"/>
  <c r="AG308" i="178"/>
  <c r="AH308" i="178"/>
  <c r="AI308" i="178"/>
  <c r="AJ308" i="178"/>
  <c r="AK308" i="178"/>
  <c r="AL308" i="178"/>
  <c r="AM308" i="178"/>
  <c r="AN308" i="178"/>
  <c r="AO308" i="178"/>
  <c r="T424" i="178"/>
  <c r="W424" i="178"/>
  <c r="AD424" i="178"/>
  <c r="AE424" i="178"/>
  <c r="AF424" i="178"/>
  <c r="AG424" i="178"/>
  <c r="AH424" i="178"/>
  <c r="AI424" i="178"/>
  <c r="AJ424" i="178"/>
  <c r="AK424" i="178"/>
  <c r="AL424" i="178"/>
  <c r="AM424" i="178"/>
  <c r="AN424" i="178"/>
  <c r="AO424" i="178"/>
  <c r="T425" i="178"/>
  <c r="W425" i="178"/>
  <c r="AD425" i="178"/>
  <c r="AE425" i="178"/>
  <c r="AF425" i="178"/>
  <c r="AG425" i="178"/>
  <c r="AH425" i="178"/>
  <c r="AI425" i="178"/>
  <c r="AJ425" i="178"/>
  <c r="AK425" i="178"/>
  <c r="AL425" i="178"/>
  <c r="AM425" i="178"/>
  <c r="AN425" i="178"/>
  <c r="AO425" i="178"/>
  <c r="T433" i="178"/>
  <c r="U433" i="178" s="1"/>
  <c r="W433" i="178"/>
  <c r="AD433" i="178"/>
  <c r="AE433" i="178"/>
  <c r="AF433" i="178"/>
  <c r="AG433" i="178"/>
  <c r="AH433" i="178"/>
  <c r="AI433" i="178"/>
  <c r="AJ433" i="178"/>
  <c r="AK433" i="178"/>
  <c r="AL433" i="178"/>
  <c r="AM433" i="178"/>
  <c r="AN433" i="178"/>
  <c r="AO433" i="178"/>
  <c r="T473" i="178"/>
  <c r="U473" i="178" s="1"/>
  <c r="W473" i="178"/>
  <c r="AD473" i="178"/>
  <c r="AE473" i="178"/>
  <c r="AF473" i="178"/>
  <c r="AG473" i="178"/>
  <c r="AH473" i="178"/>
  <c r="AI473" i="178"/>
  <c r="AJ473" i="178"/>
  <c r="AK473" i="178"/>
  <c r="AL473" i="178"/>
  <c r="AM473" i="178"/>
  <c r="AN473" i="178"/>
  <c r="AO473" i="178"/>
  <c r="T482" i="178"/>
  <c r="W482" i="178"/>
  <c r="AD482" i="178"/>
  <c r="AE482" i="178"/>
  <c r="AF482" i="178"/>
  <c r="AG482" i="178"/>
  <c r="AH482" i="178"/>
  <c r="AI482" i="178"/>
  <c r="AJ482" i="178"/>
  <c r="AK482" i="178"/>
  <c r="AL482" i="178"/>
  <c r="AM482" i="178"/>
  <c r="AN482" i="178"/>
  <c r="AO482" i="178"/>
  <c r="T530" i="178"/>
  <c r="U530" i="178" s="1"/>
  <c r="W530" i="178"/>
  <c r="AD530" i="178"/>
  <c r="AE530" i="178"/>
  <c r="AF530" i="178"/>
  <c r="AG530" i="178"/>
  <c r="AH530" i="178"/>
  <c r="AI530" i="178"/>
  <c r="AJ530" i="178"/>
  <c r="AK530" i="178"/>
  <c r="AL530" i="178"/>
  <c r="AM530" i="178"/>
  <c r="AN530" i="178"/>
  <c r="AO530" i="178"/>
  <c r="T575" i="178"/>
  <c r="W575" i="178"/>
  <c r="AD575" i="178"/>
  <c r="AE575" i="178"/>
  <c r="AF575" i="178"/>
  <c r="AG575" i="178"/>
  <c r="AH575" i="178"/>
  <c r="AI575" i="178"/>
  <c r="AJ575" i="178"/>
  <c r="AK575" i="178"/>
  <c r="AL575" i="178"/>
  <c r="AM575" i="178"/>
  <c r="AN575" i="178"/>
  <c r="AO575" i="178"/>
  <c r="T658" i="178"/>
  <c r="U658" i="178" s="1"/>
  <c r="W658" i="178"/>
  <c r="AD658" i="178"/>
  <c r="AE658" i="178"/>
  <c r="AF658" i="178"/>
  <c r="AG658" i="178"/>
  <c r="AH658" i="178"/>
  <c r="AI658" i="178"/>
  <c r="AJ658" i="178"/>
  <c r="AK658" i="178"/>
  <c r="AL658" i="178"/>
  <c r="AM658" i="178"/>
  <c r="AN658" i="178"/>
  <c r="AO658" i="178"/>
  <c r="T667" i="178"/>
  <c r="W667" i="178"/>
  <c r="AD667" i="178"/>
  <c r="AE667" i="178"/>
  <c r="AF667" i="178"/>
  <c r="AG667" i="178"/>
  <c r="AH667" i="178"/>
  <c r="AI667" i="178"/>
  <c r="AJ667" i="178"/>
  <c r="AK667" i="178"/>
  <c r="AL667" i="178"/>
  <c r="AM667" i="178"/>
  <c r="AN667" i="178"/>
  <c r="AO667" i="178"/>
  <c r="T742" i="178"/>
  <c r="U742" i="178" s="1"/>
  <c r="W742" i="178"/>
  <c r="AD742" i="178"/>
  <c r="AE742" i="178"/>
  <c r="AF742" i="178"/>
  <c r="AG742" i="178"/>
  <c r="AH742" i="178"/>
  <c r="AI742" i="178"/>
  <c r="AJ742" i="178"/>
  <c r="AK742" i="178"/>
  <c r="AL742" i="178"/>
  <c r="AM742" i="178"/>
  <c r="AN742" i="178"/>
  <c r="AO742" i="178"/>
  <c r="T743" i="178"/>
  <c r="W743" i="178"/>
  <c r="AD743" i="178"/>
  <c r="AE743" i="178"/>
  <c r="AF743" i="178"/>
  <c r="AG743" i="178"/>
  <c r="AH743" i="178"/>
  <c r="AI743" i="178"/>
  <c r="AJ743" i="178"/>
  <c r="AK743" i="178"/>
  <c r="AL743" i="178"/>
  <c r="AM743" i="178"/>
  <c r="AN743" i="178"/>
  <c r="AO743" i="178"/>
  <c r="T771" i="178"/>
  <c r="W771" i="178"/>
  <c r="AD771" i="178"/>
  <c r="AE771" i="178"/>
  <c r="AF771" i="178"/>
  <c r="AG771" i="178"/>
  <c r="AH771" i="178"/>
  <c r="AI771" i="178"/>
  <c r="AJ771" i="178"/>
  <c r="AK771" i="178"/>
  <c r="AL771" i="178"/>
  <c r="AM771" i="178"/>
  <c r="AN771" i="178"/>
  <c r="AO771" i="178"/>
  <c r="T772" i="178"/>
  <c r="U772" i="178" s="1"/>
  <c r="W772" i="178"/>
  <c r="AD772" i="178"/>
  <c r="AE772" i="178"/>
  <c r="AF772" i="178"/>
  <c r="AG772" i="178"/>
  <c r="AH772" i="178"/>
  <c r="AI772" i="178"/>
  <c r="AJ772" i="178"/>
  <c r="AK772" i="178"/>
  <c r="AL772" i="178"/>
  <c r="AM772" i="178"/>
  <c r="AN772" i="178"/>
  <c r="AO772" i="178"/>
  <c r="T829" i="178"/>
  <c r="U829" i="178" s="1"/>
  <c r="W829" i="178"/>
  <c r="AD829" i="178"/>
  <c r="AE829" i="178"/>
  <c r="AF829" i="178"/>
  <c r="AG829" i="178"/>
  <c r="AH829" i="178"/>
  <c r="AI829" i="178"/>
  <c r="AJ829" i="178"/>
  <c r="AK829" i="178"/>
  <c r="AL829" i="178"/>
  <c r="AM829" i="178"/>
  <c r="AN829" i="178"/>
  <c r="AO829" i="178"/>
  <c r="T972" i="178"/>
  <c r="U972" i="178" s="1"/>
  <c r="W972" i="178"/>
  <c r="AD972" i="178"/>
  <c r="AE972" i="178"/>
  <c r="AF972" i="178"/>
  <c r="AG972" i="178"/>
  <c r="AH972" i="178"/>
  <c r="AI972" i="178"/>
  <c r="AJ972" i="178"/>
  <c r="AK972" i="178"/>
  <c r="AL972" i="178"/>
  <c r="AM972" i="178"/>
  <c r="AN972" i="178"/>
  <c r="AO972" i="178"/>
  <c r="T974" i="178"/>
  <c r="W974" i="178"/>
  <c r="AD974" i="178"/>
  <c r="AE974" i="178"/>
  <c r="AF974" i="178"/>
  <c r="AG974" i="178"/>
  <c r="AH974" i="178"/>
  <c r="AI974" i="178"/>
  <c r="AJ974" i="178"/>
  <c r="AK974" i="178"/>
  <c r="AL974" i="178"/>
  <c r="AM974" i="178"/>
  <c r="AN974" i="178"/>
  <c r="AO974" i="178"/>
  <c r="T1008" i="178"/>
  <c r="U1008" i="178" s="1"/>
  <c r="W1008" i="178"/>
  <c r="AD1008" i="178"/>
  <c r="AE1008" i="178"/>
  <c r="AF1008" i="178"/>
  <c r="AG1008" i="178"/>
  <c r="AH1008" i="178"/>
  <c r="AI1008" i="178"/>
  <c r="AJ1008" i="178"/>
  <c r="AK1008" i="178"/>
  <c r="AL1008" i="178"/>
  <c r="AM1008" i="178"/>
  <c r="AN1008" i="178"/>
  <c r="AO1008" i="178"/>
  <c r="T1009" i="178"/>
  <c r="W1009" i="178"/>
  <c r="AD1009" i="178"/>
  <c r="AE1009" i="178"/>
  <c r="AF1009" i="178"/>
  <c r="AG1009" i="178"/>
  <c r="AH1009" i="178"/>
  <c r="AI1009" i="178"/>
  <c r="AJ1009" i="178"/>
  <c r="AK1009" i="178"/>
  <c r="AL1009" i="178"/>
  <c r="AM1009" i="178"/>
  <c r="AN1009" i="178"/>
  <c r="AO1009" i="178"/>
  <c r="T1010" i="178"/>
  <c r="U1010" i="178" s="1"/>
  <c r="W1010" i="178"/>
  <c r="AD1010" i="178"/>
  <c r="AE1010" i="178"/>
  <c r="AF1010" i="178"/>
  <c r="AG1010" i="178"/>
  <c r="AH1010" i="178"/>
  <c r="AI1010" i="178"/>
  <c r="AJ1010" i="178"/>
  <c r="AK1010" i="178"/>
  <c r="AL1010" i="178"/>
  <c r="AM1010" i="178"/>
  <c r="AN1010" i="178"/>
  <c r="AO1010" i="178"/>
  <c r="T1015" i="178"/>
  <c r="U1015" i="178" s="1"/>
  <c r="W1015" i="178"/>
  <c r="AD1015" i="178"/>
  <c r="AE1015" i="178"/>
  <c r="AF1015" i="178"/>
  <c r="AG1015" i="178"/>
  <c r="AH1015" i="178"/>
  <c r="AI1015" i="178"/>
  <c r="AJ1015" i="178"/>
  <c r="AK1015" i="178"/>
  <c r="AL1015" i="178"/>
  <c r="AM1015" i="178"/>
  <c r="AN1015" i="178"/>
  <c r="AO1015" i="178"/>
  <c r="T1016" i="178"/>
  <c r="U1016" i="178" s="1"/>
  <c r="W1016" i="178"/>
  <c r="AD1016" i="178"/>
  <c r="AE1016" i="178"/>
  <c r="AF1016" i="178"/>
  <c r="AG1016" i="178"/>
  <c r="AH1016" i="178"/>
  <c r="AI1016" i="178"/>
  <c r="AJ1016" i="178"/>
  <c r="AK1016" i="178"/>
  <c r="AL1016" i="178"/>
  <c r="AM1016" i="178"/>
  <c r="AN1016" i="178"/>
  <c r="AO1016" i="178"/>
  <c r="T1017" i="178"/>
  <c r="U1017" i="178" s="1"/>
  <c r="W1017" i="178"/>
  <c r="AD1017" i="178"/>
  <c r="AE1017" i="178"/>
  <c r="AF1017" i="178"/>
  <c r="AG1017" i="178"/>
  <c r="AH1017" i="178"/>
  <c r="AI1017" i="178"/>
  <c r="AJ1017" i="178"/>
  <c r="AK1017" i="178"/>
  <c r="AL1017" i="178"/>
  <c r="AM1017" i="178"/>
  <c r="AN1017" i="178"/>
  <c r="AO1017" i="178"/>
  <c r="T1026" i="178"/>
  <c r="U1026" i="178" s="1"/>
  <c r="W1026" i="178"/>
  <c r="AD1026" i="178"/>
  <c r="AE1026" i="178"/>
  <c r="AF1026" i="178"/>
  <c r="AG1026" i="178"/>
  <c r="AH1026" i="178"/>
  <c r="AI1026" i="178"/>
  <c r="AJ1026" i="178"/>
  <c r="AK1026" i="178"/>
  <c r="AL1026" i="178"/>
  <c r="AM1026" i="178"/>
  <c r="AN1026" i="178"/>
  <c r="AO1026" i="178"/>
  <c r="T1025" i="178"/>
  <c r="U1025" i="178" s="1"/>
  <c r="W1025" i="178"/>
  <c r="AD1025" i="178"/>
  <c r="AE1025" i="178"/>
  <c r="AF1025" i="178"/>
  <c r="AG1025" i="178"/>
  <c r="AH1025" i="178"/>
  <c r="AI1025" i="178"/>
  <c r="AJ1025" i="178"/>
  <c r="AK1025" i="178"/>
  <c r="AL1025" i="178"/>
  <c r="AM1025" i="178"/>
  <c r="AN1025" i="178"/>
  <c r="AO1025" i="178"/>
  <c r="T1057" i="178"/>
  <c r="U1057" i="178" s="1"/>
  <c r="W1057" i="178"/>
  <c r="AD1057" i="178"/>
  <c r="AE1057" i="178"/>
  <c r="AF1057" i="178"/>
  <c r="AG1057" i="178"/>
  <c r="AH1057" i="178"/>
  <c r="AI1057" i="178"/>
  <c r="AJ1057" i="178"/>
  <c r="AK1057" i="178"/>
  <c r="AL1057" i="178"/>
  <c r="AM1057" i="178"/>
  <c r="AN1057" i="178"/>
  <c r="AO1057" i="178"/>
  <c r="T1058" i="178"/>
  <c r="U1058" i="178" s="1"/>
  <c r="W1058" i="178"/>
  <c r="AD1058" i="178"/>
  <c r="AE1058" i="178"/>
  <c r="AF1058" i="178"/>
  <c r="AG1058" i="178"/>
  <c r="AH1058" i="178"/>
  <c r="AI1058" i="178"/>
  <c r="AJ1058" i="178"/>
  <c r="AK1058" i="178"/>
  <c r="AL1058" i="178"/>
  <c r="AM1058" i="178"/>
  <c r="AN1058" i="178"/>
  <c r="AO1058" i="178"/>
  <c r="T1059" i="178"/>
  <c r="U1059" i="178" s="1"/>
  <c r="W1059" i="178"/>
  <c r="AD1059" i="178"/>
  <c r="AE1059" i="178"/>
  <c r="AF1059" i="178"/>
  <c r="AG1059" i="178"/>
  <c r="AH1059" i="178"/>
  <c r="AI1059" i="178"/>
  <c r="AJ1059" i="178"/>
  <c r="AK1059" i="178"/>
  <c r="AL1059" i="178"/>
  <c r="AM1059" i="178"/>
  <c r="AN1059" i="178"/>
  <c r="AO1059" i="178"/>
  <c r="T1182" i="178"/>
  <c r="U1182" i="178" s="1"/>
  <c r="W1182" i="178"/>
  <c r="AD1182" i="178"/>
  <c r="AE1182" i="178"/>
  <c r="AF1182" i="178"/>
  <c r="AG1182" i="178"/>
  <c r="AH1182" i="178"/>
  <c r="AI1182" i="178"/>
  <c r="AJ1182" i="178"/>
  <c r="AK1182" i="178"/>
  <c r="AL1182" i="178"/>
  <c r="AM1182" i="178"/>
  <c r="AN1182" i="178"/>
  <c r="AO1182" i="178"/>
  <c r="T13" i="178"/>
  <c r="U13" i="178" s="1"/>
  <c r="W13" i="178"/>
  <c r="AD13" i="178"/>
  <c r="AE13" i="178"/>
  <c r="AF13" i="178"/>
  <c r="AG13" i="178"/>
  <c r="AH13" i="178"/>
  <c r="AI13" i="178"/>
  <c r="AJ13" i="178"/>
  <c r="AK13" i="178"/>
  <c r="AL13" i="178"/>
  <c r="AM13" i="178"/>
  <c r="AN13" i="178"/>
  <c r="AO13" i="178"/>
  <c r="T14" i="178"/>
  <c r="U14" i="178" s="1"/>
  <c r="W14" i="178"/>
  <c r="AD14" i="178"/>
  <c r="AE14" i="178"/>
  <c r="AF14" i="178"/>
  <c r="AG14" i="178"/>
  <c r="AH14" i="178"/>
  <c r="AI14" i="178"/>
  <c r="AJ14" i="178"/>
  <c r="AK14" i="178"/>
  <c r="AL14" i="178"/>
  <c r="AM14" i="178"/>
  <c r="AN14" i="178"/>
  <c r="AO14" i="178"/>
  <c r="T15" i="178"/>
  <c r="U15" i="178" s="1"/>
  <c r="W15" i="178"/>
  <c r="AD15" i="178"/>
  <c r="AE15" i="178"/>
  <c r="AF15" i="178"/>
  <c r="AG15" i="178"/>
  <c r="AH15" i="178"/>
  <c r="AI15" i="178"/>
  <c r="AJ15" i="178"/>
  <c r="AK15" i="178"/>
  <c r="AL15" i="178"/>
  <c r="AM15" i="178"/>
  <c r="AN15" i="178"/>
  <c r="AO15" i="178"/>
  <c r="T49" i="178"/>
  <c r="U49" i="178" s="1"/>
  <c r="W49" i="178"/>
  <c r="AD49" i="178"/>
  <c r="AE49" i="178"/>
  <c r="AF49" i="178"/>
  <c r="AG49" i="178"/>
  <c r="AH49" i="178"/>
  <c r="AI49" i="178"/>
  <c r="AJ49" i="178"/>
  <c r="AK49" i="178"/>
  <c r="AL49" i="178"/>
  <c r="AM49" i="178"/>
  <c r="AN49" i="178"/>
  <c r="AO49" i="178"/>
  <c r="T54" i="178"/>
  <c r="U54" i="178" s="1"/>
  <c r="W54" i="178"/>
  <c r="AD54" i="178"/>
  <c r="AE54" i="178"/>
  <c r="AF54" i="178"/>
  <c r="AG54" i="178"/>
  <c r="AH54" i="178"/>
  <c r="AI54" i="178"/>
  <c r="AJ54" i="178"/>
  <c r="AK54" i="178"/>
  <c r="AL54" i="178"/>
  <c r="AM54" i="178"/>
  <c r="AN54" i="178"/>
  <c r="AO54" i="178"/>
  <c r="T55" i="178"/>
  <c r="U55" i="178" s="1"/>
  <c r="W55" i="178"/>
  <c r="AD55" i="178"/>
  <c r="AE55" i="178"/>
  <c r="AF55" i="178"/>
  <c r="AG55" i="178"/>
  <c r="AH55" i="178"/>
  <c r="AI55" i="178"/>
  <c r="AJ55" i="178"/>
  <c r="AK55" i="178"/>
  <c r="AL55" i="178"/>
  <c r="AM55" i="178"/>
  <c r="AN55" i="178"/>
  <c r="AO55" i="178"/>
  <c r="T59" i="178"/>
  <c r="U59" i="178" s="1"/>
  <c r="W59" i="178"/>
  <c r="AD59" i="178"/>
  <c r="AE59" i="178"/>
  <c r="AF59" i="178"/>
  <c r="AG59" i="178"/>
  <c r="AH59" i="178"/>
  <c r="AI59" i="178"/>
  <c r="AJ59" i="178"/>
  <c r="AK59" i="178"/>
  <c r="AL59" i="178"/>
  <c r="AM59" i="178"/>
  <c r="AN59" i="178"/>
  <c r="AO59" i="178"/>
  <c r="T73" i="178"/>
  <c r="U73" i="178" s="1"/>
  <c r="W73" i="178"/>
  <c r="AD73" i="178"/>
  <c r="AE73" i="178"/>
  <c r="AF73" i="178"/>
  <c r="AG73" i="178"/>
  <c r="AH73" i="178"/>
  <c r="AI73" i="178"/>
  <c r="AJ73" i="178"/>
  <c r="AK73" i="178"/>
  <c r="AL73" i="178"/>
  <c r="AM73" i="178"/>
  <c r="AN73" i="178"/>
  <c r="AO73" i="178"/>
  <c r="T75" i="178"/>
  <c r="U75" i="178" s="1"/>
  <c r="W75" i="178"/>
  <c r="AD75" i="178"/>
  <c r="AE75" i="178"/>
  <c r="AF75" i="178"/>
  <c r="AG75" i="178"/>
  <c r="AH75" i="178"/>
  <c r="AI75" i="178"/>
  <c r="AJ75" i="178"/>
  <c r="AK75" i="178"/>
  <c r="AL75" i="178"/>
  <c r="AM75" i="178"/>
  <c r="AN75" i="178"/>
  <c r="AO75" i="178"/>
  <c r="T78" i="178"/>
  <c r="V78" i="178" s="1"/>
  <c r="W78" i="178"/>
  <c r="AD78" i="178"/>
  <c r="AE78" i="178"/>
  <c r="AF78" i="178"/>
  <c r="AG78" i="178"/>
  <c r="AH78" i="178"/>
  <c r="AI78" i="178"/>
  <c r="AJ78" i="178"/>
  <c r="AK78" i="178"/>
  <c r="AL78" i="178"/>
  <c r="AM78" i="178"/>
  <c r="AN78" i="178"/>
  <c r="AO78" i="178"/>
  <c r="T80" i="178"/>
  <c r="U80" i="178" s="1"/>
  <c r="W80" i="178"/>
  <c r="AD80" i="178"/>
  <c r="AE80" i="178"/>
  <c r="AF80" i="178"/>
  <c r="AG80" i="178"/>
  <c r="AH80" i="178"/>
  <c r="AI80" i="178"/>
  <c r="AJ80" i="178"/>
  <c r="AK80" i="178"/>
  <c r="AL80" i="178"/>
  <c r="AM80" i="178"/>
  <c r="AN80" i="178"/>
  <c r="AO80" i="178"/>
  <c r="T81" i="178"/>
  <c r="U81" i="178" s="1"/>
  <c r="W81" i="178"/>
  <c r="AD81" i="178"/>
  <c r="AE81" i="178"/>
  <c r="AF81" i="178"/>
  <c r="AG81" i="178"/>
  <c r="AH81" i="178"/>
  <c r="AI81" i="178"/>
  <c r="AJ81" i="178"/>
  <c r="AK81" i="178"/>
  <c r="AL81" i="178"/>
  <c r="AM81" i="178"/>
  <c r="AN81" i="178"/>
  <c r="AO81" i="178"/>
  <c r="T82" i="178"/>
  <c r="U82" i="178" s="1"/>
  <c r="W82" i="178"/>
  <c r="AD82" i="178"/>
  <c r="AE82" i="178"/>
  <c r="AF82" i="178"/>
  <c r="AG82" i="178"/>
  <c r="AH82" i="178"/>
  <c r="AI82" i="178"/>
  <c r="AJ82" i="178"/>
  <c r="AK82" i="178"/>
  <c r="AL82" i="178"/>
  <c r="AM82" i="178"/>
  <c r="AN82" i="178"/>
  <c r="AO82" i="178"/>
  <c r="T120" i="178"/>
  <c r="V120" i="178" s="1"/>
  <c r="W120" i="178"/>
  <c r="AD120" i="178"/>
  <c r="AE120" i="178"/>
  <c r="AF120" i="178"/>
  <c r="AG120" i="178"/>
  <c r="AH120" i="178"/>
  <c r="AI120" i="178"/>
  <c r="AJ120" i="178"/>
  <c r="AK120" i="178"/>
  <c r="AL120" i="178"/>
  <c r="AM120" i="178"/>
  <c r="AN120" i="178"/>
  <c r="AO120" i="178"/>
  <c r="T121" i="178"/>
  <c r="U121" i="178" s="1"/>
  <c r="W121" i="178"/>
  <c r="AD121" i="178"/>
  <c r="AE121" i="178"/>
  <c r="AF121" i="178"/>
  <c r="AG121" i="178"/>
  <c r="AH121" i="178"/>
  <c r="AI121" i="178"/>
  <c r="AJ121" i="178"/>
  <c r="AK121" i="178"/>
  <c r="AL121" i="178"/>
  <c r="AM121" i="178"/>
  <c r="AN121" i="178"/>
  <c r="AO121" i="178"/>
  <c r="T122" i="178"/>
  <c r="U122" i="178" s="1"/>
  <c r="W122" i="178"/>
  <c r="AD122" i="178"/>
  <c r="AE122" i="178"/>
  <c r="AF122" i="178"/>
  <c r="AG122" i="178"/>
  <c r="AH122" i="178"/>
  <c r="AI122" i="178"/>
  <c r="AJ122" i="178"/>
  <c r="AK122" i="178"/>
  <c r="AL122" i="178"/>
  <c r="AM122" i="178"/>
  <c r="AN122" i="178"/>
  <c r="AO122" i="178"/>
  <c r="T123" i="178"/>
  <c r="U123" i="178" s="1"/>
  <c r="W123" i="178"/>
  <c r="AD123" i="178"/>
  <c r="AE123" i="178"/>
  <c r="AF123" i="178"/>
  <c r="AG123" i="178"/>
  <c r="AH123" i="178"/>
  <c r="AI123" i="178"/>
  <c r="AJ123" i="178"/>
  <c r="AK123" i="178"/>
  <c r="AL123" i="178"/>
  <c r="AM123" i="178"/>
  <c r="AN123" i="178"/>
  <c r="AO123" i="178"/>
  <c r="T124" i="178"/>
  <c r="V124" i="178" s="1"/>
  <c r="W124" i="178"/>
  <c r="AD124" i="178"/>
  <c r="AE124" i="178"/>
  <c r="AF124" i="178"/>
  <c r="AG124" i="178"/>
  <c r="AH124" i="178"/>
  <c r="AI124" i="178"/>
  <c r="AJ124" i="178"/>
  <c r="AK124" i="178"/>
  <c r="AL124" i="178"/>
  <c r="AM124" i="178"/>
  <c r="AN124" i="178"/>
  <c r="AO124" i="178"/>
  <c r="T125" i="178"/>
  <c r="U125" i="178" s="1"/>
  <c r="W125" i="178"/>
  <c r="AD125" i="178"/>
  <c r="AE125" i="178"/>
  <c r="AF125" i="178"/>
  <c r="AG125" i="178"/>
  <c r="AH125" i="178"/>
  <c r="AI125" i="178"/>
  <c r="AJ125" i="178"/>
  <c r="AK125" i="178"/>
  <c r="AL125" i="178"/>
  <c r="AM125" i="178"/>
  <c r="AN125" i="178"/>
  <c r="AO125" i="178"/>
  <c r="T126" i="178"/>
  <c r="U126" i="178" s="1"/>
  <c r="W126" i="178"/>
  <c r="AD126" i="178"/>
  <c r="AE126" i="178"/>
  <c r="AF126" i="178"/>
  <c r="AG126" i="178"/>
  <c r="AH126" i="178"/>
  <c r="AI126" i="178"/>
  <c r="AJ126" i="178"/>
  <c r="AK126" i="178"/>
  <c r="AL126" i="178"/>
  <c r="AM126" i="178"/>
  <c r="AN126" i="178"/>
  <c r="AO126" i="178"/>
  <c r="T130" i="178"/>
  <c r="V130" i="178" s="1"/>
  <c r="W130" i="178"/>
  <c r="AD130" i="178"/>
  <c r="AE130" i="178"/>
  <c r="AF130" i="178"/>
  <c r="AG130" i="178"/>
  <c r="AH130" i="178"/>
  <c r="AI130" i="178"/>
  <c r="AJ130" i="178"/>
  <c r="AK130" i="178"/>
  <c r="AL130" i="178"/>
  <c r="AM130" i="178"/>
  <c r="AN130" i="178"/>
  <c r="AO130" i="178"/>
  <c r="T187" i="178"/>
  <c r="V187" i="178" s="1"/>
  <c r="W187" i="178"/>
  <c r="AD187" i="178"/>
  <c r="AE187" i="178"/>
  <c r="AF187" i="178"/>
  <c r="AG187" i="178"/>
  <c r="AH187" i="178"/>
  <c r="AI187" i="178"/>
  <c r="AJ187" i="178"/>
  <c r="AK187" i="178"/>
  <c r="AL187" i="178"/>
  <c r="AM187" i="178"/>
  <c r="AN187" i="178"/>
  <c r="AO187" i="178"/>
  <c r="T188" i="178"/>
  <c r="V188" i="178" s="1"/>
  <c r="W188" i="178"/>
  <c r="AD188" i="178"/>
  <c r="AE188" i="178"/>
  <c r="AF188" i="178"/>
  <c r="AG188" i="178"/>
  <c r="AH188" i="178"/>
  <c r="AI188" i="178"/>
  <c r="AJ188" i="178"/>
  <c r="AK188" i="178"/>
  <c r="AL188" i="178"/>
  <c r="AM188" i="178"/>
  <c r="AN188" i="178"/>
  <c r="AO188" i="178"/>
  <c r="T192" i="178"/>
  <c r="U192" i="178" s="1"/>
  <c r="W192" i="178"/>
  <c r="AD192" i="178"/>
  <c r="AE192" i="178"/>
  <c r="AF192" i="178"/>
  <c r="AG192" i="178"/>
  <c r="AH192" i="178"/>
  <c r="AI192" i="178"/>
  <c r="AJ192" i="178"/>
  <c r="AK192" i="178"/>
  <c r="AL192" i="178"/>
  <c r="AM192" i="178"/>
  <c r="AN192" i="178"/>
  <c r="AO192" i="178"/>
  <c r="T193" i="178"/>
  <c r="V193" i="178" s="1"/>
  <c r="W193" i="178"/>
  <c r="AD193" i="178"/>
  <c r="AE193" i="178"/>
  <c r="AF193" i="178"/>
  <c r="AG193" i="178"/>
  <c r="AH193" i="178"/>
  <c r="AI193" i="178"/>
  <c r="AJ193" i="178"/>
  <c r="AK193" i="178"/>
  <c r="AL193" i="178"/>
  <c r="AM193" i="178"/>
  <c r="AN193" i="178"/>
  <c r="AO193" i="178"/>
  <c r="T203" i="178"/>
  <c r="V203" i="178" s="1"/>
  <c r="W203" i="178"/>
  <c r="AD203" i="178"/>
  <c r="AE203" i="178"/>
  <c r="AF203" i="178"/>
  <c r="AG203" i="178"/>
  <c r="AH203" i="178"/>
  <c r="AI203" i="178"/>
  <c r="AJ203" i="178"/>
  <c r="AK203" i="178"/>
  <c r="AL203" i="178"/>
  <c r="AM203" i="178"/>
  <c r="AN203" i="178"/>
  <c r="AO203" i="178"/>
  <c r="T229" i="178"/>
  <c r="V229" i="178" s="1"/>
  <c r="W229" i="178"/>
  <c r="AD229" i="178"/>
  <c r="AE229" i="178"/>
  <c r="AF229" i="178"/>
  <c r="AG229" i="178"/>
  <c r="AH229" i="178"/>
  <c r="AI229" i="178"/>
  <c r="AJ229" i="178"/>
  <c r="AK229" i="178"/>
  <c r="AL229" i="178"/>
  <c r="AM229" i="178"/>
  <c r="AN229" i="178"/>
  <c r="AO229" i="178"/>
  <c r="T241" i="178"/>
  <c r="U241" i="178" s="1"/>
  <c r="W241" i="178"/>
  <c r="AD241" i="178"/>
  <c r="AE241" i="178"/>
  <c r="AF241" i="178"/>
  <c r="AG241" i="178"/>
  <c r="AH241" i="178"/>
  <c r="AI241" i="178"/>
  <c r="AJ241" i="178"/>
  <c r="AK241" i="178"/>
  <c r="AL241" i="178"/>
  <c r="AM241" i="178"/>
  <c r="AN241" i="178"/>
  <c r="AO241" i="178"/>
  <c r="T242" i="178"/>
  <c r="V242" i="178" s="1"/>
  <c r="W242" i="178"/>
  <c r="AD242" i="178"/>
  <c r="AE242" i="178"/>
  <c r="AF242" i="178"/>
  <c r="AG242" i="178"/>
  <c r="AH242" i="178"/>
  <c r="AI242" i="178"/>
  <c r="AJ242" i="178"/>
  <c r="AK242" i="178"/>
  <c r="AL242" i="178"/>
  <c r="AM242" i="178"/>
  <c r="AN242" i="178"/>
  <c r="AO242" i="178"/>
  <c r="T249" i="178"/>
  <c r="V249" i="178" s="1"/>
  <c r="W249" i="178"/>
  <c r="AD249" i="178"/>
  <c r="AE249" i="178"/>
  <c r="AF249" i="178"/>
  <c r="AG249" i="178"/>
  <c r="AH249" i="178"/>
  <c r="AI249" i="178"/>
  <c r="AJ249" i="178"/>
  <c r="AK249" i="178"/>
  <c r="AL249" i="178"/>
  <c r="AM249" i="178"/>
  <c r="AN249" i="178"/>
  <c r="AO249" i="178"/>
  <c r="T250" i="178"/>
  <c r="V250" i="178" s="1"/>
  <c r="W250" i="178"/>
  <c r="AD250" i="178"/>
  <c r="AE250" i="178"/>
  <c r="AF250" i="178"/>
  <c r="AG250" i="178"/>
  <c r="AH250" i="178"/>
  <c r="AI250" i="178"/>
  <c r="AJ250" i="178"/>
  <c r="AK250" i="178"/>
  <c r="AL250" i="178"/>
  <c r="AM250" i="178"/>
  <c r="AN250" i="178"/>
  <c r="AO250" i="178"/>
  <c r="T255" i="178"/>
  <c r="U255" i="178" s="1"/>
  <c r="W255" i="178"/>
  <c r="AD255" i="178"/>
  <c r="AE255" i="178"/>
  <c r="AF255" i="178"/>
  <c r="AG255" i="178"/>
  <c r="AH255" i="178"/>
  <c r="AI255" i="178"/>
  <c r="AJ255" i="178"/>
  <c r="AK255" i="178"/>
  <c r="AL255" i="178"/>
  <c r="AM255" i="178"/>
  <c r="AN255" i="178"/>
  <c r="AO255" i="178"/>
  <c r="T256" i="178"/>
  <c r="V256" i="178" s="1"/>
  <c r="W256" i="178"/>
  <c r="AD256" i="178"/>
  <c r="AE256" i="178"/>
  <c r="AF256" i="178"/>
  <c r="AG256" i="178"/>
  <c r="AH256" i="178"/>
  <c r="AI256" i="178"/>
  <c r="AJ256" i="178"/>
  <c r="AK256" i="178"/>
  <c r="AL256" i="178"/>
  <c r="AM256" i="178"/>
  <c r="AN256" i="178"/>
  <c r="AO256" i="178"/>
  <c r="T264" i="178"/>
  <c r="V264" i="178" s="1"/>
  <c r="W264" i="178"/>
  <c r="AD264" i="178"/>
  <c r="AE264" i="178"/>
  <c r="AF264" i="178"/>
  <c r="AG264" i="178"/>
  <c r="AH264" i="178"/>
  <c r="AI264" i="178"/>
  <c r="AJ264" i="178"/>
  <c r="AK264" i="178"/>
  <c r="AL264" i="178"/>
  <c r="AM264" i="178"/>
  <c r="AN264" i="178"/>
  <c r="AO264" i="178"/>
  <c r="T265" i="178"/>
  <c r="V265" i="178" s="1"/>
  <c r="W265" i="178"/>
  <c r="AD265" i="178"/>
  <c r="AE265" i="178"/>
  <c r="AF265" i="178"/>
  <c r="AG265" i="178"/>
  <c r="AH265" i="178"/>
  <c r="AI265" i="178"/>
  <c r="AJ265" i="178"/>
  <c r="AK265" i="178"/>
  <c r="AL265" i="178"/>
  <c r="AM265" i="178"/>
  <c r="AN265" i="178"/>
  <c r="AO265" i="178"/>
  <c r="T309" i="178"/>
  <c r="V309" i="178" s="1"/>
  <c r="W309" i="178"/>
  <c r="AD309" i="178"/>
  <c r="AE309" i="178"/>
  <c r="AF309" i="178"/>
  <c r="AG309" i="178"/>
  <c r="AH309" i="178"/>
  <c r="AI309" i="178"/>
  <c r="AJ309" i="178"/>
  <c r="AK309" i="178"/>
  <c r="AL309" i="178"/>
  <c r="AM309" i="178"/>
  <c r="AN309" i="178"/>
  <c r="AO309" i="178"/>
  <c r="T310" i="178"/>
  <c r="V310" i="178" s="1"/>
  <c r="W310" i="178"/>
  <c r="AD310" i="178"/>
  <c r="AE310" i="178"/>
  <c r="AF310" i="178"/>
  <c r="AG310" i="178"/>
  <c r="AH310" i="178"/>
  <c r="AI310" i="178"/>
  <c r="AJ310" i="178"/>
  <c r="AK310" i="178"/>
  <c r="AL310" i="178"/>
  <c r="AM310" i="178"/>
  <c r="AN310" i="178"/>
  <c r="AO310" i="178"/>
  <c r="T330" i="178"/>
  <c r="V330" i="178" s="1"/>
  <c r="W330" i="178"/>
  <c r="AD330" i="178"/>
  <c r="AE330" i="178"/>
  <c r="AF330" i="178"/>
  <c r="AG330" i="178"/>
  <c r="AH330" i="178"/>
  <c r="AI330" i="178"/>
  <c r="AJ330" i="178"/>
  <c r="AK330" i="178"/>
  <c r="AL330" i="178"/>
  <c r="AM330" i="178"/>
  <c r="AN330" i="178"/>
  <c r="AO330" i="178"/>
  <c r="T331" i="178"/>
  <c r="W331" i="178"/>
  <c r="AD331" i="178"/>
  <c r="AE331" i="178"/>
  <c r="AF331" i="178"/>
  <c r="AG331" i="178"/>
  <c r="AH331" i="178"/>
  <c r="AI331" i="178"/>
  <c r="AJ331" i="178"/>
  <c r="AK331" i="178"/>
  <c r="AL331" i="178"/>
  <c r="AM331" i="178"/>
  <c r="AN331" i="178"/>
  <c r="AO331" i="178"/>
  <c r="T333" i="178"/>
  <c r="V333" i="178" s="1"/>
  <c r="W333" i="178"/>
  <c r="AD333" i="178"/>
  <c r="AE333" i="178"/>
  <c r="AF333" i="178"/>
  <c r="AG333" i="178"/>
  <c r="AH333" i="178"/>
  <c r="AI333" i="178"/>
  <c r="AJ333" i="178"/>
  <c r="AK333" i="178"/>
  <c r="AL333" i="178"/>
  <c r="AM333" i="178"/>
  <c r="AN333" i="178"/>
  <c r="AO333" i="178"/>
  <c r="T334" i="178"/>
  <c r="W334" i="178"/>
  <c r="AD334" i="178"/>
  <c r="AE334" i="178"/>
  <c r="AF334" i="178"/>
  <c r="AG334" i="178"/>
  <c r="AH334" i="178"/>
  <c r="AI334" i="178"/>
  <c r="AJ334" i="178"/>
  <c r="AK334" i="178"/>
  <c r="AL334" i="178"/>
  <c r="AM334" i="178"/>
  <c r="AN334" i="178"/>
  <c r="AO334" i="178"/>
  <c r="T426" i="178"/>
  <c r="U426" i="178" s="1"/>
  <c r="W426" i="178"/>
  <c r="AD426" i="178"/>
  <c r="AE426" i="178"/>
  <c r="AF426" i="178"/>
  <c r="AG426" i="178"/>
  <c r="AH426" i="178"/>
  <c r="AI426" i="178"/>
  <c r="AJ426" i="178"/>
  <c r="AK426" i="178"/>
  <c r="AL426" i="178"/>
  <c r="AM426" i="178"/>
  <c r="AN426" i="178"/>
  <c r="AO426" i="178"/>
  <c r="T434" i="178"/>
  <c r="V434" i="178" s="1"/>
  <c r="W434" i="178"/>
  <c r="AD434" i="178"/>
  <c r="AE434" i="178"/>
  <c r="AF434" i="178"/>
  <c r="AG434" i="178"/>
  <c r="AH434" i="178"/>
  <c r="AI434" i="178"/>
  <c r="AJ434" i="178"/>
  <c r="AK434" i="178"/>
  <c r="AL434" i="178"/>
  <c r="AM434" i="178"/>
  <c r="AN434" i="178"/>
  <c r="AO434" i="178"/>
  <c r="T461" i="178"/>
  <c r="U461" i="178" s="1"/>
  <c r="W461" i="178"/>
  <c r="AD461" i="178"/>
  <c r="AE461" i="178"/>
  <c r="AF461" i="178"/>
  <c r="AG461" i="178"/>
  <c r="AH461" i="178"/>
  <c r="AI461" i="178"/>
  <c r="AJ461" i="178"/>
  <c r="AK461" i="178"/>
  <c r="AL461" i="178"/>
  <c r="AM461" i="178"/>
  <c r="AN461" i="178"/>
  <c r="AO461" i="178"/>
  <c r="T469" i="178"/>
  <c r="V469" i="178" s="1"/>
  <c r="W469" i="178"/>
  <c r="AD469" i="178"/>
  <c r="AE469" i="178"/>
  <c r="AF469" i="178"/>
  <c r="AG469" i="178"/>
  <c r="AH469" i="178"/>
  <c r="AI469" i="178"/>
  <c r="AJ469" i="178"/>
  <c r="AK469" i="178"/>
  <c r="AL469" i="178"/>
  <c r="AM469" i="178"/>
  <c r="AN469" i="178"/>
  <c r="AO469" i="178"/>
  <c r="T474" i="178"/>
  <c r="U474" i="178" s="1"/>
  <c r="W474" i="178"/>
  <c r="AD474" i="178"/>
  <c r="AE474" i="178"/>
  <c r="AF474" i="178"/>
  <c r="AG474" i="178"/>
  <c r="AH474" i="178"/>
  <c r="AI474" i="178"/>
  <c r="AJ474" i="178"/>
  <c r="AK474" i="178"/>
  <c r="AL474" i="178"/>
  <c r="AM474" i="178"/>
  <c r="AN474" i="178"/>
  <c r="AO474" i="178"/>
  <c r="T483" i="178"/>
  <c r="V483" i="178" s="1"/>
  <c r="W483" i="178"/>
  <c r="AD483" i="178"/>
  <c r="AE483" i="178"/>
  <c r="AF483" i="178"/>
  <c r="AG483" i="178"/>
  <c r="AH483" i="178"/>
  <c r="AI483" i="178"/>
  <c r="AJ483" i="178"/>
  <c r="AK483" i="178"/>
  <c r="AL483" i="178"/>
  <c r="AM483" i="178"/>
  <c r="AN483" i="178"/>
  <c r="AO483" i="178"/>
  <c r="T503" i="178"/>
  <c r="V503" i="178" s="1"/>
  <c r="W503" i="178"/>
  <c r="AD503" i="178"/>
  <c r="AE503" i="178"/>
  <c r="AF503" i="178"/>
  <c r="AG503" i="178"/>
  <c r="AH503" i="178"/>
  <c r="AI503" i="178"/>
  <c r="AJ503" i="178"/>
  <c r="AK503" i="178"/>
  <c r="AL503" i="178"/>
  <c r="AM503" i="178"/>
  <c r="AN503" i="178"/>
  <c r="AO503" i="178"/>
  <c r="T508" i="178"/>
  <c r="U508" i="178" s="1"/>
  <c r="W508" i="178"/>
  <c r="AD508" i="178"/>
  <c r="AE508" i="178"/>
  <c r="AF508" i="178"/>
  <c r="AG508" i="178"/>
  <c r="AH508" i="178"/>
  <c r="AI508" i="178"/>
  <c r="AJ508" i="178"/>
  <c r="AK508" i="178"/>
  <c r="AL508" i="178"/>
  <c r="AM508" i="178"/>
  <c r="AN508" i="178"/>
  <c r="AO508" i="178"/>
  <c r="T531" i="178"/>
  <c r="V531" i="178" s="1"/>
  <c r="W531" i="178"/>
  <c r="AD531" i="178"/>
  <c r="AE531" i="178"/>
  <c r="AF531" i="178"/>
  <c r="AG531" i="178"/>
  <c r="AH531" i="178"/>
  <c r="AI531" i="178"/>
  <c r="AJ531" i="178"/>
  <c r="AK531" i="178"/>
  <c r="AL531" i="178"/>
  <c r="AM531" i="178"/>
  <c r="AN531" i="178"/>
  <c r="AO531" i="178"/>
  <c r="T535" i="178"/>
  <c r="U535" i="178" s="1"/>
  <c r="W535" i="178"/>
  <c r="AD535" i="178"/>
  <c r="AE535" i="178"/>
  <c r="AF535" i="178"/>
  <c r="AG535" i="178"/>
  <c r="AH535" i="178"/>
  <c r="AI535" i="178"/>
  <c r="AJ535" i="178"/>
  <c r="AK535" i="178"/>
  <c r="AL535" i="178"/>
  <c r="AM535" i="178"/>
  <c r="AN535" i="178"/>
  <c r="AO535" i="178"/>
  <c r="T576" i="178"/>
  <c r="V576" i="178" s="1"/>
  <c r="W576" i="178"/>
  <c r="AD576" i="178"/>
  <c r="AE576" i="178"/>
  <c r="AF576" i="178"/>
  <c r="AG576" i="178"/>
  <c r="AH576" i="178"/>
  <c r="AI576" i="178"/>
  <c r="AJ576" i="178"/>
  <c r="AK576" i="178"/>
  <c r="AL576" i="178"/>
  <c r="AM576" i="178"/>
  <c r="AN576" i="178"/>
  <c r="AO576" i="178"/>
  <c r="T659" i="178"/>
  <c r="U659" i="178" s="1"/>
  <c r="W659" i="178"/>
  <c r="AD659" i="178"/>
  <c r="AE659" i="178"/>
  <c r="AF659" i="178"/>
  <c r="AG659" i="178"/>
  <c r="AH659" i="178"/>
  <c r="AI659" i="178"/>
  <c r="AJ659" i="178"/>
  <c r="AK659" i="178"/>
  <c r="AL659" i="178"/>
  <c r="AM659" i="178"/>
  <c r="AN659" i="178"/>
  <c r="AO659" i="178"/>
  <c r="T744" i="178"/>
  <c r="U744" i="178" s="1"/>
  <c r="W744" i="178"/>
  <c r="AD744" i="178"/>
  <c r="AE744" i="178"/>
  <c r="AF744" i="178"/>
  <c r="AG744" i="178"/>
  <c r="AH744" i="178"/>
  <c r="AI744" i="178"/>
  <c r="AJ744" i="178"/>
  <c r="AK744" i="178"/>
  <c r="AL744" i="178"/>
  <c r="AM744" i="178"/>
  <c r="AN744" i="178"/>
  <c r="AO744" i="178"/>
  <c r="T745" i="178"/>
  <c r="V745" i="178" s="1"/>
  <c r="W745" i="178"/>
  <c r="AD745" i="178"/>
  <c r="AE745" i="178"/>
  <c r="AF745" i="178"/>
  <c r="AG745" i="178"/>
  <c r="AH745" i="178"/>
  <c r="AI745" i="178"/>
  <c r="AJ745" i="178"/>
  <c r="AK745" i="178"/>
  <c r="AL745" i="178"/>
  <c r="AM745" i="178"/>
  <c r="AN745" i="178"/>
  <c r="AO745" i="178"/>
  <c r="T746" i="178"/>
  <c r="U746" i="178" s="1"/>
  <c r="W746" i="178"/>
  <c r="AD746" i="178"/>
  <c r="AE746" i="178"/>
  <c r="AF746" i="178"/>
  <c r="AG746" i="178"/>
  <c r="AH746" i="178"/>
  <c r="AI746" i="178"/>
  <c r="AJ746" i="178"/>
  <c r="AK746" i="178"/>
  <c r="AL746" i="178"/>
  <c r="AM746" i="178"/>
  <c r="AN746" i="178"/>
  <c r="AO746" i="178"/>
  <c r="T747" i="178"/>
  <c r="V747" i="178" s="1"/>
  <c r="W747" i="178"/>
  <c r="AD747" i="178"/>
  <c r="AE747" i="178"/>
  <c r="AF747" i="178"/>
  <c r="AG747" i="178"/>
  <c r="AH747" i="178"/>
  <c r="AI747" i="178"/>
  <c r="AJ747" i="178"/>
  <c r="AK747" i="178"/>
  <c r="AL747" i="178"/>
  <c r="AM747" i="178"/>
  <c r="AN747" i="178"/>
  <c r="AO747" i="178"/>
  <c r="T774" i="178"/>
  <c r="V774" i="178" s="1"/>
  <c r="W774" i="178"/>
  <c r="AD774" i="178"/>
  <c r="AE774" i="178"/>
  <c r="AF774" i="178"/>
  <c r="AG774" i="178"/>
  <c r="AH774" i="178"/>
  <c r="AI774" i="178"/>
  <c r="AJ774" i="178"/>
  <c r="AK774" i="178"/>
  <c r="AL774" i="178"/>
  <c r="AM774" i="178"/>
  <c r="AN774" i="178"/>
  <c r="AO774" i="178"/>
  <c r="T775" i="178"/>
  <c r="U775" i="178" s="1"/>
  <c r="W775" i="178"/>
  <c r="AD775" i="178"/>
  <c r="AE775" i="178"/>
  <c r="AF775" i="178"/>
  <c r="AG775" i="178"/>
  <c r="AH775" i="178"/>
  <c r="AI775" i="178"/>
  <c r="AJ775" i="178"/>
  <c r="AK775" i="178"/>
  <c r="AL775" i="178"/>
  <c r="AM775" i="178"/>
  <c r="AN775" i="178"/>
  <c r="AO775" i="178"/>
  <c r="T773" i="178"/>
  <c r="V773" i="178" s="1"/>
  <c r="W773" i="178"/>
  <c r="AD773" i="178"/>
  <c r="AE773" i="178"/>
  <c r="AF773" i="178"/>
  <c r="AG773" i="178"/>
  <c r="AH773" i="178"/>
  <c r="AI773" i="178"/>
  <c r="AJ773" i="178"/>
  <c r="AK773" i="178"/>
  <c r="AL773" i="178"/>
  <c r="AM773" i="178"/>
  <c r="AN773" i="178"/>
  <c r="AO773" i="178"/>
  <c r="T776" i="178"/>
  <c r="U776" i="178" s="1"/>
  <c r="W776" i="178"/>
  <c r="AD776" i="178"/>
  <c r="AE776" i="178"/>
  <c r="AF776" i="178"/>
  <c r="AG776" i="178"/>
  <c r="AH776" i="178"/>
  <c r="AI776" i="178"/>
  <c r="AJ776" i="178"/>
  <c r="AK776" i="178"/>
  <c r="AL776" i="178"/>
  <c r="AM776" i="178"/>
  <c r="AN776" i="178"/>
  <c r="AO776" i="178"/>
  <c r="T830" i="178"/>
  <c r="U830" i="178" s="1"/>
  <c r="W830" i="178"/>
  <c r="AD830" i="178"/>
  <c r="AE830" i="178"/>
  <c r="AF830" i="178"/>
  <c r="AG830" i="178"/>
  <c r="AH830" i="178"/>
  <c r="AI830" i="178"/>
  <c r="AJ830" i="178"/>
  <c r="AK830" i="178"/>
  <c r="AL830" i="178"/>
  <c r="AM830" i="178"/>
  <c r="AN830" i="178"/>
  <c r="AO830" i="178"/>
  <c r="T831" i="178"/>
  <c r="V831" i="178" s="1"/>
  <c r="W831" i="178"/>
  <c r="AD831" i="178"/>
  <c r="AE831" i="178"/>
  <c r="AF831" i="178"/>
  <c r="AG831" i="178"/>
  <c r="AH831" i="178"/>
  <c r="AI831" i="178"/>
  <c r="AJ831" i="178"/>
  <c r="AK831" i="178"/>
  <c r="AL831" i="178"/>
  <c r="AM831" i="178"/>
  <c r="AN831" i="178"/>
  <c r="AO831" i="178"/>
  <c r="T832" i="178"/>
  <c r="U832" i="178" s="1"/>
  <c r="W832" i="178"/>
  <c r="AD832" i="178"/>
  <c r="AE832" i="178"/>
  <c r="AF832" i="178"/>
  <c r="AG832" i="178"/>
  <c r="AH832" i="178"/>
  <c r="AI832" i="178"/>
  <c r="AJ832" i="178"/>
  <c r="AK832" i="178"/>
  <c r="AL832" i="178"/>
  <c r="AM832" i="178"/>
  <c r="AN832" i="178"/>
  <c r="AO832" i="178"/>
  <c r="T833" i="178"/>
  <c r="V833" i="178" s="1"/>
  <c r="W833" i="178"/>
  <c r="AD833" i="178"/>
  <c r="AE833" i="178"/>
  <c r="AF833" i="178"/>
  <c r="AG833" i="178"/>
  <c r="AH833" i="178"/>
  <c r="AI833" i="178"/>
  <c r="AJ833" i="178"/>
  <c r="AK833" i="178"/>
  <c r="AL833" i="178"/>
  <c r="AM833" i="178"/>
  <c r="AN833" i="178"/>
  <c r="AO833" i="178"/>
  <c r="T948" i="178"/>
  <c r="U948" i="178" s="1"/>
  <c r="W948" i="178"/>
  <c r="AD948" i="178"/>
  <c r="AE948" i="178"/>
  <c r="AF948" i="178"/>
  <c r="AG948" i="178"/>
  <c r="AH948" i="178"/>
  <c r="AI948" i="178"/>
  <c r="AJ948" i="178"/>
  <c r="AK948" i="178"/>
  <c r="AL948" i="178"/>
  <c r="AM948" i="178"/>
  <c r="AN948" i="178"/>
  <c r="AO948" i="178"/>
  <c r="T950" i="178"/>
  <c r="V950" i="178" s="1"/>
  <c r="W950" i="178"/>
  <c r="AD950" i="178"/>
  <c r="AE950" i="178"/>
  <c r="AF950" i="178"/>
  <c r="AG950" i="178"/>
  <c r="AH950" i="178"/>
  <c r="AI950" i="178"/>
  <c r="AJ950" i="178"/>
  <c r="AK950" i="178"/>
  <c r="AL950" i="178"/>
  <c r="AM950" i="178"/>
  <c r="AN950" i="178"/>
  <c r="AO950" i="178"/>
  <c r="T967" i="178"/>
  <c r="U967" i="178" s="1"/>
  <c r="W967" i="178"/>
  <c r="AD967" i="178"/>
  <c r="AE967" i="178"/>
  <c r="AF967" i="178"/>
  <c r="AG967" i="178"/>
  <c r="AH967" i="178"/>
  <c r="AI967" i="178"/>
  <c r="AJ967" i="178"/>
  <c r="AK967" i="178"/>
  <c r="AL967" i="178"/>
  <c r="AM967" i="178"/>
  <c r="AN967" i="178"/>
  <c r="AO967" i="178"/>
  <c r="T968" i="178"/>
  <c r="V968" i="178" s="1"/>
  <c r="W968" i="178"/>
  <c r="AD968" i="178"/>
  <c r="AE968" i="178"/>
  <c r="AF968" i="178"/>
  <c r="AG968" i="178"/>
  <c r="AH968" i="178"/>
  <c r="AI968" i="178"/>
  <c r="AJ968" i="178"/>
  <c r="AK968" i="178"/>
  <c r="AL968" i="178"/>
  <c r="AM968" i="178"/>
  <c r="AN968" i="178"/>
  <c r="AO968" i="178"/>
  <c r="T975" i="178"/>
  <c r="U975" i="178" s="1"/>
  <c r="W975" i="178"/>
  <c r="AD975" i="178"/>
  <c r="AE975" i="178"/>
  <c r="AF975" i="178"/>
  <c r="AG975" i="178"/>
  <c r="AH975" i="178"/>
  <c r="AI975" i="178"/>
  <c r="AJ975" i="178"/>
  <c r="AK975" i="178"/>
  <c r="AL975" i="178"/>
  <c r="AM975" i="178"/>
  <c r="AN975" i="178"/>
  <c r="AO975" i="178"/>
  <c r="T977" i="178"/>
  <c r="V977" i="178" s="1"/>
  <c r="W977" i="178"/>
  <c r="AD977" i="178"/>
  <c r="AE977" i="178"/>
  <c r="AF977" i="178"/>
  <c r="AG977" i="178"/>
  <c r="AH977" i="178"/>
  <c r="AI977" i="178"/>
  <c r="AJ977" i="178"/>
  <c r="AK977" i="178"/>
  <c r="AL977" i="178"/>
  <c r="AM977" i="178"/>
  <c r="AN977" i="178"/>
  <c r="AO977" i="178"/>
  <c r="T978" i="178"/>
  <c r="U978" i="178" s="1"/>
  <c r="W978" i="178"/>
  <c r="AD978" i="178"/>
  <c r="AE978" i="178"/>
  <c r="AF978" i="178"/>
  <c r="AG978" i="178"/>
  <c r="AH978" i="178"/>
  <c r="AI978" i="178"/>
  <c r="AJ978" i="178"/>
  <c r="AK978" i="178"/>
  <c r="AL978" i="178"/>
  <c r="AM978" i="178"/>
  <c r="AN978" i="178"/>
  <c r="AO978" i="178"/>
  <c r="T979" i="178"/>
  <c r="V979" i="178" s="1"/>
  <c r="W979" i="178"/>
  <c r="AD979" i="178"/>
  <c r="AE979" i="178"/>
  <c r="AF979" i="178"/>
  <c r="AG979" i="178"/>
  <c r="AH979" i="178"/>
  <c r="AI979" i="178"/>
  <c r="AJ979" i="178"/>
  <c r="AK979" i="178"/>
  <c r="AL979" i="178"/>
  <c r="AM979" i="178"/>
  <c r="AN979" i="178"/>
  <c r="AO979" i="178"/>
  <c r="T980" i="178"/>
  <c r="U980" i="178" s="1"/>
  <c r="W980" i="178"/>
  <c r="AD980" i="178"/>
  <c r="AE980" i="178"/>
  <c r="AF980" i="178"/>
  <c r="AG980" i="178"/>
  <c r="AH980" i="178"/>
  <c r="AI980" i="178"/>
  <c r="AJ980" i="178"/>
  <c r="AK980" i="178"/>
  <c r="AL980" i="178"/>
  <c r="AM980" i="178"/>
  <c r="AN980" i="178"/>
  <c r="AO980" i="178"/>
  <c r="T1018" i="178"/>
  <c r="V1018" i="178" s="1"/>
  <c r="W1018" i="178"/>
  <c r="AD1018" i="178"/>
  <c r="AE1018" i="178"/>
  <c r="AF1018" i="178"/>
  <c r="AG1018" i="178"/>
  <c r="AH1018" i="178"/>
  <c r="AI1018" i="178"/>
  <c r="AJ1018" i="178"/>
  <c r="AK1018" i="178"/>
  <c r="AL1018" i="178"/>
  <c r="AM1018" i="178"/>
  <c r="AN1018" i="178"/>
  <c r="AO1018" i="178"/>
  <c r="T1019" i="178"/>
  <c r="U1019" i="178" s="1"/>
  <c r="W1019" i="178"/>
  <c r="AD1019" i="178"/>
  <c r="AE1019" i="178"/>
  <c r="AF1019" i="178"/>
  <c r="AG1019" i="178"/>
  <c r="AH1019" i="178"/>
  <c r="AI1019" i="178"/>
  <c r="AJ1019" i="178"/>
  <c r="AK1019" i="178"/>
  <c r="AL1019" i="178"/>
  <c r="AM1019" i="178"/>
  <c r="AN1019" i="178"/>
  <c r="AO1019" i="178"/>
  <c r="T1041" i="178"/>
  <c r="V1041" i="178" s="1"/>
  <c r="W1041" i="178"/>
  <c r="AD1041" i="178"/>
  <c r="AE1041" i="178"/>
  <c r="AF1041" i="178"/>
  <c r="AG1041" i="178"/>
  <c r="AH1041" i="178"/>
  <c r="AI1041" i="178"/>
  <c r="AJ1041" i="178"/>
  <c r="AK1041" i="178"/>
  <c r="AL1041" i="178"/>
  <c r="AM1041" i="178"/>
  <c r="AN1041" i="178"/>
  <c r="AO1041" i="178"/>
  <c r="T1042" i="178"/>
  <c r="U1042" i="178" s="1"/>
  <c r="W1042" i="178"/>
  <c r="AD1042" i="178"/>
  <c r="AE1042" i="178"/>
  <c r="AF1042" i="178"/>
  <c r="AG1042" i="178"/>
  <c r="AH1042" i="178"/>
  <c r="AI1042" i="178"/>
  <c r="AJ1042" i="178"/>
  <c r="AK1042" i="178"/>
  <c r="AL1042" i="178"/>
  <c r="AM1042" i="178"/>
  <c r="AN1042" i="178"/>
  <c r="AO1042" i="178"/>
  <c r="T1043" i="178"/>
  <c r="V1043" i="178" s="1"/>
  <c r="W1043" i="178"/>
  <c r="AD1043" i="178"/>
  <c r="AE1043" i="178"/>
  <c r="AF1043" i="178"/>
  <c r="AG1043" i="178"/>
  <c r="AH1043" i="178"/>
  <c r="AI1043" i="178"/>
  <c r="AJ1043" i="178"/>
  <c r="AK1043" i="178"/>
  <c r="AL1043" i="178"/>
  <c r="AM1043" i="178"/>
  <c r="AN1043" i="178"/>
  <c r="AO1043" i="178"/>
  <c r="T1044" i="178"/>
  <c r="U1044" i="178" s="1"/>
  <c r="W1044" i="178"/>
  <c r="AD1044" i="178"/>
  <c r="AE1044" i="178"/>
  <c r="AF1044" i="178"/>
  <c r="AG1044" i="178"/>
  <c r="AH1044" i="178"/>
  <c r="AI1044" i="178"/>
  <c r="AJ1044" i="178"/>
  <c r="AK1044" i="178"/>
  <c r="AL1044" i="178"/>
  <c r="AM1044" i="178"/>
  <c r="AN1044" i="178"/>
  <c r="AO1044" i="178"/>
  <c r="T1154" i="178"/>
  <c r="V1154" i="178" s="1"/>
  <c r="W1154" i="178"/>
  <c r="AD1154" i="178"/>
  <c r="AE1154" i="178"/>
  <c r="AF1154" i="178"/>
  <c r="AG1154" i="178"/>
  <c r="AH1154" i="178"/>
  <c r="AI1154" i="178"/>
  <c r="AJ1154" i="178"/>
  <c r="AK1154" i="178"/>
  <c r="AL1154" i="178"/>
  <c r="AM1154" i="178"/>
  <c r="AN1154" i="178"/>
  <c r="AO1154" i="178"/>
  <c r="T1156" i="178"/>
  <c r="U1156" i="178" s="1"/>
  <c r="W1156" i="178"/>
  <c r="AD1156" i="178"/>
  <c r="AE1156" i="178"/>
  <c r="AF1156" i="178"/>
  <c r="AG1156" i="178"/>
  <c r="AH1156" i="178"/>
  <c r="AI1156" i="178"/>
  <c r="AJ1156" i="178"/>
  <c r="AK1156" i="178"/>
  <c r="AL1156" i="178"/>
  <c r="AM1156" i="178"/>
  <c r="AN1156" i="178"/>
  <c r="AO1156" i="178"/>
  <c r="T1157" i="178"/>
  <c r="V1157" i="178" s="1"/>
  <c r="W1157" i="178"/>
  <c r="AD1157" i="178"/>
  <c r="AE1157" i="178"/>
  <c r="AF1157" i="178"/>
  <c r="AG1157" i="178"/>
  <c r="AH1157" i="178"/>
  <c r="AI1157" i="178"/>
  <c r="AJ1157" i="178"/>
  <c r="AK1157" i="178"/>
  <c r="AL1157" i="178"/>
  <c r="AM1157" i="178"/>
  <c r="AN1157" i="178"/>
  <c r="AO1157" i="178"/>
  <c r="T1155" i="178"/>
  <c r="U1155" i="178" s="1"/>
  <c r="W1155" i="178"/>
  <c r="AD1155" i="178"/>
  <c r="AE1155" i="178"/>
  <c r="AF1155" i="178"/>
  <c r="AG1155" i="178"/>
  <c r="AH1155" i="178"/>
  <c r="AI1155" i="178"/>
  <c r="AJ1155" i="178"/>
  <c r="AK1155" i="178"/>
  <c r="AL1155" i="178"/>
  <c r="AM1155" i="178"/>
  <c r="AN1155" i="178"/>
  <c r="AO1155" i="178"/>
  <c r="T1183" i="178"/>
  <c r="V1183" i="178" s="1"/>
  <c r="W1183" i="178"/>
  <c r="AD1183" i="178"/>
  <c r="AE1183" i="178"/>
  <c r="AF1183" i="178"/>
  <c r="AG1183" i="178"/>
  <c r="AH1183" i="178"/>
  <c r="AI1183" i="178"/>
  <c r="AJ1183" i="178"/>
  <c r="AK1183" i="178"/>
  <c r="AL1183" i="178"/>
  <c r="AM1183" i="178"/>
  <c r="AN1183" i="178"/>
  <c r="AO1183" i="178"/>
  <c r="T1185" i="178"/>
  <c r="U1185" i="178" s="1"/>
  <c r="W1185" i="178"/>
  <c r="AD1185" i="178"/>
  <c r="AE1185" i="178"/>
  <c r="AF1185" i="178"/>
  <c r="AG1185" i="178"/>
  <c r="AH1185" i="178"/>
  <c r="AI1185" i="178"/>
  <c r="AJ1185" i="178"/>
  <c r="AK1185" i="178"/>
  <c r="AL1185" i="178"/>
  <c r="AM1185" i="178"/>
  <c r="AN1185" i="178"/>
  <c r="AO1185" i="178"/>
  <c r="T1186" i="178"/>
  <c r="V1186" i="178" s="1"/>
  <c r="W1186" i="178"/>
  <c r="AD1186" i="178"/>
  <c r="AE1186" i="178"/>
  <c r="AF1186" i="178"/>
  <c r="AG1186" i="178"/>
  <c r="AH1186" i="178"/>
  <c r="AI1186" i="178"/>
  <c r="AJ1186" i="178"/>
  <c r="AK1186" i="178"/>
  <c r="AL1186" i="178"/>
  <c r="AM1186" i="178"/>
  <c r="AN1186" i="178"/>
  <c r="AO1186" i="178"/>
  <c r="T1184" i="178"/>
  <c r="U1184" i="178" s="1"/>
  <c r="W1184" i="178"/>
  <c r="AD1184" i="178"/>
  <c r="AE1184" i="178"/>
  <c r="AF1184" i="178"/>
  <c r="AG1184" i="178"/>
  <c r="AH1184" i="178"/>
  <c r="AI1184" i="178"/>
  <c r="AJ1184" i="178"/>
  <c r="AK1184" i="178"/>
  <c r="AL1184" i="178"/>
  <c r="AM1184" i="178"/>
  <c r="AN1184" i="178"/>
  <c r="AO1184" i="178"/>
  <c r="T16" i="178"/>
  <c r="V16" i="178" s="1"/>
  <c r="W16" i="178"/>
  <c r="AD16" i="178"/>
  <c r="AE16" i="178"/>
  <c r="AF16" i="178"/>
  <c r="AG16" i="178"/>
  <c r="AH16" i="178"/>
  <c r="AI16" i="178"/>
  <c r="AJ16" i="178"/>
  <c r="AK16" i="178"/>
  <c r="AL16" i="178"/>
  <c r="AM16" i="178"/>
  <c r="AN16" i="178"/>
  <c r="AO16" i="178"/>
  <c r="T74" i="178"/>
  <c r="U74" i="178" s="1"/>
  <c r="W74" i="178"/>
  <c r="AD74" i="178"/>
  <c r="AE74" i="178"/>
  <c r="AF74" i="178"/>
  <c r="AG74" i="178"/>
  <c r="AH74" i="178"/>
  <c r="AI74" i="178"/>
  <c r="AJ74" i="178"/>
  <c r="AK74" i="178"/>
  <c r="AL74" i="178"/>
  <c r="AM74" i="178"/>
  <c r="AN74" i="178"/>
  <c r="AO74" i="178"/>
  <c r="T76" i="178"/>
  <c r="V76" i="178" s="1"/>
  <c r="W76" i="178"/>
  <c r="AD76" i="178"/>
  <c r="AE76" i="178"/>
  <c r="AF76" i="178"/>
  <c r="AG76" i="178"/>
  <c r="AH76" i="178"/>
  <c r="AI76" i="178"/>
  <c r="AJ76" i="178"/>
  <c r="AK76" i="178"/>
  <c r="AL76" i="178"/>
  <c r="AM76" i="178"/>
  <c r="AN76" i="178"/>
  <c r="AO76" i="178"/>
  <c r="T127" i="178"/>
  <c r="U127" i="178" s="1"/>
  <c r="W127" i="178"/>
  <c r="AD127" i="178"/>
  <c r="AE127" i="178"/>
  <c r="AF127" i="178"/>
  <c r="AG127" i="178"/>
  <c r="AH127" i="178"/>
  <c r="AI127" i="178"/>
  <c r="AJ127" i="178"/>
  <c r="AK127" i="178"/>
  <c r="AL127" i="178"/>
  <c r="AM127" i="178"/>
  <c r="AN127" i="178"/>
  <c r="AO127" i="178"/>
  <c r="T131" i="178"/>
  <c r="V131" i="178" s="1"/>
  <c r="W131" i="178"/>
  <c r="AD131" i="178"/>
  <c r="AE131" i="178"/>
  <c r="AF131" i="178"/>
  <c r="AG131" i="178"/>
  <c r="AH131" i="178"/>
  <c r="AI131" i="178"/>
  <c r="AJ131" i="178"/>
  <c r="AK131" i="178"/>
  <c r="AL131" i="178"/>
  <c r="AM131" i="178"/>
  <c r="AN131" i="178"/>
  <c r="AO131" i="178"/>
  <c r="T132" i="178"/>
  <c r="U132" i="178" s="1"/>
  <c r="W132" i="178"/>
  <c r="AD132" i="178"/>
  <c r="AE132" i="178"/>
  <c r="AF132" i="178"/>
  <c r="AG132" i="178"/>
  <c r="AH132" i="178"/>
  <c r="AI132" i="178"/>
  <c r="AJ132" i="178"/>
  <c r="AK132" i="178"/>
  <c r="AL132" i="178"/>
  <c r="AM132" i="178"/>
  <c r="AN132" i="178"/>
  <c r="AO132" i="178"/>
  <c r="T204" i="178"/>
  <c r="V204" i="178" s="1"/>
  <c r="W204" i="178"/>
  <c r="AD204" i="178"/>
  <c r="AE204" i="178"/>
  <c r="AF204" i="178"/>
  <c r="AG204" i="178"/>
  <c r="AH204" i="178"/>
  <c r="AI204" i="178"/>
  <c r="AJ204" i="178"/>
  <c r="AK204" i="178"/>
  <c r="AL204" i="178"/>
  <c r="AM204" i="178"/>
  <c r="AN204" i="178"/>
  <c r="AO204" i="178"/>
  <c r="T230" i="178"/>
  <c r="U230" i="178" s="1"/>
  <c r="W230" i="178"/>
  <c r="AD230" i="178"/>
  <c r="AE230" i="178"/>
  <c r="AF230" i="178"/>
  <c r="AG230" i="178"/>
  <c r="AH230" i="178"/>
  <c r="AI230" i="178"/>
  <c r="AJ230" i="178"/>
  <c r="AK230" i="178"/>
  <c r="AL230" i="178"/>
  <c r="AM230" i="178"/>
  <c r="AN230" i="178"/>
  <c r="AO230" i="178"/>
  <c r="T234" i="178"/>
  <c r="V234" i="178" s="1"/>
  <c r="W234" i="178"/>
  <c r="AD234" i="178"/>
  <c r="AE234" i="178"/>
  <c r="AF234" i="178"/>
  <c r="AG234" i="178"/>
  <c r="AH234" i="178"/>
  <c r="AI234" i="178"/>
  <c r="AJ234" i="178"/>
  <c r="AK234" i="178"/>
  <c r="AL234" i="178"/>
  <c r="AM234" i="178"/>
  <c r="AN234" i="178"/>
  <c r="AO234" i="178"/>
  <c r="T261" i="178"/>
  <c r="U261" i="178" s="1"/>
  <c r="W261" i="178"/>
  <c r="AD261" i="178"/>
  <c r="AE261" i="178"/>
  <c r="AF261" i="178"/>
  <c r="AG261" i="178"/>
  <c r="AH261" i="178"/>
  <c r="AI261" i="178"/>
  <c r="AJ261" i="178"/>
  <c r="AK261" i="178"/>
  <c r="AL261" i="178"/>
  <c r="AM261" i="178"/>
  <c r="AN261" i="178"/>
  <c r="AO261" i="178"/>
  <c r="T290" i="178"/>
  <c r="V290" i="178" s="1"/>
  <c r="W290" i="178"/>
  <c r="AD290" i="178"/>
  <c r="AE290" i="178"/>
  <c r="AF290" i="178"/>
  <c r="AG290" i="178"/>
  <c r="AH290" i="178"/>
  <c r="AI290" i="178"/>
  <c r="AJ290" i="178"/>
  <c r="AK290" i="178"/>
  <c r="AL290" i="178"/>
  <c r="AM290" i="178"/>
  <c r="AN290" i="178"/>
  <c r="AO290" i="178"/>
  <c r="T311" i="178"/>
  <c r="U311" i="178" s="1"/>
  <c r="W311" i="178"/>
  <c r="AD311" i="178"/>
  <c r="AE311" i="178"/>
  <c r="AF311" i="178"/>
  <c r="AG311" i="178"/>
  <c r="AH311" i="178"/>
  <c r="AI311" i="178"/>
  <c r="AJ311" i="178"/>
  <c r="AK311" i="178"/>
  <c r="AL311" i="178"/>
  <c r="AM311" i="178"/>
  <c r="AN311" i="178"/>
  <c r="AO311" i="178"/>
  <c r="T315" i="178"/>
  <c r="V315" i="178" s="1"/>
  <c r="W315" i="178"/>
  <c r="AD315" i="178"/>
  <c r="AE315" i="178"/>
  <c r="AF315" i="178"/>
  <c r="AG315" i="178"/>
  <c r="AH315" i="178"/>
  <c r="AI315" i="178"/>
  <c r="AJ315" i="178"/>
  <c r="AK315" i="178"/>
  <c r="AL315" i="178"/>
  <c r="AM315" i="178"/>
  <c r="AN315" i="178"/>
  <c r="AO315" i="178"/>
  <c r="T370" i="178"/>
  <c r="U370" i="178" s="1"/>
  <c r="W370" i="178"/>
  <c r="AD370" i="178"/>
  <c r="AE370" i="178"/>
  <c r="AF370" i="178"/>
  <c r="AG370" i="178"/>
  <c r="AH370" i="178"/>
  <c r="AI370" i="178"/>
  <c r="AJ370" i="178"/>
  <c r="AK370" i="178"/>
  <c r="AL370" i="178"/>
  <c r="AM370" i="178"/>
  <c r="AN370" i="178"/>
  <c r="AO370" i="178"/>
  <c r="T395" i="178"/>
  <c r="V395" i="178" s="1"/>
  <c r="W395" i="178"/>
  <c r="AD395" i="178"/>
  <c r="AE395" i="178"/>
  <c r="AF395" i="178"/>
  <c r="AG395" i="178"/>
  <c r="AH395" i="178"/>
  <c r="AI395" i="178"/>
  <c r="AJ395" i="178"/>
  <c r="AK395" i="178"/>
  <c r="AL395" i="178"/>
  <c r="AM395" i="178"/>
  <c r="AN395" i="178"/>
  <c r="AO395" i="178"/>
  <c r="T462" i="178"/>
  <c r="U462" i="178" s="1"/>
  <c r="W462" i="178"/>
  <c r="AD462" i="178"/>
  <c r="AE462" i="178"/>
  <c r="AF462" i="178"/>
  <c r="AG462" i="178"/>
  <c r="AH462" i="178"/>
  <c r="AI462" i="178"/>
  <c r="AJ462" i="178"/>
  <c r="AK462" i="178"/>
  <c r="AL462" i="178"/>
  <c r="AM462" i="178"/>
  <c r="AN462" i="178"/>
  <c r="AO462" i="178"/>
  <c r="T470" i="178"/>
  <c r="V470" i="178" s="1"/>
  <c r="W470" i="178"/>
  <c r="AD470" i="178"/>
  <c r="AE470" i="178"/>
  <c r="AF470" i="178"/>
  <c r="AG470" i="178"/>
  <c r="AH470" i="178"/>
  <c r="AI470" i="178"/>
  <c r="AJ470" i="178"/>
  <c r="AK470" i="178"/>
  <c r="AL470" i="178"/>
  <c r="AM470" i="178"/>
  <c r="AN470" i="178"/>
  <c r="AO470" i="178"/>
  <c r="T475" i="178"/>
  <c r="U475" i="178" s="1"/>
  <c r="W475" i="178"/>
  <c r="AD475" i="178"/>
  <c r="AE475" i="178"/>
  <c r="AF475" i="178"/>
  <c r="AG475" i="178"/>
  <c r="AH475" i="178"/>
  <c r="AI475" i="178"/>
  <c r="AJ475" i="178"/>
  <c r="AK475" i="178"/>
  <c r="AL475" i="178"/>
  <c r="AM475" i="178"/>
  <c r="AN475" i="178"/>
  <c r="AO475" i="178"/>
  <c r="T478" i="178"/>
  <c r="V478" i="178" s="1"/>
  <c r="W478" i="178"/>
  <c r="AD478" i="178"/>
  <c r="AE478" i="178"/>
  <c r="AF478" i="178"/>
  <c r="AG478" i="178"/>
  <c r="AH478" i="178"/>
  <c r="AI478" i="178"/>
  <c r="AJ478" i="178"/>
  <c r="AK478" i="178"/>
  <c r="AL478" i="178"/>
  <c r="AM478" i="178"/>
  <c r="AN478" i="178"/>
  <c r="AO478" i="178"/>
  <c r="T504" i="178"/>
  <c r="U504" i="178" s="1"/>
  <c r="W504" i="178"/>
  <c r="AD504" i="178"/>
  <c r="AE504" i="178"/>
  <c r="AF504" i="178"/>
  <c r="AG504" i="178"/>
  <c r="AH504" i="178"/>
  <c r="AI504" i="178"/>
  <c r="AJ504" i="178"/>
  <c r="AK504" i="178"/>
  <c r="AL504" i="178"/>
  <c r="AM504" i="178"/>
  <c r="AN504" i="178"/>
  <c r="AO504" i="178"/>
  <c r="T509" i="178"/>
  <c r="V509" i="178" s="1"/>
  <c r="W509" i="178"/>
  <c r="AD509" i="178"/>
  <c r="AE509" i="178"/>
  <c r="AF509" i="178"/>
  <c r="AG509" i="178"/>
  <c r="AH509" i="178"/>
  <c r="AI509" i="178"/>
  <c r="AJ509" i="178"/>
  <c r="AK509" i="178"/>
  <c r="AL509" i="178"/>
  <c r="AM509" i="178"/>
  <c r="AN509" i="178"/>
  <c r="AO509" i="178"/>
  <c r="T532" i="178"/>
  <c r="U532" i="178" s="1"/>
  <c r="W532" i="178"/>
  <c r="AD532" i="178"/>
  <c r="AE532" i="178"/>
  <c r="AF532" i="178"/>
  <c r="AG532" i="178"/>
  <c r="AH532" i="178"/>
  <c r="AI532" i="178"/>
  <c r="AJ532" i="178"/>
  <c r="AK532" i="178"/>
  <c r="AL532" i="178"/>
  <c r="AM532" i="178"/>
  <c r="AN532" i="178"/>
  <c r="AO532" i="178"/>
  <c r="T577" i="178"/>
  <c r="V577" i="178" s="1"/>
  <c r="W577" i="178"/>
  <c r="AD577" i="178"/>
  <c r="AE577" i="178"/>
  <c r="AF577" i="178"/>
  <c r="AG577" i="178"/>
  <c r="AH577" i="178"/>
  <c r="AI577" i="178"/>
  <c r="AJ577" i="178"/>
  <c r="AK577" i="178"/>
  <c r="AL577" i="178"/>
  <c r="AM577" i="178"/>
  <c r="AN577" i="178"/>
  <c r="AO577" i="178"/>
  <c r="T583" i="178"/>
  <c r="U583" i="178" s="1"/>
  <c r="W583" i="178"/>
  <c r="AD583" i="178"/>
  <c r="AE583" i="178"/>
  <c r="AF583" i="178"/>
  <c r="AG583" i="178"/>
  <c r="AH583" i="178"/>
  <c r="AI583" i="178"/>
  <c r="AJ583" i="178"/>
  <c r="AK583" i="178"/>
  <c r="AL583" i="178"/>
  <c r="AM583" i="178"/>
  <c r="AN583" i="178"/>
  <c r="AO583" i="178"/>
  <c r="T600" i="178"/>
  <c r="V600" i="178" s="1"/>
  <c r="W600" i="178"/>
  <c r="AD600" i="178"/>
  <c r="AE600" i="178"/>
  <c r="AF600" i="178"/>
  <c r="AG600" i="178"/>
  <c r="AH600" i="178"/>
  <c r="AI600" i="178"/>
  <c r="AJ600" i="178"/>
  <c r="AK600" i="178"/>
  <c r="AL600" i="178"/>
  <c r="AM600" i="178"/>
  <c r="AN600" i="178"/>
  <c r="AO600" i="178"/>
  <c r="T617" i="178"/>
  <c r="U617" i="178" s="1"/>
  <c r="W617" i="178"/>
  <c r="AD617" i="178"/>
  <c r="AE617" i="178"/>
  <c r="AF617" i="178"/>
  <c r="AG617" i="178"/>
  <c r="AH617" i="178"/>
  <c r="AI617" i="178"/>
  <c r="AJ617" i="178"/>
  <c r="AK617" i="178"/>
  <c r="AL617" i="178"/>
  <c r="AM617" i="178"/>
  <c r="AN617" i="178"/>
  <c r="AO617" i="178"/>
  <c r="T660" i="178"/>
  <c r="V660" i="178" s="1"/>
  <c r="W660" i="178"/>
  <c r="AD660" i="178"/>
  <c r="AE660" i="178"/>
  <c r="AF660" i="178"/>
  <c r="AG660" i="178"/>
  <c r="AH660" i="178"/>
  <c r="AI660" i="178"/>
  <c r="AJ660" i="178"/>
  <c r="AK660" i="178"/>
  <c r="AL660" i="178"/>
  <c r="AM660" i="178"/>
  <c r="AN660" i="178"/>
  <c r="AO660" i="178"/>
  <c r="T748" i="178"/>
  <c r="U748" i="178" s="1"/>
  <c r="W748" i="178"/>
  <c r="AD748" i="178"/>
  <c r="AE748" i="178"/>
  <c r="AF748" i="178"/>
  <c r="AG748" i="178"/>
  <c r="AH748" i="178"/>
  <c r="AI748" i="178"/>
  <c r="AJ748" i="178"/>
  <c r="AK748" i="178"/>
  <c r="AL748" i="178"/>
  <c r="AM748" i="178"/>
  <c r="AN748" i="178"/>
  <c r="AO748" i="178"/>
  <c r="T749" i="178"/>
  <c r="V749" i="178" s="1"/>
  <c r="W749" i="178"/>
  <c r="AD749" i="178"/>
  <c r="AE749" i="178"/>
  <c r="AF749" i="178"/>
  <c r="AG749" i="178"/>
  <c r="AH749" i="178"/>
  <c r="AI749" i="178"/>
  <c r="AJ749" i="178"/>
  <c r="AK749" i="178"/>
  <c r="AL749" i="178"/>
  <c r="AM749" i="178"/>
  <c r="AN749" i="178"/>
  <c r="AO749" i="178"/>
  <c r="T750" i="178"/>
  <c r="U750" i="178" s="1"/>
  <c r="W750" i="178"/>
  <c r="AD750" i="178"/>
  <c r="AE750" i="178"/>
  <c r="AF750" i="178"/>
  <c r="AG750" i="178"/>
  <c r="AH750" i="178"/>
  <c r="AI750" i="178"/>
  <c r="AJ750" i="178"/>
  <c r="AK750" i="178"/>
  <c r="AL750" i="178"/>
  <c r="AM750" i="178"/>
  <c r="AN750" i="178"/>
  <c r="AO750" i="178"/>
  <c r="T751" i="178"/>
  <c r="V751" i="178" s="1"/>
  <c r="W751" i="178"/>
  <c r="AD751" i="178"/>
  <c r="AE751" i="178"/>
  <c r="AF751" i="178"/>
  <c r="AG751" i="178"/>
  <c r="AH751" i="178"/>
  <c r="AI751" i="178"/>
  <c r="AJ751" i="178"/>
  <c r="AK751" i="178"/>
  <c r="AL751" i="178"/>
  <c r="AM751" i="178"/>
  <c r="AN751" i="178"/>
  <c r="AO751" i="178"/>
  <c r="T752" i="178"/>
  <c r="U752" i="178" s="1"/>
  <c r="W752" i="178"/>
  <c r="AD752" i="178"/>
  <c r="AE752" i="178"/>
  <c r="AF752" i="178"/>
  <c r="AG752" i="178"/>
  <c r="AH752" i="178"/>
  <c r="AI752" i="178"/>
  <c r="AJ752" i="178"/>
  <c r="AK752" i="178"/>
  <c r="AL752" i="178"/>
  <c r="AM752" i="178"/>
  <c r="AN752" i="178"/>
  <c r="AO752" i="178"/>
  <c r="T753" i="178"/>
  <c r="V753" i="178" s="1"/>
  <c r="W753" i="178"/>
  <c r="AD753" i="178"/>
  <c r="AE753" i="178"/>
  <c r="AF753" i="178"/>
  <c r="AG753" i="178"/>
  <c r="AH753" i="178"/>
  <c r="AI753" i="178"/>
  <c r="AJ753" i="178"/>
  <c r="AK753" i="178"/>
  <c r="AL753" i="178"/>
  <c r="AM753" i="178"/>
  <c r="AN753" i="178"/>
  <c r="AO753" i="178"/>
  <c r="T754" i="178"/>
  <c r="U754" i="178" s="1"/>
  <c r="W754" i="178"/>
  <c r="AD754" i="178"/>
  <c r="AE754" i="178"/>
  <c r="AF754" i="178"/>
  <c r="AG754" i="178"/>
  <c r="AH754" i="178"/>
  <c r="AI754" i="178"/>
  <c r="AJ754" i="178"/>
  <c r="AK754" i="178"/>
  <c r="AL754" i="178"/>
  <c r="AM754" i="178"/>
  <c r="AN754" i="178"/>
  <c r="AO754" i="178"/>
  <c r="T755" i="178"/>
  <c r="V755" i="178" s="1"/>
  <c r="W755" i="178"/>
  <c r="AD755" i="178"/>
  <c r="AE755" i="178"/>
  <c r="AF755" i="178"/>
  <c r="AG755" i="178"/>
  <c r="AH755" i="178"/>
  <c r="AI755" i="178"/>
  <c r="AJ755" i="178"/>
  <c r="AK755" i="178"/>
  <c r="AL755" i="178"/>
  <c r="AM755" i="178"/>
  <c r="AN755" i="178"/>
  <c r="AO755" i="178"/>
  <c r="T756" i="178"/>
  <c r="U756" i="178" s="1"/>
  <c r="W756" i="178"/>
  <c r="AD756" i="178"/>
  <c r="AE756" i="178"/>
  <c r="AF756" i="178"/>
  <c r="AG756" i="178"/>
  <c r="AH756" i="178"/>
  <c r="AI756" i="178"/>
  <c r="AJ756" i="178"/>
  <c r="AK756" i="178"/>
  <c r="AL756" i="178"/>
  <c r="AM756" i="178"/>
  <c r="AN756" i="178"/>
  <c r="AO756" i="178"/>
  <c r="T757" i="178"/>
  <c r="V757" i="178" s="1"/>
  <c r="W757" i="178"/>
  <c r="AD757" i="178"/>
  <c r="AE757" i="178"/>
  <c r="AF757" i="178"/>
  <c r="AG757" i="178"/>
  <c r="AH757" i="178"/>
  <c r="AI757" i="178"/>
  <c r="AJ757" i="178"/>
  <c r="AK757" i="178"/>
  <c r="AL757" i="178"/>
  <c r="AM757" i="178"/>
  <c r="AN757" i="178"/>
  <c r="AO757" i="178"/>
  <c r="T758" i="178"/>
  <c r="U758" i="178" s="1"/>
  <c r="W758" i="178"/>
  <c r="AD758" i="178"/>
  <c r="AE758" i="178"/>
  <c r="AF758" i="178"/>
  <c r="AG758" i="178"/>
  <c r="AH758" i="178"/>
  <c r="AI758" i="178"/>
  <c r="AJ758" i="178"/>
  <c r="AK758" i="178"/>
  <c r="AL758" i="178"/>
  <c r="AM758" i="178"/>
  <c r="AN758" i="178"/>
  <c r="AO758" i="178"/>
  <c r="T777" i="178"/>
  <c r="V777" i="178" s="1"/>
  <c r="W777" i="178"/>
  <c r="AD777" i="178"/>
  <c r="AE777" i="178"/>
  <c r="AF777" i="178"/>
  <c r="AG777" i="178"/>
  <c r="AH777" i="178"/>
  <c r="AI777" i="178"/>
  <c r="AJ777" i="178"/>
  <c r="AK777" i="178"/>
  <c r="AL777" i="178"/>
  <c r="AM777" i="178"/>
  <c r="AN777" i="178"/>
  <c r="AO777" i="178"/>
  <c r="T778" i="178"/>
  <c r="U778" i="178" s="1"/>
  <c r="W778" i="178"/>
  <c r="AD778" i="178"/>
  <c r="AE778" i="178"/>
  <c r="AF778" i="178"/>
  <c r="AG778" i="178"/>
  <c r="AH778" i="178"/>
  <c r="AI778" i="178"/>
  <c r="AJ778" i="178"/>
  <c r="AK778" i="178"/>
  <c r="AL778" i="178"/>
  <c r="AM778" i="178"/>
  <c r="AN778" i="178"/>
  <c r="AO778" i="178"/>
  <c r="T779" i="178"/>
  <c r="V779" i="178" s="1"/>
  <c r="W779" i="178"/>
  <c r="AD779" i="178"/>
  <c r="AE779" i="178"/>
  <c r="AF779" i="178"/>
  <c r="AG779" i="178"/>
  <c r="AH779" i="178"/>
  <c r="AI779" i="178"/>
  <c r="AJ779" i="178"/>
  <c r="AK779" i="178"/>
  <c r="AL779" i="178"/>
  <c r="AM779" i="178"/>
  <c r="AN779" i="178"/>
  <c r="AO779" i="178"/>
  <c r="T783" i="178"/>
  <c r="U783" i="178" s="1"/>
  <c r="W783" i="178"/>
  <c r="AD783" i="178"/>
  <c r="AE783" i="178"/>
  <c r="AF783" i="178"/>
  <c r="AG783" i="178"/>
  <c r="AH783" i="178"/>
  <c r="AI783" i="178"/>
  <c r="AJ783" i="178"/>
  <c r="AK783" i="178"/>
  <c r="AL783" i="178"/>
  <c r="AM783" i="178"/>
  <c r="AN783" i="178"/>
  <c r="AO783" i="178"/>
  <c r="T784" i="178"/>
  <c r="V784" i="178" s="1"/>
  <c r="W784" i="178"/>
  <c r="AD784" i="178"/>
  <c r="AE784" i="178"/>
  <c r="AF784" i="178"/>
  <c r="AG784" i="178"/>
  <c r="AH784" i="178"/>
  <c r="AI784" i="178"/>
  <c r="AJ784" i="178"/>
  <c r="AK784" i="178"/>
  <c r="AL784" i="178"/>
  <c r="AM784" i="178"/>
  <c r="AN784" i="178"/>
  <c r="AO784" i="178"/>
  <c r="T785" i="178"/>
  <c r="U785" i="178" s="1"/>
  <c r="W785" i="178"/>
  <c r="AD785" i="178"/>
  <c r="AE785" i="178"/>
  <c r="AF785" i="178"/>
  <c r="AG785" i="178"/>
  <c r="AH785" i="178"/>
  <c r="AI785" i="178"/>
  <c r="AJ785" i="178"/>
  <c r="AK785" i="178"/>
  <c r="AL785" i="178"/>
  <c r="AM785" i="178"/>
  <c r="AN785" i="178"/>
  <c r="AO785" i="178"/>
  <c r="T786" i="178"/>
  <c r="V786" i="178" s="1"/>
  <c r="W786" i="178"/>
  <c r="AD786" i="178"/>
  <c r="AE786" i="178"/>
  <c r="AF786" i="178"/>
  <c r="AG786" i="178"/>
  <c r="AH786" i="178"/>
  <c r="AI786" i="178"/>
  <c r="AJ786" i="178"/>
  <c r="AK786" i="178"/>
  <c r="AL786" i="178"/>
  <c r="AM786" i="178"/>
  <c r="AN786" i="178"/>
  <c r="AO786" i="178"/>
  <c r="T787" i="178"/>
  <c r="U787" i="178" s="1"/>
  <c r="W787" i="178"/>
  <c r="AD787" i="178"/>
  <c r="AE787" i="178"/>
  <c r="AF787" i="178"/>
  <c r="AG787" i="178"/>
  <c r="AH787" i="178"/>
  <c r="AI787" i="178"/>
  <c r="AJ787" i="178"/>
  <c r="AK787" i="178"/>
  <c r="AL787" i="178"/>
  <c r="AM787" i="178"/>
  <c r="AN787" i="178"/>
  <c r="AO787" i="178"/>
  <c r="T834" i="178"/>
  <c r="V834" i="178" s="1"/>
  <c r="W834" i="178"/>
  <c r="AD834" i="178"/>
  <c r="AE834" i="178"/>
  <c r="AF834" i="178"/>
  <c r="AG834" i="178"/>
  <c r="AH834" i="178"/>
  <c r="AI834" i="178"/>
  <c r="AJ834" i="178"/>
  <c r="AK834" i="178"/>
  <c r="AL834" i="178"/>
  <c r="AM834" i="178"/>
  <c r="AN834" i="178"/>
  <c r="AO834" i="178"/>
  <c r="T835" i="178"/>
  <c r="U835" i="178" s="1"/>
  <c r="W835" i="178"/>
  <c r="AD835" i="178"/>
  <c r="AE835" i="178"/>
  <c r="AF835" i="178"/>
  <c r="AG835" i="178"/>
  <c r="AH835" i="178"/>
  <c r="AI835" i="178"/>
  <c r="AJ835" i="178"/>
  <c r="AK835" i="178"/>
  <c r="AL835" i="178"/>
  <c r="AM835" i="178"/>
  <c r="AN835" i="178"/>
  <c r="AO835" i="178"/>
  <c r="T836" i="178"/>
  <c r="V836" i="178" s="1"/>
  <c r="W836" i="178"/>
  <c r="AD836" i="178"/>
  <c r="AE836" i="178"/>
  <c r="AF836" i="178"/>
  <c r="AG836" i="178"/>
  <c r="AH836" i="178"/>
  <c r="AI836" i="178"/>
  <c r="AJ836" i="178"/>
  <c r="AK836" i="178"/>
  <c r="AL836" i="178"/>
  <c r="AM836" i="178"/>
  <c r="AN836" i="178"/>
  <c r="AO836" i="178"/>
  <c r="T837" i="178"/>
  <c r="U837" i="178" s="1"/>
  <c r="W837" i="178"/>
  <c r="AD837" i="178"/>
  <c r="AE837" i="178"/>
  <c r="AF837" i="178"/>
  <c r="AG837" i="178"/>
  <c r="AH837" i="178"/>
  <c r="AI837" i="178"/>
  <c r="AJ837" i="178"/>
  <c r="AK837" i="178"/>
  <c r="AL837" i="178"/>
  <c r="AM837" i="178"/>
  <c r="AN837" i="178"/>
  <c r="AO837" i="178"/>
  <c r="T838" i="178"/>
  <c r="V838" i="178" s="1"/>
  <c r="W838" i="178"/>
  <c r="AD838" i="178"/>
  <c r="AE838" i="178"/>
  <c r="AF838" i="178"/>
  <c r="AG838" i="178"/>
  <c r="AH838" i="178"/>
  <c r="AI838" i="178"/>
  <c r="AJ838" i="178"/>
  <c r="AK838" i="178"/>
  <c r="AL838" i="178"/>
  <c r="AM838" i="178"/>
  <c r="AN838" i="178"/>
  <c r="AO838" i="178"/>
  <c r="T839" i="178"/>
  <c r="U839" i="178" s="1"/>
  <c r="W839" i="178"/>
  <c r="AD839" i="178"/>
  <c r="AE839" i="178"/>
  <c r="AF839" i="178"/>
  <c r="AG839" i="178"/>
  <c r="AH839" i="178"/>
  <c r="AI839" i="178"/>
  <c r="AJ839" i="178"/>
  <c r="AK839" i="178"/>
  <c r="AL839" i="178"/>
  <c r="AM839" i="178"/>
  <c r="AN839" i="178"/>
  <c r="AO839" i="178"/>
  <c r="T840" i="178"/>
  <c r="V840" i="178" s="1"/>
  <c r="W840" i="178"/>
  <c r="AD840" i="178"/>
  <c r="AE840" i="178"/>
  <c r="AF840" i="178"/>
  <c r="AG840" i="178"/>
  <c r="AH840" i="178"/>
  <c r="AI840" i="178"/>
  <c r="AJ840" i="178"/>
  <c r="AK840" i="178"/>
  <c r="AL840" i="178"/>
  <c r="AM840" i="178"/>
  <c r="AN840" i="178"/>
  <c r="AO840" i="178"/>
  <c r="T841" i="178"/>
  <c r="U841" i="178" s="1"/>
  <c r="W841" i="178"/>
  <c r="AD841" i="178"/>
  <c r="AE841" i="178"/>
  <c r="AF841" i="178"/>
  <c r="AG841" i="178"/>
  <c r="AH841" i="178"/>
  <c r="AI841" i="178"/>
  <c r="AJ841" i="178"/>
  <c r="AK841" i="178"/>
  <c r="AL841" i="178"/>
  <c r="AM841" i="178"/>
  <c r="AN841" i="178"/>
  <c r="AO841" i="178"/>
  <c r="T842" i="178"/>
  <c r="V842" i="178" s="1"/>
  <c r="W842" i="178"/>
  <c r="AD842" i="178"/>
  <c r="AE842" i="178"/>
  <c r="AF842" i="178"/>
  <c r="AG842" i="178"/>
  <c r="AH842" i="178"/>
  <c r="AI842" i="178"/>
  <c r="AJ842" i="178"/>
  <c r="AK842" i="178"/>
  <c r="AL842" i="178"/>
  <c r="AM842" i="178"/>
  <c r="AN842" i="178"/>
  <c r="AO842" i="178"/>
  <c r="T843" i="178"/>
  <c r="U843" i="178" s="1"/>
  <c r="W843" i="178"/>
  <c r="AD843" i="178"/>
  <c r="AE843" i="178"/>
  <c r="AF843" i="178"/>
  <c r="AG843" i="178"/>
  <c r="AH843" i="178"/>
  <c r="AI843" i="178"/>
  <c r="AJ843" i="178"/>
  <c r="AK843" i="178"/>
  <c r="AL843" i="178"/>
  <c r="AM843" i="178"/>
  <c r="AN843" i="178"/>
  <c r="AO843" i="178"/>
  <c r="T946" i="178"/>
  <c r="V946" i="178" s="1"/>
  <c r="W946" i="178"/>
  <c r="AD946" i="178"/>
  <c r="AE946" i="178"/>
  <c r="AF946" i="178"/>
  <c r="AG946" i="178"/>
  <c r="AH946" i="178"/>
  <c r="AI946" i="178"/>
  <c r="AJ946" i="178"/>
  <c r="AK946" i="178"/>
  <c r="AL946" i="178"/>
  <c r="AM946" i="178"/>
  <c r="AN946" i="178"/>
  <c r="AO946" i="178"/>
  <c r="T1278" i="178"/>
  <c r="U1278" i="178" s="1"/>
  <c r="W1278" i="178"/>
  <c r="AD1278" i="178"/>
  <c r="AE1278" i="178"/>
  <c r="AF1278" i="178"/>
  <c r="AG1278" i="178"/>
  <c r="AH1278" i="178"/>
  <c r="AI1278" i="178"/>
  <c r="AJ1278" i="178"/>
  <c r="AK1278" i="178"/>
  <c r="AL1278" i="178"/>
  <c r="AM1278" i="178"/>
  <c r="AN1278" i="178"/>
  <c r="AO1278" i="178"/>
  <c r="T844" i="178"/>
  <c r="V844" i="178" s="1"/>
  <c r="W844" i="178"/>
  <c r="AD844" i="178"/>
  <c r="AE844" i="178"/>
  <c r="AF844" i="178"/>
  <c r="AG844" i="178"/>
  <c r="AH844" i="178"/>
  <c r="AI844" i="178"/>
  <c r="AJ844" i="178"/>
  <c r="AK844" i="178"/>
  <c r="AL844" i="178"/>
  <c r="AM844" i="178"/>
  <c r="AN844" i="178"/>
  <c r="AO844" i="178"/>
  <c r="T949" i="178"/>
  <c r="U949" i="178" s="1"/>
  <c r="W949" i="178"/>
  <c r="AD949" i="178"/>
  <c r="AE949" i="178"/>
  <c r="AF949" i="178"/>
  <c r="AG949" i="178"/>
  <c r="AH949" i="178"/>
  <c r="AI949" i="178"/>
  <c r="AJ949" i="178"/>
  <c r="AK949" i="178"/>
  <c r="AL949" i="178"/>
  <c r="AM949" i="178"/>
  <c r="AN949" i="178"/>
  <c r="AO949" i="178"/>
  <c r="T951" i="178"/>
  <c r="V951" i="178" s="1"/>
  <c r="W951" i="178"/>
  <c r="AD951" i="178"/>
  <c r="AE951" i="178"/>
  <c r="AF951" i="178"/>
  <c r="AG951" i="178"/>
  <c r="AH951" i="178"/>
  <c r="AI951" i="178"/>
  <c r="AJ951" i="178"/>
  <c r="AK951" i="178"/>
  <c r="AL951" i="178"/>
  <c r="AM951" i="178"/>
  <c r="AN951" i="178"/>
  <c r="AO951" i="178"/>
  <c r="T976" i="178"/>
  <c r="U976" i="178" s="1"/>
  <c r="W976" i="178"/>
  <c r="AD976" i="178"/>
  <c r="AE976" i="178"/>
  <c r="AF976" i="178"/>
  <c r="AG976" i="178"/>
  <c r="AH976" i="178"/>
  <c r="AI976" i="178"/>
  <c r="AJ976" i="178"/>
  <c r="AK976" i="178"/>
  <c r="AL976" i="178"/>
  <c r="AM976" i="178"/>
  <c r="AN976" i="178"/>
  <c r="AO976" i="178"/>
  <c r="T981" i="178"/>
  <c r="V981" i="178" s="1"/>
  <c r="W981" i="178"/>
  <c r="AD981" i="178"/>
  <c r="AE981" i="178"/>
  <c r="AF981" i="178"/>
  <c r="AG981" i="178"/>
  <c r="AH981" i="178"/>
  <c r="AI981" i="178"/>
  <c r="AJ981" i="178"/>
  <c r="AK981" i="178"/>
  <c r="AL981" i="178"/>
  <c r="AM981" i="178"/>
  <c r="AN981" i="178"/>
  <c r="AO981" i="178"/>
  <c r="T1007" i="178"/>
  <c r="U1007" i="178" s="1"/>
  <c r="W1007" i="178"/>
  <c r="AD1007" i="178"/>
  <c r="AE1007" i="178"/>
  <c r="AF1007" i="178"/>
  <c r="AG1007" i="178"/>
  <c r="AH1007" i="178"/>
  <c r="AI1007" i="178"/>
  <c r="AJ1007" i="178"/>
  <c r="AK1007" i="178"/>
  <c r="AL1007" i="178"/>
  <c r="AM1007" i="178"/>
  <c r="AN1007" i="178"/>
  <c r="AO1007" i="178"/>
  <c r="T1045" i="178"/>
  <c r="U1045" i="178" s="1"/>
  <c r="W1045" i="178"/>
  <c r="AD1045" i="178"/>
  <c r="AE1045" i="178"/>
  <c r="AF1045" i="178"/>
  <c r="AG1045" i="178"/>
  <c r="AH1045" i="178"/>
  <c r="AI1045" i="178"/>
  <c r="AJ1045" i="178"/>
  <c r="AK1045" i="178"/>
  <c r="AL1045" i="178"/>
  <c r="AM1045" i="178"/>
  <c r="AN1045" i="178"/>
  <c r="AO1045" i="178"/>
  <c r="T1165" i="178"/>
  <c r="U1165" i="178" s="1"/>
  <c r="W1165" i="178"/>
  <c r="AD1165" i="178"/>
  <c r="AE1165" i="178"/>
  <c r="AF1165" i="178"/>
  <c r="AG1165" i="178"/>
  <c r="AH1165" i="178"/>
  <c r="AI1165" i="178"/>
  <c r="AJ1165" i="178"/>
  <c r="AK1165" i="178"/>
  <c r="AL1165" i="178"/>
  <c r="AM1165" i="178"/>
  <c r="AN1165" i="178"/>
  <c r="AO1165" i="178"/>
  <c r="T1187" i="178"/>
  <c r="U1187" i="178" s="1"/>
  <c r="W1187" i="178"/>
  <c r="AD1187" i="178"/>
  <c r="AE1187" i="178"/>
  <c r="AF1187" i="178"/>
  <c r="AG1187" i="178"/>
  <c r="AH1187" i="178"/>
  <c r="AI1187" i="178"/>
  <c r="AJ1187" i="178"/>
  <c r="AK1187" i="178"/>
  <c r="AL1187" i="178"/>
  <c r="AM1187" i="178"/>
  <c r="AN1187" i="178"/>
  <c r="AO1187" i="178"/>
  <c r="T1277" i="178"/>
  <c r="U1277" i="178" s="1"/>
  <c r="W1277" i="178"/>
  <c r="AD1277" i="178"/>
  <c r="AE1277" i="178"/>
  <c r="AF1277" i="178"/>
  <c r="AG1277" i="178"/>
  <c r="AH1277" i="178"/>
  <c r="AI1277" i="178"/>
  <c r="AJ1277" i="178"/>
  <c r="AK1277" i="178"/>
  <c r="AL1277" i="178"/>
  <c r="AM1277" i="178"/>
  <c r="AN1277" i="178"/>
  <c r="AO1277" i="178"/>
  <c r="T17" i="178"/>
  <c r="U17" i="178" s="1"/>
  <c r="W17" i="178"/>
  <c r="AD17" i="178"/>
  <c r="AE17" i="178"/>
  <c r="AF17" i="178"/>
  <c r="AG17" i="178"/>
  <c r="AH17" i="178"/>
  <c r="AI17" i="178"/>
  <c r="AJ17" i="178"/>
  <c r="AK17" i="178"/>
  <c r="AL17" i="178"/>
  <c r="AM17" i="178"/>
  <c r="AN17" i="178"/>
  <c r="AO17" i="178"/>
  <c r="T29" i="178"/>
  <c r="U29" i="178" s="1"/>
  <c r="W29" i="178"/>
  <c r="AD29" i="178"/>
  <c r="AE29" i="178"/>
  <c r="AF29" i="178"/>
  <c r="AG29" i="178"/>
  <c r="AH29" i="178"/>
  <c r="AI29" i="178"/>
  <c r="AJ29" i="178"/>
  <c r="AK29" i="178"/>
  <c r="AL29" i="178"/>
  <c r="AM29" i="178"/>
  <c r="AN29" i="178"/>
  <c r="AO29" i="178"/>
  <c r="T37" i="178"/>
  <c r="U37" i="178" s="1"/>
  <c r="W37" i="178"/>
  <c r="AD37" i="178"/>
  <c r="AE37" i="178"/>
  <c r="AF37" i="178"/>
  <c r="AG37" i="178"/>
  <c r="AH37" i="178"/>
  <c r="AI37" i="178"/>
  <c r="AJ37" i="178"/>
  <c r="AK37" i="178"/>
  <c r="AL37" i="178"/>
  <c r="AM37" i="178"/>
  <c r="AN37" i="178"/>
  <c r="AO37" i="178"/>
  <c r="T79" i="178"/>
  <c r="U79" i="178" s="1"/>
  <c r="W79" i="178"/>
  <c r="AD79" i="178"/>
  <c r="AE79" i="178"/>
  <c r="AF79" i="178"/>
  <c r="AG79" i="178"/>
  <c r="AH79" i="178"/>
  <c r="AI79" i="178"/>
  <c r="AJ79" i="178"/>
  <c r="AK79" i="178"/>
  <c r="AL79" i="178"/>
  <c r="AM79" i="178"/>
  <c r="AN79" i="178"/>
  <c r="AO79" i="178"/>
  <c r="T83" i="178"/>
  <c r="U83" i="178" s="1"/>
  <c r="W83" i="178"/>
  <c r="AD83" i="178"/>
  <c r="AE83" i="178"/>
  <c r="AF83" i="178"/>
  <c r="AG83" i="178"/>
  <c r="AH83" i="178"/>
  <c r="AI83" i="178"/>
  <c r="AJ83" i="178"/>
  <c r="AK83" i="178"/>
  <c r="AL83" i="178"/>
  <c r="AM83" i="178"/>
  <c r="AN83" i="178"/>
  <c r="AO83" i="178"/>
  <c r="T128" i="178"/>
  <c r="U128" i="178" s="1"/>
  <c r="W128" i="178"/>
  <c r="AD128" i="178"/>
  <c r="AE128" i="178"/>
  <c r="AF128" i="178"/>
  <c r="AG128" i="178"/>
  <c r="AH128" i="178"/>
  <c r="AI128" i="178"/>
  <c r="AJ128" i="178"/>
  <c r="AK128" i="178"/>
  <c r="AL128" i="178"/>
  <c r="AM128" i="178"/>
  <c r="AN128" i="178"/>
  <c r="AO128" i="178"/>
  <c r="T129" i="178"/>
  <c r="U129" i="178" s="1"/>
  <c r="W129" i="178"/>
  <c r="AD129" i="178"/>
  <c r="AE129" i="178"/>
  <c r="AF129" i="178"/>
  <c r="AG129" i="178"/>
  <c r="AH129" i="178"/>
  <c r="AI129" i="178"/>
  <c r="AJ129" i="178"/>
  <c r="AK129" i="178"/>
  <c r="AL129" i="178"/>
  <c r="AM129" i="178"/>
  <c r="AN129" i="178"/>
  <c r="AO129" i="178"/>
  <c r="T133" i="178"/>
  <c r="V133" i="178" s="1"/>
  <c r="W133" i="178"/>
  <c r="AD133" i="178"/>
  <c r="AE133" i="178"/>
  <c r="AF133" i="178"/>
  <c r="AG133" i="178"/>
  <c r="AH133" i="178"/>
  <c r="AI133" i="178"/>
  <c r="AJ133" i="178"/>
  <c r="AK133" i="178"/>
  <c r="AL133" i="178"/>
  <c r="AM133" i="178"/>
  <c r="AN133" i="178"/>
  <c r="AO133" i="178"/>
  <c r="T189" i="178"/>
  <c r="U189" i="178" s="1"/>
  <c r="W189" i="178"/>
  <c r="AD189" i="178"/>
  <c r="AE189" i="178"/>
  <c r="AF189" i="178"/>
  <c r="AG189" i="178"/>
  <c r="AH189" i="178"/>
  <c r="AI189" i="178"/>
  <c r="AJ189" i="178"/>
  <c r="AK189" i="178"/>
  <c r="AL189" i="178"/>
  <c r="AM189" i="178"/>
  <c r="AN189" i="178"/>
  <c r="AO189" i="178"/>
  <c r="T194" i="178"/>
  <c r="V194" i="178" s="1"/>
  <c r="W194" i="178"/>
  <c r="AD194" i="178"/>
  <c r="AE194" i="178"/>
  <c r="AF194" i="178"/>
  <c r="AG194" i="178"/>
  <c r="AH194" i="178"/>
  <c r="AI194" i="178"/>
  <c r="AJ194" i="178"/>
  <c r="AK194" i="178"/>
  <c r="AL194" i="178"/>
  <c r="AM194" i="178"/>
  <c r="AN194" i="178"/>
  <c r="AO194" i="178"/>
  <c r="T231" i="178"/>
  <c r="U231" i="178" s="1"/>
  <c r="W231" i="178"/>
  <c r="AD231" i="178"/>
  <c r="AE231" i="178"/>
  <c r="AF231" i="178"/>
  <c r="AG231" i="178"/>
  <c r="AH231" i="178"/>
  <c r="AI231" i="178"/>
  <c r="AJ231" i="178"/>
  <c r="AK231" i="178"/>
  <c r="AL231" i="178"/>
  <c r="AM231" i="178"/>
  <c r="AN231" i="178"/>
  <c r="AO231" i="178"/>
  <c r="T232" i="178"/>
  <c r="V232" i="178" s="1"/>
  <c r="W232" i="178"/>
  <c r="AD232" i="178"/>
  <c r="AE232" i="178"/>
  <c r="AF232" i="178"/>
  <c r="AG232" i="178"/>
  <c r="AH232" i="178"/>
  <c r="AI232" i="178"/>
  <c r="AJ232" i="178"/>
  <c r="AK232" i="178"/>
  <c r="AL232" i="178"/>
  <c r="AM232" i="178"/>
  <c r="AN232" i="178"/>
  <c r="AO232" i="178"/>
  <c r="T243" i="178"/>
  <c r="U243" i="178" s="1"/>
  <c r="W243" i="178"/>
  <c r="AD243" i="178"/>
  <c r="AE243" i="178"/>
  <c r="AF243" i="178"/>
  <c r="AG243" i="178"/>
  <c r="AH243" i="178"/>
  <c r="AI243" i="178"/>
  <c r="AJ243" i="178"/>
  <c r="AK243" i="178"/>
  <c r="AL243" i="178"/>
  <c r="AM243" i="178"/>
  <c r="AN243" i="178"/>
  <c r="AO243" i="178"/>
  <c r="T251" i="178"/>
  <c r="V251" i="178" s="1"/>
  <c r="W251" i="178"/>
  <c r="AD251" i="178"/>
  <c r="AE251" i="178"/>
  <c r="AF251" i="178"/>
  <c r="AG251" i="178"/>
  <c r="AH251" i="178"/>
  <c r="AI251" i="178"/>
  <c r="AJ251" i="178"/>
  <c r="AK251" i="178"/>
  <c r="AL251" i="178"/>
  <c r="AM251" i="178"/>
  <c r="AN251" i="178"/>
  <c r="AO251" i="178"/>
  <c r="T266" i="178"/>
  <c r="U266" i="178" s="1"/>
  <c r="W266" i="178"/>
  <c r="AD266" i="178"/>
  <c r="AE266" i="178"/>
  <c r="AF266" i="178"/>
  <c r="AG266" i="178"/>
  <c r="AH266" i="178"/>
  <c r="AI266" i="178"/>
  <c r="AJ266" i="178"/>
  <c r="AK266" i="178"/>
  <c r="AL266" i="178"/>
  <c r="AM266" i="178"/>
  <c r="AN266" i="178"/>
  <c r="AO266" i="178"/>
  <c r="T476" i="178"/>
  <c r="V476" i="178" s="1"/>
  <c r="W476" i="178"/>
  <c r="AD476" i="178"/>
  <c r="AE476" i="178"/>
  <c r="AF476" i="178"/>
  <c r="AG476" i="178"/>
  <c r="AH476" i="178"/>
  <c r="AI476" i="178"/>
  <c r="AJ476" i="178"/>
  <c r="AK476" i="178"/>
  <c r="AL476" i="178"/>
  <c r="AM476" i="178"/>
  <c r="AN476" i="178"/>
  <c r="AO476" i="178"/>
  <c r="T262" i="178"/>
  <c r="U262" i="178" s="1"/>
  <c r="W262" i="178"/>
  <c r="AD262" i="178"/>
  <c r="AE262" i="178"/>
  <c r="AF262" i="178"/>
  <c r="AG262" i="178"/>
  <c r="AH262" i="178"/>
  <c r="AI262" i="178"/>
  <c r="AJ262" i="178"/>
  <c r="AK262" i="178"/>
  <c r="AL262" i="178"/>
  <c r="AM262" i="178"/>
  <c r="AN262" i="178"/>
  <c r="AO262" i="178"/>
  <c r="T312" i="178"/>
  <c r="V312" i="178" s="1"/>
  <c r="W312" i="178"/>
  <c r="AD312" i="178"/>
  <c r="AE312" i="178"/>
  <c r="AF312" i="178"/>
  <c r="AG312" i="178"/>
  <c r="AH312" i="178"/>
  <c r="AI312" i="178"/>
  <c r="AJ312" i="178"/>
  <c r="AK312" i="178"/>
  <c r="AL312" i="178"/>
  <c r="AM312" i="178"/>
  <c r="AN312" i="178"/>
  <c r="AO312" i="178"/>
  <c r="T332" i="178"/>
  <c r="U332" i="178" s="1"/>
  <c r="W332" i="178"/>
  <c r="AD332" i="178"/>
  <c r="AE332" i="178"/>
  <c r="AF332" i="178"/>
  <c r="AG332" i="178"/>
  <c r="AH332" i="178"/>
  <c r="AI332" i="178"/>
  <c r="AJ332" i="178"/>
  <c r="AK332" i="178"/>
  <c r="AL332" i="178"/>
  <c r="AM332" i="178"/>
  <c r="AN332" i="178"/>
  <c r="AO332" i="178"/>
  <c r="T335" i="178"/>
  <c r="V335" i="178" s="1"/>
  <c r="W335" i="178"/>
  <c r="AD335" i="178"/>
  <c r="AE335" i="178"/>
  <c r="AF335" i="178"/>
  <c r="AG335" i="178"/>
  <c r="AH335" i="178"/>
  <c r="AI335" i="178"/>
  <c r="AJ335" i="178"/>
  <c r="AK335" i="178"/>
  <c r="AL335" i="178"/>
  <c r="AM335" i="178"/>
  <c r="AN335" i="178"/>
  <c r="AO335" i="178"/>
  <c r="T371" i="178"/>
  <c r="U371" i="178" s="1"/>
  <c r="W371" i="178"/>
  <c r="AD371" i="178"/>
  <c r="AE371" i="178"/>
  <c r="AF371" i="178"/>
  <c r="AG371" i="178"/>
  <c r="AH371" i="178"/>
  <c r="AI371" i="178"/>
  <c r="AJ371" i="178"/>
  <c r="AK371" i="178"/>
  <c r="AL371" i="178"/>
  <c r="AM371" i="178"/>
  <c r="AN371" i="178"/>
  <c r="AO371" i="178"/>
  <c r="T372" i="178"/>
  <c r="V372" i="178" s="1"/>
  <c r="W372" i="178"/>
  <c r="AD372" i="178"/>
  <c r="AE372" i="178"/>
  <c r="AF372" i="178"/>
  <c r="AG372" i="178"/>
  <c r="AH372" i="178"/>
  <c r="AI372" i="178"/>
  <c r="AJ372" i="178"/>
  <c r="AK372" i="178"/>
  <c r="AL372" i="178"/>
  <c r="AM372" i="178"/>
  <c r="AN372" i="178"/>
  <c r="AO372" i="178"/>
  <c r="T396" i="178"/>
  <c r="U396" i="178" s="1"/>
  <c r="W396" i="178"/>
  <c r="AD396" i="178"/>
  <c r="AE396" i="178"/>
  <c r="AF396" i="178"/>
  <c r="AG396" i="178"/>
  <c r="AH396" i="178"/>
  <c r="AI396" i="178"/>
  <c r="AJ396" i="178"/>
  <c r="AK396" i="178"/>
  <c r="AL396" i="178"/>
  <c r="AM396" i="178"/>
  <c r="AN396" i="178"/>
  <c r="AO396" i="178"/>
  <c r="T397" i="178"/>
  <c r="V397" i="178" s="1"/>
  <c r="W397" i="178"/>
  <c r="AD397" i="178"/>
  <c r="AE397" i="178"/>
  <c r="AF397" i="178"/>
  <c r="AG397" i="178"/>
  <c r="AH397" i="178"/>
  <c r="AI397" i="178"/>
  <c r="AJ397" i="178"/>
  <c r="AK397" i="178"/>
  <c r="AL397" i="178"/>
  <c r="AM397" i="178"/>
  <c r="AN397" i="178"/>
  <c r="AO397" i="178"/>
  <c r="T463" i="178"/>
  <c r="U463" i="178" s="1"/>
  <c r="W463" i="178"/>
  <c r="AD463" i="178"/>
  <c r="AE463" i="178"/>
  <c r="AF463" i="178"/>
  <c r="AG463" i="178"/>
  <c r="AH463" i="178"/>
  <c r="AI463" i="178"/>
  <c r="AJ463" i="178"/>
  <c r="AK463" i="178"/>
  <c r="AL463" i="178"/>
  <c r="AM463" i="178"/>
  <c r="AN463" i="178"/>
  <c r="AO463" i="178"/>
  <c r="T471" i="178"/>
  <c r="V471" i="178" s="1"/>
  <c r="W471" i="178"/>
  <c r="AD471" i="178"/>
  <c r="AE471" i="178"/>
  <c r="AF471" i="178"/>
  <c r="AG471" i="178"/>
  <c r="AH471" i="178"/>
  <c r="AI471" i="178"/>
  <c r="AJ471" i="178"/>
  <c r="AK471" i="178"/>
  <c r="AL471" i="178"/>
  <c r="AM471" i="178"/>
  <c r="AN471" i="178"/>
  <c r="AO471" i="178"/>
  <c r="T505" i="178"/>
  <c r="U505" i="178" s="1"/>
  <c r="W505" i="178"/>
  <c r="AD505" i="178"/>
  <c r="AE505" i="178"/>
  <c r="AF505" i="178"/>
  <c r="AG505" i="178"/>
  <c r="AH505" i="178"/>
  <c r="AI505" i="178"/>
  <c r="AJ505" i="178"/>
  <c r="AK505" i="178"/>
  <c r="AL505" i="178"/>
  <c r="AM505" i="178"/>
  <c r="AN505" i="178"/>
  <c r="AO505" i="178"/>
  <c r="T510" i="178"/>
  <c r="V510" i="178" s="1"/>
  <c r="W510" i="178"/>
  <c r="AD510" i="178"/>
  <c r="AE510" i="178"/>
  <c r="AF510" i="178"/>
  <c r="AG510" i="178"/>
  <c r="AH510" i="178"/>
  <c r="AI510" i="178"/>
  <c r="AJ510" i="178"/>
  <c r="AK510" i="178"/>
  <c r="AL510" i="178"/>
  <c r="AM510" i="178"/>
  <c r="AN510" i="178"/>
  <c r="AO510" i="178"/>
  <c r="T529" i="178"/>
  <c r="U529" i="178" s="1"/>
  <c r="W529" i="178"/>
  <c r="AD529" i="178"/>
  <c r="AE529" i="178"/>
  <c r="AF529" i="178"/>
  <c r="AG529" i="178"/>
  <c r="AH529" i="178"/>
  <c r="AI529" i="178"/>
  <c r="AJ529" i="178"/>
  <c r="AK529" i="178"/>
  <c r="AL529" i="178"/>
  <c r="AM529" i="178"/>
  <c r="AN529" i="178"/>
  <c r="AO529" i="178"/>
  <c r="T578" i="178"/>
  <c r="V578" i="178" s="1"/>
  <c r="W578" i="178"/>
  <c r="AD578" i="178"/>
  <c r="AE578" i="178"/>
  <c r="AF578" i="178"/>
  <c r="AG578" i="178"/>
  <c r="AH578" i="178"/>
  <c r="AI578" i="178"/>
  <c r="AJ578" i="178"/>
  <c r="AK578" i="178"/>
  <c r="AL578" i="178"/>
  <c r="AM578" i="178"/>
  <c r="AN578" i="178"/>
  <c r="AO578" i="178"/>
  <c r="T584" i="178"/>
  <c r="U584" i="178" s="1"/>
  <c r="W584" i="178"/>
  <c r="AD584" i="178"/>
  <c r="AE584" i="178"/>
  <c r="AF584" i="178"/>
  <c r="AG584" i="178"/>
  <c r="AH584" i="178"/>
  <c r="AI584" i="178"/>
  <c r="AJ584" i="178"/>
  <c r="AK584" i="178"/>
  <c r="AL584" i="178"/>
  <c r="AM584" i="178"/>
  <c r="AN584" i="178"/>
  <c r="AO584" i="178"/>
  <c r="T585" i="178"/>
  <c r="V585" i="178" s="1"/>
  <c r="W585" i="178"/>
  <c r="AD585" i="178"/>
  <c r="AE585" i="178"/>
  <c r="AF585" i="178"/>
  <c r="AG585" i="178"/>
  <c r="AH585" i="178"/>
  <c r="AI585" i="178"/>
  <c r="AJ585" i="178"/>
  <c r="AK585" i="178"/>
  <c r="AL585" i="178"/>
  <c r="AM585" i="178"/>
  <c r="AN585" i="178"/>
  <c r="AO585" i="178"/>
  <c r="T601" i="178"/>
  <c r="U601" i="178" s="1"/>
  <c r="W601" i="178"/>
  <c r="AD601" i="178"/>
  <c r="AE601" i="178"/>
  <c r="AF601" i="178"/>
  <c r="AG601" i="178"/>
  <c r="AH601" i="178"/>
  <c r="AI601" i="178"/>
  <c r="AJ601" i="178"/>
  <c r="AK601" i="178"/>
  <c r="AL601" i="178"/>
  <c r="AM601" i="178"/>
  <c r="AN601" i="178"/>
  <c r="AO601" i="178"/>
  <c r="T602" i="178"/>
  <c r="V602" i="178" s="1"/>
  <c r="W602" i="178"/>
  <c r="AD602" i="178"/>
  <c r="AE602" i="178"/>
  <c r="AF602" i="178"/>
  <c r="AG602" i="178"/>
  <c r="AH602" i="178"/>
  <c r="AI602" i="178"/>
  <c r="AJ602" i="178"/>
  <c r="AK602" i="178"/>
  <c r="AL602" i="178"/>
  <c r="AM602" i="178"/>
  <c r="AN602" i="178"/>
  <c r="AO602" i="178"/>
  <c r="T618" i="178"/>
  <c r="U618" i="178" s="1"/>
  <c r="W618" i="178"/>
  <c r="AD618" i="178"/>
  <c r="AE618" i="178"/>
  <c r="AF618" i="178"/>
  <c r="AG618" i="178"/>
  <c r="AH618" i="178"/>
  <c r="AI618" i="178"/>
  <c r="AJ618" i="178"/>
  <c r="AK618" i="178"/>
  <c r="AL618" i="178"/>
  <c r="AM618" i="178"/>
  <c r="AN618" i="178"/>
  <c r="AO618" i="178"/>
  <c r="T619" i="178"/>
  <c r="V619" i="178" s="1"/>
  <c r="W619" i="178"/>
  <c r="AD619" i="178"/>
  <c r="AE619" i="178"/>
  <c r="AF619" i="178"/>
  <c r="AG619" i="178"/>
  <c r="AH619" i="178"/>
  <c r="AI619" i="178"/>
  <c r="AJ619" i="178"/>
  <c r="AK619" i="178"/>
  <c r="AL619" i="178"/>
  <c r="AM619" i="178"/>
  <c r="AN619" i="178"/>
  <c r="AO619" i="178"/>
  <c r="T759" i="178"/>
  <c r="U759" i="178" s="1"/>
  <c r="W759" i="178"/>
  <c r="AD759" i="178"/>
  <c r="AE759" i="178"/>
  <c r="AF759" i="178"/>
  <c r="AG759" i="178"/>
  <c r="AH759" i="178"/>
  <c r="AI759" i="178"/>
  <c r="AJ759" i="178"/>
  <c r="AK759" i="178"/>
  <c r="AL759" i="178"/>
  <c r="AM759" i="178"/>
  <c r="AN759" i="178"/>
  <c r="AO759" i="178"/>
  <c r="T760" i="178"/>
  <c r="V760" i="178" s="1"/>
  <c r="W760" i="178"/>
  <c r="AD760" i="178"/>
  <c r="AE760" i="178"/>
  <c r="AF760" i="178"/>
  <c r="AG760" i="178"/>
  <c r="AH760" i="178"/>
  <c r="AI760" i="178"/>
  <c r="AJ760" i="178"/>
  <c r="AK760" i="178"/>
  <c r="AL760" i="178"/>
  <c r="AM760" i="178"/>
  <c r="AN760" i="178"/>
  <c r="AO760" i="178"/>
  <c r="T761" i="178"/>
  <c r="U761" i="178" s="1"/>
  <c r="W761" i="178"/>
  <c r="AD761" i="178"/>
  <c r="AE761" i="178"/>
  <c r="AF761" i="178"/>
  <c r="AG761" i="178"/>
  <c r="AH761" i="178"/>
  <c r="AI761" i="178"/>
  <c r="AJ761" i="178"/>
  <c r="AK761" i="178"/>
  <c r="AL761" i="178"/>
  <c r="AM761" i="178"/>
  <c r="AN761" i="178"/>
  <c r="AO761" i="178"/>
  <c r="T788" i="178"/>
  <c r="V788" i="178" s="1"/>
  <c r="W788" i="178"/>
  <c r="AD788" i="178"/>
  <c r="AE788" i="178"/>
  <c r="AF788" i="178"/>
  <c r="AG788" i="178"/>
  <c r="AH788" i="178"/>
  <c r="AI788" i="178"/>
  <c r="AJ788" i="178"/>
  <c r="AK788" i="178"/>
  <c r="AL788" i="178"/>
  <c r="AM788" i="178"/>
  <c r="AN788" i="178"/>
  <c r="AO788" i="178"/>
  <c r="T983" i="178"/>
  <c r="U983" i="178" s="1"/>
  <c r="W983" i="178"/>
  <c r="AD983" i="178"/>
  <c r="AE983" i="178"/>
  <c r="AF983" i="178"/>
  <c r="AG983" i="178"/>
  <c r="AH983" i="178"/>
  <c r="AI983" i="178"/>
  <c r="AJ983" i="178"/>
  <c r="AK983" i="178"/>
  <c r="AL983" i="178"/>
  <c r="AM983" i="178"/>
  <c r="AN983" i="178"/>
  <c r="AO983" i="178"/>
  <c r="T762" i="178"/>
  <c r="V762" i="178" s="1"/>
  <c r="W762" i="178"/>
  <c r="AD762" i="178"/>
  <c r="AE762" i="178"/>
  <c r="AF762" i="178"/>
  <c r="AG762" i="178"/>
  <c r="AH762" i="178"/>
  <c r="AI762" i="178"/>
  <c r="AJ762" i="178"/>
  <c r="AK762" i="178"/>
  <c r="AL762" i="178"/>
  <c r="AM762" i="178"/>
  <c r="AN762" i="178"/>
  <c r="AO762" i="178"/>
  <c r="T789" i="178"/>
  <c r="U789" i="178" s="1"/>
  <c r="W789" i="178"/>
  <c r="AD789" i="178"/>
  <c r="AE789" i="178"/>
  <c r="AF789" i="178"/>
  <c r="AG789" i="178"/>
  <c r="AH789" i="178"/>
  <c r="AI789" i="178"/>
  <c r="AJ789" i="178"/>
  <c r="AK789" i="178"/>
  <c r="AL789" i="178"/>
  <c r="AM789" i="178"/>
  <c r="AN789" i="178"/>
  <c r="AO789" i="178"/>
  <c r="T790" i="178"/>
  <c r="V790" i="178" s="1"/>
  <c r="W790" i="178"/>
  <c r="AD790" i="178"/>
  <c r="AE790" i="178"/>
  <c r="AF790" i="178"/>
  <c r="AG790" i="178"/>
  <c r="AH790" i="178"/>
  <c r="AI790" i="178"/>
  <c r="AJ790" i="178"/>
  <c r="AK790" i="178"/>
  <c r="AL790" i="178"/>
  <c r="AM790" i="178"/>
  <c r="AN790" i="178"/>
  <c r="AO790" i="178"/>
  <c r="T791" i="178"/>
  <c r="U791" i="178" s="1"/>
  <c r="W791" i="178"/>
  <c r="AD791" i="178"/>
  <c r="AE791" i="178"/>
  <c r="AF791" i="178"/>
  <c r="AG791" i="178"/>
  <c r="AH791" i="178"/>
  <c r="AI791" i="178"/>
  <c r="AJ791" i="178"/>
  <c r="AK791" i="178"/>
  <c r="AL791" i="178"/>
  <c r="AM791" i="178"/>
  <c r="AN791" i="178"/>
  <c r="AO791" i="178"/>
  <c r="T845" i="178"/>
  <c r="V845" i="178" s="1"/>
  <c r="W845" i="178"/>
  <c r="AD845" i="178"/>
  <c r="AE845" i="178"/>
  <c r="AF845" i="178"/>
  <c r="AG845" i="178"/>
  <c r="AH845" i="178"/>
  <c r="AI845" i="178"/>
  <c r="AJ845" i="178"/>
  <c r="AK845" i="178"/>
  <c r="AL845" i="178"/>
  <c r="AM845" i="178"/>
  <c r="AN845" i="178"/>
  <c r="AO845" i="178"/>
  <c r="T846" i="178"/>
  <c r="U846" i="178" s="1"/>
  <c r="W846" i="178"/>
  <c r="AD846" i="178"/>
  <c r="AE846" i="178"/>
  <c r="AF846" i="178"/>
  <c r="AG846" i="178"/>
  <c r="AH846" i="178"/>
  <c r="AI846" i="178"/>
  <c r="AJ846" i="178"/>
  <c r="AK846" i="178"/>
  <c r="AL846" i="178"/>
  <c r="AM846" i="178"/>
  <c r="AN846" i="178"/>
  <c r="AO846" i="178"/>
  <c r="T847" i="178"/>
  <c r="V847" i="178" s="1"/>
  <c r="W847" i="178"/>
  <c r="AD847" i="178"/>
  <c r="AE847" i="178"/>
  <c r="AF847" i="178"/>
  <c r="AG847" i="178"/>
  <c r="AH847" i="178"/>
  <c r="AI847" i="178"/>
  <c r="AJ847" i="178"/>
  <c r="AK847" i="178"/>
  <c r="AL847" i="178"/>
  <c r="AM847" i="178"/>
  <c r="AN847" i="178"/>
  <c r="AO847" i="178"/>
  <c r="T848" i="178"/>
  <c r="U848" i="178" s="1"/>
  <c r="W848" i="178"/>
  <c r="AD848" i="178"/>
  <c r="AE848" i="178"/>
  <c r="AF848" i="178"/>
  <c r="AG848" i="178"/>
  <c r="AH848" i="178"/>
  <c r="AI848" i="178"/>
  <c r="AJ848" i="178"/>
  <c r="AK848" i="178"/>
  <c r="AL848" i="178"/>
  <c r="AM848" i="178"/>
  <c r="AN848" i="178"/>
  <c r="AO848" i="178"/>
  <c r="T947" i="178"/>
  <c r="V947" i="178" s="1"/>
  <c r="W947" i="178"/>
  <c r="AD947" i="178"/>
  <c r="AE947" i="178"/>
  <c r="AF947" i="178"/>
  <c r="AG947" i="178"/>
  <c r="AH947" i="178"/>
  <c r="AI947" i="178"/>
  <c r="AJ947" i="178"/>
  <c r="AK947" i="178"/>
  <c r="AL947" i="178"/>
  <c r="AM947" i="178"/>
  <c r="AN947" i="178"/>
  <c r="AO947" i="178"/>
  <c r="T982" i="178"/>
  <c r="U982" i="178" s="1"/>
  <c r="W982" i="178"/>
  <c r="AD982" i="178"/>
  <c r="AE982" i="178"/>
  <c r="AF982" i="178"/>
  <c r="AG982" i="178"/>
  <c r="AH982" i="178"/>
  <c r="AI982" i="178"/>
  <c r="AJ982" i="178"/>
  <c r="AK982" i="178"/>
  <c r="AL982" i="178"/>
  <c r="AM982" i="178"/>
  <c r="AN982" i="178"/>
  <c r="AO982" i="178"/>
  <c r="T1011" i="178"/>
  <c r="V1011" i="178" s="1"/>
  <c r="W1011" i="178"/>
  <c r="AD1011" i="178"/>
  <c r="AE1011" i="178"/>
  <c r="AF1011" i="178"/>
  <c r="AG1011" i="178"/>
  <c r="AH1011" i="178"/>
  <c r="AI1011" i="178"/>
  <c r="AJ1011" i="178"/>
  <c r="AK1011" i="178"/>
  <c r="AL1011" i="178"/>
  <c r="AM1011" i="178"/>
  <c r="AN1011" i="178"/>
  <c r="AO1011" i="178"/>
  <c r="T1046" i="178"/>
  <c r="U1046" i="178" s="1"/>
  <c r="W1046" i="178"/>
  <c r="AD1046" i="178"/>
  <c r="AE1046" i="178"/>
  <c r="AF1046" i="178"/>
  <c r="AG1046" i="178"/>
  <c r="AH1046" i="178"/>
  <c r="AI1046" i="178"/>
  <c r="AJ1046" i="178"/>
  <c r="AK1046" i="178"/>
  <c r="AL1046" i="178"/>
  <c r="AM1046" i="178"/>
  <c r="AN1046" i="178"/>
  <c r="AO1046" i="178"/>
  <c r="T1158" i="178"/>
  <c r="V1158" i="178" s="1"/>
  <c r="W1158" i="178"/>
  <c r="AD1158" i="178"/>
  <c r="AE1158" i="178"/>
  <c r="AF1158" i="178"/>
  <c r="AG1158" i="178"/>
  <c r="AH1158" i="178"/>
  <c r="AI1158" i="178"/>
  <c r="AJ1158" i="178"/>
  <c r="AK1158" i="178"/>
  <c r="AL1158" i="178"/>
  <c r="AM1158" i="178"/>
  <c r="AN1158" i="178"/>
  <c r="AO1158" i="178"/>
  <c r="T1159" i="178"/>
  <c r="U1159" i="178" s="1"/>
  <c r="W1159" i="178"/>
  <c r="AD1159" i="178"/>
  <c r="AE1159" i="178"/>
  <c r="AF1159" i="178"/>
  <c r="AG1159" i="178"/>
  <c r="AH1159" i="178"/>
  <c r="AI1159" i="178"/>
  <c r="AJ1159" i="178"/>
  <c r="AK1159" i="178"/>
  <c r="AL1159" i="178"/>
  <c r="AM1159" i="178"/>
  <c r="AN1159" i="178"/>
  <c r="AO1159" i="178"/>
  <c r="T1188" i="178"/>
  <c r="V1188" i="178" s="1"/>
  <c r="W1188" i="178"/>
  <c r="AD1188" i="178"/>
  <c r="AE1188" i="178"/>
  <c r="AF1188" i="178"/>
  <c r="AG1188" i="178"/>
  <c r="AH1188" i="178"/>
  <c r="AI1188" i="178"/>
  <c r="AJ1188" i="178"/>
  <c r="AK1188" i="178"/>
  <c r="AL1188" i="178"/>
  <c r="AM1188" i="178"/>
  <c r="AN1188" i="178"/>
  <c r="AO1188" i="178"/>
  <c r="T267" i="178"/>
  <c r="U267" i="178" s="1"/>
  <c r="W267" i="178"/>
  <c r="AD267" i="178"/>
  <c r="AE267" i="178"/>
  <c r="AF267" i="178"/>
  <c r="AG267" i="178"/>
  <c r="AH267" i="178"/>
  <c r="AI267" i="178"/>
  <c r="AJ267" i="178"/>
  <c r="AK267" i="178"/>
  <c r="AL267" i="178"/>
  <c r="AM267" i="178"/>
  <c r="AN267" i="178"/>
  <c r="AO267" i="178"/>
  <c r="T373" i="178"/>
  <c r="V373" i="178" s="1"/>
  <c r="W373" i="178"/>
  <c r="AD373" i="178"/>
  <c r="AE373" i="178"/>
  <c r="AF373" i="178"/>
  <c r="AG373" i="178"/>
  <c r="AH373" i="178"/>
  <c r="AI373" i="178"/>
  <c r="AJ373" i="178"/>
  <c r="AK373" i="178"/>
  <c r="AL373" i="178"/>
  <c r="AM373" i="178"/>
  <c r="AN373" i="178"/>
  <c r="AO373" i="178"/>
  <c r="T374" i="178"/>
  <c r="U374" i="178" s="1"/>
  <c r="W374" i="178"/>
  <c r="AD374" i="178"/>
  <c r="AE374" i="178"/>
  <c r="AF374" i="178"/>
  <c r="AG374" i="178"/>
  <c r="AH374" i="178"/>
  <c r="AI374" i="178"/>
  <c r="AJ374" i="178"/>
  <c r="AK374" i="178"/>
  <c r="AL374" i="178"/>
  <c r="AM374" i="178"/>
  <c r="AN374" i="178"/>
  <c r="AO374" i="178"/>
  <c r="T375" i="178"/>
  <c r="V375" i="178" s="1"/>
  <c r="W375" i="178"/>
  <c r="AD375" i="178"/>
  <c r="AE375" i="178"/>
  <c r="AF375" i="178"/>
  <c r="AG375" i="178"/>
  <c r="AH375" i="178"/>
  <c r="AI375" i="178"/>
  <c r="AJ375" i="178"/>
  <c r="AK375" i="178"/>
  <c r="AL375" i="178"/>
  <c r="AM375" i="178"/>
  <c r="AN375" i="178"/>
  <c r="AO375" i="178"/>
  <c r="T376" i="178"/>
  <c r="U376" i="178" s="1"/>
  <c r="W376" i="178"/>
  <c r="AD376" i="178"/>
  <c r="AE376" i="178"/>
  <c r="AF376" i="178"/>
  <c r="AG376" i="178"/>
  <c r="AH376" i="178"/>
  <c r="AI376" i="178"/>
  <c r="AJ376" i="178"/>
  <c r="AK376" i="178"/>
  <c r="AL376" i="178"/>
  <c r="AM376" i="178"/>
  <c r="AN376" i="178"/>
  <c r="AO376" i="178"/>
  <c r="T377" i="178"/>
  <c r="V377" i="178" s="1"/>
  <c r="W377" i="178"/>
  <c r="AD377" i="178"/>
  <c r="AE377" i="178"/>
  <c r="AF377" i="178"/>
  <c r="AG377" i="178"/>
  <c r="AH377" i="178"/>
  <c r="AI377" i="178"/>
  <c r="AJ377" i="178"/>
  <c r="AK377" i="178"/>
  <c r="AL377" i="178"/>
  <c r="AM377" i="178"/>
  <c r="AN377" i="178"/>
  <c r="AO377" i="178"/>
  <c r="T378" i="178"/>
  <c r="U378" i="178" s="1"/>
  <c r="W378" i="178"/>
  <c r="AD378" i="178"/>
  <c r="AE378" i="178"/>
  <c r="AF378" i="178"/>
  <c r="AG378" i="178"/>
  <c r="AH378" i="178"/>
  <c r="AI378" i="178"/>
  <c r="AJ378" i="178"/>
  <c r="AK378" i="178"/>
  <c r="AL378" i="178"/>
  <c r="AM378" i="178"/>
  <c r="AN378" i="178"/>
  <c r="AO378" i="178"/>
  <c r="T379" i="178"/>
  <c r="V379" i="178" s="1"/>
  <c r="W379" i="178"/>
  <c r="AD379" i="178"/>
  <c r="AE379" i="178"/>
  <c r="AF379" i="178"/>
  <c r="AG379" i="178"/>
  <c r="AH379" i="178"/>
  <c r="AI379" i="178"/>
  <c r="AJ379" i="178"/>
  <c r="AK379" i="178"/>
  <c r="AL379" i="178"/>
  <c r="AM379" i="178"/>
  <c r="AN379" i="178"/>
  <c r="AO379" i="178"/>
  <c r="T380" i="178"/>
  <c r="U380" i="178" s="1"/>
  <c r="W380" i="178"/>
  <c r="AD380" i="178"/>
  <c r="AE380" i="178"/>
  <c r="AF380" i="178"/>
  <c r="AG380" i="178"/>
  <c r="AH380" i="178"/>
  <c r="AI380" i="178"/>
  <c r="AJ380" i="178"/>
  <c r="AK380" i="178"/>
  <c r="AL380" i="178"/>
  <c r="AM380" i="178"/>
  <c r="AN380" i="178"/>
  <c r="AO380" i="178"/>
  <c r="T381" i="178"/>
  <c r="V381" i="178" s="1"/>
  <c r="W381" i="178"/>
  <c r="AD381" i="178"/>
  <c r="AE381" i="178"/>
  <c r="AF381" i="178"/>
  <c r="AG381" i="178"/>
  <c r="AH381" i="178"/>
  <c r="AI381" i="178"/>
  <c r="AJ381" i="178"/>
  <c r="AK381" i="178"/>
  <c r="AL381" i="178"/>
  <c r="AM381" i="178"/>
  <c r="AN381" i="178"/>
  <c r="AO381" i="178"/>
  <c r="T382" i="178"/>
  <c r="U382" i="178" s="1"/>
  <c r="W382" i="178"/>
  <c r="AD382" i="178"/>
  <c r="AE382" i="178"/>
  <c r="AF382" i="178"/>
  <c r="AG382" i="178"/>
  <c r="AH382" i="178"/>
  <c r="AI382" i="178"/>
  <c r="AJ382" i="178"/>
  <c r="AK382" i="178"/>
  <c r="AL382" i="178"/>
  <c r="AM382" i="178"/>
  <c r="AN382" i="178"/>
  <c r="AO382" i="178"/>
  <c r="T383" i="178"/>
  <c r="V383" i="178" s="1"/>
  <c r="W383" i="178"/>
  <c r="AD383" i="178"/>
  <c r="AE383" i="178"/>
  <c r="AF383" i="178"/>
  <c r="AG383" i="178"/>
  <c r="AH383" i="178"/>
  <c r="AI383" i="178"/>
  <c r="AJ383" i="178"/>
  <c r="AK383" i="178"/>
  <c r="AL383" i="178"/>
  <c r="AM383" i="178"/>
  <c r="AN383" i="178"/>
  <c r="AO383" i="178"/>
  <c r="T384" i="178"/>
  <c r="U384" i="178" s="1"/>
  <c r="W384" i="178"/>
  <c r="AD384" i="178"/>
  <c r="AE384" i="178"/>
  <c r="AF384" i="178"/>
  <c r="AG384" i="178"/>
  <c r="AH384" i="178"/>
  <c r="AI384" i="178"/>
  <c r="AJ384" i="178"/>
  <c r="AK384" i="178"/>
  <c r="AL384" i="178"/>
  <c r="AM384" i="178"/>
  <c r="AN384" i="178"/>
  <c r="AO384" i="178"/>
  <c r="T385" i="178"/>
  <c r="V385" i="178" s="1"/>
  <c r="W385" i="178"/>
  <c r="AD385" i="178"/>
  <c r="AE385" i="178"/>
  <c r="AF385" i="178"/>
  <c r="AG385" i="178"/>
  <c r="AH385" i="178"/>
  <c r="AI385" i="178"/>
  <c r="AJ385" i="178"/>
  <c r="AK385" i="178"/>
  <c r="AL385" i="178"/>
  <c r="AM385" i="178"/>
  <c r="AN385" i="178"/>
  <c r="AO385" i="178"/>
  <c r="T386" i="178"/>
  <c r="U386" i="178" s="1"/>
  <c r="W386" i="178"/>
  <c r="AD386" i="178"/>
  <c r="AE386" i="178"/>
  <c r="AF386" i="178"/>
  <c r="AG386" i="178"/>
  <c r="AH386" i="178"/>
  <c r="AI386" i="178"/>
  <c r="AJ386" i="178"/>
  <c r="AK386" i="178"/>
  <c r="AL386" i="178"/>
  <c r="AM386" i="178"/>
  <c r="AN386" i="178"/>
  <c r="AO386" i="178"/>
  <c r="T398" i="178"/>
  <c r="V398" i="178" s="1"/>
  <c r="W398" i="178"/>
  <c r="AD398" i="178"/>
  <c r="AE398" i="178"/>
  <c r="AF398" i="178"/>
  <c r="AG398" i="178"/>
  <c r="AH398" i="178"/>
  <c r="AI398" i="178"/>
  <c r="AJ398" i="178"/>
  <c r="AK398" i="178"/>
  <c r="AL398" i="178"/>
  <c r="AM398" i="178"/>
  <c r="AN398" i="178"/>
  <c r="AO398" i="178"/>
  <c r="T399" i="178"/>
  <c r="U399" i="178" s="1"/>
  <c r="W399" i="178"/>
  <c r="AD399" i="178"/>
  <c r="AE399" i="178"/>
  <c r="AF399" i="178"/>
  <c r="AG399" i="178"/>
  <c r="AH399" i="178"/>
  <c r="AI399" i="178"/>
  <c r="AJ399" i="178"/>
  <c r="AK399" i="178"/>
  <c r="AL399" i="178"/>
  <c r="AM399" i="178"/>
  <c r="AN399" i="178"/>
  <c r="AO399" i="178"/>
  <c r="T400" i="178"/>
  <c r="V400" i="178" s="1"/>
  <c r="W400" i="178"/>
  <c r="AD400" i="178"/>
  <c r="AE400" i="178"/>
  <c r="AF400" i="178"/>
  <c r="AG400" i="178"/>
  <c r="AH400" i="178"/>
  <c r="AI400" i="178"/>
  <c r="AJ400" i="178"/>
  <c r="AK400" i="178"/>
  <c r="AL400" i="178"/>
  <c r="AM400" i="178"/>
  <c r="AN400" i="178"/>
  <c r="AO400" i="178"/>
  <c r="T401" i="178"/>
  <c r="U401" i="178" s="1"/>
  <c r="W401" i="178"/>
  <c r="AD401" i="178"/>
  <c r="AE401" i="178"/>
  <c r="AF401" i="178"/>
  <c r="AG401" i="178"/>
  <c r="AH401" i="178"/>
  <c r="AI401" i="178"/>
  <c r="AJ401" i="178"/>
  <c r="AK401" i="178"/>
  <c r="AL401" i="178"/>
  <c r="AM401" i="178"/>
  <c r="AN401" i="178"/>
  <c r="AO401" i="178"/>
  <c r="T403" i="178"/>
  <c r="V403" i="178" s="1"/>
  <c r="W403" i="178"/>
  <c r="AD403" i="178"/>
  <c r="AE403" i="178"/>
  <c r="AF403" i="178"/>
  <c r="AG403" i="178"/>
  <c r="AH403" i="178"/>
  <c r="AI403" i="178"/>
  <c r="AJ403" i="178"/>
  <c r="AK403" i="178"/>
  <c r="AL403" i="178"/>
  <c r="AM403" i="178"/>
  <c r="AN403" i="178"/>
  <c r="AO403" i="178"/>
  <c r="T402" i="178"/>
  <c r="U402" i="178" s="1"/>
  <c r="W402" i="178"/>
  <c r="AD402" i="178"/>
  <c r="AE402" i="178"/>
  <c r="AF402" i="178"/>
  <c r="AG402" i="178"/>
  <c r="AH402" i="178"/>
  <c r="AI402" i="178"/>
  <c r="AJ402" i="178"/>
  <c r="AK402" i="178"/>
  <c r="AL402" i="178"/>
  <c r="AM402" i="178"/>
  <c r="AN402" i="178"/>
  <c r="AO402" i="178"/>
  <c r="T404" i="178"/>
  <c r="V404" i="178" s="1"/>
  <c r="W404" i="178"/>
  <c r="AD404" i="178"/>
  <c r="AE404" i="178"/>
  <c r="AF404" i="178"/>
  <c r="AG404" i="178"/>
  <c r="AH404" i="178"/>
  <c r="AI404" i="178"/>
  <c r="AJ404" i="178"/>
  <c r="AK404" i="178"/>
  <c r="AL404" i="178"/>
  <c r="AM404" i="178"/>
  <c r="AN404" i="178"/>
  <c r="AO404" i="178"/>
  <c r="T405" i="178"/>
  <c r="U405" i="178" s="1"/>
  <c r="W405" i="178"/>
  <c r="AD405" i="178"/>
  <c r="AE405" i="178"/>
  <c r="AF405" i="178"/>
  <c r="AG405" i="178"/>
  <c r="AH405" i="178"/>
  <c r="AI405" i="178"/>
  <c r="AJ405" i="178"/>
  <c r="AK405" i="178"/>
  <c r="AL405" i="178"/>
  <c r="AM405" i="178"/>
  <c r="AN405" i="178"/>
  <c r="AO405" i="178"/>
  <c r="T406" i="178"/>
  <c r="V406" i="178" s="1"/>
  <c r="W406" i="178"/>
  <c r="AD406" i="178"/>
  <c r="AE406" i="178"/>
  <c r="AF406" i="178"/>
  <c r="AG406" i="178"/>
  <c r="AH406" i="178"/>
  <c r="AI406" i="178"/>
  <c r="AJ406" i="178"/>
  <c r="AK406" i="178"/>
  <c r="AL406" i="178"/>
  <c r="AM406" i="178"/>
  <c r="AN406" i="178"/>
  <c r="AO406" i="178"/>
  <c r="T407" i="178"/>
  <c r="U407" i="178" s="1"/>
  <c r="W407" i="178"/>
  <c r="AD407" i="178"/>
  <c r="AE407" i="178"/>
  <c r="AF407" i="178"/>
  <c r="AG407" i="178"/>
  <c r="AH407" i="178"/>
  <c r="AI407" i="178"/>
  <c r="AJ407" i="178"/>
  <c r="AK407" i="178"/>
  <c r="AL407" i="178"/>
  <c r="AM407" i="178"/>
  <c r="AN407" i="178"/>
  <c r="AO407" i="178"/>
  <c r="T408" i="178"/>
  <c r="V408" i="178" s="1"/>
  <c r="W408" i="178"/>
  <c r="AD408" i="178"/>
  <c r="AE408" i="178"/>
  <c r="AF408" i="178"/>
  <c r="AG408" i="178"/>
  <c r="AH408" i="178"/>
  <c r="AI408" i="178"/>
  <c r="AJ408" i="178"/>
  <c r="AK408" i="178"/>
  <c r="AL408" i="178"/>
  <c r="AM408" i="178"/>
  <c r="AN408" i="178"/>
  <c r="AO408" i="178"/>
  <c r="T409" i="178"/>
  <c r="U409" i="178" s="1"/>
  <c r="W409" i="178"/>
  <c r="AD409" i="178"/>
  <c r="AE409" i="178"/>
  <c r="AF409" i="178"/>
  <c r="AG409" i="178"/>
  <c r="AH409" i="178"/>
  <c r="AI409" i="178"/>
  <c r="AJ409" i="178"/>
  <c r="AK409" i="178"/>
  <c r="AL409" i="178"/>
  <c r="AM409" i="178"/>
  <c r="AN409" i="178"/>
  <c r="AO409" i="178"/>
  <c r="T410" i="178"/>
  <c r="V410" i="178" s="1"/>
  <c r="W410" i="178"/>
  <c r="AD410" i="178"/>
  <c r="AE410" i="178"/>
  <c r="AF410" i="178"/>
  <c r="AG410" i="178"/>
  <c r="AH410" i="178"/>
  <c r="AI410" i="178"/>
  <c r="AJ410" i="178"/>
  <c r="AK410" i="178"/>
  <c r="AL410" i="178"/>
  <c r="AM410" i="178"/>
  <c r="AN410" i="178"/>
  <c r="AO410" i="178"/>
  <c r="T411" i="178"/>
  <c r="U411" i="178" s="1"/>
  <c r="W411" i="178"/>
  <c r="AD411" i="178"/>
  <c r="AE411" i="178"/>
  <c r="AF411" i="178"/>
  <c r="AG411" i="178"/>
  <c r="AH411" i="178"/>
  <c r="AI411" i="178"/>
  <c r="AJ411" i="178"/>
  <c r="AK411" i="178"/>
  <c r="AL411" i="178"/>
  <c r="AM411" i="178"/>
  <c r="AN411" i="178"/>
  <c r="AO411" i="178"/>
  <c r="T586" i="178"/>
  <c r="V586" i="178" s="1"/>
  <c r="W586" i="178"/>
  <c r="AD586" i="178"/>
  <c r="AE586" i="178"/>
  <c r="AF586" i="178"/>
  <c r="AG586" i="178"/>
  <c r="AH586" i="178"/>
  <c r="AI586" i="178"/>
  <c r="AJ586" i="178"/>
  <c r="AK586" i="178"/>
  <c r="AL586" i="178"/>
  <c r="AM586" i="178"/>
  <c r="AN586" i="178"/>
  <c r="AO586" i="178"/>
  <c r="T587" i="178"/>
  <c r="U587" i="178" s="1"/>
  <c r="W587" i="178"/>
  <c r="AD587" i="178"/>
  <c r="AE587" i="178"/>
  <c r="AF587" i="178"/>
  <c r="AG587" i="178"/>
  <c r="AH587" i="178"/>
  <c r="AI587" i="178"/>
  <c r="AJ587" i="178"/>
  <c r="AK587" i="178"/>
  <c r="AL587" i="178"/>
  <c r="AM587" i="178"/>
  <c r="AN587" i="178"/>
  <c r="AO587" i="178"/>
  <c r="T588" i="178"/>
  <c r="V588" i="178" s="1"/>
  <c r="W588" i="178"/>
  <c r="AD588" i="178"/>
  <c r="AE588" i="178"/>
  <c r="AF588" i="178"/>
  <c r="AG588" i="178"/>
  <c r="AH588" i="178"/>
  <c r="AI588" i="178"/>
  <c r="AJ588" i="178"/>
  <c r="AK588" i="178"/>
  <c r="AL588" i="178"/>
  <c r="AM588" i="178"/>
  <c r="AN588" i="178"/>
  <c r="AO588" i="178"/>
  <c r="T589" i="178"/>
  <c r="U589" i="178" s="1"/>
  <c r="W589" i="178"/>
  <c r="AD589" i="178"/>
  <c r="AE589" i="178"/>
  <c r="AF589" i="178"/>
  <c r="AG589" i="178"/>
  <c r="AH589" i="178"/>
  <c r="AI589" i="178"/>
  <c r="AJ589" i="178"/>
  <c r="AK589" i="178"/>
  <c r="AL589" i="178"/>
  <c r="AM589" i="178"/>
  <c r="AN589" i="178"/>
  <c r="AO589" i="178"/>
  <c r="T590" i="178"/>
  <c r="V590" i="178" s="1"/>
  <c r="W590" i="178"/>
  <c r="AD590" i="178"/>
  <c r="AE590" i="178"/>
  <c r="AF590" i="178"/>
  <c r="AG590" i="178"/>
  <c r="AH590" i="178"/>
  <c r="AI590" i="178"/>
  <c r="AJ590" i="178"/>
  <c r="AK590" i="178"/>
  <c r="AL590" i="178"/>
  <c r="AM590" i="178"/>
  <c r="AN590" i="178"/>
  <c r="AO590" i="178"/>
  <c r="T591" i="178"/>
  <c r="U591" i="178" s="1"/>
  <c r="W591" i="178"/>
  <c r="AD591" i="178"/>
  <c r="AE591" i="178"/>
  <c r="AF591" i="178"/>
  <c r="AG591" i="178"/>
  <c r="AH591" i="178"/>
  <c r="AI591" i="178"/>
  <c r="AJ591" i="178"/>
  <c r="AK591" i="178"/>
  <c r="AL591" i="178"/>
  <c r="AM591" i="178"/>
  <c r="AN591" i="178"/>
  <c r="AO591" i="178"/>
  <c r="T592" i="178"/>
  <c r="V592" i="178" s="1"/>
  <c r="W592" i="178"/>
  <c r="AD592" i="178"/>
  <c r="AE592" i="178"/>
  <c r="AF592" i="178"/>
  <c r="AG592" i="178"/>
  <c r="AH592" i="178"/>
  <c r="AI592" i="178"/>
  <c r="AJ592" i="178"/>
  <c r="AK592" i="178"/>
  <c r="AL592" i="178"/>
  <c r="AM592" i="178"/>
  <c r="AN592" i="178"/>
  <c r="AO592" i="178"/>
  <c r="T593" i="178"/>
  <c r="U593" i="178" s="1"/>
  <c r="W593" i="178"/>
  <c r="AD593" i="178"/>
  <c r="AE593" i="178"/>
  <c r="AF593" i="178"/>
  <c r="AG593" i="178"/>
  <c r="AH593" i="178"/>
  <c r="AI593" i="178"/>
  <c r="AJ593" i="178"/>
  <c r="AK593" i="178"/>
  <c r="AL593" i="178"/>
  <c r="AM593" i="178"/>
  <c r="AN593" i="178"/>
  <c r="AO593" i="178"/>
  <c r="T594" i="178"/>
  <c r="V594" i="178" s="1"/>
  <c r="W594" i="178"/>
  <c r="AD594" i="178"/>
  <c r="AE594" i="178"/>
  <c r="AF594" i="178"/>
  <c r="AG594" i="178"/>
  <c r="AH594" i="178"/>
  <c r="AI594" i="178"/>
  <c r="AJ594" i="178"/>
  <c r="AK594" i="178"/>
  <c r="AL594" i="178"/>
  <c r="AM594" i="178"/>
  <c r="AN594" i="178"/>
  <c r="AO594" i="178"/>
  <c r="T595" i="178"/>
  <c r="U595" i="178" s="1"/>
  <c r="W595" i="178"/>
  <c r="AD595" i="178"/>
  <c r="AE595" i="178"/>
  <c r="AF595" i="178"/>
  <c r="AG595" i="178"/>
  <c r="AH595" i="178"/>
  <c r="AI595" i="178"/>
  <c r="AJ595" i="178"/>
  <c r="AK595" i="178"/>
  <c r="AL595" i="178"/>
  <c r="AM595" i="178"/>
  <c r="AN595" i="178"/>
  <c r="AO595" i="178"/>
  <c r="T596" i="178"/>
  <c r="V596" i="178" s="1"/>
  <c r="W596" i="178"/>
  <c r="AD596" i="178"/>
  <c r="AE596" i="178"/>
  <c r="AF596" i="178"/>
  <c r="AG596" i="178"/>
  <c r="AH596" i="178"/>
  <c r="AI596" i="178"/>
  <c r="AJ596" i="178"/>
  <c r="AK596" i="178"/>
  <c r="AL596" i="178"/>
  <c r="AM596" i="178"/>
  <c r="AN596" i="178"/>
  <c r="AO596" i="178"/>
  <c r="T597" i="178"/>
  <c r="U597" i="178" s="1"/>
  <c r="W597" i="178"/>
  <c r="AD597" i="178"/>
  <c r="AE597" i="178"/>
  <c r="AF597" i="178"/>
  <c r="AG597" i="178"/>
  <c r="AH597" i="178"/>
  <c r="AI597" i="178"/>
  <c r="AJ597" i="178"/>
  <c r="AK597" i="178"/>
  <c r="AL597" i="178"/>
  <c r="AM597" i="178"/>
  <c r="AN597" i="178"/>
  <c r="AO597" i="178"/>
  <c r="T598" i="178"/>
  <c r="V598" i="178" s="1"/>
  <c r="W598" i="178"/>
  <c r="AD598" i="178"/>
  <c r="AE598" i="178"/>
  <c r="AF598" i="178"/>
  <c r="AG598" i="178"/>
  <c r="AH598" i="178"/>
  <c r="AI598" i="178"/>
  <c r="AJ598" i="178"/>
  <c r="AK598" i="178"/>
  <c r="AL598" i="178"/>
  <c r="AM598" i="178"/>
  <c r="AN598" i="178"/>
  <c r="AO598" i="178"/>
  <c r="T599" i="178"/>
  <c r="U599" i="178" s="1"/>
  <c r="W599" i="178"/>
  <c r="AD599" i="178"/>
  <c r="AE599" i="178"/>
  <c r="AF599" i="178"/>
  <c r="AG599" i="178"/>
  <c r="AH599" i="178"/>
  <c r="AI599" i="178"/>
  <c r="AJ599" i="178"/>
  <c r="AK599" i="178"/>
  <c r="AL599" i="178"/>
  <c r="AM599" i="178"/>
  <c r="AN599" i="178"/>
  <c r="AO599" i="178"/>
  <c r="T603" i="178"/>
  <c r="V603" i="178" s="1"/>
  <c r="W603" i="178"/>
  <c r="AD603" i="178"/>
  <c r="AE603" i="178"/>
  <c r="AF603" i="178"/>
  <c r="AG603" i="178"/>
  <c r="AH603" i="178"/>
  <c r="AI603" i="178"/>
  <c r="AJ603" i="178"/>
  <c r="AK603" i="178"/>
  <c r="AL603" i="178"/>
  <c r="AM603" i="178"/>
  <c r="AN603" i="178"/>
  <c r="AO603" i="178"/>
  <c r="T604" i="178"/>
  <c r="U604" i="178" s="1"/>
  <c r="W604" i="178"/>
  <c r="AD604" i="178"/>
  <c r="AE604" i="178"/>
  <c r="AF604" i="178"/>
  <c r="AG604" i="178"/>
  <c r="AH604" i="178"/>
  <c r="AI604" i="178"/>
  <c r="AJ604" i="178"/>
  <c r="AK604" i="178"/>
  <c r="AL604" i="178"/>
  <c r="AM604" i="178"/>
  <c r="AN604" i="178"/>
  <c r="AO604" i="178"/>
  <c r="T605" i="178"/>
  <c r="U605" i="178" s="1"/>
  <c r="W605" i="178"/>
  <c r="AD605" i="178"/>
  <c r="AE605" i="178"/>
  <c r="AF605" i="178"/>
  <c r="AG605" i="178"/>
  <c r="AH605" i="178"/>
  <c r="AI605" i="178"/>
  <c r="AJ605" i="178"/>
  <c r="AK605" i="178"/>
  <c r="AL605" i="178"/>
  <c r="AM605" i="178"/>
  <c r="AN605" i="178"/>
  <c r="AO605" i="178"/>
  <c r="T606" i="178"/>
  <c r="U606" i="178" s="1"/>
  <c r="W606" i="178"/>
  <c r="AD606" i="178"/>
  <c r="AE606" i="178"/>
  <c r="AF606" i="178"/>
  <c r="AG606" i="178"/>
  <c r="AH606" i="178"/>
  <c r="AI606" i="178"/>
  <c r="AJ606" i="178"/>
  <c r="AK606" i="178"/>
  <c r="AL606" i="178"/>
  <c r="AM606" i="178"/>
  <c r="AN606" i="178"/>
  <c r="AO606" i="178"/>
  <c r="T607" i="178"/>
  <c r="U607" i="178" s="1"/>
  <c r="W607" i="178"/>
  <c r="AD607" i="178"/>
  <c r="AE607" i="178"/>
  <c r="AF607" i="178"/>
  <c r="AG607" i="178"/>
  <c r="AH607" i="178"/>
  <c r="AI607" i="178"/>
  <c r="AJ607" i="178"/>
  <c r="AK607" i="178"/>
  <c r="AL607" i="178"/>
  <c r="AM607" i="178"/>
  <c r="AN607" i="178"/>
  <c r="AO607" i="178"/>
  <c r="T608" i="178"/>
  <c r="U608" i="178" s="1"/>
  <c r="W608" i="178"/>
  <c r="AD608" i="178"/>
  <c r="AE608" i="178"/>
  <c r="AF608" i="178"/>
  <c r="AG608" i="178"/>
  <c r="AH608" i="178"/>
  <c r="AI608" i="178"/>
  <c r="AJ608" i="178"/>
  <c r="AK608" i="178"/>
  <c r="AL608" i="178"/>
  <c r="AM608" i="178"/>
  <c r="AN608" i="178"/>
  <c r="AO608" i="178"/>
  <c r="T609" i="178"/>
  <c r="W609" i="178"/>
  <c r="AD609" i="178"/>
  <c r="AE609" i="178"/>
  <c r="AF609" i="178"/>
  <c r="AG609" i="178"/>
  <c r="AH609" i="178"/>
  <c r="AI609" i="178"/>
  <c r="AJ609" i="178"/>
  <c r="AK609" i="178"/>
  <c r="AL609" i="178"/>
  <c r="AM609" i="178"/>
  <c r="AN609" i="178"/>
  <c r="AO609" i="178"/>
  <c r="T611" i="178"/>
  <c r="U611" i="178" s="1"/>
  <c r="W611" i="178"/>
  <c r="AD611" i="178"/>
  <c r="AE611" i="178"/>
  <c r="AF611" i="178"/>
  <c r="AG611" i="178"/>
  <c r="AH611" i="178"/>
  <c r="AI611" i="178"/>
  <c r="AJ611" i="178"/>
  <c r="AK611" i="178"/>
  <c r="AL611" i="178"/>
  <c r="AM611" i="178"/>
  <c r="AN611" i="178"/>
  <c r="AO611" i="178"/>
  <c r="T612" i="178"/>
  <c r="V612" i="178" s="1"/>
  <c r="W612" i="178"/>
  <c r="AD612" i="178"/>
  <c r="AE612" i="178"/>
  <c r="AF612" i="178"/>
  <c r="AG612" i="178"/>
  <c r="AH612" i="178"/>
  <c r="AI612" i="178"/>
  <c r="AJ612" i="178"/>
  <c r="AK612" i="178"/>
  <c r="AL612" i="178"/>
  <c r="AM612" i="178"/>
  <c r="AN612" i="178"/>
  <c r="AO612" i="178"/>
  <c r="T610" i="178"/>
  <c r="U610" i="178" s="1"/>
  <c r="W610" i="178"/>
  <c r="AD610" i="178"/>
  <c r="AE610" i="178"/>
  <c r="AF610" i="178"/>
  <c r="AG610" i="178"/>
  <c r="AH610" i="178"/>
  <c r="AI610" i="178"/>
  <c r="AJ610" i="178"/>
  <c r="AK610" i="178"/>
  <c r="AL610" i="178"/>
  <c r="AM610" i="178"/>
  <c r="AN610" i="178"/>
  <c r="AO610" i="178"/>
  <c r="T613" i="178"/>
  <c r="U613" i="178" s="1"/>
  <c r="W613" i="178"/>
  <c r="AD613" i="178"/>
  <c r="AE613" i="178"/>
  <c r="AF613" i="178"/>
  <c r="AG613" i="178"/>
  <c r="AH613" i="178"/>
  <c r="AI613" i="178"/>
  <c r="AJ613" i="178"/>
  <c r="AK613" i="178"/>
  <c r="AL613" i="178"/>
  <c r="AM613" i="178"/>
  <c r="AN613" i="178"/>
  <c r="AO613" i="178"/>
  <c r="T614" i="178"/>
  <c r="U614" i="178" s="1"/>
  <c r="W614" i="178"/>
  <c r="AD614" i="178"/>
  <c r="AE614" i="178"/>
  <c r="AF614" i="178"/>
  <c r="AG614" i="178"/>
  <c r="AH614" i="178"/>
  <c r="AI614" i="178"/>
  <c r="AJ614" i="178"/>
  <c r="AK614" i="178"/>
  <c r="AL614" i="178"/>
  <c r="AM614" i="178"/>
  <c r="AN614" i="178"/>
  <c r="AO614" i="178"/>
  <c r="T615" i="178"/>
  <c r="U615" i="178" s="1"/>
  <c r="W615" i="178"/>
  <c r="AD615" i="178"/>
  <c r="AE615" i="178"/>
  <c r="AF615" i="178"/>
  <c r="AG615" i="178"/>
  <c r="AH615" i="178"/>
  <c r="AI615" i="178"/>
  <c r="AJ615" i="178"/>
  <c r="AK615" i="178"/>
  <c r="AL615" i="178"/>
  <c r="AM615" i="178"/>
  <c r="AN615" i="178"/>
  <c r="AO615" i="178"/>
  <c r="T616" i="178"/>
  <c r="U616" i="178" s="1"/>
  <c r="W616" i="178"/>
  <c r="AD616" i="178"/>
  <c r="AE616" i="178"/>
  <c r="AF616" i="178"/>
  <c r="AG616" i="178"/>
  <c r="AH616" i="178"/>
  <c r="AI616" i="178"/>
  <c r="AJ616" i="178"/>
  <c r="AK616" i="178"/>
  <c r="AL616" i="178"/>
  <c r="AM616" i="178"/>
  <c r="AN616" i="178"/>
  <c r="AO616" i="178"/>
  <c r="T620" i="178"/>
  <c r="U620" i="178" s="1"/>
  <c r="W620" i="178"/>
  <c r="AD620" i="178"/>
  <c r="AE620" i="178"/>
  <c r="AF620" i="178"/>
  <c r="AG620" i="178"/>
  <c r="AH620" i="178"/>
  <c r="AI620" i="178"/>
  <c r="AJ620" i="178"/>
  <c r="AK620" i="178"/>
  <c r="AL620" i="178"/>
  <c r="AM620" i="178"/>
  <c r="AN620" i="178"/>
  <c r="AO620" i="178"/>
  <c r="T621" i="178"/>
  <c r="U621" i="178" s="1"/>
  <c r="W621" i="178"/>
  <c r="AD621" i="178"/>
  <c r="AE621" i="178"/>
  <c r="AF621" i="178"/>
  <c r="AG621" i="178"/>
  <c r="AH621" i="178"/>
  <c r="AI621" i="178"/>
  <c r="AJ621" i="178"/>
  <c r="AK621" i="178"/>
  <c r="AL621" i="178"/>
  <c r="AM621" i="178"/>
  <c r="AN621" i="178"/>
  <c r="AO621" i="178"/>
  <c r="T624" i="178"/>
  <c r="U624" i="178" s="1"/>
  <c r="W624" i="178"/>
  <c r="AD624" i="178"/>
  <c r="AE624" i="178"/>
  <c r="AF624" i="178"/>
  <c r="AG624" i="178"/>
  <c r="AH624" i="178"/>
  <c r="AI624" i="178"/>
  <c r="AJ624" i="178"/>
  <c r="AK624" i="178"/>
  <c r="AL624" i="178"/>
  <c r="AM624" i="178"/>
  <c r="AN624" i="178"/>
  <c r="AO624" i="178"/>
  <c r="T622" i="178"/>
  <c r="U622" i="178" s="1"/>
  <c r="W622" i="178"/>
  <c r="AD622" i="178"/>
  <c r="AE622" i="178"/>
  <c r="AF622" i="178"/>
  <c r="AG622" i="178"/>
  <c r="AH622" i="178"/>
  <c r="AI622" i="178"/>
  <c r="AJ622" i="178"/>
  <c r="AK622" i="178"/>
  <c r="AL622" i="178"/>
  <c r="AM622" i="178"/>
  <c r="AN622" i="178"/>
  <c r="AO622" i="178"/>
  <c r="T623" i="178"/>
  <c r="U623" i="178" s="1"/>
  <c r="W623" i="178"/>
  <c r="AD623" i="178"/>
  <c r="AE623" i="178"/>
  <c r="AF623" i="178"/>
  <c r="AG623" i="178"/>
  <c r="AH623" i="178"/>
  <c r="AI623" i="178"/>
  <c r="AJ623" i="178"/>
  <c r="AK623" i="178"/>
  <c r="AL623" i="178"/>
  <c r="AM623" i="178"/>
  <c r="AN623" i="178"/>
  <c r="AO623" i="178"/>
  <c r="T625" i="178"/>
  <c r="U625" i="178" s="1"/>
  <c r="W625" i="178"/>
  <c r="AD625" i="178"/>
  <c r="AE625" i="178"/>
  <c r="AF625" i="178"/>
  <c r="AG625" i="178"/>
  <c r="AH625" i="178"/>
  <c r="AI625" i="178"/>
  <c r="AJ625" i="178"/>
  <c r="AK625" i="178"/>
  <c r="AL625" i="178"/>
  <c r="AM625" i="178"/>
  <c r="AN625" i="178"/>
  <c r="AO625" i="178"/>
  <c r="T626" i="178"/>
  <c r="U626" i="178" s="1"/>
  <c r="W626" i="178"/>
  <c r="AD626" i="178"/>
  <c r="AE626" i="178"/>
  <c r="AF626" i="178"/>
  <c r="AG626" i="178"/>
  <c r="AH626" i="178"/>
  <c r="AI626" i="178"/>
  <c r="AJ626" i="178"/>
  <c r="AK626" i="178"/>
  <c r="AL626" i="178"/>
  <c r="AM626" i="178"/>
  <c r="AN626" i="178"/>
  <c r="AO626" i="178"/>
  <c r="T627" i="178"/>
  <c r="U627" i="178" s="1"/>
  <c r="W627" i="178"/>
  <c r="AD627" i="178"/>
  <c r="AE627" i="178"/>
  <c r="AF627" i="178"/>
  <c r="AG627" i="178"/>
  <c r="AH627" i="178"/>
  <c r="AI627" i="178"/>
  <c r="AJ627" i="178"/>
  <c r="AK627" i="178"/>
  <c r="AL627" i="178"/>
  <c r="AM627" i="178"/>
  <c r="AN627" i="178"/>
  <c r="AO627" i="178"/>
  <c r="T628" i="178"/>
  <c r="U628" i="178" s="1"/>
  <c r="W628" i="178"/>
  <c r="AD628" i="178"/>
  <c r="AE628" i="178"/>
  <c r="AF628" i="178"/>
  <c r="AG628" i="178"/>
  <c r="AH628" i="178"/>
  <c r="AI628" i="178"/>
  <c r="AJ628" i="178"/>
  <c r="AK628" i="178"/>
  <c r="AL628" i="178"/>
  <c r="AM628" i="178"/>
  <c r="AN628" i="178"/>
  <c r="AO628" i="178"/>
  <c r="T629" i="178"/>
  <c r="U629" i="178" s="1"/>
  <c r="W629" i="178"/>
  <c r="AD629" i="178"/>
  <c r="AE629" i="178"/>
  <c r="AF629" i="178"/>
  <c r="AG629" i="178"/>
  <c r="AH629" i="178"/>
  <c r="AI629" i="178"/>
  <c r="AJ629" i="178"/>
  <c r="AK629" i="178"/>
  <c r="AL629" i="178"/>
  <c r="AM629" i="178"/>
  <c r="AN629" i="178"/>
  <c r="AO629" i="178"/>
  <c r="T630" i="178"/>
  <c r="U630" i="178" s="1"/>
  <c r="W630" i="178"/>
  <c r="AD630" i="178"/>
  <c r="AE630" i="178"/>
  <c r="AF630" i="178"/>
  <c r="AG630" i="178"/>
  <c r="AH630" i="178"/>
  <c r="AI630" i="178"/>
  <c r="AJ630" i="178"/>
  <c r="AK630" i="178"/>
  <c r="AL630" i="178"/>
  <c r="AM630" i="178"/>
  <c r="AN630" i="178"/>
  <c r="AO630" i="178"/>
  <c r="T631" i="178"/>
  <c r="U631" i="178" s="1"/>
  <c r="W631" i="178"/>
  <c r="AD631" i="178"/>
  <c r="AE631" i="178"/>
  <c r="AF631" i="178"/>
  <c r="AG631" i="178"/>
  <c r="AH631" i="178"/>
  <c r="AI631" i="178"/>
  <c r="AJ631" i="178"/>
  <c r="AK631" i="178"/>
  <c r="AL631" i="178"/>
  <c r="AM631" i="178"/>
  <c r="AN631" i="178"/>
  <c r="AO631" i="178"/>
  <c r="T1102" i="178"/>
  <c r="U1102" i="178" s="1"/>
  <c r="W1102" i="178"/>
  <c r="AD1102" i="178"/>
  <c r="AE1102" i="178"/>
  <c r="AF1102" i="178"/>
  <c r="AG1102" i="178"/>
  <c r="AH1102" i="178"/>
  <c r="AI1102" i="178"/>
  <c r="AJ1102" i="178"/>
  <c r="AK1102" i="178"/>
  <c r="AL1102" i="178"/>
  <c r="AM1102" i="178"/>
  <c r="AN1102" i="178"/>
  <c r="AO1102" i="178"/>
  <c r="T1103" i="178"/>
  <c r="U1103" i="178" s="1"/>
  <c r="W1103" i="178"/>
  <c r="AD1103" i="178"/>
  <c r="AE1103" i="178"/>
  <c r="AF1103" i="178"/>
  <c r="AG1103" i="178"/>
  <c r="AH1103" i="178"/>
  <c r="AI1103" i="178"/>
  <c r="AJ1103" i="178"/>
  <c r="AK1103" i="178"/>
  <c r="AL1103" i="178"/>
  <c r="AM1103" i="178"/>
  <c r="AN1103" i="178"/>
  <c r="AO1103" i="178"/>
  <c r="T1109" i="178"/>
  <c r="U1109" i="178" s="1"/>
  <c r="W1109" i="178"/>
  <c r="AD1109" i="178"/>
  <c r="AE1109" i="178"/>
  <c r="AF1109" i="178"/>
  <c r="AG1109" i="178"/>
  <c r="AH1109" i="178"/>
  <c r="AI1109" i="178"/>
  <c r="AJ1109" i="178"/>
  <c r="AK1109" i="178"/>
  <c r="AL1109" i="178"/>
  <c r="AM1109" i="178"/>
  <c r="AN1109" i="178"/>
  <c r="AO1109" i="178"/>
  <c r="T1110" i="178"/>
  <c r="U1110" i="178" s="1"/>
  <c r="W1110" i="178"/>
  <c r="AD1110" i="178"/>
  <c r="AE1110" i="178"/>
  <c r="AF1110" i="178"/>
  <c r="AG1110" i="178"/>
  <c r="AH1110" i="178"/>
  <c r="AI1110" i="178"/>
  <c r="AJ1110" i="178"/>
  <c r="AK1110" i="178"/>
  <c r="AL1110" i="178"/>
  <c r="AM1110" i="178"/>
  <c r="AN1110" i="178"/>
  <c r="AO1110" i="178"/>
  <c r="T1111" i="178"/>
  <c r="U1111" i="178" s="1"/>
  <c r="W1111" i="178"/>
  <c r="AD1111" i="178"/>
  <c r="AE1111" i="178"/>
  <c r="AF1111" i="178"/>
  <c r="AG1111" i="178"/>
  <c r="AH1111" i="178"/>
  <c r="AI1111" i="178"/>
  <c r="AJ1111" i="178"/>
  <c r="AK1111" i="178"/>
  <c r="AL1111" i="178"/>
  <c r="AM1111" i="178"/>
  <c r="AN1111" i="178"/>
  <c r="AO1111" i="178"/>
  <c r="T1094" i="178"/>
  <c r="U1094" i="178" s="1"/>
  <c r="W1094" i="178"/>
  <c r="AD1094" i="178"/>
  <c r="AE1094" i="178"/>
  <c r="AF1094" i="178"/>
  <c r="AG1094" i="178"/>
  <c r="AH1094" i="178"/>
  <c r="AI1094" i="178"/>
  <c r="AJ1094" i="178"/>
  <c r="AK1094" i="178"/>
  <c r="AL1094" i="178"/>
  <c r="AM1094" i="178"/>
  <c r="AN1094" i="178"/>
  <c r="AO1094" i="178"/>
  <c r="T1104" i="178"/>
  <c r="U1104" i="178" s="1"/>
  <c r="W1104" i="178"/>
  <c r="AD1104" i="178"/>
  <c r="AE1104" i="178"/>
  <c r="AF1104" i="178"/>
  <c r="AG1104" i="178"/>
  <c r="AH1104" i="178"/>
  <c r="AI1104" i="178"/>
  <c r="AJ1104" i="178"/>
  <c r="AK1104" i="178"/>
  <c r="AL1104" i="178"/>
  <c r="AM1104" i="178"/>
  <c r="AN1104" i="178"/>
  <c r="AO1104" i="178"/>
  <c r="T1112" i="178"/>
  <c r="U1112" i="178" s="1"/>
  <c r="W1112" i="178"/>
  <c r="AD1112" i="178"/>
  <c r="AE1112" i="178"/>
  <c r="AF1112" i="178"/>
  <c r="AG1112" i="178"/>
  <c r="AH1112" i="178"/>
  <c r="AI1112" i="178"/>
  <c r="AJ1112" i="178"/>
  <c r="AK1112" i="178"/>
  <c r="AL1112" i="178"/>
  <c r="AM1112" i="178"/>
  <c r="AN1112" i="178"/>
  <c r="AO1112" i="178"/>
  <c r="T1095" i="178"/>
  <c r="U1095" i="178" s="1"/>
  <c r="W1095" i="178"/>
  <c r="AD1095" i="178"/>
  <c r="AE1095" i="178"/>
  <c r="AF1095" i="178"/>
  <c r="AG1095" i="178"/>
  <c r="AH1095" i="178"/>
  <c r="AI1095" i="178"/>
  <c r="AJ1095" i="178"/>
  <c r="AK1095" i="178"/>
  <c r="AL1095" i="178"/>
  <c r="AM1095" i="178"/>
  <c r="AN1095" i="178"/>
  <c r="AO1095" i="178"/>
  <c r="T1105" i="178"/>
  <c r="U1105" i="178" s="1"/>
  <c r="W1105" i="178"/>
  <c r="AD1105" i="178"/>
  <c r="AE1105" i="178"/>
  <c r="AF1105" i="178"/>
  <c r="AG1105" i="178"/>
  <c r="AH1105" i="178"/>
  <c r="AI1105" i="178"/>
  <c r="AJ1105" i="178"/>
  <c r="AK1105" i="178"/>
  <c r="AL1105" i="178"/>
  <c r="AM1105" i="178"/>
  <c r="AN1105" i="178"/>
  <c r="AO1105" i="178"/>
  <c r="T675" i="178"/>
  <c r="U675" i="178" s="1"/>
  <c r="W675" i="178"/>
  <c r="AD675" i="178"/>
  <c r="AE675" i="178"/>
  <c r="AF675" i="178"/>
  <c r="AG675" i="178"/>
  <c r="AH675" i="178"/>
  <c r="AI675" i="178"/>
  <c r="AJ675" i="178"/>
  <c r="AK675" i="178"/>
  <c r="AL675" i="178"/>
  <c r="AM675" i="178"/>
  <c r="AN675" i="178"/>
  <c r="AO675" i="178"/>
  <c r="T677" i="178"/>
  <c r="U677" i="178" s="1"/>
  <c r="W677" i="178"/>
  <c r="AD677" i="178"/>
  <c r="AE677" i="178"/>
  <c r="AF677" i="178"/>
  <c r="AG677" i="178"/>
  <c r="AH677" i="178"/>
  <c r="AI677" i="178"/>
  <c r="AJ677" i="178"/>
  <c r="AK677" i="178"/>
  <c r="AL677" i="178"/>
  <c r="AM677" i="178"/>
  <c r="AN677" i="178"/>
  <c r="AO677" i="178"/>
  <c r="T678" i="178"/>
  <c r="U678" i="178" s="1"/>
  <c r="W678" i="178"/>
  <c r="AD678" i="178"/>
  <c r="AE678" i="178"/>
  <c r="AF678" i="178"/>
  <c r="AG678" i="178"/>
  <c r="AH678" i="178"/>
  <c r="AI678" i="178"/>
  <c r="AJ678" i="178"/>
  <c r="AK678" i="178"/>
  <c r="AL678" i="178"/>
  <c r="AM678" i="178"/>
  <c r="AN678" i="178"/>
  <c r="AO678" i="178"/>
  <c r="T363" i="178"/>
  <c r="U363" i="178" s="1"/>
  <c r="W363" i="178"/>
  <c r="AD363" i="178"/>
  <c r="AE363" i="178"/>
  <c r="AF363" i="178"/>
  <c r="AG363" i="178"/>
  <c r="AH363" i="178"/>
  <c r="AI363" i="178"/>
  <c r="AJ363" i="178"/>
  <c r="AK363" i="178"/>
  <c r="AL363" i="178"/>
  <c r="AM363" i="178"/>
  <c r="AN363" i="178"/>
  <c r="AO363" i="178"/>
  <c r="T367" i="178"/>
  <c r="U367" i="178" s="1"/>
  <c r="W367" i="178"/>
  <c r="AD367" i="178"/>
  <c r="AE367" i="178"/>
  <c r="AF367" i="178"/>
  <c r="AG367" i="178"/>
  <c r="AH367" i="178"/>
  <c r="AI367" i="178"/>
  <c r="AJ367" i="178"/>
  <c r="AK367" i="178"/>
  <c r="AL367" i="178"/>
  <c r="AM367" i="178"/>
  <c r="AN367" i="178"/>
  <c r="AO367" i="178"/>
  <c r="T679" i="178"/>
  <c r="U679" i="178" s="1"/>
  <c r="W679" i="178"/>
  <c r="AD679" i="178"/>
  <c r="AE679" i="178"/>
  <c r="AF679" i="178"/>
  <c r="AG679" i="178"/>
  <c r="AH679" i="178"/>
  <c r="AI679" i="178"/>
  <c r="AJ679" i="178"/>
  <c r="AK679" i="178"/>
  <c r="AL679" i="178"/>
  <c r="AM679" i="178"/>
  <c r="AN679" i="178"/>
  <c r="AO679" i="178"/>
  <c r="T1106" i="178"/>
  <c r="U1106" i="178" s="1"/>
  <c r="W1106" i="178"/>
  <c r="AD1106" i="178"/>
  <c r="AE1106" i="178"/>
  <c r="AF1106" i="178"/>
  <c r="AG1106" i="178"/>
  <c r="AH1106" i="178"/>
  <c r="AI1106" i="178"/>
  <c r="AJ1106" i="178"/>
  <c r="AK1106" i="178"/>
  <c r="AL1106" i="178"/>
  <c r="AM1106" i="178"/>
  <c r="AN1106" i="178"/>
  <c r="AO1106" i="178"/>
  <c r="T1089" i="178"/>
  <c r="U1089" i="178" s="1"/>
  <c r="W1089" i="178"/>
  <c r="AD1089" i="178"/>
  <c r="AE1089" i="178"/>
  <c r="AF1089" i="178"/>
  <c r="AG1089" i="178"/>
  <c r="AH1089" i="178"/>
  <c r="AI1089" i="178"/>
  <c r="AJ1089" i="178"/>
  <c r="AK1089" i="178"/>
  <c r="AL1089" i="178"/>
  <c r="AM1089" i="178"/>
  <c r="AN1089" i="178"/>
  <c r="AO1089" i="178"/>
  <c r="T1090" i="178"/>
  <c r="U1090" i="178" s="1"/>
  <c r="W1090" i="178"/>
  <c r="AD1090" i="178"/>
  <c r="AE1090" i="178"/>
  <c r="AF1090" i="178"/>
  <c r="AG1090" i="178"/>
  <c r="AH1090" i="178"/>
  <c r="AI1090" i="178"/>
  <c r="AJ1090" i="178"/>
  <c r="AK1090" i="178"/>
  <c r="AL1090" i="178"/>
  <c r="AM1090" i="178"/>
  <c r="AN1090" i="178"/>
  <c r="AO1090" i="178"/>
  <c r="T707" i="178"/>
  <c r="U707" i="178" s="1"/>
  <c r="W707" i="178"/>
  <c r="AD707" i="178"/>
  <c r="AE707" i="178"/>
  <c r="AF707" i="178"/>
  <c r="AG707" i="178"/>
  <c r="AH707" i="178"/>
  <c r="AI707" i="178"/>
  <c r="AJ707" i="178"/>
  <c r="AK707" i="178"/>
  <c r="AL707" i="178"/>
  <c r="AM707" i="178"/>
  <c r="AN707" i="178"/>
  <c r="AO707" i="178"/>
  <c r="T709" i="178"/>
  <c r="U709" i="178" s="1"/>
  <c r="W709" i="178"/>
  <c r="AD709" i="178"/>
  <c r="AE709" i="178"/>
  <c r="AF709" i="178"/>
  <c r="AG709" i="178"/>
  <c r="AH709" i="178"/>
  <c r="AI709" i="178"/>
  <c r="AJ709" i="178"/>
  <c r="AK709" i="178"/>
  <c r="AL709" i="178"/>
  <c r="AM709" i="178"/>
  <c r="AN709" i="178"/>
  <c r="AO709" i="178"/>
  <c r="T715" i="178"/>
  <c r="U715" i="178" s="1"/>
  <c r="W715" i="178"/>
  <c r="AD715" i="178"/>
  <c r="AE715" i="178"/>
  <c r="AF715" i="178"/>
  <c r="AG715" i="178"/>
  <c r="AH715" i="178"/>
  <c r="AI715" i="178"/>
  <c r="AJ715" i="178"/>
  <c r="AK715" i="178"/>
  <c r="AL715" i="178"/>
  <c r="AM715" i="178"/>
  <c r="AN715" i="178"/>
  <c r="AO715" i="178"/>
  <c r="T696" i="178"/>
  <c r="U696" i="178" s="1"/>
  <c r="W696" i="178"/>
  <c r="AD696" i="178"/>
  <c r="AE696" i="178"/>
  <c r="AF696" i="178"/>
  <c r="AG696" i="178"/>
  <c r="AH696" i="178"/>
  <c r="AI696" i="178"/>
  <c r="AJ696" i="178"/>
  <c r="AK696" i="178"/>
  <c r="AL696" i="178"/>
  <c r="AM696" i="178"/>
  <c r="AN696" i="178"/>
  <c r="AO696" i="178"/>
  <c r="T695" i="178"/>
  <c r="U695" i="178" s="1"/>
  <c r="W695" i="178"/>
  <c r="AD695" i="178"/>
  <c r="AE695" i="178"/>
  <c r="AF695" i="178"/>
  <c r="AG695" i="178"/>
  <c r="AH695" i="178"/>
  <c r="AI695" i="178"/>
  <c r="AJ695" i="178"/>
  <c r="AK695" i="178"/>
  <c r="AL695" i="178"/>
  <c r="AM695" i="178"/>
  <c r="AN695" i="178"/>
  <c r="AO695" i="178"/>
  <c r="T697" i="178"/>
  <c r="U697" i="178" s="1"/>
  <c r="W697" i="178"/>
  <c r="AD697" i="178"/>
  <c r="AE697" i="178"/>
  <c r="AF697" i="178"/>
  <c r="AG697" i="178"/>
  <c r="AH697" i="178"/>
  <c r="AI697" i="178"/>
  <c r="AJ697" i="178"/>
  <c r="AK697" i="178"/>
  <c r="AL697" i="178"/>
  <c r="AM697" i="178"/>
  <c r="AN697" i="178"/>
  <c r="AO697" i="178"/>
  <c r="T721" i="178"/>
  <c r="U721" i="178" s="1"/>
  <c r="W721" i="178"/>
  <c r="AD721" i="178"/>
  <c r="AE721" i="178"/>
  <c r="AF721" i="178"/>
  <c r="AG721" i="178"/>
  <c r="AH721" i="178"/>
  <c r="AI721" i="178"/>
  <c r="AJ721" i="178"/>
  <c r="AK721" i="178"/>
  <c r="AL721" i="178"/>
  <c r="AM721" i="178"/>
  <c r="AN721" i="178"/>
  <c r="AO721" i="178"/>
  <c r="T938" i="178"/>
  <c r="U938" i="178" s="1"/>
  <c r="W938" i="178"/>
  <c r="AD938" i="178"/>
  <c r="AE938" i="178"/>
  <c r="AF938" i="178"/>
  <c r="AG938" i="178"/>
  <c r="AH938" i="178"/>
  <c r="AI938" i="178"/>
  <c r="AJ938" i="178"/>
  <c r="AK938" i="178"/>
  <c r="AL938" i="178"/>
  <c r="AM938" i="178"/>
  <c r="AN938" i="178"/>
  <c r="AO938" i="178"/>
  <c r="T1130" i="178"/>
  <c r="U1130" i="178" s="1"/>
  <c r="W1130" i="178"/>
  <c r="AD1130" i="178"/>
  <c r="AE1130" i="178"/>
  <c r="AF1130" i="178"/>
  <c r="AG1130" i="178"/>
  <c r="AH1130" i="178"/>
  <c r="AI1130" i="178"/>
  <c r="AJ1130" i="178"/>
  <c r="AK1130" i="178"/>
  <c r="AL1130" i="178"/>
  <c r="AM1130" i="178"/>
  <c r="AN1130" i="178"/>
  <c r="AO1130" i="178"/>
  <c r="T894" i="178"/>
  <c r="U894" i="178" s="1"/>
  <c r="W894" i="178"/>
  <c r="AD894" i="178"/>
  <c r="AE894" i="178"/>
  <c r="AF894" i="178"/>
  <c r="AG894" i="178"/>
  <c r="AH894" i="178"/>
  <c r="AI894" i="178"/>
  <c r="AJ894" i="178"/>
  <c r="AK894" i="178"/>
  <c r="AL894" i="178"/>
  <c r="AM894" i="178"/>
  <c r="AN894" i="178"/>
  <c r="AO894" i="178"/>
  <c r="T1097" i="178"/>
  <c r="U1097" i="178" s="1"/>
  <c r="W1097" i="178"/>
  <c r="AD1097" i="178"/>
  <c r="AE1097" i="178"/>
  <c r="AF1097" i="178"/>
  <c r="AG1097" i="178"/>
  <c r="AH1097" i="178"/>
  <c r="AI1097" i="178"/>
  <c r="AJ1097" i="178"/>
  <c r="AK1097" i="178"/>
  <c r="AL1097" i="178"/>
  <c r="AM1097" i="178"/>
  <c r="AN1097" i="178"/>
  <c r="AO1097" i="178"/>
  <c r="T1098" i="178"/>
  <c r="U1098" i="178" s="1"/>
  <c r="W1098" i="178"/>
  <c r="AD1098" i="178"/>
  <c r="AE1098" i="178"/>
  <c r="AF1098" i="178"/>
  <c r="AG1098" i="178"/>
  <c r="AH1098" i="178"/>
  <c r="AI1098" i="178"/>
  <c r="AJ1098" i="178"/>
  <c r="AK1098" i="178"/>
  <c r="AL1098" i="178"/>
  <c r="AM1098" i="178"/>
  <c r="AN1098" i="178"/>
  <c r="AO1098" i="178"/>
  <c r="T1099" i="178"/>
  <c r="U1099" i="178" s="1"/>
  <c r="W1099" i="178"/>
  <c r="AD1099" i="178"/>
  <c r="AE1099" i="178"/>
  <c r="AF1099" i="178"/>
  <c r="AG1099" i="178"/>
  <c r="AH1099" i="178"/>
  <c r="AI1099" i="178"/>
  <c r="AJ1099" i="178"/>
  <c r="AK1099" i="178"/>
  <c r="AL1099" i="178"/>
  <c r="AM1099" i="178"/>
  <c r="AN1099" i="178"/>
  <c r="AO1099" i="178"/>
  <c r="T1107" i="178"/>
  <c r="U1107" i="178" s="1"/>
  <c r="W1107" i="178"/>
  <c r="AD1107" i="178"/>
  <c r="AE1107" i="178"/>
  <c r="AF1107" i="178"/>
  <c r="AG1107" i="178"/>
  <c r="AH1107" i="178"/>
  <c r="AI1107" i="178"/>
  <c r="AJ1107" i="178"/>
  <c r="AK1107" i="178"/>
  <c r="AL1107" i="178"/>
  <c r="AM1107" i="178"/>
  <c r="AN1107" i="178"/>
  <c r="AO1107" i="178"/>
  <c r="T1108" i="178"/>
  <c r="U1108" i="178" s="1"/>
  <c r="W1108" i="178"/>
  <c r="AD1108" i="178"/>
  <c r="AE1108" i="178"/>
  <c r="AF1108" i="178"/>
  <c r="AG1108" i="178"/>
  <c r="AH1108" i="178"/>
  <c r="AI1108" i="178"/>
  <c r="AJ1108" i="178"/>
  <c r="AK1108" i="178"/>
  <c r="AL1108" i="178"/>
  <c r="AM1108" i="178"/>
  <c r="AN1108" i="178"/>
  <c r="AO1108" i="178"/>
  <c r="T958" i="178"/>
  <c r="U958" i="178" s="1"/>
  <c r="W958" i="178"/>
  <c r="AD958" i="178"/>
  <c r="AE958" i="178"/>
  <c r="AF958" i="178"/>
  <c r="AG958" i="178"/>
  <c r="AH958" i="178"/>
  <c r="AI958" i="178"/>
  <c r="AJ958" i="178"/>
  <c r="AK958" i="178"/>
  <c r="AL958" i="178"/>
  <c r="AM958" i="178"/>
  <c r="AN958" i="178"/>
  <c r="AO958" i="178"/>
  <c r="T962" i="178"/>
  <c r="U962" i="178" s="1"/>
  <c r="W962" i="178"/>
  <c r="AD962" i="178"/>
  <c r="AE962" i="178"/>
  <c r="AF962" i="178"/>
  <c r="AG962" i="178"/>
  <c r="AH962" i="178"/>
  <c r="AI962" i="178"/>
  <c r="AJ962" i="178"/>
  <c r="AK962" i="178"/>
  <c r="AL962" i="178"/>
  <c r="AM962" i="178"/>
  <c r="AN962" i="178"/>
  <c r="AO962" i="178"/>
  <c r="T963" i="178"/>
  <c r="U963" i="178" s="1"/>
  <c r="W963" i="178"/>
  <c r="AD963" i="178"/>
  <c r="AE963" i="178"/>
  <c r="AF963" i="178"/>
  <c r="AG963" i="178"/>
  <c r="AH963" i="178"/>
  <c r="AI963" i="178"/>
  <c r="AJ963" i="178"/>
  <c r="AK963" i="178"/>
  <c r="AL963" i="178"/>
  <c r="AM963" i="178"/>
  <c r="AN963" i="178"/>
  <c r="AO963" i="178"/>
  <c r="T1035" i="178"/>
  <c r="U1035" i="178" s="1"/>
  <c r="W1035" i="178"/>
  <c r="AD1035" i="178"/>
  <c r="AE1035" i="178"/>
  <c r="AF1035" i="178"/>
  <c r="AG1035" i="178"/>
  <c r="AH1035" i="178"/>
  <c r="AI1035" i="178"/>
  <c r="AJ1035" i="178"/>
  <c r="AK1035" i="178"/>
  <c r="AL1035" i="178"/>
  <c r="AM1035" i="178"/>
  <c r="AN1035" i="178"/>
  <c r="AO1035" i="178"/>
  <c r="T1126" i="178"/>
  <c r="U1126" i="178" s="1"/>
  <c r="W1126" i="178"/>
  <c r="AD1126" i="178"/>
  <c r="AE1126" i="178"/>
  <c r="AF1126" i="178"/>
  <c r="AG1126" i="178"/>
  <c r="AH1126" i="178"/>
  <c r="AI1126" i="178"/>
  <c r="AJ1126" i="178"/>
  <c r="AK1126" i="178"/>
  <c r="AL1126" i="178"/>
  <c r="AM1126" i="178"/>
  <c r="AN1126" i="178"/>
  <c r="AO1126" i="178"/>
  <c r="T1127" i="178"/>
  <c r="U1127" i="178" s="1"/>
  <c r="W1127" i="178"/>
  <c r="AD1127" i="178"/>
  <c r="AE1127" i="178"/>
  <c r="AF1127" i="178"/>
  <c r="AG1127" i="178"/>
  <c r="AH1127" i="178"/>
  <c r="AI1127" i="178"/>
  <c r="AJ1127" i="178"/>
  <c r="AK1127" i="178"/>
  <c r="AL1127" i="178"/>
  <c r="AM1127" i="178"/>
  <c r="AN1127" i="178"/>
  <c r="AO1127" i="178"/>
  <c r="T1128" i="178"/>
  <c r="U1128" i="178" s="1"/>
  <c r="W1128" i="178"/>
  <c r="AD1128" i="178"/>
  <c r="AE1128" i="178"/>
  <c r="AF1128" i="178"/>
  <c r="AG1128" i="178"/>
  <c r="AH1128" i="178"/>
  <c r="AI1128" i="178"/>
  <c r="AJ1128" i="178"/>
  <c r="AK1128" i="178"/>
  <c r="AL1128" i="178"/>
  <c r="AM1128" i="178"/>
  <c r="AN1128" i="178"/>
  <c r="AO1128" i="178"/>
  <c r="T1129" i="178"/>
  <c r="U1129" i="178" s="1"/>
  <c r="W1129" i="178"/>
  <c r="AD1129" i="178"/>
  <c r="AE1129" i="178"/>
  <c r="AF1129" i="178"/>
  <c r="AG1129" i="178"/>
  <c r="AH1129" i="178"/>
  <c r="AI1129" i="178"/>
  <c r="AJ1129" i="178"/>
  <c r="AK1129" i="178"/>
  <c r="AL1129" i="178"/>
  <c r="AM1129" i="178"/>
  <c r="AN1129" i="178"/>
  <c r="AO1129" i="178"/>
  <c r="T1132" i="178"/>
  <c r="U1132" i="178" s="1"/>
  <c r="W1132" i="178"/>
  <c r="AD1132" i="178"/>
  <c r="AE1132" i="178"/>
  <c r="AF1132" i="178"/>
  <c r="AG1132" i="178"/>
  <c r="AH1132" i="178"/>
  <c r="AI1132" i="178"/>
  <c r="AJ1132" i="178"/>
  <c r="AK1132" i="178"/>
  <c r="AL1132" i="178"/>
  <c r="AM1132" i="178"/>
  <c r="AN1132" i="178"/>
  <c r="AO1132" i="178"/>
  <c r="T225" i="178"/>
  <c r="U225" i="178" s="1"/>
  <c r="W225" i="178"/>
  <c r="AD225" i="178"/>
  <c r="AE225" i="178"/>
  <c r="AF225" i="178"/>
  <c r="AG225" i="178"/>
  <c r="AH225" i="178"/>
  <c r="AI225" i="178"/>
  <c r="AJ225" i="178"/>
  <c r="AK225" i="178"/>
  <c r="AL225" i="178"/>
  <c r="AM225" i="178"/>
  <c r="AN225" i="178"/>
  <c r="AO225" i="178"/>
  <c r="T227" i="178"/>
  <c r="U227" i="178" s="1"/>
  <c r="W227" i="178"/>
  <c r="AD227" i="178"/>
  <c r="AE227" i="178"/>
  <c r="AF227" i="178"/>
  <c r="AG227" i="178"/>
  <c r="AH227" i="178"/>
  <c r="AI227" i="178"/>
  <c r="AJ227" i="178"/>
  <c r="AK227" i="178"/>
  <c r="AL227" i="178"/>
  <c r="AM227" i="178"/>
  <c r="AN227" i="178"/>
  <c r="AO227" i="178"/>
  <c r="T257" i="178"/>
  <c r="U257" i="178" s="1"/>
  <c r="W257" i="178"/>
  <c r="AD257" i="178"/>
  <c r="AE257" i="178"/>
  <c r="AF257" i="178"/>
  <c r="AG257" i="178"/>
  <c r="AH257" i="178"/>
  <c r="AI257" i="178"/>
  <c r="AJ257" i="178"/>
  <c r="AK257" i="178"/>
  <c r="AL257" i="178"/>
  <c r="AM257" i="178"/>
  <c r="AN257" i="178"/>
  <c r="AO257" i="178"/>
  <c r="T260" i="178"/>
  <c r="U260" i="178" s="1"/>
  <c r="W260" i="178"/>
  <c r="AD260" i="178"/>
  <c r="AE260" i="178"/>
  <c r="AF260" i="178"/>
  <c r="AG260" i="178"/>
  <c r="AH260" i="178"/>
  <c r="AI260" i="178"/>
  <c r="AJ260" i="178"/>
  <c r="AK260" i="178"/>
  <c r="AL260" i="178"/>
  <c r="AM260" i="178"/>
  <c r="AN260" i="178"/>
  <c r="AO260" i="178"/>
  <c r="T263" i="178"/>
  <c r="U263" i="178" s="1"/>
  <c r="W263" i="178"/>
  <c r="AD263" i="178"/>
  <c r="AE263" i="178"/>
  <c r="AF263" i="178"/>
  <c r="AG263" i="178"/>
  <c r="AH263" i="178"/>
  <c r="AI263" i="178"/>
  <c r="AJ263" i="178"/>
  <c r="AK263" i="178"/>
  <c r="AL263" i="178"/>
  <c r="AM263" i="178"/>
  <c r="AN263" i="178"/>
  <c r="AO263" i="178"/>
  <c r="T36" i="178"/>
  <c r="U36" i="178" s="1"/>
  <c r="W36" i="178"/>
  <c r="AD36" i="178"/>
  <c r="AE36" i="178"/>
  <c r="AF36" i="178"/>
  <c r="AG36" i="178"/>
  <c r="AH36" i="178"/>
  <c r="AI36" i="178"/>
  <c r="AJ36" i="178"/>
  <c r="AK36" i="178"/>
  <c r="AL36" i="178"/>
  <c r="AM36" i="178"/>
  <c r="AN36" i="178"/>
  <c r="AO36" i="178"/>
  <c r="T45" i="178"/>
  <c r="U45" i="178" s="1"/>
  <c r="W45" i="178"/>
  <c r="AD45" i="178"/>
  <c r="AE45" i="178"/>
  <c r="AF45" i="178"/>
  <c r="AG45" i="178"/>
  <c r="AH45" i="178"/>
  <c r="AI45" i="178"/>
  <c r="AJ45" i="178"/>
  <c r="AK45" i="178"/>
  <c r="AL45" i="178"/>
  <c r="AM45" i="178"/>
  <c r="AN45" i="178"/>
  <c r="AO45" i="178"/>
  <c r="T780" i="178"/>
  <c r="U780" i="178" s="1"/>
  <c r="W780" i="178"/>
  <c r="AD780" i="178"/>
  <c r="AE780" i="178"/>
  <c r="AF780" i="178"/>
  <c r="AG780" i="178"/>
  <c r="AH780" i="178"/>
  <c r="AI780" i="178"/>
  <c r="AJ780" i="178"/>
  <c r="AK780" i="178"/>
  <c r="AL780" i="178"/>
  <c r="AM780" i="178"/>
  <c r="AN780" i="178"/>
  <c r="AO780" i="178"/>
  <c r="T781" i="178"/>
  <c r="U781" i="178" s="1"/>
  <c r="W781" i="178"/>
  <c r="AD781" i="178"/>
  <c r="AE781" i="178"/>
  <c r="AF781" i="178"/>
  <c r="AG781" i="178"/>
  <c r="AH781" i="178"/>
  <c r="AI781" i="178"/>
  <c r="AJ781" i="178"/>
  <c r="AK781" i="178"/>
  <c r="AL781" i="178"/>
  <c r="AM781" i="178"/>
  <c r="AN781" i="178"/>
  <c r="AO781" i="178"/>
  <c r="T782" i="178"/>
  <c r="U782" i="178" s="1"/>
  <c r="W782" i="178"/>
  <c r="AD782" i="178"/>
  <c r="AE782" i="178"/>
  <c r="AF782" i="178"/>
  <c r="AG782" i="178"/>
  <c r="AH782" i="178"/>
  <c r="AI782" i="178"/>
  <c r="AJ782" i="178"/>
  <c r="AK782" i="178"/>
  <c r="AL782" i="178"/>
  <c r="AM782" i="178"/>
  <c r="AN782" i="178"/>
  <c r="AO782" i="178"/>
  <c r="T887" i="178"/>
  <c r="U887" i="178" s="1"/>
  <c r="W887" i="178"/>
  <c r="AD887" i="178"/>
  <c r="AE887" i="178"/>
  <c r="AF887" i="178"/>
  <c r="AG887" i="178"/>
  <c r="AH887" i="178"/>
  <c r="AI887" i="178"/>
  <c r="AJ887" i="178"/>
  <c r="AK887" i="178"/>
  <c r="AL887" i="178"/>
  <c r="AM887" i="178"/>
  <c r="AN887" i="178"/>
  <c r="AO887" i="178"/>
  <c r="T869" i="178"/>
  <c r="U869" i="178" s="1"/>
  <c r="W869" i="178"/>
  <c r="AD869" i="178"/>
  <c r="AE869" i="178"/>
  <c r="AF869" i="178"/>
  <c r="AG869" i="178"/>
  <c r="AH869" i="178"/>
  <c r="AI869" i="178"/>
  <c r="AJ869" i="178"/>
  <c r="AK869" i="178"/>
  <c r="AL869" i="178"/>
  <c r="AM869" i="178"/>
  <c r="AN869" i="178"/>
  <c r="AO869" i="178"/>
  <c r="T874" i="178"/>
  <c r="U874" i="178" s="1"/>
  <c r="W874" i="178"/>
  <c r="AD874" i="178"/>
  <c r="AE874" i="178"/>
  <c r="AF874" i="178"/>
  <c r="AG874" i="178"/>
  <c r="AH874" i="178"/>
  <c r="AI874" i="178"/>
  <c r="AJ874" i="178"/>
  <c r="AK874" i="178"/>
  <c r="AL874" i="178"/>
  <c r="AM874" i="178"/>
  <c r="AN874" i="178"/>
  <c r="AO874" i="178"/>
  <c r="T171" i="178"/>
  <c r="U171" i="178" s="1"/>
  <c r="W171" i="178"/>
  <c r="AD171" i="178"/>
  <c r="AE171" i="178"/>
  <c r="AF171" i="178"/>
  <c r="AG171" i="178"/>
  <c r="AH171" i="178"/>
  <c r="AI171" i="178"/>
  <c r="AJ171" i="178"/>
  <c r="AK171" i="178"/>
  <c r="AL171" i="178"/>
  <c r="AM171" i="178"/>
  <c r="AN171" i="178"/>
  <c r="AO171" i="178"/>
  <c r="T354" i="178"/>
  <c r="U354" i="178" s="1"/>
  <c r="W354" i="178"/>
  <c r="AD354" i="178"/>
  <c r="AE354" i="178"/>
  <c r="AF354" i="178"/>
  <c r="AG354" i="178"/>
  <c r="AH354" i="178"/>
  <c r="AI354" i="178"/>
  <c r="AJ354" i="178"/>
  <c r="AK354" i="178"/>
  <c r="AL354" i="178"/>
  <c r="AM354" i="178"/>
  <c r="AN354" i="178"/>
  <c r="AO354" i="178"/>
  <c r="T488" i="178"/>
  <c r="U488" i="178" s="1"/>
  <c r="W488" i="178"/>
  <c r="AD488" i="178"/>
  <c r="AE488" i="178"/>
  <c r="AF488" i="178"/>
  <c r="AG488" i="178"/>
  <c r="AH488" i="178"/>
  <c r="AI488" i="178"/>
  <c r="AJ488" i="178"/>
  <c r="AK488" i="178"/>
  <c r="AL488" i="178"/>
  <c r="AM488" i="178"/>
  <c r="AN488" i="178"/>
  <c r="AO488" i="178"/>
  <c r="T391" i="178"/>
  <c r="U391" i="178" s="1"/>
  <c r="W391" i="178"/>
  <c r="AD391" i="178"/>
  <c r="AE391" i="178"/>
  <c r="AF391" i="178"/>
  <c r="AG391" i="178"/>
  <c r="AH391" i="178"/>
  <c r="AI391" i="178"/>
  <c r="AJ391" i="178"/>
  <c r="AK391" i="178"/>
  <c r="AL391" i="178"/>
  <c r="AM391" i="178"/>
  <c r="AN391" i="178"/>
  <c r="AO391" i="178"/>
  <c r="T417" i="178"/>
  <c r="U417" i="178" s="1"/>
  <c r="W417" i="178"/>
  <c r="AD417" i="178"/>
  <c r="AE417" i="178"/>
  <c r="AF417" i="178"/>
  <c r="AG417" i="178"/>
  <c r="AH417" i="178"/>
  <c r="AI417" i="178"/>
  <c r="AJ417" i="178"/>
  <c r="AK417" i="178"/>
  <c r="AL417" i="178"/>
  <c r="AM417" i="178"/>
  <c r="AN417" i="178"/>
  <c r="AO417" i="178"/>
  <c r="T486" i="178"/>
  <c r="U486" i="178" s="1"/>
  <c r="W486" i="178"/>
  <c r="AD486" i="178"/>
  <c r="AE486" i="178"/>
  <c r="AF486" i="178"/>
  <c r="AG486" i="178"/>
  <c r="AH486" i="178"/>
  <c r="AI486" i="178"/>
  <c r="AJ486" i="178"/>
  <c r="AK486" i="178"/>
  <c r="AL486" i="178"/>
  <c r="AM486" i="178"/>
  <c r="AN486" i="178"/>
  <c r="AO486" i="178"/>
  <c r="T393" i="178"/>
  <c r="V393" i="178" s="1"/>
  <c r="W393" i="178"/>
  <c r="AD393" i="178"/>
  <c r="AE393" i="178"/>
  <c r="AF393" i="178"/>
  <c r="AG393" i="178"/>
  <c r="AH393" i="178"/>
  <c r="AI393" i="178"/>
  <c r="AJ393" i="178"/>
  <c r="AK393" i="178"/>
  <c r="AL393" i="178"/>
  <c r="AM393" i="178"/>
  <c r="AN393" i="178"/>
  <c r="AO393" i="178"/>
  <c r="T418" i="178"/>
  <c r="V418" i="178" s="1"/>
  <c r="W418" i="178"/>
  <c r="AD418" i="178"/>
  <c r="AE418" i="178"/>
  <c r="AF418" i="178"/>
  <c r="AG418" i="178"/>
  <c r="AH418" i="178"/>
  <c r="AI418" i="178"/>
  <c r="AJ418" i="178"/>
  <c r="AK418" i="178"/>
  <c r="AL418" i="178"/>
  <c r="AM418" i="178"/>
  <c r="AN418" i="178"/>
  <c r="AO418" i="178"/>
  <c r="T491" i="178"/>
  <c r="U491" i="178" s="1"/>
  <c r="W491" i="178"/>
  <c r="AD491" i="178"/>
  <c r="AE491" i="178"/>
  <c r="AF491" i="178"/>
  <c r="AG491" i="178"/>
  <c r="AH491" i="178"/>
  <c r="AI491" i="178"/>
  <c r="AJ491" i="178"/>
  <c r="AK491" i="178"/>
  <c r="AL491" i="178"/>
  <c r="AM491" i="178"/>
  <c r="AN491" i="178"/>
  <c r="AO491" i="178"/>
  <c r="T1152" i="178"/>
  <c r="U1152" i="178" s="1"/>
  <c r="W1152" i="178"/>
  <c r="AD1152" i="178"/>
  <c r="AE1152" i="178"/>
  <c r="AF1152" i="178"/>
  <c r="AG1152" i="178"/>
  <c r="AH1152" i="178"/>
  <c r="AI1152" i="178"/>
  <c r="AJ1152" i="178"/>
  <c r="AK1152" i="178"/>
  <c r="AL1152" i="178"/>
  <c r="AM1152" i="178"/>
  <c r="AN1152" i="178"/>
  <c r="AO1152" i="178"/>
  <c r="T158" i="178"/>
  <c r="U158" i="178" s="1"/>
  <c r="W158" i="178"/>
  <c r="AD158" i="178"/>
  <c r="AE158" i="178"/>
  <c r="AF158" i="178"/>
  <c r="AG158" i="178"/>
  <c r="AH158" i="178"/>
  <c r="AI158" i="178"/>
  <c r="AJ158" i="178"/>
  <c r="AK158" i="178"/>
  <c r="AL158" i="178"/>
  <c r="AM158" i="178"/>
  <c r="AN158" i="178"/>
  <c r="AO158" i="178"/>
  <c r="T692" i="178"/>
  <c r="U692" i="178" s="1"/>
  <c r="W692" i="178"/>
  <c r="AD692" i="178"/>
  <c r="AE692" i="178"/>
  <c r="AF692" i="178"/>
  <c r="AG692" i="178"/>
  <c r="AH692" i="178"/>
  <c r="AI692" i="178"/>
  <c r="AJ692" i="178"/>
  <c r="AK692" i="178"/>
  <c r="AL692" i="178"/>
  <c r="AM692" i="178"/>
  <c r="AN692" i="178"/>
  <c r="AO692" i="178"/>
  <c r="T693" i="178"/>
  <c r="U693" i="178" s="1"/>
  <c r="W693" i="178"/>
  <c r="AD693" i="178"/>
  <c r="AE693" i="178"/>
  <c r="AF693" i="178"/>
  <c r="AG693" i="178"/>
  <c r="AH693" i="178"/>
  <c r="AI693" i="178"/>
  <c r="AJ693" i="178"/>
  <c r="AK693" i="178"/>
  <c r="AL693" i="178"/>
  <c r="AM693" i="178"/>
  <c r="AN693" i="178"/>
  <c r="AO693" i="178"/>
  <c r="Q871" i="178"/>
  <c r="S871" i="178" s="1"/>
  <c r="Q872" i="178"/>
  <c r="S872" i="178" s="1"/>
  <c r="Q663" i="178"/>
  <c r="Q665" i="178"/>
  <c r="Q866" i="178"/>
  <c r="S866" i="178" s="1"/>
  <c r="Q859" i="178"/>
  <c r="S859" i="178" s="1"/>
  <c r="Q862" i="178"/>
  <c r="Q175" i="178"/>
  <c r="Q177" i="178"/>
  <c r="S177" i="178" s="1"/>
  <c r="Q292" i="178"/>
  <c r="S292" i="178" s="1"/>
  <c r="Q734" i="178"/>
  <c r="Q860" i="178"/>
  <c r="Q863" i="178"/>
  <c r="Q174" i="178"/>
  <c r="Q293" i="178"/>
  <c r="Q295" i="178"/>
  <c r="Q559" i="178"/>
  <c r="S559" i="178" s="1"/>
  <c r="Q671" i="178"/>
  <c r="Q861" i="178"/>
  <c r="Q389" i="178"/>
  <c r="Q414" i="178"/>
  <c r="Q636" i="178"/>
  <c r="Q919" i="178"/>
  <c r="Q940" i="178"/>
  <c r="S940" i="178" s="1"/>
  <c r="Q390" i="178"/>
  <c r="S390" i="178" s="1"/>
  <c r="Q415" i="178"/>
  <c r="Q637" i="178"/>
  <c r="Q920" i="178"/>
  <c r="S920" i="178" s="1"/>
  <c r="Q941" i="178"/>
  <c r="S941" i="178" s="1"/>
  <c r="Q352" i="178"/>
  <c r="Q487" i="178"/>
  <c r="Q897" i="178"/>
  <c r="Q1148" i="178"/>
  <c r="S1148" i="178" s="1"/>
  <c r="Q353" i="178"/>
  <c r="Q685" i="178"/>
  <c r="Q898" i="178"/>
  <c r="S898" i="178" s="1"/>
  <c r="Q1149" i="178"/>
  <c r="Q136" i="178"/>
  <c r="Q416" i="178"/>
  <c r="Q439" i="178"/>
  <c r="Q485" i="178"/>
  <c r="Q638" i="178"/>
  <c r="Q921" i="178"/>
  <c r="S921" i="178" s="1"/>
  <c r="Q942" i="178"/>
  <c r="S942" i="178" s="1"/>
  <c r="Q1147" i="178"/>
  <c r="Q392" i="178"/>
  <c r="Q489" i="178"/>
  <c r="S489" i="178" s="1"/>
  <c r="Q639" i="178"/>
  <c r="S639" i="178" s="1"/>
  <c r="Q922" i="178"/>
  <c r="Q943" i="178"/>
  <c r="Q1150" i="178"/>
  <c r="Q640" i="178"/>
  <c r="Q923" i="178"/>
  <c r="Q944" i="178"/>
  <c r="Q899" i="178"/>
  <c r="Q689" i="178"/>
  <c r="Q900" i="178"/>
  <c r="Q138" i="178"/>
  <c r="Q157" i="178"/>
  <c r="Q492" i="178"/>
  <c r="Q1153" i="178"/>
  <c r="Q137" i="178"/>
  <c r="Q490" i="178"/>
  <c r="S490" i="178" s="1"/>
  <c r="Q394" i="178"/>
  <c r="Q419" i="178"/>
  <c r="Q641" i="178"/>
  <c r="Q924" i="178"/>
  <c r="S924" i="178" s="1"/>
  <c r="Q945" i="178"/>
  <c r="Q803" i="178"/>
  <c r="Q809" i="178"/>
  <c r="Q159" i="178"/>
  <c r="S159" i="178" s="1"/>
  <c r="Q892" i="178"/>
  <c r="Q356" i="178"/>
  <c r="Q364" i="178"/>
  <c r="Q691" i="178"/>
  <c r="Q699" i="178"/>
  <c r="S699" i="178" s="1"/>
  <c r="Q700" i="178"/>
  <c r="Q701" i="178"/>
  <c r="Q144" i="178"/>
  <c r="Q148" i="178"/>
  <c r="S148" i="178" s="1"/>
  <c r="Q480" i="178"/>
  <c r="Q1051" i="178"/>
  <c r="Q1063" i="178"/>
  <c r="Q1064" i="178"/>
  <c r="S1064" i="178" s="1"/>
  <c r="Q280" i="178"/>
  <c r="S228" i="178"/>
  <c r="S289" i="178"/>
  <c r="S433" i="178"/>
  <c r="S575" i="178"/>
  <c r="S742" i="178"/>
  <c r="S743" i="178"/>
  <c r="S772" i="178"/>
  <c r="S974" i="178"/>
  <c r="S1015" i="178"/>
  <c r="S1025" i="178"/>
  <c r="S1182" i="178"/>
  <c r="S15" i="178"/>
  <c r="S49" i="178"/>
  <c r="S59" i="178"/>
  <c r="S73" i="178"/>
  <c r="S80" i="178"/>
  <c r="S81" i="178"/>
  <c r="S121" i="178"/>
  <c r="S122" i="178"/>
  <c r="S125" i="178"/>
  <c r="S126" i="178"/>
  <c r="S188" i="178"/>
  <c r="S192" i="178"/>
  <c r="S229" i="178"/>
  <c r="S241" i="178"/>
  <c r="S250" i="178"/>
  <c r="S255" i="178"/>
  <c r="S265" i="178"/>
  <c r="S309" i="178"/>
  <c r="S331" i="178"/>
  <c r="S333" i="178"/>
  <c r="S434" i="178"/>
  <c r="S461" i="178"/>
  <c r="S483" i="178"/>
  <c r="S503" i="178"/>
  <c r="S535" i="178"/>
  <c r="S576" i="178"/>
  <c r="S744" i="178"/>
  <c r="S745" i="178"/>
  <c r="S774" i="178"/>
  <c r="S776" i="178"/>
  <c r="S832" i="178"/>
  <c r="S833" i="178"/>
  <c r="S967" i="178"/>
  <c r="S968" i="178"/>
  <c r="S978" i="178"/>
  <c r="S979" i="178"/>
  <c r="S1019" i="178"/>
  <c r="S1041" i="178"/>
  <c r="S1044" i="178"/>
  <c r="S1154" i="178"/>
  <c r="S1155" i="178"/>
  <c r="S1183" i="178"/>
  <c r="Q1186" i="178"/>
  <c r="S1184" i="178"/>
  <c r="Q16" i="178"/>
  <c r="S16" i="178" s="1"/>
  <c r="Q74" i="178"/>
  <c r="Q76" i="178"/>
  <c r="Q127" i="178"/>
  <c r="S127" i="178" s="1"/>
  <c r="Q131" i="178"/>
  <c r="S131" i="178" s="1"/>
  <c r="Q132" i="178"/>
  <c r="Q204" i="178"/>
  <c r="Q230" i="178"/>
  <c r="S230" i="178" s="1"/>
  <c r="Q234" i="178"/>
  <c r="S234" i="178" s="1"/>
  <c r="Q261" i="178"/>
  <c r="Q290" i="178"/>
  <c r="Q311" i="178"/>
  <c r="S311" i="178" s="1"/>
  <c r="Q315" i="178"/>
  <c r="S315" i="178" s="1"/>
  <c r="Q370" i="178"/>
  <c r="Q395" i="178"/>
  <c r="Q462" i="178"/>
  <c r="S462" i="178" s="1"/>
  <c r="Q470" i="178"/>
  <c r="S470" i="178" s="1"/>
  <c r="Q475" i="178"/>
  <c r="Q478" i="178"/>
  <c r="Q504" i="178"/>
  <c r="S504" i="178" s="1"/>
  <c r="Q509" i="178"/>
  <c r="S509" i="178" s="1"/>
  <c r="Q532" i="178"/>
  <c r="Q577" i="178"/>
  <c r="Q583" i="178"/>
  <c r="S583" i="178" s="1"/>
  <c r="Q600" i="178"/>
  <c r="S600" i="178" s="1"/>
  <c r="Q617" i="178"/>
  <c r="Q660" i="178"/>
  <c r="Q748" i="178"/>
  <c r="S748" i="178" s="1"/>
  <c r="Q749" i="178"/>
  <c r="S749" i="178" s="1"/>
  <c r="Q750" i="178"/>
  <c r="Q751" i="178"/>
  <c r="Q752" i="178"/>
  <c r="S752" i="178" s="1"/>
  <c r="Q753" i="178"/>
  <c r="S753" i="178" s="1"/>
  <c r="Q754" i="178"/>
  <c r="Q755" i="178"/>
  <c r="Q756" i="178"/>
  <c r="S756" i="178" s="1"/>
  <c r="Q757" i="178"/>
  <c r="S757" i="178" s="1"/>
  <c r="Q758" i="178"/>
  <c r="Q777" i="178"/>
  <c r="Q778" i="178"/>
  <c r="S778" i="178" s="1"/>
  <c r="Q779" i="178"/>
  <c r="S779" i="178" s="1"/>
  <c r="Q783" i="178"/>
  <c r="Q784" i="178"/>
  <c r="Q785" i="178"/>
  <c r="S785" i="178" s="1"/>
  <c r="Q786" i="178"/>
  <c r="S786" i="178" s="1"/>
  <c r="Q787" i="178"/>
  <c r="Q834" i="178"/>
  <c r="Q835" i="178"/>
  <c r="S835" i="178" s="1"/>
  <c r="Q836" i="178"/>
  <c r="S836" i="178" s="1"/>
  <c r="Q837" i="178"/>
  <c r="Q838" i="178"/>
  <c r="Q839" i="178"/>
  <c r="S839" i="178" s="1"/>
  <c r="Q840" i="178"/>
  <c r="S840" i="178" s="1"/>
  <c r="Q841" i="178"/>
  <c r="Q842" i="178"/>
  <c r="Q843" i="178"/>
  <c r="S843" i="178" s="1"/>
  <c r="Q946" i="178"/>
  <c r="S946" i="178" s="1"/>
  <c r="Q1278" i="178"/>
  <c r="Q844" i="178"/>
  <c r="Q949" i="178"/>
  <c r="S949" i="178" s="1"/>
  <c r="Q951" i="178"/>
  <c r="S951" i="178" s="1"/>
  <c r="Q976" i="178"/>
  <c r="Q981" i="178"/>
  <c r="Q1007" i="178"/>
  <c r="Q1045" i="178"/>
  <c r="S1045" i="178" s="1"/>
  <c r="Q1165" i="178"/>
  <c r="Q1187" i="178"/>
  <c r="Q1277" i="178"/>
  <c r="S1277" i="178" s="1"/>
  <c r="Q17" i="178"/>
  <c r="S17" i="178" s="1"/>
  <c r="Q29" i="178"/>
  <c r="Q37" i="178"/>
  <c r="Q79" i="178"/>
  <c r="Q83" i="178"/>
  <c r="S83" i="178" s="1"/>
  <c r="Q128" i="178"/>
  <c r="Q129" i="178"/>
  <c r="Q133" i="178"/>
  <c r="S133" i="178" s="1"/>
  <c r="Q189" i="178"/>
  <c r="S189" i="178" s="1"/>
  <c r="Q194" i="178"/>
  <c r="Q231" i="178"/>
  <c r="Q232" i="178"/>
  <c r="S232" i="178" s="1"/>
  <c r="Q243" i="178"/>
  <c r="S243" i="178" s="1"/>
  <c r="Q251" i="178"/>
  <c r="Q266" i="178"/>
  <c r="Q476" i="178"/>
  <c r="S476" i="178" s="1"/>
  <c r="Q262" i="178"/>
  <c r="S262" i="178" s="1"/>
  <c r="Q312" i="178"/>
  <c r="Q332" i="178"/>
  <c r="Q335" i="178"/>
  <c r="S335" i="178" s="1"/>
  <c r="Q371" i="178"/>
  <c r="S371" i="178" s="1"/>
  <c r="Q372" i="178"/>
  <c r="Q396" i="178"/>
  <c r="Q397" i="178"/>
  <c r="S397" i="178" s="1"/>
  <c r="Q463" i="178"/>
  <c r="S463" i="178" s="1"/>
  <c r="Q471" i="178"/>
  <c r="Q505" i="178"/>
  <c r="Q510" i="178"/>
  <c r="S510" i="178" s="1"/>
  <c r="Q529" i="178"/>
  <c r="S529" i="178" s="1"/>
  <c r="Q578" i="178"/>
  <c r="Q584" i="178"/>
  <c r="Q585" i="178"/>
  <c r="S585" i="178" s="1"/>
  <c r="Q601" i="178"/>
  <c r="S601" i="178" s="1"/>
  <c r="Q602" i="178"/>
  <c r="Q618" i="178"/>
  <c r="Q619" i="178"/>
  <c r="S619" i="178" s="1"/>
  <c r="Q759" i="178"/>
  <c r="S759" i="178" s="1"/>
  <c r="Q760" i="178"/>
  <c r="Q761" i="178"/>
  <c r="Q788" i="178"/>
  <c r="S788" i="178" s="1"/>
  <c r="Q983" i="178"/>
  <c r="S983" i="178" s="1"/>
  <c r="Q762" i="178"/>
  <c r="Q789" i="178"/>
  <c r="Q790" i="178"/>
  <c r="S790" i="178" s="1"/>
  <c r="Q791" i="178"/>
  <c r="S791" i="178" s="1"/>
  <c r="Q845" i="178"/>
  <c r="Q846" i="178"/>
  <c r="Q847" i="178"/>
  <c r="S847" i="178" s="1"/>
  <c r="Q848" i="178"/>
  <c r="S848" i="178" s="1"/>
  <c r="Q947" i="178"/>
  <c r="Q982" i="178"/>
  <c r="Q1011" i="178"/>
  <c r="S1011" i="178" s="1"/>
  <c r="Q1046" i="178"/>
  <c r="S1046" i="178" s="1"/>
  <c r="Q1158" i="178"/>
  <c r="Q1159" i="178"/>
  <c r="Q1188" i="178"/>
  <c r="S1188" i="178" s="1"/>
  <c r="Q267" i="178"/>
  <c r="S267" i="178" s="1"/>
  <c r="Q373" i="178"/>
  <c r="Q374" i="178"/>
  <c r="Q375" i="178"/>
  <c r="S375" i="178" s="1"/>
  <c r="Q376" i="178"/>
  <c r="S376" i="178" s="1"/>
  <c r="Q377" i="178"/>
  <c r="Q378" i="178"/>
  <c r="Q379" i="178"/>
  <c r="S379" i="178" s="1"/>
  <c r="Q380" i="178"/>
  <c r="S380" i="178" s="1"/>
  <c r="Q381" i="178"/>
  <c r="Q382" i="178"/>
  <c r="Q383" i="178"/>
  <c r="S383" i="178" s="1"/>
  <c r="Q384" i="178"/>
  <c r="S384" i="178" s="1"/>
  <c r="Q385" i="178"/>
  <c r="Q386" i="178"/>
  <c r="Q398" i="178"/>
  <c r="S398" i="178" s="1"/>
  <c r="Q399" i="178"/>
  <c r="S399" i="178" s="1"/>
  <c r="Q400" i="178"/>
  <c r="Q401" i="178"/>
  <c r="Q403" i="178"/>
  <c r="S403" i="178" s="1"/>
  <c r="Q402" i="178"/>
  <c r="Q404" i="178"/>
  <c r="Q405" i="178"/>
  <c r="Q406" i="178"/>
  <c r="S406" i="178" s="1"/>
  <c r="Q407" i="178"/>
  <c r="S407" i="178" s="1"/>
  <c r="Q408" i="178"/>
  <c r="Q409" i="178"/>
  <c r="Q410" i="178"/>
  <c r="S410" i="178" s="1"/>
  <c r="Q411" i="178"/>
  <c r="S411" i="178" s="1"/>
  <c r="Q586" i="178"/>
  <c r="Q587" i="178"/>
  <c r="Q588" i="178"/>
  <c r="S588" i="178" s="1"/>
  <c r="Q589" i="178"/>
  <c r="S589" i="178" s="1"/>
  <c r="Q590" i="178"/>
  <c r="Q591" i="178"/>
  <c r="Q592" i="178"/>
  <c r="S592" i="178" s="1"/>
  <c r="Q593" i="178"/>
  <c r="S593" i="178" s="1"/>
  <c r="Q594" i="178"/>
  <c r="Q595" i="178"/>
  <c r="Q596" i="178"/>
  <c r="S596" i="178" s="1"/>
  <c r="Q597" i="178"/>
  <c r="Q598" i="178"/>
  <c r="Q599" i="178"/>
  <c r="Q603" i="178"/>
  <c r="S603" i="178" s="1"/>
  <c r="Q604" i="178"/>
  <c r="S604" i="178" s="1"/>
  <c r="Q605" i="178"/>
  <c r="Q606" i="178"/>
  <c r="Q607" i="178"/>
  <c r="S607" i="178" s="1"/>
  <c r="Q608" i="178"/>
  <c r="S608" i="178" s="1"/>
  <c r="Q609" i="178"/>
  <c r="Q611" i="178"/>
  <c r="Q612" i="178"/>
  <c r="S612" i="178" s="1"/>
  <c r="Q610" i="178"/>
  <c r="S610" i="178" s="1"/>
  <c r="Q613" i="178"/>
  <c r="Q614" i="178"/>
  <c r="Q615" i="178"/>
  <c r="S615" i="178" s="1"/>
  <c r="Q616" i="178"/>
  <c r="S616" i="178" s="1"/>
  <c r="Q620" i="178"/>
  <c r="Q621" i="178"/>
  <c r="Q624" i="178"/>
  <c r="S624" i="178" s="1"/>
  <c r="Q622" i="178"/>
  <c r="S622" i="178" s="1"/>
  <c r="Q623" i="178"/>
  <c r="Q625" i="178"/>
  <c r="Q626" i="178"/>
  <c r="S626" i="178" s="1"/>
  <c r="Q627" i="178"/>
  <c r="S627" i="178" s="1"/>
  <c r="Q628" i="178"/>
  <c r="Q629" i="178"/>
  <c r="Q630" i="178"/>
  <c r="S630" i="178" s="1"/>
  <c r="Q631" i="178"/>
  <c r="S631" i="178" s="1"/>
  <c r="Q1102" i="178"/>
  <c r="Q1103" i="178"/>
  <c r="Q1109" i="178"/>
  <c r="S1109" i="178" s="1"/>
  <c r="Q1110" i="178"/>
  <c r="S1110" i="178" s="1"/>
  <c r="Q1111" i="178"/>
  <c r="Q1094" i="178"/>
  <c r="Q1104" i="178"/>
  <c r="S1104" i="178" s="1"/>
  <c r="Q1112" i="178"/>
  <c r="S1112" i="178" s="1"/>
  <c r="Q1095" i="178"/>
  <c r="Q1105" i="178"/>
  <c r="Q675" i="178"/>
  <c r="S675" i="178" s="1"/>
  <c r="Q677" i="178"/>
  <c r="Q678" i="178"/>
  <c r="Q363" i="178"/>
  <c r="S363" i="178" s="1"/>
  <c r="Q367" i="178"/>
  <c r="S367" i="178" s="1"/>
  <c r="Q679" i="178"/>
  <c r="Q1106" i="178"/>
  <c r="S1106" i="178" s="1"/>
  <c r="Q1089" i="178"/>
  <c r="S1089" i="178" s="1"/>
  <c r="Q1090" i="178"/>
  <c r="S1090" i="178" s="1"/>
  <c r="Q707" i="178"/>
  <c r="Q709" i="178"/>
  <c r="Q715" i="178"/>
  <c r="S715" i="178" s="1"/>
  <c r="Q696" i="178"/>
  <c r="S696" i="178" s="1"/>
  <c r="Q695" i="178"/>
  <c r="Q697" i="178"/>
  <c r="Q721" i="178"/>
  <c r="S721" i="178" s="1"/>
  <c r="Q938" i="178"/>
  <c r="Q1130" i="178"/>
  <c r="S1130" i="178" s="1"/>
  <c r="Q894" i="178"/>
  <c r="Q1097" i="178"/>
  <c r="Q1098" i="178"/>
  <c r="Q1099" i="178"/>
  <c r="Q1107" i="178"/>
  <c r="Q1108" i="178"/>
  <c r="Q958" i="178"/>
  <c r="Q962" i="178"/>
  <c r="Q963" i="178"/>
  <c r="Q1035" i="178"/>
  <c r="Q1126" i="178"/>
  <c r="Q1127" i="178"/>
  <c r="S1127" i="178" s="1"/>
  <c r="Q1128" i="178"/>
  <c r="Q1129" i="178"/>
  <c r="Q1132" i="178"/>
  <c r="Q632" i="178"/>
  <c r="S632" i="178" s="1"/>
  <c r="Q633" i="178"/>
  <c r="Q197" i="178"/>
  <c r="Q551" i="178"/>
  <c r="Q819" i="178"/>
  <c r="Q880" i="178"/>
  <c r="Q904" i="178"/>
  <c r="Q912" i="178"/>
  <c r="Q170" i="178"/>
  <c r="Q552" i="178"/>
  <c r="Q724" i="178"/>
  <c r="Q730" i="178"/>
  <c r="Q821" i="178"/>
  <c r="Q822" i="178"/>
  <c r="Q427" i="178"/>
  <c r="Q493" i="178"/>
  <c r="Q865" i="178"/>
  <c r="Q387" i="178"/>
  <c r="Q412" i="178"/>
  <c r="Q579" i="178"/>
  <c r="Q581" i="178"/>
  <c r="Q634" i="178"/>
  <c r="Q662" i="178"/>
  <c r="Q200" i="178"/>
  <c r="Q883" i="178"/>
  <c r="Q890" i="178"/>
  <c r="Q907" i="178"/>
  <c r="Q915" i="178"/>
  <c r="Q201" i="178"/>
  <c r="Q554" i="178"/>
  <c r="Q825" i="178"/>
  <c r="Q876" i="178"/>
  <c r="Q908" i="178"/>
  <c r="Q726" i="178"/>
  <c r="Q727" i="178"/>
  <c r="Q731" i="178"/>
  <c r="Q732" i="178"/>
  <c r="Q826" i="178"/>
  <c r="Q827" i="178"/>
  <c r="AR1035" i="178" l="1"/>
  <c r="AZ1097" i="178"/>
  <c r="AR938" i="178"/>
  <c r="BM958" i="178"/>
  <c r="BM1098" i="178"/>
  <c r="V559" i="178"/>
  <c r="BC1130" i="178"/>
  <c r="U552" i="178"/>
  <c r="V611" i="178"/>
  <c r="AV894" i="178"/>
  <c r="BD1108" i="178"/>
  <c r="V1025" i="178"/>
  <c r="BG1127" i="178"/>
  <c r="AV1128" i="178"/>
  <c r="V416" i="178"/>
  <c r="V821" i="178"/>
  <c r="S1128" i="178"/>
  <c r="BL1128" i="178" s="1"/>
  <c r="U531" i="178"/>
  <c r="U16" i="178"/>
  <c r="U577" i="178"/>
  <c r="V924" i="178"/>
  <c r="V640" i="178"/>
  <c r="S530" i="178"/>
  <c r="AY530" i="178" s="1"/>
  <c r="S689" i="178"/>
  <c r="U950" i="178"/>
  <c r="V192" i="178"/>
  <c r="U777" i="178"/>
  <c r="U1043" i="178"/>
  <c r="U774" i="178"/>
  <c r="U330" i="178"/>
  <c r="U861" i="178"/>
  <c r="V158" i="178"/>
  <c r="U290" i="178"/>
  <c r="U78" i="178"/>
  <c r="S938" i="178"/>
  <c r="BL938" i="178" s="1"/>
  <c r="S945" i="178"/>
  <c r="U834" i="178"/>
  <c r="U1157" i="178"/>
  <c r="U979" i="178"/>
  <c r="U831" i="178"/>
  <c r="V241" i="178"/>
  <c r="U124" i="178"/>
  <c r="V1017" i="178"/>
  <c r="V419" i="178"/>
  <c r="V944" i="178"/>
  <c r="U751" i="178"/>
  <c r="U470" i="178"/>
  <c r="U204" i="178"/>
  <c r="U333" i="178"/>
  <c r="V1058" i="178"/>
  <c r="V356" i="178"/>
  <c r="V897" i="178"/>
  <c r="U871" i="178"/>
  <c r="V201" i="178"/>
  <c r="U890" i="178"/>
  <c r="S1108" i="178"/>
  <c r="AS1108" i="178" s="1"/>
  <c r="S892" i="178"/>
  <c r="AS892" i="178" s="1"/>
  <c r="S640" i="178"/>
  <c r="AW640" i="178" s="1"/>
  <c r="S439" i="178"/>
  <c r="BA439" i="178" s="1"/>
  <c r="U784" i="178"/>
  <c r="U660" i="178"/>
  <c r="U395" i="178"/>
  <c r="U234" i="178"/>
  <c r="U76" i="178"/>
  <c r="U977" i="178"/>
  <c r="U833" i="178"/>
  <c r="U773" i="178"/>
  <c r="S1097" i="178"/>
  <c r="BL1097" i="178" s="1"/>
  <c r="S394" i="178"/>
  <c r="AS394" i="178" s="1"/>
  <c r="U598" i="178"/>
  <c r="BF962" i="178"/>
  <c r="BF1099" i="178"/>
  <c r="S894" i="178"/>
  <c r="BL894" i="178" s="1"/>
  <c r="S492" i="178"/>
  <c r="AS492" i="178" s="1"/>
  <c r="S671" i="178"/>
  <c r="BE671" i="178" s="1"/>
  <c r="U590" i="178"/>
  <c r="V37" i="178"/>
  <c r="U755" i="178"/>
  <c r="U478" i="178"/>
  <c r="U1186" i="178"/>
  <c r="U1154" i="178"/>
  <c r="U1018" i="178"/>
  <c r="U747" i="178"/>
  <c r="U576" i="178"/>
  <c r="V255" i="178"/>
  <c r="V492" i="178"/>
  <c r="U489" i="178"/>
  <c r="V1149" i="178"/>
  <c r="V389" i="178"/>
  <c r="U177" i="178"/>
  <c r="U726" i="178"/>
  <c r="V581" i="178"/>
  <c r="U387" i="178"/>
  <c r="S1035" i="178"/>
  <c r="BL1035" i="178" s="1"/>
  <c r="S597" i="178"/>
  <c r="S402" i="178"/>
  <c r="S1010" i="178"/>
  <c r="BA1010" i="178" s="1"/>
  <c r="S144" i="178"/>
  <c r="AU144" i="178" s="1"/>
  <c r="S1150" i="178"/>
  <c r="BG1150" i="178" s="1"/>
  <c r="BK963" i="178"/>
  <c r="BK1107" i="178"/>
  <c r="S1107" i="178"/>
  <c r="AY1107" i="178" s="1"/>
  <c r="BK721" i="178"/>
  <c r="S79" i="178"/>
  <c r="AW79" i="178" s="1"/>
  <c r="S1007" i="178"/>
  <c r="AW1007" i="178" s="1"/>
  <c r="S1026" i="178"/>
  <c r="AW1026" i="178" s="1"/>
  <c r="S972" i="178"/>
  <c r="AY972" i="178" s="1"/>
  <c r="S425" i="178"/>
  <c r="AU425" i="178" s="1"/>
  <c r="S1063" i="178"/>
  <c r="AY1063" i="178" s="1"/>
  <c r="S691" i="178"/>
  <c r="AU691" i="178" s="1"/>
  <c r="S899" i="178"/>
  <c r="AW899" i="178" s="1"/>
  <c r="S416" i="178"/>
  <c r="BA416" i="178" s="1"/>
  <c r="S897" i="178"/>
  <c r="BA897" i="178" s="1"/>
  <c r="S389" i="178"/>
  <c r="BA389" i="178" s="1"/>
  <c r="S963" i="178"/>
  <c r="AY963" i="178" s="1"/>
  <c r="S1059" i="178"/>
  <c r="BG1059" i="178" s="1"/>
  <c r="S157" i="178"/>
  <c r="BA157" i="178" s="1"/>
  <c r="S863" i="178"/>
  <c r="BG863" i="178" s="1"/>
  <c r="U418" i="178"/>
  <c r="AX1132" i="178"/>
  <c r="S414" i="178"/>
  <c r="S174" i="178"/>
  <c r="AS174" i="178" s="1"/>
  <c r="U594" i="178"/>
  <c r="V411" i="178"/>
  <c r="U408" i="178"/>
  <c r="V402" i="178"/>
  <c r="U400" i="178"/>
  <c r="V384" i="178"/>
  <c r="U381" i="178"/>
  <c r="V376" i="178"/>
  <c r="U373" i="178"/>
  <c r="V1046" i="178"/>
  <c r="U947" i="178"/>
  <c r="V791" i="178"/>
  <c r="U762" i="178"/>
  <c r="V759" i="178"/>
  <c r="U602" i="178"/>
  <c r="V529" i="178"/>
  <c r="U471" i="178"/>
  <c r="V371" i="178"/>
  <c r="U312" i="178"/>
  <c r="V243" i="178"/>
  <c r="U194" i="178"/>
  <c r="V17" i="178"/>
  <c r="U981" i="178"/>
  <c r="U951" i="178"/>
  <c r="U844" i="178"/>
  <c r="U946" i="178"/>
  <c r="U842" i="178"/>
  <c r="U840" i="178"/>
  <c r="U838" i="178"/>
  <c r="U836" i="178"/>
  <c r="U779" i="178"/>
  <c r="U753" i="178"/>
  <c r="U600" i="178"/>
  <c r="V490" i="178"/>
  <c r="V138" i="178"/>
  <c r="V943" i="178"/>
  <c r="V1147" i="178"/>
  <c r="V352" i="178"/>
  <c r="U293" i="178"/>
  <c r="U863" i="178"/>
  <c r="V862" i="178"/>
  <c r="U866" i="178"/>
  <c r="U826" i="178"/>
  <c r="V474" i="178"/>
  <c r="V461" i="178"/>
  <c r="V426" i="178"/>
  <c r="U586" i="178"/>
  <c r="V407" i="178"/>
  <c r="U404" i="178"/>
  <c r="V399" i="178"/>
  <c r="U385" i="178"/>
  <c r="V380" i="178"/>
  <c r="U377" i="178"/>
  <c r="V267" i="178"/>
  <c r="U1158" i="178"/>
  <c r="V848" i="178"/>
  <c r="U845" i="178"/>
  <c r="V983" i="178"/>
  <c r="U760" i="178"/>
  <c r="V601" i="178"/>
  <c r="U578" i="178"/>
  <c r="V463" i="178"/>
  <c r="U372" i="178"/>
  <c r="V262" i="178"/>
  <c r="U251" i="178"/>
  <c r="V189" i="178"/>
  <c r="U786" i="178"/>
  <c r="U757" i="178"/>
  <c r="U749" i="178"/>
  <c r="U509" i="178"/>
  <c r="U315" i="178"/>
  <c r="U131" i="178"/>
  <c r="U1183" i="178"/>
  <c r="U1041" i="178"/>
  <c r="U968" i="178"/>
  <c r="U745" i="178"/>
  <c r="U503" i="178"/>
  <c r="V126" i="178"/>
  <c r="U120" i="178"/>
  <c r="V1182" i="178"/>
  <c r="V1015" i="178"/>
  <c r="V658" i="178"/>
  <c r="V159" i="178"/>
  <c r="V922" i="178"/>
  <c r="U485" i="178"/>
  <c r="U636" i="178"/>
  <c r="V803" i="178"/>
  <c r="V1153" i="178"/>
  <c r="V689" i="178"/>
  <c r="U921" i="178"/>
  <c r="V940" i="178"/>
  <c r="U731" i="178"/>
  <c r="U554" i="178"/>
  <c r="V883" i="178"/>
  <c r="U634" i="178"/>
  <c r="V865" i="178"/>
  <c r="U822" i="178"/>
  <c r="V604" i="178"/>
  <c r="V597" i="178"/>
  <c r="V593" i="178"/>
  <c r="V589" i="178"/>
  <c r="U309" i="178"/>
  <c r="U264" i="178"/>
  <c r="U249" i="178"/>
  <c r="U203" i="178"/>
  <c r="U187" i="178"/>
  <c r="V1057" i="178"/>
  <c r="V1016" i="178"/>
  <c r="V772" i="178"/>
  <c r="U898" i="178"/>
  <c r="U353" i="178"/>
  <c r="U920" i="178"/>
  <c r="U415" i="178"/>
  <c r="U734" i="178"/>
  <c r="U663" i="178"/>
  <c r="V732" i="178"/>
  <c r="V908" i="178"/>
  <c r="BB1132" i="178"/>
  <c r="AZ1128" i="178"/>
  <c r="AV1035" i="178"/>
  <c r="BJ962" i="178"/>
  <c r="AT962" i="178"/>
  <c r="BH1108" i="178"/>
  <c r="AR1108" i="178"/>
  <c r="BD1097" i="178"/>
  <c r="AZ894" i="178"/>
  <c r="BG1130" i="178"/>
  <c r="AV938" i="178"/>
  <c r="AT731" i="178"/>
  <c r="AX731" i="178"/>
  <c r="BB731" i="178"/>
  <c r="BF731" i="178"/>
  <c r="BJ731" i="178"/>
  <c r="BK731" i="178"/>
  <c r="AR731" i="178"/>
  <c r="AV731" i="178"/>
  <c r="AZ731" i="178"/>
  <c r="BD731" i="178"/>
  <c r="BH731" i="178"/>
  <c r="BM731" i="178"/>
  <c r="AT915" i="178"/>
  <c r="AX915" i="178"/>
  <c r="BB915" i="178"/>
  <c r="BF915" i="178"/>
  <c r="BJ915" i="178"/>
  <c r="BK915" i="178"/>
  <c r="AR915" i="178"/>
  <c r="AV915" i="178"/>
  <c r="AZ915" i="178"/>
  <c r="BD915" i="178"/>
  <c r="BH915" i="178"/>
  <c r="BM915" i="178"/>
  <c r="AT493" i="178"/>
  <c r="AX493" i="178"/>
  <c r="BB493" i="178"/>
  <c r="BF493" i="178"/>
  <c r="BJ493" i="178"/>
  <c r="BK493" i="178"/>
  <c r="AR493" i="178"/>
  <c r="AV493" i="178"/>
  <c r="AZ493" i="178"/>
  <c r="BD493" i="178"/>
  <c r="BH493" i="178"/>
  <c r="BM493" i="178"/>
  <c r="BK730" i="178"/>
  <c r="AR730" i="178"/>
  <c r="AV730" i="178"/>
  <c r="AZ730" i="178"/>
  <c r="BD730" i="178"/>
  <c r="BH730" i="178"/>
  <c r="BM730" i="178"/>
  <c r="AX730" i="178"/>
  <c r="BB730" i="178"/>
  <c r="BF730" i="178"/>
  <c r="BJ730" i="178"/>
  <c r="AT730" i="178"/>
  <c r="BK551" i="178"/>
  <c r="AR551" i="178"/>
  <c r="AV551" i="178"/>
  <c r="AZ551" i="178"/>
  <c r="BD551" i="178"/>
  <c r="BH551" i="178"/>
  <c r="BM551" i="178"/>
  <c r="BF551" i="178"/>
  <c r="AT551" i="178"/>
  <c r="BJ551" i="178"/>
  <c r="AX551" i="178"/>
  <c r="BB551" i="178"/>
  <c r="BK1099" i="178"/>
  <c r="AR1099" i="178"/>
  <c r="AV1099" i="178"/>
  <c r="AZ1099" i="178"/>
  <c r="BD1099" i="178"/>
  <c r="BH1099" i="178"/>
  <c r="BM1099" i="178"/>
  <c r="BK709" i="178"/>
  <c r="AR709" i="178"/>
  <c r="AV709" i="178"/>
  <c r="AZ709" i="178"/>
  <c r="BD709" i="178"/>
  <c r="BH709" i="178"/>
  <c r="BM709" i="178"/>
  <c r="AX709" i="178"/>
  <c r="BB709" i="178"/>
  <c r="BF709" i="178"/>
  <c r="AT709" i="178"/>
  <c r="BJ709" i="178"/>
  <c r="BK1094" i="178"/>
  <c r="AR1094" i="178"/>
  <c r="AV1094" i="178"/>
  <c r="AZ1094" i="178"/>
  <c r="BD1094" i="178"/>
  <c r="BH1094" i="178"/>
  <c r="BM1094" i="178"/>
  <c r="BF1094" i="178"/>
  <c r="AT1094" i="178"/>
  <c r="BJ1094" i="178"/>
  <c r="AX1094" i="178"/>
  <c r="BB1094" i="178"/>
  <c r="BK629" i="178"/>
  <c r="AR629" i="178"/>
  <c r="AV629" i="178"/>
  <c r="AZ629" i="178"/>
  <c r="BD629" i="178"/>
  <c r="BH629" i="178"/>
  <c r="BM629" i="178"/>
  <c r="AX629" i="178"/>
  <c r="BB629" i="178"/>
  <c r="BF629" i="178"/>
  <c r="AT629" i="178"/>
  <c r="BJ629" i="178"/>
  <c r="BK621" i="178"/>
  <c r="AR621" i="178"/>
  <c r="AV621" i="178"/>
  <c r="AZ621" i="178"/>
  <c r="BD621" i="178"/>
  <c r="BH621" i="178"/>
  <c r="BM621" i="178"/>
  <c r="BF621" i="178"/>
  <c r="AT621" i="178"/>
  <c r="BJ621" i="178"/>
  <c r="AX621" i="178"/>
  <c r="BB621" i="178"/>
  <c r="BK611" i="178"/>
  <c r="AR611" i="178"/>
  <c r="AV611" i="178"/>
  <c r="AZ611" i="178"/>
  <c r="BD611" i="178"/>
  <c r="BH611" i="178"/>
  <c r="BM611" i="178"/>
  <c r="AX611" i="178"/>
  <c r="BB611" i="178"/>
  <c r="BF611" i="178"/>
  <c r="AT611" i="178"/>
  <c r="BJ611" i="178"/>
  <c r="BK599" i="178"/>
  <c r="AR599" i="178"/>
  <c r="AV599" i="178"/>
  <c r="AZ599" i="178"/>
  <c r="BD599" i="178"/>
  <c r="BH599" i="178"/>
  <c r="BM599" i="178"/>
  <c r="BF599" i="178"/>
  <c r="AT599" i="178"/>
  <c r="BJ599" i="178"/>
  <c r="AX599" i="178"/>
  <c r="BB599" i="178"/>
  <c r="BK587" i="178"/>
  <c r="AR587" i="178"/>
  <c r="AV587" i="178"/>
  <c r="AZ587" i="178"/>
  <c r="BD587" i="178"/>
  <c r="BH587" i="178"/>
  <c r="BM587" i="178"/>
  <c r="AT587" i="178"/>
  <c r="BJ587" i="178"/>
  <c r="AX587" i="178"/>
  <c r="BB587" i="178"/>
  <c r="BF587" i="178"/>
  <c r="BK405" i="178"/>
  <c r="AR405" i="178"/>
  <c r="AV405" i="178"/>
  <c r="AZ405" i="178"/>
  <c r="BD405" i="178"/>
  <c r="BH405" i="178"/>
  <c r="BM405" i="178"/>
  <c r="BB405" i="178"/>
  <c r="BF405" i="178"/>
  <c r="AT405" i="178"/>
  <c r="BJ405" i="178"/>
  <c r="AX405" i="178"/>
  <c r="BK401" i="178"/>
  <c r="AR401" i="178"/>
  <c r="AV401" i="178"/>
  <c r="AZ401" i="178"/>
  <c r="BD401" i="178"/>
  <c r="BH401" i="178"/>
  <c r="BM401" i="178"/>
  <c r="AX401" i="178"/>
  <c r="BB401" i="178"/>
  <c r="BF401" i="178"/>
  <c r="AT401" i="178"/>
  <c r="BJ401" i="178"/>
  <c r="BK382" i="178"/>
  <c r="AR382" i="178"/>
  <c r="AV382" i="178"/>
  <c r="AZ382" i="178"/>
  <c r="BD382" i="178"/>
  <c r="BH382" i="178"/>
  <c r="BM382" i="178"/>
  <c r="AX382" i="178"/>
  <c r="BB382" i="178"/>
  <c r="BF382" i="178"/>
  <c r="AT382" i="178"/>
  <c r="BJ382" i="178"/>
  <c r="BK374" i="178"/>
  <c r="AR374" i="178"/>
  <c r="AV374" i="178"/>
  <c r="AZ374" i="178"/>
  <c r="BD374" i="178"/>
  <c r="BH374" i="178"/>
  <c r="BM374" i="178"/>
  <c r="BF374" i="178"/>
  <c r="AT374" i="178"/>
  <c r="BJ374" i="178"/>
  <c r="AX374" i="178"/>
  <c r="BB374" i="178"/>
  <c r="BK982" i="178"/>
  <c r="AR982" i="178"/>
  <c r="AV982" i="178"/>
  <c r="AZ982" i="178"/>
  <c r="BD982" i="178"/>
  <c r="BH982" i="178"/>
  <c r="BM982" i="178"/>
  <c r="AX982" i="178"/>
  <c r="BB982" i="178"/>
  <c r="BF982" i="178"/>
  <c r="AT982" i="178"/>
  <c r="BJ982" i="178"/>
  <c r="BK789" i="178"/>
  <c r="AR789" i="178"/>
  <c r="AV789" i="178"/>
  <c r="AZ789" i="178"/>
  <c r="BD789" i="178"/>
  <c r="BH789" i="178"/>
  <c r="BM789" i="178"/>
  <c r="BF789" i="178"/>
  <c r="AT789" i="178"/>
  <c r="BJ789" i="178"/>
  <c r="AX789" i="178"/>
  <c r="BB789" i="178"/>
  <c r="BK618" i="178"/>
  <c r="AR618" i="178"/>
  <c r="AV618" i="178"/>
  <c r="AZ618" i="178"/>
  <c r="BD618" i="178"/>
  <c r="BH618" i="178"/>
  <c r="BM618" i="178"/>
  <c r="AX618" i="178"/>
  <c r="BB618" i="178"/>
  <c r="BF618" i="178"/>
  <c r="AT618" i="178"/>
  <c r="BJ618" i="178"/>
  <c r="BK505" i="178"/>
  <c r="AR505" i="178"/>
  <c r="AV505" i="178"/>
  <c r="AZ505" i="178"/>
  <c r="BD505" i="178"/>
  <c r="BH505" i="178"/>
  <c r="BM505" i="178"/>
  <c r="BF505" i="178"/>
  <c r="AT505" i="178"/>
  <c r="BJ505" i="178"/>
  <c r="AX505" i="178"/>
  <c r="BB505" i="178"/>
  <c r="BK332" i="178"/>
  <c r="AR332" i="178"/>
  <c r="AV332" i="178"/>
  <c r="AZ332" i="178"/>
  <c r="BD332" i="178"/>
  <c r="BH332" i="178"/>
  <c r="BM332" i="178"/>
  <c r="AX332" i="178"/>
  <c r="BB332" i="178"/>
  <c r="BF332" i="178"/>
  <c r="BJ332" i="178"/>
  <c r="AT332" i="178"/>
  <c r="BK231" i="178"/>
  <c r="AR231" i="178"/>
  <c r="AV231" i="178"/>
  <c r="AZ231" i="178"/>
  <c r="BD231" i="178"/>
  <c r="BH231" i="178"/>
  <c r="BM231" i="178"/>
  <c r="BF231" i="178"/>
  <c r="AT231" i="178"/>
  <c r="BJ231" i="178"/>
  <c r="AX231" i="178"/>
  <c r="BB231" i="178"/>
  <c r="BK37" i="178"/>
  <c r="AR37" i="178"/>
  <c r="AV37" i="178"/>
  <c r="AZ37" i="178"/>
  <c r="BD37" i="178"/>
  <c r="BH37" i="178"/>
  <c r="BM37" i="178"/>
  <c r="AX37" i="178"/>
  <c r="BB37" i="178"/>
  <c r="BF37" i="178"/>
  <c r="AT37" i="178"/>
  <c r="BJ37" i="178"/>
  <c r="BK981" i="178"/>
  <c r="AR981" i="178"/>
  <c r="AV981" i="178"/>
  <c r="AZ981" i="178"/>
  <c r="BD981" i="178"/>
  <c r="BH981" i="178"/>
  <c r="BM981" i="178"/>
  <c r="BF981" i="178"/>
  <c r="AT981" i="178"/>
  <c r="BJ981" i="178"/>
  <c r="AX981" i="178"/>
  <c r="BB981" i="178"/>
  <c r="BK844" i="178"/>
  <c r="AR844" i="178"/>
  <c r="AV844" i="178"/>
  <c r="AZ844" i="178"/>
  <c r="BD844" i="178"/>
  <c r="BH844" i="178"/>
  <c r="BM844" i="178"/>
  <c r="BB844" i="178"/>
  <c r="BF844" i="178"/>
  <c r="AT844" i="178"/>
  <c r="BJ844" i="178"/>
  <c r="AX844" i="178"/>
  <c r="BM834" i="178"/>
  <c r="AT834" i="178"/>
  <c r="AX834" i="178"/>
  <c r="BB834" i="178"/>
  <c r="BF834" i="178"/>
  <c r="BJ834" i="178"/>
  <c r="BK834" i="178"/>
  <c r="AR834" i="178"/>
  <c r="BH834" i="178"/>
  <c r="AV834" i="178"/>
  <c r="AZ834" i="178"/>
  <c r="BD834" i="178"/>
  <c r="BM777" i="178"/>
  <c r="AT777" i="178"/>
  <c r="AX777" i="178"/>
  <c r="BB777" i="178"/>
  <c r="BF777" i="178"/>
  <c r="BJ777" i="178"/>
  <c r="BK777" i="178"/>
  <c r="AZ777" i="178"/>
  <c r="BD777" i="178"/>
  <c r="AR777" i="178"/>
  <c r="BH777" i="178"/>
  <c r="AV777" i="178"/>
  <c r="BM751" i="178"/>
  <c r="AT751" i="178"/>
  <c r="AX751" i="178"/>
  <c r="BB751" i="178"/>
  <c r="BF751" i="178"/>
  <c r="BJ751" i="178"/>
  <c r="BK751" i="178"/>
  <c r="AR751" i="178"/>
  <c r="BH751" i="178"/>
  <c r="AV751" i="178"/>
  <c r="AZ751" i="178"/>
  <c r="BD751" i="178"/>
  <c r="BM660" i="178"/>
  <c r="AT660" i="178"/>
  <c r="AX660" i="178"/>
  <c r="BB660" i="178"/>
  <c r="BF660" i="178"/>
  <c r="BJ660" i="178"/>
  <c r="BK660" i="178"/>
  <c r="BD660" i="178"/>
  <c r="AR660" i="178"/>
  <c r="BH660" i="178"/>
  <c r="AV660" i="178"/>
  <c r="AZ660" i="178"/>
  <c r="BM478" i="178"/>
  <c r="AT478" i="178"/>
  <c r="AX478" i="178"/>
  <c r="BB478" i="178"/>
  <c r="BF478" i="178"/>
  <c r="BJ478" i="178"/>
  <c r="BK478" i="178"/>
  <c r="AV478" i="178"/>
  <c r="AZ478" i="178"/>
  <c r="BD478" i="178"/>
  <c r="AR478" i="178"/>
  <c r="BH478" i="178"/>
  <c r="BM290" i="178"/>
  <c r="AT290" i="178"/>
  <c r="AX290" i="178"/>
  <c r="BB290" i="178"/>
  <c r="BF290" i="178"/>
  <c r="BJ290" i="178"/>
  <c r="BK290" i="178"/>
  <c r="BD290" i="178"/>
  <c r="AR290" i="178"/>
  <c r="BH290" i="178"/>
  <c r="AV290" i="178"/>
  <c r="AZ290" i="178"/>
  <c r="BM76" i="178"/>
  <c r="AT76" i="178"/>
  <c r="AX76" i="178"/>
  <c r="BB76" i="178"/>
  <c r="BF76" i="178"/>
  <c r="BJ76" i="178"/>
  <c r="BK76" i="178"/>
  <c r="AV76" i="178"/>
  <c r="AZ76" i="178"/>
  <c r="BD76" i="178"/>
  <c r="BH76" i="178"/>
  <c r="AR76" i="178"/>
  <c r="BM1157" i="178"/>
  <c r="AT1157" i="178"/>
  <c r="AX1157" i="178"/>
  <c r="BB1157" i="178"/>
  <c r="BF1157" i="178"/>
  <c r="BJ1157" i="178"/>
  <c r="BK1157" i="178"/>
  <c r="BD1157" i="178"/>
  <c r="AR1157" i="178"/>
  <c r="BH1157" i="178"/>
  <c r="AV1157" i="178"/>
  <c r="AZ1157" i="178"/>
  <c r="BM1018" i="178"/>
  <c r="AT1018" i="178"/>
  <c r="AX1018" i="178"/>
  <c r="BB1018" i="178"/>
  <c r="BF1018" i="178"/>
  <c r="BJ1018" i="178"/>
  <c r="BK1018" i="178"/>
  <c r="AV1018" i="178"/>
  <c r="AZ1018" i="178"/>
  <c r="BD1018" i="178"/>
  <c r="AR1018" i="178"/>
  <c r="BH1018" i="178"/>
  <c r="BM950" i="178"/>
  <c r="AT950" i="178"/>
  <c r="AX950" i="178"/>
  <c r="BB950" i="178"/>
  <c r="BF950" i="178"/>
  <c r="BJ950" i="178"/>
  <c r="BK950" i="178"/>
  <c r="BD950" i="178"/>
  <c r="AR950" i="178"/>
  <c r="BH950" i="178"/>
  <c r="AV950" i="178"/>
  <c r="AZ950" i="178"/>
  <c r="BM773" i="178"/>
  <c r="AT773" i="178"/>
  <c r="AX773" i="178"/>
  <c r="BB773" i="178"/>
  <c r="BF773" i="178"/>
  <c r="BJ773" i="178"/>
  <c r="BK773" i="178"/>
  <c r="AV773" i="178"/>
  <c r="AZ773" i="178"/>
  <c r="BD773" i="178"/>
  <c r="AR773" i="178"/>
  <c r="BH773" i="178"/>
  <c r="BM531" i="178"/>
  <c r="AT531" i="178"/>
  <c r="AX531" i="178"/>
  <c r="BB531" i="178"/>
  <c r="BF531" i="178"/>
  <c r="BJ531" i="178"/>
  <c r="BK531" i="178"/>
  <c r="AZ531" i="178"/>
  <c r="BD531" i="178"/>
  <c r="AR531" i="178"/>
  <c r="BH531" i="178"/>
  <c r="AV531" i="178"/>
  <c r="BM426" i="178"/>
  <c r="AT426" i="178"/>
  <c r="AX426" i="178"/>
  <c r="BB426" i="178"/>
  <c r="BF426" i="178"/>
  <c r="BJ426" i="178"/>
  <c r="BK426" i="178"/>
  <c r="AR426" i="178"/>
  <c r="BH426" i="178"/>
  <c r="AV426" i="178"/>
  <c r="AZ426" i="178"/>
  <c r="BD426" i="178"/>
  <c r="AT264" i="178"/>
  <c r="AX264" i="178"/>
  <c r="BB264" i="178"/>
  <c r="BF264" i="178"/>
  <c r="BJ264" i="178"/>
  <c r="BK264" i="178"/>
  <c r="AR264" i="178"/>
  <c r="AV264" i="178"/>
  <c r="AZ264" i="178"/>
  <c r="BD264" i="178"/>
  <c r="BH264" i="178"/>
  <c r="BM264" i="178"/>
  <c r="AT203" i="178"/>
  <c r="AX203" i="178"/>
  <c r="BB203" i="178"/>
  <c r="BF203" i="178"/>
  <c r="BJ203" i="178"/>
  <c r="BK203" i="178"/>
  <c r="AR203" i="178"/>
  <c r="AV203" i="178"/>
  <c r="AZ203" i="178"/>
  <c r="BD203" i="178"/>
  <c r="BH203" i="178"/>
  <c r="BM203" i="178"/>
  <c r="AT124" i="178"/>
  <c r="AX124" i="178"/>
  <c r="BB124" i="178"/>
  <c r="BF124" i="178"/>
  <c r="BJ124" i="178"/>
  <c r="BK124" i="178"/>
  <c r="AR124" i="178"/>
  <c r="AV124" i="178"/>
  <c r="AZ124" i="178"/>
  <c r="BD124" i="178"/>
  <c r="BH124" i="178"/>
  <c r="BM124" i="178"/>
  <c r="AT78" i="178"/>
  <c r="AX78" i="178"/>
  <c r="BB78" i="178"/>
  <c r="BF78" i="178"/>
  <c r="BJ78" i="178"/>
  <c r="BK78" i="178"/>
  <c r="AR78" i="178"/>
  <c r="AV78" i="178"/>
  <c r="AZ78" i="178"/>
  <c r="BD78" i="178"/>
  <c r="BH78" i="178"/>
  <c r="BM78" i="178"/>
  <c r="AT14" i="178"/>
  <c r="AX14" i="178"/>
  <c r="BB14" i="178"/>
  <c r="BF14" i="178"/>
  <c r="BJ14" i="178"/>
  <c r="BK14" i="178"/>
  <c r="AR14" i="178"/>
  <c r="AV14" i="178"/>
  <c r="AZ14" i="178"/>
  <c r="BD14" i="178"/>
  <c r="BH14" i="178"/>
  <c r="BM14" i="178"/>
  <c r="AT1017" i="178"/>
  <c r="AX1017" i="178"/>
  <c r="BB1017" i="178"/>
  <c r="BF1017" i="178"/>
  <c r="BJ1017" i="178"/>
  <c r="BK1017" i="178"/>
  <c r="AR1017" i="178"/>
  <c r="AV1017" i="178"/>
  <c r="AZ1017" i="178"/>
  <c r="BD1017" i="178"/>
  <c r="BH1017" i="178"/>
  <c r="BM1017" i="178"/>
  <c r="AT771" i="178"/>
  <c r="AX771" i="178"/>
  <c r="BB771" i="178"/>
  <c r="BF771" i="178"/>
  <c r="BJ771" i="178"/>
  <c r="BK771" i="178"/>
  <c r="AR771" i="178"/>
  <c r="AV771" i="178"/>
  <c r="AZ771" i="178"/>
  <c r="BD771" i="178"/>
  <c r="BH771" i="178"/>
  <c r="BM771" i="178"/>
  <c r="AT482" i="178"/>
  <c r="AX482" i="178"/>
  <c r="BB482" i="178"/>
  <c r="BF482" i="178"/>
  <c r="BJ482" i="178"/>
  <c r="BK482" i="178"/>
  <c r="AR482" i="178"/>
  <c r="AV482" i="178"/>
  <c r="AZ482" i="178"/>
  <c r="BD482" i="178"/>
  <c r="BH482" i="178"/>
  <c r="BM482" i="178"/>
  <c r="AT202" i="178"/>
  <c r="AX202" i="178"/>
  <c r="BB202" i="178"/>
  <c r="BF202" i="178"/>
  <c r="BJ202" i="178"/>
  <c r="BK202" i="178"/>
  <c r="AR202" i="178"/>
  <c r="AV202" i="178"/>
  <c r="AZ202" i="178"/>
  <c r="BD202" i="178"/>
  <c r="BH202" i="178"/>
  <c r="BM202" i="178"/>
  <c r="AT701" i="178"/>
  <c r="AX701" i="178"/>
  <c r="BB701" i="178"/>
  <c r="BF701" i="178"/>
  <c r="BJ701" i="178"/>
  <c r="BK701" i="178"/>
  <c r="AR701" i="178"/>
  <c r="AV701" i="178"/>
  <c r="AZ701" i="178"/>
  <c r="BD701" i="178"/>
  <c r="BH701" i="178"/>
  <c r="BM701" i="178"/>
  <c r="BK641" i="178"/>
  <c r="AR641" i="178"/>
  <c r="AV641" i="178"/>
  <c r="AZ641" i="178"/>
  <c r="BD641" i="178"/>
  <c r="BH641" i="178"/>
  <c r="BM641" i="178"/>
  <c r="BB641" i="178"/>
  <c r="BF641" i="178"/>
  <c r="AT641" i="178"/>
  <c r="BJ641" i="178"/>
  <c r="AX641" i="178"/>
  <c r="BK138" i="178"/>
  <c r="AR138" i="178"/>
  <c r="AV138" i="178"/>
  <c r="AZ138" i="178"/>
  <c r="BD138" i="178"/>
  <c r="BH138" i="178"/>
  <c r="BM138" i="178"/>
  <c r="AT138" i="178"/>
  <c r="BJ138" i="178"/>
  <c r="AX138" i="178"/>
  <c r="BB138" i="178"/>
  <c r="BF138" i="178"/>
  <c r="BK943" i="178"/>
  <c r="AR943" i="178"/>
  <c r="AV943" i="178"/>
  <c r="AZ943" i="178"/>
  <c r="BD943" i="178"/>
  <c r="BH943" i="178"/>
  <c r="BM943" i="178"/>
  <c r="BB943" i="178"/>
  <c r="BF943" i="178"/>
  <c r="AT943" i="178"/>
  <c r="BJ943" i="178"/>
  <c r="AX943" i="178"/>
  <c r="BK638" i="178"/>
  <c r="AR638" i="178"/>
  <c r="AV638" i="178"/>
  <c r="AZ638" i="178"/>
  <c r="BD638" i="178"/>
  <c r="BH638" i="178"/>
  <c r="BM638" i="178"/>
  <c r="AT638" i="178"/>
  <c r="BJ638" i="178"/>
  <c r="AX638" i="178"/>
  <c r="BB638" i="178"/>
  <c r="BF638" i="178"/>
  <c r="BK685" i="178"/>
  <c r="AR685" i="178"/>
  <c r="AV685" i="178"/>
  <c r="AZ685" i="178"/>
  <c r="BD685" i="178"/>
  <c r="BH685" i="178"/>
  <c r="BM685" i="178"/>
  <c r="BB685" i="178"/>
  <c r="BF685" i="178"/>
  <c r="AT685" i="178"/>
  <c r="BJ685" i="178"/>
  <c r="AX685" i="178"/>
  <c r="BK637" i="178"/>
  <c r="AR637" i="178"/>
  <c r="AV637" i="178"/>
  <c r="AZ637" i="178"/>
  <c r="BD637" i="178"/>
  <c r="BH637" i="178"/>
  <c r="BM637" i="178"/>
  <c r="AT637" i="178"/>
  <c r="BJ637" i="178"/>
  <c r="AX637" i="178"/>
  <c r="BB637" i="178"/>
  <c r="BF637" i="178"/>
  <c r="BK919" i="178"/>
  <c r="AR919" i="178"/>
  <c r="AV919" i="178"/>
  <c r="AZ919" i="178"/>
  <c r="BD919" i="178"/>
  <c r="BH919" i="178"/>
  <c r="BF919" i="178"/>
  <c r="AT919" i="178"/>
  <c r="BJ919" i="178"/>
  <c r="AX919" i="178"/>
  <c r="BM919" i="178"/>
  <c r="BB919" i="178"/>
  <c r="BK295" i="178"/>
  <c r="AR295" i="178"/>
  <c r="AV295" i="178"/>
  <c r="AZ295" i="178"/>
  <c r="BD295" i="178"/>
  <c r="BH295" i="178"/>
  <c r="BM295" i="178"/>
  <c r="AX295" i="178"/>
  <c r="BB295" i="178"/>
  <c r="BF295" i="178"/>
  <c r="AT295" i="178"/>
  <c r="BJ295" i="178"/>
  <c r="BK665" i="178"/>
  <c r="AR665" i="178"/>
  <c r="AV665" i="178"/>
  <c r="AZ665" i="178"/>
  <c r="BD665" i="178"/>
  <c r="BH665" i="178"/>
  <c r="BM665" i="178"/>
  <c r="BB665" i="178"/>
  <c r="BF665" i="178"/>
  <c r="AT665" i="178"/>
  <c r="BJ665" i="178"/>
  <c r="AX665" i="178"/>
  <c r="BL1127" i="178"/>
  <c r="AS1127" i="178"/>
  <c r="AW1127" i="178"/>
  <c r="BA1127" i="178"/>
  <c r="BE1127" i="178"/>
  <c r="BI1127" i="178"/>
  <c r="BN1127" i="178"/>
  <c r="BL1107" i="178"/>
  <c r="BL721" i="178"/>
  <c r="AS721" i="178"/>
  <c r="AW721" i="178"/>
  <c r="BA721" i="178"/>
  <c r="BE721" i="178"/>
  <c r="BI721" i="178"/>
  <c r="BN721" i="178"/>
  <c r="AU721" i="178"/>
  <c r="AY721" i="178"/>
  <c r="BC721" i="178"/>
  <c r="BL1106" i="178"/>
  <c r="AS1106" i="178"/>
  <c r="AW1106" i="178"/>
  <c r="BA1106" i="178"/>
  <c r="BE1106" i="178"/>
  <c r="BI1106" i="178"/>
  <c r="BN1106" i="178"/>
  <c r="AY1106" i="178"/>
  <c r="BC1106" i="178"/>
  <c r="BG1106" i="178"/>
  <c r="AU1106" i="178"/>
  <c r="BL675" i="178"/>
  <c r="AS675" i="178"/>
  <c r="AW675" i="178"/>
  <c r="BA675" i="178"/>
  <c r="BE675" i="178"/>
  <c r="BI675" i="178"/>
  <c r="BN675" i="178"/>
  <c r="BG675" i="178"/>
  <c r="AU675" i="178"/>
  <c r="AY675" i="178"/>
  <c r="BC675" i="178"/>
  <c r="BL1104" i="178"/>
  <c r="AS1104" i="178"/>
  <c r="AW1104" i="178"/>
  <c r="BA1104" i="178"/>
  <c r="BE1104" i="178"/>
  <c r="BI1104" i="178"/>
  <c r="BN1104" i="178"/>
  <c r="AY1104" i="178"/>
  <c r="BC1104" i="178"/>
  <c r="BG1104" i="178"/>
  <c r="AU1104" i="178"/>
  <c r="BL630" i="178"/>
  <c r="AS630" i="178"/>
  <c r="AW630" i="178"/>
  <c r="BA630" i="178"/>
  <c r="BE630" i="178"/>
  <c r="BI630" i="178"/>
  <c r="BN630" i="178"/>
  <c r="BG630" i="178"/>
  <c r="AU630" i="178"/>
  <c r="AY630" i="178"/>
  <c r="BC630" i="178"/>
  <c r="BL624" i="178"/>
  <c r="AS624" i="178"/>
  <c r="AW624" i="178"/>
  <c r="BA624" i="178"/>
  <c r="BE624" i="178"/>
  <c r="BI624" i="178"/>
  <c r="BN624" i="178"/>
  <c r="AY624" i="178"/>
  <c r="BC624" i="178"/>
  <c r="BG624" i="178"/>
  <c r="AU624" i="178"/>
  <c r="BL612" i="178"/>
  <c r="AS612" i="178"/>
  <c r="AW612" i="178"/>
  <c r="BA612" i="178"/>
  <c r="BE612" i="178"/>
  <c r="BI612" i="178"/>
  <c r="BN612" i="178"/>
  <c r="BG612" i="178"/>
  <c r="AU612" i="178"/>
  <c r="AY612" i="178"/>
  <c r="BC612" i="178"/>
  <c r="BL607" i="178"/>
  <c r="AS607" i="178"/>
  <c r="AW607" i="178"/>
  <c r="BA607" i="178"/>
  <c r="BE607" i="178"/>
  <c r="BI607" i="178"/>
  <c r="BN607" i="178"/>
  <c r="BC607" i="178"/>
  <c r="BG607" i="178"/>
  <c r="AU607" i="178"/>
  <c r="AY607" i="178"/>
  <c r="BL596" i="178"/>
  <c r="AS596" i="178"/>
  <c r="AW596" i="178"/>
  <c r="BA596" i="178"/>
  <c r="BE596" i="178"/>
  <c r="BI596" i="178"/>
  <c r="BN596" i="178"/>
  <c r="AU596" i="178"/>
  <c r="AY596" i="178"/>
  <c r="BC596" i="178"/>
  <c r="BG596" i="178"/>
  <c r="BL588" i="178"/>
  <c r="AS588" i="178"/>
  <c r="AW588" i="178"/>
  <c r="BA588" i="178"/>
  <c r="BE588" i="178"/>
  <c r="BI588" i="178"/>
  <c r="BN588" i="178"/>
  <c r="BC588" i="178"/>
  <c r="BG588" i="178"/>
  <c r="AU588" i="178"/>
  <c r="AY588" i="178"/>
  <c r="BL410" i="178"/>
  <c r="AS410" i="178"/>
  <c r="AW410" i="178"/>
  <c r="BA410" i="178"/>
  <c r="BE410" i="178"/>
  <c r="BI410" i="178"/>
  <c r="BN410" i="178"/>
  <c r="AY410" i="178"/>
  <c r="BC410" i="178"/>
  <c r="BG410" i="178"/>
  <c r="AU410" i="178"/>
  <c r="BL403" i="178"/>
  <c r="AS403" i="178"/>
  <c r="AW403" i="178"/>
  <c r="BA403" i="178"/>
  <c r="BE403" i="178"/>
  <c r="BI403" i="178"/>
  <c r="BN403" i="178"/>
  <c r="BG403" i="178"/>
  <c r="AU403" i="178"/>
  <c r="AY403" i="178"/>
  <c r="BC403" i="178"/>
  <c r="BL383" i="178"/>
  <c r="AS383" i="178"/>
  <c r="AW383" i="178"/>
  <c r="BA383" i="178"/>
  <c r="BE383" i="178"/>
  <c r="BI383" i="178"/>
  <c r="BN383" i="178"/>
  <c r="BG383" i="178"/>
  <c r="AU383" i="178"/>
  <c r="AY383" i="178"/>
  <c r="BC383" i="178"/>
  <c r="BL375" i="178"/>
  <c r="AS375" i="178"/>
  <c r="AW375" i="178"/>
  <c r="BA375" i="178"/>
  <c r="BE375" i="178"/>
  <c r="BI375" i="178"/>
  <c r="BN375" i="178"/>
  <c r="AY375" i="178"/>
  <c r="BC375" i="178"/>
  <c r="BG375" i="178"/>
  <c r="AU375" i="178"/>
  <c r="BL1011" i="178"/>
  <c r="AS1011" i="178"/>
  <c r="AW1011" i="178"/>
  <c r="BA1011" i="178"/>
  <c r="BE1011" i="178"/>
  <c r="BI1011" i="178"/>
  <c r="BN1011" i="178"/>
  <c r="BG1011" i="178"/>
  <c r="AU1011" i="178"/>
  <c r="AY1011" i="178"/>
  <c r="BC1011" i="178"/>
  <c r="BL790" i="178"/>
  <c r="AS790" i="178"/>
  <c r="AW790" i="178"/>
  <c r="BA790" i="178"/>
  <c r="BE790" i="178"/>
  <c r="BI790" i="178"/>
  <c r="BN790" i="178"/>
  <c r="AY790" i="178"/>
  <c r="BC790" i="178"/>
  <c r="BG790" i="178"/>
  <c r="AU790" i="178"/>
  <c r="BL619" i="178"/>
  <c r="AS619" i="178"/>
  <c r="AW619" i="178"/>
  <c r="BA619" i="178"/>
  <c r="BE619" i="178"/>
  <c r="BI619" i="178"/>
  <c r="BN619" i="178"/>
  <c r="BG619" i="178"/>
  <c r="AU619" i="178"/>
  <c r="AY619" i="178"/>
  <c r="BC619" i="178"/>
  <c r="BL510" i="178"/>
  <c r="AS510" i="178"/>
  <c r="AW510" i="178"/>
  <c r="BA510" i="178"/>
  <c r="BE510" i="178"/>
  <c r="BI510" i="178"/>
  <c r="BN510" i="178"/>
  <c r="AY510" i="178"/>
  <c r="BC510" i="178"/>
  <c r="BG510" i="178"/>
  <c r="AU510" i="178"/>
  <c r="BL397" i="178"/>
  <c r="AS397" i="178"/>
  <c r="AW397" i="178"/>
  <c r="BA397" i="178"/>
  <c r="BE397" i="178"/>
  <c r="BI397" i="178"/>
  <c r="BN397" i="178"/>
  <c r="AU397" i="178"/>
  <c r="AY397" i="178"/>
  <c r="BC397" i="178"/>
  <c r="BG397" i="178"/>
  <c r="BL476" i="178"/>
  <c r="AS476" i="178"/>
  <c r="AW476" i="178"/>
  <c r="BA476" i="178"/>
  <c r="BE476" i="178"/>
  <c r="BI476" i="178"/>
  <c r="BN476" i="178"/>
  <c r="BC476" i="178"/>
  <c r="BG476" i="178"/>
  <c r="AU476" i="178"/>
  <c r="AY476" i="178"/>
  <c r="BL133" i="178"/>
  <c r="AS133" i="178"/>
  <c r="AW133" i="178"/>
  <c r="BA133" i="178"/>
  <c r="BE133" i="178"/>
  <c r="BI133" i="178"/>
  <c r="BN133" i="178"/>
  <c r="AU133" i="178"/>
  <c r="AY133" i="178"/>
  <c r="BC133" i="178"/>
  <c r="BG133" i="178"/>
  <c r="BL1277" i="178"/>
  <c r="AS1277" i="178"/>
  <c r="AW1277" i="178"/>
  <c r="BA1277" i="178"/>
  <c r="BE1277" i="178"/>
  <c r="BI1277" i="178"/>
  <c r="BN1277" i="178"/>
  <c r="BC1277" i="178"/>
  <c r="BG1277" i="178"/>
  <c r="AU1277" i="178"/>
  <c r="AY1277" i="178"/>
  <c r="BL949" i="178"/>
  <c r="AS949" i="178"/>
  <c r="AW949" i="178"/>
  <c r="BA949" i="178"/>
  <c r="BE949" i="178"/>
  <c r="BI949" i="178"/>
  <c r="BN949" i="178"/>
  <c r="AU949" i="178"/>
  <c r="AY949" i="178"/>
  <c r="BC949" i="178"/>
  <c r="BG949" i="178"/>
  <c r="BL839" i="178"/>
  <c r="AS839" i="178"/>
  <c r="AW839" i="178"/>
  <c r="BA839" i="178"/>
  <c r="BE839" i="178"/>
  <c r="BI839" i="178"/>
  <c r="BN839" i="178"/>
  <c r="BC839" i="178"/>
  <c r="BG839" i="178"/>
  <c r="AU839" i="178"/>
  <c r="AY839" i="178"/>
  <c r="BN785" i="178"/>
  <c r="AU785" i="178"/>
  <c r="AY785" i="178"/>
  <c r="BC785" i="178"/>
  <c r="BG785" i="178"/>
  <c r="BL785" i="178"/>
  <c r="AW785" i="178"/>
  <c r="BA785" i="178"/>
  <c r="BE785" i="178"/>
  <c r="AS785" i="178"/>
  <c r="BI785" i="178"/>
  <c r="BN756" i="178"/>
  <c r="AU756" i="178"/>
  <c r="AY756" i="178"/>
  <c r="BC756" i="178"/>
  <c r="BG756" i="178"/>
  <c r="BL756" i="178"/>
  <c r="BE756" i="178"/>
  <c r="AS756" i="178"/>
  <c r="BI756" i="178"/>
  <c r="AW756" i="178"/>
  <c r="BA756" i="178"/>
  <c r="BN748" i="178"/>
  <c r="AU748" i="178"/>
  <c r="AY748" i="178"/>
  <c r="BC748" i="178"/>
  <c r="BG748" i="178"/>
  <c r="BL748" i="178"/>
  <c r="AW748" i="178"/>
  <c r="BA748" i="178"/>
  <c r="BE748" i="178"/>
  <c r="BI748" i="178"/>
  <c r="AS748" i="178"/>
  <c r="BN462" i="178"/>
  <c r="AU462" i="178"/>
  <c r="AY462" i="178"/>
  <c r="BC462" i="178"/>
  <c r="BG462" i="178"/>
  <c r="BL462" i="178"/>
  <c r="BA462" i="178"/>
  <c r="BE462" i="178"/>
  <c r="AS462" i="178"/>
  <c r="BI462" i="178"/>
  <c r="AW462" i="178"/>
  <c r="BN230" i="178"/>
  <c r="AU230" i="178"/>
  <c r="AY230" i="178"/>
  <c r="BC230" i="178"/>
  <c r="BG230" i="178"/>
  <c r="BL230" i="178"/>
  <c r="AS230" i="178"/>
  <c r="BI230" i="178"/>
  <c r="AW230" i="178"/>
  <c r="BA230" i="178"/>
  <c r="BE230" i="178"/>
  <c r="BN1184" i="178"/>
  <c r="AU1184" i="178"/>
  <c r="AY1184" i="178"/>
  <c r="BC1184" i="178"/>
  <c r="BG1184" i="178"/>
  <c r="BL1184" i="178"/>
  <c r="BA1184" i="178"/>
  <c r="BE1184" i="178"/>
  <c r="AS1184" i="178"/>
  <c r="BI1184" i="178"/>
  <c r="AW1184" i="178"/>
  <c r="BN1044" i="178"/>
  <c r="AU1044" i="178"/>
  <c r="AY1044" i="178"/>
  <c r="BC1044" i="178"/>
  <c r="BG1044" i="178"/>
  <c r="BL1044" i="178"/>
  <c r="AS1044" i="178"/>
  <c r="BI1044" i="178"/>
  <c r="AW1044" i="178"/>
  <c r="BA1044" i="178"/>
  <c r="BE1044" i="178"/>
  <c r="BN978" i="178"/>
  <c r="AU978" i="178"/>
  <c r="AY978" i="178"/>
  <c r="BC978" i="178"/>
  <c r="BG978" i="178"/>
  <c r="BL978" i="178"/>
  <c r="BA978" i="178"/>
  <c r="BE978" i="178"/>
  <c r="AS978" i="178"/>
  <c r="BI978" i="178"/>
  <c r="AW978" i="178"/>
  <c r="BN832" i="178"/>
  <c r="AU832" i="178"/>
  <c r="AY832" i="178"/>
  <c r="BC832" i="178"/>
  <c r="BG832" i="178"/>
  <c r="BL832" i="178"/>
  <c r="AS832" i="178"/>
  <c r="BI832" i="178"/>
  <c r="AW832" i="178"/>
  <c r="BA832" i="178"/>
  <c r="BE832" i="178"/>
  <c r="BN744" i="178"/>
  <c r="AU744" i="178"/>
  <c r="AY744" i="178"/>
  <c r="BC744" i="178"/>
  <c r="BG744" i="178"/>
  <c r="BL744" i="178"/>
  <c r="AW744" i="178"/>
  <c r="BA744" i="178"/>
  <c r="BE744" i="178"/>
  <c r="BI744" i="178"/>
  <c r="AS744" i="178"/>
  <c r="BN483" i="178"/>
  <c r="AU483" i="178"/>
  <c r="AY483" i="178"/>
  <c r="BC483" i="178"/>
  <c r="BG483" i="178"/>
  <c r="BL483" i="178"/>
  <c r="BE483" i="178"/>
  <c r="AS483" i="178"/>
  <c r="BI483" i="178"/>
  <c r="AW483" i="178"/>
  <c r="BA483" i="178"/>
  <c r="BL331" i="178"/>
  <c r="AS331" i="178"/>
  <c r="AW331" i="178"/>
  <c r="BA331" i="178"/>
  <c r="BE331" i="178"/>
  <c r="BI331" i="178"/>
  <c r="AY331" i="178"/>
  <c r="BG331" i="178"/>
  <c r="BN331" i="178"/>
  <c r="AU331" i="178"/>
  <c r="BC331" i="178"/>
  <c r="AU250" i="178"/>
  <c r="AY250" i="178"/>
  <c r="BC250" i="178"/>
  <c r="BG250" i="178"/>
  <c r="BL250" i="178"/>
  <c r="AS250" i="178"/>
  <c r="AW250" i="178"/>
  <c r="BA250" i="178"/>
  <c r="BE250" i="178"/>
  <c r="BI250" i="178"/>
  <c r="BN250" i="178"/>
  <c r="AU125" i="178"/>
  <c r="AY125" i="178"/>
  <c r="BC125" i="178"/>
  <c r="BG125" i="178"/>
  <c r="BL125" i="178"/>
  <c r="AS125" i="178"/>
  <c r="AW125" i="178"/>
  <c r="BA125" i="178"/>
  <c r="BE125" i="178"/>
  <c r="BI125" i="178"/>
  <c r="BN125" i="178"/>
  <c r="AU80" i="178"/>
  <c r="AY80" i="178"/>
  <c r="BC80" i="178"/>
  <c r="BG80" i="178"/>
  <c r="BL80" i="178"/>
  <c r="AS80" i="178"/>
  <c r="AW80" i="178"/>
  <c r="BA80" i="178"/>
  <c r="BE80" i="178"/>
  <c r="BI80" i="178"/>
  <c r="BN80" i="178"/>
  <c r="AU59" i="178"/>
  <c r="AY59" i="178"/>
  <c r="BC59" i="178"/>
  <c r="BG59" i="178"/>
  <c r="BL59" i="178"/>
  <c r="AS59" i="178"/>
  <c r="AW59" i="178"/>
  <c r="BA59" i="178"/>
  <c r="BE59" i="178"/>
  <c r="BI59" i="178"/>
  <c r="BN59" i="178"/>
  <c r="BI1026" i="178"/>
  <c r="AU772" i="178"/>
  <c r="AY772" i="178"/>
  <c r="BC772" i="178"/>
  <c r="BG772" i="178"/>
  <c r="BL772" i="178"/>
  <c r="AS772" i="178"/>
  <c r="AW772" i="178"/>
  <c r="BA772" i="178"/>
  <c r="BE772" i="178"/>
  <c r="BI772" i="178"/>
  <c r="BN772" i="178"/>
  <c r="V486" i="178"/>
  <c r="BC1127" i="178"/>
  <c r="BH1035" i="178"/>
  <c r="BB1099" i="178"/>
  <c r="BH938" i="178"/>
  <c r="AT876" i="178"/>
  <c r="AX876" i="178"/>
  <c r="BB876" i="178"/>
  <c r="BF876" i="178"/>
  <c r="BJ876" i="178"/>
  <c r="BK876" i="178"/>
  <c r="AR876" i="178"/>
  <c r="AV876" i="178"/>
  <c r="AZ876" i="178"/>
  <c r="BD876" i="178"/>
  <c r="BH876" i="178"/>
  <c r="BM876" i="178"/>
  <c r="AT200" i="178"/>
  <c r="AX200" i="178"/>
  <c r="BB200" i="178"/>
  <c r="BF200" i="178"/>
  <c r="BJ200" i="178"/>
  <c r="BK200" i="178"/>
  <c r="AR200" i="178"/>
  <c r="AV200" i="178"/>
  <c r="AZ200" i="178"/>
  <c r="BD200" i="178"/>
  <c r="BH200" i="178"/>
  <c r="BM200" i="178"/>
  <c r="AT579" i="178"/>
  <c r="AX579" i="178"/>
  <c r="BB579" i="178"/>
  <c r="BF579" i="178"/>
  <c r="BJ579" i="178"/>
  <c r="BK579" i="178"/>
  <c r="AR579" i="178"/>
  <c r="AV579" i="178"/>
  <c r="AZ579" i="178"/>
  <c r="BD579" i="178"/>
  <c r="BH579" i="178"/>
  <c r="BM579" i="178"/>
  <c r="BK912" i="178"/>
  <c r="AR912" i="178"/>
  <c r="AV912" i="178"/>
  <c r="AZ912" i="178"/>
  <c r="BD912" i="178"/>
  <c r="BH912" i="178"/>
  <c r="BM912" i="178"/>
  <c r="AT912" i="178"/>
  <c r="BJ912" i="178"/>
  <c r="AX912" i="178"/>
  <c r="BB912" i="178"/>
  <c r="BF912" i="178"/>
  <c r="BK1132" i="178"/>
  <c r="AR1132" i="178"/>
  <c r="AV1132" i="178"/>
  <c r="AZ1132" i="178"/>
  <c r="BD1132" i="178"/>
  <c r="BH1132" i="178"/>
  <c r="BM1132" i="178"/>
  <c r="BK962" i="178"/>
  <c r="AR962" i="178"/>
  <c r="AV962" i="178"/>
  <c r="AZ962" i="178"/>
  <c r="BD962" i="178"/>
  <c r="BH962" i="178"/>
  <c r="BM962" i="178"/>
  <c r="BK697" i="178"/>
  <c r="AR697" i="178"/>
  <c r="AV697" i="178"/>
  <c r="AZ697" i="178"/>
  <c r="BD697" i="178"/>
  <c r="BH697" i="178"/>
  <c r="BM697" i="178"/>
  <c r="BB697" i="178"/>
  <c r="BF697" i="178"/>
  <c r="AT697" i="178"/>
  <c r="BJ697" i="178"/>
  <c r="AX697" i="178"/>
  <c r="BK678" i="178"/>
  <c r="AR678" i="178"/>
  <c r="AV678" i="178"/>
  <c r="AZ678" i="178"/>
  <c r="BD678" i="178"/>
  <c r="BH678" i="178"/>
  <c r="BM678" i="178"/>
  <c r="BB678" i="178"/>
  <c r="BF678" i="178"/>
  <c r="AT678" i="178"/>
  <c r="BJ678" i="178"/>
  <c r="AX678" i="178"/>
  <c r="BK1105" i="178"/>
  <c r="AR1105" i="178"/>
  <c r="AV1105" i="178"/>
  <c r="AZ1105" i="178"/>
  <c r="BD1105" i="178"/>
  <c r="BH1105" i="178"/>
  <c r="BM1105" i="178"/>
  <c r="AT1105" i="178"/>
  <c r="BJ1105" i="178"/>
  <c r="AX1105" i="178"/>
  <c r="BB1105" i="178"/>
  <c r="BF1105" i="178"/>
  <c r="BK1103" i="178"/>
  <c r="AR1103" i="178"/>
  <c r="AV1103" i="178"/>
  <c r="AZ1103" i="178"/>
  <c r="BD1103" i="178"/>
  <c r="BH1103" i="178"/>
  <c r="BM1103" i="178"/>
  <c r="BB1103" i="178"/>
  <c r="BF1103" i="178"/>
  <c r="AT1103" i="178"/>
  <c r="BJ1103" i="178"/>
  <c r="AX1103" i="178"/>
  <c r="BK625" i="178"/>
  <c r="AR625" i="178"/>
  <c r="AV625" i="178"/>
  <c r="AZ625" i="178"/>
  <c r="BD625" i="178"/>
  <c r="BH625" i="178"/>
  <c r="BM625" i="178"/>
  <c r="AT625" i="178"/>
  <c r="BJ625" i="178"/>
  <c r="AX625" i="178"/>
  <c r="BB625" i="178"/>
  <c r="BF625" i="178"/>
  <c r="BK614" i="178"/>
  <c r="AR614" i="178"/>
  <c r="AV614" i="178"/>
  <c r="AZ614" i="178"/>
  <c r="BD614" i="178"/>
  <c r="BH614" i="178"/>
  <c r="BM614" i="178"/>
  <c r="BB614" i="178"/>
  <c r="BF614" i="178"/>
  <c r="AT614" i="178"/>
  <c r="BJ614" i="178"/>
  <c r="AX614" i="178"/>
  <c r="BK606" i="178"/>
  <c r="AR606" i="178"/>
  <c r="AV606" i="178"/>
  <c r="AZ606" i="178"/>
  <c r="BD606" i="178"/>
  <c r="BH606" i="178"/>
  <c r="BM606" i="178"/>
  <c r="AT606" i="178"/>
  <c r="BJ606" i="178"/>
  <c r="AX606" i="178"/>
  <c r="BB606" i="178"/>
  <c r="BF606" i="178"/>
  <c r="BK595" i="178"/>
  <c r="AR595" i="178"/>
  <c r="AV595" i="178"/>
  <c r="AZ595" i="178"/>
  <c r="BD595" i="178"/>
  <c r="BH595" i="178"/>
  <c r="BM595" i="178"/>
  <c r="BB595" i="178"/>
  <c r="BF595" i="178"/>
  <c r="AT595" i="178"/>
  <c r="BJ595" i="178"/>
  <c r="AX595" i="178"/>
  <c r="BK591" i="178"/>
  <c r="AR591" i="178"/>
  <c r="AV591" i="178"/>
  <c r="AZ591" i="178"/>
  <c r="BD591" i="178"/>
  <c r="BH591" i="178"/>
  <c r="BM591" i="178"/>
  <c r="AX591" i="178"/>
  <c r="BB591" i="178"/>
  <c r="BF591" i="178"/>
  <c r="AT591" i="178"/>
  <c r="BJ591" i="178"/>
  <c r="BK409" i="178"/>
  <c r="AR409" i="178"/>
  <c r="AV409" i="178"/>
  <c r="AZ409" i="178"/>
  <c r="BD409" i="178"/>
  <c r="BH409" i="178"/>
  <c r="BM409" i="178"/>
  <c r="BF409" i="178"/>
  <c r="AT409" i="178"/>
  <c r="BJ409" i="178"/>
  <c r="AX409" i="178"/>
  <c r="BB409" i="178"/>
  <c r="AR386" i="178"/>
  <c r="AV386" i="178"/>
  <c r="AZ386" i="178"/>
  <c r="BD386" i="178"/>
  <c r="BH386" i="178"/>
  <c r="BM386" i="178"/>
  <c r="BK386" i="178"/>
  <c r="AX386" i="178"/>
  <c r="BF386" i="178"/>
  <c r="BJ386" i="178"/>
  <c r="AT386" i="178"/>
  <c r="BB386" i="178"/>
  <c r="BK378" i="178"/>
  <c r="AR378" i="178"/>
  <c r="AV378" i="178"/>
  <c r="AZ378" i="178"/>
  <c r="BD378" i="178"/>
  <c r="BH378" i="178"/>
  <c r="BM378" i="178"/>
  <c r="AT378" i="178"/>
  <c r="BJ378" i="178"/>
  <c r="AX378" i="178"/>
  <c r="BB378" i="178"/>
  <c r="BF378" i="178"/>
  <c r="BK1159" i="178"/>
  <c r="AR1159" i="178"/>
  <c r="AV1159" i="178"/>
  <c r="AZ1159" i="178"/>
  <c r="BD1159" i="178"/>
  <c r="BH1159" i="178"/>
  <c r="BM1159" i="178"/>
  <c r="BB1159" i="178"/>
  <c r="BF1159" i="178"/>
  <c r="AT1159" i="178"/>
  <c r="BJ1159" i="178"/>
  <c r="AX1159" i="178"/>
  <c r="BK846" i="178"/>
  <c r="AR846" i="178"/>
  <c r="AV846" i="178"/>
  <c r="AZ846" i="178"/>
  <c r="BD846" i="178"/>
  <c r="BH846" i="178"/>
  <c r="BM846" i="178"/>
  <c r="AT846" i="178"/>
  <c r="BJ846" i="178"/>
  <c r="AX846" i="178"/>
  <c r="BB846" i="178"/>
  <c r="BF846" i="178"/>
  <c r="BK761" i="178"/>
  <c r="AR761" i="178"/>
  <c r="AV761" i="178"/>
  <c r="AZ761" i="178"/>
  <c r="BD761" i="178"/>
  <c r="BH761" i="178"/>
  <c r="BM761" i="178"/>
  <c r="BB761" i="178"/>
  <c r="BF761" i="178"/>
  <c r="AT761" i="178"/>
  <c r="BJ761" i="178"/>
  <c r="AX761" i="178"/>
  <c r="BK584" i="178"/>
  <c r="AR584" i="178"/>
  <c r="AV584" i="178"/>
  <c r="AZ584" i="178"/>
  <c r="BD584" i="178"/>
  <c r="BH584" i="178"/>
  <c r="BM584" i="178"/>
  <c r="AT584" i="178"/>
  <c r="BJ584" i="178"/>
  <c r="AX584" i="178"/>
  <c r="BB584" i="178"/>
  <c r="BF584" i="178"/>
  <c r="BK396" i="178"/>
  <c r="AR396" i="178"/>
  <c r="AV396" i="178"/>
  <c r="AZ396" i="178"/>
  <c r="BD396" i="178"/>
  <c r="BH396" i="178"/>
  <c r="BM396" i="178"/>
  <c r="BB396" i="178"/>
  <c r="BF396" i="178"/>
  <c r="AT396" i="178"/>
  <c r="BJ396" i="178"/>
  <c r="AX396" i="178"/>
  <c r="BK266" i="178"/>
  <c r="AR266" i="178"/>
  <c r="AV266" i="178"/>
  <c r="AZ266" i="178"/>
  <c r="BD266" i="178"/>
  <c r="BH266" i="178"/>
  <c r="BM266" i="178"/>
  <c r="AT266" i="178"/>
  <c r="BJ266" i="178"/>
  <c r="AX266" i="178"/>
  <c r="BB266" i="178"/>
  <c r="BF266" i="178"/>
  <c r="BK129" i="178"/>
  <c r="AR129" i="178"/>
  <c r="AV129" i="178"/>
  <c r="AZ129" i="178"/>
  <c r="BD129" i="178"/>
  <c r="BH129" i="178"/>
  <c r="BM129" i="178"/>
  <c r="BB129" i="178"/>
  <c r="BF129" i="178"/>
  <c r="AT129" i="178"/>
  <c r="BJ129" i="178"/>
  <c r="AX129" i="178"/>
  <c r="BK1187" i="178"/>
  <c r="AR1187" i="178"/>
  <c r="AV1187" i="178"/>
  <c r="AZ1187" i="178"/>
  <c r="BD1187" i="178"/>
  <c r="BH1187" i="178"/>
  <c r="BM1187" i="178"/>
  <c r="AT1187" i="178"/>
  <c r="BJ1187" i="178"/>
  <c r="AX1187" i="178"/>
  <c r="BB1187" i="178"/>
  <c r="BF1187" i="178"/>
  <c r="BK842" i="178"/>
  <c r="AR842" i="178"/>
  <c r="AV842" i="178"/>
  <c r="AZ842" i="178"/>
  <c r="BD842" i="178"/>
  <c r="BH842" i="178"/>
  <c r="BM842" i="178"/>
  <c r="AX842" i="178"/>
  <c r="BB842" i="178"/>
  <c r="BF842" i="178"/>
  <c r="AT842" i="178"/>
  <c r="BJ842" i="178"/>
  <c r="BM838" i="178"/>
  <c r="AT838" i="178"/>
  <c r="AX838" i="178"/>
  <c r="BB838" i="178"/>
  <c r="BF838" i="178"/>
  <c r="BJ838" i="178"/>
  <c r="BK838" i="178"/>
  <c r="AV838" i="178"/>
  <c r="AZ838" i="178"/>
  <c r="BD838" i="178"/>
  <c r="AR838" i="178"/>
  <c r="BH838" i="178"/>
  <c r="BM784" i="178"/>
  <c r="AT784" i="178"/>
  <c r="AX784" i="178"/>
  <c r="BB784" i="178"/>
  <c r="BF784" i="178"/>
  <c r="BJ784" i="178"/>
  <c r="BK784" i="178"/>
  <c r="BD784" i="178"/>
  <c r="AR784" i="178"/>
  <c r="BH784" i="178"/>
  <c r="AV784" i="178"/>
  <c r="AZ784" i="178"/>
  <c r="BM755" i="178"/>
  <c r="AT755" i="178"/>
  <c r="AX755" i="178"/>
  <c r="BB755" i="178"/>
  <c r="BF755" i="178"/>
  <c r="BJ755" i="178"/>
  <c r="BK755" i="178"/>
  <c r="AV755" i="178"/>
  <c r="AZ755" i="178"/>
  <c r="BD755" i="178"/>
  <c r="AR755" i="178"/>
  <c r="BH755" i="178"/>
  <c r="BM577" i="178"/>
  <c r="AT577" i="178"/>
  <c r="AX577" i="178"/>
  <c r="BB577" i="178"/>
  <c r="BF577" i="178"/>
  <c r="BJ577" i="178"/>
  <c r="BK577" i="178"/>
  <c r="AZ577" i="178"/>
  <c r="BD577" i="178"/>
  <c r="AR577" i="178"/>
  <c r="BH577" i="178"/>
  <c r="AV577" i="178"/>
  <c r="BM395" i="178"/>
  <c r="AT395" i="178"/>
  <c r="AX395" i="178"/>
  <c r="BB395" i="178"/>
  <c r="BF395" i="178"/>
  <c r="BJ395" i="178"/>
  <c r="BK395" i="178"/>
  <c r="AR395" i="178"/>
  <c r="BH395" i="178"/>
  <c r="AV395" i="178"/>
  <c r="AZ395" i="178"/>
  <c r="BD395" i="178"/>
  <c r="BM204" i="178"/>
  <c r="AT204" i="178"/>
  <c r="AX204" i="178"/>
  <c r="BB204" i="178"/>
  <c r="BF204" i="178"/>
  <c r="BJ204" i="178"/>
  <c r="BK204" i="178"/>
  <c r="AZ204" i="178"/>
  <c r="BD204" i="178"/>
  <c r="AR204" i="178"/>
  <c r="BH204" i="178"/>
  <c r="AV204" i="178"/>
  <c r="BM1186" i="178"/>
  <c r="AT1186" i="178"/>
  <c r="AX1186" i="178"/>
  <c r="BB1186" i="178"/>
  <c r="BF1186" i="178"/>
  <c r="BJ1186" i="178"/>
  <c r="BK1186" i="178"/>
  <c r="AR1186" i="178"/>
  <c r="BH1186" i="178"/>
  <c r="AV1186" i="178"/>
  <c r="AZ1186" i="178"/>
  <c r="BD1186" i="178"/>
  <c r="BM1043" i="178"/>
  <c r="AT1043" i="178"/>
  <c r="AX1043" i="178"/>
  <c r="BB1043" i="178"/>
  <c r="BF1043" i="178"/>
  <c r="BJ1043" i="178"/>
  <c r="BK1043" i="178"/>
  <c r="AZ1043" i="178"/>
  <c r="BD1043" i="178"/>
  <c r="AR1043" i="178"/>
  <c r="BH1043" i="178"/>
  <c r="AV1043" i="178"/>
  <c r="BM977" i="178"/>
  <c r="AT977" i="178"/>
  <c r="AX977" i="178"/>
  <c r="BB977" i="178"/>
  <c r="BF977" i="178"/>
  <c r="BJ977" i="178"/>
  <c r="BK977" i="178"/>
  <c r="AR977" i="178"/>
  <c r="BH977" i="178"/>
  <c r="AV977" i="178"/>
  <c r="AZ977" i="178"/>
  <c r="BD977" i="178"/>
  <c r="BM831" i="178"/>
  <c r="AT831" i="178"/>
  <c r="AX831" i="178"/>
  <c r="BB831" i="178"/>
  <c r="BF831" i="178"/>
  <c r="BJ831" i="178"/>
  <c r="BK831" i="178"/>
  <c r="AZ831" i="178"/>
  <c r="BD831" i="178"/>
  <c r="AR831" i="178"/>
  <c r="BH831" i="178"/>
  <c r="AV831" i="178"/>
  <c r="BM747" i="178"/>
  <c r="AT747" i="178"/>
  <c r="AX747" i="178"/>
  <c r="BB747" i="178"/>
  <c r="BF747" i="178"/>
  <c r="BJ747" i="178"/>
  <c r="BK747" i="178"/>
  <c r="AR747" i="178"/>
  <c r="BH747" i="178"/>
  <c r="AV747" i="178"/>
  <c r="AZ747" i="178"/>
  <c r="BD747" i="178"/>
  <c r="BM474" i="178"/>
  <c r="AT474" i="178"/>
  <c r="AX474" i="178"/>
  <c r="BB474" i="178"/>
  <c r="BF474" i="178"/>
  <c r="BJ474" i="178"/>
  <c r="BK474" i="178"/>
  <c r="AV474" i="178"/>
  <c r="AZ474" i="178"/>
  <c r="BD474" i="178"/>
  <c r="AR474" i="178"/>
  <c r="BH474" i="178"/>
  <c r="BK330" i="178"/>
  <c r="AR330" i="178"/>
  <c r="AV330" i="178"/>
  <c r="AZ330" i="178"/>
  <c r="BD330" i="178"/>
  <c r="BH330" i="178"/>
  <c r="BM330" i="178"/>
  <c r="AX330" i="178"/>
  <c r="BF330" i="178"/>
  <c r="BB330" i="178"/>
  <c r="BJ330" i="178"/>
  <c r="AT330" i="178"/>
  <c r="AT249" i="178"/>
  <c r="AX249" i="178"/>
  <c r="BB249" i="178"/>
  <c r="BF249" i="178"/>
  <c r="BJ249" i="178"/>
  <c r="BK249" i="178"/>
  <c r="AR249" i="178"/>
  <c r="AV249" i="178"/>
  <c r="AZ249" i="178"/>
  <c r="BD249" i="178"/>
  <c r="BH249" i="178"/>
  <c r="BM249" i="178"/>
  <c r="AT187" i="178"/>
  <c r="AX187" i="178"/>
  <c r="BB187" i="178"/>
  <c r="BF187" i="178"/>
  <c r="BJ187" i="178"/>
  <c r="BK187" i="178"/>
  <c r="AR187" i="178"/>
  <c r="AV187" i="178"/>
  <c r="AZ187" i="178"/>
  <c r="BD187" i="178"/>
  <c r="BH187" i="178"/>
  <c r="BM187" i="178"/>
  <c r="AT120" i="178"/>
  <c r="AX120" i="178"/>
  <c r="BB120" i="178"/>
  <c r="BF120" i="178"/>
  <c r="BJ120" i="178"/>
  <c r="BK120" i="178"/>
  <c r="AR120" i="178"/>
  <c r="AV120" i="178"/>
  <c r="AZ120" i="178"/>
  <c r="BD120" i="178"/>
  <c r="BH120" i="178"/>
  <c r="BM120" i="178"/>
  <c r="AT55" i="178"/>
  <c r="AX55" i="178"/>
  <c r="BB55" i="178"/>
  <c r="BF55" i="178"/>
  <c r="BJ55" i="178"/>
  <c r="BK55" i="178"/>
  <c r="AR55" i="178"/>
  <c r="AV55" i="178"/>
  <c r="AZ55" i="178"/>
  <c r="BD55" i="178"/>
  <c r="BH55" i="178"/>
  <c r="BM55" i="178"/>
  <c r="AT1058" i="178"/>
  <c r="AX1058" i="178"/>
  <c r="BB1058" i="178"/>
  <c r="BF1058" i="178"/>
  <c r="BJ1058" i="178"/>
  <c r="BK1058" i="178"/>
  <c r="AR1058" i="178"/>
  <c r="AV1058" i="178"/>
  <c r="AZ1058" i="178"/>
  <c r="BD1058" i="178"/>
  <c r="BH1058" i="178"/>
  <c r="BM1058" i="178"/>
  <c r="AT1009" i="178"/>
  <c r="AX1009" i="178"/>
  <c r="BB1009" i="178"/>
  <c r="BF1009" i="178"/>
  <c r="BJ1009" i="178"/>
  <c r="BK1009" i="178"/>
  <c r="AR1009" i="178"/>
  <c r="AV1009" i="178"/>
  <c r="AZ1009" i="178"/>
  <c r="BD1009" i="178"/>
  <c r="BH1009" i="178"/>
  <c r="BM1009" i="178"/>
  <c r="AT667" i="178"/>
  <c r="AX667" i="178"/>
  <c r="BB667" i="178"/>
  <c r="BF667" i="178"/>
  <c r="BJ667" i="178"/>
  <c r="BK667" i="178"/>
  <c r="AR667" i="178"/>
  <c r="AV667" i="178"/>
  <c r="AZ667" i="178"/>
  <c r="BD667" i="178"/>
  <c r="BH667" i="178"/>
  <c r="BM667" i="178"/>
  <c r="AT424" i="178"/>
  <c r="AX424" i="178"/>
  <c r="BB424" i="178"/>
  <c r="BF424" i="178"/>
  <c r="BJ424" i="178"/>
  <c r="BK424" i="178"/>
  <c r="AR424" i="178"/>
  <c r="AV424" i="178"/>
  <c r="AZ424" i="178"/>
  <c r="BD424" i="178"/>
  <c r="BH424" i="178"/>
  <c r="BM424" i="178"/>
  <c r="AT1051" i="178"/>
  <c r="AX1051" i="178"/>
  <c r="BB1051" i="178"/>
  <c r="BF1051" i="178"/>
  <c r="BJ1051" i="178"/>
  <c r="BK1051" i="178"/>
  <c r="AR1051" i="178"/>
  <c r="AV1051" i="178"/>
  <c r="AZ1051" i="178"/>
  <c r="BD1051" i="178"/>
  <c r="BH1051" i="178"/>
  <c r="BM1051" i="178"/>
  <c r="AT364" i="178"/>
  <c r="AX364" i="178"/>
  <c r="BB364" i="178"/>
  <c r="BF364" i="178"/>
  <c r="BJ364" i="178"/>
  <c r="BK364" i="178"/>
  <c r="AR364" i="178"/>
  <c r="AV364" i="178"/>
  <c r="AZ364" i="178"/>
  <c r="BD364" i="178"/>
  <c r="BH364" i="178"/>
  <c r="BM364" i="178"/>
  <c r="BK809" i="178"/>
  <c r="AR809" i="178"/>
  <c r="AV809" i="178"/>
  <c r="AZ809" i="178"/>
  <c r="BD809" i="178"/>
  <c r="BH809" i="178"/>
  <c r="BM809" i="178"/>
  <c r="BF809" i="178"/>
  <c r="AT809" i="178"/>
  <c r="BJ809" i="178"/>
  <c r="AX809" i="178"/>
  <c r="BB809" i="178"/>
  <c r="BK137" i="178"/>
  <c r="AR137" i="178"/>
  <c r="AV137" i="178"/>
  <c r="AZ137" i="178"/>
  <c r="BD137" i="178"/>
  <c r="BH137" i="178"/>
  <c r="BM137" i="178"/>
  <c r="AX137" i="178"/>
  <c r="BB137" i="178"/>
  <c r="BF137" i="178"/>
  <c r="AT137" i="178"/>
  <c r="BJ137" i="178"/>
  <c r="BK944" i="178"/>
  <c r="AR944" i="178"/>
  <c r="AV944" i="178"/>
  <c r="AZ944" i="178"/>
  <c r="BD944" i="178"/>
  <c r="BH944" i="178"/>
  <c r="BM944" i="178"/>
  <c r="BF944" i="178"/>
  <c r="AT944" i="178"/>
  <c r="BJ944" i="178"/>
  <c r="AX944" i="178"/>
  <c r="BB944" i="178"/>
  <c r="BK392" i="178"/>
  <c r="AR392" i="178"/>
  <c r="AV392" i="178"/>
  <c r="AZ392" i="178"/>
  <c r="BD392" i="178"/>
  <c r="BH392" i="178"/>
  <c r="BM392" i="178"/>
  <c r="AX392" i="178"/>
  <c r="BB392" i="178"/>
  <c r="BF392" i="178"/>
  <c r="BJ392" i="178"/>
  <c r="AT392" i="178"/>
  <c r="BK136" i="178"/>
  <c r="AR136" i="178"/>
  <c r="AV136" i="178"/>
  <c r="AZ136" i="178"/>
  <c r="BD136" i="178"/>
  <c r="BH136" i="178"/>
  <c r="BM136" i="178"/>
  <c r="BF136" i="178"/>
  <c r="AT136" i="178"/>
  <c r="BJ136" i="178"/>
  <c r="AX136" i="178"/>
  <c r="BB136" i="178"/>
  <c r="BK487" i="178"/>
  <c r="AR487" i="178"/>
  <c r="AV487" i="178"/>
  <c r="AZ487" i="178"/>
  <c r="BD487" i="178"/>
  <c r="BH487" i="178"/>
  <c r="BM487" i="178"/>
  <c r="AX487" i="178"/>
  <c r="BB487" i="178"/>
  <c r="BF487" i="178"/>
  <c r="AT487" i="178"/>
  <c r="BJ487" i="178"/>
  <c r="BK860" i="178"/>
  <c r="AR860" i="178"/>
  <c r="AV860" i="178"/>
  <c r="AZ860" i="178"/>
  <c r="BD860" i="178"/>
  <c r="BH860" i="178"/>
  <c r="BM860" i="178"/>
  <c r="AT860" i="178"/>
  <c r="BJ860" i="178"/>
  <c r="AX860" i="178"/>
  <c r="BB860" i="178"/>
  <c r="BF860" i="178"/>
  <c r="BK175" i="178"/>
  <c r="AR175" i="178"/>
  <c r="AV175" i="178"/>
  <c r="AZ175" i="178"/>
  <c r="BD175" i="178"/>
  <c r="BH175" i="178"/>
  <c r="BM175" i="178"/>
  <c r="BF175" i="178"/>
  <c r="AT175" i="178"/>
  <c r="BJ175" i="178"/>
  <c r="AX175" i="178"/>
  <c r="BB175" i="178"/>
  <c r="BL632" i="178"/>
  <c r="AS632" i="178"/>
  <c r="AW632" i="178"/>
  <c r="BA632" i="178"/>
  <c r="BE632" i="178"/>
  <c r="BI632" i="178"/>
  <c r="BN632" i="178"/>
  <c r="AU632" i="178"/>
  <c r="AY632" i="178"/>
  <c r="BC632" i="178"/>
  <c r="BG632" i="178"/>
  <c r="BL1130" i="178"/>
  <c r="AS1130" i="178"/>
  <c r="AW1130" i="178"/>
  <c r="BA1130" i="178"/>
  <c r="BE1130" i="178"/>
  <c r="BI1130" i="178"/>
  <c r="BN1130" i="178"/>
  <c r="BL715" i="178"/>
  <c r="AS715" i="178"/>
  <c r="AW715" i="178"/>
  <c r="BA715" i="178"/>
  <c r="BE715" i="178"/>
  <c r="BI715" i="178"/>
  <c r="BN715" i="178"/>
  <c r="BG715" i="178"/>
  <c r="AU715" i="178"/>
  <c r="AY715" i="178"/>
  <c r="BC715" i="178"/>
  <c r="BL1089" i="178"/>
  <c r="AS1089" i="178"/>
  <c r="AW1089" i="178"/>
  <c r="BA1089" i="178"/>
  <c r="BE1089" i="178"/>
  <c r="BI1089" i="178"/>
  <c r="BN1089" i="178"/>
  <c r="BC1089" i="178"/>
  <c r="BG1089" i="178"/>
  <c r="AU1089" i="178"/>
  <c r="AY1089" i="178"/>
  <c r="BL363" i="178"/>
  <c r="AS363" i="178"/>
  <c r="AW363" i="178"/>
  <c r="BA363" i="178"/>
  <c r="BE363" i="178"/>
  <c r="BI363" i="178"/>
  <c r="BN363" i="178"/>
  <c r="AU363" i="178"/>
  <c r="AY363" i="178"/>
  <c r="BC363" i="178"/>
  <c r="BG363" i="178"/>
  <c r="BL1109" i="178"/>
  <c r="AS1109" i="178"/>
  <c r="AW1109" i="178"/>
  <c r="BA1109" i="178"/>
  <c r="BE1109" i="178"/>
  <c r="BI1109" i="178"/>
  <c r="BN1109" i="178"/>
  <c r="AU1109" i="178"/>
  <c r="AY1109" i="178"/>
  <c r="BC1109" i="178"/>
  <c r="BG1109" i="178"/>
  <c r="BL626" i="178"/>
  <c r="AS626" i="178"/>
  <c r="AW626" i="178"/>
  <c r="BA626" i="178"/>
  <c r="BE626" i="178"/>
  <c r="BI626" i="178"/>
  <c r="BN626" i="178"/>
  <c r="BC626" i="178"/>
  <c r="BG626" i="178"/>
  <c r="AU626" i="178"/>
  <c r="AY626" i="178"/>
  <c r="BL615" i="178"/>
  <c r="AS615" i="178"/>
  <c r="AW615" i="178"/>
  <c r="BA615" i="178"/>
  <c r="BE615" i="178"/>
  <c r="BI615" i="178"/>
  <c r="BN615" i="178"/>
  <c r="AU615" i="178"/>
  <c r="AY615" i="178"/>
  <c r="BC615" i="178"/>
  <c r="BG615" i="178"/>
  <c r="BL603" i="178"/>
  <c r="AS603" i="178"/>
  <c r="AW603" i="178"/>
  <c r="BA603" i="178"/>
  <c r="BE603" i="178"/>
  <c r="BI603" i="178"/>
  <c r="BN603" i="178"/>
  <c r="AY603" i="178"/>
  <c r="BC603" i="178"/>
  <c r="BG603" i="178"/>
  <c r="AU603" i="178"/>
  <c r="BL592" i="178"/>
  <c r="AS592" i="178"/>
  <c r="AW592" i="178"/>
  <c r="BA592" i="178"/>
  <c r="BE592" i="178"/>
  <c r="BI592" i="178"/>
  <c r="BN592" i="178"/>
  <c r="BG592" i="178"/>
  <c r="AU592" i="178"/>
  <c r="AY592" i="178"/>
  <c r="BC592" i="178"/>
  <c r="BL406" i="178"/>
  <c r="AS406" i="178"/>
  <c r="AW406" i="178"/>
  <c r="BA406" i="178"/>
  <c r="BE406" i="178"/>
  <c r="BI406" i="178"/>
  <c r="BN406" i="178"/>
  <c r="AU406" i="178"/>
  <c r="AY406" i="178"/>
  <c r="BC406" i="178"/>
  <c r="BG406" i="178"/>
  <c r="AS398" i="178"/>
  <c r="AW398" i="178"/>
  <c r="BA398" i="178"/>
  <c r="BE398" i="178"/>
  <c r="BI398" i="178"/>
  <c r="BN398" i="178"/>
  <c r="BL398" i="178"/>
  <c r="AY398" i="178"/>
  <c r="BG398" i="178"/>
  <c r="AU398" i="178"/>
  <c r="BC398" i="178"/>
  <c r="BL379" i="178"/>
  <c r="AS379" i="178"/>
  <c r="AW379" i="178"/>
  <c r="BA379" i="178"/>
  <c r="BE379" i="178"/>
  <c r="BI379" i="178"/>
  <c r="BN379" i="178"/>
  <c r="BC379" i="178"/>
  <c r="BG379" i="178"/>
  <c r="AU379" i="178"/>
  <c r="AY379" i="178"/>
  <c r="BL1188" i="178"/>
  <c r="AS1188" i="178"/>
  <c r="AW1188" i="178"/>
  <c r="BA1188" i="178"/>
  <c r="BE1188" i="178"/>
  <c r="BI1188" i="178"/>
  <c r="BN1188" i="178"/>
  <c r="AU1188" i="178"/>
  <c r="AY1188" i="178"/>
  <c r="BC1188" i="178"/>
  <c r="BG1188" i="178"/>
  <c r="BL847" i="178"/>
  <c r="AS847" i="178"/>
  <c r="AW847" i="178"/>
  <c r="BA847" i="178"/>
  <c r="BE847" i="178"/>
  <c r="BI847" i="178"/>
  <c r="BN847" i="178"/>
  <c r="BC847" i="178"/>
  <c r="BG847" i="178"/>
  <c r="AU847" i="178"/>
  <c r="AY847" i="178"/>
  <c r="BL788" i="178"/>
  <c r="AS788" i="178"/>
  <c r="AW788" i="178"/>
  <c r="BA788" i="178"/>
  <c r="BE788" i="178"/>
  <c r="BI788" i="178"/>
  <c r="BN788" i="178"/>
  <c r="AU788" i="178"/>
  <c r="AY788" i="178"/>
  <c r="BC788" i="178"/>
  <c r="BG788" i="178"/>
  <c r="BL585" i="178"/>
  <c r="AS585" i="178"/>
  <c r="AW585" i="178"/>
  <c r="BA585" i="178"/>
  <c r="BE585" i="178"/>
  <c r="BI585" i="178"/>
  <c r="BN585" i="178"/>
  <c r="BC585" i="178"/>
  <c r="BG585" i="178"/>
  <c r="AU585" i="178"/>
  <c r="AY585" i="178"/>
  <c r="BL335" i="178"/>
  <c r="AS335" i="178"/>
  <c r="AW335" i="178"/>
  <c r="BA335" i="178"/>
  <c r="BE335" i="178"/>
  <c r="BI335" i="178"/>
  <c r="BN335" i="178"/>
  <c r="BG335" i="178"/>
  <c r="AU335" i="178"/>
  <c r="AY335" i="178"/>
  <c r="BC335" i="178"/>
  <c r="BL232" i="178"/>
  <c r="AS232" i="178"/>
  <c r="AW232" i="178"/>
  <c r="BA232" i="178"/>
  <c r="BE232" i="178"/>
  <c r="BI232" i="178"/>
  <c r="BN232" i="178"/>
  <c r="AY232" i="178"/>
  <c r="BC232" i="178"/>
  <c r="BG232" i="178"/>
  <c r="AU232" i="178"/>
  <c r="BL843" i="178"/>
  <c r="AS843" i="178"/>
  <c r="AW843" i="178"/>
  <c r="BA843" i="178"/>
  <c r="BE843" i="178"/>
  <c r="BI843" i="178"/>
  <c r="BN843" i="178"/>
  <c r="BG843" i="178"/>
  <c r="AU843" i="178"/>
  <c r="AY843" i="178"/>
  <c r="BC843" i="178"/>
  <c r="BN835" i="178"/>
  <c r="AU835" i="178"/>
  <c r="AY835" i="178"/>
  <c r="BC835" i="178"/>
  <c r="BG835" i="178"/>
  <c r="BL835" i="178"/>
  <c r="BA835" i="178"/>
  <c r="BE835" i="178"/>
  <c r="AS835" i="178"/>
  <c r="BI835" i="178"/>
  <c r="AW835" i="178"/>
  <c r="BN778" i="178"/>
  <c r="AU778" i="178"/>
  <c r="AY778" i="178"/>
  <c r="BC778" i="178"/>
  <c r="BG778" i="178"/>
  <c r="BL778" i="178"/>
  <c r="AS778" i="178"/>
  <c r="BI778" i="178"/>
  <c r="AW778" i="178"/>
  <c r="BA778" i="178"/>
  <c r="BE778" i="178"/>
  <c r="BN752" i="178"/>
  <c r="AU752" i="178"/>
  <c r="AY752" i="178"/>
  <c r="BC752" i="178"/>
  <c r="BG752" i="178"/>
  <c r="BL752" i="178"/>
  <c r="BA752" i="178"/>
  <c r="BE752" i="178"/>
  <c r="AS752" i="178"/>
  <c r="BI752" i="178"/>
  <c r="AW752" i="178"/>
  <c r="BN583" i="178"/>
  <c r="AU583" i="178"/>
  <c r="AY583" i="178"/>
  <c r="BC583" i="178"/>
  <c r="BG583" i="178"/>
  <c r="BL583" i="178"/>
  <c r="AS583" i="178"/>
  <c r="BI583" i="178"/>
  <c r="AW583" i="178"/>
  <c r="BA583" i="178"/>
  <c r="BE583" i="178"/>
  <c r="BN504" i="178"/>
  <c r="AU504" i="178"/>
  <c r="AY504" i="178"/>
  <c r="BC504" i="178"/>
  <c r="BG504" i="178"/>
  <c r="BL504" i="178"/>
  <c r="BE504" i="178"/>
  <c r="AS504" i="178"/>
  <c r="BI504" i="178"/>
  <c r="AW504" i="178"/>
  <c r="BA504" i="178"/>
  <c r="BN311" i="178"/>
  <c r="AU311" i="178"/>
  <c r="AY311" i="178"/>
  <c r="BC311" i="178"/>
  <c r="BG311" i="178"/>
  <c r="BL311" i="178"/>
  <c r="AW311" i="178"/>
  <c r="BA311" i="178"/>
  <c r="BE311" i="178"/>
  <c r="AS311" i="178"/>
  <c r="BI311" i="178"/>
  <c r="BN127" i="178"/>
  <c r="AU127" i="178"/>
  <c r="AY127" i="178"/>
  <c r="BC127" i="178"/>
  <c r="BG127" i="178"/>
  <c r="BL127" i="178"/>
  <c r="BE127" i="178"/>
  <c r="AS127" i="178"/>
  <c r="BI127" i="178"/>
  <c r="AW127" i="178"/>
  <c r="BA127" i="178"/>
  <c r="BN1155" i="178"/>
  <c r="AU1155" i="178"/>
  <c r="AY1155" i="178"/>
  <c r="BC1155" i="178"/>
  <c r="BG1155" i="178"/>
  <c r="BL1155" i="178"/>
  <c r="AW1155" i="178"/>
  <c r="BA1155" i="178"/>
  <c r="BE1155" i="178"/>
  <c r="AS1155" i="178"/>
  <c r="BI1155" i="178"/>
  <c r="BN1019" i="178"/>
  <c r="AU1019" i="178"/>
  <c r="AY1019" i="178"/>
  <c r="BC1019" i="178"/>
  <c r="BG1019" i="178"/>
  <c r="BL1019" i="178"/>
  <c r="BE1019" i="178"/>
  <c r="AS1019" i="178"/>
  <c r="BI1019" i="178"/>
  <c r="AW1019" i="178"/>
  <c r="BA1019" i="178"/>
  <c r="BN967" i="178"/>
  <c r="AU967" i="178"/>
  <c r="AY967" i="178"/>
  <c r="BC967" i="178"/>
  <c r="BG967" i="178"/>
  <c r="BL967" i="178"/>
  <c r="AW967" i="178"/>
  <c r="BA967" i="178"/>
  <c r="BE967" i="178"/>
  <c r="AS967" i="178"/>
  <c r="BI967" i="178"/>
  <c r="BN776" i="178"/>
  <c r="AU776" i="178"/>
  <c r="AY776" i="178"/>
  <c r="BC776" i="178"/>
  <c r="BG776" i="178"/>
  <c r="BL776" i="178"/>
  <c r="BE776" i="178"/>
  <c r="AS776" i="178"/>
  <c r="BI776" i="178"/>
  <c r="AW776" i="178"/>
  <c r="BA776" i="178"/>
  <c r="BN535" i="178"/>
  <c r="AU535" i="178"/>
  <c r="AY535" i="178"/>
  <c r="BC535" i="178"/>
  <c r="BG535" i="178"/>
  <c r="BL535" i="178"/>
  <c r="AS535" i="178"/>
  <c r="BI535" i="178"/>
  <c r="AW535" i="178"/>
  <c r="BA535" i="178"/>
  <c r="BE535" i="178"/>
  <c r="BN434" i="178"/>
  <c r="AU434" i="178"/>
  <c r="AY434" i="178"/>
  <c r="BC434" i="178"/>
  <c r="BG434" i="178"/>
  <c r="BL434" i="178"/>
  <c r="BA434" i="178"/>
  <c r="BE434" i="178"/>
  <c r="AS434" i="178"/>
  <c r="BI434" i="178"/>
  <c r="AW434" i="178"/>
  <c r="AU265" i="178"/>
  <c r="AY265" i="178"/>
  <c r="BC265" i="178"/>
  <c r="BG265" i="178"/>
  <c r="BL265" i="178"/>
  <c r="AS265" i="178"/>
  <c r="AW265" i="178"/>
  <c r="BA265" i="178"/>
  <c r="BE265" i="178"/>
  <c r="BI265" i="178"/>
  <c r="BN265" i="178"/>
  <c r="AU229" i="178"/>
  <c r="AY229" i="178"/>
  <c r="BC229" i="178"/>
  <c r="BG229" i="178"/>
  <c r="BL229" i="178"/>
  <c r="AS229" i="178"/>
  <c r="AW229" i="178"/>
  <c r="BA229" i="178"/>
  <c r="BE229" i="178"/>
  <c r="BI229" i="178"/>
  <c r="BN229" i="178"/>
  <c r="AU188" i="178"/>
  <c r="AY188" i="178"/>
  <c r="BC188" i="178"/>
  <c r="BG188" i="178"/>
  <c r="BL188" i="178"/>
  <c r="AS188" i="178"/>
  <c r="AW188" i="178"/>
  <c r="BA188" i="178"/>
  <c r="BE188" i="178"/>
  <c r="BI188" i="178"/>
  <c r="BN188" i="178"/>
  <c r="AU121" i="178"/>
  <c r="AY121" i="178"/>
  <c r="BC121" i="178"/>
  <c r="BG121" i="178"/>
  <c r="BL121" i="178"/>
  <c r="AS121" i="178"/>
  <c r="AW121" i="178"/>
  <c r="BA121" i="178"/>
  <c r="BE121" i="178"/>
  <c r="BI121" i="178"/>
  <c r="BN121" i="178"/>
  <c r="AU15" i="178"/>
  <c r="AY15" i="178"/>
  <c r="BC15" i="178"/>
  <c r="BG15" i="178"/>
  <c r="BL15" i="178"/>
  <c r="AS15" i="178"/>
  <c r="AW15" i="178"/>
  <c r="BA15" i="178"/>
  <c r="BE15" i="178"/>
  <c r="BI15" i="178"/>
  <c r="BN15" i="178"/>
  <c r="AU972" i="178"/>
  <c r="AU742" i="178"/>
  <c r="AY742" i="178"/>
  <c r="BC742" i="178"/>
  <c r="BG742" i="178"/>
  <c r="BL742" i="178"/>
  <c r="AS742" i="178"/>
  <c r="AW742" i="178"/>
  <c r="BA742" i="178"/>
  <c r="BE742" i="178"/>
  <c r="BI742" i="178"/>
  <c r="BN742" i="178"/>
  <c r="AU530" i="178"/>
  <c r="BE530" i="178"/>
  <c r="AU228" i="178"/>
  <c r="AY228" i="178"/>
  <c r="BC228" i="178"/>
  <c r="BG228" i="178"/>
  <c r="BL228" i="178"/>
  <c r="AS228" i="178"/>
  <c r="AW228" i="178"/>
  <c r="BA228" i="178"/>
  <c r="BE228" i="178"/>
  <c r="BI228" i="178"/>
  <c r="BN228" i="178"/>
  <c r="AY144" i="178"/>
  <c r="BG144" i="178"/>
  <c r="AS144" i="178"/>
  <c r="BA144" i="178"/>
  <c r="BI144" i="178"/>
  <c r="AU159" i="178"/>
  <c r="AY159" i="178"/>
  <c r="BC159" i="178"/>
  <c r="BG159" i="178"/>
  <c r="BL159" i="178"/>
  <c r="AS159" i="178"/>
  <c r="AW159" i="178"/>
  <c r="BA159" i="178"/>
  <c r="BE159" i="178"/>
  <c r="BI159" i="178"/>
  <c r="BN159" i="178"/>
  <c r="BL924" i="178"/>
  <c r="AS924" i="178"/>
  <c r="AW924" i="178"/>
  <c r="BA924" i="178"/>
  <c r="BE924" i="178"/>
  <c r="BI924" i="178"/>
  <c r="BN924" i="178"/>
  <c r="AU924" i="178"/>
  <c r="AY924" i="178"/>
  <c r="BC924" i="178"/>
  <c r="BG924" i="178"/>
  <c r="BL490" i="178"/>
  <c r="AS490" i="178"/>
  <c r="AW490" i="178"/>
  <c r="BA490" i="178"/>
  <c r="BE490" i="178"/>
  <c r="BI490" i="178"/>
  <c r="BN490" i="178"/>
  <c r="BG490" i="178"/>
  <c r="AU490" i="178"/>
  <c r="AY490" i="178"/>
  <c r="BC490" i="178"/>
  <c r="BL489" i="178"/>
  <c r="AS489" i="178"/>
  <c r="AW489" i="178"/>
  <c r="BA489" i="178"/>
  <c r="BE489" i="178"/>
  <c r="BI489" i="178"/>
  <c r="BN489" i="178"/>
  <c r="BG489" i="178"/>
  <c r="AU489" i="178"/>
  <c r="AY489" i="178"/>
  <c r="BC489" i="178"/>
  <c r="BL921" i="178"/>
  <c r="AS921" i="178"/>
  <c r="AW921" i="178"/>
  <c r="BA921" i="178"/>
  <c r="BE921" i="178"/>
  <c r="BI921" i="178"/>
  <c r="BN921" i="178"/>
  <c r="BC921" i="178"/>
  <c r="BG921" i="178"/>
  <c r="AU921" i="178"/>
  <c r="AY921" i="178"/>
  <c r="BL898" i="178"/>
  <c r="AS898" i="178"/>
  <c r="AW898" i="178"/>
  <c r="BA898" i="178"/>
  <c r="BE898" i="178"/>
  <c r="BI898" i="178"/>
  <c r="BN898" i="178"/>
  <c r="AU898" i="178"/>
  <c r="AY898" i="178"/>
  <c r="BC898" i="178"/>
  <c r="BG898" i="178"/>
  <c r="BL920" i="178"/>
  <c r="AS920" i="178"/>
  <c r="AW920" i="178"/>
  <c r="BA920" i="178"/>
  <c r="BE920" i="178"/>
  <c r="BI920" i="178"/>
  <c r="BN920" i="178"/>
  <c r="BC920" i="178"/>
  <c r="BG920" i="178"/>
  <c r="AU920" i="178"/>
  <c r="AY920" i="178"/>
  <c r="BL940" i="178"/>
  <c r="AS940" i="178"/>
  <c r="AW940" i="178"/>
  <c r="BA940" i="178"/>
  <c r="BE940" i="178"/>
  <c r="BI940" i="178"/>
  <c r="BN940" i="178"/>
  <c r="AY940" i="178"/>
  <c r="BC940" i="178"/>
  <c r="BG940" i="178"/>
  <c r="AU940" i="178"/>
  <c r="BL559" i="178"/>
  <c r="AS559" i="178"/>
  <c r="AW559" i="178"/>
  <c r="BA559" i="178"/>
  <c r="BE559" i="178"/>
  <c r="BI559" i="178"/>
  <c r="BN559" i="178"/>
  <c r="BG559" i="178"/>
  <c r="AU559" i="178"/>
  <c r="AY559" i="178"/>
  <c r="BC559" i="178"/>
  <c r="BL177" i="178"/>
  <c r="AS177" i="178"/>
  <c r="AW177" i="178"/>
  <c r="BA177" i="178"/>
  <c r="BE177" i="178"/>
  <c r="BI177" i="178"/>
  <c r="BN177" i="178"/>
  <c r="AY177" i="178"/>
  <c r="BC177" i="178"/>
  <c r="BG177" i="178"/>
  <c r="AU177" i="178"/>
  <c r="BL866" i="178"/>
  <c r="AS866" i="178"/>
  <c r="AW866" i="178"/>
  <c r="BA866" i="178"/>
  <c r="BE866" i="178"/>
  <c r="BI866" i="178"/>
  <c r="BN866" i="178"/>
  <c r="AU866" i="178"/>
  <c r="AY866" i="178"/>
  <c r="BC866" i="178"/>
  <c r="BG866" i="178"/>
  <c r="BN871" i="178"/>
  <c r="AU871" i="178"/>
  <c r="AY871" i="178"/>
  <c r="BC871" i="178"/>
  <c r="BG871" i="178"/>
  <c r="BL871" i="178"/>
  <c r="AS871" i="178"/>
  <c r="BI871" i="178"/>
  <c r="AW871" i="178"/>
  <c r="BA871" i="178"/>
  <c r="BE871" i="178"/>
  <c r="S731" i="178"/>
  <c r="S876" i="178"/>
  <c r="S915" i="178"/>
  <c r="S200" i="178"/>
  <c r="S579" i="178"/>
  <c r="S493" i="178"/>
  <c r="S730" i="178"/>
  <c r="S912" i="178"/>
  <c r="S551" i="178"/>
  <c r="BM827" i="178"/>
  <c r="AT827" i="178"/>
  <c r="AX827" i="178"/>
  <c r="BB827" i="178"/>
  <c r="BF827" i="178"/>
  <c r="BJ827" i="178"/>
  <c r="BK827" i="178"/>
  <c r="AZ827" i="178"/>
  <c r="BD827" i="178"/>
  <c r="AR827" i="178"/>
  <c r="BH827" i="178"/>
  <c r="AV827" i="178"/>
  <c r="BM727" i="178"/>
  <c r="AT727" i="178"/>
  <c r="AX727" i="178"/>
  <c r="BB727" i="178"/>
  <c r="BF727" i="178"/>
  <c r="BJ727" i="178"/>
  <c r="BK727" i="178"/>
  <c r="AV727" i="178"/>
  <c r="AZ727" i="178"/>
  <c r="BD727" i="178"/>
  <c r="AR727" i="178"/>
  <c r="BH727" i="178"/>
  <c r="BM825" i="178"/>
  <c r="AT825" i="178"/>
  <c r="AX825" i="178"/>
  <c r="BB825" i="178"/>
  <c r="BF825" i="178"/>
  <c r="BJ825" i="178"/>
  <c r="BK825" i="178"/>
  <c r="AR825" i="178"/>
  <c r="BH825" i="178"/>
  <c r="AV825" i="178"/>
  <c r="AZ825" i="178"/>
  <c r="BD825" i="178"/>
  <c r="BM907" i="178"/>
  <c r="AT907" i="178"/>
  <c r="AX907" i="178"/>
  <c r="BB907" i="178"/>
  <c r="BF907" i="178"/>
  <c r="BJ907" i="178"/>
  <c r="BK907" i="178"/>
  <c r="BD907" i="178"/>
  <c r="AR907" i="178"/>
  <c r="BH907" i="178"/>
  <c r="AV907" i="178"/>
  <c r="AZ907" i="178"/>
  <c r="BM662" i="178"/>
  <c r="AT662" i="178"/>
  <c r="AX662" i="178"/>
  <c r="BB662" i="178"/>
  <c r="BF662" i="178"/>
  <c r="BJ662" i="178"/>
  <c r="BK662" i="178"/>
  <c r="AZ662" i="178"/>
  <c r="BD662" i="178"/>
  <c r="AR662" i="178"/>
  <c r="BH662" i="178"/>
  <c r="AV662" i="178"/>
  <c r="BM412" i="178"/>
  <c r="AT412" i="178"/>
  <c r="AX412" i="178"/>
  <c r="BB412" i="178"/>
  <c r="BF412" i="178"/>
  <c r="BJ412" i="178"/>
  <c r="BK412" i="178"/>
  <c r="AV412" i="178"/>
  <c r="AZ412" i="178"/>
  <c r="BD412" i="178"/>
  <c r="AR412" i="178"/>
  <c r="BH412" i="178"/>
  <c r="AT427" i="178"/>
  <c r="AX427" i="178"/>
  <c r="BB427" i="178"/>
  <c r="BF427" i="178"/>
  <c r="AR427" i="178"/>
  <c r="AV427" i="178"/>
  <c r="AZ427" i="178"/>
  <c r="BD427" i="178"/>
  <c r="BH427" i="178"/>
  <c r="BM427" i="178"/>
  <c r="BJ427" i="178"/>
  <c r="BK427" i="178"/>
  <c r="AT724" i="178"/>
  <c r="AX724" i="178"/>
  <c r="BB724" i="178"/>
  <c r="BF724" i="178"/>
  <c r="BJ724" i="178"/>
  <c r="BK724" i="178"/>
  <c r="AR724" i="178"/>
  <c r="AV724" i="178"/>
  <c r="AZ724" i="178"/>
  <c r="BD724" i="178"/>
  <c r="BH724" i="178"/>
  <c r="BM724" i="178"/>
  <c r="AT904" i="178"/>
  <c r="AX904" i="178"/>
  <c r="BB904" i="178"/>
  <c r="BF904" i="178"/>
  <c r="BJ904" i="178"/>
  <c r="BK904" i="178"/>
  <c r="AR904" i="178"/>
  <c r="AV904" i="178"/>
  <c r="AZ904" i="178"/>
  <c r="BD904" i="178"/>
  <c r="BH904" i="178"/>
  <c r="BM904" i="178"/>
  <c r="AT197" i="178"/>
  <c r="AX197" i="178"/>
  <c r="BB197" i="178"/>
  <c r="BF197" i="178"/>
  <c r="BJ197" i="178"/>
  <c r="BK197" i="178"/>
  <c r="AR197" i="178"/>
  <c r="AV197" i="178"/>
  <c r="AZ197" i="178"/>
  <c r="BD197" i="178"/>
  <c r="BH197" i="178"/>
  <c r="BM197" i="178"/>
  <c r="AT1129" i="178"/>
  <c r="AX1129" i="178"/>
  <c r="BB1129" i="178"/>
  <c r="BF1129" i="178"/>
  <c r="BJ1129" i="178"/>
  <c r="BK1129" i="178"/>
  <c r="AR1129" i="178"/>
  <c r="AV1129" i="178"/>
  <c r="AZ1129" i="178"/>
  <c r="BD1129" i="178"/>
  <c r="BH1129" i="178"/>
  <c r="AT1126" i="178"/>
  <c r="AX1126" i="178"/>
  <c r="BB1126" i="178"/>
  <c r="BF1126" i="178"/>
  <c r="BJ1126" i="178"/>
  <c r="BK1126" i="178"/>
  <c r="AR1126" i="178"/>
  <c r="AV1126" i="178"/>
  <c r="AZ1126" i="178"/>
  <c r="BD1126" i="178"/>
  <c r="BH1126" i="178"/>
  <c r="AT958" i="178"/>
  <c r="AX958" i="178"/>
  <c r="BB958" i="178"/>
  <c r="BF958" i="178"/>
  <c r="BJ958" i="178"/>
  <c r="BK958" i="178"/>
  <c r="AR958" i="178"/>
  <c r="AV958" i="178"/>
  <c r="AZ958" i="178"/>
  <c r="BD958" i="178"/>
  <c r="BH958" i="178"/>
  <c r="AT1098" i="178"/>
  <c r="AX1098" i="178"/>
  <c r="BB1098" i="178"/>
  <c r="BF1098" i="178"/>
  <c r="BJ1098" i="178"/>
  <c r="BK1098" i="178"/>
  <c r="AR1098" i="178"/>
  <c r="AV1098" i="178"/>
  <c r="AZ1098" i="178"/>
  <c r="BD1098" i="178"/>
  <c r="BH1098" i="178"/>
  <c r="AT695" i="178"/>
  <c r="AX695" i="178"/>
  <c r="BB695" i="178"/>
  <c r="BF695" i="178"/>
  <c r="BJ695" i="178"/>
  <c r="BK695" i="178"/>
  <c r="AR695" i="178"/>
  <c r="AV695" i="178"/>
  <c r="AZ695" i="178"/>
  <c r="BD695" i="178"/>
  <c r="BH695" i="178"/>
  <c r="BM695" i="178"/>
  <c r="AT707" i="178"/>
  <c r="AX707" i="178"/>
  <c r="BB707" i="178"/>
  <c r="BF707" i="178"/>
  <c r="BJ707" i="178"/>
  <c r="BK707" i="178"/>
  <c r="AR707" i="178"/>
  <c r="AV707" i="178"/>
  <c r="AZ707" i="178"/>
  <c r="BD707" i="178"/>
  <c r="BH707" i="178"/>
  <c r="BM707" i="178"/>
  <c r="AT679" i="178"/>
  <c r="AX679" i="178"/>
  <c r="BB679" i="178"/>
  <c r="BF679" i="178"/>
  <c r="BJ679" i="178"/>
  <c r="BK679" i="178"/>
  <c r="AR679" i="178"/>
  <c r="AV679" i="178"/>
  <c r="AZ679" i="178"/>
  <c r="BD679" i="178"/>
  <c r="BH679" i="178"/>
  <c r="BM679" i="178"/>
  <c r="AT677" i="178"/>
  <c r="AX677" i="178"/>
  <c r="BB677" i="178"/>
  <c r="BF677" i="178"/>
  <c r="BJ677" i="178"/>
  <c r="BK677" i="178"/>
  <c r="AR677" i="178"/>
  <c r="AV677" i="178"/>
  <c r="AZ677" i="178"/>
  <c r="BD677" i="178"/>
  <c r="BH677" i="178"/>
  <c r="BM677" i="178"/>
  <c r="AT1095" i="178"/>
  <c r="AX1095" i="178"/>
  <c r="BB1095" i="178"/>
  <c r="BF1095" i="178"/>
  <c r="BJ1095" i="178"/>
  <c r="BK1095" i="178"/>
  <c r="AR1095" i="178"/>
  <c r="AV1095" i="178"/>
  <c r="AZ1095" i="178"/>
  <c r="BD1095" i="178"/>
  <c r="BH1095" i="178"/>
  <c r="BM1095" i="178"/>
  <c r="AT1111" i="178"/>
  <c r="AX1111" i="178"/>
  <c r="BB1111" i="178"/>
  <c r="BF1111" i="178"/>
  <c r="BJ1111" i="178"/>
  <c r="BK1111" i="178"/>
  <c r="AR1111" i="178"/>
  <c r="AV1111" i="178"/>
  <c r="AZ1111" i="178"/>
  <c r="BD1111" i="178"/>
  <c r="BH1111" i="178"/>
  <c r="BM1111" i="178"/>
  <c r="AT1102" i="178"/>
  <c r="AX1102" i="178"/>
  <c r="BB1102" i="178"/>
  <c r="BF1102" i="178"/>
  <c r="BJ1102" i="178"/>
  <c r="BK1102" i="178"/>
  <c r="AR1102" i="178"/>
  <c r="AV1102" i="178"/>
  <c r="AZ1102" i="178"/>
  <c r="BD1102" i="178"/>
  <c r="BH1102" i="178"/>
  <c r="BM1102" i="178"/>
  <c r="AT628" i="178"/>
  <c r="AX628" i="178"/>
  <c r="BB628" i="178"/>
  <c r="BF628" i="178"/>
  <c r="BJ628" i="178"/>
  <c r="BK628" i="178"/>
  <c r="AR628" i="178"/>
  <c r="AV628" i="178"/>
  <c r="AZ628" i="178"/>
  <c r="BD628" i="178"/>
  <c r="BH628" i="178"/>
  <c r="BM628" i="178"/>
  <c r="AT623" i="178"/>
  <c r="AX623" i="178"/>
  <c r="BB623" i="178"/>
  <c r="BF623" i="178"/>
  <c r="BJ623" i="178"/>
  <c r="BK623" i="178"/>
  <c r="AR623" i="178"/>
  <c r="AV623" i="178"/>
  <c r="AZ623" i="178"/>
  <c r="BD623" i="178"/>
  <c r="BH623" i="178"/>
  <c r="BM623" i="178"/>
  <c r="AT620" i="178"/>
  <c r="AX620" i="178"/>
  <c r="BB620" i="178"/>
  <c r="BF620" i="178"/>
  <c r="BJ620" i="178"/>
  <c r="BK620" i="178"/>
  <c r="AR620" i="178"/>
  <c r="AV620" i="178"/>
  <c r="AZ620" i="178"/>
  <c r="BD620" i="178"/>
  <c r="BH620" i="178"/>
  <c r="BM620" i="178"/>
  <c r="AT613" i="178"/>
  <c r="AX613" i="178"/>
  <c r="BB613" i="178"/>
  <c r="BF613" i="178"/>
  <c r="BJ613" i="178"/>
  <c r="BK613" i="178"/>
  <c r="AR613" i="178"/>
  <c r="AV613" i="178"/>
  <c r="AZ613" i="178"/>
  <c r="BD613" i="178"/>
  <c r="BH613" i="178"/>
  <c r="BM613" i="178"/>
  <c r="AT609" i="178"/>
  <c r="AX609" i="178"/>
  <c r="BB609" i="178"/>
  <c r="BF609" i="178"/>
  <c r="BJ609" i="178"/>
  <c r="BK609" i="178"/>
  <c r="AR609" i="178"/>
  <c r="AV609" i="178"/>
  <c r="AZ609" i="178"/>
  <c r="BD609" i="178"/>
  <c r="BH609" i="178"/>
  <c r="BM609" i="178"/>
  <c r="AT605" i="178"/>
  <c r="AX605" i="178"/>
  <c r="BB605" i="178"/>
  <c r="BF605" i="178"/>
  <c r="BJ605" i="178"/>
  <c r="BK605" i="178"/>
  <c r="AR605" i="178"/>
  <c r="AV605" i="178"/>
  <c r="AZ605" i="178"/>
  <c r="BD605" i="178"/>
  <c r="BH605" i="178"/>
  <c r="BM605" i="178"/>
  <c r="AT598" i="178"/>
  <c r="AX598" i="178"/>
  <c r="BB598" i="178"/>
  <c r="BF598" i="178"/>
  <c r="BJ598" i="178"/>
  <c r="BK598" i="178"/>
  <c r="AR598" i="178"/>
  <c r="AV598" i="178"/>
  <c r="AZ598" i="178"/>
  <c r="BD598" i="178"/>
  <c r="BH598" i="178"/>
  <c r="BM598" i="178"/>
  <c r="AT594" i="178"/>
  <c r="AX594" i="178"/>
  <c r="BB594" i="178"/>
  <c r="BF594" i="178"/>
  <c r="BJ594" i="178"/>
  <c r="BK594" i="178"/>
  <c r="AR594" i="178"/>
  <c r="AV594" i="178"/>
  <c r="AZ594" i="178"/>
  <c r="BD594" i="178"/>
  <c r="BH594" i="178"/>
  <c r="BM594" i="178"/>
  <c r="AT590" i="178"/>
  <c r="AX590" i="178"/>
  <c r="BB590" i="178"/>
  <c r="BF590" i="178"/>
  <c r="BJ590" i="178"/>
  <c r="BK590" i="178"/>
  <c r="AR590" i="178"/>
  <c r="AV590" i="178"/>
  <c r="AZ590" i="178"/>
  <c r="BD590" i="178"/>
  <c r="BH590" i="178"/>
  <c r="BM590" i="178"/>
  <c r="AT586" i="178"/>
  <c r="AX586" i="178"/>
  <c r="BB586" i="178"/>
  <c r="BF586" i="178"/>
  <c r="BJ586" i="178"/>
  <c r="BK586" i="178"/>
  <c r="AR586" i="178"/>
  <c r="AV586" i="178"/>
  <c r="AZ586" i="178"/>
  <c r="BD586" i="178"/>
  <c r="BH586" i="178"/>
  <c r="BM586" i="178"/>
  <c r="AT408" i="178"/>
  <c r="AX408" i="178"/>
  <c r="BB408" i="178"/>
  <c r="BF408" i="178"/>
  <c r="BJ408" i="178"/>
  <c r="BK408" i="178"/>
  <c r="AR408" i="178"/>
  <c r="AV408" i="178"/>
  <c r="AZ408" i="178"/>
  <c r="BD408" i="178"/>
  <c r="BH408" i="178"/>
  <c r="BM408" i="178"/>
  <c r="AT404" i="178"/>
  <c r="AX404" i="178"/>
  <c r="BB404" i="178"/>
  <c r="BF404" i="178"/>
  <c r="BJ404" i="178"/>
  <c r="BK404" i="178"/>
  <c r="AR404" i="178"/>
  <c r="AV404" i="178"/>
  <c r="AZ404" i="178"/>
  <c r="BD404" i="178"/>
  <c r="BH404" i="178"/>
  <c r="BM404" i="178"/>
  <c r="AT400" i="178"/>
  <c r="AX400" i="178"/>
  <c r="BB400" i="178"/>
  <c r="BF400" i="178"/>
  <c r="BJ400" i="178"/>
  <c r="BK400" i="178"/>
  <c r="AR400" i="178"/>
  <c r="AV400" i="178"/>
  <c r="AZ400" i="178"/>
  <c r="BD400" i="178"/>
  <c r="BH400" i="178"/>
  <c r="BM400" i="178"/>
  <c r="AT385" i="178"/>
  <c r="AX385" i="178"/>
  <c r="BB385" i="178"/>
  <c r="BF385" i="178"/>
  <c r="BJ385" i="178"/>
  <c r="BK385" i="178"/>
  <c r="AR385" i="178"/>
  <c r="AV385" i="178"/>
  <c r="AZ385" i="178"/>
  <c r="BD385" i="178"/>
  <c r="BH385" i="178"/>
  <c r="BM385" i="178"/>
  <c r="AT381" i="178"/>
  <c r="AX381" i="178"/>
  <c r="BB381" i="178"/>
  <c r="BF381" i="178"/>
  <c r="BJ381" i="178"/>
  <c r="BK381" i="178"/>
  <c r="AR381" i="178"/>
  <c r="AV381" i="178"/>
  <c r="AZ381" i="178"/>
  <c r="BD381" i="178"/>
  <c r="BH381" i="178"/>
  <c r="BM381" i="178"/>
  <c r="AT377" i="178"/>
  <c r="AX377" i="178"/>
  <c r="BB377" i="178"/>
  <c r="BF377" i="178"/>
  <c r="BJ377" i="178"/>
  <c r="BK377" i="178"/>
  <c r="AR377" i="178"/>
  <c r="AV377" i="178"/>
  <c r="AZ377" i="178"/>
  <c r="BD377" i="178"/>
  <c r="BH377" i="178"/>
  <c r="BM377" i="178"/>
  <c r="AT373" i="178"/>
  <c r="AX373" i="178"/>
  <c r="BB373" i="178"/>
  <c r="BF373" i="178"/>
  <c r="BJ373" i="178"/>
  <c r="BK373" i="178"/>
  <c r="AR373" i="178"/>
  <c r="AV373" i="178"/>
  <c r="AZ373" i="178"/>
  <c r="BD373" i="178"/>
  <c r="BH373" i="178"/>
  <c r="BM373" i="178"/>
  <c r="AT1158" i="178"/>
  <c r="AX1158" i="178"/>
  <c r="BB1158" i="178"/>
  <c r="BF1158" i="178"/>
  <c r="BJ1158" i="178"/>
  <c r="BK1158" i="178"/>
  <c r="AR1158" i="178"/>
  <c r="AV1158" i="178"/>
  <c r="AZ1158" i="178"/>
  <c r="BD1158" i="178"/>
  <c r="BH1158" i="178"/>
  <c r="BM1158" i="178"/>
  <c r="AT947" i="178"/>
  <c r="AX947" i="178"/>
  <c r="BB947" i="178"/>
  <c r="BF947" i="178"/>
  <c r="BJ947" i="178"/>
  <c r="BK947" i="178"/>
  <c r="AR947" i="178"/>
  <c r="AV947" i="178"/>
  <c r="AZ947" i="178"/>
  <c r="BD947" i="178"/>
  <c r="BH947" i="178"/>
  <c r="BM947" i="178"/>
  <c r="AT845" i="178"/>
  <c r="AX845" i="178"/>
  <c r="BB845" i="178"/>
  <c r="BF845" i="178"/>
  <c r="BJ845" i="178"/>
  <c r="BK845" i="178"/>
  <c r="AR845" i="178"/>
  <c r="AV845" i="178"/>
  <c r="AZ845" i="178"/>
  <c r="BD845" i="178"/>
  <c r="BH845" i="178"/>
  <c r="BM845" i="178"/>
  <c r="AT762" i="178"/>
  <c r="AX762" i="178"/>
  <c r="BB762" i="178"/>
  <c r="BF762" i="178"/>
  <c r="BJ762" i="178"/>
  <c r="BK762" i="178"/>
  <c r="AR762" i="178"/>
  <c r="AV762" i="178"/>
  <c r="AZ762" i="178"/>
  <c r="BD762" i="178"/>
  <c r="BH762" i="178"/>
  <c r="BM762" i="178"/>
  <c r="AT760" i="178"/>
  <c r="AX760" i="178"/>
  <c r="BB760" i="178"/>
  <c r="BF760" i="178"/>
  <c r="BJ760" i="178"/>
  <c r="BK760" i="178"/>
  <c r="AR760" i="178"/>
  <c r="AV760" i="178"/>
  <c r="AZ760" i="178"/>
  <c r="BD760" i="178"/>
  <c r="BH760" i="178"/>
  <c r="BM760" i="178"/>
  <c r="AT602" i="178"/>
  <c r="AX602" i="178"/>
  <c r="BB602" i="178"/>
  <c r="BF602" i="178"/>
  <c r="BJ602" i="178"/>
  <c r="BK602" i="178"/>
  <c r="AR602" i="178"/>
  <c r="AV602" i="178"/>
  <c r="AZ602" i="178"/>
  <c r="BD602" i="178"/>
  <c r="BH602" i="178"/>
  <c r="BM602" i="178"/>
  <c r="AT578" i="178"/>
  <c r="AX578" i="178"/>
  <c r="BB578" i="178"/>
  <c r="BF578" i="178"/>
  <c r="BJ578" i="178"/>
  <c r="BK578" i="178"/>
  <c r="AR578" i="178"/>
  <c r="AV578" i="178"/>
  <c r="AZ578" i="178"/>
  <c r="BD578" i="178"/>
  <c r="BH578" i="178"/>
  <c r="BM578" i="178"/>
  <c r="AT471" i="178"/>
  <c r="AX471" i="178"/>
  <c r="BB471" i="178"/>
  <c r="BF471" i="178"/>
  <c r="BJ471" i="178"/>
  <c r="BK471" i="178"/>
  <c r="AR471" i="178"/>
  <c r="AV471" i="178"/>
  <c r="AZ471" i="178"/>
  <c r="BD471" i="178"/>
  <c r="BH471" i="178"/>
  <c r="BM471" i="178"/>
  <c r="AT372" i="178"/>
  <c r="AX372" i="178"/>
  <c r="BB372" i="178"/>
  <c r="BF372" i="178"/>
  <c r="BJ372" i="178"/>
  <c r="BK372" i="178"/>
  <c r="AR372" i="178"/>
  <c r="AV372" i="178"/>
  <c r="AZ372" i="178"/>
  <c r="BD372" i="178"/>
  <c r="BH372" i="178"/>
  <c r="BM372" i="178"/>
  <c r="AT312" i="178"/>
  <c r="AX312" i="178"/>
  <c r="BB312" i="178"/>
  <c r="BF312" i="178"/>
  <c r="BJ312" i="178"/>
  <c r="BK312" i="178"/>
  <c r="AR312" i="178"/>
  <c r="AV312" i="178"/>
  <c r="AZ312" i="178"/>
  <c r="BD312" i="178"/>
  <c r="BH312" i="178"/>
  <c r="BM312" i="178"/>
  <c r="AT251" i="178"/>
  <c r="AX251" i="178"/>
  <c r="BB251" i="178"/>
  <c r="BF251" i="178"/>
  <c r="BJ251" i="178"/>
  <c r="BK251" i="178"/>
  <c r="AR251" i="178"/>
  <c r="AV251" i="178"/>
  <c r="AZ251" i="178"/>
  <c r="BD251" i="178"/>
  <c r="BH251" i="178"/>
  <c r="BM251" i="178"/>
  <c r="AT194" i="178"/>
  <c r="AX194" i="178"/>
  <c r="BB194" i="178"/>
  <c r="BF194" i="178"/>
  <c r="BJ194" i="178"/>
  <c r="BK194" i="178"/>
  <c r="AR194" i="178"/>
  <c r="AV194" i="178"/>
  <c r="AZ194" i="178"/>
  <c r="BD194" i="178"/>
  <c r="BH194" i="178"/>
  <c r="BM194" i="178"/>
  <c r="AT128" i="178"/>
  <c r="AX128" i="178"/>
  <c r="BB128" i="178"/>
  <c r="BF128" i="178"/>
  <c r="BJ128" i="178"/>
  <c r="BK128" i="178"/>
  <c r="AR128" i="178"/>
  <c r="AV128" i="178"/>
  <c r="AZ128" i="178"/>
  <c r="BD128" i="178"/>
  <c r="BH128" i="178"/>
  <c r="BM128" i="178"/>
  <c r="AT29" i="178"/>
  <c r="AX29" i="178"/>
  <c r="BB29" i="178"/>
  <c r="BF29" i="178"/>
  <c r="BJ29" i="178"/>
  <c r="BK29" i="178"/>
  <c r="AR29" i="178"/>
  <c r="AV29" i="178"/>
  <c r="AZ29" i="178"/>
  <c r="BD29" i="178"/>
  <c r="BH29" i="178"/>
  <c r="BM29" i="178"/>
  <c r="AT1165" i="178"/>
  <c r="AX1165" i="178"/>
  <c r="BB1165" i="178"/>
  <c r="BF1165" i="178"/>
  <c r="BJ1165" i="178"/>
  <c r="BK1165" i="178"/>
  <c r="AR1165" i="178"/>
  <c r="AV1165" i="178"/>
  <c r="AZ1165" i="178"/>
  <c r="BD1165" i="178"/>
  <c r="BH1165" i="178"/>
  <c r="BM1165" i="178"/>
  <c r="AT976" i="178"/>
  <c r="AX976" i="178"/>
  <c r="BB976" i="178"/>
  <c r="BF976" i="178"/>
  <c r="BJ976" i="178"/>
  <c r="BK976" i="178"/>
  <c r="AR976" i="178"/>
  <c r="AV976" i="178"/>
  <c r="AZ976" i="178"/>
  <c r="BD976" i="178"/>
  <c r="BH976" i="178"/>
  <c r="BM976" i="178"/>
  <c r="AT1278" i="178"/>
  <c r="AX1278" i="178"/>
  <c r="BB1278" i="178"/>
  <c r="BF1278" i="178"/>
  <c r="BJ1278" i="178"/>
  <c r="BK1278" i="178"/>
  <c r="AR1278" i="178"/>
  <c r="AV1278" i="178"/>
  <c r="AZ1278" i="178"/>
  <c r="BD1278" i="178"/>
  <c r="BH1278" i="178"/>
  <c r="BM1278" i="178"/>
  <c r="AT841" i="178"/>
  <c r="AX841" i="178"/>
  <c r="BB841" i="178"/>
  <c r="BF841" i="178"/>
  <c r="BJ841" i="178"/>
  <c r="BK841" i="178"/>
  <c r="AR841" i="178"/>
  <c r="AV841" i="178"/>
  <c r="AZ841" i="178"/>
  <c r="BD841" i="178"/>
  <c r="BH841" i="178"/>
  <c r="BM841" i="178"/>
  <c r="AR837" i="178"/>
  <c r="AV837" i="178"/>
  <c r="AZ837" i="178"/>
  <c r="BD837" i="178"/>
  <c r="BH837" i="178"/>
  <c r="BM837" i="178"/>
  <c r="AT837" i="178"/>
  <c r="AX837" i="178"/>
  <c r="BB837" i="178"/>
  <c r="BF837" i="178"/>
  <c r="BJ837" i="178"/>
  <c r="BK837" i="178"/>
  <c r="AR787" i="178"/>
  <c r="AV787" i="178"/>
  <c r="AZ787" i="178"/>
  <c r="BD787" i="178"/>
  <c r="BH787" i="178"/>
  <c r="BM787" i="178"/>
  <c r="AT787" i="178"/>
  <c r="AX787" i="178"/>
  <c r="BB787" i="178"/>
  <c r="BF787" i="178"/>
  <c r="BJ787" i="178"/>
  <c r="BK787" i="178"/>
  <c r="AR783" i="178"/>
  <c r="AV783" i="178"/>
  <c r="AZ783" i="178"/>
  <c r="BD783" i="178"/>
  <c r="BH783" i="178"/>
  <c r="BM783" i="178"/>
  <c r="AT783" i="178"/>
  <c r="AX783" i="178"/>
  <c r="BB783" i="178"/>
  <c r="BF783" i="178"/>
  <c r="BJ783" i="178"/>
  <c r="BK783" i="178"/>
  <c r="AR758" i="178"/>
  <c r="AV758" i="178"/>
  <c r="AZ758" i="178"/>
  <c r="BD758" i="178"/>
  <c r="BH758" i="178"/>
  <c r="BM758" i="178"/>
  <c r="AT758" i="178"/>
  <c r="AX758" i="178"/>
  <c r="BB758" i="178"/>
  <c r="BF758" i="178"/>
  <c r="BJ758" i="178"/>
  <c r="BK758" i="178"/>
  <c r="AR754" i="178"/>
  <c r="AV754" i="178"/>
  <c r="AZ754" i="178"/>
  <c r="BD754" i="178"/>
  <c r="BH754" i="178"/>
  <c r="BM754" i="178"/>
  <c r="AT754" i="178"/>
  <c r="AX754" i="178"/>
  <c r="BB754" i="178"/>
  <c r="BF754" i="178"/>
  <c r="BJ754" i="178"/>
  <c r="BK754" i="178"/>
  <c r="AR750" i="178"/>
  <c r="AV750" i="178"/>
  <c r="AZ750" i="178"/>
  <c r="BD750" i="178"/>
  <c r="BH750" i="178"/>
  <c r="BM750" i="178"/>
  <c r="AT750" i="178"/>
  <c r="AX750" i="178"/>
  <c r="BB750" i="178"/>
  <c r="BF750" i="178"/>
  <c r="BJ750" i="178"/>
  <c r="BK750" i="178"/>
  <c r="AR617" i="178"/>
  <c r="AV617" i="178"/>
  <c r="AZ617" i="178"/>
  <c r="BD617" i="178"/>
  <c r="BH617" i="178"/>
  <c r="BM617" i="178"/>
  <c r="AT617" i="178"/>
  <c r="AX617" i="178"/>
  <c r="BB617" i="178"/>
  <c r="BF617" i="178"/>
  <c r="BJ617" i="178"/>
  <c r="BK617" i="178"/>
  <c r="AR532" i="178"/>
  <c r="AV532" i="178"/>
  <c r="AZ532" i="178"/>
  <c r="BD532" i="178"/>
  <c r="BH532" i="178"/>
  <c r="BM532" i="178"/>
  <c r="AT532" i="178"/>
  <c r="AX532" i="178"/>
  <c r="BB532" i="178"/>
  <c r="BF532" i="178"/>
  <c r="BJ532" i="178"/>
  <c r="BK532" i="178"/>
  <c r="AR475" i="178"/>
  <c r="AV475" i="178"/>
  <c r="AZ475" i="178"/>
  <c r="BD475" i="178"/>
  <c r="BH475" i="178"/>
  <c r="BM475" i="178"/>
  <c r="AT475" i="178"/>
  <c r="AX475" i="178"/>
  <c r="BB475" i="178"/>
  <c r="BF475" i="178"/>
  <c r="BJ475" i="178"/>
  <c r="BK475" i="178"/>
  <c r="AR370" i="178"/>
  <c r="AV370" i="178"/>
  <c r="AZ370" i="178"/>
  <c r="BD370" i="178"/>
  <c r="BH370" i="178"/>
  <c r="BM370" i="178"/>
  <c r="AT370" i="178"/>
  <c r="AX370" i="178"/>
  <c r="BB370" i="178"/>
  <c r="BF370" i="178"/>
  <c r="BJ370" i="178"/>
  <c r="BK370" i="178"/>
  <c r="AR261" i="178"/>
  <c r="AV261" i="178"/>
  <c r="AZ261" i="178"/>
  <c r="BD261" i="178"/>
  <c r="BH261" i="178"/>
  <c r="BM261" i="178"/>
  <c r="AT261" i="178"/>
  <c r="AX261" i="178"/>
  <c r="BB261" i="178"/>
  <c r="BF261" i="178"/>
  <c r="BJ261" i="178"/>
  <c r="BK261" i="178"/>
  <c r="AR132" i="178"/>
  <c r="AV132" i="178"/>
  <c r="AZ132" i="178"/>
  <c r="BD132" i="178"/>
  <c r="BH132" i="178"/>
  <c r="BM132" i="178"/>
  <c r="AT132" i="178"/>
  <c r="AX132" i="178"/>
  <c r="BB132" i="178"/>
  <c r="BF132" i="178"/>
  <c r="BJ132" i="178"/>
  <c r="BK132" i="178"/>
  <c r="AR74" i="178"/>
  <c r="AV74" i="178"/>
  <c r="AZ74" i="178"/>
  <c r="BD74" i="178"/>
  <c r="BH74" i="178"/>
  <c r="BM74" i="178"/>
  <c r="AT74" i="178"/>
  <c r="AX74" i="178"/>
  <c r="BB74" i="178"/>
  <c r="BF74" i="178"/>
  <c r="BJ74" i="178"/>
  <c r="BK74" i="178"/>
  <c r="AR1185" i="178"/>
  <c r="AV1185" i="178"/>
  <c r="AZ1185" i="178"/>
  <c r="BD1185" i="178"/>
  <c r="BH1185" i="178"/>
  <c r="BM1185" i="178"/>
  <c r="AT1185" i="178"/>
  <c r="AX1185" i="178"/>
  <c r="BB1185" i="178"/>
  <c r="BF1185" i="178"/>
  <c r="BJ1185" i="178"/>
  <c r="BK1185" i="178"/>
  <c r="AR1156" i="178"/>
  <c r="AV1156" i="178"/>
  <c r="AZ1156" i="178"/>
  <c r="BD1156" i="178"/>
  <c r="BH1156" i="178"/>
  <c r="BM1156" i="178"/>
  <c r="AT1156" i="178"/>
  <c r="AX1156" i="178"/>
  <c r="BB1156" i="178"/>
  <c r="BF1156" i="178"/>
  <c r="BJ1156" i="178"/>
  <c r="BK1156" i="178"/>
  <c r="AR1042" i="178"/>
  <c r="AV1042" i="178"/>
  <c r="AZ1042" i="178"/>
  <c r="BD1042" i="178"/>
  <c r="BH1042" i="178"/>
  <c r="BM1042" i="178"/>
  <c r="AT1042" i="178"/>
  <c r="AX1042" i="178"/>
  <c r="BB1042" i="178"/>
  <c r="BF1042" i="178"/>
  <c r="BJ1042" i="178"/>
  <c r="BK1042" i="178"/>
  <c r="AR980" i="178"/>
  <c r="AV980" i="178"/>
  <c r="AZ980" i="178"/>
  <c r="BD980" i="178"/>
  <c r="BH980" i="178"/>
  <c r="BM980" i="178"/>
  <c r="AT980" i="178"/>
  <c r="AX980" i="178"/>
  <c r="BB980" i="178"/>
  <c r="BF980" i="178"/>
  <c r="BJ980" i="178"/>
  <c r="BK980" i="178"/>
  <c r="AR975" i="178"/>
  <c r="AV975" i="178"/>
  <c r="AZ975" i="178"/>
  <c r="BD975" i="178"/>
  <c r="BH975" i="178"/>
  <c r="BM975" i="178"/>
  <c r="AT975" i="178"/>
  <c r="AX975" i="178"/>
  <c r="BB975" i="178"/>
  <c r="BF975" i="178"/>
  <c r="BJ975" i="178"/>
  <c r="BK975" i="178"/>
  <c r="AR948" i="178"/>
  <c r="AV948" i="178"/>
  <c r="AZ948" i="178"/>
  <c r="BD948" i="178"/>
  <c r="BH948" i="178"/>
  <c r="BM948" i="178"/>
  <c r="AT948" i="178"/>
  <c r="AX948" i="178"/>
  <c r="BB948" i="178"/>
  <c r="BF948" i="178"/>
  <c r="BJ948" i="178"/>
  <c r="BK948" i="178"/>
  <c r="AR830" i="178"/>
  <c r="AV830" i="178"/>
  <c r="AZ830" i="178"/>
  <c r="BD830" i="178"/>
  <c r="BH830" i="178"/>
  <c r="BM830" i="178"/>
  <c r="AT830" i="178"/>
  <c r="AX830" i="178"/>
  <c r="BB830" i="178"/>
  <c r="BF830" i="178"/>
  <c r="BJ830" i="178"/>
  <c r="BK830" i="178"/>
  <c r="AR775" i="178"/>
  <c r="AV775" i="178"/>
  <c r="AZ775" i="178"/>
  <c r="BD775" i="178"/>
  <c r="BH775" i="178"/>
  <c r="BM775" i="178"/>
  <c r="AT775" i="178"/>
  <c r="AX775" i="178"/>
  <c r="BB775" i="178"/>
  <c r="BF775" i="178"/>
  <c r="BJ775" i="178"/>
  <c r="BK775" i="178"/>
  <c r="AR746" i="178"/>
  <c r="AV746" i="178"/>
  <c r="AZ746" i="178"/>
  <c r="BD746" i="178"/>
  <c r="BH746" i="178"/>
  <c r="BM746" i="178"/>
  <c r="AT746" i="178"/>
  <c r="AX746" i="178"/>
  <c r="BB746" i="178"/>
  <c r="BF746" i="178"/>
  <c r="BJ746" i="178"/>
  <c r="BK746" i="178"/>
  <c r="AR659" i="178"/>
  <c r="AV659" i="178"/>
  <c r="AZ659" i="178"/>
  <c r="BD659" i="178"/>
  <c r="BH659" i="178"/>
  <c r="BM659" i="178"/>
  <c r="AT659" i="178"/>
  <c r="AX659" i="178"/>
  <c r="BB659" i="178"/>
  <c r="BF659" i="178"/>
  <c r="BJ659" i="178"/>
  <c r="BK659" i="178"/>
  <c r="AR508" i="178"/>
  <c r="AV508" i="178"/>
  <c r="AZ508" i="178"/>
  <c r="BD508" i="178"/>
  <c r="BH508" i="178"/>
  <c r="BM508" i="178"/>
  <c r="AT508" i="178"/>
  <c r="AX508" i="178"/>
  <c r="BB508" i="178"/>
  <c r="BF508" i="178"/>
  <c r="BJ508" i="178"/>
  <c r="BK508" i="178"/>
  <c r="AR469" i="178"/>
  <c r="AV469" i="178"/>
  <c r="AZ469" i="178"/>
  <c r="BD469" i="178"/>
  <c r="BH469" i="178"/>
  <c r="BM469" i="178"/>
  <c r="AT469" i="178"/>
  <c r="AX469" i="178"/>
  <c r="BB469" i="178"/>
  <c r="BF469" i="178"/>
  <c r="BJ469" i="178"/>
  <c r="BK469" i="178"/>
  <c r="AR334" i="178"/>
  <c r="AV334" i="178"/>
  <c r="AZ334" i="178"/>
  <c r="BD334" i="178"/>
  <c r="BH334" i="178"/>
  <c r="BM334" i="178"/>
  <c r="AT334" i="178"/>
  <c r="AX334" i="178"/>
  <c r="BB334" i="178"/>
  <c r="BF334" i="178"/>
  <c r="BJ334" i="178"/>
  <c r="BK334" i="178"/>
  <c r="AT310" i="178"/>
  <c r="AX310" i="178"/>
  <c r="BB310" i="178"/>
  <c r="BF310" i="178"/>
  <c r="BJ310" i="178"/>
  <c r="BK310" i="178"/>
  <c r="AR310" i="178"/>
  <c r="BD310" i="178"/>
  <c r="AV310" i="178"/>
  <c r="BM310" i="178"/>
  <c r="AZ310" i="178"/>
  <c r="BH310" i="178"/>
  <c r="BM256" i="178"/>
  <c r="AT256" i="178"/>
  <c r="AX256" i="178"/>
  <c r="BB256" i="178"/>
  <c r="BF256" i="178"/>
  <c r="BJ256" i="178"/>
  <c r="BK256" i="178"/>
  <c r="BD256" i="178"/>
  <c r="AR256" i="178"/>
  <c r="BH256" i="178"/>
  <c r="AV256" i="178"/>
  <c r="AZ256" i="178"/>
  <c r="BM242" i="178"/>
  <c r="AT242" i="178"/>
  <c r="AX242" i="178"/>
  <c r="BB242" i="178"/>
  <c r="BF242" i="178"/>
  <c r="BJ242" i="178"/>
  <c r="BK242" i="178"/>
  <c r="AZ242" i="178"/>
  <c r="BD242" i="178"/>
  <c r="AR242" i="178"/>
  <c r="BH242" i="178"/>
  <c r="AV242" i="178"/>
  <c r="BM193" i="178"/>
  <c r="AT193" i="178"/>
  <c r="AX193" i="178"/>
  <c r="BB193" i="178"/>
  <c r="BF193" i="178"/>
  <c r="BJ193" i="178"/>
  <c r="BK193" i="178"/>
  <c r="AV193" i="178"/>
  <c r="AZ193" i="178"/>
  <c r="BD193" i="178"/>
  <c r="BH193" i="178"/>
  <c r="AR193" i="178"/>
  <c r="BM130" i="178"/>
  <c r="AT130" i="178"/>
  <c r="AX130" i="178"/>
  <c r="BB130" i="178"/>
  <c r="BF130" i="178"/>
  <c r="BJ130" i="178"/>
  <c r="BK130" i="178"/>
  <c r="AR130" i="178"/>
  <c r="BH130" i="178"/>
  <c r="AV130" i="178"/>
  <c r="AZ130" i="178"/>
  <c r="BD130" i="178"/>
  <c r="BM123" i="178"/>
  <c r="AT123" i="178"/>
  <c r="AX123" i="178"/>
  <c r="BB123" i="178"/>
  <c r="BF123" i="178"/>
  <c r="BJ123" i="178"/>
  <c r="BK123" i="178"/>
  <c r="BD123" i="178"/>
  <c r="AR123" i="178"/>
  <c r="BH123" i="178"/>
  <c r="AV123" i="178"/>
  <c r="AZ123" i="178"/>
  <c r="BM82" i="178"/>
  <c r="AT82" i="178"/>
  <c r="AX82" i="178"/>
  <c r="BB82" i="178"/>
  <c r="BF82" i="178"/>
  <c r="BJ82" i="178"/>
  <c r="BK82" i="178"/>
  <c r="AZ82" i="178"/>
  <c r="BD82" i="178"/>
  <c r="AR82" i="178"/>
  <c r="BH82" i="178"/>
  <c r="AV82" i="178"/>
  <c r="BM75" i="178"/>
  <c r="AT75" i="178"/>
  <c r="AX75" i="178"/>
  <c r="BB75" i="178"/>
  <c r="BF75" i="178"/>
  <c r="BJ75" i="178"/>
  <c r="BK75" i="178"/>
  <c r="AV75" i="178"/>
  <c r="AZ75" i="178"/>
  <c r="BD75" i="178"/>
  <c r="AR75" i="178"/>
  <c r="BH75" i="178"/>
  <c r="BM54" i="178"/>
  <c r="AT54" i="178"/>
  <c r="AX54" i="178"/>
  <c r="BB54" i="178"/>
  <c r="BF54" i="178"/>
  <c r="BJ54" i="178"/>
  <c r="BK54" i="178"/>
  <c r="AR54" i="178"/>
  <c r="BH54" i="178"/>
  <c r="AV54" i="178"/>
  <c r="AZ54" i="178"/>
  <c r="BD54" i="178"/>
  <c r="BM13" i="178"/>
  <c r="AT13" i="178"/>
  <c r="AX13" i="178"/>
  <c r="BB13" i="178"/>
  <c r="BF13" i="178"/>
  <c r="BJ13" i="178"/>
  <c r="BK13" i="178"/>
  <c r="BD13" i="178"/>
  <c r="AR13" i="178"/>
  <c r="BH13" i="178"/>
  <c r="AV13" i="178"/>
  <c r="AZ13" i="178"/>
  <c r="BM1057" i="178"/>
  <c r="AT1057" i="178"/>
  <c r="AX1057" i="178"/>
  <c r="BB1057" i="178"/>
  <c r="BF1057" i="178"/>
  <c r="BJ1057" i="178"/>
  <c r="BK1057" i="178"/>
  <c r="AZ1057" i="178"/>
  <c r="BD1057" i="178"/>
  <c r="AR1057" i="178"/>
  <c r="BH1057" i="178"/>
  <c r="AV1057" i="178"/>
  <c r="BM1016" i="178"/>
  <c r="AT1016" i="178"/>
  <c r="AX1016" i="178"/>
  <c r="BB1016" i="178"/>
  <c r="BF1016" i="178"/>
  <c r="BJ1016" i="178"/>
  <c r="BK1016" i="178"/>
  <c r="AV1016" i="178"/>
  <c r="AZ1016" i="178"/>
  <c r="BD1016" i="178"/>
  <c r="AR1016" i="178"/>
  <c r="BH1016" i="178"/>
  <c r="BM1008" i="178"/>
  <c r="AT1008" i="178"/>
  <c r="AX1008" i="178"/>
  <c r="BB1008" i="178"/>
  <c r="BF1008" i="178"/>
  <c r="BJ1008" i="178"/>
  <c r="BK1008" i="178"/>
  <c r="AR1008" i="178"/>
  <c r="BH1008" i="178"/>
  <c r="AV1008" i="178"/>
  <c r="AZ1008" i="178"/>
  <c r="BD1008" i="178"/>
  <c r="BM829" i="178"/>
  <c r="AT829" i="178"/>
  <c r="AX829" i="178"/>
  <c r="BB829" i="178"/>
  <c r="BF829" i="178"/>
  <c r="BJ829" i="178"/>
  <c r="BK829" i="178"/>
  <c r="BD829" i="178"/>
  <c r="AR829" i="178"/>
  <c r="BH829" i="178"/>
  <c r="AV829" i="178"/>
  <c r="AZ829" i="178"/>
  <c r="BM658" i="178"/>
  <c r="AT658" i="178"/>
  <c r="AX658" i="178"/>
  <c r="BB658" i="178"/>
  <c r="BF658" i="178"/>
  <c r="BJ658" i="178"/>
  <c r="BK658" i="178"/>
  <c r="AV658" i="178"/>
  <c r="AZ658" i="178"/>
  <c r="BD658" i="178"/>
  <c r="AR658" i="178"/>
  <c r="BH658" i="178"/>
  <c r="BM473" i="178"/>
  <c r="AT473" i="178"/>
  <c r="AX473" i="178"/>
  <c r="BB473" i="178"/>
  <c r="BF473" i="178"/>
  <c r="BJ473" i="178"/>
  <c r="BK473" i="178"/>
  <c r="AR473" i="178"/>
  <c r="BH473" i="178"/>
  <c r="AV473" i="178"/>
  <c r="AZ473" i="178"/>
  <c r="BD473" i="178"/>
  <c r="BM308" i="178"/>
  <c r="AT308" i="178"/>
  <c r="AX308" i="178"/>
  <c r="BB308" i="178"/>
  <c r="BF308" i="178"/>
  <c r="BJ308" i="178"/>
  <c r="BK308" i="178"/>
  <c r="BD308" i="178"/>
  <c r="AR308" i="178"/>
  <c r="BH308" i="178"/>
  <c r="AV308" i="178"/>
  <c r="AZ308" i="178"/>
  <c r="BM280" i="178"/>
  <c r="AT280" i="178"/>
  <c r="AX280" i="178"/>
  <c r="BB280" i="178"/>
  <c r="BF280" i="178"/>
  <c r="BJ280" i="178"/>
  <c r="BK280" i="178"/>
  <c r="AZ280" i="178"/>
  <c r="BD280" i="178"/>
  <c r="AR280" i="178"/>
  <c r="BH280" i="178"/>
  <c r="AV280" i="178"/>
  <c r="BM480" i="178"/>
  <c r="AT480" i="178"/>
  <c r="AX480" i="178"/>
  <c r="BB480" i="178"/>
  <c r="BF480" i="178"/>
  <c r="BJ480" i="178"/>
  <c r="BK480" i="178"/>
  <c r="AV480" i="178"/>
  <c r="AZ480" i="178"/>
  <c r="BD480" i="178"/>
  <c r="BH480" i="178"/>
  <c r="AR480" i="178"/>
  <c r="BM700" i="178"/>
  <c r="AT700" i="178"/>
  <c r="AX700" i="178"/>
  <c r="BB700" i="178"/>
  <c r="BF700" i="178"/>
  <c r="BJ700" i="178"/>
  <c r="BK700" i="178"/>
  <c r="AR700" i="178"/>
  <c r="BH700" i="178"/>
  <c r="AV700" i="178"/>
  <c r="AZ700" i="178"/>
  <c r="BD700" i="178"/>
  <c r="BM356" i="178"/>
  <c r="AT356" i="178"/>
  <c r="AX356" i="178"/>
  <c r="BB356" i="178"/>
  <c r="BF356" i="178"/>
  <c r="BJ356" i="178"/>
  <c r="BK356" i="178"/>
  <c r="BD356" i="178"/>
  <c r="AR356" i="178"/>
  <c r="BH356" i="178"/>
  <c r="AV356" i="178"/>
  <c r="AZ356" i="178"/>
  <c r="AT803" i="178"/>
  <c r="AX803" i="178"/>
  <c r="BB803" i="178"/>
  <c r="BF803" i="178"/>
  <c r="BJ803" i="178"/>
  <c r="BK803" i="178"/>
  <c r="AR803" i="178"/>
  <c r="AV803" i="178"/>
  <c r="AZ803" i="178"/>
  <c r="BD803" i="178"/>
  <c r="BH803" i="178"/>
  <c r="BM803" i="178"/>
  <c r="AT419" i="178"/>
  <c r="AX419" i="178"/>
  <c r="BB419" i="178"/>
  <c r="BF419" i="178"/>
  <c r="BJ419" i="178"/>
  <c r="BK419" i="178"/>
  <c r="AR419" i="178"/>
  <c r="AV419" i="178"/>
  <c r="AZ419" i="178"/>
  <c r="BD419" i="178"/>
  <c r="BH419" i="178"/>
  <c r="BM419" i="178"/>
  <c r="AT1153" i="178"/>
  <c r="AX1153" i="178"/>
  <c r="BB1153" i="178"/>
  <c r="BF1153" i="178"/>
  <c r="BJ1153" i="178"/>
  <c r="BK1153" i="178"/>
  <c r="AR1153" i="178"/>
  <c r="AV1153" i="178"/>
  <c r="AZ1153" i="178"/>
  <c r="BD1153" i="178"/>
  <c r="BH1153" i="178"/>
  <c r="BM1153" i="178"/>
  <c r="AT900" i="178"/>
  <c r="AX900" i="178"/>
  <c r="BB900" i="178"/>
  <c r="BF900" i="178"/>
  <c r="BJ900" i="178"/>
  <c r="BK900" i="178"/>
  <c r="AR900" i="178"/>
  <c r="AV900" i="178"/>
  <c r="AZ900" i="178"/>
  <c r="BD900" i="178"/>
  <c r="BH900" i="178"/>
  <c r="BM900" i="178"/>
  <c r="AT923" i="178"/>
  <c r="AX923" i="178"/>
  <c r="BB923" i="178"/>
  <c r="BF923" i="178"/>
  <c r="BJ923" i="178"/>
  <c r="BK923" i="178"/>
  <c r="AR923" i="178"/>
  <c r="AV923" i="178"/>
  <c r="AZ923" i="178"/>
  <c r="BD923" i="178"/>
  <c r="BH923" i="178"/>
  <c r="BM923" i="178"/>
  <c r="AT922" i="178"/>
  <c r="AX922" i="178"/>
  <c r="BB922" i="178"/>
  <c r="BF922" i="178"/>
  <c r="BJ922" i="178"/>
  <c r="BK922" i="178"/>
  <c r="AR922" i="178"/>
  <c r="AV922" i="178"/>
  <c r="AZ922" i="178"/>
  <c r="BD922" i="178"/>
  <c r="BH922" i="178"/>
  <c r="BM922" i="178"/>
  <c r="AT1147" i="178"/>
  <c r="AX1147" i="178"/>
  <c r="BB1147" i="178"/>
  <c r="BF1147" i="178"/>
  <c r="BJ1147" i="178"/>
  <c r="BK1147" i="178"/>
  <c r="AR1147" i="178"/>
  <c r="AV1147" i="178"/>
  <c r="AZ1147" i="178"/>
  <c r="BD1147" i="178"/>
  <c r="BH1147" i="178"/>
  <c r="BM1147" i="178"/>
  <c r="AT485" i="178"/>
  <c r="AX485" i="178"/>
  <c r="BB485" i="178"/>
  <c r="BF485" i="178"/>
  <c r="BJ485" i="178"/>
  <c r="BK485" i="178"/>
  <c r="AR485" i="178"/>
  <c r="AV485" i="178"/>
  <c r="AZ485" i="178"/>
  <c r="BD485" i="178"/>
  <c r="BH485" i="178"/>
  <c r="BM485" i="178"/>
  <c r="AT1149" i="178"/>
  <c r="AX1149" i="178"/>
  <c r="BB1149" i="178"/>
  <c r="BF1149" i="178"/>
  <c r="BJ1149" i="178"/>
  <c r="BK1149" i="178"/>
  <c r="AR1149" i="178"/>
  <c r="AV1149" i="178"/>
  <c r="AZ1149" i="178"/>
  <c r="BD1149" i="178"/>
  <c r="BH1149" i="178"/>
  <c r="BM1149" i="178"/>
  <c r="AT353" i="178"/>
  <c r="AX353" i="178"/>
  <c r="BB353" i="178"/>
  <c r="BF353" i="178"/>
  <c r="BJ353" i="178"/>
  <c r="BK353" i="178"/>
  <c r="AR353" i="178"/>
  <c r="AV353" i="178"/>
  <c r="AZ353" i="178"/>
  <c r="BD353" i="178"/>
  <c r="BH353" i="178"/>
  <c r="BM353" i="178"/>
  <c r="AT352" i="178"/>
  <c r="AX352" i="178"/>
  <c r="BB352" i="178"/>
  <c r="BF352" i="178"/>
  <c r="BJ352" i="178"/>
  <c r="BK352" i="178"/>
  <c r="AR352" i="178"/>
  <c r="AV352" i="178"/>
  <c r="AZ352" i="178"/>
  <c r="BD352" i="178"/>
  <c r="BH352" i="178"/>
  <c r="BM352" i="178"/>
  <c r="AT415" i="178"/>
  <c r="AX415" i="178"/>
  <c r="BB415" i="178"/>
  <c r="BF415" i="178"/>
  <c r="BJ415" i="178"/>
  <c r="BK415" i="178"/>
  <c r="AR415" i="178"/>
  <c r="AV415" i="178"/>
  <c r="AZ415" i="178"/>
  <c r="BD415" i="178"/>
  <c r="BH415" i="178"/>
  <c r="BM415" i="178"/>
  <c r="AT636" i="178"/>
  <c r="AX636" i="178"/>
  <c r="BB636" i="178"/>
  <c r="BF636" i="178"/>
  <c r="BJ636" i="178"/>
  <c r="BK636" i="178"/>
  <c r="AR636" i="178"/>
  <c r="AV636" i="178"/>
  <c r="AZ636" i="178"/>
  <c r="BD636" i="178"/>
  <c r="BH636" i="178"/>
  <c r="BM636" i="178"/>
  <c r="AT861" i="178"/>
  <c r="AX861" i="178"/>
  <c r="BB861" i="178"/>
  <c r="BF861" i="178"/>
  <c r="BJ861" i="178"/>
  <c r="BK861" i="178"/>
  <c r="AR861" i="178"/>
  <c r="AV861" i="178"/>
  <c r="AZ861" i="178"/>
  <c r="BD861" i="178"/>
  <c r="BH861" i="178"/>
  <c r="BM861" i="178"/>
  <c r="AT293" i="178"/>
  <c r="AX293" i="178"/>
  <c r="BB293" i="178"/>
  <c r="BF293" i="178"/>
  <c r="BJ293" i="178"/>
  <c r="BK293" i="178"/>
  <c r="AR293" i="178"/>
  <c r="AV293" i="178"/>
  <c r="AZ293" i="178"/>
  <c r="BD293" i="178"/>
  <c r="BH293" i="178"/>
  <c r="BM293" i="178"/>
  <c r="AT734" i="178"/>
  <c r="AX734" i="178"/>
  <c r="BB734" i="178"/>
  <c r="BF734" i="178"/>
  <c r="BJ734" i="178"/>
  <c r="BK734" i="178"/>
  <c r="AR734" i="178"/>
  <c r="AV734" i="178"/>
  <c r="AZ734" i="178"/>
  <c r="BD734" i="178"/>
  <c r="BH734" i="178"/>
  <c r="BM734" i="178"/>
  <c r="AT862" i="178"/>
  <c r="AX862" i="178"/>
  <c r="BB862" i="178"/>
  <c r="BF862" i="178"/>
  <c r="BJ862" i="178"/>
  <c r="BK862" i="178"/>
  <c r="AR862" i="178"/>
  <c r="AV862" i="178"/>
  <c r="AZ862" i="178"/>
  <c r="BD862" i="178"/>
  <c r="BH862" i="178"/>
  <c r="BM862" i="178"/>
  <c r="AT663" i="178"/>
  <c r="AX663" i="178"/>
  <c r="BB663" i="178"/>
  <c r="BF663" i="178"/>
  <c r="BJ663" i="178"/>
  <c r="BK663" i="178"/>
  <c r="AR663" i="178"/>
  <c r="AV663" i="178"/>
  <c r="AZ663" i="178"/>
  <c r="BD663" i="178"/>
  <c r="BH663" i="178"/>
  <c r="BM663" i="178"/>
  <c r="S1132" i="178"/>
  <c r="S962" i="178"/>
  <c r="S1099" i="178"/>
  <c r="S697" i="178"/>
  <c r="S709" i="178"/>
  <c r="S678" i="178"/>
  <c r="S1105" i="178"/>
  <c r="S1094" i="178"/>
  <c r="S1103" i="178"/>
  <c r="S629" i="178"/>
  <c r="S625" i="178"/>
  <c r="S621" i="178"/>
  <c r="S614" i="178"/>
  <c r="S611" i="178"/>
  <c r="S606" i="178"/>
  <c r="S599" i="178"/>
  <c r="S595" i="178"/>
  <c r="S591" i="178"/>
  <c r="S587" i="178"/>
  <c r="S409" i="178"/>
  <c r="S405" i="178"/>
  <c r="S401" i="178"/>
  <c r="S386" i="178"/>
  <c r="S382" i="178"/>
  <c r="S378" i="178"/>
  <c r="S374" i="178"/>
  <c r="S1159" i="178"/>
  <c r="S982" i="178"/>
  <c r="S846" i="178"/>
  <c r="S789" i="178"/>
  <c r="S761" i="178"/>
  <c r="S618" i="178"/>
  <c r="S584" i="178"/>
  <c r="S505" i="178"/>
  <c r="S396" i="178"/>
  <c r="S332" i="178"/>
  <c r="S266" i="178"/>
  <c r="S231" i="178"/>
  <c r="S129" i="178"/>
  <c r="S37" i="178"/>
  <c r="S1187" i="178"/>
  <c r="S981" i="178"/>
  <c r="S844" i="178"/>
  <c r="S842" i="178"/>
  <c r="S838" i="178"/>
  <c r="S834" i="178"/>
  <c r="S784" i="178"/>
  <c r="S777" i="178"/>
  <c r="S755" i="178"/>
  <c r="S751" i="178"/>
  <c r="S660" i="178"/>
  <c r="S577" i="178"/>
  <c r="S478" i="178"/>
  <c r="S395" i="178"/>
  <c r="S290" i="178"/>
  <c r="S204" i="178"/>
  <c r="S76" i="178"/>
  <c r="S1186" i="178"/>
  <c r="S1157" i="178"/>
  <c r="S1043" i="178"/>
  <c r="S1018" i="178"/>
  <c r="S977" i="178"/>
  <c r="S950" i="178"/>
  <c r="S831" i="178"/>
  <c r="S773" i="178"/>
  <c r="S747" i="178"/>
  <c r="S531" i="178"/>
  <c r="S474" i="178"/>
  <c r="S426" i="178"/>
  <c r="S330" i="178"/>
  <c r="S264" i="178"/>
  <c r="S249" i="178"/>
  <c r="S203" i="178"/>
  <c r="S187" i="178"/>
  <c r="S124" i="178"/>
  <c r="S120" i="178"/>
  <c r="S78" i="178"/>
  <c r="S55" i="178"/>
  <c r="S14" i="178"/>
  <c r="S1058" i="178"/>
  <c r="S1017" i="178"/>
  <c r="S1009" i="178"/>
  <c r="S771" i="178"/>
  <c r="S667" i="178"/>
  <c r="S482" i="178"/>
  <c r="S424" i="178"/>
  <c r="S202" i="178"/>
  <c r="S1051" i="178"/>
  <c r="S701" i="178"/>
  <c r="S364" i="178"/>
  <c r="S809" i="178"/>
  <c r="S641" i="178"/>
  <c r="S137" i="178"/>
  <c r="S138" i="178"/>
  <c r="S944" i="178"/>
  <c r="S943" i="178"/>
  <c r="S392" i="178"/>
  <c r="S638" i="178"/>
  <c r="S136" i="178"/>
  <c r="S685" i="178"/>
  <c r="S487" i="178"/>
  <c r="S637" i="178"/>
  <c r="S919" i="178"/>
  <c r="S295" i="178"/>
  <c r="S860" i="178"/>
  <c r="S175" i="178"/>
  <c r="S665" i="178"/>
  <c r="S827" i="178"/>
  <c r="S727" i="178"/>
  <c r="S825" i="178"/>
  <c r="S907" i="178"/>
  <c r="S662" i="178"/>
  <c r="S412" i="178"/>
  <c r="S427" i="178"/>
  <c r="S724" i="178"/>
  <c r="S904" i="178"/>
  <c r="S197" i="178"/>
  <c r="V693" i="178"/>
  <c r="AR826" i="178"/>
  <c r="AV826" i="178"/>
  <c r="AZ826" i="178"/>
  <c r="BD826" i="178"/>
  <c r="BH826" i="178"/>
  <c r="BM826" i="178"/>
  <c r="AT826" i="178"/>
  <c r="AX826" i="178"/>
  <c r="BB826" i="178"/>
  <c r="BF826" i="178"/>
  <c r="BJ826" i="178"/>
  <c r="BK826" i="178"/>
  <c r="AR726" i="178"/>
  <c r="AV726" i="178"/>
  <c r="AZ726" i="178"/>
  <c r="BD726" i="178"/>
  <c r="BH726" i="178"/>
  <c r="BM726" i="178"/>
  <c r="AT726" i="178"/>
  <c r="AX726" i="178"/>
  <c r="BB726" i="178"/>
  <c r="BF726" i="178"/>
  <c r="BJ726" i="178"/>
  <c r="BK726" i="178"/>
  <c r="AR554" i="178"/>
  <c r="AV554" i="178"/>
  <c r="AZ554" i="178"/>
  <c r="BD554" i="178"/>
  <c r="BH554" i="178"/>
  <c r="BM554" i="178"/>
  <c r="AT554" i="178"/>
  <c r="AX554" i="178"/>
  <c r="BB554" i="178"/>
  <c r="BF554" i="178"/>
  <c r="BJ554" i="178"/>
  <c r="BK554" i="178"/>
  <c r="AR890" i="178"/>
  <c r="AV890" i="178"/>
  <c r="AZ890" i="178"/>
  <c r="BD890" i="178"/>
  <c r="BH890" i="178"/>
  <c r="BM890" i="178"/>
  <c r="AT890" i="178"/>
  <c r="AX890" i="178"/>
  <c r="BB890" i="178"/>
  <c r="BF890" i="178"/>
  <c r="BJ890" i="178"/>
  <c r="BK890" i="178"/>
  <c r="AR634" i="178"/>
  <c r="AV634" i="178"/>
  <c r="AZ634" i="178"/>
  <c r="BD634" i="178"/>
  <c r="BH634" i="178"/>
  <c r="BM634" i="178"/>
  <c r="AT634" i="178"/>
  <c r="AX634" i="178"/>
  <c r="BB634" i="178"/>
  <c r="BF634" i="178"/>
  <c r="BJ634" i="178"/>
  <c r="BK634" i="178"/>
  <c r="AR387" i="178"/>
  <c r="AV387" i="178"/>
  <c r="AZ387" i="178"/>
  <c r="BD387" i="178"/>
  <c r="BH387" i="178"/>
  <c r="BM387" i="178"/>
  <c r="AT387" i="178"/>
  <c r="AX387" i="178"/>
  <c r="BB387" i="178"/>
  <c r="BF387" i="178"/>
  <c r="BJ387" i="178"/>
  <c r="BK387" i="178"/>
  <c r="BM822" i="178"/>
  <c r="AT822" i="178"/>
  <c r="AX822" i="178"/>
  <c r="BB822" i="178"/>
  <c r="BF822" i="178"/>
  <c r="BJ822" i="178"/>
  <c r="BK822" i="178"/>
  <c r="AZ822" i="178"/>
  <c r="BD822" i="178"/>
  <c r="AR822" i="178"/>
  <c r="BH822" i="178"/>
  <c r="AV822" i="178"/>
  <c r="BM552" i="178"/>
  <c r="AT552" i="178"/>
  <c r="AX552" i="178"/>
  <c r="BB552" i="178"/>
  <c r="BF552" i="178"/>
  <c r="BJ552" i="178"/>
  <c r="BK552" i="178"/>
  <c r="AV552" i="178"/>
  <c r="AZ552" i="178"/>
  <c r="BD552" i="178"/>
  <c r="AR552" i="178"/>
  <c r="BH552" i="178"/>
  <c r="BM880" i="178"/>
  <c r="AT880" i="178"/>
  <c r="AX880" i="178"/>
  <c r="BB880" i="178"/>
  <c r="BF880" i="178"/>
  <c r="BJ880" i="178"/>
  <c r="BK880" i="178"/>
  <c r="AR880" i="178"/>
  <c r="BH880" i="178"/>
  <c r="AV880" i="178"/>
  <c r="AZ880" i="178"/>
  <c r="BD880" i="178"/>
  <c r="BM633" i="178"/>
  <c r="AT633" i="178"/>
  <c r="AX633" i="178"/>
  <c r="BB633" i="178"/>
  <c r="BF633" i="178"/>
  <c r="BJ633" i="178"/>
  <c r="BK633" i="178"/>
  <c r="BD633" i="178"/>
  <c r="AR633" i="178"/>
  <c r="BH633" i="178"/>
  <c r="AV633" i="178"/>
  <c r="AZ633" i="178"/>
  <c r="BM1128" i="178"/>
  <c r="AT1128" i="178"/>
  <c r="AX1128" i="178"/>
  <c r="BB1128" i="178"/>
  <c r="BF1128" i="178"/>
  <c r="BJ1128" i="178"/>
  <c r="BK1128" i="178"/>
  <c r="BM1035" i="178"/>
  <c r="AT1035" i="178"/>
  <c r="AX1035" i="178"/>
  <c r="BB1035" i="178"/>
  <c r="BF1035" i="178"/>
  <c r="BJ1035" i="178"/>
  <c r="BK1035" i="178"/>
  <c r="BM1108" i="178"/>
  <c r="AT1108" i="178"/>
  <c r="AX1108" i="178"/>
  <c r="BB1108" i="178"/>
  <c r="BF1108" i="178"/>
  <c r="BJ1108" i="178"/>
  <c r="BK1108" i="178"/>
  <c r="BM1097" i="178"/>
  <c r="AT1097" i="178"/>
  <c r="AX1097" i="178"/>
  <c r="BB1097" i="178"/>
  <c r="BF1097" i="178"/>
  <c r="BJ1097" i="178"/>
  <c r="BK1097" i="178"/>
  <c r="BM894" i="178"/>
  <c r="AT894" i="178"/>
  <c r="AX894" i="178"/>
  <c r="BB894" i="178"/>
  <c r="BF894" i="178"/>
  <c r="BJ894" i="178"/>
  <c r="BK894" i="178"/>
  <c r="BM938" i="178"/>
  <c r="AT938" i="178"/>
  <c r="AX938" i="178"/>
  <c r="BB938" i="178"/>
  <c r="BF938" i="178"/>
  <c r="BJ938" i="178"/>
  <c r="BK938" i="178"/>
  <c r="BM696" i="178"/>
  <c r="AT696" i="178"/>
  <c r="AX696" i="178"/>
  <c r="BB696" i="178"/>
  <c r="BF696" i="178"/>
  <c r="BJ696" i="178"/>
  <c r="BK696" i="178"/>
  <c r="AZ696" i="178"/>
  <c r="BD696" i="178"/>
  <c r="AR696" i="178"/>
  <c r="BH696" i="178"/>
  <c r="AV696" i="178"/>
  <c r="BM1090" i="178"/>
  <c r="AT1090" i="178"/>
  <c r="AX1090" i="178"/>
  <c r="BB1090" i="178"/>
  <c r="BF1090" i="178"/>
  <c r="BJ1090" i="178"/>
  <c r="BK1090" i="178"/>
  <c r="AV1090" i="178"/>
  <c r="AZ1090" i="178"/>
  <c r="BD1090" i="178"/>
  <c r="AR1090" i="178"/>
  <c r="BH1090" i="178"/>
  <c r="BM367" i="178"/>
  <c r="AT367" i="178"/>
  <c r="AX367" i="178"/>
  <c r="BB367" i="178"/>
  <c r="BF367" i="178"/>
  <c r="BJ367" i="178"/>
  <c r="BK367" i="178"/>
  <c r="BD367" i="178"/>
  <c r="AR367" i="178"/>
  <c r="BH367" i="178"/>
  <c r="AV367" i="178"/>
  <c r="AZ367" i="178"/>
  <c r="BM1112" i="178"/>
  <c r="AT1112" i="178"/>
  <c r="AX1112" i="178"/>
  <c r="BB1112" i="178"/>
  <c r="BF1112" i="178"/>
  <c r="BJ1112" i="178"/>
  <c r="BK1112" i="178"/>
  <c r="AR1112" i="178"/>
  <c r="BH1112" i="178"/>
  <c r="AV1112" i="178"/>
  <c r="AZ1112" i="178"/>
  <c r="BD1112" i="178"/>
  <c r="BM1110" i="178"/>
  <c r="AT1110" i="178"/>
  <c r="AX1110" i="178"/>
  <c r="BB1110" i="178"/>
  <c r="BF1110" i="178"/>
  <c r="BJ1110" i="178"/>
  <c r="BK1110" i="178"/>
  <c r="BD1110" i="178"/>
  <c r="AR1110" i="178"/>
  <c r="BH1110" i="178"/>
  <c r="AV1110" i="178"/>
  <c r="AZ1110" i="178"/>
  <c r="BM631" i="178"/>
  <c r="AT631" i="178"/>
  <c r="AX631" i="178"/>
  <c r="BB631" i="178"/>
  <c r="BF631" i="178"/>
  <c r="BJ631" i="178"/>
  <c r="BK631" i="178"/>
  <c r="AZ631" i="178"/>
  <c r="BD631" i="178"/>
  <c r="AR631" i="178"/>
  <c r="BH631" i="178"/>
  <c r="AV631" i="178"/>
  <c r="BM627" i="178"/>
  <c r="AT627" i="178"/>
  <c r="AX627" i="178"/>
  <c r="BB627" i="178"/>
  <c r="BF627" i="178"/>
  <c r="BJ627" i="178"/>
  <c r="BK627" i="178"/>
  <c r="AV627" i="178"/>
  <c r="AZ627" i="178"/>
  <c r="BD627" i="178"/>
  <c r="AR627" i="178"/>
  <c r="BH627" i="178"/>
  <c r="BM622" i="178"/>
  <c r="AT622" i="178"/>
  <c r="AX622" i="178"/>
  <c r="BB622" i="178"/>
  <c r="BF622" i="178"/>
  <c r="BJ622" i="178"/>
  <c r="BK622" i="178"/>
  <c r="AR622" i="178"/>
  <c r="BH622" i="178"/>
  <c r="AV622" i="178"/>
  <c r="AZ622" i="178"/>
  <c r="BD622" i="178"/>
  <c r="BM616" i="178"/>
  <c r="AT616" i="178"/>
  <c r="AX616" i="178"/>
  <c r="BB616" i="178"/>
  <c r="BF616" i="178"/>
  <c r="BJ616" i="178"/>
  <c r="BK616" i="178"/>
  <c r="BD616" i="178"/>
  <c r="AR616" i="178"/>
  <c r="BH616" i="178"/>
  <c r="AV616" i="178"/>
  <c r="AZ616" i="178"/>
  <c r="BM610" i="178"/>
  <c r="AT610" i="178"/>
  <c r="AX610" i="178"/>
  <c r="BB610" i="178"/>
  <c r="BF610" i="178"/>
  <c r="BJ610" i="178"/>
  <c r="BK610" i="178"/>
  <c r="AZ610" i="178"/>
  <c r="BD610" i="178"/>
  <c r="AR610" i="178"/>
  <c r="BH610" i="178"/>
  <c r="AV610" i="178"/>
  <c r="BM608" i="178"/>
  <c r="AT608" i="178"/>
  <c r="AX608" i="178"/>
  <c r="BB608" i="178"/>
  <c r="BF608" i="178"/>
  <c r="BJ608" i="178"/>
  <c r="BK608" i="178"/>
  <c r="AV608" i="178"/>
  <c r="AZ608" i="178"/>
  <c r="BD608" i="178"/>
  <c r="AR608" i="178"/>
  <c r="BH608" i="178"/>
  <c r="BM604" i="178"/>
  <c r="AT604" i="178"/>
  <c r="AX604" i="178"/>
  <c r="BB604" i="178"/>
  <c r="BF604" i="178"/>
  <c r="BJ604" i="178"/>
  <c r="BK604" i="178"/>
  <c r="AR604" i="178"/>
  <c r="BH604" i="178"/>
  <c r="AV604" i="178"/>
  <c r="AZ604" i="178"/>
  <c r="BD604" i="178"/>
  <c r="BM597" i="178"/>
  <c r="AT597" i="178"/>
  <c r="AX597" i="178"/>
  <c r="BB597" i="178"/>
  <c r="BF597" i="178"/>
  <c r="BJ597" i="178"/>
  <c r="BK597" i="178"/>
  <c r="BD597" i="178"/>
  <c r="AR597" i="178"/>
  <c r="BH597" i="178"/>
  <c r="AV597" i="178"/>
  <c r="AZ597" i="178"/>
  <c r="BM593" i="178"/>
  <c r="AT593" i="178"/>
  <c r="AX593" i="178"/>
  <c r="BB593" i="178"/>
  <c r="BF593" i="178"/>
  <c r="BJ593" i="178"/>
  <c r="BK593" i="178"/>
  <c r="AZ593" i="178"/>
  <c r="BD593" i="178"/>
  <c r="AR593" i="178"/>
  <c r="BH593" i="178"/>
  <c r="AV593" i="178"/>
  <c r="BM589" i="178"/>
  <c r="AT589" i="178"/>
  <c r="AX589" i="178"/>
  <c r="BB589" i="178"/>
  <c r="BF589" i="178"/>
  <c r="BJ589" i="178"/>
  <c r="BK589" i="178"/>
  <c r="AV589" i="178"/>
  <c r="AZ589" i="178"/>
  <c r="BD589" i="178"/>
  <c r="AR589" i="178"/>
  <c r="BH589" i="178"/>
  <c r="BM411" i="178"/>
  <c r="AT411" i="178"/>
  <c r="AX411" i="178"/>
  <c r="BB411" i="178"/>
  <c r="BF411" i="178"/>
  <c r="BJ411" i="178"/>
  <c r="BK411" i="178"/>
  <c r="AR411" i="178"/>
  <c r="BH411" i="178"/>
  <c r="AV411" i="178"/>
  <c r="AZ411" i="178"/>
  <c r="BD411" i="178"/>
  <c r="BM407" i="178"/>
  <c r="AT407" i="178"/>
  <c r="AX407" i="178"/>
  <c r="BB407" i="178"/>
  <c r="BF407" i="178"/>
  <c r="BJ407" i="178"/>
  <c r="BK407" i="178"/>
  <c r="BD407" i="178"/>
  <c r="AR407" i="178"/>
  <c r="BH407" i="178"/>
  <c r="AV407" i="178"/>
  <c r="AZ407" i="178"/>
  <c r="BM402" i="178"/>
  <c r="AT402" i="178"/>
  <c r="AX402" i="178"/>
  <c r="BB402" i="178"/>
  <c r="BF402" i="178"/>
  <c r="BJ402" i="178"/>
  <c r="BK402" i="178"/>
  <c r="AZ402" i="178"/>
  <c r="BD402" i="178"/>
  <c r="AR402" i="178"/>
  <c r="BH402" i="178"/>
  <c r="AV402" i="178"/>
  <c r="AT399" i="178"/>
  <c r="AX399" i="178"/>
  <c r="AV399" i="178"/>
  <c r="BM399" i="178"/>
  <c r="AR399" i="178"/>
  <c r="BB399" i="178"/>
  <c r="BF399" i="178"/>
  <c r="BJ399" i="178"/>
  <c r="BK399" i="178"/>
  <c r="AZ399" i="178"/>
  <c r="BD399" i="178"/>
  <c r="BH399" i="178"/>
  <c r="BM384" i="178"/>
  <c r="AT384" i="178"/>
  <c r="AX384" i="178"/>
  <c r="BB384" i="178"/>
  <c r="BF384" i="178"/>
  <c r="BJ384" i="178"/>
  <c r="BK384" i="178"/>
  <c r="AZ384" i="178"/>
  <c r="BD384" i="178"/>
  <c r="AR384" i="178"/>
  <c r="BH384" i="178"/>
  <c r="AV384" i="178"/>
  <c r="BM380" i="178"/>
  <c r="AT380" i="178"/>
  <c r="AX380" i="178"/>
  <c r="BB380" i="178"/>
  <c r="BF380" i="178"/>
  <c r="BJ380" i="178"/>
  <c r="BK380" i="178"/>
  <c r="AV380" i="178"/>
  <c r="AZ380" i="178"/>
  <c r="BD380" i="178"/>
  <c r="AR380" i="178"/>
  <c r="BH380" i="178"/>
  <c r="BM376" i="178"/>
  <c r="AT376" i="178"/>
  <c r="AX376" i="178"/>
  <c r="BB376" i="178"/>
  <c r="BF376" i="178"/>
  <c r="BJ376" i="178"/>
  <c r="BK376" i="178"/>
  <c r="AR376" i="178"/>
  <c r="BH376" i="178"/>
  <c r="AV376" i="178"/>
  <c r="AZ376" i="178"/>
  <c r="BD376" i="178"/>
  <c r="BM267" i="178"/>
  <c r="AT267" i="178"/>
  <c r="AX267" i="178"/>
  <c r="BB267" i="178"/>
  <c r="BF267" i="178"/>
  <c r="BJ267" i="178"/>
  <c r="BK267" i="178"/>
  <c r="BD267" i="178"/>
  <c r="AR267" i="178"/>
  <c r="BH267" i="178"/>
  <c r="AV267" i="178"/>
  <c r="AZ267" i="178"/>
  <c r="BM1046" i="178"/>
  <c r="AT1046" i="178"/>
  <c r="AX1046" i="178"/>
  <c r="BB1046" i="178"/>
  <c r="BF1046" i="178"/>
  <c r="BJ1046" i="178"/>
  <c r="BK1046" i="178"/>
  <c r="AZ1046" i="178"/>
  <c r="BD1046" i="178"/>
  <c r="AR1046" i="178"/>
  <c r="BH1046" i="178"/>
  <c r="AV1046" i="178"/>
  <c r="BM848" i="178"/>
  <c r="AT848" i="178"/>
  <c r="AX848" i="178"/>
  <c r="BB848" i="178"/>
  <c r="BF848" i="178"/>
  <c r="BJ848" i="178"/>
  <c r="BK848" i="178"/>
  <c r="AV848" i="178"/>
  <c r="AZ848" i="178"/>
  <c r="BD848" i="178"/>
  <c r="AR848" i="178"/>
  <c r="BH848" i="178"/>
  <c r="BM791" i="178"/>
  <c r="AT791" i="178"/>
  <c r="AX791" i="178"/>
  <c r="BB791" i="178"/>
  <c r="BF791" i="178"/>
  <c r="BJ791" i="178"/>
  <c r="BK791" i="178"/>
  <c r="AR791" i="178"/>
  <c r="BH791" i="178"/>
  <c r="AV791" i="178"/>
  <c r="AZ791" i="178"/>
  <c r="BD791" i="178"/>
  <c r="BM983" i="178"/>
  <c r="AT983" i="178"/>
  <c r="AX983" i="178"/>
  <c r="BB983" i="178"/>
  <c r="BF983" i="178"/>
  <c r="BJ983" i="178"/>
  <c r="BK983" i="178"/>
  <c r="BD983" i="178"/>
  <c r="AR983" i="178"/>
  <c r="BH983" i="178"/>
  <c r="AV983" i="178"/>
  <c r="AZ983" i="178"/>
  <c r="BM759" i="178"/>
  <c r="AT759" i="178"/>
  <c r="AX759" i="178"/>
  <c r="BB759" i="178"/>
  <c r="BF759" i="178"/>
  <c r="BJ759" i="178"/>
  <c r="BK759" i="178"/>
  <c r="AZ759" i="178"/>
  <c r="BD759" i="178"/>
  <c r="AR759" i="178"/>
  <c r="BH759" i="178"/>
  <c r="AV759" i="178"/>
  <c r="BM601" i="178"/>
  <c r="AT601" i="178"/>
  <c r="AX601" i="178"/>
  <c r="BB601" i="178"/>
  <c r="BF601" i="178"/>
  <c r="BJ601" i="178"/>
  <c r="BK601" i="178"/>
  <c r="AV601" i="178"/>
  <c r="AZ601" i="178"/>
  <c r="BD601" i="178"/>
  <c r="BH601" i="178"/>
  <c r="AR601" i="178"/>
  <c r="BM529" i="178"/>
  <c r="AT529" i="178"/>
  <c r="AX529" i="178"/>
  <c r="BB529" i="178"/>
  <c r="BF529" i="178"/>
  <c r="BJ529" i="178"/>
  <c r="BK529" i="178"/>
  <c r="AR529" i="178"/>
  <c r="BH529" i="178"/>
  <c r="AV529" i="178"/>
  <c r="AZ529" i="178"/>
  <c r="BD529" i="178"/>
  <c r="BM463" i="178"/>
  <c r="AT463" i="178"/>
  <c r="AX463" i="178"/>
  <c r="BB463" i="178"/>
  <c r="BF463" i="178"/>
  <c r="BJ463" i="178"/>
  <c r="BK463" i="178"/>
  <c r="BD463" i="178"/>
  <c r="AR463" i="178"/>
  <c r="BH463" i="178"/>
  <c r="AV463" i="178"/>
  <c r="AZ463" i="178"/>
  <c r="BM371" i="178"/>
  <c r="AT371" i="178"/>
  <c r="AX371" i="178"/>
  <c r="BB371" i="178"/>
  <c r="BF371" i="178"/>
  <c r="BJ371" i="178"/>
  <c r="BK371" i="178"/>
  <c r="AZ371" i="178"/>
  <c r="BD371" i="178"/>
  <c r="AR371" i="178"/>
  <c r="BH371" i="178"/>
  <c r="AV371" i="178"/>
  <c r="BM262" i="178"/>
  <c r="AT262" i="178"/>
  <c r="AX262" i="178"/>
  <c r="BB262" i="178"/>
  <c r="BF262" i="178"/>
  <c r="BJ262" i="178"/>
  <c r="BK262" i="178"/>
  <c r="AV262" i="178"/>
  <c r="AZ262" i="178"/>
  <c r="BD262" i="178"/>
  <c r="AR262" i="178"/>
  <c r="BH262" i="178"/>
  <c r="BM243" i="178"/>
  <c r="AT243" i="178"/>
  <c r="AX243" i="178"/>
  <c r="BB243" i="178"/>
  <c r="BF243" i="178"/>
  <c r="BJ243" i="178"/>
  <c r="BK243" i="178"/>
  <c r="AR243" i="178"/>
  <c r="BH243" i="178"/>
  <c r="AV243" i="178"/>
  <c r="AZ243" i="178"/>
  <c r="BD243" i="178"/>
  <c r="BM189" i="178"/>
  <c r="AT189" i="178"/>
  <c r="AX189" i="178"/>
  <c r="BB189" i="178"/>
  <c r="BF189" i="178"/>
  <c r="BJ189" i="178"/>
  <c r="BK189" i="178"/>
  <c r="BD189" i="178"/>
  <c r="AR189" i="178"/>
  <c r="BH189" i="178"/>
  <c r="AV189" i="178"/>
  <c r="AZ189" i="178"/>
  <c r="BM83" i="178"/>
  <c r="AT83" i="178"/>
  <c r="AX83" i="178"/>
  <c r="BB83" i="178"/>
  <c r="BF83" i="178"/>
  <c r="BJ83" i="178"/>
  <c r="BK83" i="178"/>
  <c r="AZ83" i="178"/>
  <c r="BD83" i="178"/>
  <c r="AR83" i="178"/>
  <c r="BH83" i="178"/>
  <c r="AV83" i="178"/>
  <c r="BM17" i="178"/>
  <c r="AT17" i="178"/>
  <c r="AX17" i="178"/>
  <c r="BB17" i="178"/>
  <c r="BF17" i="178"/>
  <c r="BJ17" i="178"/>
  <c r="BK17" i="178"/>
  <c r="AV17" i="178"/>
  <c r="AZ17" i="178"/>
  <c r="BD17" i="178"/>
  <c r="AR17" i="178"/>
  <c r="BH17" i="178"/>
  <c r="BM1045" i="178"/>
  <c r="AT1045" i="178"/>
  <c r="AX1045" i="178"/>
  <c r="BB1045" i="178"/>
  <c r="BF1045" i="178"/>
  <c r="BJ1045" i="178"/>
  <c r="BK1045" i="178"/>
  <c r="AR1045" i="178"/>
  <c r="BH1045" i="178"/>
  <c r="AV1045" i="178"/>
  <c r="AZ1045" i="178"/>
  <c r="BD1045" i="178"/>
  <c r="BM951" i="178"/>
  <c r="AT951" i="178"/>
  <c r="AX951" i="178"/>
  <c r="BB951" i="178"/>
  <c r="BF951" i="178"/>
  <c r="BJ951" i="178"/>
  <c r="BK951" i="178"/>
  <c r="BD951" i="178"/>
  <c r="AR951" i="178"/>
  <c r="BH951" i="178"/>
  <c r="AV951" i="178"/>
  <c r="AZ951" i="178"/>
  <c r="BM946" i="178"/>
  <c r="AT946" i="178"/>
  <c r="AX946" i="178"/>
  <c r="BB946" i="178"/>
  <c r="BF946" i="178"/>
  <c r="BJ946" i="178"/>
  <c r="BK946" i="178"/>
  <c r="AZ946" i="178"/>
  <c r="BD946" i="178"/>
  <c r="AR946" i="178"/>
  <c r="BH946" i="178"/>
  <c r="AV946" i="178"/>
  <c r="BM840" i="178"/>
  <c r="AT840" i="178"/>
  <c r="AX840" i="178"/>
  <c r="BB840" i="178"/>
  <c r="BF840" i="178"/>
  <c r="BJ840" i="178"/>
  <c r="BK840" i="178"/>
  <c r="AV840" i="178"/>
  <c r="AZ840" i="178"/>
  <c r="BD840" i="178"/>
  <c r="AR840" i="178"/>
  <c r="BH840" i="178"/>
  <c r="BK836" i="178"/>
  <c r="AR836" i="178"/>
  <c r="AV836" i="178"/>
  <c r="AZ836" i="178"/>
  <c r="BD836" i="178"/>
  <c r="BH836" i="178"/>
  <c r="BM836" i="178"/>
  <c r="AT836" i="178"/>
  <c r="BJ836" i="178"/>
  <c r="AX836" i="178"/>
  <c r="BB836" i="178"/>
  <c r="BF836" i="178"/>
  <c r="BK786" i="178"/>
  <c r="AR786" i="178"/>
  <c r="AV786" i="178"/>
  <c r="AZ786" i="178"/>
  <c r="BD786" i="178"/>
  <c r="BH786" i="178"/>
  <c r="BM786" i="178"/>
  <c r="BF786" i="178"/>
  <c r="AT786" i="178"/>
  <c r="BJ786" i="178"/>
  <c r="AX786" i="178"/>
  <c r="BB786" i="178"/>
  <c r="BK779" i="178"/>
  <c r="AR779" i="178"/>
  <c r="AV779" i="178"/>
  <c r="AZ779" i="178"/>
  <c r="BD779" i="178"/>
  <c r="BH779" i="178"/>
  <c r="BM779" i="178"/>
  <c r="BB779" i="178"/>
  <c r="BF779" i="178"/>
  <c r="AT779" i="178"/>
  <c r="BJ779" i="178"/>
  <c r="AX779" i="178"/>
  <c r="BK757" i="178"/>
  <c r="AR757" i="178"/>
  <c r="AV757" i="178"/>
  <c r="AZ757" i="178"/>
  <c r="BD757" i="178"/>
  <c r="BH757" i="178"/>
  <c r="BM757" i="178"/>
  <c r="AX757" i="178"/>
  <c r="BB757" i="178"/>
  <c r="BF757" i="178"/>
  <c r="AT757" i="178"/>
  <c r="BJ757" i="178"/>
  <c r="BK753" i="178"/>
  <c r="AR753" i="178"/>
  <c r="AV753" i="178"/>
  <c r="AZ753" i="178"/>
  <c r="BD753" i="178"/>
  <c r="BH753" i="178"/>
  <c r="BM753" i="178"/>
  <c r="AT753" i="178"/>
  <c r="BJ753" i="178"/>
  <c r="AX753" i="178"/>
  <c r="BB753" i="178"/>
  <c r="BF753" i="178"/>
  <c r="BK749" i="178"/>
  <c r="AR749" i="178"/>
  <c r="AV749" i="178"/>
  <c r="AZ749" i="178"/>
  <c r="BD749" i="178"/>
  <c r="BH749" i="178"/>
  <c r="BM749" i="178"/>
  <c r="BF749" i="178"/>
  <c r="AT749" i="178"/>
  <c r="BJ749" i="178"/>
  <c r="AX749" i="178"/>
  <c r="BB749" i="178"/>
  <c r="BK600" i="178"/>
  <c r="AR600" i="178"/>
  <c r="AV600" i="178"/>
  <c r="AZ600" i="178"/>
  <c r="BD600" i="178"/>
  <c r="BH600" i="178"/>
  <c r="BM600" i="178"/>
  <c r="BB600" i="178"/>
  <c r="BF600" i="178"/>
  <c r="AT600" i="178"/>
  <c r="BJ600" i="178"/>
  <c r="AX600" i="178"/>
  <c r="BK509" i="178"/>
  <c r="AR509" i="178"/>
  <c r="AV509" i="178"/>
  <c r="AZ509" i="178"/>
  <c r="BD509" i="178"/>
  <c r="BH509" i="178"/>
  <c r="BM509" i="178"/>
  <c r="AX509" i="178"/>
  <c r="BB509" i="178"/>
  <c r="BF509" i="178"/>
  <c r="AT509" i="178"/>
  <c r="BJ509" i="178"/>
  <c r="BK470" i="178"/>
  <c r="AR470" i="178"/>
  <c r="AV470" i="178"/>
  <c r="AZ470" i="178"/>
  <c r="BD470" i="178"/>
  <c r="BH470" i="178"/>
  <c r="BM470" i="178"/>
  <c r="AT470" i="178"/>
  <c r="BJ470" i="178"/>
  <c r="AX470" i="178"/>
  <c r="BB470" i="178"/>
  <c r="BF470" i="178"/>
  <c r="BK315" i="178"/>
  <c r="AR315" i="178"/>
  <c r="AV315" i="178"/>
  <c r="AZ315" i="178"/>
  <c r="BD315" i="178"/>
  <c r="BH315" i="178"/>
  <c r="BM315" i="178"/>
  <c r="BF315" i="178"/>
  <c r="AT315" i="178"/>
  <c r="BJ315" i="178"/>
  <c r="AX315" i="178"/>
  <c r="BB315" i="178"/>
  <c r="BK234" i="178"/>
  <c r="AR234" i="178"/>
  <c r="AV234" i="178"/>
  <c r="AZ234" i="178"/>
  <c r="BD234" i="178"/>
  <c r="BH234" i="178"/>
  <c r="BM234" i="178"/>
  <c r="BB234" i="178"/>
  <c r="BF234" i="178"/>
  <c r="AT234" i="178"/>
  <c r="BJ234" i="178"/>
  <c r="AX234" i="178"/>
  <c r="BK131" i="178"/>
  <c r="AR131" i="178"/>
  <c r="AV131" i="178"/>
  <c r="AZ131" i="178"/>
  <c r="BD131" i="178"/>
  <c r="BH131" i="178"/>
  <c r="BM131" i="178"/>
  <c r="AX131" i="178"/>
  <c r="BB131" i="178"/>
  <c r="BF131" i="178"/>
  <c r="AT131" i="178"/>
  <c r="BJ131" i="178"/>
  <c r="BK16" i="178"/>
  <c r="AR16" i="178"/>
  <c r="AV16" i="178"/>
  <c r="AZ16" i="178"/>
  <c r="BD16" i="178"/>
  <c r="BH16" i="178"/>
  <c r="BM16" i="178"/>
  <c r="AT16" i="178"/>
  <c r="BJ16" i="178"/>
  <c r="AX16" i="178"/>
  <c r="BB16" i="178"/>
  <c r="BF16" i="178"/>
  <c r="BK1183" i="178"/>
  <c r="AR1183" i="178"/>
  <c r="AV1183" i="178"/>
  <c r="AZ1183" i="178"/>
  <c r="BD1183" i="178"/>
  <c r="BH1183" i="178"/>
  <c r="BM1183" i="178"/>
  <c r="BF1183" i="178"/>
  <c r="AT1183" i="178"/>
  <c r="BJ1183" i="178"/>
  <c r="AX1183" i="178"/>
  <c r="BB1183" i="178"/>
  <c r="BK1154" i="178"/>
  <c r="AR1154" i="178"/>
  <c r="AV1154" i="178"/>
  <c r="AZ1154" i="178"/>
  <c r="BD1154" i="178"/>
  <c r="BH1154" i="178"/>
  <c r="BM1154" i="178"/>
  <c r="BB1154" i="178"/>
  <c r="BF1154" i="178"/>
  <c r="AT1154" i="178"/>
  <c r="BJ1154" i="178"/>
  <c r="AX1154" i="178"/>
  <c r="BK1041" i="178"/>
  <c r="AR1041" i="178"/>
  <c r="AV1041" i="178"/>
  <c r="AZ1041" i="178"/>
  <c r="BD1041" i="178"/>
  <c r="BH1041" i="178"/>
  <c r="BM1041" i="178"/>
  <c r="AX1041" i="178"/>
  <c r="BB1041" i="178"/>
  <c r="BF1041" i="178"/>
  <c r="BJ1041" i="178"/>
  <c r="AT1041" i="178"/>
  <c r="BK979" i="178"/>
  <c r="AR979" i="178"/>
  <c r="AV979" i="178"/>
  <c r="AZ979" i="178"/>
  <c r="BD979" i="178"/>
  <c r="BH979" i="178"/>
  <c r="BM979" i="178"/>
  <c r="AT979" i="178"/>
  <c r="BJ979" i="178"/>
  <c r="AX979" i="178"/>
  <c r="BB979" i="178"/>
  <c r="BF979" i="178"/>
  <c r="BK968" i="178"/>
  <c r="AR968" i="178"/>
  <c r="AV968" i="178"/>
  <c r="AZ968" i="178"/>
  <c r="BD968" i="178"/>
  <c r="BH968" i="178"/>
  <c r="BM968" i="178"/>
  <c r="BF968" i="178"/>
  <c r="AT968" i="178"/>
  <c r="BJ968" i="178"/>
  <c r="AX968" i="178"/>
  <c r="BB968" i="178"/>
  <c r="BK833" i="178"/>
  <c r="AR833" i="178"/>
  <c r="AV833" i="178"/>
  <c r="AZ833" i="178"/>
  <c r="BD833" i="178"/>
  <c r="BH833" i="178"/>
  <c r="BM833" i="178"/>
  <c r="BB833" i="178"/>
  <c r="BF833" i="178"/>
  <c r="AT833" i="178"/>
  <c r="BJ833" i="178"/>
  <c r="AX833" i="178"/>
  <c r="BK774" i="178"/>
  <c r="AR774" i="178"/>
  <c r="AV774" i="178"/>
  <c r="AZ774" i="178"/>
  <c r="BD774" i="178"/>
  <c r="BH774" i="178"/>
  <c r="BM774" i="178"/>
  <c r="AT774" i="178"/>
  <c r="BJ774" i="178"/>
  <c r="AX774" i="178"/>
  <c r="BB774" i="178"/>
  <c r="BF774" i="178"/>
  <c r="BK745" i="178"/>
  <c r="AR745" i="178"/>
  <c r="AV745" i="178"/>
  <c r="AZ745" i="178"/>
  <c r="BD745" i="178"/>
  <c r="BH745" i="178"/>
  <c r="BM745" i="178"/>
  <c r="BF745" i="178"/>
  <c r="AT745" i="178"/>
  <c r="BJ745" i="178"/>
  <c r="AX745" i="178"/>
  <c r="BB745" i="178"/>
  <c r="BK576" i="178"/>
  <c r="AR576" i="178"/>
  <c r="AV576" i="178"/>
  <c r="AZ576" i="178"/>
  <c r="BD576" i="178"/>
  <c r="BH576" i="178"/>
  <c r="BM576" i="178"/>
  <c r="BB576" i="178"/>
  <c r="BF576" i="178"/>
  <c r="AT576" i="178"/>
  <c r="BJ576" i="178"/>
  <c r="AX576" i="178"/>
  <c r="BK503" i="178"/>
  <c r="AR503" i="178"/>
  <c r="AV503" i="178"/>
  <c r="AZ503" i="178"/>
  <c r="BD503" i="178"/>
  <c r="BH503" i="178"/>
  <c r="BM503" i="178"/>
  <c r="AX503" i="178"/>
  <c r="BB503" i="178"/>
  <c r="BF503" i="178"/>
  <c r="AT503" i="178"/>
  <c r="BJ503" i="178"/>
  <c r="BK461" i="178"/>
  <c r="AR461" i="178"/>
  <c r="AV461" i="178"/>
  <c r="AZ461" i="178"/>
  <c r="BD461" i="178"/>
  <c r="BH461" i="178"/>
  <c r="BM461" i="178"/>
  <c r="AT461" i="178"/>
  <c r="BJ461" i="178"/>
  <c r="AX461" i="178"/>
  <c r="BB461" i="178"/>
  <c r="BF461" i="178"/>
  <c r="BK333" i="178"/>
  <c r="AV333" i="178"/>
  <c r="AZ333" i="178"/>
  <c r="BD333" i="178"/>
  <c r="BH333" i="178"/>
  <c r="AR333" i="178"/>
  <c r="BM333" i="178"/>
  <c r="BF333" i="178"/>
  <c r="AT333" i="178"/>
  <c r="BJ333" i="178"/>
  <c r="AX333" i="178"/>
  <c r="BB333" i="178"/>
  <c r="AR309" i="178"/>
  <c r="AV309" i="178"/>
  <c r="AZ309" i="178"/>
  <c r="BD309" i="178"/>
  <c r="BH309" i="178"/>
  <c r="BM309" i="178"/>
  <c r="AT309" i="178"/>
  <c r="AX309" i="178"/>
  <c r="BB309" i="178"/>
  <c r="BF309" i="178"/>
  <c r="BJ309" i="178"/>
  <c r="BK309" i="178"/>
  <c r="AR255" i="178"/>
  <c r="AV255" i="178"/>
  <c r="AZ255" i="178"/>
  <c r="BD255" i="178"/>
  <c r="BH255" i="178"/>
  <c r="BM255" i="178"/>
  <c r="AT255" i="178"/>
  <c r="AX255" i="178"/>
  <c r="BB255" i="178"/>
  <c r="BF255" i="178"/>
  <c r="BJ255" i="178"/>
  <c r="BK255" i="178"/>
  <c r="AR241" i="178"/>
  <c r="AV241" i="178"/>
  <c r="AZ241" i="178"/>
  <c r="BD241" i="178"/>
  <c r="BH241" i="178"/>
  <c r="BM241" i="178"/>
  <c r="AT241" i="178"/>
  <c r="AX241" i="178"/>
  <c r="BB241" i="178"/>
  <c r="BF241" i="178"/>
  <c r="BJ241" i="178"/>
  <c r="BK241" i="178"/>
  <c r="AR192" i="178"/>
  <c r="AV192" i="178"/>
  <c r="AZ192" i="178"/>
  <c r="BD192" i="178"/>
  <c r="BH192" i="178"/>
  <c r="BM192" i="178"/>
  <c r="AT192" i="178"/>
  <c r="AX192" i="178"/>
  <c r="BB192" i="178"/>
  <c r="BF192" i="178"/>
  <c r="BJ192" i="178"/>
  <c r="BK192" i="178"/>
  <c r="AR126" i="178"/>
  <c r="AV126" i="178"/>
  <c r="AZ126" i="178"/>
  <c r="BD126" i="178"/>
  <c r="BH126" i="178"/>
  <c r="BM126" i="178"/>
  <c r="AT126" i="178"/>
  <c r="AX126" i="178"/>
  <c r="BB126" i="178"/>
  <c r="BF126" i="178"/>
  <c r="BJ126" i="178"/>
  <c r="BK126" i="178"/>
  <c r="AR122" i="178"/>
  <c r="AV122" i="178"/>
  <c r="AZ122" i="178"/>
  <c r="BD122" i="178"/>
  <c r="BH122" i="178"/>
  <c r="BM122" i="178"/>
  <c r="AT122" i="178"/>
  <c r="AX122" i="178"/>
  <c r="BB122" i="178"/>
  <c r="BF122" i="178"/>
  <c r="BJ122" i="178"/>
  <c r="BK122" i="178"/>
  <c r="AR81" i="178"/>
  <c r="AV81" i="178"/>
  <c r="AZ81" i="178"/>
  <c r="BD81" i="178"/>
  <c r="BH81" i="178"/>
  <c r="BM81" i="178"/>
  <c r="AT81" i="178"/>
  <c r="AX81" i="178"/>
  <c r="BB81" i="178"/>
  <c r="BF81" i="178"/>
  <c r="BJ81" i="178"/>
  <c r="BK81" i="178"/>
  <c r="AR73" i="178"/>
  <c r="AV73" i="178"/>
  <c r="AZ73" i="178"/>
  <c r="BD73" i="178"/>
  <c r="BH73" i="178"/>
  <c r="BM73" i="178"/>
  <c r="AT73" i="178"/>
  <c r="AX73" i="178"/>
  <c r="BB73" i="178"/>
  <c r="BF73" i="178"/>
  <c r="BJ73" i="178"/>
  <c r="BK73" i="178"/>
  <c r="AR49" i="178"/>
  <c r="AV49" i="178"/>
  <c r="AZ49" i="178"/>
  <c r="BD49" i="178"/>
  <c r="BH49" i="178"/>
  <c r="BM49" i="178"/>
  <c r="AT49" i="178"/>
  <c r="AX49" i="178"/>
  <c r="BB49" i="178"/>
  <c r="BF49" i="178"/>
  <c r="BJ49" i="178"/>
  <c r="BK49" i="178"/>
  <c r="AR1182" i="178"/>
  <c r="AV1182" i="178"/>
  <c r="AZ1182" i="178"/>
  <c r="BD1182" i="178"/>
  <c r="BH1182" i="178"/>
  <c r="BM1182" i="178"/>
  <c r="AT1182" i="178"/>
  <c r="AX1182" i="178"/>
  <c r="BB1182" i="178"/>
  <c r="BF1182" i="178"/>
  <c r="BJ1182" i="178"/>
  <c r="BK1182" i="178"/>
  <c r="AR1025" i="178"/>
  <c r="AV1025" i="178"/>
  <c r="AZ1025" i="178"/>
  <c r="BD1025" i="178"/>
  <c r="BH1025" i="178"/>
  <c r="BM1025" i="178"/>
  <c r="AT1025" i="178"/>
  <c r="AX1025" i="178"/>
  <c r="BB1025" i="178"/>
  <c r="BF1025" i="178"/>
  <c r="BJ1025" i="178"/>
  <c r="BK1025" i="178"/>
  <c r="AR1015" i="178"/>
  <c r="AV1015" i="178"/>
  <c r="AZ1015" i="178"/>
  <c r="BD1015" i="178"/>
  <c r="BH1015" i="178"/>
  <c r="BM1015" i="178"/>
  <c r="AT1015" i="178"/>
  <c r="AX1015" i="178"/>
  <c r="BB1015" i="178"/>
  <c r="BF1015" i="178"/>
  <c r="BJ1015" i="178"/>
  <c r="BK1015" i="178"/>
  <c r="AR974" i="178"/>
  <c r="AV974" i="178"/>
  <c r="AZ974" i="178"/>
  <c r="BD974" i="178"/>
  <c r="BH974" i="178"/>
  <c r="BM974" i="178"/>
  <c r="AT974" i="178"/>
  <c r="AX974" i="178"/>
  <c r="BB974" i="178"/>
  <c r="BF974" i="178"/>
  <c r="BJ974" i="178"/>
  <c r="BK974" i="178"/>
  <c r="AR743" i="178"/>
  <c r="AV743" i="178"/>
  <c r="AZ743" i="178"/>
  <c r="BD743" i="178"/>
  <c r="BH743" i="178"/>
  <c r="BM743" i="178"/>
  <c r="AT743" i="178"/>
  <c r="AX743" i="178"/>
  <c r="BB743" i="178"/>
  <c r="BF743" i="178"/>
  <c r="BJ743" i="178"/>
  <c r="BK743" i="178"/>
  <c r="AR575" i="178"/>
  <c r="AV575" i="178"/>
  <c r="AZ575" i="178"/>
  <c r="BD575" i="178"/>
  <c r="BH575" i="178"/>
  <c r="BM575" i="178"/>
  <c r="AT575" i="178"/>
  <c r="AX575" i="178"/>
  <c r="BB575" i="178"/>
  <c r="BF575" i="178"/>
  <c r="BJ575" i="178"/>
  <c r="BK575" i="178"/>
  <c r="AR433" i="178"/>
  <c r="AV433" i="178"/>
  <c r="AZ433" i="178"/>
  <c r="BD433" i="178"/>
  <c r="BH433" i="178"/>
  <c r="BM433" i="178"/>
  <c r="AT433" i="178"/>
  <c r="AX433" i="178"/>
  <c r="BB433" i="178"/>
  <c r="BF433" i="178"/>
  <c r="BJ433" i="178"/>
  <c r="BK433" i="178"/>
  <c r="AR289" i="178"/>
  <c r="AV289" i="178"/>
  <c r="AZ289" i="178"/>
  <c r="BD289" i="178"/>
  <c r="BH289" i="178"/>
  <c r="BM289" i="178"/>
  <c r="AT289" i="178"/>
  <c r="AX289" i="178"/>
  <c r="BB289" i="178"/>
  <c r="BF289" i="178"/>
  <c r="BJ289" i="178"/>
  <c r="BK289" i="178"/>
  <c r="AR1064" i="178"/>
  <c r="AV1064" i="178"/>
  <c r="AZ1064" i="178"/>
  <c r="BD1064" i="178"/>
  <c r="BH1064" i="178"/>
  <c r="BM1064" i="178"/>
  <c r="AT1064" i="178"/>
  <c r="AX1064" i="178"/>
  <c r="BB1064" i="178"/>
  <c r="BF1064" i="178"/>
  <c r="BJ1064" i="178"/>
  <c r="BK1064" i="178"/>
  <c r="AR148" i="178"/>
  <c r="AV148" i="178"/>
  <c r="AZ148" i="178"/>
  <c r="BD148" i="178"/>
  <c r="BH148" i="178"/>
  <c r="BM148" i="178"/>
  <c r="AT148" i="178"/>
  <c r="AX148" i="178"/>
  <c r="BB148" i="178"/>
  <c r="BF148" i="178"/>
  <c r="BJ148" i="178"/>
  <c r="BK148" i="178"/>
  <c r="AR699" i="178"/>
  <c r="AV699" i="178"/>
  <c r="AZ699" i="178"/>
  <c r="BD699" i="178"/>
  <c r="BH699" i="178"/>
  <c r="BM699" i="178"/>
  <c r="AT699" i="178"/>
  <c r="AX699" i="178"/>
  <c r="BB699" i="178"/>
  <c r="BF699" i="178"/>
  <c r="BJ699" i="178"/>
  <c r="BK699" i="178"/>
  <c r="AR892" i="178"/>
  <c r="AV892" i="178"/>
  <c r="AZ892" i="178"/>
  <c r="BD892" i="178"/>
  <c r="BH892" i="178"/>
  <c r="BM892" i="178"/>
  <c r="AT892" i="178"/>
  <c r="AX892" i="178"/>
  <c r="BB892" i="178"/>
  <c r="BF892" i="178"/>
  <c r="BJ892" i="178"/>
  <c r="BK892" i="178"/>
  <c r="BM945" i="178"/>
  <c r="AT945" i="178"/>
  <c r="AX945" i="178"/>
  <c r="BB945" i="178"/>
  <c r="BF945" i="178"/>
  <c r="BJ945" i="178"/>
  <c r="BK945" i="178"/>
  <c r="BD945" i="178"/>
  <c r="AR945" i="178"/>
  <c r="BH945" i="178"/>
  <c r="AV945" i="178"/>
  <c r="AZ945" i="178"/>
  <c r="BM394" i="178"/>
  <c r="AT394" i="178"/>
  <c r="AX394" i="178"/>
  <c r="BB394" i="178"/>
  <c r="BF394" i="178"/>
  <c r="BJ394" i="178"/>
  <c r="BK394" i="178"/>
  <c r="AZ394" i="178"/>
  <c r="BD394" i="178"/>
  <c r="AR394" i="178"/>
  <c r="BH394" i="178"/>
  <c r="AV394" i="178"/>
  <c r="BM492" i="178"/>
  <c r="AT492" i="178"/>
  <c r="AX492" i="178"/>
  <c r="BB492" i="178"/>
  <c r="BF492" i="178"/>
  <c r="BJ492" i="178"/>
  <c r="BK492" i="178"/>
  <c r="AV492" i="178"/>
  <c r="AZ492" i="178"/>
  <c r="BD492" i="178"/>
  <c r="BH492" i="178"/>
  <c r="AR492" i="178"/>
  <c r="BM689" i="178"/>
  <c r="AT689" i="178"/>
  <c r="AX689" i="178"/>
  <c r="BB689" i="178"/>
  <c r="BF689" i="178"/>
  <c r="BJ689" i="178"/>
  <c r="BK689" i="178"/>
  <c r="AR689" i="178"/>
  <c r="BH689" i="178"/>
  <c r="AV689" i="178"/>
  <c r="AZ689" i="178"/>
  <c r="BD689" i="178"/>
  <c r="BM640" i="178"/>
  <c r="AT640" i="178"/>
  <c r="AX640" i="178"/>
  <c r="BB640" i="178"/>
  <c r="BF640" i="178"/>
  <c r="BJ640" i="178"/>
  <c r="BK640" i="178"/>
  <c r="BD640" i="178"/>
  <c r="AR640" i="178"/>
  <c r="BH640" i="178"/>
  <c r="AV640" i="178"/>
  <c r="AZ640" i="178"/>
  <c r="BM639" i="178"/>
  <c r="AT639" i="178"/>
  <c r="AX639" i="178"/>
  <c r="BB639" i="178"/>
  <c r="BF639" i="178"/>
  <c r="BJ639" i="178"/>
  <c r="BK639" i="178"/>
  <c r="AZ639" i="178"/>
  <c r="BD639" i="178"/>
  <c r="AR639" i="178"/>
  <c r="BH639" i="178"/>
  <c r="AV639" i="178"/>
  <c r="BM942" i="178"/>
  <c r="AT942" i="178"/>
  <c r="AX942" i="178"/>
  <c r="BB942" i="178"/>
  <c r="BF942" i="178"/>
  <c r="BJ942" i="178"/>
  <c r="BK942" i="178"/>
  <c r="AV942" i="178"/>
  <c r="AZ942" i="178"/>
  <c r="BD942" i="178"/>
  <c r="AR942" i="178"/>
  <c r="BH942" i="178"/>
  <c r="BM439" i="178"/>
  <c r="AT439" i="178"/>
  <c r="AX439" i="178"/>
  <c r="BB439" i="178"/>
  <c r="BF439" i="178"/>
  <c r="BJ439" i="178"/>
  <c r="BK439" i="178"/>
  <c r="AR439" i="178"/>
  <c r="BH439" i="178"/>
  <c r="AV439" i="178"/>
  <c r="AZ439" i="178"/>
  <c r="BD439" i="178"/>
  <c r="BM1148" i="178"/>
  <c r="AT1148" i="178"/>
  <c r="AX1148" i="178"/>
  <c r="BB1148" i="178"/>
  <c r="BF1148" i="178"/>
  <c r="BJ1148" i="178"/>
  <c r="BK1148" i="178"/>
  <c r="AZ1148" i="178"/>
  <c r="BD1148" i="178"/>
  <c r="AR1148" i="178"/>
  <c r="BH1148" i="178"/>
  <c r="AV1148" i="178"/>
  <c r="BM941" i="178"/>
  <c r="AT941" i="178"/>
  <c r="AX941" i="178"/>
  <c r="BB941" i="178"/>
  <c r="BF941" i="178"/>
  <c r="BJ941" i="178"/>
  <c r="BK941" i="178"/>
  <c r="AV941" i="178"/>
  <c r="AZ941" i="178"/>
  <c r="BD941" i="178"/>
  <c r="AR941" i="178"/>
  <c r="BH941" i="178"/>
  <c r="BM390" i="178"/>
  <c r="AT390" i="178"/>
  <c r="AX390" i="178"/>
  <c r="BB390" i="178"/>
  <c r="BF390" i="178"/>
  <c r="BJ390" i="178"/>
  <c r="BK390" i="178"/>
  <c r="AR390" i="178"/>
  <c r="BH390" i="178"/>
  <c r="AV390" i="178"/>
  <c r="AZ390" i="178"/>
  <c r="BD390" i="178"/>
  <c r="BM414" i="178"/>
  <c r="AT414" i="178"/>
  <c r="AX414" i="178"/>
  <c r="BB414" i="178"/>
  <c r="BF414" i="178"/>
  <c r="BJ414" i="178"/>
  <c r="BK414" i="178"/>
  <c r="BD414" i="178"/>
  <c r="AR414" i="178"/>
  <c r="BH414" i="178"/>
  <c r="AV414" i="178"/>
  <c r="AZ414" i="178"/>
  <c r="BM671" i="178"/>
  <c r="AT671" i="178"/>
  <c r="AX671" i="178"/>
  <c r="BB671" i="178"/>
  <c r="BF671" i="178"/>
  <c r="BJ671" i="178"/>
  <c r="BK671" i="178"/>
  <c r="AZ671" i="178"/>
  <c r="BD671" i="178"/>
  <c r="AR671" i="178"/>
  <c r="BH671" i="178"/>
  <c r="AV671" i="178"/>
  <c r="BM174" i="178"/>
  <c r="AT174" i="178"/>
  <c r="AX174" i="178"/>
  <c r="BB174" i="178"/>
  <c r="BF174" i="178"/>
  <c r="BJ174" i="178"/>
  <c r="BK174" i="178"/>
  <c r="AV174" i="178"/>
  <c r="AZ174" i="178"/>
  <c r="BD174" i="178"/>
  <c r="AR174" i="178"/>
  <c r="BH174" i="178"/>
  <c r="BM292" i="178"/>
  <c r="AT292" i="178"/>
  <c r="AX292" i="178"/>
  <c r="BB292" i="178"/>
  <c r="BF292" i="178"/>
  <c r="BJ292" i="178"/>
  <c r="BK292" i="178"/>
  <c r="AR292" i="178"/>
  <c r="BH292" i="178"/>
  <c r="AV292" i="178"/>
  <c r="AZ292" i="178"/>
  <c r="BD292" i="178"/>
  <c r="BM859" i="178"/>
  <c r="AT859" i="178"/>
  <c r="AX859" i="178"/>
  <c r="BB859" i="178"/>
  <c r="BF859" i="178"/>
  <c r="BJ859" i="178"/>
  <c r="BK859" i="178"/>
  <c r="BD859" i="178"/>
  <c r="AR859" i="178"/>
  <c r="BH859" i="178"/>
  <c r="AV859" i="178"/>
  <c r="AZ859" i="178"/>
  <c r="AR872" i="178"/>
  <c r="AV872" i="178"/>
  <c r="AZ872" i="178"/>
  <c r="BD872" i="178"/>
  <c r="BB872" i="178"/>
  <c r="BM872" i="178"/>
  <c r="BF872" i="178"/>
  <c r="BJ872" i="178"/>
  <c r="AT872" i="178"/>
  <c r="BK872" i="178"/>
  <c r="AX872" i="178"/>
  <c r="BH872" i="178"/>
  <c r="S1129" i="178"/>
  <c r="S1126" i="178"/>
  <c r="S958" i="178"/>
  <c r="S1098" i="178"/>
  <c r="S695" i="178"/>
  <c r="S707" i="178"/>
  <c r="S679" i="178"/>
  <c r="S677" i="178"/>
  <c r="S1095" i="178"/>
  <c r="S1111" i="178"/>
  <c r="S1102" i="178"/>
  <c r="S628" i="178"/>
  <c r="S623" i="178"/>
  <c r="S620" i="178"/>
  <c r="S613" i="178"/>
  <c r="S609" i="178"/>
  <c r="S605" i="178"/>
  <c r="S598" i="178"/>
  <c r="S594" i="178"/>
  <c r="S590" i="178"/>
  <c r="S586" i="178"/>
  <c r="S408" i="178"/>
  <c r="S404" i="178"/>
  <c r="S400" i="178"/>
  <c r="S385" i="178"/>
  <c r="S381" i="178"/>
  <c r="S377" i="178"/>
  <c r="S373" i="178"/>
  <c r="S1158" i="178"/>
  <c r="S947" i="178"/>
  <c r="S845" i="178"/>
  <c r="S762" i="178"/>
  <c r="S760" i="178"/>
  <c r="S602" i="178"/>
  <c r="S578" i="178"/>
  <c r="S471" i="178"/>
  <c r="S372" i="178"/>
  <c r="S312" i="178"/>
  <c r="S251" i="178"/>
  <c r="S194" i="178"/>
  <c r="S128" i="178"/>
  <c r="S29" i="178"/>
  <c r="S1165" i="178"/>
  <c r="S976" i="178"/>
  <c r="S1278" i="178"/>
  <c r="S841" i="178"/>
  <c r="S837" i="178"/>
  <c r="S787" i="178"/>
  <c r="S783" i="178"/>
  <c r="S758" i="178"/>
  <c r="S754" i="178"/>
  <c r="S750" i="178"/>
  <c r="S617" i="178"/>
  <c r="S532" i="178"/>
  <c r="S475" i="178"/>
  <c r="S370" i="178"/>
  <c r="S261" i="178"/>
  <c r="S132" i="178"/>
  <c r="S74" i="178"/>
  <c r="S1185" i="178"/>
  <c r="S1156" i="178"/>
  <c r="S1042" i="178"/>
  <c r="S980" i="178"/>
  <c r="S975" i="178"/>
  <c r="S948" i="178"/>
  <c r="S830" i="178"/>
  <c r="S775" i="178"/>
  <c r="S746" i="178"/>
  <c r="S659" i="178"/>
  <c r="S508" i="178"/>
  <c r="S469" i="178"/>
  <c r="S334" i="178"/>
  <c r="S310" i="178"/>
  <c r="S256" i="178"/>
  <c r="S242" i="178"/>
  <c r="S193" i="178"/>
  <c r="S130" i="178"/>
  <c r="S123" i="178"/>
  <c r="S82" i="178"/>
  <c r="S75" i="178"/>
  <c r="S54" i="178"/>
  <c r="S13" i="178"/>
  <c r="S1057" i="178"/>
  <c r="S1016" i="178"/>
  <c r="S1008" i="178"/>
  <c r="S829" i="178"/>
  <c r="S658" i="178"/>
  <c r="S473" i="178"/>
  <c r="S308" i="178"/>
  <c r="S280" i="178"/>
  <c r="S480" i="178"/>
  <c r="S700" i="178"/>
  <c r="S356" i="178"/>
  <c r="S803" i="178"/>
  <c r="S419" i="178"/>
  <c r="S1153" i="178"/>
  <c r="S900" i="178"/>
  <c r="S923" i="178"/>
  <c r="S922" i="178"/>
  <c r="S1147" i="178"/>
  <c r="S485" i="178"/>
  <c r="S1149" i="178"/>
  <c r="S353" i="178"/>
  <c r="S352" i="178"/>
  <c r="S415" i="178"/>
  <c r="S636" i="178"/>
  <c r="S861" i="178"/>
  <c r="S293" i="178"/>
  <c r="S734" i="178"/>
  <c r="S862" i="178"/>
  <c r="S663" i="178"/>
  <c r="S826" i="178"/>
  <c r="S726" i="178"/>
  <c r="S554" i="178"/>
  <c r="S890" i="178"/>
  <c r="S634" i="178"/>
  <c r="S387" i="178"/>
  <c r="S822" i="178"/>
  <c r="S552" i="178"/>
  <c r="S880" i="178"/>
  <c r="S633" i="178"/>
  <c r="V491" i="178"/>
  <c r="U393" i="178"/>
  <c r="V391" i="178"/>
  <c r="V354" i="178"/>
  <c r="V874" i="178"/>
  <c r="V887" i="178"/>
  <c r="V781" i="178"/>
  <c r="V45" i="178"/>
  <c r="V263" i="178"/>
  <c r="V257" i="178"/>
  <c r="V225" i="178"/>
  <c r="V1129" i="178"/>
  <c r="V1127" i="178"/>
  <c r="V1126" i="178"/>
  <c r="V963" i="178"/>
  <c r="V958" i="178"/>
  <c r="V1107" i="178"/>
  <c r="V1098" i="178"/>
  <c r="V1130" i="178"/>
  <c r="V721" i="178"/>
  <c r="V695" i="178"/>
  <c r="V715" i="178"/>
  <c r="V707" i="178"/>
  <c r="V1089" i="178"/>
  <c r="V1106" i="178"/>
  <c r="V679" i="178"/>
  <c r="V363" i="178"/>
  <c r="V677" i="178"/>
  <c r="V675" i="178"/>
  <c r="V1095" i="178"/>
  <c r="V1104" i="178"/>
  <c r="V1111" i="178"/>
  <c r="V1109" i="178"/>
  <c r="V1102" i="178"/>
  <c r="V630" i="178"/>
  <c r="V628" i="178"/>
  <c r="V626" i="178"/>
  <c r="V623" i="178"/>
  <c r="V624" i="178"/>
  <c r="V620" i="178"/>
  <c r="V615" i="178"/>
  <c r="V613" i="178"/>
  <c r="V608" i="178"/>
  <c r="V599" i="178"/>
  <c r="V595" i="178"/>
  <c r="V591" i="178"/>
  <c r="V587" i="178"/>
  <c r="V409" i="178"/>
  <c r="V405" i="178"/>
  <c r="V401" i="178"/>
  <c r="V386" i="178"/>
  <c r="V382" i="178"/>
  <c r="V378" i="178"/>
  <c r="V374" i="178"/>
  <c r="V1159" i="178"/>
  <c r="V982" i="178"/>
  <c r="V846" i="178"/>
  <c r="V789" i="178"/>
  <c r="V761" i="178"/>
  <c r="V618" i="178"/>
  <c r="V584" i="178"/>
  <c r="V505" i="178"/>
  <c r="V396" i="178"/>
  <c r="V332" i="178"/>
  <c r="V266" i="178"/>
  <c r="V231" i="178"/>
  <c r="V129" i="178"/>
  <c r="V1187" i="178"/>
  <c r="V123" i="178"/>
  <c r="V122" i="178"/>
  <c r="V82" i="178"/>
  <c r="V81" i="178"/>
  <c r="V75" i="178"/>
  <c r="V73" i="178"/>
  <c r="V1059" i="178"/>
  <c r="V1026" i="178"/>
  <c r="V1010" i="178"/>
  <c r="V829" i="178"/>
  <c r="V530" i="178"/>
  <c r="V308" i="178"/>
  <c r="U639" i="178"/>
  <c r="V827" i="178"/>
  <c r="V727" i="178"/>
  <c r="U876" i="178"/>
  <c r="BJ1132" i="178"/>
  <c r="AT1132" i="178"/>
  <c r="BH1128" i="178"/>
  <c r="AR1128" i="178"/>
  <c r="AY1127" i="178"/>
  <c r="BM1126" i="178"/>
  <c r="BD1035" i="178"/>
  <c r="BB962" i="178"/>
  <c r="AZ1108" i="178"/>
  <c r="BG1107" i="178"/>
  <c r="AX1099" i="178"/>
  <c r="AV1097" i="178"/>
  <c r="BH894" i="178"/>
  <c r="AR894" i="178"/>
  <c r="AY1130" i="178"/>
  <c r="BD938" i="178"/>
  <c r="BK732" i="178"/>
  <c r="AR732" i="178"/>
  <c r="AV732" i="178"/>
  <c r="AZ732" i="178"/>
  <c r="BD732" i="178"/>
  <c r="BH732" i="178"/>
  <c r="BM732" i="178"/>
  <c r="AX732" i="178"/>
  <c r="BB732" i="178"/>
  <c r="BF732" i="178"/>
  <c r="BJ732" i="178"/>
  <c r="AT732" i="178"/>
  <c r="BK908" i="178"/>
  <c r="AR908" i="178"/>
  <c r="AV908" i="178"/>
  <c r="AZ908" i="178"/>
  <c r="BD908" i="178"/>
  <c r="BH908" i="178"/>
  <c r="BM908" i="178"/>
  <c r="AT908" i="178"/>
  <c r="BJ908" i="178"/>
  <c r="AX908" i="178"/>
  <c r="BB908" i="178"/>
  <c r="BF908" i="178"/>
  <c r="BK201" i="178"/>
  <c r="AR201" i="178"/>
  <c r="AV201" i="178"/>
  <c r="AZ201" i="178"/>
  <c r="BD201" i="178"/>
  <c r="BH201" i="178"/>
  <c r="BM201" i="178"/>
  <c r="BF201" i="178"/>
  <c r="AT201" i="178"/>
  <c r="BJ201" i="178"/>
  <c r="AX201" i="178"/>
  <c r="BB201" i="178"/>
  <c r="BK883" i="178"/>
  <c r="AR883" i="178"/>
  <c r="AV883" i="178"/>
  <c r="AZ883" i="178"/>
  <c r="BD883" i="178"/>
  <c r="BH883" i="178"/>
  <c r="BM883" i="178"/>
  <c r="BB883" i="178"/>
  <c r="BF883" i="178"/>
  <c r="AT883" i="178"/>
  <c r="BJ883" i="178"/>
  <c r="AX883" i="178"/>
  <c r="BK581" i="178"/>
  <c r="AR581" i="178"/>
  <c r="AV581" i="178"/>
  <c r="AZ581" i="178"/>
  <c r="BD581" i="178"/>
  <c r="BH581" i="178"/>
  <c r="BM581" i="178"/>
  <c r="AX581" i="178"/>
  <c r="BB581" i="178"/>
  <c r="BF581" i="178"/>
  <c r="AT581" i="178"/>
  <c r="BJ581" i="178"/>
  <c r="BK865" i="178"/>
  <c r="AR865" i="178"/>
  <c r="AV865" i="178"/>
  <c r="AZ865" i="178"/>
  <c r="BD865" i="178"/>
  <c r="BH865" i="178"/>
  <c r="BM865" i="178"/>
  <c r="AT865" i="178"/>
  <c r="BJ865" i="178"/>
  <c r="AX865" i="178"/>
  <c r="BB865" i="178"/>
  <c r="BF865" i="178"/>
  <c r="AR821" i="178"/>
  <c r="AV821" i="178"/>
  <c r="AZ821" i="178"/>
  <c r="BD821" i="178"/>
  <c r="BH821" i="178"/>
  <c r="BM821" i="178"/>
  <c r="AT821" i="178"/>
  <c r="AX821" i="178"/>
  <c r="BB821" i="178"/>
  <c r="BF821" i="178"/>
  <c r="BJ821" i="178"/>
  <c r="BK821" i="178"/>
  <c r="AR170" i="178"/>
  <c r="AV170" i="178"/>
  <c r="AZ170" i="178"/>
  <c r="BD170" i="178"/>
  <c r="BH170" i="178"/>
  <c r="BM170" i="178"/>
  <c r="AT170" i="178"/>
  <c r="AX170" i="178"/>
  <c r="BB170" i="178"/>
  <c r="BF170" i="178"/>
  <c r="BJ170" i="178"/>
  <c r="BK170" i="178"/>
  <c r="AR819" i="178"/>
  <c r="AV819" i="178"/>
  <c r="AZ819" i="178"/>
  <c r="BD819" i="178"/>
  <c r="BH819" i="178"/>
  <c r="BM819" i="178"/>
  <c r="AT819" i="178"/>
  <c r="AX819" i="178"/>
  <c r="BB819" i="178"/>
  <c r="BF819" i="178"/>
  <c r="BJ819" i="178"/>
  <c r="BK819" i="178"/>
  <c r="AR632" i="178"/>
  <c r="AV632" i="178"/>
  <c r="AZ632" i="178"/>
  <c r="BD632" i="178"/>
  <c r="BH632" i="178"/>
  <c r="BM632" i="178"/>
  <c r="AT632" i="178"/>
  <c r="AX632" i="178"/>
  <c r="BB632" i="178"/>
  <c r="BF632" i="178"/>
  <c r="BJ632" i="178"/>
  <c r="BK632" i="178"/>
  <c r="AR1127" i="178"/>
  <c r="AV1127" i="178"/>
  <c r="AZ1127" i="178"/>
  <c r="BD1127" i="178"/>
  <c r="BH1127" i="178"/>
  <c r="BM1127" i="178"/>
  <c r="AT1127" i="178"/>
  <c r="AX1127" i="178"/>
  <c r="BB1127" i="178"/>
  <c r="BF1127" i="178"/>
  <c r="BJ1127" i="178"/>
  <c r="AR963" i="178"/>
  <c r="AV963" i="178"/>
  <c r="AZ963" i="178"/>
  <c r="BD963" i="178"/>
  <c r="BH963" i="178"/>
  <c r="BM963" i="178"/>
  <c r="AT963" i="178"/>
  <c r="AX963" i="178"/>
  <c r="BB963" i="178"/>
  <c r="BF963" i="178"/>
  <c r="BJ963" i="178"/>
  <c r="AR1107" i="178"/>
  <c r="AV1107" i="178"/>
  <c r="AZ1107" i="178"/>
  <c r="BD1107" i="178"/>
  <c r="BH1107" i="178"/>
  <c r="BM1107" i="178"/>
  <c r="AT1107" i="178"/>
  <c r="AX1107" i="178"/>
  <c r="BB1107" i="178"/>
  <c r="BF1107" i="178"/>
  <c r="BJ1107" i="178"/>
  <c r="AR1130" i="178"/>
  <c r="AV1130" i="178"/>
  <c r="AZ1130" i="178"/>
  <c r="BD1130" i="178"/>
  <c r="BH1130" i="178"/>
  <c r="BM1130" i="178"/>
  <c r="AT1130" i="178"/>
  <c r="AX1130" i="178"/>
  <c r="BB1130" i="178"/>
  <c r="BF1130" i="178"/>
  <c r="BJ1130" i="178"/>
  <c r="AR721" i="178"/>
  <c r="AV721" i="178"/>
  <c r="AZ721" i="178"/>
  <c r="BD721" i="178"/>
  <c r="BH721" i="178"/>
  <c r="BM721" i="178"/>
  <c r="AT721" i="178"/>
  <c r="AX721" i="178"/>
  <c r="BB721" i="178"/>
  <c r="BF721" i="178"/>
  <c r="BJ721" i="178"/>
  <c r="AR715" i="178"/>
  <c r="AV715" i="178"/>
  <c r="AZ715" i="178"/>
  <c r="BD715" i="178"/>
  <c r="BH715" i="178"/>
  <c r="BM715" i="178"/>
  <c r="AT715" i="178"/>
  <c r="AX715" i="178"/>
  <c r="BB715" i="178"/>
  <c r="BF715" i="178"/>
  <c r="BJ715" i="178"/>
  <c r="BK715" i="178"/>
  <c r="AR1089" i="178"/>
  <c r="AV1089" i="178"/>
  <c r="AZ1089" i="178"/>
  <c r="BD1089" i="178"/>
  <c r="BH1089" i="178"/>
  <c r="BM1089" i="178"/>
  <c r="AT1089" i="178"/>
  <c r="AX1089" i="178"/>
  <c r="BB1089" i="178"/>
  <c r="BF1089" i="178"/>
  <c r="BJ1089" i="178"/>
  <c r="BK1089" i="178"/>
  <c r="AR1106" i="178"/>
  <c r="AV1106" i="178"/>
  <c r="AZ1106" i="178"/>
  <c r="BD1106" i="178"/>
  <c r="BH1106" i="178"/>
  <c r="BM1106" i="178"/>
  <c r="AT1106" i="178"/>
  <c r="AX1106" i="178"/>
  <c r="BB1106" i="178"/>
  <c r="BF1106" i="178"/>
  <c r="BJ1106" i="178"/>
  <c r="BK1106" i="178"/>
  <c r="AR363" i="178"/>
  <c r="AV363" i="178"/>
  <c r="AZ363" i="178"/>
  <c r="BD363" i="178"/>
  <c r="BH363" i="178"/>
  <c r="BM363" i="178"/>
  <c r="AT363" i="178"/>
  <c r="AX363" i="178"/>
  <c r="BB363" i="178"/>
  <c r="BF363" i="178"/>
  <c r="BJ363" i="178"/>
  <c r="BK363" i="178"/>
  <c r="AR675" i="178"/>
  <c r="AV675" i="178"/>
  <c r="AZ675" i="178"/>
  <c r="BD675" i="178"/>
  <c r="BH675" i="178"/>
  <c r="BM675" i="178"/>
  <c r="AT675" i="178"/>
  <c r="AX675" i="178"/>
  <c r="BB675" i="178"/>
  <c r="BF675" i="178"/>
  <c r="BJ675" i="178"/>
  <c r="BK675" i="178"/>
  <c r="AR1104" i="178"/>
  <c r="AV1104" i="178"/>
  <c r="AZ1104" i="178"/>
  <c r="BD1104" i="178"/>
  <c r="BH1104" i="178"/>
  <c r="BM1104" i="178"/>
  <c r="AT1104" i="178"/>
  <c r="AX1104" i="178"/>
  <c r="BB1104" i="178"/>
  <c r="BF1104" i="178"/>
  <c r="BJ1104" i="178"/>
  <c r="BK1104" i="178"/>
  <c r="AR1109" i="178"/>
  <c r="AV1109" i="178"/>
  <c r="AZ1109" i="178"/>
  <c r="BD1109" i="178"/>
  <c r="BH1109" i="178"/>
  <c r="BM1109" i="178"/>
  <c r="AT1109" i="178"/>
  <c r="AX1109" i="178"/>
  <c r="BB1109" i="178"/>
  <c r="BF1109" i="178"/>
  <c r="BJ1109" i="178"/>
  <c r="BK1109" i="178"/>
  <c r="AR630" i="178"/>
  <c r="AV630" i="178"/>
  <c r="AZ630" i="178"/>
  <c r="BD630" i="178"/>
  <c r="BH630" i="178"/>
  <c r="BM630" i="178"/>
  <c r="AT630" i="178"/>
  <c r="AX630" i="178"/>
  <c r="BB630" i="178"/>
  <c r="BF630" i="178"/>
  <c r="BJ630" i="178"/>
  <c r="BK630" i="178"/>
  <c r="AR626" i="178"/>
  <c r="AV626" i="178"/>
  <c r="AZ626" i="178"/>
  <c r="BD626" i="178"/>
  <c r="BH626" i="178"/>
  <c r="BM626" i="178"/>
  <c r="AT626" i="178"/>
  <c r="AX626" i="178"/>
  <c r="BB626" i="178"/>
  <c r="BF626" i="178"/>
  <c r="BJ626" i="178"/>
  <c r="BK626" i="178"/>
  <c r="AR624" i="178"/>
  <c r="AV624" i="178"/>
  <c r="AZ624" i="178"/>
  <c r="BD624" i="178"/>
  <c r="BH624" i="178"/>
  <c r="BM624" i="178"/>
  <c r="AT624" i="178"/>
  <c r="AX624" i="178"/>
  <c r="BB624" i="178"/>
  <c r="BF624" i="178"/>
  <c r="BJ624" i="178"/>
  <c r="BK624" i="178"/>
  <c r="AR615" i="178"/>
  <c r="AV615" i="178"/>
  <c r="AZ615" i="178"/>
  <c r="BD615" i="178"/>
  <c r="BH615" i="178"/>
  <c r="BM615" i="178"/>
  <c r="AT615" i="178"/>
  <c r="AX615" i="178"/>
  <c r="BB615" i="178"/>
  <c r="BF615" i="178"/>
  <c r="BJ615" i="178"/>
  <c r="BK615" i="178"/>
  <c r="AR612" i="178"/>
  <c r="AV612" i="178"/>
  <c r="AZ612" i="178"/>
  <c r="BD612" i="178"/>
  <c r="BH612" i="178"/>
  <c r="BM612" i="178"/>
  <c r="AT612" i="178"/>
  <c r="AX612" i="178"/>
  <c r="BB612" i="178"/>
  <c r="BF612" i="178"/>
  <c r="BJ612" i="178"/>
  <c r="BK612" i="178"/>
  <c r="AR607" i="178"/>
  <c r="AV607" i="178"/>
  <c r="AZ607" i="178"/>
  <c r="BD607" i="178"/>
  <c r="BH607" i="178"/>
  <c r="BM607" i="178"/>
  <c r="AT607" i="178"/>
  <c r="AX607" i="178"/>
  <c r="BB607" i="178"/>
  <c r="BF607" i="178"/>
  <c r="BJ607" i="178"/>
  <c r="BK607" i="178"/>
  <c r="AR603" i="178"/>
  <c r="AV603" i="178"/>
  <c r="AZ603" i="178"/>
  <c r="BD603" i="178"/>
  <c r="BH603" i="178"/>
  <c r="BM603" i="178"/>
  <c r="AT603" i="178"/>
  <c r="AX603" i="178"/>
  <c r="BB603" i="178"/>
  <c r="BF603" i="178"/>
  <c r="BJ603" i="178"/>
  <c r="BK603" i="178"/>
  <c r="AR596" i="178"/>
  <c r="AV596" i="178"/>
  <c r="AZ596" i="178"/>
  <c r="BD596" i="178"/>
  <c r="BH596" i="178"/>
  <c r="BM596" i="178"/>
  <c r="AT596" i="178"/>
  <c r="AX596" i="178"/>
  <c r="BB596" i="178"/>
  <c r="BF596" i="178"/>
  <c r="BJ596" i="178"/>
  <c r="BK596" i="178"/>
  <c r="AR592" i="178"/>
  <c r="AV592" i="178"/>
  <c r="AZ592" i="178"/>
  <c r="BD592" i="178"/>
  <c r="BH592" i="178"/>
  <c r="BM592" i="178"/>
  <c r="AT592" i="178"/>
  <c r="AX592" i="178"/>
  <c r="BB592" i="178"/>
  <c r="BF592" i="178"/>
  <c r="BJ592" i="178"/>
  <c r="BK592" i="178"/>
  <c r="AR588" i="178"/>
  <c r="AV588" i="178"/>
  <c r="AZ588" i="178"/>
  <c r="BD588" i="178"/>
  <c r="BH588" i="178"/>
  <c r="BM588" i="178"/>
  <c r="AT588" i="178"/>
  <c r="AX588" i="178"/>
  <c r="BB588" i="178"/>
  <c r="BF588" i="178"/>
  <c r="BJ588" i="178"/>
  <c r="BK588" i="178"/>
  <c r="AR410" i="178"/>
  <c r="AV410" i="178"/>
  <c r="AZ410" i="178"/>
  <c r="BD410" i="178"/>
  <c r="BH410" i="178"/>
  <c r="BM410" i="178"/>
  <c r="AT410" i="178"/>
  <c r="AX410" i="178"/>
  <c r="BB410" i="178"/>
  <c r="BF410" i="178"/>
  <c r="BJ410" i="178"/>
  <c r="BK410" i="178"/>
  <c r="AR406" i="178"/>
  <c r="AV406" i="178"/>
  <c r="AZ406" i="178"/>
  <c r="BD406" i="178"/>
  <c r="BH406" i="178"/>
  <c r="BM406" i="178"/>
  <c r="AT406" i="178"/>
  <c r="AX406" i="178"/>
  <c r="BB406" i="178"/>
  <c r="BF406" i="178"/>
  <c r="BJ406" i="178"/>
  <c r="BK406" i="178"/>
  <c r="AR403" i="178"/>
  <c r="AV403" i="178"/>
  <c r="AZ403" i="178"/>
  <c r="BD403" i="178"/>
  <c r="BH403" i="178"/>
  <c r="BM403" i="178"/>
  <c r="AT403" i="178"/>
  <c r="AX403" i="178"/>
  <c r="BB403" i="178"/>
  <c r="BF403" i="178"/>
  <c r="BJ403" i="178"/>
  <c r="BK403" i="178"/>
  <c r="BM398" i="178"/>
  <c r="AT398" i="178"/>
  <c r="AX398" i="178"/>
  <c r="BB398" i="178"/>
  <c r="BF398" i="178"/>
  <c r="BJ398" i="178"/>
  <c r="AV398" i="178"/>
  <c r="BD398" i="178"/>
  <c r="AR398" i="178"/>
  <c r="AZ398" i="178"/>
  <c r="BH398" i="178"/>
  <c r="BK398" i="178"/>
  <c r="AR383" i="178"/>
  <c r="AV383" i="178"/>
  <c r="AZ383" i="178"/>
  <c r="BD383" i="178"/>
  <c r="BH383" i="178"/>
  <c r="BM383" i="178"/>
  <c r="AT383" i="178"/>
  <c r="AX383" i="178"/>
  <c r="BB383" i="178"/>
  <c r="BF383" i="178"/>
  <c r="BJ383" i="178"/>
  <c r="BK383" i="178"/>
  <c r="AR379" i="178"/>
  <c r="AV379" i="178"/>
  <c r="AZ379" i="178"/>
  <c r="BD379" i="178"/>
  <c r="BH379" i="178"/>
  <c r="BM379" i="178"/>
  <c r="AT379" i="178"/>
  <c r="AX379" i="178"/>
  <c r="BB379" i="178"/>
  <c r="BF379" i="178"/>
  <c r="BJ379" i="178"/>
  <c r="BK379" i="178"/>
  <c r="AR375" i="178"/>
  <c r="AV375" i="178"/>
  <c r="AZ375" i="178"/>
  <c r="BD375" i="178"/>
  <c r="BH375" i="178"/>
  <c r="BM375" i="178"/>
  <c r="AT375" i="178"/>
  <c r="AX375" i="178"/>
  <c r="BB375" i="178"/>
  <c r="BF375" i="178"/>
  <c r="BJ375" i="178"/>
  <c r="BK375" i="178"/>
  <c r="AR1188" i="178"/>
  <c r="AV1188" i="178"/>
  <c r="AZ1188" i="178"/>
  <c r="BD1188" i="178"/>
  <c r="BH1188" i="178"/>
  <c r="BM1188" i="178"/>
  <c r="AT1188" i="178"/>
  <c r="AX1188" i="178"/>
  <c r="BB1188" i="178"/>
  <c r="BF1188" i="178"/>
  <c r="BJ1188" i="178"/>
  <c r="BK1188" i="178"/>
  <c r="AR1011" i="178"/>
  <c r="AV1011" i="178"/>
  <c r="AZ1011" i="178"/>
  <c r="BD1011" i="178"/>
  <c r="BH1011" i="178"/>
  <c r="BM1011" i="178"/>
  <c r="AT1011" i="178"/>
  <c r="AX1011" i="178"/>
  <c r="BB1011" i="178"/>
  <c r="BF1011" i="178"/>
  <c r="BJ1011" i="178"/>
  <c r="BK1011" i="178"/>
  <c r="AR847" i="178"/>
  <c r="AV847" i="178"/>
  <c r="AZ847" i="178"/>
  <c r="BD847" i="178"/>
  <c r="BH847" i="178"/>
  <c r="BM847" i="178"/>
  <c r="AT847" i="178"/>
  <c r="AX847" i="178"/>
  <c r="BB847" i="178"/>
  <c r="BF847" i="178"/>
  <c r="BJ847" i="178"/>
  <c r="BK847" i="178"/>
  <c r="AR790" i="178"/>
  <c r="AV790" i="178"/>
  <c r="AZ790" i="178"/>
  <c r="BD790" i="178"/>
  <c r="BH790" i="178"/>
  <c r="BM790" i="178"/>
  <c r="AT790" i="178"/>
  <c r="AX790" i="178"/>
  <c r="BB790" i="178"/>
  <c r="BF790" i="178"/>
  <c r="BJ790" i="178"/>
  <c r="BK790" i="178"/>
  <c r="AR788" i="178"/>
  <c r="AV788" i="178"/>
  <c r="AZ788" i="178"/>
  <c r="BD788" i="178"/>
  <c r="BH788" i="178"/>
  <c r="BM788" i="178"/>
  <c r="AT788" i="178"/>
  <c r="AX788" i="178"/>
  <c r="BB788" i="178"/>
  <c r="BF788" i="178"/>
  <c r="BJ788" i="178"/>
  <c r="BK788" i="178"/>
  <c r="AR619" i="178"/>
  <c r="AV619" i="178"/>
  <c r="AZ619" i="178"/>
  <c r="BD619" i="178"/>
  <c r="BH619" i="178"/>
  <c r="BM619" i="178"/>
  <c r="AT619" i="178"/>
  <c r="AX619" i="178"/>
  <c r="BB619" i="178"/>
  <c r="BF619" i="178"/>
  <c r="BJ619" i="178"/>
  <c r="BK619" i="178"/>
  <c r="AR585" i="178"/>
  <c r="AV585" i="178"/>
  <c r="AZ585" i="178"/>
  <c r="BD585" i="178"/>
  <c r="BH585" i="178"/>
  <c r="BM585" i="178"/>
  <c r="AT585" i="178"/>
  <c r="AX585" i="178"/>
  <c r="BB585" i="178"/>
  <c r="BF585" i="178"/>
  <c r="BJ585" i="178"/>
  <c r="BK585" i="178"/>
  <c r="AR510" i="178"/>
  <c r="AV510" i="178"/>
  <c r="AZ510" i="178"/>
  <c r="BD510" i="178"/>
  <c r="BH510" i="178"/>
  <c r="BM510" i="178"/>
  <c r="AT510" i="178"/>
  <c r="AX510" i="178"/>
  <c r="BB510" i="178"/>
  <c r="BF510" i="178"/>
  <c r="BJ510" i="178"/>
  <c r="BK510" i="178"/>
  <c r="AR397" i="178"/>
  <c r="AV397" i="178"/>
  <c r="AZ397" i="178"/>
  <c r="BD397" i="178"/>
  <c r="BH397" i="178"/>
  <c r="BM397" i="178"/>
  <c r="AT397" i="178"/>
  <c r="AX397" i="178"/>
  <c r="BB397" i="178"/>
  <c r="BF397" i="178"/>
  <c r="BJ397" i="178"/>
  <c r="BK397" i="178"/>
  <c r="AR335" i="178"/>
  <c r="AV335" i="178"/>
  <c r="AZ335" i="178"/>
  <c r="BD335" i="178"/>
  <c r="BH335" i="178"/>
  <c r="BM335" i="178"/>
  <c r="AT335" i="178"/>
  <c r="AX335" i="178"/>
  <c r="BB335" i="178"/>
  <c r="BF335" i="178"/>
  <c r="BJ335" i="178"/>
  <c r="BK335" i="178"/>
  <c r="AR476" i="178"/>
  <c r="AV476" i="178"/>
  <c r="AZ476" i="178"/>
  <c r="BD476" i="178"/>
  <c r="BH476" i="178"/>
  <c r="BM476" i="178"/>
  <c r="AT476" i="178"/>
  <c r="AX476" i="178"/>
  <c r="BB476" i="178"/>
  <c r="BF476" i="178"/>
  <c r="BJ476" i="178"/>
  <c r="BK476" i="178"/>
  <c r="AR232" i="178"/>
  <c r="AV232" i="178"/>
  <c r="AZ232" i="178"/>
  <c r="BD232" i="178"/>
  <c r="BH232" i="178"/>
  <c r="BM232" i="178"/>
  <c r="AT232" i="178"/>
  <c r="AX232" i="178"/>
  <c r="BB232" i="178"/>
  <c r="BF232" i="178"/>
  <c r="BJ232" i="178"/>
  <c r="BK232" i="178"/>
  <c r="AR133" i="178"/>
  <c r="AV133" i="178"/>
  <c r="AZ133" i="178"/>
  <c r="BD133" i="178"/>
  <c r="BH133" i="178"/>
  <c r="BM133" i="178"/>
  <c r="AT133" i="178"/>
  <c r="AX133" i="178"/>
  <c r="BB133" i="178"/>
  <c r="BF133" i="178"/>
  <c r="BJ133" i="178"/>
  <c r="BK133" i="178"/>
  <c r="AR79" i="178"/>
  <c r="AV79" i="178"/>
  <c r="AZ79" i="178"/>
  <c r="BD79" i="178"/>
  <c r="BH79" i="178"/>
  <c r="BM79" i="178"/>
  <c r="AT79" i="178"/>
  <c r="AX79" i="178"/>
  <c r="BB79" i="178"/>
  <c r="BF79" i="178"/>
  <c r="BJ79" i="178"/>
  <c r="BK79" i="178"/>
  <c r="AR1277" i="178"/>
  <c r="AV1277" i="178"/>
  <c r="AZ1277" i="178"/>
  <c r="BD1277" i="178"/>
  <c r="BH1277" i="178"/>
  <c r="BM1277" i="178"/>
  <c r="AT1277" i="178"/>
  <c r="AX1277" i="178"/>
  <c r="BB1277" i="178"/>
  <c r="BF1277" i="178"/>
  <c r="BJ1277" i="178"/>
  <c r="BK1277" i="178"/>
  <c r="AR1007" i="178"/>
  <c r="AV1007" i="178"/>
  <c r="AZ1007" i="178"/>
  <c r="BD1007" i="178"/>
  <c r="BH1007" i="178"/>
  <c r="BM1007" i="178"/>
  <c r="AT1007" i="178"/>
  <c r="AX1007" i="178"/>
  <c r="BB1007" i="178"/>
  <c r="BF1007" i="178"/>
  <c r="BJ1007" i="178"/>
  <c r="BK1007" i="178"/>
  <c r="AR949" i="178"/>
  <c r="AV949" i="178"/>
  <c r="AZ949" i="178"/>
  <c r="BD949" i="178"/>
  <c r="BH949" i="178"/>
  <c r="BM949" i="178"/>
  <c r="AT949" i="178"/>
  <c r="AX949" i="178"/>
  <c r="BB949" i="178"/>
  <c r="BF949" i="178"/>
  <c r="BJ949" i="178"/>
  <c r="BK949" i="178"/>
  <c r="AR843" i="178"/>
  <c r="AV843" i="178"/>
  <c r="AZ843" i="178"/>
  <c r="BD843" i="178"/>
  <c r="BH843" i="178"/>
  <c r="BM843" i="178"/>
  <c r="AT843" i="178"/>
  <c r="AX843" i="178"/>
  <c r="BB843" i="178"/>
  <c r="BF843" i="178"/>
  <c r="BJ843" i="178"/>
  <c r="BK843" i="178"/>
  <c r="AR839" i="178"/>
  <c r="AV839" i="178"/>
  <c r="AZ839" i="178"/>
  <c r="BD839" i="178"/>
  <c r="BH839" i="178"/>
  <c r="BM839" i="178"/>
  <c r="AT839" i="178"/>
  <c r="AX839" i="178"/>
  <c r="BB839" i="178"/>
  <c r="BF839" i="178"/>
  <c r="BJ839" i="178"/>
  <c r="BK839" i="178"/>
  <c r="AT835" i="178"/>
  <c r="AX835" i="178"/>
  <c r="BB835" i="178"/>
  <c r="BF835" i="178"/>
  <c r="BJ835" i="178"/>
  <c r="BK835" i="178"/>
  <c r="AR835" i="178"/>
  <c r="AV835" i="178"/>
  <c r="AZ835" i="178"/>
  <c r="BD835" i="178"/>
  <c r="BH835" i="178"/>
  <c r="BM835" i="178"/>
  <c r="AT785" i="178"/>
  <c r="AX785" i="178"/>
  <c r="BB785" i="178"/>
  <c r="BF785" i="178"/>
  <c r="BJ785" i="178"/>
  <c r="BK785" i="178"/>
  <c r="AR785" i="178"/>
  <c r="AV785" i="178"/>
  <c r="AZ785" i="178"/>
  <c r="BD785" i="178"/>
  <c r="BH785" i="178"/>
  <c r="BM785" i="178"/>
  <c r="AT778" i="178"/>
  <c r="AX778" i="178"/>
  <c r="BB778" i="178"/>
  <c r="BF778" i="178"/>
  <c r="BJ778" i="178"/>
  <c r="BK778" i="178"/>
  <c r="AR778" i="178"/>
  <c r="AV778" i="178"/>
  <c r="AZ778" i="178"/>
  <c r="BD778" i="178"/>
  <c r="BH778" i="178"/>
  <c r="BM778" i="178"/>
  <c r="AT756" i="178"/>
  <c r="AX756" i="178"/>
  <c r="BB756" i="178"/>
  <c r="BF756" i="178"/>
  <c r="BJ756" i="178"/>
  <c r="BK756" i="178"/>
  <c r="AR756" i="178"/>
  <c r="AV756" i="178"/>
  <c r="AZ756" i="178"/>
  <c r="BD756" i="178"/>
  <c r="BH756" i="178"/>
  <c r="BM756" i="178"/>
  <c r="AT752" i="178"/>
  <c r="AX752" i="178"/>
  <c r="BB752" i="178"/>
  <c r="BF752" i="178"/>
  <c r="BJ752" i="178"/>
  <c r="BK752" i="178"/>
  <c r="AR752" i="178"/>
  <c r="AV752" i="178"/>
  <c r="AZ752" i="178"/>
  <c r="BD752" i="178"/>
  <c r="BH752" i="178"/>
  <c r="BM752" i="178"/>
  <c r="AT748" i="178"/>
  <c r="AX748" i="178"/>
  <c r="BB748" i="178"/>
  <c r="BF748" i="178"/>
  <c r="BJ748" i="178"/>
  <c r="BK748" i="178"/>
  <c r="AR748" i="178"/>
  <c r="AV748" i="178"/>
  <c r="AZ748" i="178"/>
  <c r="BD748" i="178"/>
  <c r="BH748" i="178"/>
  <c r="BM748" i="178"/>
  <c r="AT583" i="178"/>
  <c r="AX583" i="178"/>
  <c r="BB583" i="178"/>
  <c r="BF583" i="178"/>
  <c r="BJ583" i="178"/>
  <c r="BK583" i="178"/>
  <c r="AR583" i="178"/>
  <c r="AV583" i="178"/>
  <c r="AZ583" i="178"/>
  <c r="BD583" i="178"/>
  <c r="BH583" i="178"/>
  <c r="BM583" i="178"/>
  <c r="AT504" i="178"/>
  <c r="AX504" i="178"/>
  <c r="BB504" i="178"/>
  <c r="BF504" i="178"/>
  <c r="BJ504" i="178"/>
  <c r="BK504" i="178"/>
  <c r="AR504" i="178"/>
  <c r="AV504" i="178"/>
  <c r="AZ504" i="178"/>
  <c r="BD504" i="178"/>
  <c r="BH504" i="178"/>
  <c r="BM504" i="178"/>
  <c r="AT462" i="178"/>
  <c r="AX462" i="178"/>
  <c r="BB462" i="178"/>
  <c r="BF462" i="178"/>
  <c r="BJ462" i="178"/>
  <c r="BK462" i="178"/>
  <c r="AR462" i="178"/>
  <c r="AV462" i="178"/>
  <c r="AZ462" i="178"/>
  <c r="BD462" i="178"/>
  <c r="BH462" i="178"/>
  <c r="BM462" i="178"/>
  <c r="AT311" i="178"/>
  <c r="AX311" i="178"/>
  <c r="BB311" i="178"/>
  <c r="BF311" i="178"/>
  <c r="BJ311" i="178"/>
  <c r="BK311" i="178"/>
  <c r="AR311" i="178"/>
  <c r="AV311" i="178"/>
  <c r="AZ311" i="178"/>
  <c r="BD311" i="178"/>
  <c r="BH311" i="178"/>
  <c r="BM311" i="178"/>
  <c r="AT230" i="178"/>
  <c r="AX230" i="178"/>
  <c r="BB230" i="178"/>
  <c r="BF230" i="178"/>
  <c r="BJ230" i="178"/>
  <c r="BK230" i="178"/>
  <c r="AR230" i="178"/>
  <c r="AV230" i="178"/>
  <c r="AZ230" i="178"/>
  <c r="BD230" i="178"/>
  <c r="BH230" i="178"/>
  <c r="BM230" i="178"/>
  <c r="AT127" i="178"/>
  <c r="AX127" i="178"/>
  <c r="BB127" i="178"/>
  <c r="BF127" i="178"/>
  <c r="BJ127" i="178"/>
  <c r="BK127" i="178"/>
  <c r="AR127" i="178"/>
  <c r="AV127" i="178"/>
  <c r="AZ127" i="178"/>
  <c r="BD127" i="178"/>
  <c r="BH127" i="178"/>
  <c r="BM127" i="178"/>
  <c r="AT1184" i="178"/>
  <c r="AX1184" i="178"/>
  <c r="BB1184" i="178"/>
  <c r="BF1184" i="178"/>
  <c r="BJ1184" i="178"/>
  <c r="BK1184" i="178"/>
  <c r="AR1184" i="178"/>
  <c r="AV1184" i="178"/>
  <c r="AZ1184" i="178"/>
  <c r="BD1184" i="178"/>
  <c r="BH1184" i="178"/>
  <c r="BM1184" i="178"/>
  <c r="AT1155" i="178"/>
  <c r="AX1155" i="178"/>
  <c r="BB1155" i="178"/>
  <c r="BF1155" i="178"/>
  <c r="BJ1155" i="178"/>
  <c r="BK1155" i="178"/>
  <c r="AR1155" i="178"/>
  <c r="AV1155" i="178"/>
  <c r="AZ1155" i="178"/>
  <c r="BD1155" i="178"/>
  <c r="BH1155" i="178"/>
  <c r="BM1155" i="178"/>
  <c r="AT1044" i="178"/>
  <c r="AX1044" i="178"/>
  <c r="BB1044" i="178"/>
  <c r="BF1044" i="178"/>
  <c r="BJ1044" i="178"/>
  <c r="BK1044" i="178"/>
  <c r="AR1044" i="178"/>
  <c r="AV1044" i="178"/>
  <c r="AZ1044" i="178"/>
  <c r="BD1044" i="178"/>
  <c r="BH1044" i="178"/>
  <c r="BM1044" i="178"/>
  <c r="AT1019" i="178"/>
  <c r="AX1019" i="178"/>
  <c r="BB1019" i="178"/>
  <c r="BF1019" i="178"/>
  <c r="BJ1019" i="178"/>
  <c r="BK1019" i="178"/>
  <c r="AR1019" i="178"/>
  <c r="AV1019" i="178"/>
  <c r="AZ1019" i="178"/>
  <c r="BD1019" i="178"/>
  <c r="BH1019" i="178"/>
  <c r="BM1019" i="178"/>
  <c r="AT978" i="178"/>
  <c r="AX978" i="178"/>
  <c r="BB978" i="178"/>
  <c r="BF978" i="178"/>
  <c r="BJ978" i="178"/>
  <c r="BK978" i="178"/>
  <c r="AR978" i="178"/>
  <c r="AV978" i="178"/>
  <c r="AZ978" i="178"/>
  <c r="BD978" i="178"/>
  <c r="BH978" i="178"/>
  <c r="BM978" i="178"/>
  <c r="AT967" i="178"/>
  <c r="AX967" i="178"/>
  <c r="BB967" i="178"/>
  <c r="BF967" i="178"/>
  <c r="BJ967" i="178"/>
  <c r="BK967" i="178"/>
  <c r="AR967" i="178"/>
  <c r="AV967" i="178"/>
  <c r="AZ967" i="178"/>
  <c r="BD967" i="178"/>
  <c r="BH967" i="178"/>
  <c r="BM967" i="178"/>
  <c r="AT832" i="178"/>
  <c r="AX832" i="178"/>
  <c r="BB832" i="178"/>
  <c r="BF832" i="178"/>
  <c r="BJ832" i="178"/>
  <c r="BK832" i="178"/>
  <c r="AR832" i="178"/>
  <c r="AV832" i="178"/>
  <c r="AZ832" i="178"/>
  <c r="BD832" i="178"/>
  <c r="BH832" i="178"/>
  <c r="BM832" i="178"/>
  <c r="AT776" i="178"/>
  <c r="AX776" i="178"/>
  <c r="BB776" i="178"/>
  <c r="BF776" i="178"/>
  <c r="BJ776" i="178"/>
  <c r="BK776" i="178"/>
  <c r="AR776" i="178"/>
  <c r="AV776" i="178"/>
  <c r="AZ776" i="178"/>
  <c r="BD776" i="178"/>
  <c r="BH776" i="178"/>
  <c r="BM776" i="178"/>
  <c r="AT744" i="178"/>
  <c r="AX744" i="178"/>
  <c r="BB744" i="178"/>
  <c r="BF744" i="178"/>
  <c r="BJ744" i="178"/>
  <c r="BK744" i="178"/>
  <c r="AR744" i="178"/>
  <c r="AV744" i="178"/>
  <c r="AZ744" i="178"/>
  <c r="BD744" i="178"/>
  <c r="BH744" i="178"/>
  <c r="BM744" i="178"/>
  <c r="AT535" i="178"/>
  <c r="AX535" i="178"/>
  <c r="BB535" i="178"/>
  <c r="BF535" i="178"/>
  <c r="BJ535" i="178"/>
  <c r="BK535" i="178"/>
  <c r="AR535" i="178"/>
  <c r="AV535" i="178"/>
  <c r="AZ535" i="178"/>
  <c r="BD535" i="178"/>
  <c r="BH535" i="178"/>
  <c r="BM535" i="178"/>
  <c r="AT483" i="178"/>
  <c r="AX483" i="178"/>
  <c r="BB483" i="178"/>
  <c r="BF483" i="178"/>
  <c r="BJ483" i="178"/>
  <c r="BK483" i="178"/>
  <c r="AR483" i="178"/>
  <c r="AV483" i="178"/>
  <c r="AZ483" i="178"/>
  <c r="BD483" i="178"/>
  <c r="BH483" i="178"/>
  <c r="BM483" i="178"/>
  <c r="AT434" i="178"/>
  <c r="AX434" i="178"/>
  <c r="BB434" i="178"/>
  <c r="BF434" i="178"/>
  <c r="BJ434" i="178"/>
  <c r="BK434" i="178"/>
  <c r="AR434" i="178"/>
  <c r="AV434" i="178"/>
  <c r="AZ434" i="178"/>
  <c r="BD434" i="178"/>
  <c r="BH434" i="178"/>
  <c r="BM434" i="178"/>
  <c r="AR331" i="178"/>
  <c r="AV331" i="178"/>
  <c r="AZ331" i="178"/>
  <c r="BD331" i="178"/>
  <c r="BH331" i="178"/>
  <c r="AX331" i="178"/>
  <c r="BF331" i="178"/>
  <c r="BM331" i="178"/>
  <c r="AT331" i="178"/>
  <c r="BB331" i="178"/>
  <c r="BJ331" i="178"/>
  <c r="BK331" i="178"/>
  <c r="BK265" i="178"/>
  <c r="AR265" i="178"/>
  <c r="AV265" i="178"/>
  <c r="AZ265" i="178"/>
  <c r="BD265" i="178"/>
  <c r="BH265" i="178"/>
  <c r="BM265" i="178"/>
  <c r="BF265" i="178"/>
  <c r="AT265" i="178"/>
  <c r="BJ265" i="178"/>
  <c r="AX265" i="178"/>
  <c r="BB265" i="178"/>
  <c r="BK250" i="178"/>
  <c r="AR250" i="178"/>
  <c r="AV250" i="178"/>
  <c r="AZ250" i="178"/>
  <c r="BD250" i="178"/>
  <c r="BH250" i="178"/>
  <c r="BM250" i="178"/>
  <c r="BB250" i="178"/>
  <c r="BF250" i="178"/>
  <c r="AT250" i="178"/>
  <c r="BJ250" i="178"/>
  <c r="AX250" i="178"/>
  <c r="BK229" i="178"/>
  <c r="AR229" i="178"/>
  <c r="AV229" i="178"/>
  <c r="AZ229" i="178"/>
  <c r="BD229" i="178"/>
  <c r="BH229" i="178"/>
  <c r="BM229" i="178"/>
  <c r="AX229" i="178"/>
  <c r="BB229" i="178"/>
  <c r="BF229" i="178"/>
  <c r="AT229" i="178"/>
  <c r="BJ229" i="178"/>
  <c r="BK188" i="178"/>
  <c r="AR188" i="178"/>
  <c r="AV188" i="178"/>
  <c r="AZ188" i="178"/>
  <c r="BD188" i="178"/>
  <c r="BH188" i="178"/>
  <c r="BM188" i="178"/>
  <c r="AT188" i="178"/>
  <c r="BJ188" i="178"/>
  <c r="AX188" i="178"/>
  <c r="BB188" i="178"/>
  <c r="BF188" i="178"/>
  <c r="BK125" i="178"/>
  <c r="AR125" i="178"/>
  <c r="AV125" i="178"/>
  <c r="AZ125" i="178"/>
  <c r="BD125" i="178"/>
  <c r="BH125" i="178"/>
  <c r="BM125" i="178"/>
  <c r="BF125" i="178"/>
  <c r="AT125" i="178"/>
  <c r="BJ125" i="178"/>
  <c r="AX125" i="178"/>
  <c r="BB125" i="178"/>
  <c r="BK121" i="178"/>
  <c r="AR121" i="178"/>
  <c r="AV121" i="178"/>
  <c r="AZ121" i="178"/>
  <c r="BD121" i="178"/>
  <c r="BH121" i="178"/>
  <c r="BM121" i="178"/>
  <c r="BB121" i="178"/>
  <c r="BF121" i="178"/>
  <c r="AT121" i="178"/>
  <c r="BJ121" i="178"/>
  <c r="AX121" i="178"/>
  <c r="BK80" i="178"/>
  <c r="AR80" i="178"/>
  <c r="AV80" i="178"/>
  <c r="AZ80" i="178"/>
  <c r="BD80" i="178"/>
  <c r="BH80" i="178"/>
  <c r="BM80" i="178"/>
  <c r="AX80" i="178"/>
  <c r="BB80" i="178"/>
  <c r="BF80" i="178"/>
  <c r="BJ80" i="178"/>
  <c r="AT80" i="178"/>
  <c r="BK59" i="178"/>
  <c r="AR59" i="178"/>
  <c r="AV59" i="178"/>
  <c r="AZ59" i="178"/>
  <c r="BD59" i="178"/>
  <c r="BH59" i="178"/>
  <c r="BM59" i="178"/>
  <c r="AT59" i="178"/>
  <c r="BJ59" i="178"/>
  <c r="AX59" i="178"/>
  <c r="BB59" i="178"/>
  <c r="BF59" i="178"/>
  <c r="BK15" i="178"/>
  <c r="AR15" i="178"/>
  <c r="AV15" i="178"/>
  <c r="AZ15" i="178"/>
  <c r="BD15" i="178"/>
  <c r="BH15" i="178"/>
  <c r="BM15" i="178"/>
  <c r="BF15" i="178"/>
  <c r="AT15" i="178"/>
  <c r="BJ15" i="178"/>
  <c r="AX15" i="178"/>
  <c r="BB15" i="178"/>
  <c r="BK1059" i="178"/>
  <c r="AR1059" i="178"/>
  <c r="AV1059" i="178"/>
  <c r="AZ1059" i="178"/>
  <c r="BD1059" i="178"/>
  <c r="BH1059" i="178"/>
  <c r="BM1059" i="178"/>
  <c r="BB1059" i="178"/>
  <c r="BF1059" i="178"/>
  <c r="AT1059" i="178"/>
  <c r="BJ1059" i="178"/>
  <c r="AX1059" i="178"/>
  <c r="AR1026" i="178"/>
  <c r="AV1026" i="178"/>
  <c r="AZ1026" i="178"/>
  <c r="AX1026" i="178"/>
  <c r="BK1026" i="178"/>
  <c r="BD1026" i="178"/>
  <c r="BH1026" i="178"/>
  <c r="BM1026" i="178"/>
  <c r="AT1026" i="178"/>
  <c r="BB1026" i="178"/>
  <c r="BF1026" i="178"/>
  <c r="BJ1026" i="178"/>
  <c r="BK1010" i="178"/>
  <c r="AR1010" i="178"/>
  <c r="AV1010" i="178"/>
  <c r="AZ1010" i="178"/>
  <c r="BD1010" i="178"/>
  <c r="BH1010" i="178"/>
  <c r="BM1010" i="178"/>
  <c r="AT1010" i="178"/>
  <c r="BJ1010" i="178"/>
  <c r="AX1010" i="178"/>
  <c r="BB1010" i="178"/>
  <c r="BF1010" i="178"/>
  <c r="BK972" i="178"/>
  <c r="AR972" i="178"/>
  <c r="AV972" i="178"/>
  <c r="AZ972" i="178"/>
  <c r="BD972" i="178"/>
  <c r="BH972" i="178"/>
  <c r="BM972" i="178"/>
  <c r="BF972" i="178"/>
  <c r="AT972" i="178"/>
  <c r="BJ972" i="178"/>
  <c r="AX972" i="178"/>
  <c r="BB972" i="178"/>
  <c r="BK772" i="178"/>
  <c r="AR772" i="178"/>
  <c r="AV772" i="178"/>
  <c r="AZ772" i="178"/>
  <c r="BD772" i="178"/>
  <c r="BH772" i="178"/>
  <c r="BM772" i="178"/>
  <c r="BB772" i="178"/>
  <c r="BF772" i="178"/>
  <c r="AT772" i="178"/>
  <c r="BJ772" i="178"/>
  <c r="AX772" i="178"/>
  <c r="BK742" i="178"/>
  <c r="AR742" i="178"/>
  <c r="AV742" i="178"/>
  <c r="AZ742" i="178"/>
  <c r="BD742" i="178"/>
  <c r="BH742" i="178"/>
  <c r="BM742" i="178"/>
  <c r="AX742" i="178"/>
  <c r="BB742" i="178"/>
  <c r="BF742" i="178"/>
  <c r="AT742" i="178"/>
  <c r="BJ742" i="178"/>
  <c r="BK530" i="178"/>
  <c r="AR530" i="178"/>
  <c r="AV530" i="178"/>
  <c r="AZ530" i="178"/>
  <c r="BD530" i="178"/>
  <c r="BH530" i="178"/>
  <c r="BM530" i="178"/>
  <c r="AT530" i="178"/>
  <c r="BJ530" i="178"/>
  <c r="AX530" i="178"/>
  <c r="BB530" i="178"/>
  <c r="BF530" i="178"/>
  <c r="BK425" i="178"/>
  <c r="AR425" i="178"/>
  <c r="AV425" i="178"/>
  <c r="AZ425" i="178"/>
  <c r="BD425" i="178"/>
  <c r="BH425" i="178"/>
  <c r="BM425" i="178"/>
  <c r="BF425" i="178"/>
  <c r="AT425" i="178"/>
  <c r="BJ425" i="178"/>
  <c r="AX425" i="178"/>
  <c r="BB425" i="178"/>
  <c r="BK228" i="178"/>
  <c r="AR228" i="178"/>
  <c r="AV228" i="178"/>
  <c r="AZ228" i="178"/>
  <c r="BD228" i="178"/>
  <c r="BH228" i="178"/>
  <c r="BM228" i="178"/>
  <c r="BB228" i="178"/>
  <c r="BF228" i="178"/>
  <c r="AT228" i="178"/>
  <c r="BJ228" i="178"/>
  <c r="AX228" i="178"/>
  <c r="BK1063" i="178"/>
  <c r="AR1063" i="178"/>
  <c r="AV1063" i="178"/>
  <c r="AZ1063" i="178"/>
  <c r="BD1063" i="178"/>
  <c r="BH1063" i="178"/>
  <c r="BM1063" i="178"/>
  <c r="AX1063" i="178"/>
  <c r="BB1063" i="178"/>
  <c r="BF1063" i="178"/>
  <c r="AT1063" i="178"/>
  <c r="BJ1063" i="178"/>
  <c r="BK144" i="178"/>
  <c r="AR144" i="178"/>
  <c r="AV144" i="178"/>
  <c r="AZ144" i="178"/>
  <c r="BD144" i="178"/>
  <c r="BH144" i="178"/>
  <c r="BM144" i="178"/>
  <c r="AT144" i="178"/>
  <c r="BJ144" i="178"/>
  <c r="AX144" i="178"/>
  <c r="BB144" i="178"/>
  <c r="BF144" i="178"/>
  <c r="BK691" i="178"/>
  <c r="AR691" i="178"/>
  <c r="AV691" i="178"/>
  <c r="AZ691" i="178"/>
  <c r="BD691" i="178"/>
  <c r="BH691" i="178"/>
  <c r="BM691" i="178"/>
  <c r="BF691" i="178"/>
  <c r="AT691" i="178"/>
  <c r="BJ691" i="178"/>
  <c r="AX691" i="178"/>
  <c r="BB691" i="178"/>
  <c r="BK159" i="178"/>
  <c r="AR159" i="178"/>
  <c r="AV159" i="178"/>
  <c r="AZ159" i="178"/>
  <c r="BD159" i="178"/>
  <c r="BH159" i="178"/>
  <c r="BM159" i="178"/>
  <c r="BB159" i="178"/>
  <c r="BF159" i="178"/>
  <c r="AT159" i="178"/>
  <c r="BJ159" i="178"/>
  <c r="AX159" i="178"/>
  <c r="AR924" i="178"/>
  <c r="AV924" i="178"/>
  <c r="AZ924" i="178"/>
  <c r="BD924" i="178"/>
  <c r="BH924" i="178"/>
  <c r="BM924" i="178"/>
  <c r="AT924" i="178"/>
  <c r="AX924" i="178"/>
  <c r="BB924" i="178"/>
  <c r="BF924" i="178"/>
  <c r="BJ924" i="178"/>
  <c r="BK924" i="178"/>
  <c r="AR490" i="178"/>
  <c r="AV490" i="178"/>
  <c r="AZ490" i="178"/>
  <c r="BD490" i="178"/>
  <c r="BH490" i="178"/>
  <c r="BM490" i="178"/>
  <c r="AT490" i="178"/>
  <c r="AX490" i="178"/>
  <c r="BB490" i="178"/>
  <c r="BF490" i="178"/>
  <c r="BJ490" i="178"/>
  <c r="BK490" i="178"/>
  <c r="AR157" i="178"/>
  <c r="AV157" i="178"/>
  <c r="AZ157" i="178"/>
  <c r="BD157" i="178"/>
  <c r="BH157" i="178"/>
  <c r="BM157" i="178"/>
  <c r="AT157" i="178"/>
  <c r="AX157" i="178"/>
  <c r="BB157" i="178"/>
  <c r="BF157" i="178"/>
  <c r="BJ157" i="178"/>
  <c r="BK157" i="178"/>
  <c r="AR899" i="178"/>
  <c r="AV899" i="178"/>
  <c r="AZ899" i="178"/>
  <c r="BD899" i="178"/>
  <c r="BH899" i="178"/>
  <c r="BM899" i="178"/>
  <c r="AT899" i="178"/>
  <c r="AX899" i="178"/>
  <c r="BB899" i="178"/>
  <c r="BF899" i="178"/>
  <c r="BJ899" i="178"/>
  <c r="BK899" i="178"/>
  <c r="AR1150" i="178"/>
  <c r="AV1150" i="178"/>
  <c r="AZ1150" i="178"/>
  <c r="BD1150" i="178"/>
  <c r="BH1150" i="178"/>
  <c r="BM1150" i="178"/>
  <c r="AT1150" i="178"/>
  <c r="AX1150" i="178"/>
  <c r="BB1150" i="178"/>
  <c r="BF1150" i="178"/>
  <c r="BJ1150" i="178"/>
  <c r="BK1150" i="178"/>
  <c r="AR489" i="178"/>
  <c r="AV489" i="178"/>
  <c r="AZ489" i="178"/>
  <c r="BD489" i="178"/>
  <c r="BH489" i="178"/>
  <c r="BM489" i="178"/>
  <c r="AT489" i="178"/>
  <c r="AX489" i="178"/>
  <c r="BB489" i="178"/>
  <c r="BF489" i="178"/>
  <c r="BJ489" i="178"/>
  <c r="BK489" i="178"/>
  <c r="AR921" i="178"/>
  <c r="AV921" i="178"/>
  <c r="AZ921" i="178"/>
  <c r="BD921" i="178"/>
  <c r="BH921" i="178"/>
  <c r="BM921" i="178"/>
  <c r="AT921" i="178"/>
  <c r="AX921" i="178"/>
  <c r="BB921" i="178"/>
  <c r="BF921" i="178"/>
  <c r="BJ921" i="178"/>
  <c r="BK921" i="178"/>
  <c r="AR416" i="178"/>
  <c r="AV416" i="178"/>
  <c r="AZ416" i="178"/>
  <c r="BD416" i="178"/>
  <c r="BH416" i="178"/>
  <c r="BM416" i="178"/>
  <c r="AT416" i="178"/>
  <c r="AX416" i="178"/>
  <c r="BB416" i="178"/>
  <c r="BF416" i="178"/>
  <c r="BJ416" i="178"/>
  <c r="BK416" i="178"/>
  <c r="AR898" i="178"/>
  <c r="AV898" i="178"/>
  <c r="AZ898" i="178"/>
  <c r="BD898" i="178"/>
  <c r="BH898" i="178"/>
  <c r="BM898" i="178"/>
  <c r="AT898" i="178"/>
  <c r="AX898" i="178"/>
  <c r="BB898" i="178"/>
  <c r="BF898" i="178"/>
  <c r="BJ898" i="178"/>
  <c r="BK898" i="178"/>
  <c r="AR897" i="178"/>
  <c r="AV897" i="178"/>
  <c r="AZ897" i="178"/>
  <c r="BD897" i="178"/>
  <c r="BH897" i="178"/>
  <c r="BM897" i="178"/>
  <c r="AT897" i="178"/>
  <c r="AX897" i="178"/>
  <c r="BB897" i="178"/>
  <c r="BF897" i="178"/>
  <c r="BJ897" i="178"/>
  <c r="BK897" i="178"/>
  <c r="AR920" i="178"/>
  <c r="AV920" i="178"/>
  <c r="AZ920" i="178"/>
  <c r="BD920" i="178"/>
  <c r="BH920" i="178"/>
  <c r="BM920" i="178"/>
  <c r="AT920" i="178"/>
  <c r="AX920" i="178"/>
  <c r="BB920" i="178"/>
  <c r="BF920" i="178"/>
  <c r="BJ920" i="178"/>
  <c r="BK920" i="178"/>
  <c r="AR940" i="178"/>
  <c r="AV940" i="178"/>
  <c r="AZ940" i="178"/>
  <c r="BD940" i="178"/>
  <c r="BH940" i="178"/>
  <c r="BM940" i="178"/>
  <c r="AT940" i="178"/>
  <c r="AX940" i="178"/>
  <c r="BB940" i="178"/>
  <c r="BF940" i="178"/>
  <c r="BJ940" i="178"/>
  <c r="BK940" i="178"/>
  <c r="AR389" i="178"/>
  <c r="AV389" i="178"/>
  <c r="AZ389" i="178"/>
  <c r="BD389" i="178"/>
  <c r="BH389" i="178"/>
  <c r="BM389" i="178"/>
  <c r="AT389" i="178"/>
  <c r="AX389" i="178"/>
  <c r="BB389" i="178"/>
  <c r="BF389" i="178"/>
  <c r="BJ389" i="178"/>
  <c r="BK389" i="178"/>
  <c r="AR559" i="178"/>
  <c r="AV559" i="178"/>
  <c r="AZ559" i="178"/>
  <c r="BD559" i="178"/>
  <c r="BH559" i="178"/>
  <c r="BM559" i="178"/>
  <c r="AT559" i="178"/>
  <c r="AX559" i="178"/>
  <c r="BB559" i="178"/>
  <c r="BF559" i="178"/>
  <c r="BJ559" i="178"/>
  <c r="BK559" i="178"/>
  <c r="AR863" i="178"/>
  <c r="AV863" i="178"/>
  <c r="AZ863" i="178"/>
  <c r="BD863" i="178"/>
  <c r="BH863" i="178"/>
  <c r="BM863" i="178"/>
  <c r="AT863" i="178"/>
  <c r="AX863" i="178"/>
  <c r="BB863" i="178"/>
  <c r="BF863" i="178"/>
  <c r="BJ863" i="178"/>
  <c r="BK863" i="178"/>
  <c r="AR177" i="178"/>
  <c r="AV177" i="178"/>
  <c r="AZ177" i="178"/>
  <c r="BD177" i="178"/>
  <c r="BH177" i="178"/>
  <c r="BM177" i="178"/>
  <c r="AT177" i="178"/>
  <c r="AX177" i="178"/>
  <c r="BB177" i="178"/>
  <c r="BF177" i="178"/>
  <c r="BJ177" i="178"/>
  <c r="BK177" i="178"/>
  <c r="AR866" i="178"/>
  <c r="AV866" i="178"/>
  <c r="AZ866" i="178"/>
  <c r="BD866" i="178"/>
  <c r="BH866" i="178"/>
  <c r="BM866" i="178"/>
  <c r="AT866" i="178"/>
  <c r="AX866" i="178"/>
  <c r="BB866" i="178"/>
  <c r="BF866" i="178"/>
  <c r="BJ866" i="178"/>
  <c r="BK866" i="178"/>
  <c r="AT871" i="178"/>
  <c r="AX871" i="178"/>
  <c r="BB871" i="178"/>
  <c r="BF871" i="178"/>
  <c r="BJ871" i="178"/>
  <c r="BK871" i="178"/>
  <c r="AR871" i="178"/>
  <c r="AV871" i="178"/>
  <c r="AZ871" i="178"/>
  <c r="BD871" i="178"/>
  <c r="BH871" i="178"/>
  <c r="BM871" i="178"/>
  <c r="BA1128" i="178"/>
  <c r="BI1128" i="178"/>
  <c r="AS1035" i="178"/>
  <c r="BA1035" i="178"/>
  <c r="BI1035" i="178"/>
  <c r="AU1035" i="178"/>
  <c r="BC1035" i="178"/>
  <c r="BE1108" i="178"/>
  <c r="AW894" i="178"/>
  <c r="AW938" i="178"/>
  <c r="BG938" i="178"/>
  <c r="AS696" i="178"/>
  <c r="AW696" i="178"/>
  <c r="BA696" i="178"/>
  <c r="BE696" i="178"/>
  <c r="BI696" i="178"/>
  <c r="BN696" i="178"/>
  <c r="AU696" i="178"/>
  <c r="AY696" i="178"/>
  <c r="BC696" i="178"/>
  <c r="BG696" i="178"/>
  <c r="BL696" i="178"/>
  <c r="AS1090" i="178"/>
  <c r="AW1090" i="178"/>
  <c r="BA1090" i="178"/>
  <c r="BE1090" i="178"/>
  <c r="BI1090" i="178"/>
  <c r="BN1090" i="178"/>
  <c r="AU1090" i="178"/>
  <c r="AY1090" i="178"/>
  <c r="BC1090" i="178"/>
  <c r="BG1090" i="178"/>
  <c r="BL1090" i="178"/>
  <c r="AS367" i="178"/>
  <c r="AW367" i="178"/>
  <c r="BA367" i="178"/>
  <c r="BE367" i="178"/>
  <c r="BI367" i="178"/>
  <c r="BN367" i="178"/>
  <c r="AU367" i="178"/>
  <c r="AY367" i="178"/>
  <c r="BC367" i="178"/>
  <c r="BG367" i="178"/>
  <c r="BL367" i="178"/>
  <c r="AS1112" i="178"/>
  <c r="AW1112" i="178"/>
  <c r="BA1112" i="178"/>
  <c r="BE1112" i="178"/>
  <c r="BI1112" i="178"/>
  <c r="BN1112" i="178"/>
  <c r="AU1112" i="178"/>
  <c r="AY1112" i="178"/>
  <c r="BC1112" i="178"/>
  <c r="BG1112" i="178"/>
  <c r="BL1112" i="178"/>
  <c r="AS1110" i="178"/>
  <c r="AW1110" i="178"/>
  <c r="BA1110" i="178"/>
  <c r="BE1110" i="178"/>
  <c r="BI1110" i="178"/>
  <c r="BN1110" i="178"/>
  <c r="AU1110" i="178"/>
  <c r="AY1110" i="178"/>
  <c r="BC1110" i="178"/>
  <c r="BG1110" i="178"/>
  <c r="BL1110" i="178"/>
  <c r="AS631" i="178"/>
  <c r="AW631" i="178"/>
  <c r="BA631" i="178"/>
  <c r="BE631" i="178"/>
  <c r="BI631" i="178"/>
  <c r="BN631" i="178"/>
  <c r="AU631" i="178"/>
  <c r="AY631" i="178"/>
  <c r="BC631" i="178"/>
  <c r="BG631" i="178"/>
  <c r="BL631" i="178"/>
  <c r="AS627" i="178"/>
  <c r="AW627" i="178"/>
  <c r="BA627" i="178"/>
  <c r="BE627" i="178"/>
  <c r="BI627" i="178"/>
  <c r="BN627" i="178"/>
  <c r="AU627" i="178"/>
  <c r="AY627" i="178"/>
  <c r="BC627" i="178"/>
  <c r="BG627" i="178"/>
  <c r="BL627" i="178"/>
  <c r="AS622" i="178"/>
  <c r="AW622" i="178"/>
  <c r="BA622" i="178"/>
  <c r="BE622" i="178"/>
  <c r="BI622" i="178"/>
  <c r="BN622" i="178"/>
  <c r="AU622" i="178"/>
  <c r="AY622" i="178"/>
  <c r="BC622" i="178"/>
  <c r="BG622" i="178"/>
  <c r="BL622" i="178"/>
  <c r="AS616" i="178"/>
  <c r="AW616" i="178"/>
  <c r="BA616" i="178"/>
  <c r="BE616" i="178"/>
  <c r="BI616" i="178"/>
  <c r="BN616" i="178"/>
  <c r="AU616" i="178"/>
  <c r="AY616" i="178"/>
  <c r="BC616" i="178"/>
  <c r="BG616" i="178"/>
  <c r="BL616" i="178"/>
  <c r="AS610" i="178"/>
  <c r="AW610" i="178"/>
  <c r="BA610" i="178"/>
  <c r="BE610" i="178"/>
  <c r="BI610" i="178"/>
  <c r="BN610" i="178"/>
  <c r="AU610" i="178"/>
  <c r="AY610" i="178"/>
  <c r="BC610" i="178"/>
  <c r="BG610" i="178"/>
  <c r="BL610" i="178"/>
  <c r="AS608" i="178"/>
  <c r="AW608" i="178"/>
  <c r="BA608" i="178"/>
  <c r="BE608" i="178"/>
  <c r="BI608" i="178"/>
  <c r="BN608" i="178"/>
  <c r="AU608" i="178"/>
  <c r="AY608" i="178"/>
  <c r="BC608" i="178"/>
  <c r="BG608" i="178"/>
  <c r="BL608" i="178"/>
  <c r="AS604" i="178"/>
  <c r="AW604" i="178"/>
  <c r="BA604" i="178"/>
  <c r="BE604" i="178"/>
  <c r="BI604" i="178"/>
  <c r="BN604" i="178"/>
  <c r="AU604" i="178"/>
  <c r="AY604" i="178"/>
  <c r="BC604" i="178"/>
  <c r="BG604" i="178"/>
  <c r="BL604" i="178"/>
  <c r="BE597" i="178"/>
  <c r="AY597" i="178"/>
  <c r="AS593" i="178"/>
  <c r="AW593" i="178"/>
  <c r="BA593" i="178"/>
  <c r="BE593" i="178"/>
  <c r="BI593" i="178"/>
  <c r="BN593" i="178"/>
  <c r="AU593" i="178"/>
  <c r="AY593" i="178"/>
  <c r="BC593" i="178"/>
  <c r="BG593" i="178"/>
  <c r="BL593" i="178"/>
  <c r="AS589" i="178"/>
  <c r="AW589" i="178"/>
  <c r="BA589" i="178"/>
  <c r="BE589" i="178"/>
  <c r="BI589" i="178"/>
  <c r="BN589" i="178"/>
  <c r="AU589" i="178"/>
  <c r="AY589" i="178"/>
  <c r="BC589" i="178"/>
  <c r="BG589" i="178"/>
  <c r="BL589" i="178"/>
  <c r="AS411" i="178"/>
  <c r="AW411" i="178"/>
  <c r="BA411" i="178"/>
  <c r="BE411" i="178"/>
  <c r="BI411" i="178"/>
  <c r="BN411" i="178"/>
  <c r="AU411" i="178"/>
  <c r="AY411" i="178"/>
  <c r="BC411" i="178"/>
  <c r="BG411" i="178"/>
  <c r="BL411" i="178"/>
  <c r="AS407" i="178"/>
  <c r="AW407" i="178"/>
  <c r="BA407" i="178"/>
  <c r="BE407" i="178"/>
  <c r="BI407" i="178"/>
  <c r="BN407" i="178"/>
  <c r="AU407" i="178"/>
  <c r="AY407" i="178"/>
  <c r="BC407" i="178"/>
  <c r="BG407" i="178"/>
  <c r="BL407" i="178"/>
  <c r="BA399" i="178"/>
  <c r="BE399" i="178"/>
  <c r="BI399" i="178"/>
  <c r="AW399" i="178"/>
  <c r="BN399" i="178"/>
  <c r="AS399" i="178"/>
  <c r="AY399" i="178"/>
  <c r="BC399" i="178"/>
  <c r="BG399" i="178"/>
  <c r="AU399" i="178"/>
  <c r="BL399" i="178"/>
  <c r="AS384" i="178"/>
  <c r="AW384" i="178"/>
  <c r="BA384" i="178"/>
  <c r="BE384" i="178"/>
  <c r="BI384" i="178"/>
  <c r="BN384" i="178"/>
  <c r="AU384" i="178"/>
  <c r="AY384" i="178"/>
  <c r="BC384" i="178"/>
  <c r="BG384" i="178"/>
  <c r="BL384" i="178"/>
  <c r="AS380" i="178"/>
  <c r="AW380" i="178"/>
  <c r="BA380" i="178"/>
  <c r="BE380" i="178"/>
  <c r="BI380" i="178"/>
  <c r="BN380" i="178"/>
  <c r="AU380" i="178"/>
  <c r="AY380" i="178"/>
  <c r="BC380" i="178"/>
  <c r="BG380" i="178"/>
  <c r="BL380" i="178"/>
  <c r="AS376" i="178"/>
  <c r="AW376" i="178"/>
  <c r="BA376" i="178"/>
  <c r="BE376" i="178"/>
  <c r="BI376" i="178"/>
  <c r="BN376" i="178"/>
  <c r="AU376" i="178"/>
  <c r="AY376" i="178"/>
  <c r="BC376" i="178"/>
  <c r="BG376" i="178"/>
  <c r="BL376" i="178"/>
  <c r="AS267" i="178"/>
  <c r="AW267" i="178"/>
  <c r="BA267" i="178"/>
  <c r="BE267" i="178"/>
  <c r="BI267" i="178"/>
  <c r="BN267" i="178"/>
  <c r="AU267" i="178"/>
  <c r="AY267" i="178"/>
  <c r="BC267" i="178"/>
  <c r="BG267" i="178"/>
  <c r="BL267" i="178"/>
  <c r="AS1046" i="178"/>
  <c r="AW1046" i="178"/>
  <c r="BA1046" i="178"/>
  <c r="BE1046" i="178"/>
  <c r="BI1046" i="178"/>
  <c r="BN1046" i="178"/>
  <c r="AU1046" i="178"/>
  <c r="AY1046" i="178"/>
  <c r="BC1046" i="178"/>
  <c r="BG1046" i="178"/>
  <c r="BL1046" i="178"/>
  <c r="AS848" i="178"/>
  <c r="AW848" i="178"/>
  <c r="BA848" i="178"/>
  <c r="BE848" i="178"/>
  <c r="BI848" i="178"/>
  <c r="BN848" i="178"/>
  <c r="AU848" i="178"/>
  <c r="AY848" i="178"/>
  <c r="BC848" i="178"/>
  <c r="BG848" i="178"/>
  <c r="BL848" i="178"/>
  <c r="AS791" i="178"/>
  <c r="AW791" i="178"/>
  <c r="BA791" i="178"/>
  <c r="BE791" i="178"/>
  <c r="BI791" i="178"/>
  <c r="BN791" i="178"/>
  <c r="AU791" i="178"/>
  <c r="AY791" i="178"/>
  <c r="BC791" i="178"/>
  <c r="BG791" i="178"/>
  <c r="BL791" i="178"/>
  <c r="AS983" i="178"/>
  <c r="AW983" i="178"/>
  <c r="BA983" i="178"/>
  <c r="BE983" i="178"/>
  <c r="BI983" i="178"/>
  <c r="BN983" i="178"/>
  <c r="AU983" i="178"/>
  <c r="AY983" i="178"/>
  <c r="BC983" i="178"/>
  <c r="BG983" i="178"/>
  <c r="BL983" i="178"/>
  <c r="AS759" i="178"/>
  <c r="AW759" i="178"/>
  <c r="BA759" i="178"/>
  <c r="BE759" i="178"/>
  <c r="BI759" i="178"/>
  <c r="BN759" i="178"/>
  <c r="AU759" i="178"/>
  <c r="AY759" i="178"/>
  <c r="BC759" i="178"/>
  <c r="BG759" i="178"/>
  <c r="BL759" i="178"/>
  <c r="AS601" i="178"/>
  <c r="AW601" i="178"/>
  <c r="BA601" i="178"/>
  <c r="BE601" i="178"/>
  <c r="BI601" i="178"/>
  <c r="BN601" i="178"/>
  <c r="AU601" i="178"/>
  <c r="AY601" i="178"/>
  <c r="BC601" i="178"/>
  <c r="BG601" i="178"/>
  <c r="BL601" i="178"/>
  <c r="AS529" i="178"/>
  <c r="AW529" i="178"/>
  <c r="BA529" i="178"/>
  <c r="BE529" i="178"/>
  <c r="BI529" i="178"/>
  <c r="BN529" i="178"/>
  <c r="AU529" i="178"/>
  <c r="AY529" i="178"/>
  <c r="BC529" i="178"/>
  <c r="BG529" i="178"/>
  <c r="BL529" i="178"/>
  <c r="AS463" i="178"/>
  <c r="AW463" i="178"/>
  <c r="BA463" i="178"/>
  <c r="BE463" i="178"/>
  <c r="BI463" i="178"/>
  <c r="BN463" i="178"/>
  <c r="AU463" i="178"/>
  <c r="AY463" i="178"/>
  <c r="BC463" i="178"/>
  <c r="BG463" i="178"/>
  <c r="BL463" i="178"/>
  <c r="AS371" i="178"/>
  <c r="AW371" i="178"/>
  <c r="BA371" i="178"/>
  <c r="BE371" i="178"/>
  <c r="BI371" i="178"/>
  <c r="BN371" i="178"/>
  <c r="AU371" i="178"/>
  <c r="AY371" i="178"/>
  <c r="BC371" i="178"/>
  <c r="BG371" i="178"/>
  <c r="BL371" i="178"/>
  <c r="AS262" i="178"/>
  <c r="AW262" i="178"/>
  <c r="BA262" i="178"/>
  <c r="BE262" i="178"/>
  <c r="BI262" i="178"/>
  <c r="BN262" i="178"/>
  <c r="AU262" i="178"/>
  <c r="AY262" i="178"/>
  <c r="BC262" i="178"/>
  <c r="BG262" i="178"/>
  <c r="BL262" i="178"/>
  <c r="AS243" i="178"/>
  <c r="AW243" i="178"/>
  <c r="BA243" i="178"/>
  <c r="BE243" i="178"/>
  <c r="BI243" i="178"/>
  <c r="BN243" i="178"/>
  <c r="AU243" i="178"/>
  <c r="AY243" i="178"/>
  <c r="BC243" i="178"/>
  <c r="BG243" i="178"/>
  <c r="BL243" i="178"/>
  <c r="AS189" i="178"/>
  <c r="AW189" i="178"/>
  <c r="BA189" i="178"/>
  <c r="BE189" i="178"/>
  <c r="BI189" i="178"/>
  <c r="BN189" i="178"/>
  <c r="AU189" i="178"/>
  <c r="AY189" i="178"/>
  <c r="BC189" i="178"/>
  <c r="BG189" i="178"/>
  <c r="BL189" i="178"/>
  <c r="AS83" i="178"/>
  <c r="AW83" i="178"/>
  <c r="BA83" i="178"/>
  <c r="BE83" i="178"/>
  <c r="BI83" i="178"/>
  <c r="BN83" i="178"/>
  <c r="AU83" i="178"/>
  <c r="AY83" i="178"/>
  <c r="BC83" i="178"/>
  <c r="BG83" i="178"/>
  <c r="BL83" i="178"/>
  <c r="AS17" i="178"/>
  <c r="AW17" i="178"/>
  <c r="BA17" i="178"/>
  <c r="BE17" i="178"/>
  <c r="BI17" i="178"/>
  <c r="BN17" i="178"/>
  <c r="AU17" i="178"/>
  <c r="AY17" i="178"/>
  <c r="BC17" i="178"/>
  <c r="BG17" i="178"/>
  <c r="BL17" i="178"/>
  <c r="AS1045" i="178"/>
  <c r="AW1045" i="178"/>
  <c r="BA1045" i="178"/>
  <c r="BE1045" i="178"/>
  <c r="BI1045" i="178"/>
  <c r="BN1045" i="178"/>
  <c r="AU1045" i="178"/>
  <c r="AY1045" i="178"/>
  <c r="BC1045" i="178"/>
  <c r="BG1045" i="178"/>
  <c r="BL1045" i="178"/>
  <c r="AS951" i="178"/>
  <c r="AW951" i="178"/>
  <c r="BA951" i="178"/>
  <c r="BE951" i="178"/>
  <c r="BI951" i="178"/>
  <c r="BN951" i="178"/>
  <c r="AU951" i="178"/>
  <c r="AY951" i="178"/>
  <c r="BC951" i="178"/>
  <c r="BG951" i="178"/>
  <c r="BL951" i="178"/>
  <c r="AS946" i="178"/>
  <c r="AW946" i="178"/>
  <c r="BA946" i="178"/>
  <c r="BE946" i="178"/>
  <c r="BI946" i="178"/>
  <c r="BN946" i="178"/>
  <c r="AU946" i="178"/>
  <c r="AY946" i="178"/>
  <c r="BC946" i="178"/>
  <c r="BG946" i="178"/>
  <c r="BL946" i="178"/>
  <c r="AS840" i="178"/>
  <c r="AW840" i="178"/>
  <c r="BA840" i="178"/>
  <c r="BE840" i="178"/>
  <c r="BI840" i="178"/>
  <c r="BN840" i="178"/>
  <c r="AU840" i="178"/>
  <c r="AY840" i="178"/>
  <c r="BC840" i="178"/>
  <c r="BG840" i="178"/>
  <c r="BL840" i="178"/>
  <c r="AU836" i="178"/>
  <c r="AY836" i="178"/>
  <c r="BC836" i="178"/>
  <c r="BG836" i="178"/>
  <c r="BL836" i="178"/>
  <c r="AS836" i="178"/>
  <c r="AW836" i="178"/>
  <c r="BA836" i="178"/>
  <c r="BE836" i="178"/>
  <c r="BI836" i="178"/>
  <c r="BN836" i="178"/>
  <c r="AU786" i="178"/>
  <c r="AY786" i="178"/>
  <c r="BC786" i="178"/>
  <c r="BG786" i="178"/>
  <c r="BL786" i="178"/>
  <c r="AS786" i="178"/>
  <c r="AW786" i="178"/>
  <c r="BA786" i="178"/>
  <c r="BE786" i="178"/>
  <c r="BI786" i="178"/>
  <c r="BN786" i="178"/>
  <c r="AU779" i="178"/>
  <c r="AY779" i="178"/>
  <c r="BC779" i="178"/>
  <c r="BG779" i="178"/>
  <c r="BL779" i="178"/>
  <c r="AS779" i="178"/>
  <c r="AW779" i="178"/>
  <c r="BA779" i="178"/>
  <c r="BE779" i="178"/>
  <c r="BI779" i="178"/>
  <c r="BN779" i="178"/>
  <c r="AU757" i="178"/>
  <c r="AY757" i="178"/>
  <c r="BC757" i="178"/>
  <c r="BG757" i="178"/>
  <c r="BL757" i="178"/>
  <c r="AS757" i="178"/>
  <c r="AW757" i="178"/>
  <c r="BA757" i="178"/>
  <c r="BE757" i="178"/>
  <c r="BI757" i="178"/>
  <c r="BN757" i="178"/>
  <c r="AU753" i="178"/>
  <c r="AY753" i="178"/>
  <c r="BC753" i="178"/>
  <c r="BG753" i="178"/>
  <c r="BL753" i="178"/>
  <c r="AS753" i="178"/>
  <c r="AW753" i="178"/>
  <c r="BA753" i="178"/>
  <c r="BE753" i="178"/>
  <c r="BI753" i="178"/>
  <c r="BN753" i="178"/>
  <c r="AU749" i="178"/>
  <c r="AY749" i="178"/>
  <c r="BC749" i="178"/>
  <c r="BG749" i="178"/>
  <c r="BL749" i="178"/>
  <c r="AS749" i="178"/>
  <c r="AW749" i="178"/>
  <c r="BA749" i="178"/>
  <c r="BE749" i="178"/>
  <c r="BI749" i="178"/>
  <c r="BN749" i="178"/>
  <c r="AU600" i="178"/>
  <c r="AY600" i="178"/>
  <c r="BC600" i="178"/>
  <c r="BG600" i="178"/>
  <c r="BL600" i="178"/>
  <c r="AS600" i="178"/>
  <c r="AW600" i="178"/>
  <c r="BA600" i="178"/>
  <c r="BE600" i="178"/>
  <c r="BI600" i="178"/>
  <c r="BN600" i="178"/>
  <c r="AU509" i="178"/>
  <c r="AY509" i="178"/>
  <c r="BC509" i="178"/>
  <c r="BG509" i="178"/>
  <c r="BL509" i="178"/>
  <c r="AS509" i="178"/>
  <c r="AW509" i="178"/>
  <c r="BA509" i="178"/>
  <c r="BE509" i="178"/>
  <c r="BI509" i="178"/>
  <c r="BN509" i="178"/>
  <c r="AU470" i="178"/>
  <c r="AY470" i="178"/>
  <c r="BC470" i="178"/>
  <c r="BG470" i="178"/>
  <c r="BL470" i="178"/>
  <c r="AS470" i="178"/>
  <c r="AW470" i="178"/>
  <c r="BA470" i="178"/>
  <c r="BE470" i="178"/>
  <c r="BI470" i="178"/>
  <c r="BN470" i="178"/>
  <c r="AU315" i="178"/>
  <c r="AY315" i="178"/>
  <c r="BC315" i="178"/>
  <c r="BG315" i="178"/>
  <c r="BL315" i="178"/>
  <c r="AS315" i="178"/>
  <c r="AW315" i="178"/>
  <c r="BA315" i="178"/>
  <c r="BE315" i="178"/>
  <c r="BI315" i="178"/>
  <c r="BN315" i="178"/>
  <c r="AU234" i="178"/>
  <c r="AY234" i="178"/>
  <c r="BC234" i="178"/>
  <c r="BG234" i="178"/>
  <c r="BL234" i="178"/>
  <c r="AS234" i="178"/>
  <c r="AW234" i="178"/>
  <c r="BA234" i="178"/>
  <c r="BE234" i="178"/>
  <c r="BI234" i="178"/>
  <c r="BN234" i="178"/>
  <c r="AU131" i="178"/>
  <c r="AY131" i="178"/>
  <c r="BC131" i="178"/>
  <c r="BG131" i="178"/>
  <c r="BL131" i="178"/>
  <c r="AS131" i="178"/>
  <c r="AW131" i="178"/>
  <c r="BA131" i="178"/>
  <c r="BE131" i="178"/>
  <c r="BI131" i="178"/>
  <c r="BN131" i="178"/>
  <c r="AU16" i="178"/>
  <c r="AY16" i="178"/>
  <c r="BC16" i="178"/>
  <c r="BG16" i="178"/>
  <c r="BL16" i="178"/>
  <c r="AS16" i="178"/>
  <c r="AW16" i="178"/>
  <c r="BA16" i="178"/>
  <c r="BE16" i="178"/>
  <c r="BI16" i="178"/>
  <c r="BN16" i="178"/>
  <c r="AU1183" i="178"/>
  <c r="AY1183" i="178"/>
  <c r="BC1183" i="178"/>
  <c r="BG1183" i="178"/>
  <c r="BL1183" i="178"/>
  <c r="AS1183" i="178"/>
  <c r="AW1183" i="178"/>
  <c r="BA1183" i="178"/>
  <c r="BE1183" i="178"/>
  <c r="BI1183" i="178"/>
  <c r="BN1183" i="178"/>
  <c r="AU1154" i="178"/>
  <c r="AY1154" i="178"/>
  <c r="BC1154" i="178"/>
  <c r="BG1154" i="178"/>
  <c r="BL1154" i="178"/>
  <c r="AS1154" i="178"/>
  <c r="AW1154" i="178"/>
  <c r="BA1154" i="178"/>
  <c r="BE1154" i="178"/>
  <c r="BI1154" i="178"/>
  <c r="BN1154" i="178"/>
  <c r="AU1041" i="178"/>
  <c r="AY1041" i="178"/>
  <c r="BC1041" i="178"/>
  <c r="BG1041" i="178"/>
  <c r="BL1041" i="178"/>
  <c r="AS1041" i="178"/>
  <c r="AW1041" i="178"/>
  <c r="BA1041" i="178"/>
  <c r="BE1041" i="178"/>
  <c r="BI1041" i="178"/>
  <c r="BN1041" i="178"/>
  <c r="AU979" i="178"/>
  <c r="AY979" i="178"/>
  <c r="BC979" i="178"/>
  <c r="BG979" i="178"/>
  <c r="BL979" i="178"/>
  <c r="AS979" i="178"/>
  <c r="AW979" i="178"/>
  <c r="BA979" i="178"/>
  <c r="BE979" i="178"/>
  <c r="BI979" i="178"/>
  <c r="BN979" i="178"/>
  <c r="AU968" i="178"/>
  <c r="AY968" i="178"/>
  <c r="BC968" i="178"/>
  <c r="BG968" i="178"/>
  <c r="BL968" i="178"/>
  <c r="AS968" i="178"/>
  <c r="AW968" i="178"/>
  <c r="BA968" i="178"/>
  <c r="BE968" i="178"/>
  <c r="BI968" i="178"/>
  <c r="BN968" i="178"/>
  <c r="AU833" i="178"/>
  <c r="AY833" i="178"/>
  <c r="BC833" i="178"/>
  <c r="BG833" i="178"/>
  <c r="BL833" i="178"/>
  <c r="AS833" i="178"/>
  <c r="AW833" i="178"/>
  <c r="BA833" i="178"/>
  <c r="BE833" i="178"/>
  <c r="BI833" i="178"/>
  <c r="BN833" i="178"/>
  <c r="AU774" i="178"/>
  <c r="AY774" i="178"/>
  <c r="BC774" i="178"/>
  <c r="BG774" i="178"/>
  <c r="BL774" i="178"/>
  <c r="AS774" i="178"/>
  <c r="AW774" i="178"/>
  <c r="BA774" i="178"/>
  <c r="BE774" i="178"/>
  <c r="BI774" i="178"/>
  <c r="BN774" i="178"/>
  <c r="AU745" i="178"/>
  <c r="AY745" i="178"/>
  <c r="BC745" i="178"/>
  <c r="BG745" i="178"/>
  <c r="BL745" i="178"/>
  <c r="AS745" i="178"/>
  <c r="AW745" i="178"/>
  <c r="BA745" i="178"/>
  <c r="BE745" i="178"/>
  <c r="BI745" i="178"/>
  <c r="BN745" i="178"/>
  <c r="AU576" i="178"/>
  <c r="AY576" i="178"/>
  <c r="BC576" i="178"/>
  <c r="BG576" i="178"/>
  <c r="BL576" i="178"/>
  <c r="AS576" i="178"/>
  <c r="AW576" i="178"/>
  <c r="BA576" i="178"/>
  <c r="BE576" i="178"/>
  <c r="BI576" i="178"/>
  <c r="BN576" i="178"/>
  <c r="AU503" i="178"/>
  <c r="AY503" i="178"/>
  <c r="BC503" i="178"/>
  <c r="BG503" i="178"/>
  <c r="BL503" i="178"/>
  <c r="AS503" i="178"/>
  <c r="AW503" i="178"/>
  <c r="BA503" i="178"/>
  <c r="BE503" i="178"/>
  <c r="BI503" i="178"/>
  <c r="BN503" i="178"/>
  <c r="AU461" i="178"/>
  <c r="AY461" i="178"/>
  <c r="BC461" i="178"/>
  <c r="BG461" i="178"/>
  <c r="BL461" i="178"/>
  <c r="AS461" i="178"/>
  <c r="AW461" i="178"/>
  <c r="BA461" i="178"/>
  <c r="BE461" i="178"/>
  <c r="BI461" i="178"/>
  <c r="BN461" i="178"/>
  <c r="AS333" i="178"/>
  <c r="AU333" i="178"/>
  <c r="AY333" i="178"/>
  <c r="BC333" i="178"/>
  <c r="BG333" i="178"/>
  <c r="BL333" i="178"/>
  <c r="AW333" i="178"/>
  <c r="BA333" i="178"/>
  <c r="BE333" i="178"/>
  <c r="BI333" i="178"/>
  <c r="BN333" i="178"/>
  <c r="BL309" i="178"/>
  <c r="AS309" i="178"/>
  <c r="AW309" i="178"/>
  <c r="BA309" i="178"/>
  <c r="BE309" i="178"/>
  <c r="BI309" i="178"/>
  <c r="BN309" i="178"/>
  <c r="AY309" i="178"/>
  <c r="BC309" i="178"/>
  <c r="BG309" i="178"/>
  <c r="AU309" i="178"/>
  <c r="BL255" i="178"/>
  <c r="AS255" i="178"/>
  <c r="AW255" i="178"/>
  <c r="BA255" i="178"/>
  <c r="BE255" i="178"/>
  <c r="BI255" i="178"/>
  <c r="BN255" i="178"/>
  <c r="AU255" i="178"/>
  <c r="AY255" i="178"/>
  <c r="BC255" i="178"/>
  <c r="BG255" i="178"/>
  <c r="BL241" i="178"/>
  <c r="AS241" i="178"/>
  <c r="AW241" i="178"/>
  <c r="BA241" i="178"/>
  <c r="BE241" i="178"/>
  <c r="BI241" i="178"/>
  <c r="BN241" i="178"/>
  <c r="BG241" i="178"/>
  <c r="AU241" i="178"/>
  <c r="AY241" i="178"/>
  <c r="BC241" i="178"/>
  <c r="BL192" i="178"/>
  <c r="AS192" i="178"/>
  <c r="AW192" i="178"/>
  <c r="BA192" i="178"/>
  <c r="BE192" i="178"/>
  <c r="BI192" i="178"/>
  <c r="BN192" i="178"/>
  <c r="BC192" i="178"/>
  <c r="BG192" i="178"/>
  <c r="AU192" i="178"/>
  <c r="AY192" i="178"/>
  <c r="BL126" i="178"/>
  <c r="AS126" i="178"/>
  <c r="AW126" i="178"/>
  <c r="BA126" i="178"/>
  <c r="BE126" i="178"/>
  <c r="BI126" i="178"/>
  <c r="BN126" i="178"/>
  <c r="AY126" i="178"/>
  <c r="BC126" i="178"/>
  <c r="BG126" i="178"/>
  <c r="AU126" i="178"/>
  <c r="BL122" i="178"/>
  <c r="AS122" i="178"/>
  <c r="AW122" i="178"/>
  <c r="BA122" i="178"/>
  <c r="BE122" i="178"/>
  <c r="BI122" i="178"/>
  <c r="BN122" i="178"/>
  <c r="AU122" i="178"/>
  <c r="AY122" i="178"/>
  <c r="BC122" i="178"/>
  <c r="BG122" i="178"/>
  <c r="BL81" i="178"/>
  <c r="AS81" i="178"/>
  <c r="AW81" i="178"/>
  <c r="BA81" i="178"/>
  <c r="BE81" i="178"/>
  <c r="BI81" i="178"/>
  <c r="BN81" i="178"/>
  <c r="BG81" i="178"/>
  <c r="AU81" i="178"/>
  <c r="AY81" i="178"/>
  <c r="BC81" i="178"/>
  <c r="BL73" i="178"/>
  <c r="AS73" i="178"/>
  <c r="AW73" i="178"/>
  <c r="BA73" i="178"/>
  <c r="BE73" i="178"/>
  <c r="BI73" i="178"/>
  <c r="BN73" i="178"/>
  <c r="BC73" i="178"/>
  <c r="BG73" i="178"/>
  <c r="AU73" i="178"/>
  <c r="AY73" i="178"/>
  <c r="BL49" i="178"/>
  <c r="AS49" i="178"/>
  <c r="AW49" i="178"/>
  <c r="BA49" i="178"/>
  <c r="BE49" i="178"/>
  <c r="BI49" i="178"/>
  <c r="BN49" i="178"/>
  <c r="AY49" i="178"/>
  <c r="BC49" i="178"/>
  <c r="BG49" i="178"/>
  <c r="AU49" i="178"/>
  <c r="BL1182" i="178"/>
  <c r="AS1182" i="178"/>
  <c r="AW1182" i="178"/>
  <c r="BA1182" i="178"/>
  <c r="BE1182" i="178"/>
  <c r="BI1182" i="178"/>
  <c r="BN1182" i="178"/>
  <c r="AU1182" i="178"/>
  <c r="AY1182" i="178"/>
  <c r="BC1182" i="178"/>
  <c r="BG1182" i="178"/>
  <c r="BL1025" i="178"/>
  <c r="AS1025" i="178"/>
  <c r="AW1025" i="178"/>
  <c r="BA1025" i="178"/>
  <c r="BE1025" i="178"/>
  <c r="BI1025" i="178"/>
  <c r="BN1025" i="178"/>
  <c r="BG1025" i="178"/>
  <c r="AU1025" i="178"/>
  <c r="AY1025" i="178"/>
  <c r="BC1025" i="178"/>
  <c r="BL1015" i="178"/>
  <c r="AS1015" i="178"/>
  <c r="AW1015" i="178"/>
  <c r="BA1015" i="178"/>
  <c r="BE1015" i="178"/>
  <c r="BI1015" i="178"/>
  <c r="BN1015" i="178"/>
  <c r="BC1015" i="178"/>
  <c r="BG1015" i="178"/>
  <c r="AU1015" i="178"/>
  <c r="AY1015" i="178"/>
  <c r="BL974" i="178"/>
  <c r="AS974" i="178"/>
  <c r="AW974" i="178"/>
  <c r="BA974" i="178"/>
  <c r="BE974" i="178"/>
  <c r="BI974" i="178"/>
  <c r="BN974" i="178"/>
  <c r="AY974" i="178"/>
  <c r="BC974" i="178"/>
  <c r="BG974" i="178"/>
  <c r="AU974" i="178"/>
  <c r="BL743" i="178"/>
  <c r="AS743" i="178"/>
  <c r="AW743" i="178"/>
  <c r="BA743" i="178"/>
  <c r="BE743" i="178"/>
  <c r="BI743" i="178"/>
  <c r="BN743" i="178"/>
  <c r="BG743" i="178"/>
  <c r="AU743" i="178"/>
  <c r="AY743" i="178"/>
  <c r="BC743" i="178"/>
  <c r="BL575" i="178"/>
  <c r="AS575" i="178"/>
  <c r="AW575" i="178"/>
  <c r="BA575" i="178"/>
  <c r="BE575" i="178"/>
  <c r="BI575" i="178"/>
  <c r="BN575" i="178"/>
  <c r="BC575" i="178"/>
  <c r="BG575" i="178"/>
  <c r="AU575" i="178"/>
  <c r="AY575" i="178"/>
  <c r="BL433" i="178"/>
  <c r="AS433" i="178"/>
  <c r="AW433" i="178"/>
  <c r="BA433" i="178"/>
  <c r="BE433" i="178"/>
  <c r="BI433" i="178"/>
  <c r="BN433" i="178"/>
  <c r="AY433" i="178"/>
  <c r="BC433" i="178"/>
  <c r="BG433" i="178"/>
  <c r="AU433" i="178"/>
  <c r="BL289" i="178"/>
  <c r="AS289" i="178"/>
  <c r="AW289" i="178"/>
  <c r="BA289" i="178"/>
  <c r="BE289" i="178"/>
  <c r="BI289" i="178"/>
  <c r="BN289" i="178"/>
  <c r="AU289" i="178"/>
  <c r="AY289" i="178"/>
  <c r="BC289" i="178"/>
  <c r="BG289" i="178"/>
  <c r="BL1064" i="178"/>
  <c r="AS1064" i="178"/>
  <c r="AW1064" i="178"/>
  <c r="BA1064" i="178"/>
  <c r="BE1064" i="178"/>
  <c r="BI1064" i="178"/>
  <c r="BN1064" i="178"/>
  <c r="BG1064" i="178"/>
  <c r="AU1064" i="178"/>
  <c r="AY1064" i="178"/>
  <c r="BC1064" i="178"/>
  <c r="BL148" i="178"/>
  <c r="AS148" i="178"/>
  <c r="AW148" i="178"/>
  <c r="BA148" i="178"/>
  <c r="BE148" i="178"/>
  <c r="BI148" i="178"/>
  <c r="BN148" i="178"/>
  <c r="BC148" i="178"/>
  <c r="BG148" i="178"/>
  <c r="AU148" i="178"/>
  <c r="AY148" i="178"/>
  <c r="BL699" i="178"/>
  <c r="AS699" i="178"/>
  <c r="AW699" i="178"/>
  <c r="BA699" i="178"/>
  <c r="BE699" i="178"/>
  <c r="BI699" i="178"/>
  <c r="BN699" i="178"/>
  <c r="AY699" i="178"/>
  <c r="BC699" i="178"/>
  <c r="BG699" i="178"/>
  <c r="AU699" i="178"/>
  <c r="AS945" i="178"/>
  <c r="AW945" i="178"/>
  <c r="BA945" i="178"/>
  <c r="BE945" i="178"/>
  <c r="BI945" i="178"/>
  <c r="BN945" i="178"/>
  <c r="AU945" i="178"/>
  <c r="AY945" i="178"/>
  <c r="BC945" i="178"/>
  <c r="BG945" i="178"/>
  <c r="BL945" i="178"/>
  <c r="AY492" i="178"/>
  <c r="AS689" i="178"/>
  <c r="AW689" i="178"/>
  <c r="BA689" i="178"/>
  <c r="BE689" i="178"/>
  <c r="BI689" i="178"/>
  <c r="BN689" i="178"/>
  <c r="AU689" i="178"/>
  <c r="AY689" i="178"/>
  <c r="BC689" i="178"/>
  <c r="BG689" i="178"/>
  <c r="BL689" i="178"/>
  <c r="AS640" i="178"/>
  <c r="BC640" i="178"/>
  <c r="AS639" i="178"/>
  <c r="AW639" i="178"/>
  <c r="BA639" i="178"/>
  <c r="BE639" i="178"/>
  <c r="BI639" i="178"/>
  <c r="BN639" i="178"/>
  <c r="AU639" i="178"/>
  <c r="AY639" i="178"/>
  <c r="BC639" i="178"/>
  <c r="BG639" i="178"/>
  <c r="BL639" i="178"/>
  <c r="AS942" i="178"/>
  <c r="AW942" i="178"/>
  <c r="BA942" i="178"/>
  <c r="BE942" i="178"/>
  <c r="BI942" i="178"/>
  <c r="BN942" i="178"/>
  <c r="AU942" i="178"/>
  <c r="AY942" i="178"/>
  <c r="BC942" i="178"/>
  <c r="BG942" i="178"/>
  <c r="BL942" i="178"/>
  <c r="AW439" i="178"/>
  <c r="BN439" i="178"/>
  <c r="BG439" i="178"/>
  <c r="AS1148" i="178"/>
  <c r="AW1148" i="178"/>
  <c r="BA1148" i="178"/>
  <c r="BE1148" i="178"/>
  <c r="BI1148" i="178"/>
  <c r="BN1148" i="178"/>
  <c r="AU1148" i="178"/>
  <c r="AY1148" i="178"/>
  <c r="BC1148" i="178"/>
  <c r="BG1148" i="178"/>
  <c r="BL1148" i="178"/>
  <c r="AS941" i="178"/>
  <c r="AW941" i="178"/>
  <c r="BA941" i="178"/>
  <c r="BE941" i="178"/>
  <c r="BI941" i="178"/>
  <c r="BN941" i="178"/>
  <c r="AU941" i="178"/>
  <c r="AY941" i="178"/>
  <c r="BC941" i="178"/>
  <c r="BG941" i="178"/>
  <c r="BL941" i="178"/>
  <c r="AS390" i="178"/>
  <c r="AW390" i="178"/>
  <c r="BA390" i="178"/>
  <c r="BE390" i="178"/>
  <c r="BI390" i="178"/>
  <c r="BN390" i="178"/>
  <c r="AU390" i="178"/>
  <c r="AY390" i="178"/>
  <c r="BC390" i="178"/>
  <c r="BG390" i="178"/>
  <c r="BL390" i="178"/>
  <c r="AU414" i="178"/>
  <c r="AY671" i="178"/>
  <c r="AW174" i="178"/>
  <c r="AY174" i="178"/>
  <c r="BG174" i="178"/>
  <c r="AS292" i="178"/>
  <c r="AW292" i="178"/>
  <c r="BA292" i="178"/>
  <c r="BE292" i="178"/>
  <c r="BI292" i="178"/>
  <c r="BN292" i="178"/>
  <c r="AU292" i="178"/>
  <c r="AY292" i="178"/>
  <c r="BC292" i="178"/>
  <c r="BG292" i="178"/>
  <c r="BL292" i="178"/>
  <c r="AS859" i="178"/>
  <c r="AW859" i="178"/>
  <c r="BA859" i="178"/>
  <c r="BE859" i="178"/>
  <c r="BI859" i="178"/>
  <c r="BN859" i="178"/>
  <c r="AU859" i="178"/>
  <c r="AY859" i="178"/>
  <c r="BC859" i="178"/>
  <c r="BG859" i="178"/>
  <c r="BL859" i="178"/>
  <c r="AU872" i="178"/>
  <c r="AY872" i="178"/>
  <c r="BC872" i="178"/>
  <c r="AS872" i="178"/>
  <c r="AW872" i="178"/>
  <c r="BA872" i="178"/>
  <c r="BE872" i="178"/>
  <c r="BI872" i="178"/>
  <c r="BN872" i="178"/>
  <c r="BG872" i="178"/>
  <c r="BL872" i="178"/>
  <c r="S732" i="178"/>
  <c r="S908" i="178"/>
  <c r="S201" i="178"/>
  <c r="S883" i="178"/>
  <c r="S581" i="178"/>
  <c r="S865" i="178"/>
  <c r="S821" i="178"/>
  <c r="S170" i="178"/>
  <c r="S819" i="178"/>
  <c r="V606" i="178"/>
  <c r="U603" i="178"/>
  <c r="U596" i="178"/>
  <c r="U592" i="178"/>
  <c r="U588" i="178"/>
  <c r="U410" i="178"/>
  <c r="U406" i="178"/>
  <c r="U403" i="178"/>
  <c r="U398" i="178"/>
  <c r="U383" i="178"/>
  <c r="U379" i="178"/>
  <c r="U375" i="178"/>
  <c r="U1188" i="178"/>
  <c r="U1011" i="178"/>
  <c r="U847" i="178"/>
  <c r="U790" i="178"/>
  <c r="U788" i="178"/>
  <c r="U619" i="178"/>
  <c r="U585" i="178"/>
  <c r="U510" i="178"/>
  <c r="U397" i="178"/>
  <c r="U335" i="178"/>
  <c r="U476" i="178"/>
  <c r="U232" i="178"/>
  <c r="U133" i="178"/>
  <c r="V83" i="178"/>
  <c r="V1045" i="178"/>
  <c r="V915" i="178"/>
  <c r="U915" i="178"/>
  <c r="V200" i="178"/>
  <c r="U200" i="178"/>
  <c r="V579" i="178"/>
  <c r="U579" i="178"/>
  <c r="V493" i="178"/>
  <c r="U493" i="178"/>
  <c r="V730" i="178"/>
  <c r="U730" i="178"/>
  <c r="U170" i="178"/>
  <c r="V170" i="178"/>
  <c r="BF1132" i="178"/>
  <c r="BM1129" i="178"/>
  <c r="BD1128" i="178"/>
  <c r="BK1127" i="178"/>
  <c r="AU1127" i="178"/>
  <c r="AZ1035" i="178"/>
  <c r="AX962" i="178"/>
  <c r="AV1108" i="178"/>
  <c r="BC1107" i="178"/>
  <c r="BJ1099" i="178"/>
  <c r="AT1099" i="178"/>
  <c r="BH1097" i="178"/>
  <c r="AR1097" i="178"/>
  <c r="BD894" i="178"/>
  <c r="BK1130" i="178"/>
  <c r="AU1130" i="178"/>
  <c r="AZ938" i="178"/>
  <c r="BG721" i="178"/>
  <c r="V724" i="178"/>
  <c r="V912" i="178"/>
  <c r="V880" i="178"/>
  <c r="V551" i="178"/>
  <c r="V633" i="178"/>
  <c r="V825" i="178"/>
  <c r="V907" i="178"/>
  <c r="V662" i="178"/>
  <c r="V412" i="178"/>
  <c r="V427" i="178"/>
  <c r="V692" i="178"/>
  <c r="V1152" i="178"/>
  <c r="V417" i="178"/>
  <c r="V488" i="178"/>
  <c r="V171" i="178"/>
  <c r="V869" i="178"/>
  <c r="V782" i="178"/>
  <c r="V780" i="178"/>
  <c r="V36" i="178"/>
  <c r="V260" i="178"/>
  <c r="V227" i="178"/>
  <c r="V1132" i="178"/>
  <c r="V1128" i="178"/>
  <c r="V1035" i="178"/>
  <c r="V962" i="178"/>
  <c r="V1108" i="178"/>
  <c r="V1099" i="178"/>
  <c r="V1097" i="178"/>
  <c r="V894" i="178"/>
  <c r="V938" i="178"/>
  <c r="V697" i="178"/>
  <c r="V696" i="178"/>
  <c r="V709" i="178"/>
  <c r="V1090" i="178"/>
  <c r="V367" i="178"/>
  <c r="V678" i="178"/>
  <c r="V1105" i="178"/>
  <c r="V1112" i="178"/>
  <c r="V1094" i="178"/>
  <c r="V1110" i="178"/>
  <c r="V1103" i="178"/>
  <c r="V631" i="178"/>
  <c r="V629" i="178"/>
  <c r="V627" i="178"/>
  <c r="V625" i="178"/>
  <c r="V622" i="178"/>
  <c r="V621" i="178"/>
  <c r="V616" i="178"/>
  <c r="V614" i="178"/>
  <c r="V610" i="178"/>
  <c r="U612" i="178"/>
  <c r="U609" i="178"/>
  <c r="V609" i="178"/>
  <c r="V607" i="178"/>
  <c r="V605" i="178"/>
  <c r="V128" i="178"/>
  <c r="V79" i="178"/>
  <c r="V29" i="178"/>
  <c r="V1277" i="178"/>
  <c r="V1165" i="178"/>
  <c r="V1007" i="178"/>
  <c r="V976" i="178"/>
  <c r="V949" i="178"/>
  <c r="V1278" i="178"/>
  <c r="V843" i="178"/>
  <c r="V841" i="178"/>
  <c r="V839" i="178"/>
  <c r="V837" i="178"/>
  <c r="V835" i="178"/>
  <c r="V787" i="178"/>
  <c r="V785" i="178"/>
  <c r="V783" i="178"/>
  <c r="V778" i="178"/>
  <c r="V758" i="178"/>
  <c r="V756" i="178"/>
  <c r="V754" i="178"/>
  <c r="V752" i="178"/>
  <c r="V750" i="178"/>
  <c r="V748" i="178"/>
  <c r="V617" i="178"/>
  <c r="V583" i="178"/>
  <c r="V532" i="178"/>
  <c r="V504" i="178"/>
  <c r="V475" i="178"/>
  <c r="V462" i="178"/>
  <c r="V370" i="178"/>
  <c r="V311" i="178"/>
  <c r="V261" i="178"/>
  <c r="V230" i="178"/>
  <c r="V132" i="178"/>
  <c r="V127" i="178"/>
  <c r="V74" i="178"/>
  <c r="V1184" i="178"/>
  <c r="V1185" i="178"/>
  <c r="V1155" i="178"/>
  <c r="V1156" i="178"/>
  <c r="V1044" i="178"/>
  <c r="V1042" i="178"/>
  <c r="V1019" i="178"/>
  <c r="V980" i="178"/>
  <c r="V978" i="178"/>
  <c r="V975" i="178"/>
  <c r="V967" i="178"/>
  <c r="V948" i="178"/>
  <c r="V832" i="178"/>
  <c r="V830" i="178"/>
  <c r="V776" i="178"/>
  <c r="V775" i="178"/>
  <c r="V746" i="178"/>
  <c r="V744" i="178"/>
  <c r="V659" i="178"/>
  <c r="V535" i="178"/>
  <c r="V508" i="178"/>
  <c r="U483" i="178"/>
  <c r="U469" i="178"/>
  <c r="V331" i="178"/>
  <c r="U331" i="178"/>
  <c r="U434" i="178"/>
  <c r="V334" i="178"/>
  <c r="U334" i="178"/>
  <c r="U310" i="178"/>
  <c r="U265" i="178"/>
  <c r="U256" i="178"/>
  <c r="U250" i="178"/>
  <c r="U242" i="178"/>
  <c r="U229" i="178"/>
  <c r="U193" i="178"/>
  <c r="U188" i="178"/>
  <c r="U130" i="178"/>
  <c r="V1008" i="178"/>
  <c r="V742" i="178"/>
  <c r="U575" i="178"/>
  <c r="V575" i="178"/>
  <c r="V473" i="178"/>
  <c r="U1009" i="178"/>
  <c r="V1009" i="178"/>
  <c r="U743" i="178"/>
  <c r="V743" i="178"/>
  <c r="U482" i="178"/>
  <c r="V482" i="178"/>
  <c r="U425" i="178"/>
  <c r="V425" i="178"/>
  <c r="V972" i="178"/>
  <c r="U667" i="178"/>
  <c r="V667" i="178"/>
  <c r="U424" i="178"/>
  <c r="V424" i="178"/>
  <c r="V125" i="178"/>
  <c r="V121" i="178"/>
  <c r="V80" i="178"/>
  <c r="V59" i="178"/>
  <c r="V55" i="178"/>
  <c r="V54" i="178"/>
  <c r="V49" i="178"/>
  <c r="V15" i="178"/>
  <c r="V14" i="178"/>
  <c r="V13" i="178"/>
  <c r="U974" i="178"/>
  <c r="V974" i="178"/>
  <c r="U771" i="178"/>
  <c r="V771" i="178"/>
  <c r="V433" i="178"/>
  <c r="V289" i="178"/>
  <c r="V228" i="178"/>
  <c r="V202" i="178"/>
  <c r="V280" i="178"/>
  <c r="V1064" i="178"/>
  <c r="V1063" i="178"/>
  <c r="V1051" i="178"/>
  <c r="V480" i="178"/>
  <c r="V148" i="178"/>
  <c r="V144" i="178"/>
  <c r="V701" i="178"/>
  <c r="V700" i="178"/>
  <c r="V699" i="178"/>
  <c r="V691" i="178"/>
  <c r="V364" i="178"/>
  <c r="U892" i="178"/>
  <c r="U809" i="178"/>
  <c r="U945" i="178"/>
  <c r="U641" i="178"/>
  <c r="U394" i="178"/>
  <c r="U137" i="178"/>
  <c r="U439" i="178"/>
  <c r="V439" i="178"/>
  <c r="U1148" i="178"/>
  <c r="V1148" i="178"/>
  <c r="U390" i="178"/>
  <c r="V390" i="178"/>
  <c r="U859" i="178"/>
  <c r="V859" i="178"/>
  <c r="V157" i="178"/>
  <c r="V900" i="178"/>
  <c r="V899" i="178"/>
  <c r="V923" i="178"/>
  <c r="V1150" i="178"/>
  <c r="U638" i="178"/>
  <c r="V638" i="178"/>
  <c r="U685" i="178"/>
  <c r="V685" i="178"/>
  <c r="U637" i="178"/>
  <c r="V637" i="178"/>
  <c r="U414" i="178"/>
  <c r="V414" i="178"/>
  <c r="U671" i="178"/>
  <c r="V671" i="178"/>
  <c r="U174" i="178"/>
  <c r="V174" i="178"/>
  <c r="U175" i="178"/>
  <c r="V175" i="178"/>
  <c r="U392" i="178"/>
  <c r="U942" i="178"/>
  <c r="V942" i="178"/>
  <c r="U941" i="178"/>
  <c r="V941" i="178"/>
  <c r="U292" i="178"/>
  <c r="V292" i="178"/>
  <c r="U872" i="178"/>
  <c r="V872" i="178"/>
  <c r="U136" i="178"/>
  <c r="V136" i="178"/>
  <c r="U487" i="178"/>
  <c r="V487" i="178"/>
  <c r="U919" i="178"/>
  <c r="V919" i="178"/>
  <c r="U295" i="178"/>
  <c r="V295" i="178"/>
  <c r="U860" i="178"/>
  <c r="V860" i="178"/>
  <c r="U665" i="178"/>
  <c r="V665" i="178"/>
  <c r="V904" i="178"/>
  <c r="V819" i="178"/>
  <c r="V197" i="178"/>
  <c r="V632" i="178"/>
  <c r="AY157" i="178" l="1"/>
  <c r="BE1063" i="178"/>
  <c r="AW157" i="178"/>
  <c r="BG157" i="178"/>
  <c r="BL157" i="178"/>
  <c r="AU1063" i="178"/>
  <c r="BG897" i="178"/>
  <c r="BN157" i="178"/>
  <c r="BE157" i="178"/>
  <c r="BI1007" i="178"/>
  <c r="BA691" i="178"/>
  <c r="BE863" i="178"/>
  <c r="BN1150" i="178"/>
  <c r="BL863" i="178"/>
  <c r="AU389" i="178"/>
  <c r="AW1150" i="178"/>
  <c r="BC439" i="178"/>
  <c r="BI439" i="178"/>
  <c r="AS439" i="178"/>
  <c r="AY439" i="178"/>
  <c r="BE439" i="178"/>
  <c r="BL439" i="178"/>
  <c r="AU439" i="178"/>
  <c r="BI79" i="178"/>
  <c r="BI899" i="178"/>
  <c r="AS1026" i="178"/>
  <c r="BG691" i="178"/>
  <c r="AY1026" i="178"/>
  <c r="AS79" i="178"/>
  <c r="BE492" i="178"/>
  <c r="AY394" i="178"/>
  <c r="AY79" i="178"/>
  <c r="AU416" i="178"/>
  <c r="AW416" i="178"/>
  <c r="BL492" i="178"/>
  <c r="BA492" i="178"/>
  <c r="BG416" i="178"/>
  <c r="AS416" i="178"/>
  <c r="AW1059" i="178"/>
  <c r="AU79" i="178"/>
  <c r="BL79" i="178"/>
  <c r="BN174" i="178"/>
  <c r="BG492" i="178"/>
  <c r="BN492" i="178"/>
  <c r="AW492" i="178"/>
  <c r="BG1097" i="178"/>
  <c r="BC1128" i="178"/>
  <c r="AS1128" i="178"/>
  <c r="BC416" i="178"/>
  <c r="BE416" i="178"/>
  <c r="BL416" i="178"/>
  <c r="BG79" i="178"/>
  <c r="BA79" i="178"/>
  <c r="BN416" i="178"/>
  <c r="AU492" i="178"/>
  <c r="AY892" i="178"/>
  <c r="BI416" i="178"/>
  <c r="BE79" i="178"/>
  <c r="BE174" i="178"/>
  <c r="BC492" i="178"/>
  <c r="BI492" i="178"/>
  <c r="AW1097" i="178"/>
  <c r="AU1128" i="178"/>
  <c r="AY416" i="178"/>
  <c r="BC79" i="178"/>
  <c r="BN79" i="178"/>
  <c r="BC1059" i="178"/>
  <c r="BG425" i="178"/>
  <c r="BG1010" i="178"/>
  <c r="BA425" i="178"/>
  <c r="BN1059" i="178"/>
  <c r="BL174" i="178"/>
  <c r="AU174" i="178"/>
  <c r="BA174" i="178"/>
  <c r="BI640" i="178"/>
  <c r="AY1108" i="178"/>
  <c r="AY1035" i="178"/>
  <c r="BE1035" i="178"/>
  <c r="BG1128" i="178"/>
  <c r="BN1128" i="178"/>
  <c r="AW1128" i="178"/>
  <c r="BG899" i="178"/>
  <c r="AU157" i="178"/>
  <c r="BI157" i="178"/>
  <c r="AS157" i="178"/>
  <c r="BN144" i="178"/>
  <c r="AW144" i="178"/>
  <c r="BC144" i="178"/>
  <c r="BL1063" i="178"/>
  <c r="BL530" i="178"/>
  <c r="BC174" i="178"/>
  <c r="BI174" i="178"/>
  <c r="BN938" i="178"/>
  <c r="BN1097" i="178"/>
  <c r="BG1035" i="178"/>
  <c r="BN1035" i="178"/>
  <c r="AW1035" i="178"/>
  <c r="AY1128" i="178"/>
  <c r="BE1128" i="178"/>
  <c r="AS899" i="178"/>
  <c r="BC157" i="178"/>
  <c r="BE144" i="178"/>
  <c r="BL144" i="178"/>
  <c r="BE1107" i="178"/>
  <c r="BN963" i="178"/>
  <c r="AY640" i="178"/>
  <c r="BE640" i="178"/>
  <c r="BC938" i="178"/>
  <c r="BI938" i="178"/>
  <c r="AS938" i="178"/>
  <c r="BG389" i="178"/>
  <c r="BN389" i="178"/>
  <c r="AW389" i="178"/>
  <c r="BC899" i="178"/>
  <c r="BE899" i="178"/>
  <c r="BL899" i="178"/>
  <c r="BA1063" i="178"/>
  <c r="BG1063" i="178"/>
  <c r="BA530" i="178"/>
  <c r="BG530" i="178"/>
  <c r="BN1010" i="178"/>
  <c r="AW1010" i="178"/>
  <c r="BC1010" i="178"/>
  <c r="BI1059" i="178"/>
  <c r="AS1059" i="178"/>
  <c r="AY1059" i="178"/>
  <c r="BL640" i="178"/>
  <c r="AU640" i="178"/>
  <c r="BA640" i="178"/>
  <c r="AY938" i="178"/>
  <c r="BE938" i="178"/>
  <c r="BC389" i="178"/>
  <c r="BI389" i="178"/>
  <c r="AS389" i="178"/>
  <c r="AY899" i="178"/>
  <c r="BA899" i="178"/>
  <c r="BN1063" i="178"/>
  <c r="AW1063" i="178"/>
  <c r="BC1063" i="178"/>
  <c r="BN530" i="178"/>
  <c r="AW530" i="178"/>
  <c r="BC530" i="178"/>
  <c r="BI1010" i="178"/>
  <c r="AS1010" i="178"/>
  <c r="AY1010" i="178"/>
  <c r="BE1059" i="178"/>
  <c r="BL1059" i="178"/>
  <c r="AU1059" i="178"/>
  <c r="BG640" i="178"/>
  <c r="BN640" i="178"/>
  <c r="AU938" i="178"/>
  <c r="BA938" i="178"/>
  <c r="AY389" i="178"/>
  <c r="BE389" i="178"/>
  <c r="BL389" i="178"/>
  <c r="AU899" i="178"/>
  <c r="BN899" i="178"/>
  <c r="BI1063" i="178"/>
  <c r="AS1063" i="178"/>
  <c r="BI530" i="178"/>
  <c r="AS530" i="178"/>
  <c r="BE1010" i="178"/>
  <c r="BL1010" i="178"/>
  <c r="AU1010" i="178"/>
  <c r="BA1059" i="178"/>
  <c r="AU1107" i="178"/>
  <c r="BE1026" i="178"/>
  <c r="BG1026" i="178"/>
  <c r="AU1026" i="178"/>
  <c r="BA1107" i="178"/>
  <c r="BA1026" i="178"/>
  <c r="BC1026" i="178"/>
  <c r="BN1107" i="178"/>
  <c r="AW1107" i="178"/>
  <c r="BN1026" i="178"/>
  <c r="BL1026" i="178"/>
  <c r="BI1107" i="178"/>
  <c r="AS1107" i="178"/>
  <c r="BL671" i="178"/>
  <c r="AU671" i="178"/>
  <c r="BA671" i="178"/>
  <c r="BL597" i="178"/>
  <c r="AU597" i="178"/>
  <c r="BA597" i="178"/>
  <c r="BC1097" i="178"/>
  <c r="BI1097" i="178"/>
  <c r="AS1097" i="178"/>
  <c r="AU1108" i="178"/>
  <c r="BA1108" i="178"/>
  <c r="BC863" i="178"/>
  <c r="BA863" i="178"/>
  <c r="BC897" i="178"/>
  <c r="BN897" i="178"/>
  <c r="AW897" i="178"/>
  <c r="BC1150" i="178"/>
  <c r="BI1150" i="178"/>
  <c r="AS1150" i="178"/>
  <c r="BN691" i="178"/>
  <c r="AW691" i="178"/>
  <c r="BC691" i="178"/>
  <c r="BN425" i="178"/>
  <c r="AW425" i="178"/>
  <c r="BC425" i="178"/>
  <c r="BL1108" i="178"/>
  <c r="BG671" i="178"/>
  <c r="BN671" i="178"/>
  <c r="AW671" i="178"/>
  <c r="BG597" i="178"/>
  <c r="BN597" i="178"/>
  <c r="AW597" i="178"/>
  <c r="AY1097" i="178"/>
  <c r="BE1097" i="178"/>
  <c r="BG1108" i="178"/>
  <c r="BN1108" i="178"/>
  <c r="AW1108" i="178"/>
  <c r="AY863" i="178"/>
  <c r="BN863" i="178"/>
  <c r="AW863" i="178"/>
  <c r="AY897" i="178"/>
  <c r="BI897" i="178"/>
  <c r="AS897" i="178"/>
  <c r="AY1150" i="178"/>
  <c r="BE1150" i="178"/>
  <c r="BL1150" i="178"/>
  <c r="BI691" i="178"/>
  <c r="AS691" i="178"/>
  <c r="AY691" i="178"/>
  <c r="BI425" i="178"/>
  <c r="AS425" i="178"/>
  <c r="AY425" i="178"/>
  <c r="BC671" i="178"/>
  <c r="BI671" i="178"/>
  <c r="AS671" i="178"/>
  <c r="BC597" i="178"/>
  <c r="BI597" i="178"/>
  <c r="AS597" i="178"/>
  <c r="AU1097" i="178"/>
  <c r="BA1097" i="178"/>
  <c r="BC1108" i="178"/>
  <c r="BI1108" i="178"/>
  <c r="AU863" i="178"/>
  <c r="BI863" i="178"/>
  <c r="AS863" i="178"/>
  <c r="AU897" i="178"/>
  <c r="BE897" i="178"/>
  <c r="BL897" i="178"/>
  <c r="AU1150" i="178"/>
  <c r="BA1150" i="178"/>
  <c r="BE691" i="178"/>
  <c r="BL691" i="178"/>
  <c r="BE425" i="178"/>
  <c r="BL425" i="178"/>
  <c r="AS1007" i="178"/>
  <c r="AW963" i="178"/>
  <c r="BE972" i="178"/>
  <c r="BA414" i="178"/>
  <c r="BE394" i="178"/>
  <c r="BE892" i="178"/>
  <c r="BG402" i="178"/>
  <c r="BL892" i="178"/>
  <c r="BN402" i="178"/>
  <c r="BG894" i="178"/>
  <c r="BL414" i="178"/>
  <c r="AW402" i="178"/>
  <c r="BN894" i="178"/>
  <c r="BL972" i="178"/>
  <c r="BG1007" i="178"/>
  <c r="BG963" i="178"/>
  <c r="BG414" i="178"/>
  <c r="BN414" i="178"/>
  <c r="AW414" i="178"/>
  <c r="BL394" i="178"/>
  <c r="AU394" i="178"/>
  <c r="BA394" i="178"/>
  <c r="AU892" i="178"/>
  <c r="BA892" i="178"/>
  <c r="BC402" i="178"/>
  <c r="BI402" i="178"/>
  <c r="AS402" i="178"/>
  <c r="BC894" i="178"/>
  <c r="BI894" i="178"/>
  <c r="AS894" i="178"/>
  <c r="BA972" i="178"/>
  <c r="BG972" i="178"/>
  <c r="BC1007" i="178"/>
  <c r="BE1007" i="178"/>
  <c r="BL1007" i="178"/>
  <c r="BI963" i="178"/>
  <c r="AS963" i="178"/>
  <c r="BC963" i="178"/>
  <c r="BC414" i="178"/>
  <c r="BI414" i="178"/>
  <c r="AS414" i="178"/>
  <c r="BG394" i="178"/>
  <c r="BN394" i="178"/>
  <c r="AW394" i="178"/>
  <c r="BG892" i="178"/>
  <c r="BN892" i="178"/>
  <c r="AW892" i="178"/>
  <c r="AY402" i="178"/>
  <c r="BE402" i="178"/>
  <c r="AY894" i="178"/>
  <c r="BE894" i="178"/>
  <c r="AU963" i="178"/>
  <c r="BN972" i="178"/>
  <c r="AW972" i="178"/>
  <c r="BC972" i="178"/>
  <c r="AY1007" i="178"/>
  <c r="BA1007" i="178"/>
  <c r="BE963" i="178"/>
  <c r="BL963" i="178"/>
  <c r="AY414" i="178"/>
  <c r="BE414" i="178"/>
  <c r="BC394" i="178"/>
  <c r="BI394" i="178"/>
  <c r="BC892" i="178"/>
  <c r="BI892" i="178"/>
  <c r="BL402" i="178"/>
  <c r="AU402" i="178"/>
  <c r="BA402" i="178"/>
  <c r="AU894" i="178"/>
  <c r="BA894" i="178"/>
  <c r="BI972" i="178"/>
  <c r="AS972" i="178"/>
  <c r="AU1007" i="178"/>
  <c r="BN1007" i="178"/>
  <c r="BA963" i="178"/>
  <c r="AU865" i="178"/>
  <c r="AY865" i="178"/>
  <c r="BC865" i="178"/>
  <c r="BG865" i="178"/>
  <c r="BL865" i="178"/>
  <c r="AS865" i="178"/>
  <c r="AW865" i="178"/>
  <c r="BA865" i="178"/>
  <c r="BE865" i="178"/>
  <c r="BI865" i="178"/>
  <c r="BN865" i="178"/>
  <c r="AU908" i="178"/>
  <c r="AY908" i="178"/>
  <c r="BC908" i="178"/>
  <c r="BG908" i="178"/>
  <c r="BL908" i="178"/>
  <c r="AS908" i="178"/>
  <c r="AW908" i="178"/>
  <c r="BA908" i="178"/>
  <c r="BE908" i="178"/>
  <c r="BI908" i="178"/>
  <c r="BN908" i="178"/>
  <c r="AS633" i="178"/>
  <c r="AW633" i="178"/>
  <c r="BA633" i="178"/>
  <c r="BE633" i="178"/>
  <c r="BI633" i="178"/>
  <c r="BN633" i="178"/>
  <c r="AU633" i="178"/>
  <c r="AY633" i="178"/>
  <c r="BC633" i="178"/>
  <c r="BG633" i="178"/>
  <c r="BL633" i="178"/>
  <c r="BL387" i="178"/>
  <c r="AS387" i="178"/>
  <c r="AW387" i="178"/>
  <c r="BA387" i="178"/>
  <c r="BE387" i="178"/>
  <c r="BI387" i="178"/>
  <c r="BN387" i="178"/>
  <c r="BC387" i="178"/>
  <c r="BG387" i="178"/>
  <c r="AU387" i="178"/>
  <c r="AY387" i="178"/>
  <c r="BL726" i="178"/>
  <c r="AS726" i="178"/>
  <c r="AW726" i="178"/>
  <c r="BA726" i="178"/>
  <c r="BE726" i="178"/>
  <c r="BI726" i="178"/>
  <c r="BN726" i="178"/>
  <c r="BC726" i="178"/>
  <c r="BG726" i="178"/>
  <c r="AU726" i="178"/>
  <c r="AY726" i="178"/>
  <c r="BN734" i="178"/>
  <c r="AU734" i="178"/>
  <c r="AY734" i="178"/>
  <c r="BC734" i="178"/>
  <c r="BG734" i="178"/>
  <c r="BL734" i="178"/>
  <c r="BA734" i="178"/>
  <c r="BE734" i="178"/>
  <c r="AS734" i="178"/>
  <c r="BI734" i="178"/>
  <c r="AW734" i="178"/>
  <c r="BN415" i="178"/>
  <c r="AU415" i="178"/>
  <c r="AY415" i="178"/>
  <c r="BC415" i="178"/>
  <c r="BG415" i="178"/>
  <c r="BL415" i="178"/>
  <c r="BA415" i="178"/>
  <c r="BE415" i="178"/>
  <c r="AS415" i="178"/>
  <c r="BI415" i="178"/>
  <c r="AW415" i="178"/>
  <c r="BN485" i="178"/>
  <c r="AU485" i="178"/>
  <c r="AY485" i="178"/>
  <c r="BC485" i="178"/>
  <c r="BG485" i="178"/>
  <c r="BL485" i="178"/>
  <c r="BA485" i="178"/>
  <c r="BE485" i="178"/>
  <c r="AS485" i="178"/>
  <c r="BI485" i="178"/>
  <c r="AW485" i="178"/>
  <c r="BN900" i="178"/>
  <c r="AU900" i="178"/>
  <c r="AY900" i="178"/>
  <c r="BC900" i="178"/>
  <c r="BG900" i="178"/>
  <c r="BL900" i="178"/>
  <c r="BA900" i="178"/>
  <c r="BE900" i="178"/>
  <c r="AS900" i="178"/>
  <c r="BI900" i="178"/>
  <c r="AW900" i="178"/>
  <c r="AS280" i="178"/>
  <c r="AW280" i="178"/>
  <c r="BA280" i="178"/>
  <c r="BE280" i="178"/>
  <c r="BI280" i="178"/>
  <c r="BN280" i="178"/>
  <c r="AU280" i="178"/>
  <c r="AY280" i="178"/>
  <c r="BC280" i="178"/>
  <c r="BG280" i="178"/>
  <c r="BL280" i="178"/>
  <c r="AS1057" i="178"/>
  <c r="AW1057" i="178"/>
  <c r="BA1057" i="178"/>
  <c r="BE1057" i="178"/>
  <c r="BI1057" i="178"/>
  <c r="BN1057" i="178"/>
  <c r="AU1057" i="178"/>
  <c r="AY1057" i="178"/>
  <c r="BC1057" i="178"/>
  <c r="BG1057" i="178"/>
  <c r="BL1057" i="178"/>
  <c r="AS82" i="178"/>
  <c r="AW82" i="178"/>
  <c r="BA82" i="178"/>
  <c r="BE82" i="178"/>
  <c r="BI82" i="178"/>
  <c r="BN82" i="178"/>
  <c r="AU82" i="178"/>
  <c r="AY82" i="178"/>
  <c r="BC82" i="178"/>
  <c r="BG82" i="178"/>
  <c r="BL82" i="178"/>
  <c r="AS242" i="178"/>
  <c r="AW242" i="178"/>
  <c r="BA242" i="178"/>
  <c r="BE242" i="178"/>
  <c r="BI242" i="178"/>
  <c r="BN242" i="178"/>
  <c r="AU242" i="178"/>
  <c r="AY242" i="178"/>
  <c r="BC242" i="178"/>
  <c r="BG242" i="178"/>
  <c r="BL242" i="178"/>
  <c r="BL469" i="178"/>
  <c r="AS469" i="178"/>
  <c r="AW469" i="178"/>
  <c r="BA469" i="178"/>
  <c r="BE469" i="178"/>
  <c r="BI469" i="178"/>
  <c r="BN469" i="178"/>
  <c r="BC469" i="178"/>
  <c r="BG469" i="178"/>
  <c r="AU469" i="178"/>
  <c r="AY469" i="178"/>
  <c r="BL775" i="178"/>
  <c r="AS775" i="178"/>
  <c r="AW775" i="178"/>
  <c r="BA775" i="178"/>
  <c r="BE775" i="178"/>
  <c r="BI775" i="178"/>
  <c r="BN775" i="178"/>
  <c r="BC775" i="178"/>
  <c r="BG775" i="178"/>
  <c r="AU775" i="178"/>
  <c r="AY775" i="178"/>
  <c r="BL980" i="178"/>
  <c r="AS980" i="178"/>
  <c r="AW980" i="178"/>
  <c r="BA980" i="178"/>
  <c r="BE980" i="178"/>
  <c r="BI980" i="178"/>
  <c r="BN980" i="178"/>
  <c r="BC980" i="178"/>
  <c r="BG980" i="178"/>
  <c r="AU980" i="178"/>
  <c r="AY980" i="178"/>
  <c r="BL74" i="178"/>
  <c r="AS74" i="178"/>
  <c r="AW74" i="178"/>
  <c r="BA74" i="178"/>
  <c r="BE74" i="178"/>
  <c r="BI74" i="178"/>
  <c r="BN74" i="178"/>
  <c r="BC74" i="178"/>
  <c r="BG74" i="178"/>
  <c r="AU74" i="178"/>
  <c r="AY74" i="178"/>
  <c r="BL475" i="178"/>
  <c r="AS475" i="178"/>
  <c r="AW475" i="178"/>
  <c r="BA475" i="178"/>
  <c r="BE475" i="178"/>
  <c r="BI475" i="178"/>
  <c r="BN475" i="178"/>
  <c r="BC475" i="178"/>
  <c r="BG475" i="178"/>
  <c r="AU475" i="178"/>
  <c r="AY475" i="178"/>
  <c r="BL754" i="178"/>
  <c r="AS754" i="178"/>
  <c r="AW754" i="178"/>
  <c r="BA754" i="178"/>
  <c r="BE754" i="178"/>
  <c r="BI754" i="178"/>
  <c r="BN754" i="178"/>
  <c r="BC754" i="178"/>
  <c r="BG754" i="178"/>
  <c r="AU754" i="178"/>
  <c r="AY754" i="178"/>
  <c r="BL837" i="178"/>
  <c r="AS837" i="178"/>
  <c r="AW837" i="178"/>
  <c r="BA837" i="178"/>
  <c r="BE837" i="178"/>
  <c r="BI837" i="178"/>
  <c r="BN837" i="178"/>
  <c r="BC837" i="178"/>
  <c r="BG837" i="178"/>
  <c r="AU837" i="178"/>
  <c r="AY837" i="178"/>
  <c r="BN1165" i="178"/>
  <c r="AU1165" i="178"/>
  <c r="AY1165" i="178"/>
  <c r="BC1165" i="178"/>
  <c r="BG1165" i="178"/>
  <c r="BL1165" i="178"/>
  <c r="BA1165" i="178"/>
  <c r="BE1165" i="178"/>
  <c r="AS1165" i="178"/>
  <c r="BI1165" i="178"/>
  <c r="AW1165" i="178"/>
  <c r="BN251" i="178"/>
  <c r="AU251" i="178"/>
  <c r="AY251" i="178"/>
  <c r="BC251" i="178"/>
  <c r="BG251" i="178"/>
  <c r="BL251" i="178"/>
  <c r="BA251" i="178"/>
  <c r="BE251" i="178"/>
  <c r="AS251" i="178"/>
  <c r="BI251" i="178"/>
  <c r="AW251" i="178"/>
  <c r="BN578" i="178"/>
  <c r="AU578" i="178"/>
  <c r="AY578" i="178"/>
  <c r="BC578" i="178"/>
  <c r="BG578" i="178"/>
  <c r="BL578" i="178"/>
  <c r="BA578" i="178"/>
  <c r="BE578" i="178"/>
  <c r="AS578" i="178"/>
  <c r="BI578" i="178"/>
  <c r="AW578" i="178"/>
  <c r="BN845" i="178"/>
  <c r="AU845" i="178"/>
  <c r="AY845" i="178"/>
  <c r="BC845" i="178"/>
  <c r="BG845" i="178"/>
  <c r="BL845" i="178"/>
  <c r="BA845" i="178"/>
  <c r="BE845" i="178"/>
  <c r="AS845" i="178"/>
  <c r="BI845" i="178"/>
  <c r="AW845" i="178"/>
  <c r="BN377" i="178"/>
  <c r="AU377" i="178"/>
  <c r="AY377" i="178"/>
  <c r="BC377" i="178"/>
  <c r="BG377" i="178"/>
  <c r="BL377" i="178"/>
  <c r="BA377" i="178"/>
  <c r="BE377" i="178"/>
  <c r="AS377" i="178"/>
  <c r="BI377" i="178"/>
  <c r="AW377" i="178"/>
  <c r="BN404" i="178"/>
  <c r="AU404" i="178"/>
  <c r="AY404" i="178"/>
  <c r="BC404" i="178"/>
  <c r="BG404" i="178"/>
  <c r="BL404" i="178"/>
  <c r="AS404" i="178"/>
  <c r="BI404" i="178"/>
  <c r="AW404" i="178"/>
  <c r="BA404" i="178"/>
  <c r="BE404" i="178"/>
  <c r="BN594" i="178"/>
  <c r="AU594" i="178"/>
  <c r="AY594" i="178"/>
  <c r="BC594" i="178"/>
  <c r="BG594" i="178"/>
  <c r="BL594" i="178"/>
  <c r="AS594" i="178"/>
  <c r="BI594" i="178"/>
  <c r="AW594" i="178"/>
  <c r="BA594" i="178"/>
  <c r="BE594" i="178"/>
  <c r="BN613" i="178"/>
  <c r="AU613" i="178"/>
  <c r="AY613" i="178"/>
  <c r="BC613" i="178"/>
  <c r="BG613" i="178"/>
  <c r="BL613" i="178"/>
  <c r="AS613" i="178"/>
  <c r="BI613" i="178"/>
  <c r="AW613" i="178"/>
  <c r="BA613" i="178"/>
  <c r="BE613" i="178"/>
  <c r="BN1102" i="178"/>
  <c r="AU1102" i="178"/>
  <c r="AY1102" i="178"/>
  <c r="BC1102" i="178"/>
  <c r="BG1102" i="178"/>
  <c r="BL1102" i="178"/>
  <c r="AS1102" i="178"/>
  <c r="BI1102" i="178"/>
  <c r="AW1102" i="178"/>
  <c r="BA1102" i="178"/>
  <c r="BE1102" i="178"/>
  <c r="BN677" i="178"/>
  <c r="AU677" i="178"/>
  <c r="AY677" i="178"/>
  <c r="BC677" i="178"/>
  <c r="BG677" i="178"/>
  <c r="BL677" i="178"/>
  <c r="AS677" i="178"/>
  <c r="BI677" i="178"/>
  <c r="AW677" i="178"/>
  <c r="BA677" i="178"/>
  <c r="BE677" i="178"/>
  <c r="BN695" i="178"/>
  <c r="AU695" i="178"/>
  <c r="AY695" i="178"/>
  <c r="BC695" i="178"/>
  <c r="BG695" i="178"/>
  <c r="BL695" i="178"/>
  <c r="AS695" i="178"/>
  <c r="BI695" i="178"/>
  <c r="AW695" i="178"/>
  <c r="BA695" i="178"/>
  <c r="BE695" i="178"/>
  <c r="BN958" i="178"/>
  <c r="AU958" i="178"/>
  <c r="AY958" i="178"/>
  <c r="BC958" i="178"/>
  <c r="BG958" i="178"/>
  <c r="BL958" i="178"/>
  <c r="BE958" i="178"/>
  <c r="AS958" i="178"/>
  <c r="BI958" i="178"/>
  <c r="AW958" i="178"/>
  <c r="BA958" i="178"/>
  <c r="AU427" i="178"/>
  <c r="AY427" i="178"/>
  <c r="BC427" i="178"/>
  <c r="BG427" i="178"/>
  <c r="AS427" i="178"/>
  <c r="BI427" i="178"/>
  <c r="AW427" i="178"/>
  <c r="BN427" i="178"/>
  <c r="BA427" i="178"/>
  <c r="BE427" i="178"/>
  <c r="BL427" i="178"/>
  <c r="AS825" i="178"/>
  <c r="AW825" i="178"/>
  <c r="BA825" i="178"/>
  <c r="BE825" i="178"/>
  <c r="BI825" i="178"/>
  <c r="BN825" i="178"/>
  <c r="AU825" i="178"/>
  <c r="AY825" i="178"/>
  <c r="BC825" i="178"/>
  <c r="BG825" i="178"/>
  <c r="BL825" i="178"/>
  <c r="AU175" i="178"/>
  <c r="AY175" i="178"/>
  <c r="BC175" i="178"/>
  <c r="BG175" i="178"/>
  <c r="BL175" i="178"/>
  <c r="AS175" i="178"/>
  <c r="AW175" i="178"/>
  <c r="BA175" i="178"/>
  <c r="BE175" i="178"/>
  <c r="BI175" i="178"/>
  <c r="BN175" i="178"/>
  <c r="AU919" i="178"/>
  <c r="AY919" i="178"/>
  <c r="BC919" i="178"/>
  <c r="BG919" i="178"/>
  <c r="BL919" i="178"/>
  <c r="AS919" i="178"/>
  <c r="AW919" i="178"/>
  <c r="BA919" i="178"/>
  <c r="BE919" i="178"/>
  <c r="BI919" i="178"/>
  <c r="BN919" i="178"/>
  <c r="AU136" i="178"/>
  <c r="AY136" i="178"/>
  <c r="BC136" i="178"/>
  <c r="BG136" i="178"/>
  <c r="BL136" i="178"/>
  <c r="AS136" i="178"/>
  <c r="AW136" i="178"/>
  <c r="BA136" i="178"/>
  <c r="BE136" i="178"/>
  <c r="BI136" i="178"/>
  <c r="BN136" i="178"/>
  <c r="AU944" i="178"/>
  <c r="AY944" i="178"/>
  <c r="BC944" i="178"/>
  <c r="BG944" i="178"/>
  <c r="BL944" i="178"/>
  <c r="AS944" i="178"/>
  <c r="AW944" i="178"/>
  <c r="BA944" i="178"/>
  <c r="BE944" i="178"/>
  <c r="BI944" i="178"/>
  <c r="BN944" i="178"/>
  <c r="AU809" i="178"/>
  <c r="AY809" i="178"/>
  <c r="BC809" i="178"/>
  <c r="BG809" i="178"/>
  <c r="BL809" i="178"/>
  <c r="AS809" i="178"/>
  <c r="AW809" i="178"/>
  <c r="BA809" i="178"/>
  <c r="BE809" i="178"/>
  <c r="BI809" i="178"/>
  <c r="BN809" i="178"/>
  <c r="BN1051" i="178"/>
  <c r="AU1051" i="178"/>
  <c r="AY1051" i="178"/>
  <c r="BC1051" i="178"/>
  <c r="BG1051" i="178"/>
  <c r="BL1051" i="178"/>
  <c r="BE1051" i="178"/>
  <c r="AS1051" i="178"/>
  <c r="BI1051" i="178"/>
  <c r="AW1051" i="178"/>
  <c r="BA1051" i="178"/>
  <c r="BN667" i="178"/>
  <c r="AU667" i="178"/>
  <c r="AY667" i="178"/>
  <c r="BC667" i="178"/>
  <c r="BG667" i="178"/>
  <c r="BL667" i="178"/>
  <c r="BE667" i="178"/>
  <c r="AS667" i="178"/>
  <c r="BI667" i="178"/>
  <c r="AW667" i="178"/>
  <c r="BA667" i="178"/>
  <c r="BN1017" i="178"/>
  <c r="AU1017" i="178"/>
  <c r="AY1017" i="178"/>
  <c r="BC1017" i="178"/>
  <c r="BG1017" i="178"/>
  <c r="BL1017" i="178"/>
  <c r="BE1017" i="178"/>
  <c r="AS1017" i="178"/>
  <c r="BI1017" i="178"/>
  <c r="AW1017" i="178"/>
  <c r="BA1017" i="178"/>
  <c r="BN78" i="178"/>
  <c r="AU78" i="178"/>
  <c r="AY78" i="178"/>
  <c r="BC78" i="178"/>
  <c r="BG78" i="178"/>
  <c r="BL78" i="178"/>
  <c r="BE78" i="178"/>
  <c r="AS78" i="178"/>
  <c r="BI78" i="178"/>
  <c r="AW78" i="178"/>
  <c r="BA78" i="178"/>
  <c r="BN203" i="178"/>
  <c r="AU203" i="178"/>
  <c r="AY203" i="178"/>
  <c r="BC203" i="178"/>
  <c r="BG203" i="178"/>
  <c r="BL203" i="178"/>
  <c r="BE203" i="178"/>
  <c r="AS203" i="178"/>
  <c r="BI203" i="178"/>
  <c r="AW203" i="178"/>
  <c r="BA203" i="178"/>
  <c r="AS426" i="178"/>
  <c r="AW426" i="178"/>
  <c r="BA426" i="178"/>
  <c r="BE426" i="178"/>
  <c r="BI426" i="178"/>
  <c r="BN426" i="178"/>
  <c r="AU426" i="178"/>
  <c r="AY426" i="178"/>
  <c r="BC426" i="178"/>
  <c r="BG426" i="178"/>
  <c r="BL426" i="178"/>
  <c r="AS747" i="178"/>
  <c r="AW747" i="178"/>
  <c r="BA747" i="178"/>
  <c r="BE747" i="178"/>
  <c r="BI747" i="178"/>
  <c r="BN747" i="178"/>
  <c r="AU747" i="178"/>
  <c r="AY747" i="178"/>
  <c r="BC747" i="178"/>
  <c r="BG747" i="178"/>
  <c r="BL747" i="178"/>
  <c r="AS977" i="178"/>
  <c r="AW977" i="178"/>
  <c r="BA977" i="178"/>
  <c r="BE977" i="178"/>
  <c r="BI977" i="178"/>
  <c r="BN977" i="178"/>
  <c r="AU977" i="178"/>
  <c r="AY977" i="178"/>
  <c r="BC977" i="178"/>
  <c r="BG977" i="178"/>
  <c r="BL977" i="178"/>
  <c r="AS1186" i="178"/>
  <c r="AW1186" i="178"/>
  <c r="BA1186" i="178"/>
  <c r="BE1186" i="178"/>
  <c r="BI1186" i="178"/>
  <c r="BN1186" i="178"/>
  <c r="AU1186" i="178"/>
  <c r="AY1186" i="178"/>
  <c r="BC1186" i="178"/>
  <c r="BG1186" i="178"/>
  <c r="BL1186" i="178"/>
  <c r="AS395" i="178"/>
  <c r="AW395" i="178"/>
  <c r="BA395" i="178"/>
  <c r="BE395" i="178"/>
  <c r="BI395" i="178"/>
  <c r="BN395" i="178"/>
  <c r="AU395" i="178"/>
  <c r="AY395" i="178"/>
  <c r="BC395" i="178"/>
  <c r="BG395" i="178"/>
  <c r="BL395" i="178"/>
  <c r="AS751" i="178"/>
  <c r="AW751" i="178"/>
  <c r="BA751" i="178"/>
  <c r="BE751" i="178"/>
  <c r="BI751" i="178"/>
  <c r="BN751" i="178"/>
  <c r="AU751" i="178"/>
  <c r="AY751" i="178"/>
  <c r="BC751" i="178"/>
  <c r="BG751" i="178"/>
  <c r="BL751" i="178"/>
  <c r="AS834" i="178"/>
  <c r="AW834" i="178"/>
  <c r="BA834" i="178"/>
  <c r="BE834" i="178"/>
  <c r="BI834" i="178"/>
  <c r="BN834" i="178"/>
  <c r="AU834" i="178"/>
  <c r="AY834" i="178"/>
  <c r="BC834" i="178"/>
  <c r="BG834" i="178"/>
  <c r="BL834" i="178"/>
  <c r="AU981" i="178"/>
  <c r="AY981" i="178"/>
  <c r="BC981" i="178"/>
  <c r="BG981" i="178"/>
  <c r="BL981" i="178"/>
  <c r="AS981" i="178"/>
  <c r="AW981" i="178"/>
  <c r="BA981" i="178"/>
  <c r="BE981" i="178"/>
  <c r="BI981" i="178"/>
  <c r="BN981" i="178"/>
  <c r="AU231" i="178"/>
  <c r="AY231" i="178"/>
  <c r="BC231" i="178"/>
  <c r="BG231" i="178"/>
  <c r="BL231" i="178"/>
  <c r="AS231" i="178"/>
  <c r="AW231" i="178"/>
  <c r="BA231" i="178"/>
  <c r="BE231" i="178"/>
  <c r="BI231" i="178"/>
  <c r="BN231" i="178"/>
  <c r="AU505" i="178"/>
  <c r="AY505" i="178"/>
  <c r="BC505" i="178"/>
  <c r="BG505" i="178"/>
  <c r="BL505" i="178"/>
  <c r="AS505" i="178"/>
  <c r="AW505" i="178"/>
  <c r="BA505" i="178"/>
  <c r="BE505" i="178"/>
  <c r="BI505" i="178"/>
  <c r="BN505" i="178"/>
  <c r="AU789" i="178"/>
  <c r="AY789" i="178"/>
  <c r="BC789" i="178"/>
  <c r="BG789" i="178"/>
  <c r="BL789" i="178"/>
  <c r="AS789" i="178"/>
  <c r="AW789" i="178"/>
  <c r="BA789" i="178"/>
  <c r="BE789" i="178"/>
  <c r="BI789" i="178"/>
  <c r="BN789" i="178"/>
  <c r="AU374" i="178"/>
  <c r="AY374" i="178"/>
  <c r="BC374" i="178"/>
  <c r="BG374" i="178"/>
  <c r="BL374" i="178"/>
  <c r="AS374" i="178"/>
  <c r="AW374" i="178"/>
  <c r="BA374" i="178"/>
  <c r="BE374" i="178"/>
  <c r="BI374" i="178"/>
  <c r="BN374" i="178"/>
  <c r="AU401" i="178"/>
  <c r="AY401" i="178"/>
  <c r="BC401" i="178"/>
  <c r="BG401" i="178"/>
  <c r="BL401" i="178"/>
  <c r="AS401" i="178"/>
  <c r="AW401" i="178"/>
  <c r="BA401" i="178"/>
  <c r="BE401" i="178"/>
  <c r="BI401" i="178"/>
  <c r="BN401" i="178"/>
  <c r="AU591" i="178"/>
  <c r="AY591" i="178"/>
  <c r="BC591" i="178"/>
  <c r="BG591" i="178"/>
  <c r="BL591" i="178"/>
  <c r="AS591" i="178"/>
  <c r="AW591" i="178"/>
  <c r="BA591" i="178"/>
  <c r="BE591" i="178"/>
  <c r="BI591" i="178"/>
  <c r="BN591" i="178"/>
  <c r="AU611" i="178"/>
  <c r="AY611" i="178"/>
  <c r="BC611" i="178"/>
  <c r="BG611" i="178"/>
  <c r="BL611" i="178"/>
  <c r="AS611" i="178"/>
  <c r="AW611" i="178"/>
  <c r="BA611" i="178"/>
  <c r="BE611" i="178"/>
  <c r="BI611" i="178"/>
  <c r="BN611" i="178"/>
  <c r="AU629" i="178"/>
  <c r="AY629" i="178"/>
  <c r="BC629" i="178"/>
  <c r="BG629" i="178"/>
  <c r="BL629" i="178"/>
  <c r="AS629" i="178"/>
  <c r="AW629" i="178"/>
  <c r="BA629" i="178"/>
  <c r="BE629" i="178"/>
  <c r="BI629" i="178"/>
  <c r="BN629" i="178"/>
  <c r="AU709" i="178"/>
  <c r="AY709" i="178"/>
  <c r="BC709" i="178"/>
  <c r="BG709" i="178"/>
  <c r="BL709" i="178"/>
  <c r="AS709" i="178"/>
  <c r="AW709" i="178"/>
  <c r="BA709" i="178"/>
  <c r="BE709" i="178"/>
  <c r="BI709" i="178"/>
  <c r="BN709" i="178"/>
  <c r="AU1099" i="178"/>
  <c r="AY1099" i="178"/>
  <c r="BC1099" i="178"/>
  <c r="BG1099" i="178"/>
  <c r="BL1099" i="178"/>
  <c r="AS1099" i="178"/>
  <c r="AW1099" i="178"/>
  <c r="BA1099" i="178"/>
  <c r="BE1099" i="178"/>
  <c r="BI1099" i="178"/>
  <c r="BN1099" i="178"/>
  <c r="AU730" i="178"/>
  <c r="AY730" i="178"/>
  <c r="BC730" i="178"/>
  <c r="BG730" i="178"/>
  <c r="BL730" i="178"/>
  <c r="AS730" i="178"/>
  <c r="AW730" i="178"/>
  <c r="BA730" i="178"/>
  <c r="BE730" i="178"/>
  <c r="BI730" i="178"/>
  <c r="BN730" i="178"/>
  <c r="BN915" i="178"/>
  <c r="AU915" i="178"/>
  <c r="AY915" i="178"/>
  <c r="BC915" i="178"/>
  <c r="BG915" i="178"/>
  <c r="BL915" i="178"/>
  <c r="AW915" i="178"/>
  <c r="BA915" i="178"/>
  <c r="BE915" i="178"/>
  <c r="AS915" i="178"/>
  <c r="BI915" i="178"/>
  <c r="BL819" i="178"/>
  <c r="AS819" i="178"/>
  <c r="AW819" i="178"/>
  <c r="BA819" i="178"/>
  <c r="BE819" i="178"/>
  <c r="BI819" i="178"/>
  <c r="BN819" i="178"/>
  <c r="AY819" i="178"/>
  <c r="BC819" i="178"/>
  <c r="BG819" i="178"/>
  <c r="AU819" i="178"/>
  <c r="AU581" i="178"/>
  <c r="AY581" i="178"/>
  <c r="BC581" i="178"/>
  <c r="BG581" i="178"/>
  <c r="BL581" i="178"/>
  <c r="AS581" i="178"/>
  <c r="AW581" i="178"/>
  <c r="BA581" i="178"/>
  <c r="BE581" i="178"/>
  <c r="BI581" i="178"/>
  <c r="BN581" i="178"/>
  <c r="AU732" i="178"/>
  <c r="AY732" i="178"/>
  <c r="BC732" i="178"/>
  <c r="BG732" i="178"/>
  <c r="BL732" i="178"/>
  <c r="AS732" i="178"/>
  <c r="AW732" i="178"/>
  <c r="BA732" i="178"/>
  <c r="BE732" i="178"/>
  <c r="BI732" i="178"/>
  <c r="BN732" i="178"/>
  <c r="AS880" i="178"/>
  <c r="AW880" i="178"/>
  <c r="BA880" i="178"/>
  <c r="BE880" i="178"/>
  <c r="BI880" i="178"/>
  <c r="BN880" i="178"/>
  <c r="AU880" i="178"/>
  <c r="AY880" i="178"/>
  <c r="BC880" i="178"/>
  <c r="BG880" i="178"/>
  <c r="BL880" i="178"/>
  <c r="BL634" i="178"/>
  <c r="AS634" i="178"/>
  <c r="AW634" i="178"/>
  <c r="BA634" i="178"/>
  <c r="BE634" i="178"/>
  <c r="BI634" i="178"/>
  <c r="BN634" i="178"/>
  <c r="BG634" i="178"/>
  <c r="AU634" i="178"/>
  <c r="AY634" i="178"/>
  <c r="BC634" i="178"/>
  <c r="BL826" i="178"/>
  <c r="AS826" i="178"/>
  <c r="AW826" i="178"/>
  <c r="BA826" i="178"/>
  <c r="BE826" i="178"/>
  <c r="BI826" i="178"/>
  <c r="BN826" i="178"/>
  <c r="BG826" i="178"/>
  <c r="AU826" i="178"/>
  <c r="AY826" i="178"/>
  <c r="BC826" i="178"/>
  <c r="BN293" i="178"/>
  <c r="AU293" i="178"/>
  <c r="AY293" i="178"/>
  <c r="BC293" i="178"/>
  <c r="BG293" i="178"/>
  <c r="BL293" i="178"/>
  <c r="BE293" i="178"/>
  <c r="AS293" i="178"/>
  <c r="BI293" i="178"/>
  <c r="AW293" i="178"/>
  <c r="BA293" i="178"/>
  <c r="BN352" i="178"/>
  <c r="AU352" i="178"/>
  <c r="AY352" i="178"/>
  <c r="BC352" i="178"/>
  <c r="BG352" i="178"/>
  <c r="BL352" i="178"/>
  <c r="BE352" i="178"/>
  <c r="AS352" i="178"/>
  <c r="BI352" i="178"/>
  <c r="AW352" i="178"/>
  <c r="BA352" i="178"/>
  <c r="BN1147" i="178"/>
  <c r="AU1147" i="178"/>
  <c r="AY1147" i="178"/>
  <c r="BC1147" i="178"/>
  <c r="BG1147" i="178"/>
  <c r="BL1147" i="178"/>
  <c r="BE1147" i="178"/>
  <c r="AS1147" i="178"/>
  <c r="BI1147" i="178"/>
  <c r="AW1147" i="178"/>
  <c r="BA1147" i="178"/>
  <c r="BN1153" i="178"/>
  <c r="AU1153" i="178"/>
  <c r="AY1153" i="178"/>
  <c r="BC1153" i="178"/>
  <c r="BG1153" i="178"/>
  <c r="BL1153" i="178"/>
  <c r="BE1153" i="178"/>
  <c r="AS1153" i="178"/>
  <c r="BI1153" i="178"/>
  <c r="AW1153" i="178"/>
  <c r="BA1153" i="178"/>
  <c r="AS356" i="178"/>
  <c r="AW356" i="178"/>
  <c r="BA356" i="178"/>
  <c r="BE356" i="178"/>
  <c r="BI356" i="178"/>
  <c r="BN356" i="178"/>
  <c r="AU356" i="178"/>
  <c r="AY356" i="178"/>
  <c r="BC356" i="178"/>
  <c r="BG356" i="178"/>
  <c r="BL356" i="178"/>
  <c r="AS308" i="178"/>
  <c r="AW308" i="178"/>
  <c r="BA308" i="178"/>
  <c r="BE308" i="178"/>
  <c r="BI308" i="178"/>
  <c r="BN308" i="178"/>
  <c r="AU308" i="178"/>
  <c r="AY308" i="178"/>
  <c r="BC308" i="178"/>
  <c r="BG308" i="178"/>
  <c r="BL308" i="178"/>
  <c r="AS829" i="178"/>
  <c r="AW829" i="178"/>
  <c r="BA829" i="178"/>
  <c r="BE829" i="178"/>
  <c r="BI829" i="178"/>
  <c r="BN829" i="178"/>
  <c r="AU829" i="178"/>
  <c r="AY829" i="178"/>
  <c r="BC829" i="178"/>
  <c r="BG829" i="178"/>
  <c r="BL829" i="178"/>
  <c r="AS13" i="178"/>
  <c r="AW13" i="178"/>
  <c r="BA13" i="178"/>
  <c r="BE13" i="178"/>
  <c r="BI13" i="178"/>
  <c r="BN13" i="178"/>
  <c r="AU13" i="178"/>
  <c r="AY13" i="178"/>
  <c r="BC13" i="178"/>
  <c r="BG13" i="178"/>
  <c r="BL13" i="178"/>
  <c r="AS123" i="178"/>
  <c r="AW123" i="178"/>
  <c r="BA123" i="178"/>
  <c r="BE123" i="178"/>
  <c r="BI123" i="178"/>
  <c r="BN123" i="178"/>
  <c r="AU123" i="178"/>
  <c r="AY123" i="178"/>
  <c r="BC123" i="178"/>
  <c r="BG123" i="178"/>
  <c r="BL123" i="178"/>
  <c r="AS256" i="178"/>
  <c r="AW256" i="178"/>
  <c r="BA256" i="178"/>
  <c r="BE256" i="178"/>
  <c r="BI256" i="178"/>
  <c r="BN256" i="178"/>
  <c r="AU256" i="178"/>
  <c r="AY256" i="178"/>
  <c r="BC256" i="178"/>
  <c r="BG256" i="178"/>
  <c r="BL256" i="178"/>
  <c r="BL508" i="178"/>
  <c r="AS508" i="178"/>
  <c r="AW508" i="178"/>
  <c r="BA508" i="178"/>
  <c r="BE508" i="178"/>
  <c r="BI508" i="178"/>
  <c r="BN508" i="178"/>
  <c r="BG508" i="178"/>
  <c r="AU508" i="178"/>
  <c r="AY508" i="178"/>
  <c r="BC508" i="178"/>
  <c r="BL830" i="178"/>
  <c r="AS830" i="178"/>
  <c r="AW830" i="178"/>
  <c r="BA830" i="178"/>
  <c r="BE830" i="178"/>
  <c r="BI830" i="178"/>
  <c r="BN830" i="178"/>
  <c r="BG830" i="178"/>
  <c r="AU830" i="178"/>
  <c r="AY830" i="178"/>
  <c r="BC830" i="178"/>
  <c r="BL1042" i="178"/>
  <c r="AS1042" i="178"/>
  <c r="AW1042" i="178"/>
  <c r="BA1042" i="178"/>
  <c r="BE1042" i="178"/>
  <c r="BI1042" i="178"/>
  <c r="BN1042" i="178"/>
  <c r="BG1042" i="178"/>
  <c r="AU1042" i="178"/>
  <c r="AY1042" i="178"/>
  <c r="BC1042" i="178"/>
  <c r="BL132" i="178"/>
  <c r="AS132" i="178"/>
  <c r="AW132" i="178"/>
  <c r="BA132" i="178"/>
  <c r="BE132" i="178"/>
  <c r="BI132" i="178"/>
  <c r="BN132" i="178"/>
  <c r="BG132" i="178"/>
  <c r="AU132" i="178"/>
  <c r="AY132" i="178"/>
  <c r="BC132" i="178"/>
  <c r="BL532" i="178"/>
  <c r="AS532" i="178"/>
  <c r="AW532" i="178"/>
  <c r="BA532" i="178"/>
  <c r="BE532" i="178"/>
  <c r="BI532" i="178"/>
  <c r="BN532" i="178"/>
  <c r="BG532" i="178"/>
  <c r="AU532" i="178"/>
  <c r="AY532" i="178"/>
  <c r="BC532" i="178"/>
  <c r="BL758" i="178"/>
  <c r="AS758" i="178"/>
  <c r="AW758" i="178"/>
  <c r="BA758" i="178"/>
  <c r="BE758" i="178"/>
  <c r="BI758" i="178"/>
  <c r="BN758" i="178"/>
  <c r="BG758" i="178"/>
  <c r="AU758" i="178"/>
  <c r="AY758" i="178"/>
  <c r="BC758" i="178"/>
  <c r="BN841" i="178"/>
  <c r="AU841" i="178"/>
  <c r="AY841" i="178"/>
  <c r="BC841" i="178"/>
  <c r="BG841" i="178"/>
  <c r="BL841" i="178"/>
  <c r="BE841" i="178"/>
  <c r="AS841" i="178"/>
  <c r="BI841" i="178"/>
  <c r="AW841" i="178"/>
  <c r="BA841" i="178"/>
  <c r="BN29" i="178"/>
  <c r="AU29" i="178"/>
  <c r="AY29" i="178"/>
  <c r="BC29" i="178"/>
  <c r="BG29" i="178"/>
  <c r="BL29" i="178"/>
  <c r="BE29" i="178"/>
  <c r="AS29" i="178"/>
  <c r="BI29" i="178"/>
  <c r="AW29" i="178"/>
  <c r="BA29" i="178"/>
  <c r="BN312" i="178"/>
  <c r="AU312" i="178"/>
  <c r="AY312" i="178"/>
  <c r="BC312" i="178"/>
  <c r="BG312" i="178"/>
  <c r="BL312" i="178"/>
  <c r="BE312" i="178"/>
  <c r="AS312" i="178"/>
  <c r="BI312" i="178"/>
  <c r="AW312" i="178"/>
  <c r="BA312" i="178"/>
  <c r="BN602" i="178"/>
  <c r="AU602" i="178"/>
  <c r="AY602" i="178"/>
  <c r="BC602" i="178"/>
  <c r="BG602" i="178"/>
  <c r="BL602" i="178"/>
  <c r="BE602" i="178"/>
  <c r="AS602" i="178"/>
  <c r="BI602" i="178"/>
  <c r="AW602" i="178"/>
  <c r="BA602" i="178"/>
  <c r="BN947" i="178"/>
  <c r="AU947" i="178"/>
  <c r="AY947" i="178"/>
  <c r="BC947" i="178"/>
  <c r="BG947" i="178"/>
  <c r="BL947" i="178"/>
  <c r="BE947" i="178"/>
  <c r="AS947" i="178"/>
  <c r="BI947" i="178"/>
  <c r="AW947" i="178"/>
  <c r="BA947" i="178"/>
  <c r="BN381" i="178"/>
  <c r="AU381" i="178"/>
  <c r="AY381" i="178"/>
  <c r="BC381" i="178"/>
  <c r="BG381" i="178"/>
  <c r="BL381" i="178"/>
  <c r="BE381" i="178"/>
  <c r="AS381" i="178"/>
  <c r="BI381" i="178"/>
  <c r="AW381" i="178"/>
  <c r="BA381" i="178"/>
  <c r="BN408" i="178"/>
  <c r="AU408" i="178"/>
  <c r="AY408" i="178"/>
  <c r="BC408" i="178"/>
  <c r="BG408" i="178"/>
  <c r="BL408" i="178"/>
  <c r="AW408" i="178"/>
  <c r="BA408" i="178"/>
  <c r="BE408" i="178"/>
  <c r="AS408" i="178"/>
  <c r="BI408" i="178"/>
  <c r="BN598" i="178"/>
  <c r="AU598" i="178"/>
  <c r="AY598" i="178"/>
  <c r="BC598" i="178"/>
  <c r="BG598" i="178"/>
  <c r="BL598" i="178"/>
  <c r="AW598" i="178"/>
  <c r="BA598" i="178"/>
  <c r="BE598" i="178"/>
  <c r="AS598" i="178"/>
  <c r="BI598" i="178"/>
  <c r="BN620" i="178"/>
  <c r="AU620" i="178"/>
  <c r="AY620" i="178"/>
  <c r="BC620" i="178"/>
  <c r="BG620" i="178"/>
  <c r="BL620" i="178"/>
  <c r="AW620" i="178"/>
  <c r="BA620" i="178"/>
  <c r="BE620" i="178"/>
  <c r="AS620" i="178"/>
  <c r="BI620" i="178"/>
  <c r="BN1111" i="178"/>
  <c r="AU1111" i="178"/>
  <c r="AY1111" i="178"/>
  <c r="BC1111" i="178"/>
  <c r="BG1111" i="178"/>
  <c r="BL1111" i="178"/>
  <c r="AW1111" i="178"/>
  <c r="BA1111" i="178"/>
  <c r="BE1111" i="178"/>
  <c r="AS1111" i="178"/>
  <c r="BI1111" i="178"/>
  <c r="BN679" i="178"/>
  <c r="AU679" i="178"/>
  <c r="AY679" i="178"/>
  <c r="BC679" i="178"/>
  <c r="BG679" i="178"/>
  <c r="BL679" i="178"/>
  <c r="AW679" i="178"/>
  <c r="BA679" i="178"/>
  <c r="BE679" i="178"/>
  <c r="AS679" i="178"/>
  <c r="BI679" i="178"/>
  <c r="BN1126" i="178"/>
  <c r="AU1126" i="178"/>
  <c r="AY1126" i="178"/>
  <c r="BC1126" i="178"/>
  <c r="BG1126" i="178"/>
  <c r="BL1126" i="178"/>
  <c r="AS1126" i="178"/>
  <c r="BI1126" i="178"/>
  <c r="AW1126" i="178"/>
  <c r="BA1126" i="178"/>
  <c r="BE1126" i="178"/>
  <c r="BN197" i="178"/>
  <c r="AU197" i="178"/>
  <c r="AY197" i="178"/>
  <c r="BC197" i="178"/>
  <c r="BG197" i="178"/>
  <c r="BL197" i="178"/>
  <c r="AW197" i="178"/>
  <c r="BA197" i="178"/>
  <c r="BE197" i="178"/>
  <c r="AS197" i="178"/>
  <c r="BI197" i="178"/>
  <c r="AS412" i="178"/>
  <c r="AW412" i="178"/>
  <c r="BA412" i="178"/>
  <c r="BE412" i="178"/>
  <c r="BI412" i="178"/>
  <c r="BN412" i="178"/>
  <c r="AU412" i="178"/>
  <c r="AY412" i="178"/>
  <c r="BC412" i="178"/>
  <c r="BG412" i="178"/>
  <c r="BL412" i="178"/>
  <c r="AS727" i="178"/>
  <c r="AW727" i="178"/>
  <c r="BA727" i="178"/>
  <c r="BE727" i="178"/>
  <c r="BI727" i="178"/>
  <c r="BN727" i="178"/>
  <c r="AU727" i="178"/>
  <c r="AY727" i="178"/>
  <c r="BC727" i="178"/>
  <c r="BG727" i="178"/>
  <c r="BL727" i="178"/>
  <c r="AU860" i="178"/>
  <c r="AY860" i="178"/>
  <c r="BC860" i="178"/>
  <c r="BG860" i="178"/>
  <c r="BL860" i="178"/>
  <c r="AS860" i="178"/>
  <c r="AW860" i="178"/>
  <c r="BA860" i="178"/>
  <c r="BE860" i="178"/>
  <c r="BI860" i="178"/>
  <c r="BN860" i="178"/>
  <c r="AU637" i="178"/>
  <c r="AY637" i="178"/>
  <c r="BC637" i="178"/>
  <c r="BG637" i="178"/>
  <c r="BL637" i="178"/>
  <c r="AS637" i="178"/>
  <c r="AW637" i="178"/>
  <c r="BA637" i="178"/>
  <c r="BE637" i="178"/>
  <c r="BI637" i="178"/>
  <c r="BN637" i="178"/>
  <c r="AU638" i="178"/>
  <c r="AY638" i="178"/>
  <c r="BC638" i="178"/>
  <c r="BG638" i="178"/>
  <c r="BL638" i="178"/>
  <c r="AS638" i="178"/>
  <c r="AW638" i="178"/>
  <c r="BA638" i="178"/>
  <c r="BE638" i="178"/>
  <c r="BI638" i="178"/>
  <c r="BN638" i="178"/>
  <c r="AU138" i="178"/>
  <c r="AY138" i="178"/>
  <c r="BC138" i="178"/>
  <c r="BG138" i="178"/>
  <c r="BL138" i="178"/>
  <c r="AS138" i="178"/>
  <c r="AW138" i="178"/>
  <c r="BA138" i="178"/>
  <c r="BE138" i="178"/>
  <c r="BI138" i="178"/>
  <c r="BN138" i="178"/>
  <c r="BN202" i="178"/>
  <c r="AU202" i="178"/>
  <c r="AY202" i="178"/>
  <c r="BC202" i="178"/>
  <c r="BG202" i="178"/>
  <c r="BL202" i="178"/>
  <c r="AS202" i="178"/>
  <c r="BI202" i="178"/>
  <c r="AW202" i="178"/>
  <c r="BA202" i="178"/>
  <c r="BE202" i="178"/>
  <c r="BN771" i="178"/>
  <c r="AU771" i="178"/>
  <c r="AY771" i="178"/>
  <c r="BC771" i="178"/>
  <c r="BG771" i="178"/>
  <c r="BL771" i="178"/>
  <c r="AS771" i="178"/>
  <c r="BI771" i="178"/>
  <c r="AW771" i="178"/>
  <c r="BA771" i="178"/>
  <c r="BE771" i="178"/>
  <c r="BN1058" i="178"/>
  <c r="AU1058" i="178"/>
  <c r="AY1058" i="178"/>
  <c r="BC1058" i="178"/>
  <c r="BG1058" i="178"/>
  <c r="BL1058" i="178"/>
  <c r="AS1058" i="178"/>
  <c r="BI1058" i="178"/>
  <c r="AW1058" i="178"/>
  <c r="BA1058" i="178"/>
  <c r="BE1058" i="178"/>
  <c r="BN120" i="178"/>
  <c r="AU120" i="178"/>
  <c r="AY120" i="178"/>
  <c r="BC120" i="178"/>
  <c r="BG120" i="178"/>
  <c r="BL120" i="178"/>
  <c r="AS120" i="178"/>
  <c r="BI120" i="178"/>
  <c r="AW120" i="178"/>
  <c r="BA120" i="178"/>
  <c r="BE120" i="178"/>
  <c r="BN249" i="178"/>
  <c r="AU249" i="178"/>
  <c r="AY249" i="178"/>
  <c r="BC249" i="178"/>
  <c r="BG249" i="178"/>
  <c r="BL249" i="178"/>
  <c r="AS249" i="178"/>
  <c r="BI249" i="178"/>
  <c r="AW249" i="178"/>
  <c r="BA249" i="178"/>
  <c r="BE249" i="178"/>
  <c r="AS474" i="178"/>
  <c r="AW474" i="178"/>
  <c r="BA474" i="178"/>
  <c r="BE474" i="178"/>
  <c r="BI474" i="178"/>
  <c r="BN474" i="178"/>
  <c r="AU474" i="178"/>
  <c r="AY474" i="178"/>
  <c r="BC474" i="178"/>
  <c r="BG474" i="178"/>
  <c r="BL474" i="178"/>
  <c r="AS773" i="178"/>
  <c r="AW773" i="178"/>
  <c r="BA773" i="178"/>
  <c r="BE773" i="178"/>
  <c r="BI773" i="178"/>
  <c r="BN773" i="178"/>
  <c r="AU773" i="178"/>
  <c r="AY773" i="178"/>
  <c r="BC773" i="178"/>
  <c r="BG773" i="178"/>
  <c r="BL773" i="178"/>
  <c r="AS1018" i="178"/>
  <c r="AW1018" i="178"/>
  <c r="BA1018" i="178"/>
  <c r="BE1018" i="178"/>
  <c r="BI1018" i="178"/>
  <c r="BN1018" i="178"/>
  <c r="AU1018" i="178"/>
  <c r="AY1018" i="178"/>
  <c r="BC1018" i="178"/>
  <c r="BG1018" i="178"/>
  <c r="BL1018" i="178"/>
  <c r="AS76" i="178"/>
  <c r="AW76" i="178"/>
  <c r="BA76" i="178"/>
  <c r="BE76" i="178"/>
  <c r="BI76" i="178"/>
  <c r="BN76" i="178"/>
  <c r="AU76" i="178"/>
  <c r="AY76" i="178"/>
  <c r="BC76" i="178"/>
  <c r="BG76" i="178"/>
  <c r="BL76" i="178"/>
  <c r="AS478" i="178"/>
  <c r="AW478" i="178"/>
  <c r="BA478" i="178"/>
  <c r="BE478" i="178"/>
  <c r="BI478" i="178"/>
  <c r="BN478" i="178"/>
  <c r="AU478" i="178"/>
  <c r="AY478" i="178"/>
  <c r="BC478" i="178"/>
  <c r="BG478" i="178"/>
  <c r="BL478" i="178"/>
  <c r="AS755" i="178"/>
  <c r="AW755" i="178"/>
  <c r="BA755" i="178"/>
  <c r="BE755" i="178"/>
  <c r="BI755" i="178"/>
  <c r="BN755" i="178"/>
  <c r="AU755" i="178"/>
  <c r="AY755" i="178"/>
  <c r="BC755" i="178"/>
  <c r="BG755" i="178"/>
  <c r="BL755" i="178"/>
  <c r="AS838" i="178"/>
  <c r="AW838" i="178"/>
  <c r="BA838" i="178"/>
  <c r="BE838" i="178"/>
  <c r="BI838" i="178"/>
  <c r="BN838" i="178"/>
  <c r="AU838" i="178"/>
  <c r="AY838" i="178"/>
  <c r="BC838" i="178"/>
  <c r="BG838" i="178"/>
  <c r="BL838" i="178"/>
  <c r="AU1187" i="178"/>
  <c r="AY1187" i="178"/>
  <c r="BC1187" i="178"/>
  <c r="BG1187" i="178"/>
  <c r="BL1187" i="178"/>
  <c r="AS1187" i="178"/>
  <c r="AW1187" i="178"/>
  <c r="BA1187" i="178"/>
  <c r="BE1187" i="178"/>
  <c r="BI1187" i="178"/>
  <c r="BN1187" i="178"/>
  <c r="AU266" i="178"/>
  <c r="AY266" i="178"/>
  <c r="BC266" i="178"/>
  <c r="BG266" i="178"/>
  <c r="BL266" i="178"/>
  <c r="AS266" i="178"/>
  <c r="AW266" i="178"/>
  <c r="BA266" i="178"/>
  <c r="BE266" i="178"/>
  <c r="BI266" i="178"/>
  <c r="BN266" i="178"/>
  <c r="AU584" i="178"/>
  <c r="AY584" i="178"/>
  <c r="BC584" i="178"/>
  <c r="BG584" i="178"/>
  <c r="BL584" i="178"/>
  <c r="AS584" i="178"/>
  <c r="AW584" i="178"/>
  <c r="BA584" i="178"/>
  <c r="BE584" i="178"/>
  <c r="BI584" i="178"/>
  <c r="BN584" i="178"/>
  <c r="AU846" i="178"/>
  <c r="AY846" i="178"/>
  <c r="BC846" i="178"/>
  <c r="BG846" i="178"/>
  <c r="BL846" i="178"/>
  <c r="AS846" i="178"/>
  <c r="AW846" i="178"/>
  <c r="BA846" i="178"/>
  <c r="BE846" i="178"/>
  <c r="BI846" i="178"/>
  <c r="BN846" i="178"/>
  <c r="AU378" i="178"/>
  <c r="AY378" i="178"/>
  <c r="BC378" i="178"/>
  <c r="BG378" i="178"/>
  <c r="BL378" i="178"/>
  <c r="AS378" i="178"/>
  <c r="AW378" i="178"/>
  <c r="BA378" i="178"/>
  <c r="BE378" i="178"/>
  <c r="BI378" i="178"/>
  <c r="BN378" i="178"/>
  <c r="AU405" i="178"/>
  <c r="AY405" i="178"/>
  <c r="BC405" i="178"/>
  <c r="BG405" i="178"/>
  <c r="BL405" i="178"/>
  <c r="AS405" i="178"/>
  <c r="AW405" i="178"/>
  <c r="BA405" i="178"/>
  <c r="BE405" i="178"/>
  <c r="BI405" i="178"/>
  <c r="BN405" i="178"/>
  <c r="AU595" i="178"/>
  <c r="AY595" i="178"/>
  <c r="BC595" i="178"/>
  <c r="BG595" i="178"/>
  <c r="BL595" i="178"/>
  <c r="AS595" i="178"/>
  <c r="AW595" i="178"/>
  <c r="BA595" i="178"/>
  <c r="BE595" i="178"/>
  <c r="BI595" i="178"/>
  <c r="BN595" i="178"/>
  <c r="AU614" i="178"/>
  <c r="AY614" i="178"/>
  <c r="BC614" i="178"/>
  <c r="BG614" i="178"/>
  <c r="BL614" i="178"/>
  <c r="AS614" i="178"/>
  <c r="AW614" i="178"/>
  <c r="BA614" i="178"/>
  <c r="BE614" i="178"/>
  <c r="BI614" i="178"/>
  <c r="BN614" i="178"/>
  <c r="AU1103" i="178"/>
  <c r="AY1103" i="178"/>
  <c r="BC1103" i="178"/>
  <c r="BG1103" i="178"/>
  <c r="BL1103" i="178"/>
  <c r="AS1103" i="178"/>
  <c r="AW1103" i="178"/>
  <c r="BA1103" i="178"/>
  <c r="BE1103" i="178"/>
  <c r="BI1103" i="178"/>
  <c r="BN1103" i="178"/>
  <c r="AU678" i="178"/>
  <c r="AY678" i="178"/>
  <c r="BC678" i="178"/>
  <c r="BG678" i="178"/>
  <c r="BL678" i="178"/>
  <c r="AS678" i="178"/>
  <c r="AW678" i="178"/>
  <c r="BA678" i="178"/>
  <c r="BE678" i="178"/>
  <c r="BI678" i="178"/>
  <c r="BN678" i="178"/>
  <c r="AU697" i="178"/>
  <c r="AY697" i="178"/>
  <c r="BC697" i="178"/>
  <c r="BG697" i="178"/>
  <c r="BL697" i="178"/>
  <c r="AS697" i="178"/>
  <c r="AW697" i="178"/>
  <c r="BA697" i="178"/>
  <c r="BE697" i="178"/>
  <c r="BI697" i="178"/>
  <c r="BN697" i="178"/>
  <c r="AU962" i="178"/>
  <c r="AY962" i="178"/>
  <c r="BC962" i="178"/>
  <c r="BG962" i="178"/>
  <c r="BL962" i="178"/>
  <c r="AS962" i="178"/>
  <c r="AW962" i="178"/>
  <c r="BA962" i="178"/>
  <c r="BE962" i="178"/>
  <c r="BI962" i="178"/>
  <c r="BN962" i="178"/>
  <c r="BN493" i="178"/>
  <c r="AU493" i="178"/>
  <c r="AY493" i="178"/>
  <c r="BC493" i="178"/>
  <c r="BG493" i="178"/>
  <c r="BL493" i="178"/>
  <c r="BA493" i="178"/>
  <c r="BE493" i="178"/>
  <c r="AS493" i="178"/>
  <c r="BI493" i="178"/>
  <c r="AW493" i="178"/>
  <c r="BN876" i="178"/>
  <c r="AU876" i="178"/>
  <c r="AY876" i="178"/>
  <c r="BC876" i="178"/>
  <c r="BG876" i="178"/>
  <c r="BL876" i="178"/>
  <c r="BA876" i="178"/>
  <c r="BE876" i="178"/>
  <c r="AS876" i="178"/>
  <c r="BI876" i="178"/>
  <c r="AW876" i="178"/>
  <c r="BL170" i="178"/>
  <c r="AS170" i="178"/>
  <c r="AW170" i="178"/>
  <c r="BA170" i="178"/>
  <c r="BE170" i="178"/>
  <c r="BI170" i="178"/>
  <c r="BN170" i="178"/>
  <c r="BC170" i="178"/>
  <c r="BG170" i="178"/>
  <c r="AU170" i="178"/>
  <c r="AY170" i="178"/>
  <c r="AU883" i="178"/>
  <c r="AY883" i="178"/>
  <c r="BC883" i="178"/>
  <c r="BG883" i="178"/>
  <c r="BL883" i="178"/>
  <c r="AS883" i="178"/>
  <c r="AW883" i="178"/>
  <c r="BA883" i="178"/>
  <c r="BE883" i="178"/>
  <c r="BI883" i="178"/>
  <c r="BN883" i="178"/>
  <c r="AS552" i="178"/>
  <c r="AW552" i="178"/>
  <c r="BA552" i="178"/>
  <c r="BE552" i="178"/>
  <c r="BI552" i="178"/>
  <c r="BN552" i="178"/>
  <c r="AU552" i="178"/>
  <c r="AY552" i="178"/>
  <c r="BC552" i="178"/>
  <c r="BG552" i="178"/>
  <c r="BL552" i="178"/>
  <c r="BL890" i="178"/>
  <c r="AS890" i="178"/>
  <c r="AW890" i="178"/>
  <c r="BA890" i="178"/>
  <c r="BE890" i="178"/>
  <c r="BI890" i="178"/>
  <c r="BN890" i="178"/>
  <c r="AU890" i="178"/>
  <c r="AY890" i="178"/>
  <c r="BC890" i="178"/>
  <c r="BG890" i="178"/>
  <c r="BN663" i="178"/>
  <c r="AU663" i="178"/>
  <c r="AY663" i="178"/>
  <c r="BC663" i="178"/>
  <c r="BG663" i="178"/>
  <c r="BL663" i="178"/>
  <c r="AS663" i="178"/>
  <c r="BI663" i="178"/>
  <c r="AW663" i="178"/>
  <c r="BA663" i="178"/>
  <c r="BE663" i="178"/>
  <c r="BN861" i="178"/>
  <c r="AU861" i="178"/>
  <c r="AY861" i="178"/>
  <c r="BC861" i="178"/>
  <c r="BG861" i="178"/>
  <c r="BL861" i="178"/>
  <c r="AS861" i="178"/>
  <c r="BI861" i="178"/>
  <c r="AW861" i="178"/>
  <c r="BA861" i="178"/>
  <c r="BE861" i="178"/>
  <c r="BN353" i="178"/>
  <c r="AU353" i="178"/>
  <c r="AY353" i="178"/>
  <c r="BC353" i="178"/>
  <c r="BG353" i="178"/>
  <c r="BL353" i="178"/>
  <c r="AS353" i="178"/>
  <c r="BI353" i="178"/>
  <c r="AW353" i="178"/>
  <c r="BA353" i="178"/>
  <c r="BE353" i="178"/>
  <c r="BN922" i="178"/>
  <c r="AU922" i="178"/>
  <c r="AY922" i="178"/>
  <c r="BC922" i="178"/>
  <c r="BG922" i="178"/>
  <c r="BL922" i="178"/>
  <c r="AS922" i="178"/>
  <c r="BI922" i="178"/>
  <c r="AW922" i="178"/>
  <c r="BA922" i="178"/>
  <c r="BE922" i="178"/>
  <c r="BN419" i="178"/>
  <c r="AU419" i="178"/>
  <c r="AY419" i="178"/>
  <c r="BC419" i="178"/>
  <c r="BG419" i="178"/>
  <c r="BL419" i="178"/>
  <c r="AS419" i="178"/>
  <c r="BI419" i="178"/>
  <c r="AW419" i="178"/>
  <c r="BA419" i="178"/>
  <c r="BE419" i="178"/>
  <c r="AS700" i="178"/>
  <c r="AW700" i="178"/>
  <c r="BA700" i="178"/>
  <c r="BE700" i="178"/>
  <c r="BI700" i="178"/>
  <c r="BN700" i="178"/>
  <c r="AU700" i="178"/>
  <c r="AY700" i="178"/>
  <c r="BC700" i="178"/>
  <c r="BG700" i="178"/>
  <c r="BL700" i="178"/>
  <c r="AS473" i="178"/>
  <c r="AW473" i="178"/>
  <c r="BA473" i="178"/>
  <c r="BE473" i="178"/>
  <c r="BI473" i="178"/>
  <c r="BN473" i="178"/>
  <c r="AU473" i="178"/>
  <c r="AY473" i="178"/>
  <c r="BC473" i="178"/>
  <c r="BG473" i="178"/>
  <c r="BL473" i="178"/>
  <c r="AS1008" i="178"/>
  <c r="AW1008" i="178"/>
  <c r="BA1008" i="178"/>
  <c r="BE1008" i="178"/>
  <c r="BI1008" i="178"/>
  <c r="BN1008" i="178"/>
  <c r="AU1008" i="178"/>
  <c r="AY1008" i="178"/>
  <c r="BC1008" i="178"/>
  <c r="BG1008" i="178"/>
  <c r="BL1008" i="178"/>
  <c r="AS54" i="178"/>
  <c r="AW54" i="178"/>
  <c r="BA54" i="178"/>
  <c r="BE54" i="178"/>
  <c r="BI54" i="178"/>
  <c r="BN54" i="178"/>
  <c r="AU54" i="178"/>
  <c r="AY54" i="178"/>
  <c r="BC54" i="178"/>
  <c r="BG54" i="178"/>
  <c r="BL54" i="178"/>
  <c r="AS130" i="178"/>
  <c r="AW130" i="178"/>
  <c r="BA130" i="178"/>
  <c r="BE130" i="178"/>
  <c r="BI130" i="178"/>
  <c r="BN130" i="178"/>
  <c r="AU130" i="178"/>
  <c r="AY130" i="178"/>
  <c r="BC130" i="178"/>
  <c r="BG130" i="178"/>
  <c r="BL130" i="178"/>
  <c r="AS310" i="178"/>
  <c r="AW310" i="178"/>
  <c r="BN310" i="178"/>
  <c r="AU310" i="178"/>
  <c r="AY310" i="178"/>
  <c r="BC310" i="178"/>
  <c r="BG310" i="178"/>
  <c r="BL310" i="178"/>
  <c r="BE310" i="178"/>
  <c r="BA310" i="178"/>
  <c r="BI310" i="178"/>
  <c r="BL659" i="178"/>
  <c r="AS659" i="178"/>
  <c r="AW659" i="178"/>
  <c r="BA659" i="178"/>
  <c r="BE659" i="178"/>
  <c r="BI659" i="178"/>
  <c r="BN659" i="178"/>
  <c r="AU659" i="178"/>
  <c r="AY659" i="178"/>
  <c r="BC659" i="178"/>
  <c r="BG659" i="178"/>
  <c r="BL948" i="178"/>
  <c r="AS948" i="178"/>
  <c r="AW948" i="178"/>
  <c r="BA948" i="178"/>
  <c r="BE948" i="178"/>
  <c r="BI948" i="178"/>
  <c r="BN948" i="178"/>
  <c r="AU948" i="178"/>
  <c r="AY948" i="178"/>
  <c r="BC948" i="178"/>
  <c r="BG948" i="178"/>
  <c r="BL1156" i="178"/>
  <c r="AS1156" i="178"/>
  <c r="AW1156" i="178"/>
  <c r="BA1156" i="178"/>
  <c r="BE1156" i="178"/>
  <c r="BI1156" i="178"/>
  <c r="BN1156" i="178"/>
  <c r="AU1156" i="178"/>
  <c r="AY1156" i="178"/>
  <c r="BC1156" i="178"/>
  <c r="BG1156" i="178"/>
  <c r="BL261" i="178"/>
  <c r="AS261" i="178"/>
  <c r="AW261" i="178"/>
  <c r="BA261" i="178"/>
  <c r="BE261" i="178"/>
  <c r="BI261" i="178"/>
  <c r="BN261" i="178"/>
  <c r="AU261" i="178"/>
  <c r="AY261" i="178"/>
  <c r="BC261" i="178"/>
  <c r="BG261" i="178"/>
  <c r="BL617" i="178"/>
  <c r="AS617" i="178"/>
  <c r="AW617" i="178"/>
  <c r="BA617" i="178"/>
  <c r="BE617" i="178"/>
  <c r="BI617" i="178"/>
  <c r="BN617" i="178"/>
  <c r="AU617" i="178"/>
  <c r="AY617" i="178"/>
  <c r="BC617" i="178"/>
  <c r="BG617" i="178"/>
  <c r="BL783" i="178"/>
  <c r="AS783" i="178"/>
  <c r="AW783" i="178"/>
  <c r="BA783" i="178"/>
  <c r="BE783" i="178"/>
  <c r="BI783" i="178"/>
  <c r="BN783" i="178"/>
  <c r="AU783" i="178"/>
  <c r="AY783" i="178"/>
  <c r="BC783" i="178"/>
  <c r="BG783" i="178"/>
  <c r="BN1278" i="178"/>
  <c r="AU1278" i="178"/>
  <c r="AY1278" i="178"/>
  <c r="BC1278" i="178"/>
  <c r="BG1278" i="178"/>
  <c r="BL1278" i="178"/>
  <c r="AS1278" i="178"/>
  <c r="BI1278" i="178"/>
  <c r="AW1278" i="178"/>
  <c r="BA1278" i="178"/>
  <c r="BE1278" i="178"/>
  <c r="BN128" i="178"/>
  <c r="AU128" i="178"/>
  <c r="AY128" i="178"/>
  <c r="BC128" i="178"/>
  <c r="BG128" i="178"/>
  <c r="BL128" i="178"/>
  <c r="AS128" i="178"/>
  <c r="BI128" i="178"/>
  <c r="AW128" i="178"/>
  <c r="BA128" i="178"/>
  <c r="BE128" i="178"/>
  <c r="BN372" i="178"/>
  <c r="AU372" i="178"/>
  <c r="AY372" i="178"/>
  <c r="BC372" i="178"/>
  <c r="BG372" i="178"/>
  <c r="BL372" i="178"/>
  <c r="AS372" i="178"/>
  <c r="BI372" i="178"/>
  <c r="AW372" i="178"/>
  <c r="BA372" i="178"/>
  <c r="BE372" i="178"/>
  <c r="BN760" i="178"/>
  <c r="AU760" i="178"/>
  <c r="AY760" i="178"/>
  <c r="BC760" i="178"/>
  <c r="BG760" i="178"/>
  <c r="BL760" i="178"/>
  <c r="AS760" i="178"/>
  <c r="BI760" i="178"/>
  <c r="AW760" i="178"/>
  <c r="BA760" i="178"/>
  <c r="BE760" i="178"/>
  <c r="BN1158" i="178"/>
  <c r="AU1158" i="178"/>
  <c r="AY1158" i="178"/>
  <c r="BC1158" i="178"/>
  <c r="BG1158" i="178"/>
  <c r="BL1158" i="178"/>
  <c r="AS1158" i="178"/>
  <c r="BI1158" i="178"/>
  <c r="AW1158" i="178"/>
  <c r="BA1158" i="178"/>
  <c r="BE1158" i="178"/>
  <c r="AU385" i="178"/>
  <c r="AY385" i="178"/>
  <c r="BC385" i="178"/>
  <c r="BG385" i="178"/>
  <c r="BL385" i="178"/>
  <c r="AS385" i="178"/>
  <c r="BI385" i="178"/>
  <c r="AW385" i="178"/>
  <c r="BA385" i="178"/>
  <c r="BN385" i="178"/>
  <c r="BE385" i="178"/>
  <c r="BN586" i="178"/>
  <c r="AU586" i="178"/>
  <c r="AY586" i="178"/>
  <c r="BC586" i="178"/>
  <c r="BG586" i="178"/>
  <c r="BL586" i="178"/>
  <c r="BA586" i="178"/>
  <c r="BE586" i="178"/>
  <c r="AS586" i="178"/>
  <c r="BI586" i="178"/>
  <c r="AW586" i="178"/>
  <c r="BN605" i="178"/>
  <c r="AU605" i="178"/>
  <c r="AY605" i="178"/>
  <c r="BC605" i="178"/>
  <c r="BG605" i="178"/>
  <c r="BL605" i="178"/>
  <c r="BA605" i="178"/>
  <c r="BE605" i="178"/>
  <c r="AS605" i="178"/>
  <c r="BI605" i="178"/>
  <c r="AW605" i="178"/>
  <c r="BN623" i="178"/>
  <c r="AU623" i="178"/>
  <c r="AY623" i="178"/>
  <c r="BC623" i="178"/>
  <c r="BG623" i="178"/>
  <c r="BL623" i="178"/>
  <c r="BA623" i="178"/>
  <c r="BE623" i="178"/>
  <c r="AS623" i="178"/>
  <c r="BI623" i="178"/>
  <c r="AW623" i="178"/>
  <c r="BN1095" i="178"/>
  <c r="AU1095" i="178"/>
  <c r="AY1095" i="178"/>
  <c r="BC1095" i="178"/>
  <c r="BG1095" i="178"/>
  <c r="BL1095" i="178"/>
  <c r="BA1095" i="178"/>
  <c r="BE1095" i="178"/>
  <c r="AS1095" i="178"/>
  <c r="BI1095" i="178"/>
  <c r="AW1095" i="178"/>
  <c r="BN1129" i="178"/>
  <c r="AU1129" i="178"/>
  <c r="AY1129" i="178"/>
  <c r="BC1129" i="178"/>
  <c r="BG1129" i="178"/>
  <c r="BL1129" i="178"/>
  <c r="AW1129" i="178"/>
  <c r="BA1129" i="178"/>
  <c r="BE1129" i="178"/>
  <c r="AS1129" i="178"/>
  <c r="BI1129" i="178"/>
  <c r="BN904" i="178"/>
  <c r="AU904" i="178"/>
  <c r="AY904" i="178"/>
  <c r="BC904" i="178"/>
  <c r="BG904" i="178"/>
  <c r="BL904" i="178"/>
  <c r="BA904" i="178"/>
  <c r="BE904" i="178"/>
  <c r="AS904" i="178"/>
  <c r="BI904" i="178"/>
  <c r="AW904" i="178"/>
  <c r="AS662" i="178"/>
  <c r="AW662" i="178"/>
  <c r="BA662" i="178"/>
  <c r="BE662" i="178"/>
  <c r="BI662" i="178"/>
  <c r="BN662" i="178"/>
  <c r="AU662" i="178"/>
  <c r="AY662" i="178"/>
  <c r="BC662" i="178"/>
  <c r="BG662" i="178"/>
  <c r="BL662" i="178"/>
  <c r="AS827" i="178"/>
  <c r="AW827" i="178"/>
  <c r="BA827" i="178"/>
  <c r="BE827" i="178"/>
  <c r="BI827" i="178"/>
  <c r="BN827" i="178"/>
  <c r="AU827" i="178"/>
  <c r="AY827" i="178"/>
  <c r="BC827" i="178"/>
  <c r="BG827" i="178"/>
  <c r="BL827" i="178"/>
  <c r="AU295" i="178"/>
  <c r="AY295" i="178"/>
  <c r="BC295" i="178"/>
  <c r="BG295" i="178"/>
  <c r="BL295" i="178"/>
  <c r="AS295" i="178"/>
  <c r="AW295" i="178"/>
  <c r="BA295" i="178"/>
  <c r="BE295" i="178"/>
  <c r="BI295" i="178"/>
  <c r="BN295" i="178"/>
  <c r="AU487" i="178"/>
  <c r="AY487" i="178"/>
  <c r="BC487" i="178"/>
  <c r="BG487" i="178"/>
  <c r="BL487" i="178"/>
  <c r="AS487" i="178"/>
  <c r="AW487" i="178"/>
  <c r="BA487" i="178"/>
  <c r="BE487" i="178"/>
  <c r="BI487" i="178"/>
  <c r="BN487" i="178"/>
  <c r="AU392" i="178"/>
  <c r="AY392" i="178"/>
  <c r="BC392" i="178"/>
  <c r="BG392" i="178"/>
  <c r="BL392" i="178"/>
  <c r="AS392" i="178"/>
  <c r="AW392" i="178"/>
  <c r="BA392" i="178"/>
  <c r="BE392" i="178"/>
  <c r="BI392" i="178"/>
  <c r="BN392" i="178"/>
  <c r="AU137" i="178"/>
  <c r="AY137" i="178"/>
  <c r="BC137" i="178"/>
  <c r="BG137" i="178"/>
  <c r="BL137" i="178"/>
  <c r="AS137" i="178"/>
  <c r="AW137" i="178"/>
  <c r="BA137" i="178"/>
  <c r="BE137" i="178"/>
  <c r="BI137" i="178"/>
  <c r="BN137" i="178"/>
  <c r="BN364" i="178"/>
  <c r="AU364" i="178"/>
  <c r="AY364" i="178"/>
  <c r="BC364" i="178"/>
  <c r="BG364" i="178"/>
  <c r="BL364" i="178"/>
  <c r="AW364" i="178"/>
  <c r="BA364" i="178"/>
  <c r="BE364" i="178"/>
  <c r="AS364" i="178"/>
  <c r="BI364" i="178"/>
  <c r="BN424" i="178"/>
  <c r="AU424" i="178"/>
  <c r="AY424" i="178"/>
  <c r="BC424" i="178"/>
  <c r="BG424" i="178"/>
  <c r="BL424" i="178"/>
  <c r="AW424" i="178"/>
  <c r="BA424" i="178"/>
  <c r="BE424" i="178"/>
  <c r="AS424" i="178"/>
  <c r="BI424" i="178"/>
  <c r="BN14" i="178"/>
  <c r="AU14" i="178"/>
  <c r="AY14" i="178"/>
  <c r="BC14" i="178"/>
  <c r="BG14" i="178"/>
  <c r="BL14" i="178"/>
  <c r="AW14" i="178"/>
  <c r="BA14" i="178"/>
  <c r="BE14" i="178"/>
  <c r="AS14" i="178"/>
  <c r="BI14" i="178"/>
  <c r="BN124" i="178"/>
  <c r="AU124" i="178"/>
  <c r="AY124" i="178"/>
  <c r="BC124" i="178"/>
  <c r="BG124" i="178"/>
  <c r="BL124" i="178"/>
  <c r="AW124" i="178"/>
  <c r="BA124" i="178"/>
  <c r="BE124" i="178"/>
  <c r="AS124" i="178"/>
  <c r="BI124" i="178"/>
  <c r="BN264" i="178"/>
  <c r="AU264" i="178"/>
  <c r="AY264" i="178"/>
  <c r="BC264" i="178"/>
  <c r="BG264" i="178"/>
  <c r="BL264" i="178"/>
  <c r="AW264" i="178"/>
  <c r="BA264" i="178"/>
  <c r="BE264" i="178"/>
  <c r="AS264" i="178"/>
  <c r="BI264" i="178"/>
  <c r="AS531" i="178"/>
  <c r="AW531" i="178"/>
  <c r="BA531" i="178"/>
  <c r="BE531" i="178"/>
  <c r="BI531" i="178"/>
  <c r="BN531" i="178"/>
  <c r="AU531" i="178"/>
  <c r="AY531" i="178"/>
  <c r="BC531" i="178"/>
  <c r="BG531" i="178"/>
  <c r="BL531" i="178"/>
  <c r="AS831" i="178"/>
  <c r="AW831" i="178"/>
  <c r="BA831" i="178"/>
  <c r="BE831" i="178"/>
  <c r="BI831" i="178"/>
  <c r="BN831" i="178"/>
  <c r="AU831" i="178"/>
  <c r="AY831" i="178"/>
  <c r="BC831" i="178"/>
  <c r="BG831" i="178"/>
  <c r="BL831" i="178"/>
  <c r="AS1043" i="178"/>
  <c r="AW1043" i="178"/>
  <c r="BA1043" i="178"/>
  <c r="BE1043" i="178"/>
  <c r="BI1043" i="178"/>
  <c r="BN1043" i="178"/>
  <c r="AU1043" i="178"/>
  <c r="AY1043" i="178"/>
  <c r="BC1043" i="178"/>
  <c r="BG1043" i="178"/>
  <c r="BL1043" i="178"/>
  <c r="AS204" i="178"/>
  <c r="AW204" i="178"/>
  <c r="BA204" i="178"/>
  <c r="BE204" i="178"/>
  <c r="BI204" i="178"/>
  <c r="BN204" i="178"/>
  <c r="AU204" i="178"/>
  <c r="AY204" i="178"/>
  <c r="BC204" i="178"/>
  <c r="BG204" i="178"/>
  <c r="BL204" i="178"/>
  <c r="AS577" i="178"/>
  <c r="AW577" i="178"/>
  <c r="BA577" i="178"/>
  <c r="BE577" i="178"/>
  <c r="BI577" i="178"/>
  <c r="BN577" i="178"/>
  <c r="AU577" i="178"/>
  <c r="AY577" i="178"/>
  <c r="BC577" i="178"/>
  <c r="BG577" i="178"/>
  <c r="BL577" i="178"/>
  <c r="AS777" i="178"/>
  <c r="AW777" i="178"/>
  <c r="BA777" i="178"/>
  <c r="BE777" i="178"/>
  <c r="BI777" i="178"/>
  <c r="BN777" i="178"/>
  <c r="AU777" i="178"/>
  <c r="AY777" i="178"/>
  <c r="BC777" i="178"/>
  <c r="BG777" i="178"/>
  <c r="BL777" i="178"/>
  <c r="AU842" i="178"/>
  <c r="AY842" i="178"/>
  <c r="BC842" i="178"/>
  <c r="BG842" i="178"/>
  <c r="BL842" i="178"/>
  <c r="AS842" i="178"/>
  <c r="AW842" i="178"/>
  <c r="BA842" i="178"/>
  <c r="BE842" i="178"/>
  <c r="BI842" i="178"/>
  <c r="BN842" i="178"/>
  <c r="AU37" i="178"/>
  <c r="AY37" i="178"/>
  <c r="BC37" i="178"/>
  <c r="BG37" i="178"/>
  <c r="BL37" i="178"/>
  <c r="AS37" i="178"/>
  <c r="AW37" i="178"/>
  <c r="BA37" i="178"/>
  <c r="BE37" i="178"/>
  <c r="BI37" i="178"/>
  <c r="BN37" i="178"/>
  <c r="AU332" i="178"/>
  <c r="AY332" i="178"/>
  <c r="BC332" i="178"/>
  <c r="BG332" i="178"/>
  <c r="BL332" i="178"/>
  <c r="AS332" i="178"/>
  <c r="AW332" i="178"/>
  <c r="BA332" i="178"/>
  <c r="BE332" i="178"/>
  <c r="BI332" i="178"/>
  <c r="BN332" i="178"/>
  <c r="AU618" i="178"/>
  <c r="AY618" i="178"/>
  <c r="BC618" i="178"/>
  <c r="BG618" i="178"/>
  <c r="BL618" i="178"/>
  <c r="AS618" i="178"/>
  <c r="AW618" i="178"/>
  <c r="BA618" i="178"/>
  <c r="BE618" i="178"/>
  <c r="BI618" i="178"/>
  <c r="BN618" i="178"/>
  <c r="AU982" i="178"/>
  <c r="AY982" i="178"/>
  <c r="BC982" i="178"/>
  <c r="BG982" i="178"/>
  <c r="BL982" i="178"/>
  <c r="AS982" i="178"/>
  <c r="AW982" i="178"/>
  <c r="BA982" i="178"/>
  <c r="BE982" i="178"/>
  <c r="BI982" i="178"/>
  <c r="BN982" i="178"/>
  <c r="AU382" i="178"/>
  <c r="AY382" i="178"/>
  <c r="BC382" i="178"/>
  <c r="BG382" i="178"/>
  <c r="BL382" i="178"/>
  <c r="AS382" i="178"/>
  <c r="AW382" i="178"/>
  <c r="BA382" i="178"/>
  <c r="BE382" i="178"/>
  <c r="BI382" i="178"/>
  <c r="BN382" i="178"/>
  <c r="AU409" i="178"/>
  <c r="AY409" i="178"/>
  <c r="BC409" i="178"/>
  <c r="BG409" i="178"/>
  <c r="BL409" i="178"/>
  <c r="AS409" i="178"/>
  <c r="AW409" i="178"/>
  <c r="BA409" i="178"/>
  <c r="BE409" i="178"/>
  <c r="BI409" i="178"/>
  <c r="BN409" i="178"/>
  <c r="AU599" i="178"/>
  <c r="AY599" i="178"/>
  <c r="BC599" i="178"/>
  <c r="BG599" i="178"/>
  <c r="BL599" i="178"/>
  <c r="AS599" i="178"/>
  <c r="AW599" i="178"/>
  <c r="BA599" i="178"/>
  <c r="BE599" i="178"/>
  <c r="BI599" i="178"/>
  <c r="BN599" i="178"/>
  <c r="AU621" i="178"/>
  <c r="AY621" i="178"/>
  <c r="BC621" i="178"/>
  <c r="BG621" i="178"/>
  <c r="BL621" i="178"/>
  <c r="AS621" i="178"/>
  <c r="AW621" i="178"/>
  <c r="BA621" i="178"/>
  <c r="BE621" i="178"/>
  <c r="BI621" i="178"/>
  <c r="BN621" i="178"/>
  <c r="AU1094" i="178"/>
  <c r="AY1094" i="178"/>
  <c r="BC1094" i="178"/>
  <c r="BG1094" i="178"/>
  <c r="BL1094" i="178"/>
  <c r="AS1094" i="178"/>
  <c r="AW1094" i="178"/>
  <c r="BA1094" i="178"/>
  <c r="BE1094" i="178"/>
  <c r="BI1094" i="178"/>
  <c r="BN1094" i="178"/>
  <c r="AU551" i="178"/>
  <c r="AY551" i="178"/>
  <c r="BC551" i="178"/>
  <c r="BG551" i="178"/>
  <c r="BL551" i="178"/>
  <c r="AS551" i="178"/>
  <c r="AW551" i="178"/>
  <c r="BA551" i="178"/>
  <c r="BE551" i="178"/>
  <c r="BI551" i="178"/>
  <c r="BN551" i="178"/>
  <c r="BN579" i="178"/>
  <c r="AU579" i="178"/>
  <c r="AY579" i="178"/>
  <c r="BC579" i="178"/>
  <c r="BG579" i="178"/>
  <c r="BL579" i="178"/>
  <c r="BE579" i="178"/>
  <c r="AS579" i="178"/>
  <c r="BI579" i="178"/>
  <c r="AW579" i="178"/>
  <c r="BA579" i="178"/>
  <c r="BN731" i="178"/>
  <c r="AU731" i="178"/>
  <c r="AY731" i="178"/>
  <c r="BC731" i="178"/>
  <c r="BG731" i="178"/>
  <c r="BL731" i="178"/>
  <c r="BE731" i="178"/>
  <c r="AS731" i="178"/>
  <c r="BI731" i="178"/>
  <c r="AW731" i="178"/>
  <c r="BA731" i="178"/>
  <c r="BL821" i="178"/>
  <c r="AS821" i="178"/>
  <c r="AW821" i="178"/>
  <c r="BA821" i="178"/>
  <c r="BE821" i="178"/>
  <c r="BI821" i="178"/>
  <c r="BN821" i="178"/>
  <c r="BG821" i="178"/>
  <c r="AU821" i="178"/>
  <c r="AY821" i="178"/>
  <c r="BC821" i="178"/>
  <c r="AU201" i="178"/>
  <c r="AY201" i="178"/>
  <c r="BC201" i="178"/>
  <c r="BG201" i="178"/>
  <c r="BL201" i="178"/>
  <c r="AS201" i="178"/>
  <c r="AW201" i="178"/>
  <c r="BA201" i="178"/>
  <c r="BE201" i="178"/>
  <c r="BI201" i="178"/>
  <c r="BN201" i="178"/>
  <c r="AS822" i="178"/>
  <c r="AW822" i="178"/>
  <c r="BA822" i="178"/>
  <c r="BE822" i="178"/>
  <c r="BI822" i="178"/>
  <c r="BN822" i="178"/>
  <c r="AU822" i="178"/>
  <c r="AY822" i="178"/>
  <c r="BC822" i="178"/>
  <c r="BG822" i="178"/>
  <c r="BL822" i="178"/>
  <c r="BL554" i="178"/>
  <c r="AS554" i="178"/>
  <c r="AW554" i="178"/>
  <c r="BA554" i="178"/>
  <c r="BE554" i="178"/>
  <c r="BI554" i="178"/>
  <c r="BN554" i="178"/>
  <c r="AY554" i="178"/>
  <c r="BC554" i="178"/>
  <c r="BG554" i="178"/>
  <c r="AU554" i="178"/>
  <c r="BN862" i="178"/>
  <c r="AU862" i="178"/>
  <c r="AY862" i="178"/>
  <c r="BC862" i="178"/>
  <c r="BG862" i="178"/>
  <c r="BL862" i="178"/>
  <c r="AW862" i="178"/>
  <c r="BA862" i="178"/>
  <c r="BE862" i="178"/>
  <c r="AS862" i="178"/>
  <c r="BI862" i="178"/>
  <c r="BN636" i="178"/>
  <c r="AU636" i="178"/>
  <c r="AY636" i="178"/>
  <c r="BC636" i="178"/>
  <c r="BG636" i="178"/>
  <c r="BL636" i="178"/>
  <c r="AW636" i="178"/>
  <c r="BA636" i="178"/>
  <c r="BE636" i="178"/>
  <c r="BI636" i="178"/>
  <c r="AS636" i="178"/>
  <c r="BN1149" i="178"/>
  <c r="AU1149" i="178"/>
  <c r="AY1149" i="178"/>
  <c r="BC1149" i="178"/>
  <c r="BG1149" i="178"/>
  <c r="BL1149" i="178"/>
  <c r="AW1149" i="178"/>
  <c r="BA1149" i="178"/>
  <c r="BE1149" i="178"/>
  <c r="AS1149" i="178"/>
  <c r="BI1149" i="178"/>
  <c r="BN923" i="178"/>
  <c r="AU923" i="178"/>
  <c r="AY923" i="178"/>
  <c r="BC923" i="178"/>
  <c r="BG923" i="178"/>
  <c r="BL923" i="178"/>
  <c r="AW923" i="178"/>
  <c r="BA923" i="178"/>
  <c r="BE923" i="178"/>
  <c r="AS923" i="178"/>
  <c r="BI923" i="178"/>
  <c r="BN803" i="178"/>
  <c r="AU803" i="178"/>
  <c r="AY803" i="178"/>
  <c r="BC803" i="178"/>
  <c r="BG803" i="178"/>
  <c r="BL803" i="178"/>
  <c r="AW803" i="178"/>
  <c r="BA803" i="178"/>
  <c r="BE803" i="178"/>
  <c r="AS803" i="178"/>
  <c r="BI803" i="178"/>
  <c r="AS480" i="178"/>
  <c r="AW480" i="178"/>
  <c r="BA480" i="178"/>
  <c r="BE480" i="178"/>
  <c r="BI480" i="178"/>
  <c r="BN480" i="178"/>
  <c r="AU480" i="178"/>
  <c r="AY480" i="178"/>
  <c r="BC480" i="178"/>
  <c r="BG480" i="178"/>
  <c r="BL480" i="178"/>
  <c r="AS658" i="178"/>
  <c r="AW658" i="178"/>
  <c r="BA658" i="178"/>
  <c r="BE658" i="178"/>
  <c r="BI658" i="178"/>
  <c r="BN658" i="178"/>
  <c r="AU658" i="178"/>
  <c r="AY658" i="178"/>
  <c r="BC658" i="178"/>
  <c r="BG658" i="178"/>
  <c r="BL658" i="178"/>
  <c r="AS1016" i="178"/>
  <c r="AW1016" i="178"/>
  <c r="BA1016" i="178"/>
  <c r="BE1016" i="178"/>
  <c r="BI1016" i="178"/>
  <c r="BN1016" i="178"/>
  <c r="AU1016" i="178"/>
  <c r="AY1016" i="178"/>
  <c r="BC1016" i="178"/>
  <c r="BG1016" i="178"/>
  <c r="BL1016" i="178"/>
  <c r="AS75" i="178"/>
  <c r="AW75" i="178"/>
  <c r="BA75" i="178"/>
  <c r="BE75" i="178"/>
  <c r="BI75" i="178"/>
  <c r="BN75" i="178"/>
  <c r="AU75" i="178"/>
  <c r="AY75" i="178"/>
  <c r="BC75" i="178"/>
  <c r="BG75" i="178"/>
  <c r="BL75" i="178"/>
  <c r="AS193" i="178"/>
  <c r="AW193" i="178"/>
  <c r="BA193" i="178"/>
  <c r="BE193" i="178"/>
  <c r="BI193" i="178"/>
  <c r="BN193" i="178"/>
  <c r="AU193" i="178"/>
  <c r="AY193" i="178"/>
  <c r="BC193" i="178"/>
  <c r="BG193" i="178"/>
  <c r="BL193" i="178"/>
  <c r="BL334" i="178"/>
  <c r="AS334" i="178"/>
  <c r="AW334" i="178"/>
  <c r="BA334" i="178"/>
  <c r="BE334" i="178"/>
  <c r="BI334" i="178"/>
  <c r="BN334" i="178"/>
  <c r="AY334" i="178"/>
  <c r="BC334" i="178"/>
  <c r="BG334" i="178"/>
  <c r="AU334" i="178"/>
  <c r="BL746" i="178"/>
  <c r="AS746" i="178"/>
  <c r="AW746" i="178"/>
  <c r="BA746" i="178"/>
  <c r="BE746" i="178"/>
  <c r="BI746" i="178"/>
  <c r="BN746" i="178"/>
  <c r="AY746" i="178"/>
  <c r="BC746" i="178"/>
  <c r="BG746" i="178"/>
  <c r="AU746" i="178"/>
  <c r="BL975" i="178"/>
  <c r="AS975" i="178"/>
  <c r="AW975" i="178"/>
  <c r="BA975" i="178"/>
  <c r="BE975" i="178"/>
  <c r="BI975" i="178"/>
  <c r="BN975" i="178"/>
  <c r="AY975" i="178"/>
  <c r="BC975" i="178"/>
  <c r="BG975" i="178"/>
  <c r="AU975" i="178"/>
  <c r="BL1185" i="178"/>
  <c r="AS1185" i="178"/>
  <c r="AW1185" i="178"/>
  <c r="BA1185" i="178"/>
  <c r="BE1185" i="178"/>
  <c r="BI1185" i="178"/>
  <c r="BN1185" i="178"/>
  <c r="AY1185" i="178"/>
  <c r="BC1185" i="178"/>
  <c r="BG1185" i="178"/>
  <c r="AU1185" i="178"/>
  <c r="BL370" i="178"/>
  <c r="AS370" i="178"/>
  <c r="AW370" i="178"/>
  <c r="BA370" i="178"/>
  <c r="BE370" i="178"/>
  <c r="BI370" i="178"/>
  <c r="BN370" i="178"/>
  <c r="AY370" i="178"/>
  <c r="BC370" i="178"/>
  <c r="BG370" i="178"/>
  <c r="AU370" i="178"/>
  <c r="BL750" i="178"/>
  <c r="AS750" i="178"/>
  <c r="AW750" i="178"/>
  <c r="BA750" i="178"/>
  <c r="BE750" i="178"/>
  <c r="BI750" i="178"/>
  <c r="BN750" i="178"/>
  <c r="AY750" i="178"/>
  <c r="BC750" i="178"/>
  <c r="BG750" i="178"/>
  <c r="AU750" i="178"/>
  <c r="BL787" i="178"/>
  <c r="AS787" i="178"/>
  <c r="AW787" i="178"/>
  <c r="BA787" i="178"/>
  <c r="BE787" i="178"/>
  <c r="BI787" i="178"/>
  <c r="BN787" i="178"/>
  <c r="AY787" i="178"/>
  <c r="BC787" i="178"/>
  <c r="BG787" i="178"/>
  <c r="AU787" i="178"/>
  <c r="BN976" i="178"/>
  <c r="AU976" i="178"/>
  <c r="AY976" i="178"/>
  <c r="BC976" i="178"/>
  <c r="BG976" i="178"/>
  <c r="BL976" i="178"/>
  <c r="AW976" i="178"/>
  <c r="BA976" i="178"/>
  <c r="BE976" i="178"/>
  <c r="AS976" i="178"/>
  <c r="BI976" i="178"/>
  <c r="BN194" i="178"/>
  <c r="AU194" i="178"/>
  <c r="AY194" i="178"/>
  <c r="BC194" i="178"/>
  <c r="BG194" i="178"/>
  <c r="BL194" i="178"/>
  <c r="AW194" i="178"/>
  <c r="BA194" i="178"/>
  <c r="BE194" i="178"/>
  <c r="AS194" i="178"/>
  <c r="BI194" i="178"/>
  <c r="BN471" i="178"/>
  <c r="AU471" i="178"/>
  <c r="AY471" i="178"/>
  <c r="BC471" i="178"/>
  <c r="BG471" i="178"/>
  <c r="BL471" i="178"/>
  <c r="AW471" i="178"/>
  <c r="BA471" i="178"/>
  <c r="BE471" i="178"/>
  <c r="AS471" i="178"/>
  <c r="BI471" i="178"/>
  <c r="BN762" i="178"/>
  <c r="AU762" i="178"/>
  <c r="AY762" i="178"/>
  <c r="BC762" i="178"/>
  <c r="BG762" i="178"/>
  <c r="BL762" i="178"/>
  <c r="AW762" i="178"/>
  <c r="BA762" i="178"/>
  <c r="BE762" i="178"/>
  <c r="AS762" i="178"/>
  <c r="BI762" i="178"/>
  <c r="BN373" i="178"/>
  <c r="AU373" i="178"/>
  <c r="AY373" i="178"/>
  <c r="BC373" i="178"/>
  <c r="BG373" i="178"/>
  <c r="BL373" i="178"/>
  <c r="AW373" i="178"/>
  <c r="BA373" i="178"/>
  <c r="BE373" i="178"/>
  <c r="BI373" i="178"/>
  <c r="AS373" i="178"/>
  <c r="BN400" i="178"/>
  <c r="AU400" i="178"/>
  <c r="AY400" i="178"/>
  <c r="BC400" i="178"/>
  <c r="BG400" i="178"/>
  <c r="BL400" i="178"/>
  <c r="BE400" i="178"/>
  <c r="AS400" i="178"/>
  <c r="BI400" i="178"/>
  <c r="AW400" i="178"/>
  <c r="BA400" i="178"/>
  <c r="BN590" i="178"/>
  <c r="AU590" i="178"/>
  <c r="AY590" i="178"/>
  <c r="BC590" i="178"/>
  <c r="BG590" i="178"/>
  <c r="BL590" i="178"/>
  <c r="BE590" i="178"/>
  <c r="AS590" i="178"/>
  <c r="BI590" i="178"/>
  <c r="AW590" i="178"/>
  <c r="BA590" i="178"/>
  <c r="BN609" i="178"/>
  <c r="AU609" i="178"/>
  <c r="AY609" i="178"/>
  <c r="BC609" i="178"/>
  <c r="BG609" i="178"/>
  <c r="BL609" i="178"/>
  <c r="BE609" i="178"/>
  <c r="AS609" i="178"/>
  <c r="BI609" i="178"/>
  <c r="AW609" i="178"/>
  <c r="BA609" i="178"/>
  <c r="BN628" i="178"/>
  <c r="AU628" i="178"/>
  <c r="AY628" i="178"/>
  <c r="BC628" i="178"/>
  <c r="BG628" i="178"/>
  <c r="BL628" i="178"/>
  <c r="BE628" i="178"/>
  <c r="AS628" i="178"/>
  <c r="BI628" i="178"/>
  <c r="AW628" i="178"/>
  <c r="BA628" i="178"/>
  <c r="BN707" i="178"/>
  <c r="AU707" i="178"/>
  <c r="AY707" i="178"/>
  <c r="BC707" i="178"/>
  <c r="BG707" i="178"/>
  <c r="BL707" i="178"/>
  <c r="BE707" i="178"/>
  <c r="AS707" i="178"/>
  <c r="BI707" i="178"/>
  <c r="AW707" i="178"/>
  <c r="BA707" i="178"/>
  <c r="BN1098" i="178"/>
  <c r="AU1098" i="178"/>
  <c r="AY1098" i="178"/>
  <c r="BC1098" i="178"/>
  <c r="BG1098" i="178"/>
  <c r="BL1098" i="178"/>
  <c r="BA1098" i="178"/>
  <c r="BE1098" i="178"/>
  <c r="AS1098" i="178"/>
  <c r="BI1098" i="178"/>
  <c r="AW1098" i="178"/>
  <c r="BN724" i="178"/>
  <c r="AU724" i="178"/>
  <c r="AY724" i="178"/>
  <c r="BC724" i="178"/>
  <c r="BG724" i="178"/>
  <c r="BL724" i="178"/>
  <c r="BE724" i="178"/>
  <c r="AS724" i="178"/>
  <c r="BI724" i="178"/>
  <c r="AW724" i="178"/>
  <c r="BA724" i="178"/>
  <c r="AS907" i="178"/>
  <c r="AW907" i="178"/>
  <c r="BA907" i="178"/>
  <c r="BE907" i="178"/>
  <c r="BI907" i="178"/>
  <c r="BN907" i="178"/>
  <c r="AU907" i="178"/>
  <c r="AY907" i="178"/>
  <c r="BC907" i="178"/>
  <c r="BG907" i="178"/>
  <c r="BL907" i="178"/>
  <c r="AU665" i="178"/>
  <c r="AY665" i="178"/>
  <c r="BC665" i="178"/>
  <c r="BG665" i="178"/>
  <c r="BL665" i="178"/>
  <c r="AS665" i="178"/>
  <c r="AW665" i="178"/>
  <c r="BA665" i="178"/>
  <c r="BE665" i="178"/>
  <c r="BI665" i="178"/>
  <c r="BN665" i="178"/>
  <c r="AU685" i="178"/>
  <c r="AY685" i="178"/>
  <c r="BC685" i="178"/>
  <c r="BG685" i="178"/>
  <c r="BL685" i="178"/>
  <c r="AS685" i="178"/>
  <c r="AW685" i="178"/>
  <c r="BA685" i="178"/>
  <c r="BE685" i="178"/>
  <c r="BI685" i="178"/>
  <c r="BN685" i="178"/>
  <c r="AU943" i="178"/>
  <c r="AY943" i="178"/>
  <c r="BC943" i="178"/>
  <c r="BG943" i="178"/>
  <c r="BL943" i="178"/>
  <c r="AS943" i="178"/>
  <c r="AW943" i="178"/>
  <c r="BA943" i="178"/>
  <c r="BE943" i="178"/>
  <c r="BI943" i="178"/>
  <c r="BN943" i="178"/>
  <c r="AU641" i="178"/>
  <c r="AY641" i="178"/>
  <c r="BC641" i="178"/>
  <c r="BG641" i="178"/>
  <c r="BL641" i="178"/>
  <c r="AS641" i="178"/>
  <c r="AW641" i="178"/>
  <c r="BA641" i="178"/>
  <c r="BE641" i="178"/>
  <c r="BI641" i="178"/>
  <c r="BN641" i="178"/>
  <c r="BN701" i="178"/>
  <c r="AU701" i="178"/>
  <c r="AY701" i="178"/>
  <c r="BC701" i="178"/>
  <c r="BG701" i="178"/>
  <c r="BL701" i="178"/>
  <c r="BA701" i="178"/>
  <c r="BE701" i="178"/>
  <c r="AS701" i="178"/>
  <c r="BI701" i="178"/>
  <c r="AW701" i="178"/>
  <c r="BN482" i="178"/>
  <c r="AU482" i="178"/>
  <c r="AY482" i="178"/>
  <c r="BC482" i="178"/>
  <c r="BG482" i="178"/>
  <c r="BL482" i="178"/>
  <c r="BA482" i="178"/>
  <c r="BE482" i="178"/>
  <c r="AS482" i="178"/>
  <c r="BI482" i="178"/>
  <c r="AW482" i="178"/>
  <c r="BN1009" i="178"/>
  <c r="AU1009" i="178"/>
  <c r="AY1009" i="178"/>
  <c r="BC1009" i="178"/>
  <c r="BG1009" i="178"/>
  <c r="BL1009" i="178"/>
  <c r="BA1009" i="178"/>
  <c r="BE1009" i="178"/>
  <c r="AS1009" i="178"/>
  <c r="BI1009" i="178"/>
  <c r="AW1009" i="178"/>
  <c r="BN55" i="178"/>
  <c r="AU55" i="178"/>
  <c r="AY55" i="178"/>
  <c r="BC55" i="178"/>
  <c r="BG55" i="178"/>
  <c r="BL55" i="178"/>
  <c r="BA55" i="178"/>
  <c r="BE55" i="178"/>
  <c r="AS55" i="178"/>
  <c r="BI55" i="178"/>
  <c r="AW55" i="178"/>
  <c r="BN187" i="178"/>
  <c r="AU187" i="178"/>
  <c r="AY187" i="178"/>
  <c r="BC187" i="178"/>
  <c r="BG187" i="178"/>
  <c r="BL187" i="178"/>
  <c r="BA187" i="178"/>
  <c r="BE187" i="178"/>
  <c r="AS187" i="178"/>
  <c r="BI187" i="178"/>
  <c r="AW187" i="178"/>
  <c r="AU330" i="178"/>
  <c r="AY330" i="178"/>
  <c r="BC330" i="178"/>
  <c r="BG330" i="178"/>
  <c r="BL330" i="178"/>
  <c r="AW330" i="178"/>
  <c r="BE330" i="178"/>
  <c r="BN330" i="178"/>
  <c r="AS330" i="178"/>
  <c r="BA330" i="178"/>
  <c r="BI330" i="178"/>
  <c r="AS950" i="178"/>
  <c r="AW950" i="178"/>
  <c r="BA950" i="178"/>
  <c r="BE950" i="178"/>
  <c r="BI950" i="178"/>
  <c r="BN950" i="178"/>
  <c r="AU950" i="178"/>
  <c r="AY950" i="178"/>
  <c r="BC950" i="178"/>
  <c r="BG950" i="178"/>
  <c r="BL950" i="178"/>
  <c r="AS1157" i="178"/>
  <c r="AW1157" i="178"/>
  <c r="BA1157" i="178"/>
  <c r="BE1157" i="178"/>
  <c r="BI1157" i="178"/>
  <c r="BN1157" i="178"/>
  <c r="AU1157" i="178"/>
  <c r="AY1157" i="178"/>
  <c r="BC1157" i="178"/>
  <c r="BG1157" i="178"/>
  <c r="BL1157" i="178"/>
  <c r="AS290" i="178"/>
  <c r="AW290" i="178"/>
  <c r="BA290" i="178"/>
  <c r="BE290" i="178"/>
  <c r="BI290" i="178"/>
  <c r="BN290" i="178"/>
  <c r="AU290" i="178"/>
  <c r="AY290" i="178"/>
  <c r="BC290" i="178"/>
  <c r="BG290" i="178"/>
  <c r="BL290" i="178"/>
  <c r="AS660" i="178"/>
  <c r="AW660" i="178"/>
  <c r="BA660" i="178"/>
  <c r="BE660" i="178"/>
  <c r="BI660" i="178"/>
  <c r="BN660" i="178"/>
  <c r="AU660" i="178"/>
  <c r="AY660" i="178"/>
  <c r="BC660" i="178"/>
  <c r="BG660" i="178"/>
  <c r="BL660" i="178"/>
  <c r="AS784" i="178"/>
  <c r="AW784" i="178"/>
  <c r="BA784" i="178"/>
  <c r="BE784" i="178"/>
  <c r="BI784" i="178"/>
  <c r="BN784" i="178"/>
  <c r="AU784" i="178"/>
  <c r="AY784" i="178"/>
  <c r="BC784" i="178"/>
  <c r="BG784" i="178"/>
  <c r="BL784" i="178"/>
  <c r="AU844" i="178"/>
  <c r="AY844" i="178"/>
  <c r="BC844" i="178"/>
  <c r="BG844" i="178"/>
  <c r="BL844" i="178"/>
  <c r="AS844" i="178"/>
  <c r="AW844" i="178"/>
  <c r="BA844" i="178"/>
  <c r="BE844" i="178"/>
  <c r="BI844" i="178"/>
  <c r="BN844" i="178"/>
  <c r="AU129" i="178"/>
  <c r="AY129" i="178"/>
  <c r="BC129" i="178"/>
  <c r="BG129" i="178"/>
  <c r="BL129" i="178"/>
  <c r="AS129" i="178"/>
  <c r="AW129" i="178"/>
  <c r="BA129" i="178"/>
  <c r="BE129" i="178"/>
  <c r="BI129" i="178"/>
  <c r="BN129" i="178"/>
  <c r="AU396" i="178"/>
  <c r="AY396" i="178"/>
  <c r="BC396" i="178"/>
  <c r="BG396" i="178"/>
  <c r="BL396" i="178"/>
  <c r="AS396" i="178"/>
  <c r="AW396" i="178"/>
  <c r="BA396" i="178"/>
  <c r="BE396" i="178"/>
  <c r="BI396" i="178"/>
  <c r="BN396" i="178"/>
  <c r="AU761" i="178"/>
  <c r="AY761" i="178"/>
  <c r="BC761" i="178"/>
  <c r="BG761" i="178"/>
  <c r="BL761" i="178"/>
  <c r="AS761" i="178"/>
  <c r="AW761" i="178"/>
  <c r="BA761" i="178"/>
  <c r="BE761" i="178"/>
  <c r="BI761" i="178"/>
  <c r="BN761" i="178"/>
  <c r="AU1159" i="178"/>
  <c r="AY1159" i="178"/>
  <c r="BC1159" i="178"/>
  <c r="BG1159" i="178"/>
  <c r="BL1159" i="178"/>
  <c r="AS1159" i="178"/>
  <c r="AW1159" i="178"/>
  <c r="BA1159" i="178"/>
  <c r="BE1159" i="178"/>
  <c r="BI1159" i="178"/>
  <c r="BN1159" i="178"/>
  <c r="BL386" i="178"/>
  <c r="AS386" i="178"/>
  <c r="AW386" i="178"/>
  <c r="BA386" i="178"/>
  <c r="BE386" i="178"/>
  <c r="BI386" i="178"/>
  <c r="AU386" i="178"/>
  <c r="BC386" i="178"/>
  <c r="BN386" i="178"/>
  <c r="AY386" i="178"/>
  <c r="BG386" i="178"/>
  <c r="AU587" i="178"/>
  <c r="AY587" i="178"/>
  <c r="BC587" i="178"/>
  <c r="BG587" i="178"/>
  <c r="BL587" i="178"/>
  <c r="AS587" i="178"/>
  <c r="AW587" i="178"/>
  <c r="BA587" i="178"/>
  <c r="BE587" i="178"/>
  <c r="BI587" i="178"/>
  <c r="BN587" i="178"/>
  <c r="AU606" i="178"/>
  <c r="AY606" i="178"/>
  <c r="BC606" i="178"/>
  <c r="BG606" i="178"/>
  <c r="BL606" i="178"/>
  <c r="AS606" i="178"/>
  <c r="AW606" i="178"/>
  <c r="BA606" i="178"/>
  <c r="BE606" i="178"/>
  <c r="BI606" i="178"/>
  <c r="BN606" i="178"/>
  <c r="AU625" i="178"/>
  <c r="AY625" i="178"/>
  <c r="BC625" i="178"/>
  <c r="BG625" i="178"/>
  <c r="BL625" i="178"/>
  <c r="AS625" i="178"/>
  <c r="AW625" i="178"/>
  <c r="BA625" i="178"/>
  <c r="BE625" i="178"/>
  <c r="BI625" i="178"/>
  <c r="BN625" i="178"/>
  <c r="AU1105" i="178"/>
  <c r="AY1105" i="178"/>
  <c r="BC1105" i="178"/>
  <c r="BG1105" i="178"/>
  <c r="BL1105" i="178"/>
  <c r="AS1105" i="178"/>
  <c r="AW1105" i="178"/>
  <c r="BA1105" i="178"/>
  <c r="BE1105" i="178"/>
  <c r="BI1105" i="178"/>
  <c r="BN1105" i="178"/>
  <c r="AU1132" i="178"/>
  <c r="AY1132" i="178"/>
  <c r="BC1132" i="178"/>
  <c r="BG1132" i="178"/>
  <c r="BL1132" i="178"/>
  <c r="AS1132" i="178"/>
  <c r="AW1132" i="178"/>
  <c r="BA1132" i="178"/>
  <c r="BE1132" i="178"/>
  <c r="BI1132" i="178"/>
  <c r="BN1132" i="178"/>
  <c r="AU912" i="178"/>
  <c r="AY912" i="178"/>
  <c r="BC912" i="178"/>
  <c r="BG912" i="178"/>
  <c r="BL912" i="178"/>
  <c r="AS912" i="178"/>
  <c r="AW912" i="178"/>
  <c r="BA912" i="178"/>
  <c r="BE912" i="178"/>
  <c r="BI912" i="178"/>
  <c r="BN912" i="178"/>
  <c r="BN200" i="178"/>
  <c r="AU200" i="178"/>
  <c r="AY200" i="178"/>
  <c r="BC200" i="178"/>
  <c r="BG200" i="178"/>
  <c r="BL200" i="178"/>
  <c r="AS200" i="178"/>
  <c r="BI200" i="178"/>
  <c r="AW200" i="178"/>
  <c r="BA200" i="178"/>
  <c r="BE200" i="178"/>
  <c r="C39" i="78"/>
  <c r="O29" i="55"/>
  <c r="P29" i="55"/>
  <c r="Q29" i="55"/>
  <c r="R29" i="55"/>
  <c r="C72" i="78"/>
  <c r="O60" i="55"/>
  <c r="P60" i="55"/>
  <c r="Q60" i="55"/>
  <c r="R60" i="55"/>
  <c r="C659" i="78"/>
  <c r="O628" i="55"/>
  <c r="P628" i="55"/>
  <c r="Q628" i="55"/>
  <c r="R628" i="55"/>
  <c r="C818" i="78"/>
  <c r="O782" i="55"/>
  <c r="X631" i="178" s="1"/>
  <c r="P782" i="55"/>
  <c r="Y631" i="178" s="1"/>
  <c r="Q782" i="55"/>
  <c r="AA631" i="178" s="1"/>
  <c r="AB631" i="178" s="1"/>
  <c r="R782" i="55"/>
  <c r="B709" i="178"/>
  <c r="B715" i="178"/>
  <c r="B696" i="178"/>
  <c r="B695" i="178"/>
  <c r="B697" i="178"/>
  <c r="B721" i="178"/>
  <c r="B938" i="178"/>
  <c r="B1130" i="178"/>
  <c r="B894" i="178"/>
  <c r="B1097" i="178"/>
  <c r="B1098" i="178"/>
  <c r="B1099" i="178"/>
  <c r="B1107" i="178"/>
  <c r="B1108" i="178"/>
  <c r="B958" i="178"/>
  <c r="B962" i="178"/>
  <c r="B972" i="178"/>
  <c r="B974" i="178"/>
  <c r="B1008" i="178"/>
  <c r="B1009" i="178"/>
  <c r="B1010" i="178"/>
  <c r="B1015" i="178"/>
  <c r="B1016" i="178"/>
  <c r="B1017" i="178"/>
  <c r="B1026" i="178"/>
  <c r="B1025" i="178"/>
  <c r="B1057" i="178"/>
  <c r="B1058" i="178"/>
  <c r="B1059" i="178"/>
  <c r="B1182" i="178"/>
  <c r="B13" i="178"/>
  <c r="B14" i="178"/>
  <c r="B15" i="178"/>
  <c r="B49" i="178"/>
  <c r="B54" i="178"/>
  <c r="B55" i="178"/>
  <c r="B59" i="178"/>
  <c r="B73" i="178"/>
  <c r="B75" i="178"/>
  <c r="B78" i="178"/>
  <c r="B80" i="178"/>
  <c r="B81" i="178"/>
  <c r="B82" i="178"/>
  <c r="B772" i="178"/>
  <c r="B829" i="178"/>
  <c r="B120" i="178"/>
  <c r="B121" i="178"/>
  <c r="B122" i="178"/>
  <c r="B123" i="178"/>
  <c r="B124" i="178"/>
  <c r="B125" i="178"/>
  <c r="B126" i="178"/>
  <c r="B130" i="178"/>
  <c r="B187" i="178"/>
  <c r="B188" i="178"/>
  <c r="B192" i="178"/>
  <c r="B193" i="178"/>
  <c r="B203" i="178"/>
  <c r="B229" i="178"/>
  <c r="B241" i="178"/>
  <c r="B242" i="178"/>
  <c r="B249" i="178"/>
  <c r="B250" i="178"/>
  <c r="B255" i="178"/>
  <c r="B256" i="178"/>
  <c r="B264" i="178"/>
  <c r="B265" i="178"/>
  <c r="B309" i="178"/>
  <c r="B310" i="178"/>
  <c r="B330" i="178"/>
  <c r="B331" i="178"/>
  <c r="B333" i="178"/>
  <c r="B334" i="178"/>
  <c r="B426" i="178"/>
  <c r="B434" i="178"/>
  <c r="B461" i="178"/>
  <c r="B469" i="178"/>
  <c r="B474" i="178"/>
  <c r="B483" i="178"/>
  <c r="B503" i="178"/>
  <c r="B508" i="178"/>
  <c r="B531" i="178"/>
  <c r="B535" i="178"/>
  <c r="B576" i="178"/>
  <c r="B659" i="178"/>
  <c r="B744" i="178"/>
  <c r="B745" i="178"/>
  <c r="B746" i="178"/>
  <c r="B747" i="178"/>
  <c r="B774" i="178"/>
  <c r="B775" i="178"/>
  <c r="B773" i="178"/>
  <c r="B776" i="178"/>
  <c r="B830" i="178"/>
  <c r="B831" i="178"/>
  <c r="B832" i="178"/>
  <c r="B833" i="178"/>
  <c r="B948" i="178"/>
  <c r="B950" i="178"/>
  <c r="B967" i="178"/>
  <c r="B968" i="178"/>
  <c r="B975" i="178"/>
  <c r="B977" i="178"/>
  <c r="B978" i="178"/>
  <c r="B979" i="178"/>
  <c r="B980" i="178"/>
  <c r="B1018" i="178"/>
  <c r="B1019" i="178"/>
  <c r="B1041" i="178"/>
  <c r="B1042" i="178"/>
  <c r="B1043" i="178"/>
  <c r="B1044" i="178"/>
  <c r="B1154" i="178"/>
  <c r="B1156" i="178"/>
  <c r="B1157" i="178"/>
  <c r="B1155" i="178"/>
  <c r="B1183" i="178"/>
  <c r="B1185" i="178"/>
  <c r="B1186" i="178"/>
  <c r="B1184" i="178"/>
  <c r="B16" i="178"/>
  <c r="B74" i="178"/>
  <c r="B76" i="178"/>
  <c r="B127" i="178"/>
  <c r="B131" i="178"/>
  <c r="B771" i="178"/>
  <c r="B132" i="178"/>
  <c r="B204" i="178"/>
  <c r="B230" i="178"/>
  <c r="B234" i="178"/>
  <c r="B261" i="178"/>
  <c r="B290" i="178"/>
  <c r="B311" i="178"/>
  <c r="B315" i="178"/>
  <c r="B370" i="178"/>
  <c r="B395" i="178"/>
  <c r="B462" i="178"/>
  <c r="B470" i="178"/>
  <c r="B475" i="178"/>
  <c r="B478" i="178"/>
  <c r="B504" i="178"/>
  <c r="B509" i="178"/>
  <c r="B532" i="178"/>
  <c r="B577" i="178"/>
  <c r="B583" i="178"/>
  <c r="B600" i="178"/>
  <c r="B617" i="178"/>
  <c r="B660" i="178"/>
  <c r="B748" i="178"/>
  <c r="B749" i="178"/>
  <c r="B750" i="178"/>
  <c r="B751" i="178"/>
  <c r="B752" i="178"/>
  <c r="B753" i="178"/>
  <c r="B754" i="178"/>
  <c r="B755" i="178"/>
  <c r="B756" i="178"/>
  <c r="B757" i="178"/>
  <c r="B758" i="178"/>
  <c r="B777" i="178"/>
  <c r="B778" i="178"/>
  <c r="B779" i="178"/>
  <c r="B783" i="178"/>
  <c r="B784" i="178"/>
  <c r="B785" i="178"/>
  <c r="B786" i="178"/>
  <c r="B787" i="178"/>
  <c r="B834" i="178"/>
  <c r="B835" i="178"/>
  <c r="B836" i="178"/>
  <c r="B837" i="178"/>
  <c r="B838" i="178"/>
  <c r="B839" i="178"/>
  <c r="B840" i="178"/>
  <c r="B841" i="178"/>
  <c r="B842" i="178"/>
  <c r="B843" i="178"/>
  <c r="B946" i="178"/>
  <c r="B1278" i="178"/>
  <c r="B844" i="178"/>
  <c r="B949" i="178"/>
  <c r="B951" i="178"/>
  <c r="B976" i="178"/>
  <c r="B981" i="178"/>
  <c r="B1007" i="178"/>
  <c r="B1045" i="178"/>
  <c r="B1165" i="178"/>
  <c r="B1187" i="178"/>
  <c r="B1277" i="178"/>
  <c r="B17" i="178"/>
  <c r="B29" i="178"/>
  <c r="B37" i="178"/>
  <c r="B79" i="178"/>
  <c r="B83" i="178"/>
  <c r="B128" i="178"/>
  <c r="B129" i="178"/>
  <c r="B133" i="178"/>
  <c r="B189" i="178"/>
  <c r="B194" i="178"/>
  <c r="B231" i="178"/>
  <c r="B232" i="178"/>
  <c r="B243" i="178"/>
  <c r="B251" i="178"/>
  <c r="B266" i="178"/>
  <c r="B476" i="178"/>
  <c r="B262" i="178"/>
  <c r="B312" i="178"/>
  <c r="B332" i="178"/>
  <c r="B335" i="178"/>
  <c r="B371" i="178"/>
  <c r="B372" i="178"/>
  <c r="B396" i="178"/>
  <c r="B397" i="178"/>
  <c r="B463" i="178"/>
  <c r="B471" i="178"/>
  <c r="B505" i="178"/>
  <c r="B510" i="178"/>
  <c r="B529" i="178"/>
  <c r="B578" i="178"/>
  <c r="B584" i="178"/>
  <c r="B585" i="178"/>
  <c r="B601" i="178"/>
  <c r="B602" i="178"/>
  <c r="B618" i="178"/>
  <c r="B619" i="178"/>
  <c r="B759" i="178"/>
  <c r="B760" i="178"/>
  <c r="B761" i="178"/>
  <c r="B788" i="178"/>
  <c r="B983" i="178"/>
  <c r="B762" i="178"/>
  <c r="B789" i="178"/>
  <c r="B790" i="178"/>
  <c r="B791" i="178"/>
  <c r="B845" i="178"/>
  <c r="B846" i="178"/>
  <c r="B847" i="178"/>
  <c r="B848" i="178"/>
  <c r="B947" i="178"/>
  <c r="B982" i="178"/>
  <c r="B1011" i="178"/>
  <c r="B1046" i="178"/>
  <c r="B1158" i="178"/>
  <c r="B1159" i="178"/>
  <c r="B1188" i="178"/>
  <c r="B267" i="178"/>
  <c r="B373" i="178"/>
  <c r="B374" i="178"/>
  <c r="B375" i="178"/>
  <c r="B376" i="178"/>
  <c r="B377" i="178"/>
  <c r="B378" i="178"/>
  <c r="B379" i="178"/>
  <c r="B380" i="178"/>
  <c r="B381" i="178"/>
  <c r="B382" i="178"/>
  <c r="B383" i="178"/>
  <c r="B384" i="178"/>
  <c r="B385" i="178"/>
  <c r="B386" i="178"/>
  <c r="B398" i="178"/>
  <c r="B399" i="178"/>
  <c r="B400" i="178"/>
  <c r="B401" i="178"/>
  <c r="B403" i="178"/>
  <c r="B402" i="178"/>
  <c r="B404" i="178"/>
  <c r="B405" i="178"/>
  <c r="B406" i="178"/>
  <c r="B407" i="178"/>
  <c r="B408" i="178"/>
  <c r="B409" i="178"/>
  <c r="B410" i="178"/>
  <c r="B411" i="178"/>
  <c r="B586" i="178"/>
  <c r="B587" i="178"/>
  <c r="B588" i="178"/>
  <c r="B589" i="178"/>
  <c r="B590" i="178"/>
  <c r="B591" i="178"/>
  <c r="B592" i="178"/>
  <c r="B593" i="178"/>
  <c r="B594" i="178"/>
  <c r="B595" i="178"/>
  <c r="B596" i="178"/>
  <c r="B597" i="178"/>
  <c r="B598" i="178"/>
  <c r="B599" i="178"/>
  <c r="B603" i="178"/>
  <c r="B604" i="178"/>
  <c r="B605" i="178"/>
  <c r="B606" i="178"/>
  <c r="B607" i="178"/>
  <c r="B608" i="178"/>
  <c r="B609" i="178"/>
  <c r="B611" i="178"/>
  <c r="B612" i="178"/>
  <c r="B610" i="178"/>
  <c r="B613" i="178"/>
  <c r="B614" i="178"/>
  <c r="B615" i="178"/>
  <c r="B616" i="178"/>
  <c r="B620" i="178"/>
  <c r="B621" i="178"/>
  <c r="B624" i="178"/>
  <c r="B622" i="178"/>
  <c r="B623" i="178"/>
  <c r="B625" i="178"/>
  <c r="B626" i="178"/>
  <c r="B627" i="178"/>
  <c r="B628" i="178"/>
  <c r="B629" i="178"/>
  <c r="B630" i="178"/>
  <c r="B631" i="178"/>
  <c r="B1102" i="178"/>
  <c r="B1103" i="178"/>
  <c r="B1109" i="178"/>
  <c r="B1110" i="178"/>
  <c r="B1111" i="178"/>
  <c r="B1094" i="178"/>
  <c r="B1104" i="178"/>
  <c r="B1112" i="178"/>
  <c r="B1095" i="178"/>
  <c r="B1105" i="178"/>
  <c r="B675" i="178"/>
  <c r="B677" i="178"/>
  <c r="B678" i="178"/>
  <c r="B363" i="178"/>
  <c r="B367" i="178"/>
  <c r="B679" i="178"/>
  <c r="B1106" i="178"/>
  <c r="B1089" i="178"/>
  <c r="B1090" i="178"/>
  <c r="B707" i="178"/>
  <c r="B963" i="178"/>
  <c r="B1035" i="178"/>
  <c r="B1126" i="178"/>
  <c r="B1127" i="178"/>
  <c r="B1128" i="178"/>
  <c r="B1129" i="178"/>
  <c r="B1132" i="178"/>
  <c r="B144" i="178"/>
  <c r="B148" i="178"/>
  <c r="B480" i="178"/>
  <c r="B1051" i="178"/>
  <c r="B1063" i="178"/>
  <c r="B1064" i="178"/>
  <c r="B280" i="178"/>
  <c r="B202" i="178"/>
  <c r="B228" i="178"/>
  <c r="B289" i="178"/>
  <c r="B308" i="178"/>
  <c r="B424" i="178"/>
  <c r="B425" i="178"/>
  <c r="B433" i="178"/>
  <c r="B473" i="178"/>
  <c r="B482" i="178"/>
  <c r="B530" i="178"/>
  <c r="B575" i="178"/>
  <c r="B658" i="178"/>
  <c r="B667" i="178"/>
  <c r="B742" i="178"/>
  <c r="B743" i="178"/>
  <c r="B945" i="178"/>
  <c r="B803" i="178"/>
  <c r="B809" i="178"/>
  <c r="B159" i="178"/>
  <c r="B892" i="178"/>
  <c r="B356" i="178"/>
  <c r="B364" i="178"/>
  <c r="B691" i="178"/>
  <c r="B699" i="178"/>
  <c r="B700" i="178"/>
  <c r="B701" i="178"/>
  <c r="B489" i="178"/>
  <c r="B639" i="178"/>
  <c r="B922" i="178"/>
  <c r="B943" i="178"/>
  <c r="B1150" i="178"/>
  <c r="B640" i="178"/>
  <c r="B923" i="178"/>
  <c r="B944" i="178"/>
  <c r="B899" i="178"/>
  <c r="B689" i="178"/>
  <c r="B900" i="178"/>
  <c r="B138" i="178"/>
  <c r="B157" i="178"/>
  <c r="B492" i="178"/>
  <c r="B1153" i="178"/>
  <c r="B137" i="178"/>
  <c r="B490" i="178"/>
  <c r="B394" i="178"/>
  <c r="B419" i="178"/>
  <c r="B641" i="178"/>
  <c r="B924" i="178"/>
  <c r="B352" i="178"/>
  <c r="B487" i="178"/>
  <c r="B897" i="178"/>
  <c r="B1148" i="178"/>
  <c r="B353" i="178"/>
  <c r="B685" i="178"/>
  <c r="B898" i="178"/>
  <c r="B1149" i="178"/>
  <c r="B136" i="178"/>
  <c r="B416" i="178"/>
  <c r="B439" i="178"/>
  <c r="B485" i="178"/>
  <c r="B638" i="178"/>
  <c r="B921" i="178"/>
  <c r="B942" i="178"/>
  <c r="B1147" i="178"/>
  <c r="B392" i="178"/>
  <c r="B293" i="178"/>
  <c r="B295" i="178"/>
  <c r="B559" i="178"/>
  <c r="B671" i="178"/>
  <c r="B861" i="178"/>
  <c r="B389" i="178"/>
  <c r="B414" i="178"/>
  <c r="B636" i="178"/>
  <c r="B919" i="178"/>
  <c r="B940" i="178"/>
  <c r="B390" i="178"/>
  <c r="B415" i="178"/>
  <c r="B637" i="178"/>
  <c r="B920" i="178"/>
  <c r="B941" i="178"/>
  <c r="B726" i="178"/>
  <c r="B727" i="178"/>
  <c r="B731" i="178"/>
  <c r="B732" i="178"/>
  <c r="B826" i="178"/>
  <c r="B827" i="178"/>
  <c r="B871" i="178"/>
  <c r="B872" i="178"/>
  <c r="B663" i="178"/>
  <c r="B665" i="178"/>
  <c r="B866" i="178"/>
  <c r="B859" i="178"/>
  <c r="B862" i="178"/>
  <c r="B175" i="178"/>
  <c r="B177" i="178"/>
  <c r="B292" i="178"/>
  <c r="B734" i="178"/>
  <c r="B860" i="178"/>
  <c r="B863" i="178"/>
  <c r="B174" i="178"/>
  <c r="B632" i="178"/>
  <c r="B633" i="178"/>
  <c r="B197" i="178"/>
  <c r="B551" i="178"/>
  <c r="B819" i="178"/>
  <c r="B880" i="178"/>
  <c r="B904" i="178"/>
  <c r="B912" i="178"/>
  <c r="B170" i="178"/>
  <c r="B552" i="178"/>
  <c r="B724" i="178"/>
  <c r="B730" i="178"/>
  <c r="B821" i="178"/>
  <c r="B822" i="178"/>
  <c r="B427" i="178"/>
  <c r="B493" i="178"/>
  <c r="B865" i="178"/>
  <c r="B387" i="178"/>
  <c r="B412" i="178"/>
  <c r="B579" i="178"/>
  <c r="B581" i="178"/>
  <c r="B634" i="178"/>
  <c r="B662" i="178"/>
  <c r="B200" i="178"/>
  <c r="B883" i="178"/>
  <c r="B890" i="178"/>
  <c r="B907" i="178"/>
  <c r="B915" i="178"/>
  <c r="B201" i="178"/>
  <c r="B554" i="178"/>
  <c r="B825" i="178"/>
  <c r="B876" i="178"/>
  <c r="B908" i="178"/>
  <c r="Z631" i="178" l="1"/>
  <c r="AC631" i="178" s="1"/>
  <c r="X1058" i="178"/>
  <c r="X1026" i="178"/>
  <c r="X1025" i="178"/>
  <c r="X1057" i="178"/>
  <c r="AA408" i="178"/>
  <c r="AB408" i="178" s="1"/>
  <c r="AA405" i="178"/>
  <c r="AB405" i="178" s="1"/>
  <c r="AA406" i="178"/>
  <c r="AB406" i="178" s="1"/>
  <c r="AA407" i="178"/>
  <c r="AB407" i="178" s="1"/>
  <c r="Y405" i="178"/>
  <c r="Y406" i="178"/>
  <c r="Y407" i="178"/>
  <c r="Y408" i="178"/>
  <c r="AA1025" i="178"/>
  <c r="AB1025" i="178" s="1"/>
  <c r="AA1057" i="178"/>
  <c r="AB1057" i="178" s="1"/>
  <c r="AA1058" i="178"/>
  <c r="AB1058" i="178" s="1"/>
  <c r="AA1026" i="178"/>
  <c r="AB1026" i="178" s="1"/>
  <c r="X406" i="178"/>
  <c r="X407" i="178"/>
  <c r="X408" i="178"/>
  <c r="X405" i="178"/>
  <c r="Y1057" i="178"/>
  <c r="Y1058" i="178"/>
  <c r="Y1026" i="178"/>
  <c r="Y1025" i="178"/>
  <c r="T1060" i="178"/>
  <c r="U1060" i="178" s="1"/>
  <c r="W1060" i="178"/>
  <c r="AD1060" i="178"/>
  <c r="AE1060" i="178"/>
  <c r="AF1060" i="178"/>
  <c r="AG1060" i="178"/>
  <c r="AH1060" i="178"/>
  <c r="AI1060" i="178"/>
  <c r="AJ1060" i="178"/>
  <c r="AK1060" i="178"/>
  <c r="AL1060" i="178"/>
  <c r="AM1060" i="178"/>
  <c r="AN1060" i="178"/>
  <c r="AO1060" i="178"/>
  <c r="Q1060" i="178"/>
  <c r="AR1060" i="178" s="1"/>
  <c r="B1060" i="178"/>
  <c r="T512" i="178"/>
  <c r="U512" i="178" s="1"/>
  <c r="W512" i="178"/>
  <c r="AD512" i="178"/>
  <c r="AE512" i="178"/>
  <c r="AF512" i="178"/>
  <c r="AG512" i="178"/>
  <c r="AH512" i="178"/>
  <c r="AI512" i="178"/>
  <c r="AJ512" i="178"/>
  <c r="AK512" i="178"/>
  <c r="AL512" i="178"/>
  <c r="AM512" i="178"/>
  <c r="AN512" i="178"/>
  <c r="AO512" i="178"/>
  <c r="Q512" i="178"/>
  <c r="B512" i="178"/>
  <c r="Z408" i="178" l="1"/>
  <c r="AC408" i="178" s="1"/>
  <c r="AR512" i="178"/>
  <c r="Z407" i="178"/>
  <c r="AC407" i="178" s="1"/>
  <c r="Z406" i="178"/>
  <c r="AC406" i="178" s="1"/>
  <c r="Z405" i="178"/>
  <c r="AC405" i="178" s="1"/>
  <c r="Z1057" i="178"/>
  <c r="AC1057" i="178" s="1"/>
  <c r="Z1025" i="178"/>
  <c r="AC1025" i="178" s="1"/>
  <c r="Z1026" i="178"/>
  <c r="AC1026" i="178" s="1"/>
  <c r="Z1058" i="178"/>
  <c r="AC1058" i="178" s="1"/>
  <c r="BK512" i="178"/>
  <c r="BK1060" i="178"/>
  <c r="BJ1060" i="178"/>
  <c r="BF1060" i="178"/>
  <c r="BB1060" i="178"/>
  <c r="AX1060" i="178"/>
  <c r="AT1060" i="178"/>
  <c r="BM1060" i="178"/>
  <c r="S1060" i="178"/>
  <c r="BH1060" i="178"/>
  <c r="BD1060" i="178"/>
  <c r="AZ1060" i="178"/>
  <c r="AV1060" i="178"/>
  <c r="V1060" i="178"/>
  <c r="BJ512" i="178"/>
  <c r="BF512" i="178"/>
  <c r="BB512" i="178"/>
  <c r="AX512" i="178"/>
  <c r="AT512" i="178"/>
  <c r="BM512" i="178"/>
  <c r="S512" i="178"/>
  <c r="BH512" i="178"/>
  <c r="BD512" i="178"/>
  <c r="AZ512" i="178"/>
  <c r="AV512" i="178"/>
  <c r="V512" i="178"/>
  <c r="C53" i="78"/>
  <c r="R51" i="55"/>
  <c r="Q51" i="55"/>
  <c r="P51" i="55"/>
  <c r="O51" i="55"/>
  <c r="BL1060" i="178" l="1"/>
  <c r="AS1060" i="178"/>
  <c r="AW1060" i="178"/>
  <c r="BA1060" i="178"/>
  <c r="BE1060" i="178"/>
  <c r="BI1060" i="178"/>
  <c r="BN1060" i="178"/>
  <c r="AU1060" i="178"/>
  <c r="AY1060" i="178"/>
  <c r="BC1060" i="178"/>
  <c r="BG1060" i="178"/>
  <c r="BL512" i="178"/>
  <c r="AU512" i="178"/>
  <c r="AY512" i="178"/>
  <c r="BC512" i="178"/>
  <c r="BG512" i="178"/>
  <c r="AS512" i="178"/>
  <c r="AW512" i="178"/>
  <c r="BA512" i="178"/>
  <c r="BE512" i="178"/>
  <c r="BI512" i="178"/>
  <c r="BN512" i="178"/>
  <c r="L60" i="182"/>
  <c r="L38" i="182"/>
  <c r="L30" i="182"/>
  <c r="L22" i="182"/>
  <c r="L12" i="182"/>
  <c r="K38" i="182"/>
  <c r="K36" i="182"/>
  <c r="K34" i="182"/>
  <c r="K32" i="182"/>
  <c r="K30" i="182"/>
  <c r="K28" i="182"/>
  <c r="K26" i="182"/>
  <c r="K24" i="182"/>
  <c r="K22" i="182"/>
  <c r="K20" i="182"/>
  <c r="K18" i="182"/>
  <c r="K16" i="182"/>
  <c r="K62" i="182"/>
  <c r="K60" i="182"/>
  <c r="K58" i="182"/>
  <c r="K56" i="182"/>
  <c r="K54" i="182"/>
  <c r="K52" i="182"/>
  <c r="K50" i="182"/>
  <c r="K48" i="182"/>
  <c r="K44" i="182"/>
  <c r="K42" i="182"/>
  <c r="K12" i="182"/>
  <c r="K10" i="182"/>
  <c r="K8" i="182"/>
  <c r="K6" i="182"/>
  <c r="E62" i="182"/>
  <c r="L62" i="182" s="1"/>
  <c r="D62" i="182"/>
  <c r="E60" i="182"/>
  <c r="D60" i="182"/>
  <c r="E58" i="182"/>
  <c r="D58" i="182"/>
  <c r="E56" i="182"/>
  <c r="D56" i="182"/>
  <c r="L56" i="182" s="1"/>
  <c r="E54" i="182"/>
  <c r="D54" i="182"/>
  <c r="E52" i="182"/>
  <c r="D52" i="182"/>
  <c r="L52" i="182" s="1"/>
  <c r="E50" i="182"/>
  <c r="L50" i="182" s="1"/>
  <c r="D50" i="182"/>
  <c r="E48" i="182"/>
  <c r="D48" i="182"/>
  <c r="L48" i="182" s="1"/>
  <c r="L49" i="182" s="1"/>
  <c r="E44" i="182"/>
  <c r="D44" i="182"/>
  <c r="E42" i="182"/>
  <c r="D42" i="182"/>
  <c r="L42" i="182" s="1"/>
  <c r="E36" i="182"/>
  <c r="D36" i="182"/>
  <c r="L36" i="182" s="1"/>
  <c r="E34" i="182"/>
  <c r="D34" i="182"/>
  <c r="L34" i="182" s="1"/>
  <c r="E32" i="182"/>
  <c r="D32" i="182"/>
  <c r="L32" i="182" s="1"/>
  <c r="E30" i="182"/>
  <c r="D30" i="182"/>
  <c r="E28" i="182"/>
  <c r="D28" i="182"/>
  <c r="L28" i="182" s="1"/>
  <c r="E26" i="182"/>
  <c r="D26" i="182"/>
  <c r="L26" i="182" s="1"/>
  <c r="E24" i="182"/>
  <c r="D24" i="182"/>
  <c r="L24" i="182" s="1"/>
  <c r="E22" i="182"/>
  <c r="D22" i="182"/>
  <c r="E20" i="182"/>
  <c r="D20" i="182"/>
  <c r="L20" i="182" s="1"/>
  <c r="E18" i="182"/>
  <c r="D18" i="182"/>
  <c r="L18" i="182" s="1"/>
  <c r="E16" i="182"/>
  <c r="E38" i="182" s="1"/>
  <c r="D16" i="182"/>
  <c r="L16" i="182" s="1"/>
  <c r="E12" i="182"/>
  <c r="D12" i="182"/>
  <c r="E10" i="182"/>
  <c r="D10" i="182"/>
  <c r="E8" i="182"/>
  <c r="D8" i="182"/>
  <c r="L8" i="182" s="1"/>
  <c r="E6" i="182"/>
  <c r="E66" i="182" s="1"/>
  <c r="D6" i="182"/>
  <c r="E26" i="181"/>
  <c r="G26" i="181" s="1"/>
  <c r="F26" i="181"/>
  <c r="L51" i="182" l="1"/>
  <c r="L54" i="182"/>
  <c r="L58" i="182"/>
  <c r="L59" i="182" s="1"/>
  <c r="D66" i="182"/>
  <c r="L63" i="182"/>
  <c r="L44" i="182"/>
  <c r="L6" i="182"/>
  <c r="L10" i="182"/>
  <c r="L61" i="182"/>
  <c r="L57" i="182"/>
  <c r="L55" i="182"/>
  <c r="L53" i="182"/>
  <c r="L45" i="182"/>
  <c r="L43" i="182"/>
  <c r="L39" i="182"/>
  <c r="L37" i="182"/>
  <c r="L35" i="182"/>
  <c r="L33" i="182"/>
  <c r="L31" i="182"/>
  <c r="L29" i="182"/>
  <c r="L27" i="182"/>
  <c r="L25" i="182"/>
  <c r="L23" i="182"/>
  <c r="L21" i="182"/>
  <c r="L19" i="182"/>
  <c r="L17" i="182"/>
  <c r="L13" i="182"/>
  <c r="L11" i="182"/>
  <c r="L9" i="182"/>
  <c r="L7" i="182"/>
  <c r="F28" i="181"/>
  <c r="E28" i="181"/>
  <c r="G28" i="181" s="1"/>
  <c r="F27" i="181"/>
  <c r="E27" i="181"/>
  <c r="F25" i="181"/>
  <c r="E25" i="181"/>
  <c r="F24" i="181"/>
  <c r="E24" i="181"/>
  <c r="F23" i="181"/>
  <c r="E23" i="181"/>
  <c r="G23" i="181" s="1"/>
  <c r="G22" i="181"/>
  <c r="F22" i="181"/>
  <c r="E22" i="181"/>
  <c r="F21" i="181"/>
  <c r="E21" i="181"/>
  <c r="F20" i="181"/>
  <c r="E20" i="181"/>
  <c r="G20" i="181" s="1"/>
  <c r="F19" i="181"/>
  <c r="E19" i="181"/>
  <c r="G19" i="181" s="1"/>
  <c r="F18" i="181"/>
  <c r="G18" i="181" s="1"/>
  <c r="E18" i="181"/>
  <c r="F17" i="181"/>
  <c r="G17" i="181" s="1"/>
  <c r="E17" i="181"/>
  <c r="F16" i="181"/>
  <c r="E16" i="181"/>
  <c r="G16" i="181" s="1"/>
  <c r="F15" i="181"/>
  <c r="E15" i="181"/>
  <c r="G15" i="181" s="1"/>
  <c r="F14" i="181"/>
  <c r="E14" i="181"/>
  <c r="G14" i="181" s="1"/>
  <c r="F13" i="181"/>
  <c r="G13" i="181" s="1"/>
  <c r="E13" i="181"/>
  <c r="F12" i="181"/>
  <c r="E12" i="181"/>
  <c r="G12" i="181" s="1"/>
  <c r="F11" i="181"/>
  <c r="E11" i="181"/>
  <c r="G11" i="181" s="1"/>
  <c r="F10" i="181"/>
  <c r="G10" i="181" s="1"/>
  <c r="E10" i="181"/>
  <c r="F9" i="181"/>
  <c r="G9" i="181" s="1"/>
  <c r="E9" i="181"/>
  <c r="F8" i="181"/>
  <c r="E8" i="181"/>
  <c r="F7" i="181"/>
  <c r="E7" i="181"/>
  <c r="G7" i="181" s="1"/>
  <c r="G6" i="181"/>
  <c r="F6" i="181"/>
  <c r="E6" i="181"/>
  <c r="F5" i="181"/>
  <c r="G5" i="181" s="1"/>
  <c r="E5" i="181"/>
  <c r="F4" i="181"/>
  <c r="E4" i="181"/>
  <c r="G4" i="181" s="1"/>
  <c r="F3" i="181"/>
  <c r="E3" i="181"/>
  <c r="G27" i="181" l="1"/>
  <c r="G25" i="181"/>
  <c r="G21" i="181"/>
  <c r="G24" i="181"/>
  <c r="G8" i="181"/>
  <c r="G3" i="181"/>
  <c r="F77" i="70"/>
  <c r="F76" i="70"/>
  <c r="C763" i="78"/>
  <c r="C764" i="78"/>
  <c r="O727" i="55"/>
  <c r="P727" i="55"/>
  <c r="Q727" i="55"/>
  <c r="R727" i="55"/>
  <c r="O728" i="55"/>
  <c r="P728" i="55"/>
  <c r="Q728" i="55"/>
  <c r="R728" i="55"/>
  <c r="AD1269" i="178" l="1"/>
  <c r="AE1269" i="178"/>
  <c r="AF1269" i="178"/>
  <c r="AG1269" i="178"/>
  <c r="AH1269" i="178"/>
  <c r="AI1269" i="178"/>
  <c r="AJ1269" i="178"/>
  <c r="AK1269" i="178"/>
  <c r="AL1269" i="178"/>
  <c r="AM1269" i="178"/>
  <c r="AN1269" i="178"/>
  <c r="AO1269" i="178"/>
  <c r="T1269" i="178"/>
  <c r="U1269" i="178" s="1"/>
  <c r="W1269" i="178"/>
  <c r="Q1269" i="178"/>
  <c r="B1269" i="178"/>
  <c r="C809" i="78"/>
  <c r="O773" i="55"/>
  <c r="X1269" i="178" s="1"/>
  <c r="P773" i="55"/>
  <c r="Y1269" i="178" s="1"/>
  <c r="Q773" i="55"/>
  <c r="AA1269" i="178" s="1"/>
  <c r="R773" i="55"/>
  <c r="T1263" i="178"/>
  <c r="U1263" i="178" s="1"/>
  <c r="W1263" i="178"/>
  <c r="AD1263" i="178"/>
  <c r="AE1263" i="178"/>
  <c r="AF1263" i="178"/>
  <c r="AG1263" i="178"/>
  <c r="AH1263" i="178"/>
  <c r="AI1263" i="178"/>
  <c r="AJ1263" i="178"/>
  <c r="AK1263" i="178"/>
  <c r="AL1263" i="178"/>
  <c r="AM1263" i="178"/>
  <c r="AN1263" i="178"/>
  <c r="AO1263" i="178"/>
  <c r="Q1263" i="178"/>
  <c r="S1263" i="178" s="1"/>
  <c r="B1263" i="178"/>
  <c r="C804" i="78"/>
  <c r="O768" i="55"/>
  <c r="X1263" i="178" s="1"/>
  <c r="P768" i="55"/>
  <c r="Y1263" i="178" s="1"/>
  <c r="Q768" i="55"/>
  <c r="AA1263" i="178" s="1"/>
  <c r="R768" i="55"/>
  <c r="AD1264" i="178"/>
  <c r="AE1264" i="178"/>
  <c r="AF1264" i="178"/>
  <c r="AG1264" i="178"/>
  <c r="AH1264" i="178"/>
  <c r="AI1264" i="178"/>
  <c r="AJ1264" i="178"/>
  <c r="AK1264" i="178"/>
  <c r="AL1264" i="178"/>
  <c r="AM1264" i="178"/>
  <c r="AN1264" i="178"/>
  <c r="AO1264" i="178"/>
  <c r="T1264" i="178"/>
  <c r="U1264" i="178" s="1"/>
  <c r="W1264" i="178"/>
  <c r="Q1264" i="178"/>
  <c r="S1264" i="178" s="1"/>
  <c r="B1264" i="178"/>
  <c r="BM1269" i="178" l="1"/>
  <c r="S1269" i="178"/>
  <c r="AS1269" i="178" s="1"/>
  <c r="AB1269" i="178"/>
  <c r="BH1269" i="178"/>
  <c r="BD1269" i="178"/>
  <c r="AZ1269" i="178"/>
  <c r="AV1269" i="178"/>
  <c r="AR1269" i="178"/>
  <c r="BK1269" i="178"/>
  <c r="BG1269" i="178"/>
  <c r="BJ1269" i="178"/>
  <c r="BF1269" i="178"/>
  <c r="BB1269" i="178"/>
  <c r="AX1269" i="178"/>
  <c r="AT1269" i="178"/>
  <c r="BM1263" i="178"/>
  <c r="V1269" i="178"/>
  <c r="BG1263" i="178"/>
  <c r="AY1263" i="178"/>
  <c r="AB1263" i="178"/>
  <c r="BL1264" i="178"/>
  <c r="BD1264" i="178"/>
  <c r="AV1264" i="178"/>
  <c r="BL1263" i="178"/>
  <c r="BD1263" i="178"/>
  <c r="AV1263" i="178"/>
  <c r="BJ1264" i="178"/>
  <c r="BJ1263" i="178"/>
  <c r="BB1263" i="178"/>
  <c r="AT1263" i="178"/>
  <c r="BH1264" i="178"/>
  <c r="BH1263" i="178"/>
  <c r="AZ1263" i="178"/>
  <c r="AR1263" i="178"/>
  <c r="Z1263" i="178"/>
  <c r="BK1263" i="178"/>
  <c r="BC1263" i="178"/>
  <c r="AU1263" i="178"/>
  <c r="BN1263" i="178"/>
  <c r="BF1263" i="178"/>
  <c r="AX1263" i="178"/>
  <c r="BI1263" i="178"/>
  <c r="BE1263" i="178"/>
  <c r="BA1263" i="178"/>
  <c r="AW1263" i="178"/>
  <c r="AS1263" i="178"/>
  <c r="V1263" i="178"/>
  <c r="BB1264" i="178"/>
  <c r="AT1264" i="178"/>
  <c r="AZ1264" i="178"/>
  <c r="AR1264" i="178"/>
  <c r="BN1264" i="178"/>
  <c r="BF1264" i="178"/>
  <c r="AX1264" i="178"/>
  <c r="BG1264" i="178"/>
  <c r="AY1264" i="178"/>
  <c r="BK1264" i="178"/>
  <c r="AU1264" i="178"/>
  <c r="BM1264" i="178"/>
  <c r="BI1264" i="178"/>
  <c r="BE1264" i="178"/>
  <c r="BA1264" i="178"/>
  <c r="AW1264" i="178"/>
  <c r="AS1264" i="178"/>
  <c r="BC1264" i="178"/>
  <c r="V1264" i="178"/>
  <c r="AD347" i="178"/>
  <c r="AE347" i="178"/>
  <c r="AF347" i="178"/>
  <c r="AG347" i="178"/>
  <c r="AH347" i="178"/>
  <c r="AI347" i="178"/>
  <c r="AJ347" i="178"/>
  <c r="AK347" i="178"/>
  <c r="AL347" i="178"/>
  <c r="AM347" i="178"/>
  <c r="AN347" i="178"/>
  <c r="AO347" i="178"/>
  <c r="T347" i="178"/>
  <c r="U347" i="178" s="1"/>
  <c r="W347" i="178"/>
  <c r="B347" i="178"/>
  <c r="Q347" i="178"/>
  <c r="AW1269" i="178" l="1"/>
  <c r="BI1269" i="178"/>
  <c r="AU1269" i="178"/>
  <c r="BA1269" i="178"/>
  <c r="AY1269" i="178"/>
  <c r="Z1269" i="178"/>
  <c r="AC1269" i="178" s="1"/>
  <c r="BE1269" i="178"/>
  <c r="BN1269" i="178"/>
  <c r="BC1269" i="178"/>
  <c r="BL1269" i="178"/>
  <c r="AC1263" i="178"/>
  <c r="BK347" i="178"/>
  <c r="AR347" i="178"/>
  <c r="BJ347" i="178"/>
  <c r="BF347" i="178"/>
  <c r="BB347" i="178"/>
  <c r="AX347" i="178"/>
  <c r="AT347" i="178"/>
  <c r="BM347" i="178"/>
  <c r="S347" i="178"/>
  <c r="BH347" i="178"/>
  <c r="BD347" i="178"/>
  <c r="AZ347" i="178"/>
  <c r="AV347" i="178"/>
  <c r="V347" i="178"/>
  <c r="L62" i="179"/>
  <c r="L63" i="179" s="1"/>
  <c r="E62" i="179"/>
  <c r="D62" i="179"/>
  <c r="L60" i="179"/>
  <c r="L61" i="179" s="1"/>
  <c r="E60" i="179"/>
  <c r="D60" i="179"/>
  <c r="L58" i="179"/>
  <c r="L59" i="179" s="1"/>
  <c r="E58" i="179"/>
  <c r="D58" i="179"/>
  <c r="L56" i="179"/>
  <c r="L57" i="179" s="1"/>
  <c r="E56" i="179"/>
  <c r="D56" i="179"/>
  <c r="E54" i="179"/>
  <c r="D54" i="179"/>
  <c r="L54" i="179" s="1"/>
  <c r="L55" i="179" s="1"/>
  <c r="E52" i="179"/>
  <c r="D52" i="179"/>
  <c r="L52" i="179" s="1"/>
  <c r="L53" i="179" s="1"/>
  <c r="E50" i="179"/>
  <c r="D50" i="179"/>
  <c r="L50" i="179" s="1"/>
  <c r="L51" i="179" s="1"/>
  <c r="L48" i="179"/>
  <c r="L49" i="179" s="1"/>
  <c r="E48" i="179"/>
  <c r="D48" i="179"/>
  <c r="L45" i="179"/>
  <c r="L44" i="179"/>
  <c r="E44" i="179"/>
  <c r="D44" i="179"/>
  <c r="L42" i="179"/>
  <c r="L43" i="179" s="1"/>
  <c r="E42" i="179"/>
  <c r="D42" i="179"/>
  <c r="E36" i="179"/>
  <c r="D36" i="179"/>
  <c r="L36" i="179" s="1"/>
  <c r="L37" i="179" s="1"/>
  <c r="E34" i="179"/>
  <c r="D34" i="179"/>
  <c r="L34" i="179" s="1"/>
  <c r="L35" i="179" s="1"/>
  <c r="E32" i="179"/>
  <c r="D32" i="179"/>
  <c r="L32" i="179" s="1"/>
  <c r="L33" i="179" s="1"/>
  <c r="E30" i="179"/>
  <c r="D30" i="179"/>
  <c r="L30" i="179" s="1"/>
  <c r="L31" i="179" s="1"/>
  <c r="E28" i="179"/>
  <c r="D28" i="179"/>
  <c r="L28" i="179" s="1"/>
  <c r="L29" i="179" s="1"/>
  <c r="L26" i="179"/>
  <c r="L27" i="179" s="1"/>
  <c r="E26" i="179"/>
  <c r="D26" i="179"/>
  <c r="E24" i="179"/>
  <c r="D24" i="179"/>
  <c r="L24" i="179" s="1"/>
  <c r="L25" i="179" s="1"/>
  <c r="L22" i="179"/>
  <c r="L23" i="179" s="1"/>
  <c r="E22" i="179"/>
  <c r="D22" i="179"/>
  <c r="L21" i="179"/>
  <c r="L20" i="179"/>
  <c r="E20" i="179"/>
  <c r="D20" i="179"/>
  <c r="E18" i="179"/>
  <c r="E38" i="179" s="1"/>
  <c r="L38" i="179" s="1"/>
  <c r="L39" i="179" s="1"/>
  <c r="D18" i="179"/>
  <c r="L18" i="179" s="1"/>
  <c r="L19" i="179" s="1"/>
  <c r="L16" i="179"/>
  <c r="L17" i="179" s="1"/>
  <c r="E16" i="179"/>
  <c r="D16" i="179"/>
  <c r="L13" i="179"/>
  <c r="L12" i="179"/>
  <c r="E12" i="179"/>
  <c r="D12" i="179"/>
  <c r="L11" i="179"/>
  <c r="L10" i="179"/>
  <c r="E10" i="179"/>
  <c r="D10" i="179"/>
  <c r="E8" i="179"/>
  <c r="D8" i="179"/>
  <c r="L8" i="179" s="1"/>
  <c r="L9" i="179" s="1"/>
  <c r="L6" i="179"/>
  <c r="L7" i="179" s="1"/>
  <c r="E6" i="179"/>
  <c r="E66" i="179" s="1"/>
  <c r="D6" i="179"/>
  <c r="D66" i="179" s="1"/>
  <c r="BL347" i="178" l="1"/>
  <c r="AU347" i="178"/>
  <c r="AY347" i="178"/>
  <c r="BC347" i="178"/>
  <c r="BG347" i="178"/>
  <c r="AS347" i="178"/>
  <c r="AW347" i="178"/>
  <c r="BA347" i="178"/>
  <c r="BE347" i="178"/>
  <c r="BI347" i="178"/>
  <c r="BN347" i="178"/>
  <c r="AD1179" i="178"/>
  <c r="AE1179" i="178"/>
  <c r="AF1179" i="178"/>
  <c r="AG1179" i="178"/>
  <c r="AH1179" i="178"/>
  <c r="AI1179" i="178"/>
  <c r="AJ1179" i="178"/>
  <c r="AK1179" i="178"/>
  <c r="AL1179" i="178"/>
  <c r="AM1179" i="178"/>
  <c r="AN1179" i="178"/>
  <c r="AO1179" i="178"/>
  <c r="T1179" i="178"/>
  <c r="U1179" i="178" s="1"/>
  <c r="W1179" i="178"/>
  <c r="Q1179" i="178"/>
  <c r="B1179" i="178"/>
  <c r="AD996" i="178"/>
  <c r="AE996" i="178"/>
  <c r="AF996" i="178"/>
  <c r="AG996" i="178"/>
  <c r="AH996" i="178"/>
  <c r="AI996" i="178"/>
  <c r="AJ996" i="178"/>
  <c r="AK996" i="178"/>
  <c r="AL996" i="178"/>
  <c r="AM996" i="178"/>
  <c r="AN996" i="178"/>
  <c r="AO996" i="178"/>
  <c r="AD997" i="178"/>
  <c r="AE997" i="178"/>
  <c r="AF997" i="178"/>
  <c r="AG997" i="178"/>
  <c r="AH997" i="178"/>
  <c r="AI997" i="178"/>
  <c r="AJ997" i="178"/>
  <c r="AK997" i="178"/>
  <c r="AL997" i="178"/>
  <c r="AM997" i="178"/>
  <c r="AN997" i="178"/>
  <c r="AO997" i="178"/>
  <c r="AD998" i="178"/>
  <c r="AE998" i="178"/>
  <c r="AF998" i="178"/>
  <c r="AG998" i="178"/>
  <c r="AH998" i="178"/>
  <c r="AI998" i="178"/>
  <c r="AJ998" i="178"/>
  <c r="AK998" i="178"/>
  <c r="AL998" i="178"/>
  <c r="AM998" i="178"/>
  <c r="AN998" i="178"/>
  <c r="AO998" i="178"/>
  <c r="AD999" i="178"/>
  <c r="AE999" i="178"/>
  <c r="AF999" i="178"/>
  <c r="AG999" i="178"/>
  <c r="AH999" i="178"/>
  <c r="AI999" i="178"/>
  <c r="AJ999" i="178"/>
  <c r="AK999" i="178"/>
  <c r="AL999" i="178"/>
  <c r="AM999" i="178"/>
  <c r="AN999" i="178"/>
  <c r="AO999" i="178"/>
  <c r="T996" i="178"/>
  <c r="U996" i="178" s="1"/>
  <c r="W996" i="178"/>
  <c r="T997" i="178"/>
  <c r="U997" i="178" s="1"/>
  <c r="W997" i="178"/>
  <c r="T998" i="178"/>
  <c r="U998" i="178" s="1"/>
  <c r="W998" i="178"/>
  <c r="T999" i="178"/>
  <c r="U999" i="178" s="1"/>
  <c r="W999" i="178"/>
  <c r="Q999" i="178"/>
  <c r="Q998" i="178"/>
  <c r="Q997" i="178"/>
  <c r="Q996" i="178"/>
  <c r="B996" i="178"/>
  <c r="B997" i="178"/>
  <c r="B998" i="178"/>
  <c r="B999" i="178"/>
  <c r="AR996" i="178" l="1"/>
  <c r="BM997" i="178"/>
  <c r="AT998" i="178"/>
  <c r="AR1179" i="178"/>
  <c r="BK1179" i="178"/>
  <c r="BJ1179" i="178"/>
  <c r="BF1179" i="178"/>
  <c r="BB1179" i="178"/>
  <c r="AX1179" i="178"/>
  <c r="AT1179" i="178"/>
  <c r="BM1179" i="178"/>
  <c r="S1179" i="178"/>
  <c r="BH1179" i="178"/>
  <c r="BD1179" i="178"/>
  <c r="AZ1179" i="178"/>
  <c r="AV1179" i="178"/>
  <c r="V1179" i="178"/>
  <c r="BK999" i="178"/>
  <c r="S996" i="178"/>
  <c r="BL996" i="178" s="1"/>
  <c r="S998" i="178"/>
  <c r="BN998" i="178" s="1"/>
  <c r="BJ999" i="178"/>
  <c r="BF999" i="178"/>
  <c r="BB999" i="178"/>
  <c r="AX999" i="178"/>
  <c r="AT999" i="178"/>
  <c r="BM998" i="178"/>
  <c r="BH997" i="178"/>
  <c r="BD997" i="178"/>
  <c r="AZ997" i="178"/>
  <c r="AV997" i="178"/>
  <c r="AR997" i="178"/>
  <c r="BK996" i="178"/>
  <c r="S999" i="178"/>
  <c r="BM999" i="178"/>
  <c r="BH998" i="178"/>
  <c r="BD998" i="178"/>
  <c r="AZ998" i="178"/>
  <c r="AV998" i="178"/>
  <c r="AR998" i="178"/>
  <c r="BK997" i="178"/>
  <c r="BJ996" i="178"/>
  <c r="BF996" i="178"/>
  <c r="BB996" i="178"/>
  <c r="AX996" i="178"/>
  <c r="AT996" i="178"/>
  <c r="S997" i="178"/>
  <c r="BH999" i="178"/>
  <c r="BD999" i="178"/>
  <c r="AZ999" i="178"/>
  <c r="AV999" i="178"/>
  <c r="AR999" i="178"/>
  <c r="BK998" i="178"/>
  <c r="BJ997" i="178"/>
  <c r="BF997" i="178"/>
  <c r="BB997" i="178"/>
  <c r="AX997" i="178"/>
  <c r="AT997" i="178"/>
  <c r="BM996" i="178"/>
  <c r="BJ998" i="178"/>
  <c r="BF998" i="178"/>
  <c r="BB998" i="178"/>
  <c r="AX998" i="178"/>
  <c r="BH996" i="178"/>
  <c r="BD996" i="178"/>
  <c r="AZ996" i="178"/>
  <c r="AV996" i="178"/>
  <c r="V999" i="178"/>
  <c r="V997" i="178"/>
  <c r="V996" i="178"/>
  <c r="V998" i="178"/>
  <c r="T217" i="178"/>
  <c r="U217" i="178" s="1"/>
  <c r="W217" i="178"/>
  <c r="AD217" i="178"/>
  <c r="AE217" i="178"/>
  <c r="AF217" i="178"/>
  <c r="AG217" i="178"/>
  <c r="AH217" i="178"/>
  <c r="AI217" i="178"/>
  <c r="AJ217" i="178"/>
  <c r="AK217" i="178"/>
  <c r="AL217" i="178"/>
  <c r="AM217" i="178"/>
  <c r="AN217" i="178"/>
  <c r="AO217" i="178"/>
  <c r="T218" i="178"/>
  <c r="U218" i="178" s="1"/>
  <c r="W218" i="178"/>
  <c r="AD218" i="178"/>
  <c r="AE218" i="178"/>
  <c r="AF218" i="178"/>
  <c r="AG218" i="178"/>
  <c r="AH218" i="178"/>
  <c r="AI218" i="178"/>
  <c r="AJ218" i="178"/>
  <c r="AK218" i="178"/>
  <c r="AL218" i="178"/>
  <c r="AM218" i="178"/>
  <c r="AN218" i="178"/>
  <c r="AO218" i="178"/>
  <c r="Q218" i="178"/>
  <c r="Q217" i="178"/>
  <c r="B217" i="178"/>
  <c r="B218" i="178"/>
  <c r="O164" i="55"/>
  <c r="X218" i="178" s="1"/>
  <c r="P164" i="55"/>
  <c r="Y217" i="178" s="1"/>
  <c r="Q164" i="55"/>
  <c r="AA217" i="178" s="1"/>
  <c r="R164" i="55"/>
  <c r="C183" i="78"/>
  <c r="AD68" i="178"/>
  <c r="AE68" i="178"/>
  <c r="AF68" i="178"/>
  <c r="AG68" i="178"/>
  <c r="AH68" i="178"/>
  <c r="AI68" i="178"/>
  <c r="AJ68" i="178"/>
  <c r="AK68" i="178"/>
  <c r="AL68" i="178"/>
  <c r="AM68" i="178"/>
  <c r="AN68" i="178"/>
  <c r="AO68" i="178"/>
  <c r="AD69" i="178"/>
  <c r="AE69" i="178"/>
  <c r="AF69" i="178"/>
  <c r="AG69" i="178"/>
  <c r="AH69" i="178"/>
  <c r="AI69" i="178"/>
  <c r="AJ69" i="178"/>
  <c r="AK69" i="178"/>
  <c r="AL69" i="178"/>
  <c r="AM69" i="178"/>
  <c r="AN69" i="178"/>
  <c r="AO69" i="178"/>
  <c r="T68" i="178"/>
  <c r="U68" i="178" s="1"/>
  <c r="W68" i="178"/>
  <c r="T69" i="178"/>
  <c r="U69" i="178" s="1"/>
  <c r="W69" i="178"/>
  <c r="Q69" i="178"/>
  <c r="Q68" i="178"/>
  <c r="B68" i="178"/>
  <c r="B69" i="178"/>
  <c r="O66" i="55"/>
  <c r="X69" i="178" s="1"/>
  <c r="P66" i="55"/>
  <c r="Y69" i="178" s="1"/>
  <c r="Q66" i="55"/>
  <c r="AA69" i="178" s="1"/>
  <c r="R66" i="55"/>
  <c r="C78" i="78"/>
  <c r="T65" i="178"/>
  <c r="U65" i="178" s="1"/>
  <c r="W65" i="178"/>
  <c r="AD65" i="178"/>
  <c r="AE65" i="178"/>
  <c r="AF65" i="178"/>
  <c r="AG65" i="178"/>
  <c r="AH65" i="178"/>
  <c r="AI65" i="178"/>
  <c r="AJ65" i="178"/>
  <c r="AK65" i="178"/>
  <c r="AL65" i="178"/>
  <c r="AM65" i="178"/>
  <c r="AN65" i="178"/>
  <c r="AO65" i="178"/>
  <c r="T66" i="178"/>
  <c r="V66" i="178" s="1"/>
  <c r="W66" i="178"/>
  <c r="AD66" i="178"/>
  <c r="AE66" i="178"/>
  <c r="AF66" i="178"/>
  <c r="AG66" i="178"/>
  <c r="AH66" i="178"/>
  <c r="AI66" i="178"/>
  <c r="AJ66" i="178"/>
  <c r="AK66" i="178"/>
  <c r="AL66" i="178"/>
  <c r="AM66" i="178"/>
  <c r="AN66" i="178"/>
  <c r="AO66" i="178"/>
  <c r="Q66" i="178"/>
  <c r="S66" i="178" s="1"/>
  <c r="Q65" i="178"/>
  <c r="S65" i="178" s="1"/>
  <c r="B65" i="178"/>
  <c r="B66" i="178"/>
  <c r="O64" i="55"/>
  <c r="X65" i="178" s="1"/>
  <c r="P64" i="55"/>
  <c r="Y65" i="178" s="1"/>
  <c r="Q64" i="55"/>
  <c r="AA66" i="178" s="1"/>
  <c r="R64" i="55"/>
  <c r="C76" i="78"/>
  <c r="AD48" i="178"/>
  <c r="AE48" i="178"/>
  <c r="AF48" i="178"/>
  <c r="AG48" i="178"/>
  <c r="AH48" i="178"/>
  <c r="AI48" i="178"/>
  <c r="AJ48" i="178"/>
  <c r="AK48" i="178"/>
  <c r="AL48" i="178"/>
  <c r="AM48" i="178"/>
  <c r="AN48" i="178"/>
  <c r="AO48" i="178"/>
  <c r="T48" i="178"/>
  <c r="U48" i="178" s="1"/>
  <c r="W48" i="178"/>
  <c r="Q48" i="178"/>
  <c r="B48" i="178"/>
  <c r="C63" i="78"/>
  <c r="O52" i="55"/>
  <c r="X48" i="178" s="1"/>
  <c r="P52" i="55"/>
  <c r="Y48" i="178" s="1"/>
  <c r="Q52" i="55"/>
  <c r="AA48" i="178" s="1"/>
  <c r="R52" i="55"/>
  <c r="BE998" i="178" l="1"/>
  <c r="BN996" i="178"/>
  <c r="BI998" i="178"/>
  <c r="AW996" i="178"/>
  <c r="X217" i="178"/>
  <c r="AA218" i="178"/>
  <c r="AB218" i="178" s="1"/>
  <c r="Y218" i="178"/>
  <c r="AA68" i="178"/>
  <c r="AB68" i="178" s="1"/>
  <c r="AU998" i="178"/>
  <c r="AY998" i="178"/>
  <c r="BL998" i="178"/>
  <c r="BE996" i="178"/>
  <c r="BI996" i="178"/>
  <c r="AS996" i="178"/>
  <c r="AY996" i="178"/>
  <c r="BL1179" i="178"/>
  <c r="AS1179" i="178"/>
  <c r="AW1179" i="178"/>
  <c r="BA1179" i="178"/>
  <c r="BE1179" i="178"/>
  <c r="BI1179" i="178"/>
  <c r="BN1179" i="178"/>
  <c r="AU1179" i="178"/>
  <c r="AY1179" i="178"/>
  <c r="BC1179" i="178"/>
  <c r="BG1179" i="178"/>
  <c r="BG996" i="178"/>
  <c r="AU996" i="178"/>
  <c r="BC998" i="178"/>
  <c r="BA996" i="178"/>
  <c r="BG998" i="178"/>
  <c r="BC996" i="178"/>
  <c r="AS998" i="178"/>
  <c r="AW998" i="178"/>
  <c r="BA998" i="178"/>
  <c r="AR217" i="178"/>
  <c r="AU999" i="178"/>
  <c r="AY999" i="178"/>
  <c r="BC999" i="178"/>
  <c r="BG999" i="178"/>
  <c r="BL999" i="178"/>
  <c r="AS999" i="178"/>
  <c r="AW999" i="178"/>
  <c r="BA999" i="178"/>
  <c r="BE999" i="178"/>
  <c r="BI999" i="178"/>
  <c r="BN999" i="178"/>
  <c r="AS997" i="178"/>
  <c r="AW997" i="178"/>
  <c r="BA997" i="178"/>
  <c r="BE997" i="178"/>
  <c r="BI997" i="178"/>
  <c r="BN997" i="178"/>
  <c r="AU997" i="178"/>
  <c r="AY997" i="178"/>
  <c r="BC997" i="178"/>
  <c r="BG997" i="178"/>
  <c r="BL997" i="178"/>
  <c r="BM218" i="178"/>
  <c r="S217" i="178"/>
  <c r="BE217" i="178" s="1"/>
  <c r="BD218" i="178"/>
  <c r="S218" i="178"/>
  <c r="AS218" i="178" s="1"/>
  <c r="BH218" i="178"/>
  <c r="AZ218" i="178"/>
  <c r="AR218" i="178"/>
  <c r="AV218" i="178"/>
  <c r="BK217" i="178"/>
  <c r="AB217" i="178"/>
  <c r="BK218" i="178"/>
  <c r="BJ217" i="178"/>
  <c r="BF217" i="178"/>
  <c r="BB217" i="178"/>
  <c r="AX217" i="178"/>
  <c r="AT217" i="178"/>
  <c r="V218" i="178"/>
  <c r="BJ218" i="178"/>
  <c r="BF218" i="178"/>
  <c r="BB218" i="178"/>
  <c r="AX218" i="178"/>
  <c r="AT218" i="178"/>
  <c r="BM217" i="178"/>
  <c r="AR68" i="178"/>
  <c r="BH217" i="178"/>
  <c r="BD217" i="178"/>
  <c r="AZ217" i="178"/>
  <c r="AV217" i="178"/>
  <c r="V217" i="178"/>
  <c r="BM69" i="178"/>
  <c r="AA65" i="178"/>
  <c r="AB65" i="178" s="1"/>
  <c r="Y68" i="178"/>
  <c r="Y66" i="178"/>
  <c r="X68" i="178"/>
  <c r="AB69" i="178"/>
  <c r="AZ69" i="178"/>
  <c r="AV69" i="178"/>
  <c r="BD69" i="178"/>
  <c r="AB66" i="178"/>
  <c r="BH69" i="178"/>
  <c r="AR69" i="178"/>
  <c r="BK69" i="178"/>
  <c r="BJ68" i="178"/>
  <c r="BF68" i="178"/>
  <c r="BB68" i="178"/>
  <c r="AX68" i="178"/>
  <c r="AT68" i="178"/>
  <c r="BK68" i="178"/>
  <c r="BH66" i="178"/>
  <c r="AZ66" i="178"/>
  <c r="AR66" i="178"/>
  <c r="S68" i="178"/>
  <c r="BJ69" i="178"/>
  <c r="BF69" i="178"/>
  <c r="BB69" i="178"/>
  <c r="AX69" i="178"/>
  <c r="AT69" i="178"/>
  <c r="BM68" i="178"/>
  <c r="S69" i="178"/>
  <c r="Z69" i="178" s="1"/>
  <c r="BH68" i="178"/>
  <c r="BD68" i="178"/>
  <c r="AZ68" i="178"/>
  <c r="AV68" i="178"/>
  <c r="V69" i="178"/>
  <c r="V68" i="178"/>
  <c r="BG65" i="178"/>
  <c r="BJ65" i="178"/>
  <c r="BC65" i="178"/>
  <c r="AU65" i="178"/>
  <c r="BN65" i="178"/>
  <c r="AY65" i="178"/>
  <c r="BM66" i="178"/>
  <c r="BF66" i="178"/>
  <c r="AX66" i="178"/>
  <c r="BK65" i="178"/>
  <c r="BD65" i="178"/>
  <c r="AV65" i="178"/>
  <c r="BD66" i="178"/>
  <c r="BL66" i="178"/>
  <c r="AV66" i="178"/>
  <c r="BJ66" i="178"/>
  <c r="BB66" i="178"/>
  <c r="AT66" i="178"/>
  <c r="BH65" i="178"/>
  <c r="AZ65" i="178"/>
  <c r="AR65" i="178"/>
  <c r="AU66" i="178"/>
  <c r="BA65" i="178"/>
  <c r="AY66" i="178"/>
  <c r="AT65" i="178"/>
  <c r="AR48" i="178"/>
  <c r="BG66" i="178"/>
  <c r="AS65" i="178"/>
  <c r="BC66" i="178"/>
  <c r="BB65" i="178"/>
  <c r="Z65" i="178"/>
  <c r="X66" i="178"/>
  <c r="BN66" i="178"/>
  <c r="BM65" i="178"/>
  <c r="BI65" i="178"/>
  <c r="BE65" i="178"/>
  <c r="AW65" i="178"/>
  <c r="BK66" i="178"/>
  <c r="BF65" i="178"/>
  <c r="AX65" i="178"/>
  <c r="BI66" i="178"/>
  <c r="BE66" i="178"/>
  <c r="BA66" i="178"/>
  <c r="AW66" i="178"/>
  <c r="AS66" i="178"/>
  <c r="BL65" i="178"/>
  <c r="U66" i="178"/>
  <c r="V65" i="178"/>
  <c r="BK48" i="178"/>
  <c r="S48" i="178"/>
  <c r="BN48" i="178" s="1"/>
  <c r="BJ48" i="178"/>
  <c r="BF48" i="178"/>
  <c r="BB48" i="178"/>
  <c r="AX48" i="178"/>
  <c r="AT48" i="178"/>
  <c r="AB48" i="178"/>
  <c r="BM48" i="178"/>
  <c r="AW48" i="178"/>
  <c r="BH48" i="178"/>
  <c r="BD48" i="178"/>
  <c r="AZ48" i="178"/>
  <c r="AV48" i="178"/>
  <c r="V48" i="178"/>
  <c r="AD895" i="178"/>
  <c r="AE895" i="178"/>
  <c r="AF895" i="178"/>
  <c r="AG895" i="178"/>
  <c r="AH895" i="178"/>
  <c r="AI895" i="178"/>
  <c r="AJ895" i="178"/>
  <c r="AK895" i="178"/>
  <c r="AL895" i="178"/>
  <c r="AM895" i="178"/>
  <c r="AN895" i="178"/>
  <c r="AO895" i="178"/>
  <c r="AD359" i="178"/>
  <c r="AE359" i="178"/>
  <c r="AF359" i="178"/>
  <c r="AG359" i="178"/>
  <c r="AH359" i="178"/>
  <c r="AI359" i="178"/>
  <c r="AJ359" i="178"/>
  <c r="AK359" i="178"/>
  <c r="AL359" i="178"/>
  <c r="AM359" i="178"/>
  <c r="AN359" i="178"/>
  <c r="AO359" i="178"/>
  <c r="AD1131" i="178"/>
  <c r="AE1131" i="178"/>
  <c r="AF1131" i="178"/>
  <c r="AG1131" i="178"/>
  <c r="AH1131" i="178"/>
  <c r="AI1131" i="178"/>
  <c r="AJ1131" i="178"/>
  <c r="AK1131" i="178"/>
  <c r="AL1131" i="178"/>
  <c r="AM1131" i="178"/>
  <c r="AN1131" i="178"/>
  <c r="AO1131" i="178"/>
  <c r="AD1125" i="178"/>
  <c r="AE1125" i="178"/>
  <c r="AF1125" i="178"/>
  <c r="AG1125" i="178"/>
  <c r="AH1125" i="178"/>
  <c r="AI1125" i="178"/>
  <c r="AJ1125" i="178"/>
  <c r="AK1125" i="178"/>
  <c r="AL1125" i="178"/>
  <c r="AM1125" i="178"/>
  <c r="AN1125" i="178"/>
  <c r="AO1125" i="178"/>
  <c r="AD961" i="178"/>
  <c r="AE961" i="178"/>
  <c r="AF961" i="178"/>
  <c r="AG961" i="178"/>
  <c r="AH961" i="178"/>
  <c r="AI961" i="178"/>
  <c r="AJ961" i="178"/>
  <c r="AK961" i="178"/>
  <c r="AL961" i="178"/>
  <c r="AM961" i="178"/>
  <c r="AN961" i="178"/>
  <c r="AO961" i="178"/>
  <c r="AD1088" i="178"/>
  <c r="AE1088" i="178"/>
  <c r="AF1088" i="178"/>
  <c r="AG1088" i="178"/>
  <c r="AH1088" i="178"/>
  <c r="AI1088" i="178"/>
  <c r="AJ1088" i="178"/>
  <c r="AK1088" i="178"/>
  <c r="AL1088" i="178"/>
  <c r="AM1088" i="178"/>
  <c r="AN1088" i="178"/>
  <c r="AO1088" i="178"/>
  <c r="W895" i="178"/>
  <c r="W359" i="178"/>
  <c r="W1131" i="178"/>
  <c r="W1125" i="178"/>
  <c r="W961" i="178"/>
  <c r="W1088" i="178"/>
  <c r="T895" i="178"/>
  <c r="U895" i="178" s="1"/>
  <c r="T359" i="178"/>
  <c r="U359" i="178" s="1"/>
  <c r="T1131" i="178"/>
  <c r="U1131" i="178" s="1"/>
  <c r="T1125" i="178"/>
  <c r="U1125" i="178" s="1"/>
  <c r="T961" i="178"/>
  <c r="U961" i="178" s="1"/>
  <c r="T1088" i="178"/>
  <c r="U1088" i="178" s="1"/>
  <c r="Q895" i="178"/>
  <c r="Q359" i="178"/>
  <c r="Q1131" i="178"/>
  <c r="Q1125" i="178"/>
  <c r="Q961" i="178"/>
  <c r="Q1088" i="178"/>
  <c r="B895" i="178"/>
  <c r="B359" i="178"/>
  <c r="B1131" i="178"/>
  <c r="B1125" i="178"/>
  <c r="B961" i="178"/>
  <c r="B1088" i="178"/>
  <c r="AD936" i="178"/>
  <c r="AE936" i="178"/>
  <c r="AF936" i="178"/>
  <c r="AG936" i="178"/>
  <c r="AH936" i="178"/>
  <c r="AI936" i="178"/>
  <c r="AJ936" i="178"/>
  <c r="AK936" i="178"/>
  <c r="AL936" i="178"/>
  <c r="AM936" i="178"/>
  <c r="AN936" i="178"/>
  <c r="AO936" i="178"/>
  <c r="AD161" i="178"/>
  <c r="AE161" i="178"/>
  <c r="AF161" i="178"/>
  <c r="AG161" i="178"/>
  <c r="AH161" i="178"/>
  <c r="AI161" i="178"/>
  <c r="AJ161" i="178"/>
  <c r="AK161" i="178"/>
  <c r="AL161" i="178"/>
  <c r="AM161" i="178"/>
  <c r="AN161" i="178"/>
  <c r="AO161" i="178"/>
  <c r="AD960" i="178"/>
  <c r="AE960" i="178"/>
  <c r="AF960" i="178"/>
  <c r="AG960" i="178"/>
  <c r="AH960" i="178"/>
  <c r="AI960" i="178"/>
  <c r="AJ960" i="178"/>
  <c r="AK960" i="178"/>
  <c r="AL960" i="178"/>
  <c r="AM960" i="178"/>
  <c r="AN960" i="178"/>
  <c r="AO960" i="178"/>
  <c r="T936" i="178"/>
  <c r="U936" i="178" s="1"/>
  <c r="W936" i="178"/>
  <c r="T161" i="178"/>
  <c r="U161" i="178" s="1"/>
  <c r="W161" i="178"/>
  <c r="T960" i="178"/>
  <c r="U960" i="178" s="1"/>
  <c r="W960" i="178"/>
  <c r="Q936" i="178"/>
  <c r="Q161" i="178"/>
  <c r="Q960" i="178"/>
  <c r="B936" i="178"/>
  <c r="B161" i="178"/>
  <c r="B960" i="178"/>
  <c r="W710" i="178"/>
  <c r="AD710" i="178"/>
  <c r="AE710" i="178"/>
  <c r="AF710" i="178"/>
  <c r="AG710" i="178"/>
  <c r="AH710" i="178"/>
  <c r="AI710" i="178"/>
  <c r="AJ710" i="178"/>
  <c r="AK710" i="178"/>
  <c r="AL710" i="178"/>
  <c r="AM710" i="178"/>
  <c r="AN710" i="178"/>
  <c r="AO710" i="178"/>
  <c r="W796" i="178"/>
  <c r="AD796" i="178"/>
  <c r="AE796" i="178"/>
  <c r="AF796" i="178"/>
  <c r="AG796" i="178"/>
  <c r="AH796" i="178"/>
  <c r="AI796" i="178"/>
  <c r="AJ796" i="178"/>
  <c r="AK796" i="178"/>
  <c r="AL796" i="178"/>
  <c r="AM796" i="178"/>
  <c r="AN796" i="178"/>
  <c r="AO796" i="178"/>
  <c r="T710" i="178"/>
  <c r="U710" i="178" s="1"/>
  <c r="T796" i="178"/>
  <c r="U796" i="178" s="1"/>
  <c r="Q710" i="178"/>
  <c r="Q796" i="178"/>
  <c r="B710" i="178"/>
  <c r="B796" i="178"/>
  <c r="T365" i="178"/>
  <c r="U365" i="178" s="1"/>
  <c r="W365" i="178"/>
  <c r="AD365" i="178"/>
  <c r="AE365" i="178"/>
  <c r="AF365" i="178"/>
  <c r="AG365" i="178"/>
  <c r="AH365" i="178"/>
  <c r="AI365" i="178"/>
  <c r="AJ365" i="178"/>
  <c r="AK365" i="178"/>
  <c r="AL365" i="178"/>
  <c r="AM365" i="178"/>
  <c r="AN365" i="178"/>
  <c r="AO365" i="178"/>
  <c r="T702" i="178"/>
  <c r="U702" i="178" s="1"/>
  <c r="W702" i="178"/>
  <c r="AD702" i="178"/>
  <c r="AE702" i="178"/>
  <c r="AF702" i="178"/>
  <c r="AG702" i="178"/>
  <c r="AH702" i="178"/>
  <c r="AI702" i="178"/>
  <c r="AJ702" i="178"/>
  <c r="AK702" i="178"/>
  <c r="AL702" i="178"/>
  <c r="AM702" i="178"/>
  <c r="AN702" i="178"/>
  <c r="AO702" i="178"/>
  <c r="T939" i="178"/>
  <c r="U939" i="178" s="1"/>
  <c r="W939" i="178"/>
  <c r="AD939" i="178"/>
  <c r="AE939" i="178"/>
  <c r="AF939" i="178"/>
  <c r="AG939" i="178"/>
  <c r="AH939" i="178"/>
  <c r="AI939" i="178"/>
  <c r="AJ939" i="178"/>
  <c r="AK939" i="178"/>
  <c r="AL939" i="178"/>
  <c r="AM939" i="178"/>
  <c r="AN939" i="178"/>
  <c r="AO939" i="178"/>
  <c r="Q365" i="178"/>
  <c r="Q702" i="178"/>
  <c r="Q939" i="178"/>
  <c r="B365" i="178"/>
  <c r="B702" i="178"/>
  <c r="B939" i="178"/>
  <c r="T934" i="178"/>
  <c r="U934" i="178" s="1"/>
  <c r="W934" i="178"/>
  <c r="AD934" i="178"/>
  <c r="AE934" i="178"/>
  <c r="AF934" i="178"/>
  <c r="AG934" i="178"/>
  <c r="AH934" i="178"/>
  <c r="AI934" i="178"/>
  <c r="AJ934" i="178"/>
  <c r="AK934" i="178"/>
  <c r="AL934" i="178"/>
  <c r="AM934" i="178"/>
  <c r="AN934" i="178"/>
  <c r="AO934" i="178"/>
  <c r="T357" i="178"/>
  <c r="U357" i="178" s="1"/>
  <c r="W357" i="178"/>
  <c r="AD357" i="178"/>
  <c r="AE357" i="178"/>
  <c r="AF357" i="178"/>
  <c r="AG357" i="178"/>
  <c r="AH357" i="178"/>
  <c r="AI357" i="178"/>
  <c r="AJ357" i="178"/>
  <c r="AK357" i="178"/>
  <c r="AL357" i="178"/>
  <c r="AM357" i="178"/>
  <c r="AN357" i="178"/>
  <c r="AO357" i="178"/>
  <c r="T799" i="178"/>
  <c r="U799" i="178" s="1"/>
  <c r="W799" i="178"/>
  <c r="AD799" i="178"/>
  <c r="AE799" i="178"/>
  <c r="AF799" i="178"/>
  <c r="AG799" i="178"/>
  <c r="AH799" i="178"/>
  <c r="AI799" i="178"/>
  <c r="AJ799" i="178"/>
  <c r="AK799" i="178"/>
  <c r="AL799" i="178"/>
  <c r="AM799" i="178"/>
  <c r="AN799" i="178"/>
  <c r="AO799" i="178"/>
  <c r="T798" i="178"/>
  <c r="U798" i="178" s="1"/>
  <c r="W798" i="178"/>
  <c r="AD798" i="178"/>
  <c r="AE798" i="178"/>
  <c r="AF798" i="178"/>
  <c r="AG798" i="178"/>
  <c r="AH798" i="178"/>
  <c r="AI798" i="178"/>
  <c r="AJ798" i="178"/>
  <c r="AK798" i="178"/>
  <c r="AL798" i="178"/>
  <c r="AM798" i="178"/>
  <c r="AN798" i="178"/>
  <c r="AO798" i="178"/>
  <c r="T797" i="178"/>
  <c r="U797" i="178" s="1"/>
  <c r="W797" i="178"/>
  <c r="AD797" i="178"/>
  <c r="AE797" i="178"/>
  <c r="AF797" i="178"/>
  <c r="AG797" i="178"/>
  <c r="AH797" i="178"/>
  <c r="AI797" i="178"/>
  <c r="AJ797" i="178"/>
  <c r="AK797" i="178"/>
  <c r="AL797" i="178"/>
  <c r="AM797" i="178"/>
  <c r="AN797" i="178"/>
  <c r="AO797" i="178"/>
  <c r="T937" i="178"/>
  <c r="V937" i="178" s="1"/>
  <c r="W937" i="178"/>
  <c r="AD937" i="178"/>
  <c r="AE937" i="178"/>
  <c r="AF937" i="178"/>
  <c r="AG937" i="178"/>
  <c r="AH937" i="178"/>
  <c r="AI937" i="178"/>
  <c r="AJ937" i="178"/>
  <c r="AK937" i="178"/>
  <c r="AL937" i="178"/>
  <c r="AM937" i="178"/>
  <c r="AN937" i="178"/>
  <c r="AO937" i="178"/>
  <c r="Q934" i="178"/>
  <c r="Q357" i="178"/>
  <c r="Q799" i="178"/>
  <c r="Q798" i="178"/>
  <c r="Q797" i="178"/>
  <c r="Q937" i="178"/>
  <c r="B934" i="178"/>
  <c r="B357" i="178"/>
  <c r="B799" i="178"/>
  <c r="B798" i="178"/>
  <c r="B797" i="178"/>
  <c r="B937" i="178"/>
  <c r="BM796" i="178" l="1"/>
  <c r="BI218" i="178"/>
  <c r="AS217" i="178"/>
  <c r="BI217" i="178"/>
  <c r="AW217" i="178"/>
  <c r="BN217" i="178"/>
  <c r="Z217" i="178"/>
  <c r="AC217" i="178" s="1"/>
  <c r="BA217" i="178"/>
  <c r="BN218" i="178"/>
  <c r="AU218" i="178"/>
  <c r="BE218" i="178"/>
  <c r="AY218" i="178"/>
  <c r="AC69" i="178"/>
  <c r="AW218" i="178"/>
  <c r="BC218" i="178"/>
  <c r="BL218" i="178"/>
  <c r="BA218" i="178"/>
  <c r="Z218" i="178"/>
  <c r="AC218" i="178" s="1"/>
  <c r="BG218" i="178"/>
  <c r="BL217" i="178"/>
  <c r="AU217" i="178"/>
  <c r="AY217" i="178"/>
  <c r="BG217" i="178"/>
  <c r="BC217" i="178"/>
  <c r="Z66" i="178"/>
  <c r="AC66" i="178" s="1"/>
  <c r="AC65" i="178"/>
  <c r="AS69" i="178"/>
  <c r="AW69" i="178"/>
  <c r="BA69" i="178"/>
  <c r="BE69" i="178"/>
  <c r="BI69" i="178"/>
  <c r="BN69" i="178"/>
  <c r="BL69" i="178"/>
  <c r="AU69" i="178"/>
  <c r="AY69" i="178"/>
  <c r="BC69" i="178"/>
  <c r="BG69" i="178"/>
  <c r="BL68" i="178"/>
  <c r="AS68" i="178"/>
  <c r="AW68" i="178"/>
  <c r="BA68" i="178"/>
  <c r="BE68" i="178"/>
  <c r="BI68" i="178"/>
  <c r="AU68" i="178"/>
  <c r="AY68" i="178"/>
  <c r="BC68" i="178"/>
  <c r="BG68" i="178"/>
  <c r="BN68" i="178"/>
  <c r="Z68" i="178"/>
  <c r="AC68" i="178" s="1"/>
  <c r="BA48" i="178"/>
  <c r="BC48" i="178"/>
  <c r="BE48" i="178"/>
  <c r="Z48" i="178"/>
  <c r="AC48" i="178" s="1"/>
  <c r="AS48" i="178"/>
  <c r="BI48" i="178"/>
  <c r="BL48" i="178"/>
  <c r="AY48" i="178"/>
  <c r="BG48" i="178"/>
  <c r="AU48" i="178"/>
  <c r="BM1131" i="178"/>
  <c r="BM359" i="178"/>
  <c r="AT799" i="178"/>
  <c r="AR961" i="178"/>
  <c r="AR895" i="178"/>
  <c r="AX1125" i="178"/>
  <c r="BK1125" i="178"/>
  <c r="S1125" i="178"/>
  <c r="AU1125" i="178" s="1"/>
  <c r="BK961" i="178"/>
  <c r="BJ1125" i="178"/>
  <c r="BB1125" i="178"/>
  <c r="AT1125" i="178"/>
  <c r="BK895" i="178"/>
  <c r="AT1131" i="178"/>
  <c r="S1131" i="178"/>
  <c r="BI1131" i="178" s="1"/>
  <c r="V1131" i="178"/>
  <c r="BM1088" i="178"/>
  <c r="BF1125" i="178"/>
  <c r="BH1088" i="178"/>
  <c r="BD1088" i="178"/>
  <c r="AZ1088" i="178"/>
  <c r="AV1088" i="178"/>
  <c r="AR1088" i="178"/>
  <c r="BH359" i="178"/>
  <c r="BD359" i="178"/>
  <c r="AZ359" i="178"/>
  <c r="AV359" i="178"/>
  <c r="AR359" i="178"/>
  <c r="BK1088" i="178"/>
  <c r="BJ961" i="178"/>
  <c r="BF961" i="178"/>
  <c r="BB961" i="178"/>
  <c r="AX961" i="178"/>
  <c r="AT961" i="178"/>
  <c r="BM1125" i="178"/>
  <c r="AW1125" i="178"/>
  <c r="BH1131" i="178"/>
  <c r="BD1131" i="178"/>
  <c r="AZ1131" i="178"/>
  <c r="AV1131" i="178"/>
  <c r="AR1131" i="178"/>
  <c r="BK359" i="178"/>
  <c r="BJ895" i="178"/>
  <c r="BF895" i="178"/>
  <c r="BB895" i="178"/>
  <c r="AX895" i="178"/>
  <c r="AT895" i="178"/>
  <c r="BM161" i="178"/>
  <c r="S1088" i="178"/>
  <c r="S359" i="178"/>
  <c r="V1125" i="178"/>
  <c r="BJ1088" i="178"/>
  <c r="BF1088" i="178"/>
  <c r="BB1088" i="178"/>
  <c r="AX1088" i="178"/>
  <c r="AT1088" i="178"/>
  <c r="BM961" i="178"/>
  <c r="BH1125" i="178"/>
  <c r="BD1125" i="178"/>
  <c r="AZ1125" i="178"/>
  <c r="AV1125" i="178"/>
  <c r="AR1125" i="178"/>
  <c r="BK1131" i="178"/>
  <c r="BJ359" i="178"/>
  <c r="BF359" i="178"/>
  <c r="BB359" i="178"/>
  <c r="AX359" i="178"/>
  <c r="AT359" i="178"/>
  <c r="BM895" i="178"/>
  <c r="S961" i="178"/>
  <c r="S895" i="178"/>
  <c r="BH961" i="178"/>
  <c r="BD961" i="178"/>
  <c r="AZ961" i="178"/>
  <c r="AV961" i="178"/>
  <c r="BJ1131" i="178"/>
  <c r="BF1131" i="178"/>
  <c r="BB1131" i="178"/>
  <c r="AX1131" i="178"/>
  <c r="BH895" i="178"/>
  <c r="BD895" i="178"/>
  <c r="AZ895" i="178"/>
  <c r="AV895" i="178"/>
  <c r="V895" i="178"/>
  <c r="V961" i="178"/>
  <c r="V1088" i="178"/>
  <c r="V359" i="178"/>
  <c r="AR936" i="178"/>
  <c r="BM960" i="178"/>
  <c r="BK936" i="178"/>
  <c r="BH960" i="178"/>
  <c r="BD960" i="178"/>
  <c r="AZ960" i="178"/>
  <c r="AV960" i="178"/>
  <c r="AR960" i="178"/>
  <c r="BH161" i="178"/>
  <c r="BD161" i="178"/>
  <c r="AZ161" i="178"/>
  <c r="AV161" i="178"/>
  <c r="AR161" i="178"/>
  <c r="BK960" i="178"/>
  <c r="BK161" i="178"/>
  <c r="BJ936" i="178"/>
  <c r="BF936" i="178"/>
  <c r="BB936" i="178"/>
  <c r="AX936" i="178"/>
  <c r="AT936" i="178"/>
  <c r="S960" i="178"/>
  <c r="S161" i="178"/>
  <c r="BJ960" i="178"/>
  <c r="BF960" i="178"/>
  <c r="BB960" i="178"/>
  <c r="AX960" i="178"/>
  <c r="AT960" i="178"/>
  <c r="BJ161" i="178"/>
  <c r="BF161" i="178"/>
  <c r="BB161" i="178"/>
  <c r="AX161" i="178"/>
  <c r="AT161" i="178"/>
  <c r="BM936" i="178"/>
  <c r="S936" i="178"/>
  <c r="BH936" i="178"/>
  <c r="BD936" i="178"/>
  <c r="AZ936" i="178"/>
  <c r="AV936" i="178"/>
  <c r="V960" i="178"/>
  <c r="V161" i="178"/>
  <c r="V936" i="178"/>
  <c r="BD796" i="178"/>
  <c r="AZ796" i="178"/>
  <c r="AR710" i="178"/>
  <c r="AV796" i="178"/>
  <c r="BH796" i="178"/>
  <c r="AR796" i="178"/>
  <c r="BK710" i="178"/>
  <c r="S796" i="178"/>
  <c r="BK796" i="178"/>
  <c r="BJ710" i="178"/>
  <c r="BF710" i="178"/>
  <c r="BB710" i="178"/>
  <c r="AX710" i="178"/>
  <c r="AT710" i="178"/>
  <c r="S710" i="178"/>
  <c r="BJ796" i="178"/>
  <c r="BF796" i="178"/>
  <c r="BB796" i="178"/>
  <c r="AX796" i="178"/>
  <c r="AT796" i="178"/>
  <c r="BM710" i="178"/>
  <c r="V710" i="178"/>
  <c r="BH710" i="178"/>
  <c r="BD710" i="178"/>
  <c r="AZ710" i="178"/>
  <c r="AV710" i="178"/>
  <c r="V796" i="178"/>
  <c r="BM702" i="178"/>
  <c r="AR939" i="178"/>
  <c r="AR365" i="178"/>
  <c r="BH702" i="178"/>
  <c r="AZ702" i="178"/>
  <c r="AR702" i="178"/>
  <c r="S365" i="178"/>
  <c r="BL365" i="178" s="1"/>
  <c r="BD702" i="178"/>
  <c r="S939" i="178"/>
  <c r="BL939" i="178" s="1"/>
  <c r="BK939" i="178"/>
  <c r="AV702" i="178"/>
  <c r="S702" i="178"/>
  <c r="BK365" i="178"/>
  <c r="BK798" i="178"/>
  <c r="BJ939" i="178"/>
  <c r="BF939" i="178"/>
  <c r="BB939" i="178"/>
  <c r="AX939" i="178"/>
  <c r="AT939" i="178"/>
  <c r="BK702" i="178"/>
  <c r="BJ365" i="178"/>
  <c r="BF365" i="178"/>
  <c r="BB365" i="178"/>
  <c r="AX365" i="178"/>
  <c r="AT365" i="178"/>
  <c r="V702" i="178"/>
  <c r="BM939" i="178"/>
  <c r="BJ702" i="178"/>
  <c r="BF702" i="178"/>
  <c r="BB702" i="178"/>
  <c r="AX702" i="178"/>
  <c r="AT702" i="178"/>
  <c r="BM365" i="178"/>
  <c r="AZ937" i="178"/>
  <c r="BH939" i="178"/>
  <c r="BD939" i="178"/>
  <c r="AZ939" i="178"/>
  <c r="AV939" i="178"/>
  <c r="BH365" i="178"/>
  <c r="BD365" i="178"/>
  <c r="AZ365" i="178"/>
  <c r="AV365" i="178"/>
  <c r="V939" i="178"/>
  <c r="V365" i="178"/>
  <c r="BM357" i="178"/>
  <c r="BH937" i="178"/>
  <c r="AR797" i="178"/>
  <c r="AR934" i="178"/>
  <c r="BD357" i="178"/>
  <c r="S799" i="178"/>
  <c r="BN799" i="178" s="1"/>
  <c r="AX798" i="178"/>
  <c r="AZ357" i="178"/>
  <c r="S798" i="178"/>
  <c r="BE798" i="178" s="1"/>
  <c r="BM937" i="178"/>
  <c r="BJ798" i="178"/>
  <c r="BB798" i="178"/>
  <c r="AT798" i="178"/>
  <c r="AR937" i="178"/>
  <c r="BM799" i="178"/>
  <c r="AV357" i="178"/>
  <c r="BF798" i="178"/>
  <c r="BD937" i="178"/>
  <c r="AV937" i="178"/>
  <c r="BH357" i="178"/>
  <c r="AR357" i="178"/>
  <c r="S937" i="178"/>
  <c r="S357" i="178"/>
  <c r="BK937" i="178"/>
  <c r="BJ797" i="178"/>
  <c r="BF797" i="178"/>
  <c r="BB797" i="178"/>
  <c r="AX797" i="178"/>
  <c r="AT797" i="178"/>
  <c r="BM798" i="178"/>
  <c r="BH799" i="178"/>
  <c r="BD799" i="178"/>
  <c r="AZ799" i="178"/>
  <c r="AV799" i="178"/>
  <c r="AR799" i="178"/>
  <c r="BK357" i="178"/>
  <c r="BJ934" i="178"/>
  <c r="BF934" i="178"/>
  <c r="BB934" i="178"/>
  <c r="AX934" i="178"/>
  <c r="AT934" i="178"/>
  <c r="BK797" i="178"/>
  <c r="BK934" i="178"/>
  <c r="S797" i="178"/>
  <c r="S934" i="178"/>
  <c r="V798" i="178"/>
  <c r="V357" i="178"/>
  <c r="BJ937" i="178"/>
  <c r="BF937" i="178"/>
  <c r="BB937" i="178"/>
  <c r="AX937" i="178"/>
  <c r="AT937" i="178"/>
  <c r="BM797" i="178"/>
  <c r="BH798" i="178"/>
  <c r="BD798" i="178"/>
  <c r="AZ798" i="178"/>
  <c r="AV798" i="178"/>
  <c r="AR798" i="178"/>
  <c r="BK799" i="178"/>
  <c r="BJ357" i="178"/>
  <c r="BF357" i="178"/>
  <c r="BB357" i="178"/>
  <c r="AX357" i="178"/>
  <c r="AT357" i="178"/>
  <c r="BM934" i="178"/>
  <c r="U937" i="178"/>
  <c r="BH797" i="178"/>
  <c r="BD797" i="178"/>
  <c r="AZ797" i="178"/>
  <c r="AV797" i="178"/>
  <c r="BJ799" i="178"/>
  <c r="BF799" i="178"/>
  <c r="BB799" i="178"/>
  <c r="AX799" i="178"/>
  <c r="BH934" i="178"/>
  <c r="BD934" i="178"/>
  <c r="AZ934" i="178"/>
  <c r="AV934" i="178"/>
  <c r="V797" i="178"/>
  <c r="V799" i="178"/>
  <c r="V934" i="178"/>
  <c r="AD795" i="178"/>
  <c r="AE795" i="178"/>
  <c r="AF795" i="178"/>
  <c r="AG795" i="178"/>
  <c r="AH795" i="178"/>
  <c r="AI795" i="178"/>
  <c r="AJ795" i="178"/>
  <c r="AK795" i="178"/>
  <c r="AL795" i="178"/>
  <c r="AM795" i="178"/>
  <c r="AN795" i="178"/>
  <c r="AO795" i="178"/>
  <c r="AD933" i="178"/>
  <c r="AE933" i="178"/>
  <c r="AF933" i="178"/>
  <c r="AG933" i="178"/>
  <c r="AH933" i="178"/>
  <c r="AI933" i="178"/>
  <c r="AJ933" i="178"/>
  <c r="AK933" i="178"/>
  <c r="AL933" i="178"/>
  <c r="AM933" i="178"/>
  <c r="AN933" i="178"/>
  <c r="AO933" i="178"/>
  <c r="AD719" i="178"/>
  <c r="AE719" i="178"/>
  <c r="AF719" i="178"/>
  <c r="AG719" i="178"/>
  <c r="AH719" i="178"/>
  <c r="AI719" i="178"/>
  <c r="AJ719" i="178"/>
  <c r="AK719" i="178"/>
  <c r="AL719" i="178"/>
  <c r="AM719" i="178"/>
  <c r="AN719" i="178"/>
  <c r="AO719" i="178"/>
  <c r="AD713" i="178"/>
  <c r="AE713" i="178"/>
  <c r="AF713" i="178"/>
  <c r="AG713" i="178"/>
  <c r="AH713" i="178"/>
  <c r="AI713" i="178"/>
  <c r="AJ713" i="178"/>
  <c r="AK713" i="178"/>
  <c r="AL713" i="178"/>
  <c r="AM713" i="178"/>
  <c r="AN713" i="178"/>
  <c r="AO713" i="178"/>
  <c r="AD712" i="178"/>
  <c r="AE712" i="178"/>
  <c r="AF712" i="178"/>
  <c r="AG712" i="178"/>
  <c r="AH712" i="178"/>
  <c r="AI712" i="178"/>
  <c r="AJ712" i="178"/>
  <c r="AK712" i="178"/>
  <c r="AL712" i="178"/>
  <c r="AM712" i="178"/>
  <c r="AN712" i="178"/>
  <c r="AO712" i="178"/>
  <c r="AD720" i="178"/>
  <c r="AE720" i="178"/>
  <c r="AF720" i="178"/>
  <c r="AG720" i="178"/>
  <c r="AH720" i="178"/>
  <c r="AI720" i="178"/>
  <c r="AJ720" i="178"/>
  <c r="AK720" i="178"/>
  <c r="AL720" i="178"/>
  <c r="AM720" i="178"/>
  <c r="AN720" i="178"/>
  <c r="AO720" i="178"/>
  <c r="W795" i="178"/>
  <c r="W933" i="178"/>
  <c r="W719" i="178"/>
  <c r="W713" i="178"/>
  <c r="W712" i="178"/>
  <c r="W720" i="178"/>
  <c r="T795" i="178"/>
  <c r="U795" i="178" s="1"/>
  <c r="T933" i="178"/>
  <c r="V933" i="178" s="1"/>
  <c r="T719" i="178"/>
  <c r="V719" i="178" s="1"/>
  <c r="T713" i="178"/>
  <c r="V713" i="178" s="1"/>
  <c r="T712" i="178"/>
  <c r="V712" i="178" s="1"/>
  <c r="T720" i="178"/>
  <c r="U720" i="178" s="1"/>
  <c r="Q720" i="178"/>
  <c r="Q712" i="178"/>
  <c r="Q713" i="178"/>
  <c r="Q719" i="178"/>
  <c r="Q933" i="178"/>
  <c r="Q795" i="178"/>
  <c r="B795" i="178"/>
  <c r="B933" i="178"/>
  <c r="B719" i="178"/>
  <c r="B713" i="178"/>
  <c r="B712" i="178"/>
  <c r="B720" i="178"/>
  <c r="BL1125" i="178" l="1"/>
  <c r="BI799" i="178"/>
  <c r="AT719" i="178"/>
  <c r="AY1125" i="178"/>
  <c r="BA1125" i="178"/>
  <c r="BN1125" i="178"/>
  <c r="BC1125" i="178"/>
  <c r="BE1125" i="178"/>
  <c r="BG1125" i="178"/>
  <c r="AS1125" i="178"/>
  <c r="BI1125" i="178"/>
  <c r="AY1131" i="178"/>
  <c r="BC1131" i="178"/>
  <c r="BL1131" i="178"/>
  <c r="BN1131" i="178"/>
  <c r="AW1131" i="178"/>
  <c r="BE1131" i="178"/>
  <c r="BA1131" i="178"/>
  <c r="BG1131" i="178"/>
  <c r="AU1131" i="178"/>
  <c r="AS1131" i="178"/>
  <c r="BL961" i="178"/>
  <c r="AS961" i="178"/>
  <c r="AW961" i="178"/>
  <c r="BA961" i="178"/>
  <c r="BE961" i="178"/>
  <c r="BI961" i="178"/>
  <c r="BN961" i="178"/>
  <c r="AU961" i="178"/>
  <c r="AY961" i="178"/>
  <c r="BC961" i="178"/>
  <c r="BG961" i="178"/>
  <c r="AS359" i="178"/>
  <c r="AW359" i="178"/>
  <c r="BA359" i="178"/>
  <c r="BE359" i="178"/>
  <c r="BI359" i="178"/>
  <c r="BN359" i="178"/>
  <c r="AU359" i="178"/>
  <c r="AY359" i="178"/>
  <c r="BC359" i="178"/>
  <c r="BG359" i="178"/>
  <c r="BL359" i="178"/>
  <c r="AS1088" i="178"/>
  <c r="AW1088" i="178"/>
  <c r="BA1088" i="178"/>
  <c r="BE1088" i="178"/>
  <c r="BI1088" i="178"/>
  <c r="BN1088" i="178"/>
  <c r="AU1088" i="178"/>
  <c r="AY1088" i="178"/>
  <c r="BC1088" i="178"/>
  <c r="BG1088" i="178"/>
  <c r="BL1088" i="178"/>
  <c r="BL895" i="178"/>
  <c r="AS895" i="178"/>
  <c r="AW895" i="178"/>
  <c r="BA895" i="178"/>
  <c r="BE895" i="178"/>
  <c r="BI895" i="178"/>
  <c r="BN895" i="178"/>
  <c r="AU895" i="178"/>
  <c r="AY895" i="178"/>
  <c r="BC895" i="178"/>
  <c r="BG895" i="178"/>
  <c r="AS161" i="178"/>
  <c r="AW161" i="178"/>
  <c r="BA161" i="178"/>
  <c r="BE161" i="178"/>
  <c r="BI161" i="178"/>
  <c r="BN161" i="178"/>
  <c r="AU161" i="178"/>
  <c r="AY161" i="178"/>
  <c r="BC161" i="178"/>
  <c r="BG161" i="178"/>
  <c r="BL161" i="178"/>
  <c r="BL936" i="178"/>
  <c r="AS936" i="178"/>
  <c r="AW936" i="178"/>
  <c r="BA936" i="178"/>
  <c r="BE936" i="178"/>
  <c r="BI936" i="178"/>
  <c r="BN936" i="178"/>
  <c r="AU936" i="178"/>
  <c r="AY936" i="178"/>
  <c r="BC936" i="178"/>
  <c r="BG936" i="178"/>
  <c r="AS960" i="178"/>
  <c r="AW960" i="178"/>
  <c r="BA960" i="178"/>
  <c r="BE960" i="178"/>
  <c r="BI960" i="178"/>
  <c r="BN960" i="178"/>
  <c r="AU960" i="178"/>
  <c r="AY960" i="178"/>
  <c r="BC960" i="178"/>
  <c r="BG960" i="178"/>
  <c r="BL960" i="178"/>
  <c r="AY702" i="178"/>
  <c r="AU365" i="178"/>
  <c r="BA702" i="178"/>
  <c r="BA365" i="178"/>
  <c r="BL710" i="178"/>
  <c r="AS710" i="178"/>
  <c r="AW710" i="178"/>
  <c r="BA710" i="178"/>
  <c r="BE710" i="178"/>
  <c r="BI710" i="178"/>
  <c r="BN710" i="178"/>
  <c r="AU710" i="178"/>
  <c r="AY710" i="178"/>
  <c r="BC710" i="178"/>
  <c r="BG710" i="178"/>
  <c r="AS939" i="178"/>
  <c r="AS796" i="178"/>
  <c r="AW796" i="178"/>
  <c r="BA796" i="178"/>
  <c r="BE796" i="178"/>
  <c r="BI796" i="178"/>
  <c r="BN796" i="178"/>
  <c r="AU796" i="178"/>
  <c r="AY796" i="178"/>
  <c r="BC796" i="178"/>
  <c r="BG796" i="178"/>
  <c r="BL796" i="178"/>
  <c r="AW939" i="178"/>
  <c r="BL798" i="178"/>
  <c r="BG799" i="178"/>
  <c r="BC939" i="178"/>
  <c r="BE799" i="178"/>
  <c r="BI939" i="178"/>
  <c r="BG939" i="178"/>
  <c r="BE702" i="178"/>
  <c r="BE365" i="178"/>
  <c r="BN702" i="178"/>
  <c r="BC702" i="178"/>
  <c r="AY365" i="178"/>
  <c r="BI702" i="178"/>
  <c r="AS365" i="178"/>
  <c r="BI365" i="178"/>
  <c r="BN365" i="178"/>
  <c r="BG702" i="178"/>
  <c r="BC365" i="178"/>
  <c r="BC799" i="178"/>
  <c r="AW702" i="178"/>
  <c r="AW365" i="178"/>
  <c r="AU702" i="178"/>
  <c r="BN939" i="178"/>
  <c r="BG365" i="178"/>
  <c r="BA939" i="178"/>
  <c r="AU939" i="178"/>
  <c r="BE939" i="178"/>
  <c r="AY939" i="178"/>
  <c r="AS702" i="178"/>
  <c r="BL702" i="178"/>
  <c r="AU799" i="178"/>
  <c r="AS799" i="178"/>
  <c r="AY799" i="178"/>
  <c r="BA799" i="178"/>
  <c r="BL799" i="178"/>
  <c r="AW799" i="178"/>
  <c r="AU798" i="178"/>
  <c r="BN798" i="178"/>
  <c r="AY798" i="178"/>
  <c r="AS798" i="178"/>
  <c r="BI798" i="178"/>
  <c r="BC798" i="178"/>
  <c r="AW798" i="178"/>
  <c r="BK713" i="178"/>
  <c r="BG798" i="178"/>
  <c r="BA798" i="178"/>
  <c r="BL934" i="178"/>
  <c r="AS934" i="178"/>
  <c r="AW934" i="178"/>
  <c r="BA934" i="178"/>
  <c r="BE934" i="178"/>
  <c r="BI934" i="178"/>
  <c r="AU934" i="178"/>
  <c r="AY934" i="178"/>
  <c r="BC934" i="178"/>
  <c r="BG934" i="178"/>
  <c r="BN934" i="178"/>
  <c r="BL797" i="178"/>
  <c r="AS797" i="178"/>
  <c r="AW797" i="178"/>
  <c r="BA797" i="178"/>
  <c r="BE797" i="178"/>
  <c r="BI797" i="178"/>
  <c r="AU797" i="178"/>
  <c r="AY797" i="178"/>
  <c r="BC797" i="178"/>
  <c r="BG797" i="178"/>
  <c r="BN797" i="178"/>
  <c r="AS357" i="178"/>
  <c r="AW357" i="178"/>
  <c r="BA357" i="178"/>
  <c r="BE357" i="178"/>
  <c r="BI357" i="178"/>
  <c r="BN357" i="178"/>
  <c r="BL357" i="178"/>
  <c r="AU357" i="178"/>
  <c r="AY357" i="178"/>
  <c r="BC357" i="178"/>
  <c r="BG357" i="178"/>
  <c r="AR795" i="178"/>
  <c r="AR712" i="178"/>
  <c r="AS937" i="178"/>
  <c r="AW937" i="178"/>
  <c r="BA937" i="178"/>
  <c r="BE937" i="178"/>
  <c r="BI937" i="178"/>
  <c r="BN937" i="178"/>
  <c r="BL937" i="178"/>
  <c r="AU937" i="178"/>
  <c r="AY937" i="178"/>
  <c r="BC937" i="178"/>
  <c r="BG937" i="178"/>
  <c r="BM933" i="178"/>
  <c r="BM720" i="178"/>
  <c r="S712" i="178"/>
  <c r="BL712" i="178" s="1"/>
  <c r="U933" i="178"/>
  <c r="S719" i="178"/>
  <c r="BN719" i="178" s="1"/>
  <c r="S795" i="178"/>
  <c r="BL795" i="178" s="1"/>
  <c r="V720" i="178"/>
  <c r="U719" i="178"/>
  <c r="S720" i="178"/>
  <c r="S933" i="178"/>
  <c r="BH720" i="178"/>
  <c r="BD720" i="178"/>
  <c r="AZ720" i="178"/>
  <c r="AV720" i="178"/>
  <c r="AR720" i="178"/>
  <c r="BK712" i="178"/>
  <c r="BJ713" i="178"/>
  <c r="BF713" i="178"/>
  <c r="BB713" i="178"/>
  <c r="AX713" i="178"/>
  <c r="AT713" i="178"/>
  <c r="BM719" i="178"/>
  <c r="BH933" i="178"/>
  <c r="BD933" i="178"/>
  <c r="AZ933" i="178"/>
  <c r="AV933" i="178"/>
  <c r="AR933" i="178"/>
  <c r="BK795" i="178"/>
  <c r="V795" i="178"/>
  <c r="BK720" i="178"/>
  <c r="BJ712" i="178"/>
  <c r="BF712" i="178"/>
  <c r="BB712" i="178"/>
  <c r="AX712" i="178"/>
  <c r="AT712" i="178"/>
  <c r="BM713" i="178"/>
  <c r="BH719" i="178"/>
  <c r="BD719" i="178"/>
  <c r="AZ719" i="178"/>
  <c r="AV719" i="178"/>
  <c r="AR719" i="178"/>
  <c r="BK933" i="178"/>
  <c r="BJ795" i="178"/>
  <c r="BF795" i="178"/>
  <c r="BB795" i="178"/>
  <c r="AX795" i="178"/>
  <c r="AT795" i="178"/>
  <c r="U712" i="178"/>
  <c r="S713" i="178"/>
  <c r="U713" i="178"/>
  <c r="BJ720" i="178"/>
  <c r="BF720" i="178"/>
  <c r="BB720" i="178"/>
  <c r="AX720" i="178"/>
  <c r="AT720" i="178"/>
  <c r="BM712" i="178"/>
  <c r="BH713" i="178"/>
  <c r="BD713" i="178"/>
  <c r="AZ713" i="178"/>
  <c r="AV713" i="178"/>
  <c r="AR713" i="178"/>
  <c r="BK719" i="178"/>
  <c r="BJ933" i="178"/>
  <c r="BF933" i="178"/>
  <c r="BB933" i="178"/>
  <c r="AX933" i="178"/>
  <c r="AT933" i="178"/>
  <c r="BM795" i="178"/>
  <c r="BH712" i="178"/>
  <c r="BD712" i="178"/>
  <c r="AZ712" i="178"/>
  <c r="AV712" i="178"/>
  <c r="BJ719" i="178"/>
  <c r="BF719" i="178"/>
  <c r="BB719" i="178"/>
  <c r="AX719" i="178"/>
  <c r="BH795" i="178"/>
  <c r="BD795" i="178"/>
  <c r="AZ795" i="178"/>
  <c r="AV795" i="178"/>
  <c r="R388" i="55"/>
  <c r="Q388" i="55"/>
  <c r="P388" i="55"/>
  <c r="O388" i="55"/>
  <c r="BG712" i="178" l="1"/>
  <c r="AW712" i="178"/>
  <c r="BE712" i="178"/>
  <c r="AY712" i="178"/>
  <c r="BA712" i="178"/>
  <c r="AU712" i="178"/>
  <c r="BN712" i="178"/>
  <c r="AS712" i="178"/>
  <c r="BI712" i="178"/>
  <c r="BC712" i="178"/>
  <c r="BA719" i="178"/>
  <c r="AY719" i="178"/>
  <c r="BL719" i="178"/>
  <c r="BE795" i="178"/>
  <c r="BE719" i="178"/>
  <c r="AU795" i="178"/>
  <c r="AU719" i="178"/>
  <c r="BI795" i="178"/>
  <c r="BN795" i="178"/>
  <c r="AY795" i="178"/>
  <c r="AW795" i="178"/>
  <c r="BC795" i="178"/>
  <c r="AS719" i="178"/>
  <c r="BI719" i="178"/>
  <c r="AS795" i="178"/>
  <c r="BC719" i="178"/>
  <c r="BA795" i="178"/>
  <c r="BG719" i="178"/>
  <c r="BG795" i="178"/>
  <c r="AW719" i="178"/>
  <c r="AS933" i="178"/>
  <c r="AW933" i="178"/>
  <c r="BA933" i="178"/>
  <c r="BE933" i="178"/>
  <c r="BI933" i="178"/>
  <c r="BN933" i="178"/>
  <c r="AU933" i="178"/>
  <c r="AY933" i="178"/>
  <c r="BC933" i="178"/>
  <c r="BG933" i="178"/>
  <c r="BL933" i="178"/>
  <c r="AS720" i="178"/>
  <c r="AW720" i="178"/>
  <c r="BA720" i="178"/>
  <c r="BE720" i="178"/>
  <c r="BI720" i="178"/>
  <c r="BN720" i="178"/>
  <c r="AU720" i="178"/>
  <c r="AY720" i="178"/>
  <c r="BC720" i="178"/>
  <c r="BG720" i="178"/>
  <c r="BL720" i="178"/>
  <c r="AU713" i="178"/>
  <c r="AY713" i="178"/>
  <c r="BC713" i="178"/>
  <c r="BG713" i="178"/>
  <c r="BL713" i="178"/>
  <c r="AS713" i="178"/>
  <c r="AW713" i="178"/>
  <c r="BA713" i="178"/>
  <c r="BE713" i="178"/>
  <c r="BI713" i="178"/>
  <c r="BN713" i="178"/>
  <c r="T808" i="178"/>
  <c r="U808" i="178" s="1"/>
  <c r="W808" i="178"/>
  <c r="AD808" i="178"/>
  <c r="AE808" i="178"/>
  <c r="AF808" i="178"/>
  <c r="AG808" i="178"/>
  <c r="AH808" i="178"/>
  <c r="AI808" i="178"/>
  <c r="AJ808" i="178"/>
  <c r="AK808" i="178"/>
  <c r="AL808" i="178"/>
  <c r="AM808" i="178"/>
  <c r="AN808" i="178"/>
  <c r="AO808" i="178"/>
  <c r="Q808" i="178"/>
  <c r="T279" i="178"/>
  <c r="U279" i="178" s="1"/>
  <c r="W279" i="178"/>
  <c r="AD279" i="178"/>
  <c r="AE279" i="178"/>
  <c r="AF279" i="178"/>
  <c r="AG279" i="178"/>
  <c r="AH279" i="178"/>
  <c r="AI279" i="178"/>
  <c r="AJ279" i="178"/>
  <c r="AK279" i="178"/>
  <c r="AL279" i="178"/>
  <c r="AM279" i="178"/>
  <c r="AN279" i="178"/>
  <c r="AO279" i="178"/>
  <c r="T343" i="178"/>
  <c r="U343" i="178" s="1"/>
  <c r="W343" i="178"/>
  <c r="AD343" i="178"/>
  <c r="AE343" i="178"/>
  <c r="AF343" i="178"/>
  <c r="AG343" i="178"/>
  <c r="AH343" i="178"/>
  <c r="AI343" i="178"/>
  <c r="AJ343" i="178"/>
  <c r="AK343" i="178"/>
  <c r="AL343" i="178"/>
  <c r="AM343" i="178"/>
  <c r="AN343" i="178"/>
  <c r="AO343" i="178"/>
  <c r="T431" i="178"/>
  <c r="V431" i="178" s="1"/>
  <c r="W431" i="178"/>
  <c r="AD431" i="178"/>
  <c r="AE431" i="178"/>
  <c r="AF431" i="178"/>
  <c r="AG431" i="178"/>
  <c r="AH431" i="178"/>
  <c r="AI431" i="178"/>
  <c r="AJ431" i="178"/>
  <c r="AK431" i="178"/>
  <c r="AL431" i="178"/>
  <c r="AM431" i="178"/>
  <c r="AN431" i="178"/>
  <c r="AO431" i="178"/>
  <c r="T479" i="178"/>
  <c r="U479" i="178" s="1"/>
  <c r="W479" i="178"/>
  <c r="AD479" i="178"/>
  <c r="AE479" i="178"/>
  <c r="AF479" i="178"/>
  <c r="AG479" i="178"/>
  <c r="AH479" i="178"/>
  <c r="AI479" i="178"/>
  <c r="AJ479" i="178"/>
  <c r="AK479" i="178"/>
  <c r="AL479" i="178"/>
  <c r="AM479" i="178"/>
  <c r="AN479" i="178"/>
  <c r="AO479" i="178"/>
  <c r="T655" i="178"/>
  <c r="U655" i="178" s="1"/>
  <c r="W655" i="178"/>
  <c r="AD655" i="178"/>
  <c r="AE655" i="178"/>
  <c r="AF655" i="178"/>
  <c r="AG655" i="178"/>
  <c r="AH655" i="178"/>
  <c r="AI655" i="178"/>
  <c r="AJ655" i="178"/>
  <c r="AK655" i="178"/>
  <c r="AL655" i="178"/>
  <c r="AM655" i="178"/>
  <c r="AN655" i="178"/>
  <c r="AO655" i="178"/>
  <c r="T666" i="178"/>
  <c r="V666" i="178" s="1"/>
  <c r="W666" i="178"/>
  <c r="AD666" i="178"/>
  <c r="AE666" i="178"/>
  <c r="AF666" i="178"/>
  <c r="AG666" i="178"/>
  <c r="AH666" i="178"/>
  <c r="AI666" i="178"/>
  <c r="AJ666" i="178"/>
  <c r="AK666" i="178"/>
  <c r="AL666" i="178"/>
  <c r="AM666" i="178"/>
  <c r="AN666" i="178"/>
  <c r="AO666" i="178"/>
  <c r="Q279" i="178"/>
  <c r="Q343" i="178"/>
  <c r="Q431" i="178"/>
  <c r="S431" i="178" s="1"/>
  <c r="Q479" i="178"/>
  <c r="Q655" i="178"/>
  <c r="Q666" i="178"/>
  <c r="O621" i="55"/>
  <c r="P621" i="55"/>
  <c r="Q621" i="55"/>
  <c r="R621" i="55"/>
  <c r="C652" i="78"/>
  <c r="AA997" i="178" l="1"/>
  <c r="AB997" i="178" s="1"/>
  <c r="AA996" i="178"/>
  <c r="AB996" i="178" s="1"/>
  <c r="AA999" i="178"/>
  <c r="AB999" i="178" s="1"/>
  <c r="AA998" i="178"/>
  <c r="AB998" i="178" s="1"/>
  <c r="Y996" i="178"/>
  <c r="Y999" i="178"/>
  <c r="Y998" i="178"/>
  <c r="Y997" i="178"/>
  <c r="X999" i="178"/>
  <c r="X998" i="178"/>
  <c r="X997" i="178"/>
  <c r="X996" i="178"/>
  <c r="AR279" i="178"/>
  <c r="AR808" i="178"/>
  <c r="BL431" i="178"/>
  <c r="AR666" i="178"/>
  <c r="AV479" i="178"/>
  <c r="BK343" i="178"/>
  <c r="BF808" i="178"/>
  <c r="BK808" i="178"/>
  <c r="BK666" i="178"/>
  <c r="AX808" i="178"/>
  <c r="BH479" i="178"/>
  <c r="AZ479" i="178"/>
  <c r="AR479" i="178"/>
  <c r="BD279" i="178"/>
  <c r="BJ808" i="178"/>
  <c r="AV279" i="178"/>
  <c r="BB808" i="178"/>
  <c r="BK431" i="178"/>
  <c r="S666" i="178"/>
  <c r="AW666" i="178" s="1"/>
  <c r="AT808" i="178"/>
  <c r="BH666" i="178"/>
  <c r="AZ666" i="178"/>
  <c r="BM479" i="178"/>
  <c r="BD431" i="178"/>
  <c r="AV431" i="178"/>
  <c r="AR655" i="178"/>
  <c r="AV655" i="178"/>
  <c r="AZ655" i="178"/>
  <c r="BD655" i="178"/>
  <c r="BH655" i="178"/>
  <c r="BM655" i="178"/>
  <c r="AR343" i="178"/>
  <c r="AV343" i="178"/>
  <c r="AZ343" i="178"/>
  <c r="BD343" i="178"/>
  <c r="BH343" i="178"/>
  <c r="BM343" i="178"/>
  <c r="AS431" i="178"/>
  <c r="AW431" i="178"/>
  <c r="BA431" i="178"/>
  <c r="BE431" i="178"/>
  <c r="BI431" i="178"/>
  <c r="BN431" i="178"/>
  <c r="BF655" i="178"/>
  <c r="AX655" i="178"/>
  <c r="BD479" i="178"/>
  <c r="BC431" i="178"/>
  <c r="AU431" i="178"/>
  <c r="BJ343" i="178"/>
  <c r="BB343" i="178"/>
  <c r="AT343" i="178"/>
  <c r="BH279" i="178"/>
  <c r="AZ279" i="178"/>
  <c r="BJ655" i="178"/>
  <c r="BB655" i="178"/>
  <c r="AT655" i="178"/>
  <c r="BG431" i="178"/>
  <c r="AY431" i="178"/>
  <c r="BF343" i="178"/>
  <c r="AX343" i="178"/>
  <c r="S655" i="178"/>
  <c r="S343" i="178"/>
  <c r="AT479" i="178"/>
  <c r="AX479" i="178"/>
  <c r="BB479" i="178"/>
  <c r="BF479" i="178"/>
  <c r="BJ479" i="178"/>
  <c r="BK479" i="178"/>
  <c r="AT279" i="178"/>
  <c r="AX279" i="178"/>
  <c r="BB279" i="178"/>
  <c r="BF279" i="178"/>
  <c r="BJ279" i="178"/>
  <c r="BK279" i="178"/>
  <c r="BM666" i="178"/>
  <c r="AT666" i="178"/>
  <c r="AX666" i="178"/>
  <c r="BB666" i="178"/>
  <c r="BF666" i="178"/>
  <c r="BJ666" i="178"/>
  <c r="BM431" i="178"/>
  <c r="AT431" i="178"/>
  <c r="AX431" i="178"/>
  <c r="BB431" i="178"/>
  <c r="BF431" i="178"/>
  <c r="BJ431" i="178"/>
  <c r="S479" i="178"/>
  <c r="S279" i="178"/>
  <c r="BD666" i="178"/>
  <c r="AV666" i="178"/>
  <c r="BK655" i="178"/>
  <c r="BH431" i="178"/>
  <c r="AZ431" i="178"/>
  <c r="AR431" i="178"/>
  <c r="BM279" i="178"/>
  <c r="BM808" i="178"/>
  <c r="S808" i="178"/>
  <c r="BH808" i="178"/>
  <c r="BD808" i="178"/>
  <c r="AZ808" i="178"/>
  <c r="AV808" i="178"/>
  <c r="V808" i="178"/>
  <c r="U666" i="178"/>
  <c r="U431" i="178"/>
  <c r="V655" i="178"/>
  <c r="V479" i="178"/>
  <c r="V343" i="178"/>
  <c r="V279" i="178"/>
  <c r="Q887" i="178"/>
  <c r="Q171" i="178"/>
  <c r="Q874" i="178"/>
  <c r="Q869" i="178"/>
  <c r="S869" i="178" l="1"/>
  <c r="BL869" i="178" s="1"/>
  <c r="Z996" i="178"/>
  <c r="AC996" i="178" s="1"/>
  <c r="Z998" i="178"/>
  <c r="AC998" i="178" s="1"/>
  <c r="Z999" i="178"/>
  <c r="AC999" i="178" s="1"/>
  <c r="Z997" i="178"/>
  <c r="AC997" i="178" s="1"/>
  <c r="AS666" i="178"/>
  <c r="BG666" i="178"/>
  <c r="BC666" i="178"/>
  <c r="BI666" i="178"/>
  <c r="BE666" i="178"/>
  <c r="BL666" i="178"/>
  <c r="BA666" i="178"/>
  <c r="AU666" i="178"/>
  <c r="AY666" i="178"/>
  <c r="BN666" i="178"/>
  <c r="BL343" i="178"/>
  <c r="AS343" i="178"/>
  <c r="AW343" i="178"/>
  <c r="BA343" i="178"/>
  <c r="BE343" i="178"/>
  <c r="BI343" i="178"/>
  <c r="AY343" i="178"/>
  <c r="BG343" i="178"/>
  <c r="BN343" i="178"/>
  <c r="AU343" i="178"/>
  <c r="BC343" i="178"/>
  <c r="BL808" i="178"/>
  <c r="AS808" i="178"/>
  <c r="AW808" i="178"/>
  <c r="BA808" i="178"/>
  <c r="BE808" i="178"/>
  <c r="BI808" i="178"/>
  <c r="AY808" i="178"/>
  <c r="BG808" i="178"/>
  <c r="AU808" i="178"/>
  <c r="BC808" i="178"/>
  <c r="BN808" i="178"/>
  <c r="BL655" i="178"/>
  <c r="AS655" i="178"/>
  <c r="AW655" i="178"/>
  <c r="BA655" i="178"/>
  <c r="BE655" i="178"/>
  <c r="BI655" i="178"/>
  <c r="AU655" i="178"/>
  <c r="BC655" i="178"/>
  <c r="BN655" i="178"/>
  <c r="AY655" i="178"/>
  <c r="BG655" i="178"/>
  <c r="BN279" i="178"/>
  <c r="AU279" i="178"/>
  <c r="AY279" i="178"/>
  <c r="BC279" i="178"/>
  <c r="BG279" i="178"/>
  <c r="AW279" i="178"/>
  <c r="BE279" i="178"/>
  <c r="BL279" i="178"/>
  <c r="AS279" i="178"/>
  <c r="BA279" i="178"/>
  <c r="BI279" i="178"/>
  <c r="BN479" i="178"/>
  <c r="AU479" i="178"/>
  <c r="AY479" i="178"/>
  <c r="BC479" i="178"/>
  <c r="BG479" i="178"/>
  <c r="AS479" i="178"/>
  <c r="BA479" i="178"/>
  <c r="BI479" i="178"/>
  <c r="BL479" i="178"/>
  <c r="AW479" i="178"/>
  <c r="BE479" i="178"/>
  <c r="BM874" i="178"/>
  <c r="BK869" i="178"/>
  <c r="BG869" i="178"/>
  <c r="AT171" i="178"/>
  <c r="AX171" i="178"/>
  <c r="BB171" i="178"/>
  <c r="BF171" i="178"/>
  <c r="BJ171" i="178"/>
  <c r="S171" i="178"/>
  <c r="BK171" i="178"/>
  <c r="BM171" i="178"/>
  <c r="AR171" i="178"/>
  <c r="AV171" i="178"/>
  <c r="AZ171" i="178"/>
  <c r="BD171" i="178"/>
  <c r="BH171" i="178"/>
  <c r="BK887" i="178"/>
  <c r="AR887" i="178"/>
  <c r="AV887" i="178"/>
  <c r="AZ887" i="178"/>
  <c r="BD887" i="178"/>
  <c r="BH887" i="178"/>
  <c r="S887" i="178"/>
  <c r="AT887" i="178"/>
  <c r="AX887" i="178"/>
  <c r="BB887" i="178"/>
  <c r="BF887" i="178"/>
  <c r="BJ887" i="178"/>
  <c r="BM887" i="178"/>
  <c r="BK874" i="178"/>
  <c r="BN869" i="178"/>
  <c r="BJ869" i="178"/>
  <c r="BF869" i="178"/>
  <c r="BB869" i="178"/>
  <c r="AX869" i="178"/>
  <c r="AT869" i="178"/>
  <c r="BH874" i="178"/>
  <c r="BD874" i="178"/>
  <c r="AZ874" i="178"/>
  <c r="AV874" i="178"/>
  <c r="AR874" i="178"/>
  <c r="BJ874" i="178"/>
  <c r="BF874" i="178"/>
  <c r="BB874" i="178"/>
  <c r="AX874" i="178"/>
  <c r="AT874" i="178"/>
  <c r="BM869" i="178"/>
  <c r="BE869" i="178"/>
  <c r="AW869" i="178"/>
  <c r="S874" i="178"/>
  <c r="BH869" i="178"/>
  <c r="BD869" i="178"/>
  <c r="AZ869" i="178"/>
  <c r="AV869" i="178"/>
  <c r="AR869" i="178"/>
  <c r="B869" i="178"/>
  <c r="B874" i="178"/>
  <c r="B171" i="178"/>
  <c r="B887" i="178"/>
  <c r="BA869" i="178" l="1"/>
  <c r="AS869" i="178"/>
  <c r="BI869" i="178"/>
  <c r="AU869" i="178"/>
  <c r="AY869" i="178"/>
  <c r="BC869" i="178"/>
  <c r="AS874" i="178"/>
  <c r="AW874" i="178"/>
  <c r="BA874" i="178"/>
  <c r="BE874" i="178"/>
  <c r="BI874" i="178"/>
  <c r="BN874" i="178"/>
  <c r="BL874" i="178"/>
  <c r="AU874" i="178"/>
  <c r="AY874" i="178"/>
  <c r="BC874" i="178"/>
  <c r="BG874" i="178"/>
  <c r="AU887" i="178"/>
  <c r="AY887" i="178"/>
  <c r="BC887" i="178"/>
  <c r="BG887" i="178"/>
  <c r="BL887" i="178"/>
  <c r="BN887" i="178"/>
  <c r="AS887" i="178"/>
  <c r="AW887" i="178"/>
  <c r="BA887" i="178"/>
  <c r="BE887" i="178"/>
  <c r="BI887" i="178"/>
  <c r="BN171" i="178"/>
  <c r="AU171" i="178"/>
  <c r="AY171" i="178"/>
  <c r="BC171" i="178"/>
  <c r="BG171" i="178"/>
  <c r="AS171" i="178"/>
  <c r="AW171" i="178"/>
  <c r="BA171" i="178"/>
  <c r="BE171" i="178"/>
  <c r="BI171" i="178"/>
  <c r="BL171" i="178"/>
  <c r="B361" i="178"/>
  <c r="B360" i="178"/>
  <c r="B362" i="178"/>
  <c r="B566" i="178"/>
  <c r="B567" i="178"/>
  <c r="B569" i="178"/>
  <c r="B568" i="178"/>
  <c r="B570" i="178"/>
  <c r="B676" i="178"/>
  <c r="B674" i="178"/>
  <c r="B966" i="178"/>
  <c r="B135" i="178"/>
  <c r="B368" i="178"/>
  <c r="B369" i="178"/>
  <c r="B420" i="178"/>
  <c r="B440" i="178"/>
  <c r="B547" i="178"/>
  <c r="B548" i="178"/>
  <c r="B686" i="178"/>
  <c r="B687" i="178"/>
  <c r="B688" i="178"/>
  <c r="B737" i="178"/>
  <c r="B738" i="178"/>
  <c r="B739" i="178"/>
  <c r="B767" i="178"/>
  <c r="B768" i="178"/>
  <c r="B769" i="178"/>
  <c r="B816" i="178"/>
  <c r="B817" i="178"/>
  <c r="B925" i="178"/>
  <c r="B926" i="178"/>
  <c r="B927" i="178"/>
  <c r="B1151" i="178"/>
  <c r="AD820" i="178"/>
  <c r="AE820" i="178"/>
  <c r="AF820" i="178"/>
  <c r="AG820" i="178"/>
  <c r="AH820" i="178"/>
  <c r="AI820" i="178"/>
  <c r="AJ820" i="178"/>
  <c r="AK820" i="178"/>
  <c r="AL820" i="178"/>
  <c r="AM820" i="178"/>
  <c r="AN820" i="178"/>
  <c r="AO820" i="178"/>
  <c r="AD823" i="178"/>
  <c r="AE823" i="178"/>
  <c r="AF823" i="178"/>
  <c r="AG823" i="178"/>
  <c r="AH823" i="178"/>
  <c r="AI823" i="178"/>
  <c r="AJ823" i="178"/>
  <c r="AK823" i="178"/>
  <c r="AL823" i="178"/>
  <c r="AM823" i="178"/>
  <c r="AN823" i="178"/>
  <c r="AO823" i="178"/>
  <c r="AD824" i="178"/>
  <c r="AE824" i="178"/>
  <c r="AF824" i="178"/>
  <c r="AG824" i="178"/>
  <c r="AH824" i="178"/>
  <c r="AI824" i="178"/>
  <c r="AJ824" i="178"/>
  <c r="AK824" i="178"/>
  <c r="AL824" i="178"/>
  <c r="AM824" i="178"/>
  <c r="AN824" i="178"/>
  <c r="AO824" i="178"/>
  <c r="T820" i="178"/>
  <c r="U820" i="178" s="1"/>
  <c r="W820" i="178"/>
  <c r="T823" i="178"/>
  <c r="U823" i="178" s="1"/>
  <c r="W823" i="178"/>
  <c r="T824" i="178"/>
  <c r="U824" i="178" s="1"/>
  <c r="W824" i="178"/>
  <c r="Q820" i="178"/>
  <c r="Q823" i="178"/>
  <c r="Q824" i="178"/>
  <c r="B820" i="178"/>
  <c r="B875" i="178"/>
  <c r="B877" i="178"/>
  <c r="B879" i="178"/>
  <c r="B878" i="178"/>
  <c r="B881" i="178"/>
  <c r="B882" i="178"/>
  <c r="B884" i="178"/>
  <c r="B886" i="178"/>
  <c r="B885" i="178"/>
  <c r="B888" i="178"/>
  <c r="B889" i="178"/>
  <c r="B891" i="178"/>
  <c r="B902" i="178"/>
  <c r="B903" i="178"/>
  <c r="B905" i="178"/>
  <c r="B906" i="178"/>
  <c r="B909" i="178"/>
  <c r="B911" i="178"/>
  <c r="B910" i="178"/>
  <c r="B913" i="178"/>
  <c r="B914" i="178"/>
  <c r="B864" i="178"/>
  <c r="B867" i="178"/>
  <c r="B868" i="178"/>
  <c r="B870" i="178"/>
  <c r="B873" i="178"/>
  <c r="B723" i="178"/>
  <c r="B725" i="178"/>
  <c r="B728" i="178"/>
  <c r="B729" i="178"/>
  <c r="B818" i="178"/>
  <c r="B823" i="178"/>
  <c r="B824" i="178"/>
  <c r="B553" i="178"/>
  <c r="B580" i="178"/>
  <c r="B582" i="178"/>
  <c r="B635" i="178"/>
  <c r="B661" i="178"/>
  <c r="B664" i="178"/>
  <c r="B722" i="178"/>
  <c r="B172" i="178"/>
  <c r="B173" i="178"/>
  <c r="B195" i="178"/>
  <c r="B196" i="178"/>
  <c r="B198" i="178"/>
  <c r="B199" i="178"/>
  <c r="B388" i="178"/>
  <c r="B413" i="178"/>
  <c r="B428" i="178"/>
  <c r="B429" i="178"/>
  <c r="B494" i="178"/>
  <c r="B495" i="178"/>
  <c r="B808" i="178"/>
  <c r="B479" i="178"/>
  <c r="B279" i="178"/>
  <c r="B8" i="178"/>
  <c r="B10" i="178"/>
  <c r="B4" i="178"/>
  <c r="B5" i="178"/>
  <c r="B9" i="178"/>
  <c r="B6" i="178"/>
  <c r="B11" i="178"/>
  <c r="B7" i="178"/>
  <c r="B22" i="178"/>
  <c r="B19" i="178"/>
  <c r="B18" i="178"/>
  <c r="B20" i="178"/>
  <c r="B21" i="178"/>
  <c r="B27" i="178"/>
  <c r="B23" i="178"/>
  <c r="B26" i="178"/>
  <c r="B24" i="178"/>
  <c r="B25" i="178"/>
  <c r="B28" i="178"/>
  <c r="B30" i="178"/>
  <c r="B31" i="178"/>
  <c r="B32" i="178"/>
  <c r="B33" i="178"/>
  <c r="B34" i="178"/>
  <c r="B38" i="178"/>
  <c r="B39" i="178"/>
  <c r="B40" i="178"/>
  <c r="B41" i="178"/>
  <c r="B42" i="178"/>
  <c r="B43" i="178"/>
  <c r="B46" i="178"/>
  <c r="B47" i="178"/>
  <c r="B51" i="178"/>
  <c r="B50" i="178"/>
  <c r="B53" i="178"/>
  <c r="B52" i="178"/>
  <c r="B60" i="178"/>
  <c r="B63" i="178"/>
  <c r="B61" i="178"/>
  <c r="B62" i="178"/>
  <c r="B64" i="178"/>
  <c r="B71" i="178"/>
  <c r="B70" i="178"/>
  <c r="B90" i="178"/>
  <c r="B91" i="178"/>
  <c r="B86" i="178"/>
  <c r="B87" i="178"/>
  <c r="B88" i="178"/>
  <c r="B89" i="178"/>
  <c r="B97" i="178"/>
  <c r="B98" i="178"/>
  <c r="B93" i="178"/>
  <c r="B94" i="178"/>
  <c r="B95" i="178"/>
  <c r="B96" i="178"/>
  <c r="B101" i="178"/>
  <c r="B107" i="178"/>
  <c r="B108" i="178"/>
  <c r="B102" i="178"/>
  <c r="B103" i="178"/>
  <c r="B104" i="178"/>
  <c r="B105" i="178"/>
  <c r="B109" i="178"/>
  <c r="B106" i="178"/>
  <c r="B111" i="178"/>
  <c r="B116" i="178"/>
  <c r="B117" i="178"/>
  <c r="B112" i="178"/>
  <c r="B113" i="178"/>
  <c r="B114" i="178"/>
  <c r="B115" i="178"/>
  <c r="B142" i="178"/>
  <c r="B143" i="178"/>
  <c r="B149" i="178"/>
  <c r="B150" i="178"/>
  <c r="B211" i="178"/>
  <c r="B209" i="178"/>
  <c r="B210" i="178"/>
  <c r="B214" i="178"/>
  <c r="B215" i="178"/>
  <c r="B236" i="178"/>
  <c r="B237" i="178"/>
  <c r="B239" i="178"/>
  <c r="B240" i="178"/>
  <c r="B247" i="178"/>
  <c r="B244" i="178"/>
  <c r="B245" i="178"/>
  <c r="B246" i="178"/>
  <c r="B254" i="178"/>
  <c r="B252" i="178"/>
  <c r="B253" i="178"/>
  <c r="B258" i="178"/>
  <c r="B259" i="178"/>
  <c r="B268" i="178"/>
  <c r="B271" i="178"/>
  <c r="B269" i="178"/>
  <c r="B270" i="178"/>
  <c r="B272" i="178"/>
  <c r="B276" i="178"/>
  <c r="B277" i="178"/>
  <c r="B273" i="178"/>
  <c r="B274" i="178"/>
  <c r="B275" i="178"/>
  <c r="B286" i="178"/>
  <c r="B283" i="178"/>
  <c r="B281" i="178"/>
  <c r="B284" i="178"/>
  <c r="B285" i="178"/>
  <c r="B287" i="178"/>
  <c r="B288" i="178"/>
  <c r="B298" i="178"/>
  <c r="B300" i="178"/>
  <c r="B301" i="178"/>
  <c r="B297" i="178"/>
  <c r="B299" i="178"/>
  <c r="B303" i="178"/>
  <c r="B306" i="178"/>
  <c r="B304" i="178"/>
  <c r="B305" i="178"/>
  <c r="B318" i="178"/>
  <c r="B316" i="178"/>
  <c r="B317" i="178"/>
  <c r="B319" i="178"/>
  <c r="B320" i="178"/>
  <c r="B323" i="178"/>
  <c r="B321" i="178"/>
  <c r="B322" i="178"/>
  <c r="B326" i="178"/>
  <c r="B324" i="178"/>
  <c r="B325" i="178"/>
  <c r="B329" i="178"/>
  <c r="B327" i="178"/>
  <c r="B328" i="178"/>
  <c r="B338" i="178"/>
  <c r="B336" i="178"/>
  <c r="B337" i="178"/>
  <c r="B436" i="178"/>
  <c r="B437" i="178"/>
  <c r="B438" i="178"/>
  <c r="B442" i="178"/>
  <c r="B443" i="178"/>
  <c r="B445" i="178"/>
  <c r="B446" i="178"/>
  <c r="B448" i="178"/>
  <c r="B449" i="178"/>
  <c r="B452" i="178"/>
  <c r="B451" i="178"/>
  <c r="B453" i="178"/>
  <c r="B455" i="178"/>
  <c r="B456" i="178"/>
  <c r="B458" i="178"/>
  <c r="B459" i="178"/>
  <c r="B465" i="178"/>
  <c r="B466" i="178"/>
  <c r="B467" i="178"/>
  <c r="B500" i="178"/>
  <c r="B501" i="178"/>
  <c r="B514" i="178"/>
  <c r="B519" i="178"/>
  <c r="B520" i="178"/>
  <c r="B526" i="178"/>
  <c r="B527" i="178"/>
  <c r="B528" i="178"/>
  <c r="B536" i="178"/>
  <c r="B538" i="178"/>
  <c r="B540" i="178"/>
  <c r="B971" i="178"/>
  <c r="B969" i="178"/>
  <c r="B970" i="178"/>
  <c r="B984" i="178"/>
  <c r="B985" i="178"/>
  <c r="B986" i="178"/>
  <c r="B987" i="178"/>
  <c r="B989" i="178"/>
  <c r="B988" i="178"/>
  <c r="B990" i="178"/>
  <c r="B991" i="178"/>
  <c r="B993" i="178"/>
  <c r="B992" i="178"/>
  <c r="B994" i="178"/>
  <c r="B995" i="178"/>
  <c r="B1001" i="178"/>
  <c r="B1003" i="178"/>
  <c r="B1002" i="178"/>
  <c r="B1005" i="178"/>
  <c r="B1012" i="178"/>
  <c r="B1013" i="178"/>
  <c r="B1014" i="178"/>
  <c r="B1020" i="178"/>
  <c r="B1021" i="178"/>
  <c r="B1027" i="178"/>
  <c r="B1022" i="178"/>
  <c r="B1023" i="178"/>
  <c r="B1036" i="178"/>
  <c r="B1039" i="178"/>
  <c r="B1037" i="178"/>
  <c r="B1038" i="178"/>
  <c r="B1040" i="178"/>
  <c r="B1048" i="178"/>
  <c r="B1049" i="178"/>
  <c r="B1047" i="178"/>
  <c r="B1050" i="178"/>
  <c r="B1053" i="178"/>
  <c r="B1054" i="178"/>
  <c r="B1055" i="178"/>
  <c r="B1052" i="178"/>
  <c r="B1056" i="178"/>
  <c r="B1068" i="178"/>
  <c r="B1069" i="178"/>
  <c r="B1066" i="178"/>
  <c r="B1070" i="178"/>
  <c r="B1067" i="178"/>
  <c r="B1071" i="178"/>
  <c r="B1077" i="178"/>
  <c r="B1072" i="178"/>
  <c r="B1073" i="178"/>
  <c r="B1074" i="178"/>
  <c r="B1075" i="178"/>
  <c r="B1076" i="178"/>
  <c r="B1138" i="178"/>
  <c r="B1144" i="178"/>
  <c r="B1139" i="178"/>
  <c r="B1140" i="178"/>
  <c r="B1141" i="178"/>
  <c r="B1143" i="178"/>
  <c r="B1145" i="178"/>
  <c r="B1142" i="178"/>
  <c r="B1160" i="178"/>
  <c r="B1161" i="178"/>
  <c r="B1162" i="178"/>
  <c r="B1163" i="178"/>
  <c r="B1172" i="178"/>
  <c r="B1171" i="178"/>
  <c r="B1173" i="178"/>
  <c r="B1176" i="178"/>
  <c r="B1174" i="178"/>
  <c r="B1177" i="178"/>
  <c r="B1175" i="178"/>
  <c r="B1178" i="178"/>
  <c r="B1190" i="178"/>
  <c r="B1194" i="178"/>
  <c r="B1191" i="178"/>
  <c r="B1192" i="178"/>
  <c r="B1193" i="178"/>
  <c r="B1276" i="178"/>
  <c r="B651" i="178"/>
  <c r="B652" i="178"/>
  <c r="B653" i="178"/>
  <c r="B654" i="178"/>
  <c r="B1032" i="178"/>
  <c r="B1033" i="178"/>
  <c r="B1115" i="178"/>
  <c r="B1116" i="178"/>
  <c r="B1118" i="178"/>
  <c r="B1120" i="178"/>
  <c r="B1123" i="178"/>
  <c r="B1124" i="178"/>
  <c r="B154" i="178"/>
  <c r="B155" i="178"/>
  <c r="B156" i="178"/>
  <c r="B162" i="178"/>
  <c r="B163" i="178"/>
  <c r="B164" i="178"/>
  <c r="B165" i="178"/>
  <c r="B166" i="178"/>
  <c r="B167" i="178"/>
  <c r="B355" i="178"/>
  <c r="B358" i="178"/>
  <c r="B690" i="178"/>
  <c r="B698" i="178"/>
  <c r="B706" i="178"/>
  <c r="B714" i="178"/>
  <c r="B792" i="178"/>
  <c r="B804" i="178"/>
  <c r="B805" i="178"/>
  <c r="B806" i="178"/>
  <c r="B807" i="178"/>
  <c r="B708" i="178"/>
  <c r="B810" i="178"/>
  <c r="B811" i="178"/>
  <c r="B812" i="178"/>
  <c r="B813" i="178"/>
  <c r="B932" i="178"/>
  <c r="B964" i="178"/>
  <c r="B965" i="178"/>
  <c r="B147" i="178"/>
  <c r="B207" i="178"/>
  <c r="B208" i="178"/>
  <c r="B278" i="178"/>
  <c r="B343" i="178"/>
  <c r="B431" i="178"/>
  <c r="B655" i="178"/>
  <c r="B666" i="178"/>
  <c r="B1061" i="178"/>
  <c r="B1062" i="178"/>
  <c r="B1258" i="178"/>
  <c r="B1270" i="178"/>
  <c r="B134" i="178"/>
  <c r="B421" i="178"/>
  <c r="B484" i="178"/>
  <c r="B546" i="178"/>
  <c r="B572" i="178"/>
  <c r="B680" i="178"/>
  <c r="B682" i="178"/>
  <c r="B681" i="178"/>
  <c r="B683" i="178"/>
  <c r="B684" i="178"/>
  <c r="B735" i="178"/>
  <c r="B736" i="178"/>
  <c r="B765" i="178"/>
  <c r="B766" i="178"/>
  <c r="B815" i="178"/>
  <c r="B928" i="178"/>
  <c r="B929" i="178"/>
  <c r="B930" i="178"/>
  <c r="B931" i="178"/>
  <c r="B1146" i="178"/>
  <c r="B430" i="178"/>
  <c r="B545" i="178"/>
  <c r="B560" i="178"/>
  <c r="B561" i="178"/>
  <c r="B562" i="178"/>
  <c r="B563" i="178"/>
  <c r="B764" i="178"/>
  <c r="B800" i="178"/>
  <c r="B801" i="178"/>
  <c r="B802" i="178"/>
  <c r="B814" i="178"/>
  <c r="B901" i="178"/>
  <c r="B916" i="178"/>
  <c r="B917" i="178"/>
  <c r="B533" i="178"/>
  <c r="B534" i="178"/>
  <c r="B556" i="178"/>
  <c r="B557" i="178"/>
  <c r="B558" i="178"/>
  <c r="B1134" i="178"/>
  <c r="B1133" i="178"/>
  <c r="B1135" i="178"/>
  <c r="B1136" i="178"/>
  <c r="B1137" i="178"/>
  <c r="B1206" i="178"/>
  <c r="B1210" i="178"/>
  <c r="B1207" i="178"/>
  <c r="B1208" i="178"/>
  <c r="B1211" i="178"/>
  <c r="B1212" i="178"/>
  <c r="B1213" i="178"/>
  <c r="B1209" i="178"/>
  <c r="B1214" i="178"/>
  <c r="B1218" i="178"/>
  <c r="B1215" i="178"/>
  <c r="B1219" i="178"/>
  <c r="B1220" i="178"/>
  <c r="B1216" i="178"/>
  <c r="B1217" i="178"/>
  <c r="B1221" i="178"/>
  <c r="B1222" i="178"/>
  <c r="B1240" i="178"/>
  <c r="B1241" i="178"/>
  <c r="B1246" i="178"/>
  <c r="B1245" i="178"/>
  <c r="B1247" i="178"/>
  <c r="B1248" i="178"/>
  <c r="BM824" i="178" l="1"/>
  <c r="AT820" i="178"/>
  <c r="S820" i="178"/>
  <c r="BN820" i="178" s="1"/>
  <c r="AR823" i="178"/>
  <c r="BH824" i="178"/>
  <c r="AZ824" i="178"/>
  <c r="AR824" i="178"/>
  <c r="BM820" i="178"/>
  <c r="BD824" i="178"/>
  <c r="AV824" i="178"/>
  <c r="BK823" i="178"/>
  <c r="BK824" i="178"/>
  <c r="BJ823" i="178"/>
  <c r="BF823" i="178"/>
  <c r="BB823" i="178"/>
  <c r="AX823" i="178"/>
  <c r="AT823" i="178"/>
  <c r="BH820" i="178"/>
  <c r="BD820" i="178"/>
  <c r="AZ820" i="178"/>
  <c r="AV820" i="178"/>
  <c r="AR820" i="178"/>
  <c r="S824" i="178"/>
  <c r="BJ824" i="178"/>
  <c r="BF824" i="178"/>
  <c r="BB824" i="178"/>
  <c r="AX824" i="178"/>
  <c r="AT824" i="178"/>
  <c r="BM823" i="178"/>
  <c r="BK820" i="178"/>
  <c r="S823" i="178"/>
  <c r="BH823" i="178"/>
  <c r="BD823" i="178"/>
  <c r="AZ823" i="178"/>
  <c r="AV823" i="178"/>
  <c r="BJ820" i="178"/>
  <c r="BF820" i="178"/>
  <c r="BB820" i="178"/>
  <c r="AX820" i="178"/>
  <c r="V824" i="178"/>
  <c r="V823" i="178"/>
  <c r="V820" i="178"/>
  <c r="AD533" i="178"/>
  <c r="AE533" i="178"/>
  <c r="AF533" i="178"/>
  <c r="AG533" i="178"/>
  <c r="AH533" i="178"/>
  <c r="AI533" i="178"/>
  <c r="AJ533" i="178"/>
  <c r="AK533" i="178"/>
  <c r="AL533" i="178"/>
  <c r="AM533" i="178"/>
  <c r="AN533" i="178"/>
  <c r="AO533" i="178"/>
  <c r="AD534" i="178"/>
  <c r="AE534" i="178"/>
  <c r="AF534" i="178"/>
  <c r="AG534" i="178"/>
  <c r="AH534" i="178"/>
  <c r="AI534" i="178"/>
  <c r="AJ534" i="178"/>
  <c r="AK534" i="178"/>
  <c r="AL534" i="178"/>
  <c r="AM534" i="178"/>
  <c r="AN534" i="178"/>
  <c r="AO534" i="178"/>
  <c r="AD556" i="178"/>
  <c r="AE556" i="178"/>
  <c r="AF556" i="178"/>
  <c r="AG556" i="178"/>
  <c r="AH556" i="178"/>
  <c r="AI556" i="178"/>
  <c r="AJ556" i="178"/>
  <c r="AK556" i="178"/>
  <c r="AL556" i="178"/>
  <c r="AM556" i="178"/>
  <c r="AN556" i="178"/>
  <c r="AO556" i="178"/>
  <c r="AD557" i="178"/>
  <c r="AE557" i="178"/>
  <c r="AF557" i="178"/>
  <c r="AG557" i="178"/>
  <c r="AH557" i="178"/>
  <c r="AI557" i="178"/>
  <c r="AJ557" i="178"/>
  <c r="AK557" i="178"/>
  <c r="AL557" i="178"/>
  <c r="AM557" i="178"/>
  <c r="AN557" i="178"/>
  <c r="AO557" i="178"/>
  <c r="AD558" i="178"/>
  <c r="AE558" i="178"/>
  <c r="AF558" i="178"/>
  <c r="AG558" i="178"/>
  <c r="AH558" i="178"/>
  <c r="AI558" i="178"/>
  <c r="AJ558" i="178"/>
  <c r="AK558" i="178"/>
  <c r="AL558" i="178"/>
  <c r="AM558" i="178"/>
  <c r="AN558" i="178"/>
  <c r="AO558" i="178"/>
  <c r="AD1134" i="178"/>
  <c r="AE1134" i="178"/>
  <c r="AF1134" i="178"/>
  <c r="AG1134" i="178"/>
  <c r="AH1134" i="178"/>
  <c r="AI1134" i="178"/>
  <c r="AJ1134" i="178"/>
  <c r="AK1134" i="178"/>
  <c r="AL1134" i="178"/>
  <c r="AM1134" i="178"/>
  <c r="AN1134" i="178"/>
  <c r="AO1134" i="178"/>
  <c r="AD1133" i="178"/>
  <c r="AE1133" i="178"/>
  <c r="AF1133" i="178"/>
  <c r="AG1133" i="178"/>
  <c r="AH1133" i="178"/>
  <c r="AI1133" i="178"/>
  <c r="AJ1133" i="178"/>
  <c r="AK1133" i="178"/>
  <c r="AL1133" i="178"/>
  <c r="AM1133" i="178"/>
  <c r="AN1133" i="178"/>
  <c r="AO1133" i="178"/>
  <c r="AD1135" i="178"/>
  <c r="AE1135" i="178"/>
  <c r="AF1135" i="178"/>
  <c r="AG1135" i="178"/>
  <c r="AH1135" i="178"/>
  <c r="AI1135" i="178"/>
  <c r="AJ1135" i="178"/>
  <c r="AK1135" i="178"/>
  <c r="AL1135" i="178"/>
  <c r="AM1135" i="178"/>
  <c r="AN1135" i="178"/>
  <c r="AO1135" i="178"/>
  <c r="AD1136" i="178"/>
  <c r="AE1136" i="178"/>
  <c r="AF1136" i="178"/>
  <c r="AG1136" i="178"/>
  <c r="AH1136" i="178"/>
  <c r="AI1136" i="178"/>
  <c r="AJ1136" i="178"/>
  <c r="AK1136" i="178"/>
  <c r="AL1136" i="178"/>
  <c r="AM1136" i="178"/>
  <c r="AN1136" i="178"/>
  <c r="AO1136" i="178"/>
  <c r="AD1137" i="178"/>
  <c r="AE1137" i="178"/>
  <c r="AF1137" i="178"/>
  <c r="AG1137" i="178"/>
  <c r="AH1137" i="178"/>
  <c r="AI1137" i="178"/>
  <c r="AJ1137" i="178"/>
  <c r="AK1137" i="178"/>
  <c r="AL1137" i="178"/>
  <c r="AM1137" i="178"/>
  <c r="AN1137" i="178"/>
  <c r="AO1137" i="178"/>
  <c r="AD1206" i="178"/>
  <c r="AE1206" i="178"/>
  <c r="AF1206" i="178"/>
  <c r="AG1206" i="178"/>
  <c r="AH1206" i="178"/>
  <c r="AI1206" i="178"/>
  <c r="AJ1206" i="178"/>
  <c r="AK1206" i="178"/>
  <c r="AL1206" i="178"/>
  <c r="AM1206" i="178"/>
  <c r="AN1206" i="178"/>
  <c r="AO1206" i="178"/>
  <c r="AD1210" i="178"/>
  <c r="AE1210" i="178"/>
  <c r="AF1210" i="178"/>
  <c r="AG1210" i="178"/>
  <c r="AH1210" i="178"/>
  <c r="AI1210" i="178"/>
  <c r="AJ1210" i="178"/>
  <c r="AK1210" i="178"/>
  <c r="AL1210" i="178"/>
  <c r="AM1210" i="178"/>
  <c r="AN1210" i="178"/>
  <c r="AO1210" i="178"/>
  <c r="AD1207" i="178"/>
  <c r="AE1207" i="178"/>
  <c r="AF1207" i="178"/>
  <c r="AG1207" i="178"/>
  <c r="AH1207" i="178"/>
  <c r="AI1207" i="178"/>
  <c r="AJ1207" i="178"/>
  <c r="AK1207" i="178"/>
  <c r="AL1207" i="178"/>
  <c r="AM1207" i="178"/>
  <c r="AN1207" i="178"/>
  <c r="AO1207" i="178"/>
  <c r="AD1208" i="178"/>
  <c r="AE1208" i="178"/>
  <c r="AF1208" i="178"/>
  <c r="AG1208" i="178"/>
  <c r="AH1208" i="178"/>
  <c r="AI1208" i="178"/>
  <c r="AJ1208" i="178"/>
  <c r="AK1208" i="178"/>
  <c r="AL1208" i="178"/>
  <c r="AM1208" i="178"/>
  <c r="AN1208" i="178"/>
  <c r="AO1208" i="178"/>
  <c r="AD1211" i="178"/>
  <c r="AE1211" i="178"/>
  <c r="AF1211" i="178"/>
  <c r="AG1211" i="178"/>
  <c r="AH1211" i="178"/>
  <c r="AI1211" i="178"/>
  <c r="AJ1211" i="178"/>
  <c r="AK1211" i="178"/>
  <c r="AL1211" i="178"/>
  <c r="AM1211" i="178"/>
  <c r="AN1211" i="178"/>
  <c r="AO1211" i="178"/>
  <c r="AD1212" i="178"/>
  <c r="AE1212" i="178"/>
  <c r="AF1212" i="178"/>
  <c r="AG1212" i="178"/>
  <c r="AH1212" i="178"/>
  <c r="AI1212" i="178"/>
  <c r="AJ1212" i="178"/>
  <c r="AK1212" i="178"/>
  <c r="AL1212" i="178"/>
  <c r="AM1212" i="178"/>
  <c r="AN1212" i="178"/>
  <c r="AO1212" i="178"/>
  <c r="AD1213" i="178"/>
  <c r="AE1213" i="178"/>
  <c r="AF1213" i="178"/>
  <c r="AG1213" i="178"/>
  <c r="AH1213" i="178"/>
  <c r="AI1213" i="178"/>
  <c r="AJ1213" i="178"/>
  <c r="AK1213" i="178"/>
  <c r="AL1213" i="178"/>
  <c r="AM1213" i="178"/>
  <c r="AN1213" i="178"/>
  <c r="AO1213" i="178"/>
  <c r="AD1209" i="178"/>
  <c r="AE1209" i="178"/>
  <c r="AF1209" i="178"/>
  <c r="AG1209" i="178"/>
  <c r="AH1209" i="178"/>
  <c r="AI1209" i="178"/>
  <c r="AJ1209" i="178"/>
  <c r="AK1209" i="178"/>
  <c r="AL1209" i="178"/>
  <c r="AM1209" i="178"/>
  <c r="AN1209" i="178"/>
  <c r="AO1209" i="178"/>
  <c r="AD1214" i="178"/>
  <c r="AE1214" i="178"/>
  <c r="AF1214" i="178"/>
  <c r="AG1214" i="178"/>
  <c r="AH1214" i="178"/>
  <c r="AI1214" i="178"/>
  <c r="AJ1214" i="178"/>
  <c r="AK1214" i="178"/>
  <c r="AL1214" i="178"/>
  <c r="AM1214" i="178"/>
  <c r="AN1214" i="178"/>
  <c r="AO1214" i="178"/>
  <c r="AD1218" i="178"/>
  <c r="AE1218" i="178"/>
  <c r="AF1218" i="178"/>
  <c r="AG1218" i="178"/>
  <c r="AH1218" i="178"/>
  <c r="AI1218" i="178"/>
  <c r="AJ1218" i="178"/>
  <c r="AK1218" i="178"/>
  <c r="AL1218" i="178"/>
  <c r="AM1218" i="178"/>
  <c r="AN1218" i="178"/>
  <c r="AO1218" i="178"/>
  <c r="AD1215" i="178"/>
  <c r="AE1215" i="178"/>
  <c r="AF1215" i="178"/>
  <c r="AG1215" i="178"/>
  <c r="AH1215" i="178"/>
  <c r="AI1215" i="178"/>
  <c r="AJ1215" i="178"/>
  <c r="AK1215" i="178"/>
  <c r="AL1215" i="178"/>
  <c r="AM1215" i="178"/>
  <c r="AN1215" i="178"/>
  <c r="AO1215" i="178"/>
  <c r="AD1219" i="178"/>
  <c r="AE1219" i="178"/>
  <c r="AF1219" i="178"/>
  <c r="AG1219" i="178"/>
  <c r="AH1219" i="178"/>
  <c r="AI1219" i="178"/>
  <c r="AJ1219" i="178"/>
  <c r="AK1219" i="178"/>
  <c r="AL1219" i="178"/>
  <c r="AM1219" i="178"/>
  <c r="AN1219" i="178"/>
  <c r="AO1219" i="178"/>
  <c r="AD1220" i="178"/>
  <c r="AE1220" i="178"/>
  <c r="AF1220" i="178"/>
  <c r="AG1220" i="178"/>
  <c r="AH1220" i="178"/>
  <c r="AI1220" i="178"/>
  <c r="AJ1220" i="178"/>
  <c r="AK1220" i="178"/>
  <c r="AL1220" i="178"/>
  <c r="AM1220" i="178"/>
  <c r="AN1220" i="178"/>
  <c r="AO1220" i="178"/>
  <c r="AD1216" i="178"/>
  <c r="AE1216" i="178"/>
  <c r="AF1216" i="178"/>
  <c r="AG1216" i="178"/>
  <c r="AH1216" i="178"/>
  <c r="AI1216" i="178"/>
  <c r="AJ1216" i="178"/>
  <c r="AK1216" i="178"/>
  <c r="AL1216" i="178"/>
  <c r="AM1216" i="178"/>
  <c r="AN1216" i="178"/>
  <c r="AO1216" i="178"/>
  <c r="AD1217" i="178"/>
  <c r="AE1217" i="178"/>
  <c r="AF1217" i="178"/>
  <c r="AG1217" i="178"/>
  <c r="AH1217" i="178"/>
  <c r="AI1217" i="178"/>
  <c r="AJ1217" i="178"/>
  <c r="AK1217" i="178"/>
  <c r="AL1217" i="178"/>
  <c r="AM1217" i="178"/>
  <c r="AN1217" i="178"/>
  <c r="AO1217" i="178"/>
  <c r="AD1221" i="178"/>
  <c r="AE1221" i="178"/>
  <c r="AF1221" i="178"/>
  <c r="AG1221" i="178"/>
  <c r="AH1221" i="178"/>
  <c r="AI1221" i="178"/>
  <c r="AJ1221" i="178"/>
  <c r="AK1221" i="178"/>
  <c r="AL1221" i="178"/>
  <c r="AM1221" i="178"/>
  <c r="AN1221" i="178"/>
  <c r="AO1221" i="178"/>
  <c r="AD1222" i="178"/>
  <c r="AE1222" i="178"/>
  <c r="AF1222" i="178"/>
  <c r="AG1222" i="178"/>
  <c r="AH1222" i="178"/>
  <c r="AI1222" i="178"/>
  <c r="AJ1222" i="178"/>
  <c r="AK1222" i="178"/>
  <c r="AL1222" i="178"/>
  <c r="AM1222" i="178"/>
  <c r="AN1222" i="178"/>
  <c r="AO1222" i="178"/>
  <c r="AD1240" i="178"/>
  <c r="AE1240" i="178"/>
  <c r="AF1240" i="178"/>
  <c r="AG1240" i="178"/>
  <c r="AH1240" i="178"/>
  <c r="AI1240" i="178"/>
  <c r="AJ1240" i="178"/>
  <c r="AK1240" i="178"/>
  <c r="AL1240" i="178"/>
  <c r="AM1240" i="178"/>
  <c r="AN1240" i="178"/>
  <c r="AO1240" i="178"/>
  <c r="AD1241" i="178"/>
  <c r="AE1241" i="178"/>
  <c r="AF1241" i="178"/>
  <c r="AG1241" i="178"/>
  <c r="AH1241" i="178"/>
  <c r="AI1241" i="178"/>
  <c r="AJ1241" i="178"/>
  <c r="AK1241" i="178"/>
  <c r="AL1241" i="178"/>
  <c r="AM1241" i="178"/>
  <c r="AN1241" i="178"/>
  <c r="AO1241" i="178"/>
  <c r="AD1246" i="178"/>
  <c r="AE1246" i="178"/>
  <c r="AF1246" i="178"/>
  <c r="AG1246" i="178"/>
  <c r="AH1246" i="178"/>
  <c r="AI1246" i="178"/>
  <c r="AJ1246" i="178"/>
  <c r="AK1246" i="178"/>
  <c r="AL1246" i="178"/>
  <c r="AM1246" i="178"/>
  <c r="AN1246" i="178"/>
  <c r="AO1246" i="178"/>
  <c r="AD1245" i="178"/>
  <c r="AE1245" i="178"/>
  <c r="AF1245" i="178"/>
  <c r="AG1245" i="178"/>
  <c r="AH1245" i="178"/>
  <c r="AI1245" i="178"/>
  <c r="AJ1245" i="178"/>
  <c r="AK1245" i="178"/>
  <c r="AL1245" i="178"/>
  <c r="AM1245" i="178"/>
  <c r="AN1245" i="178"/>
  <c r="AO1245" i="178"/>
  <c r="AD1247" i="178"/>
  <c r="AE1247" i="178"/>
  <c r="AF1247" i="178"/>
  <c r="AG1247" i="178"/>
  <c r="AH1247" i="178"/>
  <c r="AI1247" i="178"/>
  <c r="AJ1247" i="178"/>
  <c r="AK1247" i="178"/>
  <c r="AL1247" i="178"/>
  <c r="AM1247" i="178"/>
  <c r="AN1247" i="178"/>
  <c r="AO1247" i="178"/>
  <c r="AD1248" i="178"/>
  <c r="AE1248" i="178"/>
  <c r="AF1248" i="178"/>
  <c r="AG1248" i="178"/>
  <c r="AH1248" i="178"/>
  <c r="AI1248" i="178"/>
  <c r="AJ1248" i="178"/>
  <c r="AK1248" i="178"/>
  <c r="AL1248" i="178"/>
  <c r="AM1248" i="178"/>
  <c r="AN1248" i="178"/>
  <c r="AO1248" i="178"/>
  <c r="AD430" i="178"/>
  <c r="AE430" i="178"/>
  <c r="AF430" i="178"/>
  <c r="AG430" i="178"/>
  <c r="AH430" i="178"/>
  <c r="AI430" i="178"/>
  <c r="AJ430" i="178"/>
  <c r="AK430" i="178"/>
  <c r="AL430" i="178"/>
  <c r="AM430" i="178"/>
  <c r="AN430" i="178"/>
  <c r="AO430" i="178"/>
  <c r="AD545" i="178"/>
  <c r="AE545" i="178"/>
  <c r="AF545" i="178"/>
  <c r="AG545" i="178"/>
  <c r="AH545" i="178"/>
  <c r="AI545" i="178"/>
  <c r="AJ545" i="178"/>
  <c r="AK545" i="178"/>
  <c r="AL545" i="178"/>
  <c r="AM545" i="178"/>
  <c r="AN545" i="178"/>
  <c r="AO545" i="178"/>
  <c r="AD560" i="178"/>
  <c r="AE560" i="178"/>
  <c r="AF560" i="178"/>
  <c r="AG560" i="178"/>
  <c r="AH560" i="178"/>
  <c r="AI560" i="178"/>
  <c r="AJ560" i="178"/>
  <c r="AK560" i="178"/>
  <c r="AL560" i="178"/>
  <c r="AM560" i="178"/>
  <c r="AN560" i="178"/>
  <c r="AO560" i="178"/>
  <c r="AD561" i="178"/>
  <c r="AE561" i="178"/>
  <c r="AF561" i="178"/>
  <c r="AG561" i="178"/>
  <c r="AH561" i="178"/>
  <c r="AI561" i="178"/>
  <c r="AJ561" i="178"/>
  <c r="AK561" i="178"/>
  <c r="AL561" i="178"/>
  <c r="AM561" i="178"/>
  <c r="AN561" i="178"/>
  <c r="AO561" i="178"/>
  <c r="AD562" i="178"/>
  <c r="AE562" i="178"/>
  <c r="AF562" i="178"/>
  <c r="AG562" i="178"/>
  <c r="AH562" i="178"/>
  <c r="AI562" i="178"/>
  <c r="AJ562" i="178"/>
  <c r="AK562" i="178"/>
  <c r="AL562" i="178"/>
  <c r="AM562" i="178"/>
  <c r="AN562" i="178"/>
  <c r="AO562" i="178"/>
  <c r="AD563" i="178"/>
  <c r="AE563" i="178"/>
  <c r="AF563" i="178"/>
  <c r="AG563" i="178"/>
  <c r="AH563" i="178"/>
  <c r="AI563" i="178"/>
  <c r="AJ563" i="178"/>
  <c r="AK563" i="178"/>
  <c r="AL563" i="178"/>
  <c r="AM563" i="178"/>
  <c r="AN563" i="178"/>
  <c r="AO563" i="178"/>
  <c r="AD764" i="178"/>
  <c r="AE764" i="178"/>
  <c r="AF764" i="178"/>
  <c r="AG764" i="178"/>
  <c r="AH764" i="178"/>
  <c r="AI764" i="178"/>
  <c r="AJ764" i="178"/>
  <c r="AK764" i="178"/>
  <c r="AL764" i="178"/>
  <c r="AM764" i="178"/>
  <c r="AN764" i="178"/>
  <c r="AO764" i="178"/>
  <c r="AD800" i="178"/>
  <c r="AE800" i="178"/>
  <c r="AF800" i="178"/>
  <c r="AG800" i="178"/>
  <c r="AH800" i="178"/>
  <c r="AI800" i="178"/>
  <c r="AJ800" i="178"/>
  <c r="AK800" i="178"/>
  <c r="AL800" i="178"/>
  <c r="AM800" i="178"/>
  <c r="AN800" i="178"/>
  <c r="AO800" i="178"/>
  <c r="AD801" i="178"/>
  <c r="AE801" i="178"/>
  <c r="AF801" i="178"/>
  <c r="AG801" i="178"/>
  <c r="AH801" i="178"/>
  <c r="AI801" i="178"/>
  <c r="AJ801" i="178"/>
  <c r="AK801" i="178"/>
  <c r="AL801" i="178"/>
  <c r="AM801" i="178"/>
  <c r="AN801" i="178"/>
  <c r="AO801" i="178"/>
  <c r="AD802" i="178"/>
  <c r="AE802" i="178"/>
  <c r="AF802" i="178"/>
  <c r="AG802" i="178"/>
  <c r="AH802" i="178"/>
  <c r="AI802" i="178"/>
  <c r="AJ802" i="178"/>
  <c r="AK802" i="178"/>
  <c r="AL802" i="178"/>
  <c r="AM802" i="178"/>
  <c r="AN802" i="178"/>
  <c r="AO802" i="178"/>
  <c r="AD814" i="178"/>
  <c r="AE814" i="178"/>
  <c r="AF814" i="178"/>
  <c r="AG814" i="178"/>
  <c r="AH814" i="178"/>
  <c r="AI814" i="178"/>
  <c r="AJ814" i="178"/>
  <c r="AK814" i="178"/>
  <c r="AL814" i="178"/>
  <c r="AM814" i="178"/>
  <c r="AN814" i="178"/>
  <c r="AO814" i="178"/>
  <c r="AD901" i="178"/>
  <c r="AE901" i="178"/>
  <c r="AF901" i="178"/>
  <c r="AG901" i="178"/>
  <c r="AH901" i="178"/>
  <c r="AI901" i="178"/>
  <c r="AJ901" i="178"/>
  <c r="AK901" i="178"/>
  <c r="AL901" i="178"/>
  <c r="AM901" i="178"/>
  <c r="AN901" i="178"/>
  <c r="AO901" i="178"/>
  <c r="AD916" i="178"/>
  <c r="AE916" i="178"/>
  <c r="AF916" i="178"/>
  <c r="AG916" i="178"/>
  <c r="AH916" i="178"/>
  <c r="AI916" i="178"/>
  <c r="AJ916" i="178"/>
  <c r="AK916" i="178"/>
  <c r="AL916" i="178"/>
  <c r="AM916" i="178"/>
  <c r="AN916" i="178"/>
  <c r="AO916" i="178"/>
  <c r="AD917" i="178"/>
  <c r="AE917" i="178"/>
  <c r="AF917" i="178"/>
  <c r="AG917" i="178"/>
  <c r="AH917" i="178"/>
  <c r="AI917" i="178"/>
  <c r="AJ917" i="178"/>
  <c r="AK917" i="178"/>
  <c r="AL917" i="178"/>
  <c r="AM917" i="178"/>
  <c r="AN917" i="178"/>
  <c r="AO917" i="178"/>
  <c r="AD134" i="178"/>
  <c r="AE134" i="178"/>
  <c r="AF134" i="178"/>
  <c r="AG134" i="178"/>
  <c r="AH134" i="178"/>
  <c r="AI134" i="178"/>
  <c r="AJ134" i="178"/>
  <c r="AK134" i="178"/>
  <c r="AL134" i="178"/>
  <c r="AM134" i="178"/>
  <c r="AN134" i="178"/>
  <c r="AO134" i="178"/>
  <c r="AD421" i="178"/>
  <c r="AE421" i="178"/>
  <c r="AF421" i="178"/>
  <c r="AG421" i="178"/>
  <c r="AH421" i="178"/>
  <c r="AI421" i="178"/>
  <c r="AJ421" i="178"/>
  <c r="AK421" i="178"/>
  <c r="AL421" i="178"/>
  <c r="AM421" i="178"/>
  <c r="AN421" i="178"/>
  <c r="AO421" i="178"/>
  <c r="AD484" i="178"/>
  <c r="AE484" i="178"/>
  <c r="AF484" i="178"/>
  <c r="AG484" i="178"/>
  <c r="AH484" i="178"/>
  <c r="AI484" i="178"/>
  <c r="AJ484" i="178"/>
  <c r="AK484" i="178"/>
  <c r="AL484" i="178"/>
  <c r="AM484" i="178"/>
  <c r="AN484" i="178"/>
  <c r="AO484" i="178"/>
  <c r="AD546" i="178"/>
  <c r="AE546" i="178"/>
  <c r="AF546" i="178"/>
  <c r="AG546" i="178"/>
  <c r="AH546" i="178"/>
  <c r="AI546" i="178"/>
  <c r="AJ546" i="178"/>
  <c r="AK546" i="178"/>
  <c r="AL546" i="178"/>
  <c r="AM546" i="178"/>
  <c r="AN546" i="178"/>
  <c r="AO546" i="178"/>
  <c r="AD572" i="178"/>
  <c r="AE572" i="178"/>
  <c r="AF572" i="178"/>
  <c r="AG572" i="178"/>
  <c r="AH572" i="178"/>
  <c r="AI572" i="178"/>
  <c r="AJ572" i="178"/>
  <c r="AK572" i="178"/>
  <c r="AL572" i="178"/>
  <c r="AM572" i="178"/>
  <c r="AN572" i="178"/>
  <c r="AO572" i="178"/>
  <c r="AD680" i="178"/>
  <c r="AE680" i="178"/>
  <c r="AF680" i="178"/>
  <c r="AG680" i="178"/>
  <c r="AH680" i="178"/>
  <c r="AI680" i="178"/>
  <c r="AJ680" i="178"/>
  <c r="AK680" i="178"/>
  <c r="AL680" i="178"/>
  <c r="AM680" i="178"/>
  <c r="AN680" i="178"/>
  <c r="AO680" i="178"/>
  <c r="AD682" i="178"/>
  <c r="AE682" i="178"/>
  <c r="AF682" i="178"/>
  <c r="AG682" i="178"/>
  <c r="AH682" i="178"/>
  <c r="AI682" i="178"/>
  <c r="AJ682" i="178"/>
  <c r="AK682" i="178"/>
  <c r="AL682" i="178"/>
  <c r="AM682" i="178"/>
  <c r="AN682" i="178"/>
  <c r="AO682" i="178"/>
  <c r="AD681" i="178"/>
  <c r="AE681" i="178"/>
  <c r="AF681" i="178"/>
  <c r="AG681" i="178"/>
  <c r="AH681" i="178"/>
  <c r="AI681" i="178"/>
  <c r="AJ681" i="178"/>
  <c r="AK681" i="178"/>
  <c r="AL681" i="178"/>
  <c r="AM681" i="178"/>
  <c r="AN681" i="178"/>
  <c r="AO681" i="178"/>
  <c r="AD683" i="178"/>
  <c r="AE683" i="178"/>
  <c r="AF683" i="178"/>
  <c r="AG683" i="178"/>
  <c r="AH683" i="178"/>
  <c r="AI683" i="178"/>
  <c r="AJ683" i="178"/>
  <c r="AK683" i="178"/>
  <c r="AL683" i="178"/>
  <c r="AM683" i="178"/>
  <c r="AN683" i="178"/>
  <c r="AO683" i="178"/>
  <c r="AD684" i="178"/>
  <c r="AE684" i="178"/>
  <c r="AF684" i="178"/>
  <c r="AG684" i="178"/>
  <c r="AH684" i="178"/>
  <c r="AI684" i="178"/>
  <c r="AJ684" i="178"/>
  <c r="AK684" i="178"/>
  <c r="AL684" i="178"/>
  <c r="AM684" i="178"/>
  <c r="AN684" i="178"/>
  <c r="AO684" i="178"/>
  <c r="AD735" i="178"/>
  <c r="AE735" i="178"/>
  <c r="AF735" i="178"/>
  <c r="AG735" i="178"/>
  <c r="AH735" i="178"/>
  <c r="AI735" i="178"/>
  <c r="AJ735" i="178"/>
  <c r="AK735" i="178"/>
  <c r="AL735" i="178"/>
  <c r="AM735" i="178"/>
  <c r="AN735" i="178"/>
  <c r="AO735" i="178"/>
  <c r="AD736" i="178"/>
  <c r="AE736" i="178"/>
  <c r="AF736" i="178"/>
  <c r="AG736" i="178"/>
  <c r="AH736" i="178"/>
  <c r="AI736" i="178"/>
  <c r="AJ736" i="178"/>
  <c r="AK736" i="178"/>
  <c r="AL736" i="178"/>
  <c r="AM736" i="178"/>
  <c r="AN736" i="178"/>
  <c r="AO736" i="178"/>
  <c r="AD765" i="178"/>
  <c r="AE765" i="178"/>
  <c r="AF765" i="178"/>
  <c r="AG765" i="178"/>
  <c r="AH765" i="178"/>
  <c r="AI765" i="178"/>
  <c r="AJ765" i="178"/>
  <c r="AK765" i="178"/>
  <c r="AL765" i="178"/>
  <c r="AM765" i="178"/>
  <c r="AN765" i="178"/>
  <c r="AO765" i="178"/>
  <c r="AD766" i="178"/>
  <c r="AE766" i="178"/>
  <c r="AF766" i="178"/>
  <c r="AG766" i="178"/>
  <c r="AH766" i="178"/>
  <c r="AI766" i="178"/>
  <c r="AJ766" i="178"/>
  <c r="AK766" i="178"/>
  <c r="AL766" i="178"/>
  <c r="AM766" i="178"/>
  <c r="AN766" i="178"/>
  <c r="AO766" i="178"/>
  <c r="AD815" i="178"/>
  <c r="AE815" i="178"/>
  <c r="AF815" i="178"/>
  <c r="AG815" i="178"/>
  <c r="AH815" i="178"/>
  <c r="AI815" i="178"/>
  <c r="AJ815" i="178"/>
  <c r="AK815" i="178"/>
  <c r="AL815" i="178"/>
  <c r="AM815" i="178"/>
  <c r="AN815" i="178"/>
  <c r="AO815" i="178"/>
  <c r="AD928" i="178"/>
  <c r="AE928" i="178"/>
  <c r="AF928" i="178"/>
  <c r="AG928" i="178"/>
  <c r="AH928" i="178"/>
  <c r="AI928" i="178"/>
  <c r="AJ928" i="178"/>
  <c r="AK928" i="178"/>
  <c r="AL928" i="178"/>
  <c r="AM928" i="178"/>
  <c r="AN928" i="178"/>
  <c r="AO928" i="178"/>
  <c r="AD929" i="178"/>
  <c r="AE929" i="178"/>
  <c r="AF929" i="178"/>
  <c r="AG929" i="178"/>
  <c r="AH929" i="178"/>
  <c r="AI929" i="178"/>
  <c r="AJ929" i="178"/>
  <c r="AK929" i="178"/>
  <c r="AL929" i="178"/>
  <c r="AM929" i="178"/>
  <c r="AN929" i="178"/>
  <c r="AO929" i="178"/>
  <c r="AD930" i="178"/>
  <c r="AE930" i="178"/>
  <c r="AF930" i="178"/>
  <c r="AG930" i="178"/>
  <c r="AH930" i="178"/>
  <c r="AI930" i="178"/>
  <c r="AJ930" i="178"/>
  <c r="AK930" i="178"/>
  <c r="AL930" i="178"/>
  <c r="AM930" i="178"/>
  <c r="AN930" i="178"/>
  <c r="AO930" i="178"/>
  <c r="AD931" i="178"/>
  <c r="AE931" i="178"/>
  <c r="AF931" i="178"/>
  <c r="AG931" i="178"/>
  <c r="AH931" i="178"/>
  <c r="AI931" i="178"/>
  <c r="AJ931" i="178"/>
  <c r="AK931" i="178"/>
  <c r="AL931" i="178"/>
  <c r="AM931" i="178"/>
  <c r="AN931" i="178"/>
  <c r="AO931" i="178"/>
  <c r="AD1146" i="178"/>
  <c r="AE1146" i="178"/>
  <c r="AF1146" i="178"/>
  <c r="AG1146" i="178"/>
  <c r="AH1146" i="178"/>
  <c r="AI1146" i="178"/>
  <c r="AJ1146" i="178"/>
  <c r="AK1146" i="178"/>
  <c r="AL1146" i="178"/>
  <c r="AM1146" i="178"/>
  <c r="AN1146" i="178"/>
  <c r="AO1146" i="178"/>
  <c r="AD147" i="178"/>
  <c r="AE147" i="178"/>
  <c r="AF147" i="178"/>
  <c r="AG147" i="178"/>
  <c r="AH147" i="178"/>
  <c r="AI147" i="178"/>
  <c r="AJ147" i="178"/>
  <c r="AK147" i="178"/>
  <c r="AL147" i="178"/>
  <c r="AM147" i="178"/>
  <c r="AN147" i="178"/>
  <c r="AO147" i="178"/>
  <c r="AD207" i="178"/>
  <c r="AE207" i="178"/>
  <c r="AF207" i="178"/>
  <c r="AG207" i="178"/>
  <c r="AH207" i="178"/>
  <c r="AI207" i="178"/>
  <c r="AJ207" i="178"/>
  <c r="AK207" i="178"/>
  <c r="AL207" i="178"/>
  <c r="AM207" i="178"/>
  <c r="AN207" i="178"/>
  <c r="AO207" i="178"/>
  <c r="AD208" i="178"/>
  <c r="AE208" i="178"/>
  <c r="AF208" i="178"/>
  <c r="AG208" i="178"/>
  <c r="AH208" i="178"/>
  <c r="AI208" i="178"/>
  <c r="AJ208" i="178"/>
  <c r="AK208" i="178"/>
  <c r="AL208" i="178"/>
  <c r="AM208" i="178"/>
  <c r="AN208" i="178"/>
  <c r="AO208" i="178"/>
  <c r="AD278" i="178"/>
  <c r="AE278" i="178"/>
  <c r="AF278" i="178"/>
  <c r="AG278" i="178"/>
  <c r="AH278" i="178"/>
  <c r="AI278" i="178"/>
  <c r="AJ278" i="178"/>
  <c r="AK278" i="178"/>
  <c r="AL278" i="178"/>
  <c r="AM278" i="178"/>
  <c r="AN278" i="178"/>
  <c r="AO278" i="178"/>
  <c r="AD1061" i="178"/>
  <c r="AE1061" i="178"/>
  <c r="AF1061" i="178"/>
  <c r="AG1061" i="178"/>
  <c r="AH1061" i="178"/>
  <c r="AI1061" i="178"/>
  <c r="AJ1061" i="178"/>
  <c r="AK1061" i="178"/>
  <c r="AL1061" i="178"/>
  <c r="AM1061" i="178"/>
  <c r="AN1061" i="178"/>
  <c r="AO1061" i="178"/>
  <c r="AD1062" i="178"/>
  <c r="AE1062" i="178"/>
  <c r="AF1062" i="178"/>
  <c r="AG1062" i="178"/>
  <c r="AH1062" i="178"/>
  <c r="AI1062" i="178"/>
  <c r="AJ1062" i="178"/>
  <c r="AK1062" i="178"/>
  <c r="AL1062" i="178"/>
  <c r="AM1062" i="178"/>
  <c r="AN1062" i="178"/>
  <c r="AO1062" i="178"/>
  <c r="AD1258" i="178"/>
  <c r="AE1258" i="178"/>
  <c r="AF1258" i="178"/>
  <c r="AG1258" i="178"/>
  <c r="AH1258" i="178"/>
  <c r="AI1258" i="178"/>
  <c r="AJ1258" i="178"/>
  <c r="AK1258" i="178"/>
  <c r="AL1258" i="178"/>
  <c r="AM1258" i="178"/>
  <c r="AN1258" i="178"/>
  <c r="AO1258" i="178"/>
  <c r="AD1270" i="178"/>
  <c r="AE1270" i="178"/>
  <c r="AF1270" i="178"/>
  <c r="AG1270" i="178"/>
  <c r="AH1270" i="178"/>
  <c r="AI1270" i="178"/>
  <c r="AJ1270" i="178"/>
  <c r="AK1270" i="178"/>
  <c r="AL1270" i="178"/>
  <c r="AM1270" i="178"/>
  <c r="AN1270" i="178"/>
  <c r="AO1270" i="178"/>
  <c r="AD8" i="178"/>
  <c r="AE8" i="178"/>
  <c r="AF8" i="178"/>
  <c r="AG8" i="178"/>
  <c r="AH8" i="178"/>
  <c r="AI8" i="178"/>
  <c r="AJ8" i="178"/>
  <c r="AK8" i="178"/>
  <c r="AL8" i="178"/>
  <c r="AM8" i="178"/>
  <c r="AN8" i="178"/>
  <c r="AO8" i="178"/>
  <c r="AD10" i="178"/>
  <c r="AE10" i="178"/>
  <c r="AF10" i="178"/>
  <c r="AG10" i="178"/>
  <c r="AH10" i="178"/>
  <c r="AI10" i="178"/>
  <c r="AJ10" i="178"/>
  <c r="AK10" i="178"/>
  <c r="AL10" i="178"/>
  <c r="AM10" i="178"/>
  <c r="AN10" i="178"/>
  <c r="AO10" i="178"/>
  <c r="AD4" i="178"/>
  <c r="AE4" i="178"/>
  <c r="AF4" i="178"/>
  <c r="AG4" i="178"/>
  <c r="AH4" i="178"/>
  <c r="AI4" i="178"/>
  <c r="AJ4" i="178"/>
  <c r="AK4" i="178"/>
  <c r="AL4" i="178"/>
  <c r="AM4" i="178"/>
  <c r="AN4" i="178"/>
  <c r="AO4" i="178"/>
  <c r="AD5" i="178"/>
  <c r="AE5" i="178"/>
  <c r="AF5" i="178"/>
  <c r="AG5" i="178"/>
  <c r="AH5" i="178"/>
  <c r="AI5" i="178"/>
  <c r="AJ5" i="178"/>
  <c r="AK5" i="178"/>
  <c r="AL5" i="178"/>
  <c r="AM5" i="178"/>
  <c r="AN5" i="178"/>
  <c r="AO5" i="178"/>
  <c r="AD9" i="178"/>
  <c r="AE9" i="178"/>
  <c r="AF9" i="178"/>
  <c r="AG9" i="178"/>
  <c r="AH9" i="178"/>
  <c r="AI9" i="178"/>
  <c r="AJ9" i="178"/>
  <c r="AK9" i="178"/>
  <c r="AL9" i="178"/>
  <c r="AM9" i="178"/>
  <c r="AN9" i="178"/>
  <c r="AO9" i="178"/>
  <c r="AD6" i="178"/>
  <c r="AE6" i="178"/>
  <c r="AF6" i="178"/>
  <c r="AG6" i="178"/>
  <c r="AH6" i="178"/>
  <c r="AI6" i="178"/>
  <c r="AJ6" i="178"/>
  <c r="AK6" i="178"/>
  <c r="AL6" i="178"/>
  <c r="AM6" i="178"/>
  <c r="AN6" i="178"/>
  <c r="AO6" i="178"/>
  <c r="AD11" i="178"/>
  <c r="AE11" i="178"/>
  <c r="AF11" i="178"/>
  <c r="AG11" i="178"/>
  <c r="AH11" i="178"/>
  <c r="AI11" i="178"/>
  <c r="AJ11" i="178"/>
  <c r="AK11" i="178"/>
  <c r="AL11" i="178"/>
  <c r="AM11" i="178"/>
  <c r="AN11" i="178"/>
  <c r="AO11" i="178"/>
  <c r="AD7" i="178"/>
  <c r="AE7" i="178"/>
  <c r="AF7" i="178"/>
  <c r="AG7" i="178"/>
  <c r="AH7" i="178"/>
  <c r="AI7" i="178"/>
  <c r="AJ7" i="178"/>
  <c r="AK7" i="178"/>
  <c r="AL7" i="178"/>
  <c r="AM7" i="178"/>
  <c r="AN7" i="178"/>
  <c r="AO7" i="178"/>
  <c r="AD22" i="178"/>
  <c r="AE22" i="178"/>
  <c r="AF22" i="178"/>
  <c r="AG22" i="178"/>
  <c r="AH22" i="178"/>
  <c r="AI22" i="178"/>
  <c r="AJ22" i="178"/>
  <c r="AK22" i="178"/>
  <c r="AL22" i="178"/>
  <c r="AM22" i="178"/>
  <c r="AN22" i="178"/>
  <c r="AO22" i="178"/>
  <c r="AD19" i="178"/>
  <c r="AE19" i="178"/>
  <c r="AF19" i="178"/>
  <c r="AG19" i="178"/>
  <c r="AH19" i="178"/>
  <c r="AI19" i="178"/>
  <c r="AJ19" i="178"/>
  <c r="AK19" i="178"/>
  <c r="AL19" i="178"/>
  <c r="AM19" i="178"/>
  <c r="AN19" i="178"/>
  <c r="AO19" i="178"/>
  <c r="AD18" i="178"/>
  <c r="AE18" i="178"/>
  <c r="AF18" i="178"/>
  <c r="AG18" i="178"/>
  <c r="AH18" i="178"/>
  <c r="AI18" i="178"/>
  <c r="AJ18" i="178"/>
  <c r="AK18" i="178"/>
  <c r="AL18" i="178"/>
  <c r="AM18" i="178"/>
  <c r="AN18" i="178"/>
  <c r="AO18" i="178"/>
  <c r="AD20" i="178"/>
  <c r="AE20" i="178"/>
  <c r="AF20" i="178"/>
  <c r="AG20" i="178"/>
  <c r="AH20" i="178"/>
  <c r="AI20" i="178"/>
  <c r="AJ20" i="178"/>
  <c r="AK20" i="178"/>
  <c r="AL20" i="178"/>
  <c r="AM20" i="178"/>
  <c r="AN20" i="178"/>
  <c r="AO20" i="178"/>
  <c r="AD21" i="178"/>
  <c r="AE21" i="178"/>
  <c r="AF21" i="178"/>
  <c r="AG21" i="178"/>
  <c r="AH21" i="178"/>
  <c r="AI21" i="178"/>
  <c r="AJ21" i="178"/>
  <c r="AK21" i="178"/>
  <c r="AL21" i="178"/>
  <c r="AM21" i="178"/>
  <c r="AN21" i="178"/>
  <c r="AO21" i="178"/>
  <c r="AD27" i="178"/>
  <c r="AE27" i="178"/>
  <c r="AF27" i="178"/>
  <c r="AG27" i="178"/>
  <c r="AH27" i="178"/>
  <c r="AI27" i="178"/>
  <c r="AJ27" i="178"/>
  <c r="AK27" i="178"/>
  <c r="AL27" i="178"/>
  <c r="AM27" i="178"/>
  <c r="AN27" i="178"/>
  <c r="AO27" i="178"/>
  <c r="AD23" i="178"/>
  <c r="AE23" i="178"/>
  <c r="AF23" i="178"/>
  <c r="AG23" i="178"/>
  <c r="AH23" i="178"/>
  <c r="AI23" i="178"/>
  <c r="AJ23" i="178"/>
  <c r="AK23" i="178"/>
  <c r="AL23" i="178"/>
  <c r="AM23" i="178"/>
  <c r="AN23" i="178"/>
  <c r="AO23" i="178"/>
  <c r="AD26" i="178"/>
  <c r="AE26" i="178"/>
  <c r="AF26" i="178"/>
  <c r="AG26" i="178"/>
  <c r="AH26" i="178"/>
  <c r="AI26" i="178"/>
  <c r="AJ26" i="178"/>
  <c r="AK26" i="178"/>
  <c r="AL26" i="178"/>
  <c r="AM26" i="178"/>
  <c r="AN26" i="178"/>
  <c r="AO26" i="178"/>
  <c r="AD24" i="178"/>
  <c r="AE24" i="178"/>
  <c r="AF24" i="178"/>
  <c r="AG24" i="178"/>
  <c r="AH24" i="178"/>
  <c r="AI24" i="178"/>
  <c r="AJ24" i="178"/>
  <c r="AK24" i="178"/>
  <c r="AL24" i="178"/>
  <c r="AM24" i="178"/>
  <c r="AN24" i="178"/>
  <c r="AO24" i="178"/>
  <c r="AD25" i="178"/>
  <c r="AE25" i="178"/>
  <c r="AF25" i="178"/>
  <c r="AG25" i="178"/>
  <c r="AH25" i="178"/>
  <c r="AI25" i="178"/>
  <c r="AJ25" i="178"/>
  <c r="AK25" i="178"/>
  <c r="AL25" i="178"/>
  <c r="AM25" i="178"/>
  <c r="AN25" i="178"/>
  <c r="AO25" i="178"/>
  <c r="AD28" i="178"/>
  <c r="AE28" i="178"/>
  <c r="AF28" i="178"/>
  <c r="AG28" i="178"/>
  <c r="AH28" i="178"/>
  <c r="AI28" i="178"/>
  <c r="AJ28" i="178"/>
  <c r="AK28" i="178"/>
  <c r="AL28" i="178"/>
  <c r="AM28" i="178"/>
  <c r="AN28" i="178"/>
  <c r="AO28" i="178"/>
  <c r="AD30" i="178"/>
  <c r="AE30" i="178"/>
  <c r="AF30" i="178"/>
  <c r="AG30" i="178"/>
  <c r="AH30" i="178"/>
  <c r="AI30" i="178"/>
  <c r="AJ30" i="178"/>
  <c r="AK30" i="178"/>
  <c r="AL30" i="178"/>
  <c r="AM30" i="178"/>
  <c r="AN30" i="178"/>
  <c r="AO30" i="178"/>
  <c r="AD31" i="178"/>
  <c r="AE31" i="178"/>
  <c r="AF31" i="178"/>
  <c r="AG31" i="178"/>
  <c r="AH31" i="178"/>
  <c r="AI31" i="178"/>
  <c r="AJ31" i="178"/>
  <c r="AK31" i="178"/>
  <c r="AL31" i="178"/>
  <c r="AM31" i="178"/>
  <c r="AN31" i="178"/>
  <c r="AO31" i="178"/>
  <c r="AD32" i="178"/>
  <c r="AE32" i="178"/>
  <c r="AF32" i="178"/>
  <c r="AG32" i="178"/>
  <c r="AH32" i="178"/>
  <c r="AI32" i="178"/>
  <c r="AJ32" i="178"/>
  <c r="AK32" i="178"/>
  <c r="AL32" i="178"/>
  <c r="AM32" i="178"/>
  <c r="AN32" i="178"/>
  <c r="AO32" i="178"/>
  <c r="AD33" i="178"/>
  <c r="AE33" i="178"/>
  <c r="AF33" i="178"/>
  <c r="AG33" i="178"/>
  <c r="AH33" i="178"/>
  <c r="AI33" i="178"/>
  <c r="AJ33" i="178"/>
  <c r="AK33" i="178"/>
  <c r="AL33" i="178"/>
  <c r="AM33" i="178"/>
  <c r="AN33" i="178"/>
  <c r="AO33" i="178"/>
  <c r="AD34" i="178"/>
  <c r="AE34" i="178"/>
  <c r="AF34" i="178"/>
  <c r="AG34" i="178"/>
  <c r="AH34" i="178"/>
  <c r="AI34" i="178"/>
  <c r="AJ34" i="178"/>
  <c r="AK34" i="178"/>
  <c r="AL34" i="178"/>
  <c r="AM34" i="178"/>
  <c r="AN34" i="178"/>
  <c r="AO34" i="178"/>
  <c r="AD38" i="178"/>
  <c r="AE38" i="178"/>
  <c r="AF38" i="178"/>
  <c r="AG38" i="178"/>
  <c r="AH38" i="178"/>
  <c r="AI38" i="178"/>
  <c r="AJ38" i="178"/>
  <c r="AK38" i="178"/>
  <c r="AL38" i="178"/>
  <c r="AM38" i="178"/>
  <c r="AN38" i="178"/>
  <c r="AO38" i="178"/>
  <c r="AD39" i="178"/>
  <c r="AE39" i="178"/>
  <c r="AF39" i="178"/>
  <c r="AG39" i="178"/>
  <c r="AH39" i="178"/>
  <c r="AI39" i="178"/>
  <c r="AJ39" i="178"/>
  <c r="AK39" i="178"/>
  <c r="AL39" i="178"/>
  <c r="AM39" i="178"/>
  <c r="AN39" i="178"/>
  <c r="AO39" i="178"/>
  <c r="AD40" i="178"/>
  <c r="AE40" i="178"/>
  <c r="AF40" i="178"/>
  <c r="AG40" i="178"/>
  <c r="AH40" i="178"/>
  <c r="AI40" i="178"/>
  <c r="AJ40" i="178"/>
  <c r="AK40" i="178"/>
  <c r="AL40" i="178"/>
  <c r="AM40" i="178"/>
  <c r="AN40" i="178"/>
  <c r="AO40" i="178"/>
  <c r="AD41" i="178"/>
  <c r="AE41" i="178"/>
  <c r="AF41" i="178"/>
  <c r="AG41" i="178"/>
  <c r="AH41" i="178"/>
  <c r="AI41" i="178"/>
  <c r="AJ41" i="178"/>
  <c r="AK41" i="178"/>
  <c r="AL41" i="178"/>
  <c r="AM41" i="178"/>
  <c r="AN41" i="178"/>
  <c r="AO41" i="178"/>
  <c r="AD42" i="178"/>
  <c r="AE42" i="178"/>
  <c r="AF42" i="178"/>
  <c r="AG42" i="178"/>
  <c r="AH42" i="178"/>
  <c r="AI42" i="178"/>
  <c r="AJ42" i="178"/>
  <c r="AK42" i="178"/>
  <c r="AL42" i="178"/>
  <c r="AM42" i="178"/>
  <c r="AN42" i="178"/>
  <c r="AO42" i="178"/>
  <c r="AD43" i="178"/>
  <c r="AE43" i="178"/>
  <c r="AF43" i="178"/>
  <c r="AG43" i="178"/>
  <c r="AH43" i="178"/>
  <c r="AI43" i="178"/>
  <c r="AJ43" i="178"/>
  <c r="AK43" i="178"/>
  <c r="AL43" i="178"/>
  <c r="AM43" i="178"/>
  <c r="AN43" i="178"/>
  <c r="AO43" i="178"/>
  <c r="AD46" i="178"/>
  <c r="AE46" i="178"/>
  <c r="AF46" i="178"/>
  <c r="AG46" i="178"/>
  <c r="AH46" i="178"/>
  <c r="AI46" i="178"/>
  <c r="AJ46" i="178"/>
  <c r="AK46" i="178"/>
  <c r="AL46" i="178"/>
  <c r="AM46" i="178"/>
  <c r="AN46" i="178"/>
  <c r="AO46" i="178"/>
  <c r="AD47" i="178"/>
  <c r="AE47" i="178"/>
  <c r="AF47" i="178"/>
  <c r="AG47" i="178"/>
  <c r="AH47" i="178"/>
  <c r="AI47" i="178"/>
  <c r="AJ47" i="178"/>
  <c r="AK47" i="178"/>
  <c r="AL47" i="178"/>
  <c r="AM47" i="178"/>
  <c r="AN47" i="178"/>
  <c r="AO47" i="178"/>
  <c r="AD51" i="178"/>
  <c r="AE51" i="178"/>
  <c r="AF51" i="178"/>
  <c r="AG51" i="178"/>
  <c r="AH51" i="178"/>
  <c r="AI51" i="178"/>
  <c r="AJ51" i="178"/>
  <c r="AK51" i="178"/>
  <c r="AL51" i="178"/>
  <c r="AM51" i="178"/>
  <c r="AN51" i="178"/>
  <c r="AO51" i="178"/>
  <c r="AD50" i="178"/>
  <c r="AE50" i="178"/>
  <c r="AF50" i="178"/>
  <c r="AG50" i="178"/>
  <c r="AH50" i="178"/>
  <c r="AI50" i="178"/>
  <c r="AJ50" i="178"/>
  <c r="AK50" i="178"/>
  <c r="AL50" i="178"/>
  <c r="AM50" i="178"/>
  <c r="AN50" i="178"/>
  <c r="AO50" i="178"/>
  <c r="AD53" i="178"/>
  <c r="AE53" i="178"/>
  <c r="AF53" i="178"/>
  <c r="AG53" i="178"/>
  <c r="AH53" i="178"/>
  <c r="AI53" i="178"/>
  <c r="AJ53" i="178"/>
  <c r="AK53" i="178"/>
  <c r="AL53" i="178"/>
  <c r="AM53" i="178"/>
  <c r="AN53" i="178"/>
  <c r="AO53" i="178"/>
  <c r="AD52" i="178"/>
  <c r="AE52" i="178"/>
  <c r="AF52" i="178"/>
  <c r="AG52" i="178"/>
  <c r="AH52" i="178"/>
  <c r="AI52" i="178"/>
  <c r="AJ52" i="178"/>
  <c r="AK52" i="178"/>
  <c r="AL52" i="178"/>
  <c r="AM52" i="178"/>
  <c r="AN52" i="178"/>
  <c r="AO52" i="178"/>
  <c r="AD60" i="178"/>
  <c r="AE60" i="178"/>
  <c r="AF60" i="178"/>
  <c r="AG60" i="178"/>
  <c r="AH60" i="178"/>
  <c r="AI60" i="178"/>
  <c r="AJ60" i="178"/>
  <c r="AK60" i="178"/>
  <c r="AL60" i="178"/>
  <c r="AM60" i="178"/>
  <c r="AN60" i="178"/>
  <c r="AO60" i="178"/>
  <c r="AD63" i="178"/>
  <c r="AE63" i="178"/>
  <c r="AF63" i="178"/>
  <c r="AG63" i="178"/>
  <c r="AH63" i="178"/>
  <c r="AI63" i="178"/>
  <c r="AJ63" i="178"/>
  <c r="AK63" i="178"/>
  <c r="AL63" i="178"/>
  <c r="AM63" i="178"/>
  <c r="AN63" i="178"/>
  <c r="AO63" i="178"/>
  <c r="AD61" i="178"/>
  <c r="AE61" i="178"/>
  <c r="AF61" i="178"/>
  <c r="AG61" i="178"/>
  <c r="AH61" i="178"/>
  <c r="AI61" i="178"/>
  <c r="AJ61" i="178"/>
  <c r="AK61" i="178"/>
  <c r="AL61" i="178"/>
  <c r="AM61" i="178"/>
  <c r="AN61" i="178"/>
  <c r="AO61" i="178"/>
  <c r="AD62" i="178"/>
  <c r="AE62" i="178"/>
  <c r="AF62" i="178"/>
  <c r="AG62" i="178"/>
  <c r="AH62" i="178"/>
  <c r="AI62" i="178"/>
  <c r="AJ62" i="178"/>
  <c r="AK62" i="178"/>
  <c r="AL62" i="178"/>
  <c r="AM62" i="178"/>
  <c r="AN62" i="178"/>
  <c r="AO62" i="178"/>
  <c r="AD64" i="178"/>
  <c r="AE64" i="178"/>
  <c r="AF64" i="178"/>
  <c r="AG64" i="178"/>
  <c r="AH64" i="178"/>
  <c r="AI64" i="178"/>
  <c r="AJ64" i="178"/>
  <c r="AK64" i="178"/>
  <c r="AL64" i="178"/>
  <c r="AM64" i="178"/>
  <c r="AN64" i="178"/>
  <c r="AO64" i="178"/>
  <c r="AD71" i="178"/>
  <c r="AE71" i="178"/>
  <c r="AF71" i="178"/>
  <c r="AG71" i="178"/>
  <c r="AH71" i="178"/>
  <c r="AI71" i="178"/>
  <c r="AJ71" i="178"/>
  <c r="AK71" i="178"/>
  <c r="AL71" i="178"/>
  <c r="AM71" i="178"/>
  <c r="AN71" i="178"/>
  <c r="AO71" i="178"/>
  <c r="AD70" i="178"/>
  <c r="AE70" i="178"/>
  <c r="AF70" i="178"/>
  <c r="AG70" i="178"/>
  <c r="AH70" i="178"/>
  <c r="AI70" i="178"/>
  <c r="AJ70" i="178"/>
  <c r="AK70" i="178"/>
  <c r="AL70" i="178"/>
  <c r="AM70" i="178"/>
  <c r="AN70" i="178"/>
  <c r="AO70" i="178"/>
  <c r="AD90" i="178"/>
  <c r="AE90" i="178"/>
  <c r="AF90" i="178"/>
  <c r="AG90" i="178"/>
  <c r="AH90" i="178"/>
  <c r="AI90" i="178"/>
  <c r="AJ90" i="178"/>
  <c r="AK90" i="178"/>
  <c r="AL90" i="178"/>
  <c r="AM90" i="178"/>
  <c r="AN90" i="178"/>
  <c r="AO90" i="178"/>
  <c r="AD91" i="178"/>
  <c r="AE91" i="178"/>
  <c r="AF91" i="178"/>
  <c r="AG91" i="178"/>
  <c r="AH91" i="178"/>
  <c r="AI91" i="178"/>
  <c r="AJ91" i="178"/>
  <c r="AK91" i="178"/>
  <c r="AL91" i="178"/>
  <c r="AM91" i="178"/>
  <c r="AN91" i="178"/>
  <c r="AO91" i="178"/>
  <c r="AD86" i="178"/>
  <c r="AE86" i="178"/>
  <c r="AF86" i="178"/>
  <c r="AG86" i="178"/>
  <c r="AH86" i="178"/>
  <c r="AI86" i="178"/>
  <c r="AJ86" i="178"/>
  <c r="AK86" i="178"/>
  <c r="AL86" i="178"/>
  <c r="AM86" i="178"/>
  <c r="AN86" i="178"/>
  <c r="AO86" i="178"/>
  <c r="AD87" i="178"/>
  <c r="AE87" i="178"/>
  <c r="AF87" i="178"/>
  <c r="AG87" i="178"/>
  <c r="AH87" i="178"/>
  <c r="AI87" i="178"/>
  <c r="AJ87" i="178"/>
  <c r="AK87" i="178"/>
  <c r="AL87" i="178"/>
  <c r="AM87" i="178"/>
  <c r="AN87" i="178"/>
  <c r="AO87" i="178"/>
  <c r="AD88" i="178"/>
  <c r="AE88" i="178"/>
  <c r="AF88" i="178"/>
  <c r="AG88" i="178"/>
  <c r="AH88" i="178"/>
  <c r="AI88" i="178"/>
  <c r="AJ88" i="178"/>
  <c r="AK88" i="178"/>
  <c r="AL88" i="178"/>
  <c r="AM88" i="178"/>
  <c r="AN88" i="178"/>
  <c r="AO88" i="178"/>
  <c r="AD89" i="178"/>
  <c r="AE89" i="178"/>
  <c r="AF89" i="178"/>
  <c r="AG89" i="178"/>
  <c r="AH89" i="178"/>
  <c r="AI89" i="178"/>
  <c r="AJ89" i="178"/>
  <c r="AK89" i="178"/>
  <c r="AL89" i="178"/>
  <c r="AM89" i="178"/>
  <c r="AN89" i="178"/>
  <c r="AO89" i="178"/>
  <c r="AD97" i="178"/>
  <c r="AE97" i="178"/>
  <c r="AF97" i="178"/>
  <c r="AG97" i="178"/>
  <c r="AH97" i="178"/>
  <c r="AI97" i="178"/>
  <c r="AJ97" i="178"/>
  <c r="AK97" i="178"/>
  <c r="AL97" i="178"/>
  <c r="AM97" i="178"/>
  <c r="AN97" i="178"/>
  <c r="AO97" i="178"/>
  <c r="AD98" i="178"/>
  <c r="AE98" i="178"/>
  <c r="AF98" i="178"/>
  <c r="AG98" i="178"/>
  <c r="AH98" i="178"/>
  <c r="AI98" i="178"/>
  <c r="AJ98" i="178"/>
  <c r="AK98" i="178"/>
  <c r="AL98" i="178"/>
  <c r="AM98" i="178"/>
  <c r="AN98" i="178"/>
  <c r="AO98" i="178"/>
  <c r="AD93" i="178"/>
  <c r="AE93" i="178"/>
  <c r="AF93" i="178"/>
  <c r="AG93" i="178"/>
  <c r="AH93" i="178"/>
  <c r="AI93" i="178"/>
  <c r="AJ93" i="178"/>
  <c r="AK93" i="178"/>
  <c r="AL93" i="178"/>
  <c r="AM93" i="178"/>
  <c r="AN93" i="178"/>
  <c r="AO93" i="178"/>
  <c r="AD94" i="178"/>
  <c r="AE94" i="178"/>
  <c r="AF94" i="178"/>
  <c r="AG94" i="178"/>
  <c r="AH94" i="178"/>
  <c r="AI94" i="178"/>
  <c r="AJ94" i="178"/>
  <c r="AK94" i="178"/>
  <c r="AL94" i="178"/>
  <c r="AM94" i="178"/>
  <c r="AN94" i="178"/>
  <c r="AO94" i="178"/>
  <c r="AD95" i="178"/>
  <c r="AE95" i="178"/>
  <c r="AF95" i="178"/>
  <c r="AG95" i="178"/>
  <c r="AH95" i="178"/>
  <c r="AI95" i="178"/>
  <c r="AJ95" i="178"/>
  <c r="AK95" i="178"/>
  <c r="AL95" i="178"/>
  <c r="AM95" i="178"/>
  <c r="AN95" i="178"/>
  <c r="AO95" i="178"/>
  <c r="AD96" i="178"/>
  <c r="AE96" i="178"/>
  <c r="AF96" i="178"/>
  <c r="AG96" i="178"/>
  <c r="AH96" i="178"/>
  <c r="AI96" i="178"/>
  <c r="AJ96" i="178"/>
  <c r="AK96" i="178"/>
  <c r="AL96" i="178"/>
  <c r="AM96" i="178"/>
  <c r="AN96" i="178"/>
  <c r="AO96" i="178"/>
  <c r="AD101" i="178"/>
  <c r="AE101" i="178"/>
  <c r="AF101" i="178"/>
  <c r="AG101" i="178"/>
  <c r="AH101" i="178"/>
  <c r="AI101" i="178"/>
  <c r="AJ101" i="178"/>
  <c r="AK101" i="178"/>
  <c r="AL101" i="178"/>
  <c r="AM101" i="178"/>
  <c r="AN101" i="178"/>
  <c r="AO101" i="178"/>
  <c r="AD107" i="178"/>
  <c r="AE107" i="178"/>
  <c r="AF107" i="178"/>
  <c r="AG107" i="178"/>
  <c r="AH107" i="178"/>
  <c r="AI107" i="178"/>
  <c r="AJ107" i="178"/>
  <c r="AK107" i="178"/>
  <c r="AL107" i="178"/>
  <c r="AM107" i="178"/>
  <c r="AN107" i="178"/>
  <c r="AO107" i="178"/>
  <c r="AD108" i="178"/>
  <c r="AE108" i="178"/>
  <c r="AF108" i="178"/>
  <c r="AG108" i="178"/>
  <c r="AH108" i="178"/>
  <c r="AI108" i="178"/>
  <c r="AJ108" i="178"/>
  <c r="AK108" i="178"/>
  <c r="AL108" i="178"/>
  <c r="AM108" i="178"/>
  <c r="AN108" i="178"/>
  <c r="AO108" i="178"/>
  <c r="AD102" i="178"/>
  <c r="AE102" i="178"/>
  <c r="AF102" i="178"/>
  <c r="AG102" i="178"/>
  <c r="AH102" i="178"/>
  <c r="AI102" i="178"/>
  <c r="AJ102" i="178"/>
  <c r="AK102" i="178"/>
  <c r="AL102" i="178"/>
  <c r="AM102" i="178"/>
  <c r="AN102" i="178"/>
  <c r="AO102" i="178"/>
  <c r="AD103" i="178"/>
  <c r="AE103" i="178"/>
  <c r="AF103" i="178"/>
  <c r="AG103" i="178"/>
  <c r="AH103" i="178"/>
  <c r="AI103" i="178"/>
  <c r="AJ103" i="178"/>
  <c r="AK103" i="178"/>
  <c r="AL103" i="178"/>
  <c r="AM103" i="178"/>
  <c r="AN103" i="178"/>
  <c r="AO103" i="178"/>
  <c r="AD104" i="178"/>
  <c r="AE104" i="178"/>
  <c r="AF104" i="178"/>
  <c r="AG104" i="178"/>
  <c r="AH104" i="178"/>
  <c r="AI104" i="178"/>
  <c r="AJ104" i="178"/>
  <c r="AK104" i="178"/>
  <c r="AL104" i="178"/>
  <c r="AM104" i="178"/>
  <c r="AN104" i="178"/>
  <c r="AO104" i="178"/>
  <c r="AD105" i="178"/>
  <c r="AE105" i="178"/>
  <c r="AF105" i="178"/>
  <c r="AG105" i="178"/>
  <c r="AH105" i="178"/>
  <c r="AI105" i="178"/>
  <c r="AJ105" i="178"/>
  <c r="AK105" i="178"/>
  <c r="AL105" i="178"/>
  <c r="AM105" i="178"/>
  <c r="AN105" i="178"/>
  <c r="AO105" i="178"/>
  <c r="AD109" i="178"/>
  <c r="AE109" i="178"/>
  <c r="AF109" i="178"/>
  <c r="AG109" i="178"/>
  <c r="AH109" i="178"/>
  <c r="AI109" i="178"/>
  <c r="AJ109" i="178"/>
  <c r="AK109" i="178"/>
  <c r="AL109" i="178"/>
  <c r="AM109" i="178"/>
  <c r="AN109" i="178"/>
  <c r="AO109" i="178"/>
  <c r="AD106" i="178"/>
  <c r="AE106" i="178"/>
  <c r="AF106" i="178"/>
  <c r="AG106" i="178"/>
  <c r="AH106" i="178"/>
  <c r="AI106" i="178"/>
  <c r="AJ106" i="178"/>
  <c r="AK106" i="178"/>
  <c r="AL106" i="178"/>
  <c r="AM106" i="178"/>
  <c r="AN106" i="178"/>
  <c r="AO106" i="178"/>
  <c r="AD111" i="178"/>
  <c r="AE111" i="178"/>
  <c r="AF111" i="178"/>
  <c r="AG111" i="178"/>
  <c r="AH111" i="178"/>
  <c r="AI111" i="178"/>
  <c r="AJ111" i="178"/>
  <c r="AK111" i="178"/>
  <c r="AL111" i="178"/>
  <c r="AM111" i="178"/>
  <c r="AN111" i="178"/>
  <c r="AO111" i="178"/>
  <c r="AD116" i="178"/>
  <c r="AE116" i="178"/>
  <c r="AF116" i="178"/>
  <c r="AG116" i="178"/>
  <c r="AH116" i="178"/>
  <c r="AI116" i="178"/>
  <c r="AJ116" i="178"/>
  <c r="AK116" i="178"/>
  <c r="AL116" i="178"/>
  <c r="AM116" i="178"/>
  <c r="AN116" i="178"/>
  <c r="AO116" i="178"/>
  <c r="AD117" i="178"/>
  <c r="AE117" i="178"/>
  <c r="AF117" i="178"/>
  <c r="AG117" i="178"/>
  <c r="AH117" i="178"/>
  <c r="AI117" i="178"/>
  <c r="AJ117" i="178"/>
  <c r="AK117" i="178"/>
  <c r="AL117" i="178"/>
  <c r="AM117" i="178"/>
  <c r="AN117" i="178"/>
  <c r="AO117" i="178"/>
  <c r="AD112" i="178"/>
  <c r="AE112" i="178"/>
  <c r="AF112" i="178"/>
  <c r="AG112" i="178"/>
  <c r="AH112" i="178"/>
  <c r="AI112" i="178"/>
  <c r="AJ112" i="178"/>
  <c r="AK112" i="178"/>
  <c r="AL112" i="178"/>
  <c r="AM112" i="178"/>
  <c r="AN112" i="178"/>
  <c r="AO112" i="178"/>
  <c r="AD113" i="178"/>
  <c r="AE113" i="178"/>
  <c r="AF113" i="178"/>
  <c r="AG113" i="178"/>
  <c r="AH113" i="178"/>
  <c r="AI113" i="178"/>
  <c r="AJ113" i="178"/>
  <c r="AK113" i="178"/>
  <c r="AL113" i="178"/>
  <c r="AM113" i="178"/>
  <c r="AN113" i="178"/>
  <c r="AO113" i="178"/>
  <c r="AD114" i="178"/>
  <c r="AE114" i="178"/>
  <c r="AF114" i="178"/>
  <c r="AG114" i="178"/>
  <c r="AH114" i="178"/>
  <c r="AI114" i="178"/>
  <c r="AJ114" i="178"/>
  <c r="AK114" i="178"/>
  <c r="AL114" i="178"/>
  <c r="AM114" i="178"/>
  <c r="AN114" i="178"/>
  <c r="AO114" i="178"/>
  <c r="AD115" i="178"/>
  <c r="AE115" i="178"/>
  <c r="AF115" i="178"/>
  <c r="AG115" i="178"/>
  <c r="AH115" i="178"/>
  <c r="AI115" i="178"/>
  <c r="AJ115" i="178"/>
  <c r="AK115" i="178"/>
  <c r="AL115" i="178"/>
  <c r="AM115" i="178"/>
  <c r="AN115" i="178"/>
  <c r="AO115" i="178"/>
  <c r="AD142" i="178"/>
  <c r="AE142" i="178"/>
  <c r="AF142" i="178"/>
  <c r="AG142" i="178"/>
  <c r="AH142" i="178"/>
  <c r="AI142" i="178"/>
  <c r="AJ142" i="178"/>
  <c r="AK142" i="178"/>
  <c r="AL142" i="178"/>
  <c r="AM142" i="178"/>
  <c r="AN142" i="178"/>
  <c r="AO142" i="178"/>
  <c r="AD143" i="178"/>
  <c r="AE143" i="178"/>
  <c r="AF143" i="178"/>
  <c r="AG143" i="178"/>
  <c r="AH143" i="178"/>
  <c r="AI143" i="178"/>
  <c r="AJ143" i="178"/>
  <c r="AK143" i="178"/>
  <c r="AL143" i="178"/>
  <c r="AM143" i="178"/>
  <c r="AN143" i="178"/>
  <c r="AO143" i="178"/>
  <c r="AD149" i="178"/>
  <c r="AE149" i="178"/>
  <c r="AF149" i="178"/>
  <c r="AG149" i="178"/>
  <c r="AH149" i="178"/>
  <c r="AI149" i="178"/>
  <c r="AJ149" i="178"/>
  <c r="AK149" i="178"/>
  <c r="AL149" i="178"/>
  <c r="AM149" i="178"/>
  <c r="AN149" i="178"/>
  <c r="AO149" i="178"/>
  <c r="AD150" i="178"/>
  <c r="AE150" i="178"/>
  <c r="AF150" i="178"/>
  <c r="AG150" i="178"/>
  <c r="AH150" i="178"/>
  <c r="AI150" i="178"/>
  <c r="AJ150" i="178"/>
  <c r="AK150" i="178"/>
  <c r="AL150" i="178"/>
  <c r="AM150" i="178"/>
  <c r="AN150" i="178"/>
  <c r="AO150" i="178"/>
  <c r="AD211" i="178"/>
  <c r="AE211" i="178"/>
  <c r="AF211" i="178"/>
  <c r="AG211" i="178"/>
  <c r="AH211" i="178"/>
  <c r="AI211" i="178"/>
  <c r="AJ211" i="178"/>
  <c r="AK211" i="178"/>
  <c r="AL211" i="178"/>
  <c r="AM211" i="178"/>
  <c r="AN211" i="178"/>
  <c r="AO211" i="178"/>
  <c r="AD209" i="178"/>
  <c r="AE209" i="178"/>
  <c r="AF209" i="178"/>
  <c r="AG209" i="178"/>
  <c r="AH209" i="178"/>
  <c r="AI209" i="178"/>
  <c r="AJ209" i="178"/>
  <c r="AK209" i="178"/>
  <c r="AL209" i="178"/>
  <c r="AM209" i="178"/>
  <c r="AN209" i="178"/>
  <c r="AO209" i="178"/>
  <c r="AD210" i="178"/>
  <c r="AE210" i="178"/>
  <c r="AF210" i="178"/>
  <c r="AG210" i="178"/>
  <c r="AH210" i="178"/>
  <c r="AI210" i="178"/>
  <c r="AJ210" i="178"/>
  <c r="AK210" i="178"/>
  <c r="AL210" i="178"/>
  <c r="AM210" i="178"/>
  <c r="AN210" i="178"/>
  <c r="AO210" i="178"/>
  <c r="AD214" i="178"/>
  <c r="AE214" i="178"/>
  <c r="AF214" i="178"/>
  <c r="AG214" i="178"/>
  <c r="AH214" i="178"/>
  <c r="AI214" i="178"/>
  <c r="AJ214" i="178"/>
  <c r="AK214" i="178"/>
  <c r="AL214" i="178"/>
  <c r="AM214" i="178"/>
  <c r="AN214" i="178"/>
  <c r="AO214" i="178"/>
  <c r="AD215" i="178"/>
  <c r="AE215" i="178"/>
  <c r="AF215" i="178"/>
  <c r="AG215" i="178"/>
  <c r="AH215" i="178"/>
  <c r="AI215" i="178"/>
  <c r="AJ215" i="178"/>
  <c r="AK215" i="178"/>
  <c r="AL215" i="178"/>
  <c r="AM215" i="178"/>
  <c r="AN215" i="178"/>
  <c r="AO215" i="178"/>
  <c r="AD236" i="178"/>
  <c r="AE236" i="178"/>
  <c r="AF236" i="178"/>
  <c r="AG236" i="178"/>
  <c r="AH236" i="178"/>
  <c r="AI236" i="178"/>
  <c r="AJ236" i="178"/>
  <c r="AK236" i="178"/>
  <c r="AL236" i="178"/>
  <c r="AM236" i="178"/>
  <c r="AN236" i="178"/>
  <c r="AO236" i="178"/>
  <c r="AD237" i="178"/>
  <c r="AE237" i="178"/>
  <c r="AF237" i="178"/>
  <c r="AG237" i="178"/>
  <c r="AH237" i="178"/>
  <c r="AI237" i="178"/>
  <c r="AJ237" i="178"/>
  <c r="AK237" i="178"/>
  <c r="AL237" i="178"/>
  <c r="AM237" i="178"/>
  <c r="AN237" i="178"/>
  <c r="AO237" i="178"/>
  <c r="AD239" i="178"/>
  <c r="AE239" i="178"/>
  <c r="AF239" i="178"/>
  <c r="AG239" i="178"/>
  <c r="AH239" i="178"/>
  <c r="AI239" i="178"/>
  <c r="AJ239" i="178"/>
  <c r="AK239" i="178"/>
  <c r="AL239" i="178"/>
  <c r="AM239" i="178"/>
  <c r="AN239" i="178"/>
  <c r="AO239" i="178"/>
  <c r="AD240" i="178"/>
  <c r="AE240" i="178"/>
  <c r="AF240" i="178"/>
  <c r="AG240" i="178"/>
  <c r="AH240" i="178"/>
  <c r="AI240" i="178"/>
  <c r="AJ240" i="178"/>
  <c r="AK240" i="178"/>
  <c r="AL240" i="178"/>
  <c r="AM240" i="178"/>
  <c r="AN240" i="178"/>
  <c r="AO240" i="178"/>
  <c r="AD247" i="178"/>
  <c r="AE247" i="178"/>
  <c r="AF247" i="178"/>
  <c r="AG247" i="178"/>
  <c r="AH247" i="178"/>
  <c r="AI247" i="178"/>
  <c r="AJ247" i="178"/>
  <c r="AK247" i="178"/>
  <c r="AL247" i="178"/>
  <c r="AM247" i="178"/>
  <c r="AN247" i="178"/>
  <c r="AO247" i="178"/>
  <c r="AD244" i="178"/>
  <c r="AE244" i="178"/>
  <c r="AF244" i="178"/>
  <c r="AG244" i="178"/>
  <c r="AH244" i="178"/>
  <c r="AI244" i="178"/>
  <c r="AJ244" i="178"/>
  <c r="AK244" i="178"/>
  <c r="AL244" i="178"/>
  <c r="AM244" i="178"/>
  <c r="AN244" i="178"/>
  <c r="AO244" i="178"/>
  <c r="AD245" i="178"/>
  <c r="AE245" i="178"/>
  <c r="AF245" i="178"/>
  <c r="AG245" i="178"/>
  <c r="AH245" i="178"/>
  <c r="AI245" i="178"/>
  <c r="AJ245" i="178"/>
  <c r="AK245" i="178"/>
  <c r="AL245" i="178"/>
  <c r="AM245" i="178"/>
  <c r="AN245" i="178"/>
  <c r="AO245" i="178"/>
  <c r="AD246" i="178"/>
  <c r="AE246" i="178"/>
  <c r="AF246" i="178"/>
  <c r="AG246" i="178"/>
  <c r="AH246" i="178"/>
  <c r="AI246" i="178"/>
  <c r="AJ246" i="178"/>
  <c r="AK246" i="178"/>
  <c r="AL246" i="178"/>
  <c r="AM246" i="178"/>
  <c r="AN246" i="178"/>
  <c r="AO246" i="178"/>
  <c r="AD254" i="178"/>
  <c r="AE254" i="178"/>
  <c r="AF254" i="178"/>
  <c r="AG254" i="178"/>
  <c r="AH254" i="178"/>
  <c r="AI254" i="178"/>
  <c r="AJ254" i="178"/>
  <c r="AK254" i="178"/>
  <c r="AL254" i="178"/>
  <c r="AM254" i="178"/>
  <c r="AN254" i="178"/>
  <c r="AO254" i="178"/>
  <c r="AD252" i="178"/>
  <c r="AE252" i="178"/>
  <c r="AF252" i="178"/>
  <c r="AG252" i="178"/>
  <c r="AH252" i="178"/>
  <c r="AI252" i="178"/>
  <c r="AJ252" i="178"/>
  <c r="AK252" i="178"/>
  <c r="AL252" i="178"/>
  <c r="AM252" i="178"/>
  <c r="AN252" i="178"/>
  <c r="AO252" i="178"/>
  <c r="AD253" i="178"/>
  <c r="AE253" i="178"/>
  <c r="AF253" i="178"/>
  <c r="AG253" i="178"/>
  <c r="AH253" i="178"/>
  <c r="AI253" i="178"/>
  <c r="AJ253" i="178"/>
  <c r="AK253" i="178"/>
  <c r="AL253" i="178"/>
  <c r="AM253" i="178"/>
  <c r="AN253" i="178"/>
  <c r="AO253" i="178"/>
  <c r="AD258" i="178"/>
  <c r="AE258" i="178"/>
  <c r="AF258" i="178"/>
  <c r="AG258" i="178"/>
  <c r="AH258" i="178"/>
  <c r="AI258" i="178"/>
  <c r="AJ258" i="178"/>
  <c r="AK258" i="178"/>
  <c r="AL258" i="178"/>
  <c r="AM258" i="178"/>
  <c r="AN258" i="178"/>
  <c r="AO258" i="178"/>
  <c r="AD259" i="178"/>
  <c r="AE259" i="178"/>
  <c r="AF259" i="178"/>
  <c r="AG259" i="178"/>
  <c r="AH259" i="178"/>
  <c r="AI259" i="178"/>
  <c r="AJ259" i="178"/>
  <c r="AK259" i="178"/>
  <c r="AL259" i="178"/>
  <c r="AM259" i="178"/>
  <c r="AN259" i="178"/>
  <c r="AO259" i="178"/>
  <c r="AD268" i="178"/>
  <c r="AE268" i="178"/>
  <c r="AF268" i="178"/>
  <c r="AG268" i="178"/>
  <c r="AH268" i="178"/>
  <c r="AI268" i="178"/>
  <c r="AJ268" i="178"/>
  <c r="AK268" i="178"/>
  <c r="AL268" i="178"/>
  <c r="AM268" i="178"/>
  <c r="AN268" i="178"/>
  <c r="AO268" i="178"/>
  <c r="AD271" i="178"/>
  <c r="AE271" i="178"/>
  <c r="AF271" i="178"/>
  <c r="AG271" i="178"/>
  <c r="AH271" i="178"/>
  <c r="AI271" i="178"/>
  <c r="AJ271" i="178"/>
  <c r="AK271" i="178"/>
  <c r="AL271" i="178"/>
  <c r="AM271" i="178"/>
  <c r="AN271" i="178"/>
  <c r="AO271" i="178"/>
  <c r="AD269" i="178"/>
  <c r="AE269" i="178"/>
  <c r="AF269" i="178"/>
  <c r="AG269" i="178"/>
  <c r="AH269" i="178"/>
  <c r="AI269" i="178"/>
  <c r="AJ269" i="178"/>
  <c r="AK269" i="178"/>
  <c r="AL269" i="178"/>
  <c r="AM269" i="178"/>
  <c r="AN269" i="178"/>
  <c r="AO269" i="178"/>
  <c r="AD270" i="178"/>
  <c r="AE270" i="178"/>
  <c r="AF270" i="178"/>
  <c r="AG270" i="178"/>
  <c r="AH270" i="178"/>
  <c r="AI270" i="178"/>
  <c r="AJ270" i="178"/>
  <c r="AK270" i="178"/>
  <c r="AL270" i="178"/>
  <c r="AM270" i="178"/>
  <c r="AN270" i="178"/>
  <c r="AO270" i="178"/>
  <c r="AD272" i="178"/>
  <c r="AE272" i="178"/>
  <c r="AF272" i="178"/>
  <c r="AG272" i="178"/>
  <c r="AH272" i="178"/>
  <c r="AI272" i="178"/>
  <c r="AJ272" i="178"/>
  <c r="AK272" i="178"/>
  <c r="AL272" i="178"/>
  <c r="AM272" i="178"/>
  <c r="AN272" i="178"/>
  <c r="AO272" i="178"/>
  <c r="AD276" i="178"/>
  <c r="AE276" i="178"/>
  <c r="AF276" i="178"/>
  <c r="AG276" i="178"/>
  <c r="AH276" i="178"/>
  <c r="AI276" i="178"/>
  <c r="AJ276" i="178"/>
  <c r="AK276" i="178"/>
  <c r="AL276" i="178"/>
  <c r="AM276" i="178"/>
  <c r="AN276" i="178"/>
  <c r="AO276" i="178"/>
  <c r="AD277" i="178"/>
  <c r="AE277" i="178"/>
  <c r="AF277" i="178"/>
  <c r="AG277" i="178"/>
  <c r="AH277" i="178"/>
  <c r="AI277" i="178"/>
  <c r="AJ277" i="178"/>
  <c r="AK277" i="178"/>
  <c r="AL277" i="178"/>
  <c r="AM277" i="178"/>
  <c r="AN277" i="178"/>
  <c r="AO277" i="178"/>
  <c r="AD273" i="178"/>
  <c r="AE273" i="178"/>
  <c r="AF273" i="178"/>
  <c r="AG273" i="178"/>
  <c r="AH273" i="178"/>
  <c r="AI273" i="178"/>
  <c r="AJ273" i="178"/>
  <c r="AK273" i="178"/>
  <c r="AL273" i="178"/>
  <c r="AM273" i="178"/>
  <c r="AN273" i="178"/>
  <c r="AO273" i="178"/>
  <c r="AD274" i="178"/>
  <c r="AE274" i="178"/>
  <c r="AF274" i="178"/>
  <c r="AG274" i="178"/>
  <c r="AH274" i="178"/>
  <c r="AI274" i="178"/>
  <c r="AJ274" i="178"/>
  <c r="AK274" i="178"/>
  <c r="AL274" i="178"/>
  <c r="AM274" i="178"/>
  <c r="AN274" i="178"/>
  <c r="AO274" i="178"/>
  <c r="AD275" i="178"/>
  <c r="AE275" i="178"/>
  <c r="AF275" i="178"/>
  <c r="AG275" i="178"/>
  <c r="AH275" i="178"/>
  <c r="AI275" i="178"/>
  <c r="AJ275" i="178"/>
  <c r="AK275" i="178"/>
  <c r="AL275" i="178"/>
  <c r="AM275" i="178"/>
  <c r="AN275" i="178"/>
  <c r="AO275" i="178"/>
  <c r="AD286" i="178"/>
  <c r="AE286" i="178"/>
  <c r="AF286" i="178"/>
  <c r="AG286" i="178"/>
  <c r="AH286" i="178"/>
  <c r="AI286" i="178"/>
  <c r="AJ286" i="178"/>
  <c r="AK286" i="178"/>
  <c r="AL286" i="178"/>
  <c r="AM286" i="178"/>
  <c r="AN286" i="178"/>
  <c r="AO286" i="178"/>
  <c r="AD283" i="178"/>
  <c r="AE283" i="178"/>
  <c r="AF283" i="178"/>
  <c r="AG283" i="178"/>
  <c r="AH283" i="178"/>
  <c r="AI283" i="178"/>
  <c r="AJ283" i="178"/>
  <c r="AK283" i="178"/>
  <c r="AL283" i="178"/>
  <c r="AM283" i="178"/>
  <c r="AN283" i="178"/>
  <c r="AO283" i="178"/>
  <c r="AD281" i="178"/>
  <c r="AE281" i="178"/>
  <c r="AF281" i="178"/>
  <c r="AG281" i="178"/>
  <c r="AH281" i="178"/>
  <c r="AI281" i="178"/>
  <c r="AJ281" i="178"/>
  <c r="AK281" i="178"/>
  <c r="AL281" i="178"/>
  <c r="AM281" i="178"/>
  <c r="AN281" i="178"/>
  <c r="AO281" i="178"/>
  <c r="AD284" i="178"/>
  <c r="AE284" i="178"/>
  <c r="AF284" i="178"/>
  <c r="AG284" i="178"/>
  <c r="AH284" i="178"/>
  <c r="AI284" i="178"/>
  <c r="AJ284" i="178"/>
  <c r="AK284" i="178"/>
  <c r="AL284" i="178"/>
  <c r="AM284" i="178"/>
  <c r="AN284" i="178"/>
  <c r="AO284" i="178"/>
  <c r="AD285" i="178"/>
  <c r="AE285" i="178"/>
  <c r="AF285" i="178"/>
  <c r="AG285" i="178"/>
  <c r="AH285" i="178"/>
  <c r="AI285" i="178"/>
  <c r="AJ285" i="178"/>
  <c r="AK285" i="178"/>
  <c r="AL285" i="178"/>
  <c r="AM285" i="178"/>
  <c r="AN285" i="178"/>
  <c r="AO285" i="178"/>
  <c r="AD287" i="178"/>
  <c r="AE287" i="178"/>
  <c r="AF287" i="178"/>
  <c r="AG287" i="178"/>
  <c r="AH287" i="178"/>
  <c r="AI287" i="178"/>
  <c r="AJ287" i="178"/>
  <c r="AK287" i="178"/>
  <c r="AL287" i="178"/>
  <c r="AM287" i="178"/>
  <c r="AN287" i="178"/>
  <c r="AO287" i="178"/>
  <c r="AD288" i="178"/>
  <c r="AE288" i="178"/>
  <c r="AF288" i="178"/>
  <c r="AG288" i="178"/>
  <c r="AH288" i="178"/>
  <c r="AI288" i="178"/>
  <c r="AJ288" i="178"/>
  <c r="AK288" i="178"/>
  <c r="AL288" i="178"/>
  <c r="AM288" i="178"/>
  <c r="AN288" i="178"/>
  <c r="AO288" i="178"/>
  <c r="AD298" i="178"/>
  <c r="AE298" i="178"/>
  <c r="AF298" i="178"/>
  <c r="AG298" i="178"/>
  <c r="AH298" i="178"/>
  <c r="AI298" i="178"/>
  <c r="AJ298" i="178"/>
  <c r="AK298" i="178"/>
  <c r="AL298" i="178"/>
  <c r="AM298" i="178"/>
  <c r="AN298" i="178"/>
  <c r="AO298" i="178"/>
  <c r="AD300" i="178"/>
  <c r="AE300" i="178"/>
  <c r="AF300" i="178"/>
  <c r="AG300" i="178"/>
  <c r="AH300" i="178"/>
  <c r="AI300" i="178"/>
  <c r="AJ300" i="178"/>
  <c r="AK300" i="178"/>
  <c r="AL300" i="178"/>
  <c r="AM300" i="178"/>
  <c r="AN300" i="178"/>
  <c r="AO300" i="178"/>
  <c r="AD301" i="178"/>
  <c r="AE301" i="178"/>
  <c r="AF301" i="178"/>
  <c r="AG301" i="178"/>
  <c r="AH301" i="178"/>
  <c r="AI301" i="178"/>
  <c r="AJ301" i="178"/>
  <c r="AK301" i="178"/>
  <c r="AL301" i="178"/>
  <c r="AM301" i="178"/>
  <c r="AN301" i="178"/>
  <c r="AO301" i="178"/>
  <c r="AD297" i="178"/>
  <c r="AE297" i="178"/>
  <c r="AF297" i="178"/>
  <c r="AG297" i="178"/>
  <c r="AH297" i="178"/>
  <c r="AI297" i="178"/>
  <c r="AJ297" i="178"/>
  <c r="AK297" i="178"/>
  <c r="AL297" i="178"/>
  <c r="AM297" i="178"/>
  <c r="AN297" i="178"/>
  <c r="AO297" i="178"/>
  <c r="AD299" i="178"/>
  <c r="AE299" i="178"/>
  <c r="AF299" i="178"/>
  <c r="AG299" i="178"/>
  <c r="AH299" i="178"/>
  <c r="AI299" i="178"/>
  <c r="AJ299" i="178"/>
  <c r="AK299" i="178"/>
  <c r="AL299" i="178"/>
  <c r="AM299" i="178"/>
  <c r="AN299" i="178"/>
  <c r="AO299" i="178"/>
  <c r="AD303" i="178"/>
  <c r="AE303" i="178"/>
  <c r="AF303" i="178"/>
  <c r="AG303" i="178"/>
  <c r="AH303" i="178"/>
  <c r="AI303" i="178"/>
  <c r="AJ303" i="178"/>
  <c r="AK303" i="178"/>
  <c r="AL303" i="178"/>
  <c r="AM303" i="178"/>
  <c r="AN303" i="178"/>
  <c r="AO303" i="178"/>
  <c r="AD306" i="178"/>
  <c r="AE306" i="178"/>
  <c r="AF306" i="178"/>
  <c r="AG306" i="178"/>
  <c r="AH306" i="178"/>
  <c r="AI306" i="178"/>
  <c r="AJ306" i="178"/>
  <c r="AK306" i="178"/>
  <c r="AL306" i="178"/>
  <c r="AM306" i="178"/>
  <c r="AN306" i="178"/>
  <c r="AO306" i="178"/>
  <c r="AD304" i="178"/>
  <c r="AE304" i="178"/>
  <c r="AF304" i="178"/>
  <c r="AG304" i="178"/>
  <c r="AH304" i="178"/>
  <c r="AI304" i="178"/>
  <c r="AJ304" i="178"/>
  <c r="AK304" i="178"/>
  <c r="AL304" i="178"/>
  <c r="AM304" i="178"/>
  <c r="AN304" i="178"/>
  <c r="AO304" i="178"/>
  <c r="AD305" i="178"/>
  <c r="AE305" i="178"/>
  <c r="AF305" i="178"/>
  <c r="AG305" i="178"/>
  <c r="AH305" i="178"/>
  <c r="AI305" i="178"/>
  <c r="AJ305" i="178"/>
  <c r="AK305" i="178"/>
  <c r="AL305" i="178"/>
  <c r="AM305" i="178"/>
  <c r="AN305" i="178"/>
  <c r="AO305" i="178"/>
  <c r="AD318" i="178"/>
  <c r="AE318" i="178"/>
  <c r="AF318" i="178"/>
  <c r="AG318" i="178"/>
  <c r="AH318" i="178"/>
  <c r="AI318" i="178"/>
  <c r="AJ318" i="178"/>
  <c r="AK318" i="178"/>
  <c r="AL318" i="178"/>
  <c r="AM318" i="178"/>
  <c r="AN318" i="178"/>
  <c r="AO318" i="178"/>
  <c r="AD316" i="178"/>
  <c r="AE316" i="178"/>
  <c r="AF316" i="178"/>
  <c r="AG316" i="178"/>
  <c r="AH316" i="178"/>
  <c r="AI316" i="178"/>
  <c r="AJ316" i="178"/>
  <c r="AK316" i="178"/>
  <c r="AL316" i="178"/>
  <c r="AM316" i="178"/>
  <c r="AN316" i="178"/>
  <c r="AO316" i="178"/>
  <c r="AD317" i="178"/>
  <c r="AE317" i="178"/>
  <c r="AF317" i="178"/>
  <c r="AG317" i="178"/>
  <c r="AH317" i="178"/>
  <c r="AI317" i="178"/>
  <c r="AJ317" i="178"/>
  <c r="AK317" i="178"/>
  <c r="AL317" i="178"/>
  <c r="AM317" i="178"/>
  <c r="AN317" i="178"/>
  <c r="AO317" i="178"/>
  <c r="AD319" i="178"/>
  <c r="AE319" i="178"/>
  <c r="AF319" i="178"/>
  <c r="AG319" i="178"/>
  <c r="AH319" i="178"/>
  <c r="AI319" i="178"/>
  <c r="AJ319" i="178"/>
  <c r="AK319" i="178"/>
  <c r="AL319" i="178"/>
  <c r="AM319" i="178"/>
  <c r="AN319" i="178"/>
  <c r="AO319" i="178"/>
  <c r="AD320" i="178"/>
  <c r="AE320" i="178"/>
  <c r="AF320" i="178"/>
  <c r="AG320" i="178"/>
  <c r="AH320" i="178"/>
  <c r="AI320" i="178"/>
  <c r="AJ320" i="178"/>
  <c r="AK320" i="178"/>
  <c r="AL320" i="178"/>
  <c r="AM320" i="178"/>
  <c r="AN320" i="178"/>
  <c r="AO320" i="178"/>
  <c r="AD323" i="178"/>
  <c r="AE323" i="178"/>
  <c r="AF323" i="178"/>
  <c r="AG323" i="178"/>
  <c r="AH323" i="178"/>
  <c r="AI323" i="178"/>
  <c r="AJ323" i="178"/>
  <c r="AK323" i="178"/>
  <c r="AL323" i="178"/>
  <c r="AM323" i="178"/>
  <c r="AN323" i="178"/>
  <c r="AO323" i="178"/>
  <c r="AD321" i="178"/>
  <c r="AE321" i="178"/>
  <c r="AF321" i="178"/>
  <c r="AG321" i="178"/>
  <c r="AH321" i="178"/>
  <c r="AI321" i="178"/>
  <c r="AJ321" i="178"/>
  <c r="AK321" i="178"/>
  <c r="AL321" i="178"/>
  <c r="AM321" i="178"/>
  <c r="AN321" i="178"/>
  <c r="AO321" i="178"/>
  <c r="AD322" i="178"/>
  <c r="AE322" i="178"/>
  <c r="AF322" i="178"/>
  <c r="AG322" i="178"/>
  <c r="AH322" i="178"/>
  <c r="AI322" i="178"/>
  <c r="AJ322" i="178"/>
  <c r="AK322" i="178"/>
  <c r="AL322" i="178"/>
  <c r="AM322" i="178"/>
  <c r="AN322" i="178"/>
  <c r="AO322" i="178"/>
  <c r="AD326" i="178"/>
  <c r="AE326" i="178"/>
  <c r="AF326" i="178"/>
  <c r="AG326" i="178"/>
  <c r="AH326" i="178"/>
  <c r="AI326" i="178"/>
  <c r="AJ326" i="178"/>
  <c r="AK326" i="178"/>
  <c r="AL326" i="178"/>
  <c r="AM326" i="178"/>
  <c r="AN326" i="178"/>
  <c r="AO326" i="178"/>
  <c r="AD324" i="178"/>
  <c r="AE324" i="178"/>
  <c r="AF324" i="178"/>
  <c r="AG324" i="178"/>
  <c r="AH324" i="178"/>
  <c r="AI324" i="178"/>
  <c r="AJ324" i="178"/>
  <c r="AK324" i="178"/>
  <c r="AL324" i="178"/>
  <c r="AM324" i="178"/>
  <c r="AN324" i="178"/>
  <c r="AO324" i="178"/>
  <c r="AD325" i="178"/>
  <c r="AE325" i="178"/>
  <c r="AF325" i="178"/>
  <c r="AG325" i="178"/>
  <c r="AH325" i="178"/>
  <c r="AI325" i="178"/>
  <c r="AJ325" i="178"/>
  <c r="AK325" i="178"/>
  <c r="AL325" i="178"/>
  <c r="AM325" i="178"/>
  <c r="AN325" i="178"/>
  <c r="AO325" i="178"/>
  <c r="AD329" i="178"/>
  <c r="AE329" i="178"/>
  <c r="AF329" i="178"/>
  <c r="AG329" i="178"/>
  <c r="AH329" i="178"/>
  <c r="AI329" i="178"/>
  <c r="AJ329" i="178"/>
  <c r="AK329" i="178"/>
  <c r="AL329" i="178"/>
  <c r="AM329" i="178"/>
  <c r="AN329" i="178"/>
  <c r="AO329" i="178"/>
  <c r="AD327" i="178"/>
  <c r="AE327" i="178"/>
  <c r="AF327" i="178"/>
  <c r="AG327" i="178"/>
  <c r="AH327" i="178"/>
  <c r="AI327" i="178"/>
  <c r="AJ327" i="178"/>
  <c r="AK327" i="178"/>
  <c r="AL327" i="178"/>
  <c r="AM327" i="178"/>
  <c r="AN327" i="178"/>
  <c r="AO327" i="178"/>
  <c r="AD328" i="178"/>
  <c r="AE328" i="178"/>
  <c r="AF328" i="178"/>
  <c r="AG328" i="178"/>
  <c r="AH328" i="178"/>
  <c r="AI328" i="178"/>
  <c r="AJ328" i="178"/>
  <c r="AK328" i="178"/>
  <c r="AL328" i="178"/>
  <c r="AM328" i="178"/>
  <c r="AN328" i="178"/>
  <c r="AO328" i="178"/>
  <c r="AD338" i="178"/>
  <c r="AE338" i="178"/>
  <c r="AF338" i="178"/>
  <c r="AG338" i="178"/>
  <c r="AH338" i="178"/>
  <c r="AI338" i="178"/>
  <c r="AJ338" i="178"/>
  <c r="AK338" i="178"/>
  <c r="AL338" i="178"/>
  <c r="AM338" i="178"/>
  <c r="AN338" i="178"/>
  <c r="AO338" i="178"/>
  <c r="AD336" i="178"/>
  <c r="AE336" i="178"/>
  <c r="AF336" i="178"/>
  <c r="AG336" i="178"/>
  <c r="AH336" i="178"/>
  <c r="AI336" i="178"/>
  <c r="AJ336" i="178"/>
  <c r="AK336" i="178"/>
  <c r="AL336" i="178"/>
  <c r="AM336" i="178"/>
  <c r="AN336" i="178"/>
  <c r="AO336" i="178"/>
  <c r="AD337" i="178"/>
  <c r="AE337" i="178"/>
  <c r="AF337" i="178"/>
  <c r="AG337" i="178"/>
  <c r="AH337" i="178"/>
  <c r="AI337" i="178"/>
  <c r="AJ337" i="178"/>
  <c r="AK337" i="178"/>
  <c r="AL337" i="178"/>
  <c r="AM337" i="178"/>
  <c r="AN337" i="178"/>
  <c r="AO337" i="178"/>
  <c r="AD436" i="178"/>
  <c r="AE436" i="178"/>
  <c r="AF436" i="178"/>
  <c r="AG436" i="178"/>
  <c r="AH436" i="178"/>
  <c r="AI436" i="178"/>
  <c r="AJ436" i="178"/>
  <c r="AK436" i="178"/>
  <c r="AL436" i="178"/>
  <c r="AM436" i="178"/>
  <c r="AN436" i="178"/>
  <c r="AO436" i="178"/>
  <c r="AD437" i="178"/>
  <c r="AE437" i="178"/>
  <c r="AF437" i="178"/>
  <c r="AG437" i="178"/>
  <c r="AH437" i="178"/>
  <c r="AI437" i="178"/>
  <c r="AJ437" i="178"/>
  <c r="AK437" i="178"/>
  <c r="AL437" i="178"/>
  <c r="AM437" i="178"/>
  <c r="AN437" i="178"/>
  <c r="AO437" i="178"/>
  <c r="AD438" i="178"/>
  <c r="AE438" i="178"/>
  <c r="AF438" i="178"/>
  <c r="AG438" i="178"/>
  <c r="AH438" i="178"/>
  <c r="AI438" i="178"/>
  <c r="AJ438" i="178"/>
  <c r="AK438" i="178"/>
  <c r="AL438" i="178"/>
  <c r="AM438" i="178"/>
  <c r="AN438" i="178"/>
  <c r="AO438" i="178"/>
  <c r="AD442" i="178"/>
  <c r="AE442" i="178"/>
  <c r="AF442" i="178"/>
  <c r="AG442" i="178"/>
  <c r="AH442" i="178"/>
  <c r="AI442" i="178"/>
  <c r="AJ442" i="178"/>
  <c r="AK442" i="178"/>
  <c r="AL442" i="178"/>
  <c r="AM442" i="178"/>
  <c r="AN442" i="178"/>
  <c r="AO442" i="178"/>
  <c r="AD443" i="178"/>
  <c r="AE443" i="178"/>
  <c r="AF443" i="178"/>
  <c r="AG443" i="178"/>
  <c r="AH443" i="178"/>
  <c r="AI443" i="178"/>
  <c r="AJ443" i="178"/>
  <c r="AK443" i="178"/>
  <c r="AL443" i="178"/>
  <c r="AM443" i="178"/>
  <c r="AN443" i="178"/>
  <c r="AO443" i="178"/>
  <c r="AD445" i="178"/>
  <c r="AE445" i="178"/>
  <c r="AF445" i="178"/>
  <c r="AG445" i="178"/>
  <c r="AH445" i="178"/>
  <c r="AI445" i="178"/>
  <c r="AJ445" i="178"/>
  <c r="AK445" i="178"/>
  <c r="AL445" i="178"/>
  <c r="AM445" i="178"/>
  <c r="AN445" i="178"/>
  <c r="AO445" i="178"/>
  <c r="AD446" i="178"/>
  <c r="AE446" i="178"/>
  <c r="AF446" i="178"/>
  <c r="AG446" i="178"/>
  <c r="AH446" i="178"/>
  <c r="AI446" i="178"/>
  <c r="AJ446" i="178"/>
  <c r="AK446" i="178"/>
  <c r="AL446" i="178"/>
  <c r="AM446" i="178"/>
  <c r="AN446" i="178"/>
  <c r="AO446" i="178"/>
  <c r="AD448" i="178"/>
  <c r="AE448" i="178"/>
  <c r="AF448" i="178"/>
  <c r="AG448" i="178"/>
  <c r="AH448" i="178"/>
  <c r="AI448" i="178"/>
  <c r="AJ448" i="178"/>
  <c r="AK448" i="178"/>
  <c r="AL448" i="178"/>
  <c r="AM448" i="178"/>
  <c r="AN448" i="178"/>
  <c r="AO448" i="178"/>
  <c r="AD449" i="178"/>
  <c r="AE449" i="178"/>
  <c r="AF449" i="178"/>
  <c r="AG449" i="178"/>
  <c r="AH449" i="178"/>
  <c r="AI449" i="178"/>
  <c r="AJ449" i="178"/>
  <c r="AK449" i="178"/>
  <c r="AL449" i="178"/>
  <c r="AM449" i="178"/>
  <c r="AN449" i="178"/>
  <c r="AO449" i="178"/>
  <c r="AD452" i="178"/>
  <c r="AE452" i="178"/>
  <c r="AF452" i="178"/>
  <c r="AG452" i="178"/>
  <c r="AH452" i="178"/>
  <c r="AI452" i="178"/>
  <c r="AJ452" i="178"/>
  <c r="AK452" i="178"/>
  <c r="AL452" i="178"/>
  <c r="AM452" i="178"/>
  <c r="AN452" i="178"/>
  <c r="AO452" i="178"/>
  <c r="AD451" i="178"/>
  <c r="AE451" i="178"/>
  <c r="AF451" i="178"/>
  <c r="AG451" i="178"/>
  <c r="AH451" i="178"/>
  <c r="AI451" i="178"/>
  <c r="AJ451" i="178"/>
  <c r="AK451" i="178"/>
  <c r="AL451" i="178"/>
  <c r="AM451" i="178"/>
  <c r="AN451" i="178"/>
  <c r="AO451" i="178"/>
  <c r="AD453" i="178"/>
  <c r="AE453" i="178"/>
  <c r="AF453" i="178"/>
  <c r="AG453" i="178"/>
  <c r="AH453" i="178"/>
  <c r="AI453" i="178"/>
  <c r="AJ453" i="178"/>
  <c r="AK453" i="178"/>
  <c r="AL453" i="178"/>
  <c r="AM453" i="178"/>
  <c r="AN453" i="178"/>
  <c r="AO453" i="178"/>
  <c r="AD455" i="178"/>
  <c r="AE455" i="178"/>
  <c r="AF455" i="178"/>
  <c r="AG455" i="178"/>
  <c r="AH455" i="178"/>
  <c r="AI455" i="178"/>
  <c r="AJ455" i="178"/>
  <c r="AK455" i="178"/>
  <c r="AL455" i="178"/>
  <c r="AM455" i="178"/>
  <c r="AN455" i="178"/>
  <c r="AO455" i="178"/>
  <c r="AD456" i="178"/>
  <c r="AE456" i="178"/>
  <c r="AF456" i="178"/>
  <c r="AG456" i="178"/>
  <c r="AH456" i="178"/>
  <c r="AI456" i="178"/>
  <c r="AJ456" i="178"/>
  <c r="AK456" i="178"/>
  <c r="AL456" i="178"/>
  <c r="AM456" i="178"/>
  <c r="AN456" i="178"/>
  <c r="AO456" i="178"/>
  <c r="AD458" i="178"/>
  <c r="AE458" i="178"/>
  <c r="AF458" i="178"/>
  <c r="AG458" i="178"/>
  <c r="AH458" i="178"/>
  <c r="AI458" i="178"/>
  <c r="AJ458" i="178"/>
  <c r="AK458" i="178"/>
  <c r="AL458" i="178"/>
  <c r="AM458" i="178"/>
  <c r="AN458" i="178"/>
  <c r="AO458" i="178"/>
  <c r="AD459" i="178"/>
  <c r="AE459" i="178"/>
  <c r="AF459" i="178"/>
  <c r="AG459" i="178"/>
  <c r="AH459" i="178"/>
  <c r="AI459" i="178"/>
  <c r="AJ459" i="178"/>
  <c r="AK459" i="178"/>
  <c r="AL459" i="178"/>
  <c r="AM459" i="178"/>
  <c r="AN459" i="178"/>
  <c r="AO459" i="178"/>
  <c r="AD465" i="178"/>
  <c r="AE465" i="178"/>
  <c r="AF465" i="178"/>
  <c r="AG465" i="178"/>
  <c r="AH465" i="178"/>
  <c r="AI465" i="178"/>
  <c r="AJ465" i="178"/>
  <c r="AK465" i="178"/>
  <c r="AL465" i="178"/>
  <c r="AM465" i="178"/>
  <c r="AN465" i="178"/>
  <c r="AO465" i="178"/>
  <c r="AD466" i="178"/>
  <c r="AE466" i="178"/>
  <c r="AF466" i="178"/>
  <c r="AG466" i="178"/>
  <c r="AH466" i="178"/>
  <c r="AI466" i="178"/>
  <c r="AJ466" i="178"/>
  <c r="AK466" i="178"/>
  <c r="AL466" i="178"/>
  <c r="AM466" i="178"/>
  <c r="AN466" i="178"/>
  <c r="AO466" i="178"/>
  <c r="AD467" i="178"/>
  <c r="AE467" i="178"/>
  <c r="AF467" i="178"/>
  <c r="AG467" i="178"/>
  <c r="AH467" i="178"/>
  <c r="AI467" i="178"/>
  <c r="AJ467" i="178"/>
  <c r="AK467" i="178"/>
  <c r="AL467" i="178"/>
  <c r="AM467" i="178"/>
  <c r="AN467" i="178"/>
  <c r="AO467" i="178"/>
  <c r="AD500" i="178"/>
  <c r="AE500" i="178"/>
  <c r="AF500" i="178"/>
  <c r="AG500" i="178"/>
  <c r="AH500" i="178"/>
  <c r="AI500" i="178"/>
  <c r="AJ500" i="178"/>
  <c r="AK500" i="178"/>
  <c r="AL500" i="178"/>
  <c r="AM500" i="178"/>
  <c r="AN500" i="178"/>
  <c r="AO500" i="178"/>
  <c r="AD501" i="178"/>
  <c r="AE501" i="178"/>
  <c r="AF501" i="178"/>
  <c r="AG501" i="178"/>
  <c r="AH501" i="178"/>
  <c r="AI501" i="178"/>
  <c r="AJ501" i="178"/>
  <c r="AK501" i="178"/>
  <c r="AL501" i="178"/>
  <c r="AM501" i="178"/>
  <c r="AN501" i="178"/>
  <c r="AO501" i="178"/>
  <c r="AD514" i="178"/>
  <c r="AE514" i="178"/>
  <c r="AF514" i="178"/>
  <c r="AG514" i="178"/>
  <c r="AH514" i="178"/>
  <c r="AI514" i="178"/>
  <c r="AJ514" i="178"/>
  <c r="AK514" i="178"/>
  <c r="AL514" i="178"/>
  <c r="AM514" i="178"/>
  <c r="AN514" i="178"/>
  <c r="AO514" i="178"/>
  <c r="AD519" i="178"/>
  <c r="AE519" i="178"/>
  <c r="AF519" i="178"/>
  <c r="AG519" i="178"/>
  <c r="AH519" i="178"/>
  <c r="AI519" i="178"/>
  <c r="AJ519" i="178"/>
  <c r="AK519" i="178"/>
  <c r="AL519" i="178"/>
  <c r="AM519" i="178"/>
  <c r="AN519" i="178"/>
  <c r="AO519" i="178"/>
  <c r="AD520" i="178"/>
  <c r="AE520" i="178"/>
  <c r="AF520" i="178"/>
  <c r="AG520" i="178"/>
  <c r="AH520" i="178"/>
  <c r="AI520" i="178"/>
  <c r="AJ520" i="178"/>
  <c r="AK520" i="178"/>
  <c r="AL520" i="178"/>
  <c r="AM520" i="178"/>
  <c r="AN520" i="178"/>
  <c r="AO520" i="178"/>
  <c r="AD526" i="178"/>
  <c r="AE526" i="178"/>
  <c r="AF526" i="178"/>
  <c r="AG526" i="178"/>
  <c r="AH526" i="178"/>
  <c r="AI526" i="178"/>
  <c r="AJ526" i="178"/>
  <c r="AK526" i="178"/>
  <c r="AL526" i="178"/>
  <c r="AM526" i="178"/>
  <c r="AN526" i="178"/>
  <c r="AO526" i="178"/>
  <c r="AD527" i="178"/>
  <c r="AE527" i="178"/>
  <c r="AF527" i="178"/>
  <c r="AG527" i="178"/>
  <c r="AH527" i="178"/>
  <c r="AI527" i="178"/>
  <c r="AJ527" i="178"/>
  <c r="AK527" i="178"/>
  <c r="AL527" i="178"/>
  <c r="AM527" i="178"/>
  <c r="AN527" i="178"/>
  <c r="AO527" i="178"/>
  <c r="AD528" i="178"/>
  <c r="AE528" i="178"/>
  <c r="AF528" i="178"/>
  <c r="AG528" i="178"/>
  <c r="AH528" i="178"/>
  <c r="AI528" i="178"/>
  <c r="AJ528" i="178"/>
  <c r="AK528" i="178"/>
  <c r="AL528" i="178"/>
  <c r="AM528" i="178"/>
  <c r="AN528" i="178"/>
  <c r="AO528" i="178"/>
  <c r="AD536" i="178"/>
  <c r="AE536" i="178"/>
  <c r="AF536" i="178"/>
  <c r="AG536" i="178"/>
  <c r="AH536" i="178"/>
  <c r="AI536" i="178"/>
  <c r="AJ536" i="178"/>
  <c r="AK536" i="178"/>
  <c r="AL536" i="178"/>
  <c r="AM536" i="178"/>
  <c r="AN536" i="178"/>
  <c r="AO536" i="178"/>
  <c r="AD538" i="178"/>
  <c r="AE538" i="178"/>
  <c r="AF538" i="178"/>
  <c r="AG538" i="178"/>
  <c r="AH538" i="178"/>
  <c r="AI538" i="178"/>
  <c r="AJ538" i="178"/>
  <c r="AK538" i="178"/>
  <c r="AL538" i="178"/>
  <c r="AM538" i="178"/>
  <c r="AN538" i="178"/>
  <c r="AO538" i="178"/>
  <c r="AD540" i="178"/>
  <c r="AE540" i="178"/>
  <c r="AF540" i="178"/>
  <c r="AG540" i="178"/>
  <c r="AH540" i="178"/>
  <c r="AI540" i="178"/>
  <c r="AJ540" i="178"/>
  <c r="AK540" i="178"/>
  <c r="AL540" i="178"/>
  <c r="AM540" i="178"/>
  <c r="AN540" i="178"/>
  <c r="AO540" i="178"/>
  <c r="AD971" i="178"/>
  <c r="AE971" i="178"/>
  <c r="AF971" i="178"/>
  <c r="AG971" i="178"/>
  <c r="AH971" i="178"/>
  <c r="AI971" i="178"/>
  <c r="AJ971" i="178"/>
  <c r="AK971" i="178"/>
  <c r="AL971" i="178"/>
  <c r="AM971" i="178"/>
  <c r="AN971" i="178"/>
  <c r="AO971" i="178"/>
  <c r="AD969" i="178"/>
  <c r="AE969" i="178"/>
  <c r="AF969" i="178"/>
  <c r="AG969" i="178"/>
  <c r="AH969" i="178"/>
  <c r="AI969" i="178"/>
  <c r="AJ969" i="178"/>
  <c r="AK969" i="178"/>
  <c r="AL969" i="178"/>
  <c r="AM969" i="178"/>
  <c r="AN969" i="178"/>
  <c r="AO969" i="178"/>
  <c r="AD970" i="178"/>
  <c r="AE970" i="178"/>
  <c r="AF970" i="178"/>
  <c r="AG970" i="178"/>
  <c r="AH970" i="178"/>
  <c r="AI970" i="178"/>
  <c r="AJ970" i="178"/>
  <c r="AK970" i="178"/>
  <c r="AL970" i="178"/>
  <c r="AM970" i="178"/>
  <c r="AN970" i="178"/>
  <c r="AO970" i="178"/>
  <c r="AD984" i="178"/>
  <c r="AE984" i="178"/>
  <c r="AF984" i="178"/>
  <c r="AG984" i="178"/>
  <c r="AH984" i="178"/>
  <c r="AI984" i="178"/>
  <c r="AJ984" i="178"/>
  <c r="AK984" i="178"/>
  <c r="AL984" i="178"/>
  <c r="AM984" i="178"/>
  <c r="AN984" i="178"/>
  <c r="AO984" i="178"/>
  <c r="AD985" i="178"/>
  <c r="AE985" i="178"/>
  <c r="AF985" i="178"/>
  <c r="AG985" i="178"/>
  <c r="AH985" i="178"/>
  <c r="AI985" i="178"/>
  <c r="AJ985" i="178"/>
  <c r="AK985" i="178"/>
  <c r="AL985" i="178"/>
  <c r="AM985" i="178"/>
  <c r="AN985" i="178"/>
  <c r="AO985" i="178"/>
  <c r="AD986" i="178"/>
  <c r="AE986" i="178"/>
  <c r="AF986" i="178"/>
  <c r="AG986" i="178"/>
  <c r="AH986" i="178"/>
  <c r="AI986" i="178"/>
  <c r="AJ986" i="178"/>
  <c r="AK986" i="178"/>
  <c r="AL986" i="178"/>
  <c r="AM986" i="178"/>
  <c r="AN986" i="178"/>
  <c r="AO986" i="178"/>
  <c r="AD987" i="178"/>
  <c r="AE987" i="178"/>
  <c r="AF987" i="178"/>
  <c r="AG987" i="178"/>
  <c r="AH987" i="178"/>
  <c r="AI987" i="178"/>
  <c r="AJ987" i="178"/>
  <c r="AK987" i="178"/>
  <c r="AL987" i="178"/>
  <c r="AM987" i="178"/>
  <c r="AN987" i="178"/>
  <c r="AO987" i="178"/>
  <c r="AD989" i="178"/>
  <c r="AE989" i="178"/>
  <c r="AF989" i="178"/>
  <c r="AG989" i="178"/>
  <c r="AH989" i="178"/>
  <c r="AI989" i="178"/>
  <c r="AJ989" i="178"/>
  <c r="AK989" i="178"/>
  <c r="AL989" i="178"/>
  <c r="AM989" i="178"/>
  <c r="AN989" i="178"/>
  <c r="AO989" i="178"/>
  <c r="AD988" i="178"/>
  <c r="AE988" i="178"/>
  <c r="AF988" i="178"/>
  <c r="AG988" i="178"/>
  <c r="AH988" i="178"/>
  <c r="AI988" i="178"/>
  <c r="AJ988" i="178"/>
  <c r="AK988" i="178"/>
  <c r="AL988" i="178"/>
  <c r="AM988" i="178"/>
  <c r="AN988" i="178"/>
  <c r="AO988" i="178"/>
  <c r="AD990" i="178"/>
  <c r="AE990" i="178"/>
  <c r="AF990" i="178"/>
  <c r="AG990" i="178"/>
  <c r="AH990" i="178"/>
  <c r="AI990" i="178"/>
  <c r="AJ990" i="178"/>
  <c r="AK990" i="178"/>
  <c r="AL990" i="178"/>
  <c r="AM990" i="178"/>
  <c r="AN990" i="178"/>
  <c r="AO990" i="178"/>
  <c r="AD991" i="178"/>
  <c r="AE991" i="178"/>
  <c r="AF991" i="178"/>
  <c r="AG991" i="178"/>
  <c r="AH991" i="178"/>
  <c r="AI991" i="178"/>
  <c r="AJ991" i="178"/>
  <c r="AK991" i="178"/>
  <c r="AL991" i="178"/>
  <c r="AM991" i="178"/>
  <c r="AN991" i="178"/>
  <c r="AO991" i="178"/>
  <c r="AD993" i="178"/>
  <c r="AE993" i="178"/>
  <c r="AF993" i="178"/>
  <c r="AG993" i="178"/>
  <c r="AH993" i="178"/>
  <c r="AI993" i="178"/>
  <c r="AJ993" i="178"/>
  <c r="AK993" i="178"/>
  <c r="AL993" i="178"/>
  <c r="AM993" i="178"/>
  <c r="AN993" i="178"/>
  <c r="AO993" i="178"/>
  <c r="AD992" i="178"/>
  <c r="AE992" i="178"/>
  <c r="AF992" i="178"/>
  <c r="AG992" i="178"/>
  <c r="AH992" i="178"/>
  <c r="AI992" i="178"/>
  <c r="AJ992" i="178"/>
  <c r="AK992" i="178"/>
  <c r="AL992" i="178"/>
  <c r="AM992" i="178"/>
  <c r="AN992" i="178"/>
  <c r="AO992" i="178"/>
  <c r="AD994" i="178"/>
  <c r="AE994" i="178"/>
  <c r="AF994" i="178"/>
  <c r="AG994" i="178"/>
  <c r="AH994" i="178"/>
  <c r="AI994" i="178"/>
  <c r="AJ994" i="178"/>
  <c r="AK994" i="178"/>
  <c r="AL994" i="178"/>
  <c r="AM994" i="178"/>
  <c r="AN994" i="178"/>
  <c r="AO994" i="178"/>
  <c r="X995" i="178"/>
  <c r="Y995" i="178"/>
  <c r="AA995" i="178"/>
  <c r="AD995" i="178"/>
  <c r="AE995" i="178"/>
  <c r="AF995" i="178"/>
  <c r="AG995" i="178"/>
  <c r="AH995" i="178"/>
  <c r="AI995" i="178"/>
  <c r="AJ995" i="178"/>
  <c r="AK995" i="178"/>
  <c r="AL995" i="178"/>
  <c r="AM995" i="178"/>
  <c r="AN995" i="178"/>
  <c r="AO995" i="178"/>
  <c r="AD1001" i="178"/>
  <c r="AE1001" i="178"/>
  <c r="AF1001" i="178"/>
  <c r="AG1001" i="178"/>
  <c r="AH1001" i="178"/>
  <c r="AI1001" i="178"/>
  <c r="AJ1001" i="178"/>
  <c r="AK1001" i="178"/>
  <c r="AL1001" i="178"/>
  <c r="AM1001" i="178"/>
  <c r="AN1001" i="178"/>
  <c r="AO1001" i="178"/>
  <c r="AD1003" i="178"/>
  <c r="AE1003" i="178"/>
  <c r="AF1003" i="178"/>
  <c r="AG1003" i="178"/>
  <c r="AH1003" i="178"/>
  <c r="AI1003" i="178"/>
  <c r="AJ1003" i="178"/>
  <c r="AK1003" i="178"/>
  <c r="AL1003" i="178"/>
  <c r="AM1003" i="178"/>
  <c r="AN1003" i="178"/>
  <c r="AO1003" i="178"/>
  <c r="AD1002" i="178"/>
  <c r="AE1002" i="178"/>
  <c r="AF1002" i="178"/>
  <c r="AG1002" i="178"/>
  <c r="AH1002" i="178"/>
  <c r="AI1002" i="178"/>
  <c r="AJ1002" i="178"/>
  <c r="AK1002" i="178"/>
  <c r="AL1002" i="178"/>
  <c r="AM1002" i="178"/>
  <c r="AN1002" i="178"/>
  <c r="AO1002" i="178"/>
  <c r="AD1005" i="178"/>
  <c r="AE1005" i="178"/>
  <c r="AF1005" i="178"/>
  <c r="AG1005" i="178"/>
  <c r="AH1005" i="178"/>
  <c r="AI1005" i="178"/>
  <c r="AJ1005" i="178"/>
  <c r="AK1005" i="178"/>
  <c r="AL1005" i="178"/>
  <c r="AM1005" i="178"/>
  <c r="AN1005" i="178"/>
  <c r="AO1005" i="178"/>
  <c r="AD1012" i="178"/>
  <c r="AE1012" i="178"/>
  <c r="AF1012" i="178"/>
  <c r="AG1012" i="178"/>
  <c r="AH1012" i="178"/>
  <c r="AI1012" i="178"/>
  <c r="AJ1012" i="178"/>
  <c r="AK1012" i="178"/>
  <c r="AL1012" i="178"/>
  <c r="AM1012" i="178"/>
  <c r="AN1012" i="178"/>
  <c r="AO1012" i="178"/>
  <c r="AD1013" i="178"/>
  <c r="AE1013" i="178"/>
  <c r="AF1013" i="178"/>
  <c r="AG1013" i="178"/>
  <c r="AH1013" i="178"/>
  <c r="AI1013" i="178"/>
  <c r="AJ1013" i="178"/>
  <c r="AK1013" i="178"/>
  <c r="AL1013" i="178"/>
  <c r="AM1013" i="178"/>
  <c r="AN1013" i="178"/>
  <c r="AO1013" i="178"/>
  <c r="AD1014" i="178"/>
  <c r="AE1014" i="178"/>
  <c r="AF1014" i="178"/>
  <c r="AG1014" i="178"/>
  <c r="AH1014" i="178"/>
  <c r="AI1014" i="178"/>
  <c r="AJ1014" i="178"/>
  <c r="AK1014" i="178"/>
  <c r="AL1014" i="178"/>
  <c r="AM1014" i="178"/>
  <c r="AN1014" i="178"/>
  <c r="AO1014" i="178"/>
  <c r="AD1020" i="178"/>
  <c r="AE1020" i="178"/>
  <c r="AF1020" i="178"/>
  <c r="AG1020" i="178"/>
  <c r="AH1020" i="178"/>
  <c r="AI1020" i="178"/>
  <c r="AJ1020" i="178"/>
  <c r="AK1020" i="178"/>
  <c r="AL1020" i="178"/>
  <c r="AM1020" i="178"/>
  <c r="AN1020" i="178"/>
  <c r="AO1020" i="178"/>
  <c r="AD1021" i="178"/>
  <c r="AE1021" i="178"/>
  <c r="AF1021" i="178"/>
  <c r="AG1021" i="178"/>
  <c r="AH1021" i="178"/>
  <c r="AI1021" i="178"/>
  <c r="AJ1021" i="178"/>
  <c r="AK1021" i="178"/>
  <c r="AL1021" i="178"/>
  <c r="AM1021" i="178"/>
  <c r="AN1021" i="178"/>
  <c r="AO1021" i="178"/>
  <c r="AD1027" i="178"/>
  <c r="AE1027" i="178"/>
  <c r="AF1027" i="178"/>
  <c r="AG1027" i="178"/>
  <c r="AH1027" i="178"/>
  <c r="AI1027" i="178"/>
  <c r="AJ1027" i="178"/>
  <c r="AK1027" i="178"/>
  <c r="AL1027" i="178"/>
  <c r="AM1027" i="178"/>
  <c r="AN1027" i="178"/>
  <c r="AO1027" i="178"/>
  <c r="AD1022" i="178"/>
  <c r="AE1022" i="178"/>
  <c r="AF1022" i="178"/>
  <c r="AG1022" i="178"/>
  <c r="AH1022" i="178"/>
  <c r="AI1022" i="178"/>
  <c r="AJ1022" i="178"/>
  <c r="AK1022" i="178"/>
  <c r="AL1022" i="178"/>
  <c r="AM1022" i="178"/>
  <c r="AN1022" i="178"/>
  <c r="AO1022" i="178"/>
  <c r="AD1023" i="178"/>
  <c r="AE1023" i="178"/>
  <c r="AF1023" i="178"/>
  <c r="AG1023" i="178"/>
  <c r="AH1023" i="178"/>
  <c r="AI1023" i="178"/>
  <c r="AJ1023" i="178"/>
  <c r="AK1023" i="178"/>
  <c r="AL1023" i="178"/>
  <c r="AM1023" i="178"/>
  <c r="AN1023" i="178"/>
  <c r="AO1023" i="178"/>
  <c r="AD1036" i="178"/>
  <c r="AE1036" i="178"/>
  <c r="AF1036" i="178"/>
  <c r="AG1036" i="178"/>
  <c r="AH1036" i="178"/>
  <c r="AI1036" i="178"/>
  <c r="AJ1036" i="178"/>
  <c r="AK1036" i="178"/>
  <c r="AL1036" i="178"/>
  <c r="AM1036" i="178"/>
  <c r="AN1036" i="178"/>
  <c r="AO1036" i="178"/>
  <c r="AD1039" i="178"/>
  <c r="AE1039" i="178"/>
  <c r="AF1039" i="178"/>
  <c r="AG1039" i="178"/>
  <c r="AH1039" i="178"/>
  <c r="AI1039" i="178"/>
  <c r="AJ1039" i="178"/>
  <c r="AK1039" i="178"/>
  <c r="AL1039" i="178"/>
  <c r="AM1039" i="178"/>
  <c r="AN1039" i="178"/>
  <c r="AO1039" i="178"/>
  <c r="AD1037" i="178"/>
  <c r="AE1037" i="178"/>
  <c r="AF1037" i="178"/>
  <c r="AG1037" i="178"/>
  <c r="AH1037" i="178"/>
  <c r="AI1037" i="178"/>
  <c r="AJ1037" i="178"/>
  <c r="AK1037" i="178"/>
  <c r="AL1037" i="178"/>
  <c r="AM1037" i="178"/>
  <c r="AN1037" i="178"/>
  <c r="AO1037" i="178"/>
  <c r="AD1038" i="178"/>
  <c r="AE1038" i="178"/>
  <c r="AF1038" i="178"/>
  <c r="AG1038" i="178"/>
  <c r="AH1038" i="178"/>
  <c r="AI1038" i="178"/>
  <c r="AJ1038" i="178"/>
  <c r="AK1038" i="178"/>
  <c r="AL1038" i="178"/>
  <c r="AM1038" i="178"/>
  <c r="AN1038" i="178"/>
  <c r="AO1038" i="178"/>
  <c r="AD1040" i="178"/>
  <c r="AE1040" i="178"/>
  <c r="AF1040" i="178"/>
  <c r="AG1040" i="178"/>
  <c r="AH1040" i="178"/>
  <c r="AI1040" i="178"/>
  <c r="AJ1040" i="178"/>
  <c r="AK1040" i="178"/>
  <c r="AL1040" i="178"/>
  <c r="AM1040" i="178"/>
  <c r="AN1040" i="178"/>
  <c r="AO1040" i="178"/>
  <c r="AD1048" i="178"/>
  <c r="AE1048" i="178"/>
  <c r="AF1048" i="178"/>
  <c r="AG1048" i="178"/>
  <c r="AH1048" i="178"/>
  <c r="AI1048" i="178"/>
  <c r="AJ1048" i="178"/>
  <c r="AK1048" i="178"/>
  <c r="AL1048" i="178"/>
  <c r="AM1048" i="178"/>
  <c r="AN1048" i="178"/>
  <c r="AO1048" i="178"/>
  <c r="AD1049" i="178"/>
  <c r="AE1049" i="178"/>
  <c r="AF1049" i="178"/>
  <c r="AG1049" i="178"/>
  <c r="AH1049" i="178"/>
  <c r="AI1049" i="178"/>
  <c r="AJ1049" i="178"/>
  <c r="AK1049" i="178"/>
  <c r="AL1049" i="178"/>
  <c r="AM1049" i="178"/>
  <c r="AN1049" i="178"/>
  <c r="AO1049" i="178"/>
  <c r="AD1047" i="178"/>
  <c r="AE1047" i="178"/>
  <c r="AF1047" i="178"/>
  <c r="AG1047" i="178"/>
  <c r="AH1047" i="178"/>
  <c r="AI1047" i="178"/>
  <c r="AJ1047" i="178"/>
  <c r="AK1047" i="178"/>
  <c r="AL1047" i="178"/>
  <c r="AM1047" i="178"/>
  <c r="AN1047" i="178"/>
  <c r="AO1047" i="178"/>
  <c r="AD1050" i="178"/>
  <c r="AE1050" i="178"/>
  <c r="AF1050" i="178"/>
  <c r="AG1050" i="178"/>
  <c r="AH1050" i="178"/>
  <c r="AI1050" i="178"/>
  <c r="AJ1050" i="178"/>
  <c r="AK1050" i="178"/>
  <c r="AL1050" i="178"/>
  <c r="AM1050" i="178"/>
  <c r="AN1050" i="178"/>
  <c r="AO1050" i="178"/>
  <c r="AD1053" i="178"/>
  <c r="AE1053" i="178"/>
  <c r="AF1053" i="178"/>
  <c r="AG1053" i="178"/>
  <c r="AH1053" i="178"/>
  <c r="AI1053" i="178"/>
  <c r="AJ1053" i="178"/>
  <c r="AK1053" i="178"/>
  <c r="AL1053" i="178"/>
  <c r="AM1053" i="178"/>
  <c r="AN1053" i="178"/>
  <c r="AO1053" i="178"/>
  <c r="AD1054" i="178"/>
  <c r="AE1054" i="178"/>
  <c r="AF1054" i="178"/>
  <c r="AG1054" i="178"/>
  <c r="AH1054" i="178"/>
  <c r="AI1054" i="178"/>
  <c r="AJ1054" i="178"/>
  <c r="AK1054" i="178"/>
  <c r="AL1054" i="178"/>
  <c r="AM1054" i="178"/>
  <c r="AN1054" i="178"/>
  <c r="AO1054" i="178"/>
  <c r="AD1055" i="178"/>
  <c r="AE1055" i="178"/>
  <c r="AF1055" i="178"/>
  <c r="AG1055" i="178"/>
  <c r="AH1055" i="178"/>
  <c r="AI1055" i="178"/>
  <c r="AJ1055" i="178"/>
  <c r="AK1055" i="178"/>
  <c r="AL1055" i="178"/>
  <c r="AM1055" i="178"/>
  <c r="AN1055" i="178"/>
  <c r="AO1055" i="178"/>
  <c r="AD1052" i="178"/>
  <c r="AE1052" i="178"/>
  <c r="AF1052" i="178"/>
  <c r="AG1052" i="178"/>
  <c r="AH1052" i="178"/>
  <c r="AI1052" i="178"/>
  <c r="AJ1052" i="178"/>
  <c r="AK1052" i="178"/>
  <c r="AL1052" i="178"/>
  <c r="AM1052" i="178"/>
  <c r="AN1052" i="178"/>
  <c r="AO1052" i="178"/>
  <c r="AD1056" i="178"/>
  <c r="AE1056" i="178"/>
  <c r="AF1056" i="178"/>
  <c r="AG1056" i="178"/>
  <c r="AH1056" i="178"/>
  <c r="AI1056" i="178"/>
  <c r="AJ1056" i="178"/>
  <c r="AK1056" i="178"/>
  <c r="AL1056" i="178"/>
  <c r="AM1056" i="178"/>
  <c r="AN1056" i="178"/>
  <c r="AO1056" i="178"/>
  <c r="AD1068" i="178"/>
  <c r="AE1068" i="178"/>
  <c r="AF1068" i="178"/>
  <c r="AG1068" i="178"/>
  <c r="AH1068" i="178"/>
  <c r="AI1068" i="178"/>
  <c r="AJ1068" i="178"/>
  <c r="AK1068" i="178"/>
  <c r="AL1068" i="178"/>
  <c r="AM1068" i="178"/>
  <c r="AN1068" i="178"/>
  <c r="AO1068" i="178"/>
  <c r="AD1069" i="178"/>
  <c r="AE1069" i="178"/>
  <c r="AF1069" i="178"/>
  <c r="AG1069" i="178"/>
  <c r="AH1069" i="178"/>
  <c r="AI1069" i="178"/>
  <c r="AJ1069" i="178"/>
  <c r="AK1069" i="178"/>
  <c r="AL1069" i="178"/>
  <c r="AM1069" i="178"/>
  <c r="AN1069" i="178"/>
  <c r="AO1069" i="178"/>
  <c r="AD1066" i="178"/>
  <c r="AE1066" i="178"/>
  <c r="AF1066" i="178"/>
  <c r="AG1066" i="178"/>
  <c r="AH1066" i="178"/>
  <c r="AI1066" i="178"/>
  <c r="AJ1066" i="178"/>
  <c r="AK1066" i="178"/>
  <c r="AL1066" i="178"/>
  <c r="AM1066" i="178"/>
  <c r="AN1066" i="178"/>
  <c r="AO1066" i="178"/>
  <c r="AD1070" i="178"/>
  <c r="AE1070" i="178"/>
  <c r="AF1070" i="178"/>
  <c r="AG1070" i="178"/>
  <c r="AH1070" i="178"/>
  <c r="AI1070" i="178"/>
  <c r="AJ1070" i="178"/>
  <c r="AK1070" i="178"/>
  <c r="AL1070" i="178"/>
  <c r="AM1070" i="178"/>
  <c r="AN1070" i="178"/>
  <c r="AO1070" i="178"/>
  <c r="AD1067" i="178"/>
  <c r="AE1067" i="178"/>
  <c r="AF1067" i="178"/>
  <c r="AG1067" i="178"/>
  <c r="AH1067" i="178"/>
  <c r="AI1067" i="178"/>
  <c r="AJ1067" i="178"/>
  <c r="AK1067" i="178"/>
  <c r="AL1067" i="178"/>
  <c r="AM1067" i="178"/>
  <c r="AN1067" i="178"/>
  <c r="AO1067" i="178"/>
  <c r="AD1071" i="178"/>
  <c r="AE1071" i="178"/>
  <c r="AF1071" i="178"/>
  <c r="AG1071" i="178"/>
  <c r="AH1071" i="178"/>
  <c r="AI1071" i="178"/>
  <c r="AJ1071" i="178"/>
  <c r="AK1071" i="178"/>
  <c r="AL1071" i="178"/>
  <c r="AM1071" i="178"/>
  <c r="AN1071" i="178"/>
  <c r="AO1071" i="178"/>
  <c r="AD1077" i="178"/>
  <c r="AE1077" i="178"/>
  <c r="AF1077" i="178"/>
  <c r="AG1077" i="178"/>
  <c r="AH1077" i="178"/>
  <c r="AI1077" i="178"/>
  <c r="AJ1077" i="178"/>
  <c r="AK1077" i="178"/>
  <c r="AL1077" i="178"/>
  <c r="AM1077" i="178"/>
  <c r="AN1077" i="178"/>
  <c r="AO1077" i="178"/>
  <c r="AD1072" i="178"/>
  <c r="AE1072" i="178"/>
  <c r="AF1072" i="178"/>
  <c r="AG1072" i="178"/>
  <c r="AH1072" i="178"/>
  <c r="AI1072" i="178"/>
  <c r="AJ1072" i="178"/>
  <c r="AK1072" i="178"/>
  <c r="AL1072" i="178"/>
  <c r="AM1072" i="178"/>
  <c r="AN1072" i="178"/>
  <c r="AO1072" i="178"/>
  <c r="AD1073" i="178"/>
  <c r="AE1073" i="178"/>
  <c r="AF1073" i="178"/>
  <c r="AG1073" i="178"/>
  <c r="AH1073" i="178"/>
  <c r="AI1073" i="178"/>
  <c r="AJ1073" i="178"/>
  <c r="AK1073" i="178"/>
  <c r="AL1073" i="178"/>
  <c r="AM1073" i="178"/>
  <c r="AN1073" i="178"/>
  <c r="AO1073" i="178"/>
  <c r="AD1074" i="178"/>
  <c r="AE1074" i="178"/>
  <c r="AF1074" i="178"/>
  <c r="AG1074" i="178"/>
  <c r="AH1074" i="178"/>
  <c r="AI1074" i="178"/>
  <c r="AJ1074" i="178"/>
  <c r="AK1074" i="178"/>
  <c r="AL1074" i="178"/>
  <c r="AM1074" i="178"/>
  <c r="AN1074" i="178"/>
  <c r="AO1074" i="178"/>
  <c r="AD1075" i="178"/>
  <c r="AE1075" i="178"/>
  <c r="AF1075" i="178"/>
  <c r="AG1075" i="178"/>
  <c r="AH1075" i="178"/>
  <c r="AI1075" i="178"/>
  <c r="AJ1075" i="178"/>
  <c r="AK1075" i="178"/>
  <c r="AL1075" i="178"/>
  <c r="AM1075" i="178"/>
  <c r="AN1075" i="178"/>
  <c r="AO1075" i="178"/>
  <c r="AD1076" i="178"/>
  <c r="AE1076" i="178"/>
  <c r="AF1076" i="178"/>
  <c r="AG1076" i="178"/>
  <c r="AH1076" i="178"/>
  <c r="AI1076" i="178"/>
  <c r="AJ1076" i="178"/>
  <c r="AK1076" i="178"/>
  <c r="AL1076" i="178"/>
  <c r="AM1076" i="178"/>
  <c r="AN1076" i="178"/>
  <c r="AO1076" i="178"/>
  <c r="AD1138" i="178"/>
  <c r="AE1138" i="178"/>
  <c r="AF1138" i="178"/>
  <c r="AG1138" i="178"/>
  <c r="AH1138" i="178"/>
  <c r="AI1138" i="178"/>
  <c r="AJ1138" i="178"/>
  <c r="AK1138" i="178"/>
  <c r="AL1138" i="178"/>
  <c r="AM1138" i="178"/>
  <c r="AN1138" i="178"/>
  <c r="AO1138" i="178"/>
  <c r="AD1144" i="178"/>
  <c r="AE1144" i="178"/>
  <c r="AF1144" i="178"/>
  <c r="AG1144" i="178"/>
  <c r="AH1144" i="178"/>
  <c r="AI1144" i="178"/>
  <c r="AJ1144" i="178"/>
  <c r="AK1144" i="178"/>
  <c r="AL1144" i="178"/>
  <c r="AM1144" i="178"/>
  <c r="AN1144" i="178"/>
  <c r="AO1144" i="178"/>
  <c r="AD1139" i="178"/>
  <c r="AE1139" i="178"/>
  <c r="AF1139" i="178"/>
  <c r="AG1139" i="178"/>
  <c r="AH1139" i="178"/>
  <c r="AI1139" i="178"/>
  <c r="AJ1139" i="178"/>
  <c r="AK1139" i="178"/>
  <c r="AL1139" i="178"/>
  <c r="AM1139" i="178"/>
  <c r="AN1139" i="178"/>
  <c r="AO1139" i="178"/>
  <c r="AD1140" i="178"/>
  <c r="AE1140" i="178"/>
  <c r="AF1140" i="178"/>
  <c r="AG1140" i="178"/>
  <c r="AH1140" i="178"/>
  <c r="AI1140" i="178"/>
  <c r="AJ1140" i="178"/>
  <c r="AK1140" i="178"/>
  <c r="AL1140" i="178"/>
  <c r="AM1140" i="178"/>
  <c r="AN1140" i="178"/>
  <c r="AO1140" i="178"/>
  <c r="AD1141" i="178"/>
  <c r="AE1141" i="178"/>
  <c r="AF1141" i="178"/>
  <c r="AG1141" i="178"/>
  <c r="AH1141" i="178"/>
  <c r="AI1141" i="178"/>
  <c r="AJ1141" i="178"/>
  <c r="AK1141" i="178"/>
  <c r="AL1141" i="178"/>
  <c r="AM1141" i="178"/>
  <c r="AN1141" i="178"/>
  <c r="AO1141" i="178"/>
  <c r="AD1143" i="178"/>
  <c r="AE1143" i="178"/>
  <c r="AF1143" i="178"/>
  <c r="AG1143" i="178"/>
  <c r="AH1143" i="178"/>
  <c r="AI1143" i="178"/>
  <c r="AJ1143" i="178"/>
  <c r="AK1143" i="178"/>
  <c r="AL1143" i="178"/>
  <c r="AM1143" i="178"/>
  <c r="AN1143" i="178"/>
  <c r="AO1143" i="178"/>
  <c r="AD1145" i="178"/>
  <c r="AE1145" i="178"/>
  <c r="AF1145" i="178"/>
  <c r="AG1145" i="178"/>
  <c r="AH1145" i="178"/>
  <c r="AI1145" i="178"/>
  <c r="AJ1145" i="178"/>
  <c r="AK1145" i="178"/>
  <c r="AL1145" i="178"/>
  <c r="AM1145" i="178"/>
  <c r="AN1145" i="178"/>
  <c r="AO1145" i="178"/>
  <c r="AD1142" i="178"/>
  <c r="AE1142" i="178"/>
  <c r="AF1142" i="178"/>
  <c r="AG1142" i="178"/>
  <c r="AH1142" i="178"/>
  <c r="AI1142" i="178"/>
  <c r="AJ1142" i="178"/>
  <c r="AK1142" i="178"/>
  <c r="AL1142" i="178"/>
  <c r="AM1142" i="178"/>
  <c r="AN1142" i="178"/>
  <c r="AO1142" i="178"/>
  <c r="AD1160" i="178"/>
  <c r="AE1160" i="178"/>
  <c r="AF1160" i="178"/>
  <c r="AG1160" i="178"/>
  <c r="AH1160" i="178"/>
  <c r="AI1160" i="178"/>
  <c r="AJ1160" i="178"/>
  <c r="AK1160" i="178"/>
  <c r="AL1160" i="178"/>
  <c r="AM1160" i="178"/>
  <c r="AN1160" i="178"/>
  <c r="AO1160" i="178"/>
  <c r="AD1161" i="178"/>
  <c r="AE1161" i="178"/>
  <c r="AF1161" i="178"/>
  <c r="AG1161" i="178"/>
  <c r="AH1161" i="178"/>
  <c r="AI1161" i="178"/>
  <c r="AJ1161" i="178"/>
  <c r="AK1161" i="178"/>
  <c r="AL1161" i="178"/>
  <c r="AM1161" i="178"/>
  <c r="AN1161" i="178"/>
  <c r="AO1161" i="178"/>
  <c r="AD1162" i="178"/>
  <c r="AE1162" i="178"/>
  <c r="AF1162" i="178"/>
  <c r="AG1162" i="178"/>
  <c r="AH1162" i="178"/>
  <c r="AI1162" i="178"/>
  <c r="AJ1162" i="178"/>
  <c r="AK1162" i="178"/>
  <c r="AL1162" i="178"/>
  <c r="AM1162" i="178"/>
  <c r="AN1162" i="178"/>
  <c r="AO1162" i="178"/>
  <c r="AD1163" i="178"/>
  <c r="AE1163" i="178"/>
  <c r="AF1163" i="178"/>
  <c r="AG1163" i="178"/>
  <c r="AH1163" i="178"/>
  <c r="AI1163" i="178"/>
  <c r="AJ1163" i="178"/>
  <c r="AK1163" i="178"/>
  <c r="AL1163" i="178"/>
  <c r="AM1163" i="178"/>
  <c r="AN1163" i="178"/>
  <c r="AO1163" i="178"/>
  <c r="AD1172" i="178"/>
  <c r="AE1172" i="178"/>
  <c r="AF1172" i="178"/>
  <c r="AG1172" i="178"/>
  <c r="AH1172" i="178"/>
  <c r="AI1172" i="178"/>
  <c r="AJ1172" i="178"/>
  <c r="AK1172" i="178"/>
  <c r="AL1172" i="178"/>
  <c r="AM1172" i="178"/>
  <c r="AN1172" i="178"/>
  <c r="AO1172" i="178"/>
  <c r="AD1171" i="178"/>
  <c r="AE1171" i="178"/>
  <c r="AF1171" i="178"/>
  <c r="AG1171" i="178"/>
  <c r="AH1171" i="178"/>
  <c r="AI1171" i="178"/>
  <c r="AJ1171" i="178"/>
  <c r="AK1171" i="178"/>
  <c r="AL1171" i="178"/>
  <c r="AM1171" i="178"/>
  <c r="AN1171" i="178"/>
  <c r="AO1171" i="178"/>
  <c r="AD1173" i="178"/>
  <c r="AE1173" i="178"/>
  <c r="AF1173" i="178"/>
  <c r="AG1173" i="178"/>
  <c r="AH1173" i="178"/>
  <c r="AI1173" i="178"/>
  <c r="AJ1173" i="178"/>
  <c r="AK1173" i="178"/>
  <c r="AL1173" i="178"/>
  <c r="AM1173" i="178"/>
  <c r="AN1173" i="178"/>
  <c r="AO1173" i="178"/>
  <c r="AD1176" i="178"/>
  <c r="AE1176" i="178"/>
  <c r="AF1176" i="178"/>
  <c r="AG1176" i="178"/>
  <c r="AH1176" i="178"/>
  <c r="AI1176" i="178"/>
  <c r="AJ1176" i="178"/>
  <c r="AK1176" i="178"/>
  <c r="AL1176" i="178"/>
  <c r="AM1176" i="178"/>
  <c r="AN1176" i="178"/>
  <c r="AO1176" i="178"/>
  <c r="AD1174" i="178"/>
  <c r="AE1174" i="178"/>
  <c r="AF1174" i="178"/>
  <c r="AG1174" i="178"/>
  <c r="AH1174" i="178"/>
  <c r="AI1174" i="178"/>
  <c r="AJ1174" i="178"/>
  <c r="AK1174" i="178"/>
  <c r="AL1174" i="178"/>
  <c r="AM1174" i="178"/>
  <c r="AN1174" i="178"/>
  <c r="AO1174" i="178"/>
  <c r="AD1177" i="178"/>
  <c r="AE1177" i="178"/>
  <c r="AF1177" i="178"/>
  <c r="AG1177" i="178"/>
  <c r="AH1177" i="178"/>
  <c r="AI1177" i="178"/>
  <c r="AJ1177" i="178"/>
  <c r="AK1177" i="178"/>
  <c r="AL1177" i="178"/>
  <c r="AM1177" i="178"/>
  <c r="AN1177" i="178"/>
  <c r="AO1177" i="178"/>
  <c r="AD1175" i="178"/>
  <c r="AE1175" i="178"/>
  <c r="AF1175" i="178"/>
  <c r="AG1175" i="178"/>
  <c r="AH1175" i="178"/>
  <c r="AI1175" i="178"/>
  <c r="AJ1175" i="178"/>
  <c r="AK1175" i="178"/>
  <c r="AL1175" i="178"/>
  <c r="AM1175" i="178"/>
  <c r="AN1175" i="178"/>
  <c r="AO1175" i="178"/>
  <c r="AD1178" i="178"/>
  <c r="AE1178" i="178"/>
  <c r="AF1178" i="178"/>
  <c r="AG1178" i="178"/>
  <c r="AH1178" i="178"/>
  <c r="AI1178" i="178"/>
  <c r="AJ1178" i="178"/>
  <c r="AK1178" i="178"/>
  <c r="AL1178" i="178"/>
  <c r="AM1178" i="178"/>
  <c r="AN1178" i="178"/>
  <c r="AO1178" i="178"/>
  <c r="AD1190" i="178"/>
  <c r="AE1190" i="178"/>
  <c r="AF1190" i="178"/>
  <c r="AG1190" i="178"/>
  <c r="AH1190" i="178"/>
  <c r="AI1190" i="178"/>
  <c r="AJ1190" i="178"/>
  <c r="AK1190" i="178"/>
  <c r="AL1190" i="178"/>
  <c r="AM1190" i="178"/>
  <c r="AN1190" i="178"/>
  <c r="AO1190" i="178"/>
  <c r="AD1194" i="178"/>
  <c r="AE1194" i="178"/>
  <c r="AF1194" i="178"/>
  <c r="AG1194" i="178"/>
  <c r="AH1194" i="178"/>
  <c r="AI1194" i="178"/>
  <c r="AJ1194" i="178"/>
  <c r="AK1194" i="178"/>
  <c r="AL1194" i="178"/>
  <c r="AM1194" i="178"/>
  <c r="AN1194" i="178"/>
  <c r="AO1194" i="178"/>
  <c r="AD1191" i="178"/>
  <c r="AE1191" i="178"/>
  <c r="AF1191" i="178"/>
  <c r="AG1191" i="178"/>
  <c r="AH1191" i="178"/>
  <c r="AI1191" i="178"/>
  <c r="AJ1191" i="178"/>
  <c r="AK1191" i="178"/>
  <c r="AL1191" i="178"/>
  <c r="AM1191" i="178"/>
  <c r="AN1191" i="178"/>
  <c r="AO1191" i="178"/>
  <c r="AD1192" i="178"/>
  <c r="AE1192" i="178"/>
  <c r="AF1192" i="178"/>
  <c r="AG1192" i="178"/>
  <c r="AH1192" i="178"/>
  <c r="AI1192" i="178"/>
  <c r="AJ1192" i="178"/>
  <c r="AK1192" i="178"/>
  <c r="AL1192" i="178"/>
  <c r="AM1192" i="178"/>
  <c r="AN1192" i="178"/>
  <c r="AO1192" i="178"/>
  <c r="AD1193" i="178"/>
  <c r="AE1193" i="178"/>
  <c r="AF1193" i="178"/>
  <c r="AG1193" i="178"/>
  <c r="AH1193" i="178"/>
  <c r="AI1193" i="178"/>
  <c r="AJ1193" i="178"/>
  <c r="AK1193" i="178"/>
  <c r="AL1193" i="178"/>
  <c r="AM1193" i="178"/>
  <c r="AN1193" i="178"/>
  <c r="AO1193" i="178"/>
  <c r="AD1276" i="178"/>
  <c r="AE1276" i="178"/>
  <c r="AF1276" i="178"/>
  <c r="AG1276" i="178"/>
  <c r="AH1276" i="178"/>
  <c r="AI1276" i="178"/>
  <c r="AJ1276" i="178"/>
  <c r="AK1276" i="178"/>
  <c r="AL1276" i="178"/>
  <c r="AM1276" i="178"/>
  <c r="AN1276" i="178"/>
  <c r="AO1276" i="178"/>
  <c r="AD651" i="178"/>
  <c r="AE651" i="178"/>
  <c r="AF651" i="178"/>
  <c r="AG651" i="178"/>
  <c r="AH651" i="178"/>
  <c r="AI651" i="178"/>
  <c r="AJ651" i="178"/>
  <c r="AK651" i="178"/>
  <c r="AL651" i="178"/>
  <c r="AM651" i="178"/>
  <c r="AN651" i="178"/>
  <c r="AO651" i="178"/>
  <c r="AD652" i="178"/>
  <c r="AE652" i="178"/>
  <c r="AF652" i="178"/>
  <c r="AG652" i="178"/>
  <c r="AH652" i="178"/>
  <c r="AI652" i="178"/>
  <c r="AJ652" i="178"/>
  <c r="AK652" i="178"/>
  <c r="AL652" i="178"/>
  <c r="AM652" i="178"/>
  <c r="AN652" i="178"/>
  <c r="AO652" i="178"/>
  <c r="AD653" i="178"/>
  <c r="AE653" i="178"/>
  <c r="AF653" i="178"/>
  <c r="AG653" i="178"/>
  <c r="AH653" i="178"/>
  <c r="AI653" i="178"/>
  <c r="AJ653" i="178"/>
  <c r="AK653" i="178"/>
  <c r="AL653" i="178"/>
  <c r="AM653" i="178"/>
  <c r="AN653" i="178"/>
  <c r="AO653" i="178"/>
  <c r="AD654" i="178"/>
  <c r="AE654" i="178"/>
  <c r="AF654" i="178"/>
  <c r="AG654" i="178"/>
  <c r="AH654" i="178"/>
  <c r="AI654" i="178"/>
  <c r="AJ654" i="178"/>
  <c r="AK654" i="178"/>
  <c r="AL654" i="178"/>
  <c r="AM654" i="178"/>
  <c r="AN654" i="178"/>
  <c r="AO654" i="178"/>
  <c r="AD1032" i="178"/>
  <c r="AE1032" i="178"/>
  <c r="AF1032" i="178"/>
  <c r="AG1032" i="178"/>
  <c r="AH1032" i="178"/>
  <c r="AI1032" i="178"/>
  <c r="AJ1032" i="178"/>
  <c r="AK1032" i="178"/>
  <c r="AL1032" i="178"/>
  <c r="AM1032" i="178"/>
  <c r="AN1032" i="178"/>
  <c r="AO1032" i="178"/>
  <c r="AD1033" i="178"/>
  <c r="AE1033" i="178"/>
  <c r="AF1033" i="178"/>
  <c r="AG1033" i="178"/>
  <c r="AH1033" i="178"/>
  <c r="AI1033" i="178"/>
  <c r="AJ1033" i="178"/>
  <c r="AK1033" i="178"/>
  <c r="AL1033" i="178"/>
  <c r="AM1033" i="178"/>
  <c r="AN1033" i="178"/>
  <c r="AO1033" i="178"/>
  <c r="AD1115" i="178"/>
  <c r="AE1115" i="178"/>
  <c r="AF1115" i="178"/>
  <c r="AG1115" i="178"/>
  <c r="AH1115" i="178"/>
  <c r="AI1115" i="178"/>
  <c r="AJ1115" i="178"/>
  <c r="AK1115" i="178"/>
  <c r="AL1115" i="178"/>
  <c r="AM1115" i="178"/>
  <c r="AN1115" i="178"/>
  <c r="AO1115" i="178"/>
  <c r="AD1116" i="178"/>
  <c r="AE1116" i="178"/>
  <c r="AF1116" i="178"/>
  <c r="AG1116" i="178"/>
  <c r="AH1116" i="178"/>
  <c r="AI1116" i="178"/>
  <c r="AJ1116" i="178"/>
  <c r="AK1116" i="178"/>
  <c r="AL1116" i="178"/>
  <c r="AM1116" i="178"/>
  <c r="AN1116" i="178"/>
  <c r="AO1116" i="178"/>
  <c r="AD1118" i="178"/>
  <c r="AE1118" i="178"/>
  <c r="AF1118" i="178"/>
  <c r="AG1118" i="178"/>
  <c r="AH1118" i="178"/>
  <c r="AI1118" i="178"/>
  <c r="AJ1118" i="178"/>
  <c r="AK1118" i="178"/>
  <c r="AL1118" i="178"/>
  <c r="AM1118" i="178"/>
  <c r="AN1118" i="178"/>
  <c r="AO1118" i="178"/>
  <c r="AD1120" i="178"/>
  <c r="AE1120" i="178"/>
  <c r="AF1120" i="178"/>
  <c r="AG1120" i="178"/>
  <c r="AH1120" i="178"/>
  <c r="AI1120" i="178"/>
  <c r="AJ1120" i="178"/>
  <c r="AK1120" i="178"/>
  <c r="AL1120" i="178"/>
  <c r="AM1120" i="178"/>
  <c r="AN1120" i="178"/>
  <c r="AO1120" i="178"/>
  <c r="AD1123" i="178"/>
  <c r="AE1123" i="178"/>
  <c r="AF1123" i="178"/>
  <c r="AG1123" i="178"/>
  <c r="AH1123" i="178"/>
  <c r="AI1123" i="178"/>
  <c r="AJ1123" i="178"/>
  <c r="AK1123" i="178"/>
  <c r="AL1123" i="178"/>
  <c r="AM1123" i="178"/>
  <c r="AN1123" i="178"/>
  <c r="AO1123" i="178"/>
  <c r="AD1124" i="178"/>
  <c r="AE1124" i="178"/>
  <c r="AF1124" i="178"/>
  <c r="AG1124" i="178"/>
  <c r="AH1124" i="178"/>
  <c r="AI1124" i="178"/>
  <c r="AJ1124" i="178"/>
  <c r="AK1124" i="178"/>
  <c r="AL1124" i="178"/>
  <c r="AM1124" i="178"/>
  <c r="AN1124" i="178"/>
  <c r="AO1124" i="178"/>
  <c r="AD154" i="178"/>
  <c r="AE154" i="178"/>
  <c r="AF154" i="178"/>
  <c r="AG154" i="178"/>
  <c r="AH154" i="178"/>
  <c r="AI154" i="178"/>
  <c r="AJ154" i="178"/>
  <c r="AK154" i="178"/>
  <c r="AL154" i="178"/>
  <c r="AM154" i="178"/>
  <c r="AN154" i="178"/>
  <c r="AO154" i="178"/>
  <c r="AD155" i="178"/>
  <c r="AE155" i="178"/>
  <c r="AF155" i="178"/>
  <c r="AG155" i="178"/>
  <c r="AH155" i="178"/>
  <c r="AI155" i="178"/>
  <c r="AJ155" i="178"/>
  <c r="AK155" i="178"/>
  <c r="AL155" i="178"/>
  <c r="AM155" i="178"/>
  <c r="AN155" i="178"/>
  <c r="AO155" i="178"/>
  <c r="AD156" i="178"/>
  <c r="AE156" i="178"/>
  <c r="AF156" i="178"/>
  <c r="AG156" i="178"/>
  <c r="AH156" i="178"/>
  <c r="AI156" i="178"/>
  <c r="AJ156" i="178"/>
  <c r="AK156" i="178"/>
  <c r="AL156" i="178"/>
  <c r="AM156" i="178"/>
  <c r="AN156" i="178"/>
  <c r="AO156" i="178"/>
  <c r="AD162" i="178"/>
  <c r="AE162" i="178"/>
  <c r="AF162" i="178"/>
  <c r="AG162" i="178"/>
  <c r="AH162" i="178"/>
  <c r="AI162" i="178"/>
  <c r="AJ162" i="178"/>
  <c r="AK162" i="178"/>
  <c r="AL162" i="178"/>
  <c r="AM162" i="178"/>
  <c r="AN162" i="178"/>
  <c r="AO162" i="178"/>
  <c r="AD163" i="178"/>
  <c r="AE163" i="178"/>
  <c r="AF163" i="178"/>
  <c r="AG163" i="178"/>
  <c r="AH163" i="178"/>
  <c r="AI163" i="178"/>
  <c r="AJ163" i="178"/>
  <c r="AK163" i="178"/>
  <c r="AL163" i="178"/>
  <c r="AM163" i="178"/>
  <c r="AN163" i="178"/>
  <c r="AO163" i="178"/>
  <c r="AD164" i="178"/>
  <c r="AE164" i="178"/>
  <c r="AF164" i="178"/>
  <c r="AG164" i="178"/>
  <c r="AH164" i="178"/>
  <c r="AI164" i="178"/>
  <c r="AJ164" i="178"/>
  <c r="AK164" i="178"/>
  <c r="AL164" i="178"/>
  <c r="AM164" i="178"/>
  <c r="AN164" i="178"/>
  <c r="AO164" i="178"/>
  <c r="AD165" i="178"/>
  <c r="AE165" i="178"/>
  <c r="AF165" i="178"/>
  <c r="AG165" i="178"/>
  <c r="AH165" i="178"/>
  <c r="AI165" i="178"/>
  <c r="AJ165" i="178"/>
  <c r="AK165" i="178"/>
  <c r="AL165" i="178"/>
  <c r="AM165" i="178"/>
  <c r="AN165" i="178"/>
  <c r="AO165" i="178"/>
  <c r="AD166" i="178"/>
  <c r="AE166" i="178"/>
  <c r="AF166" i="178"/>
  <c r="AG166" i="178"/>
  <c r="AH166" i="178"/>
  <c r="AI166" i="178"/>
  <c r="AJ166" i="178"/>
  <c r="AK166" i="178"/>
  <c r="AL166" i="178"/>
  <c r="AM166" i="178"/>
  <c r="AN166" i="178"/>
  <c r="AO166" i="178"/>
  <c r="AD167" i="178"/>
  <c r="AE167" i="178"/>
  <c r="AF167" i="178"/>
  <c r="AG167" i="178"/>
  <c r="AH167" i="178"/>
  <c r="AI167" i="178"/>
  <c r="AJ167" i="178"/>
  <c r="AK167" i="178"/>
  <c r="AL167" i="178"/>
  <c r="AM167" i="178"/>
  <c r="AN167" i="178"/>
  <c r="AO167" i="178"/>
  <c r="AD355" i="178"/>
  <c r="AE355" i="178"/>
  <c r="AF355" i="178"/>
  <c r="AG355" i="178"/>
  <c r="AH355" i="178"/>
  <c r="AI355" i="178"/>
  <c r="AJ355" i="178"/>
  <c r="AK355" i="178"/>
  <c r="AL355" i="178"/>
  <c r="AM355" i="178"/>
  <c r="AN355" i="178"/>
  <c r="AO355" i="178"/>
  <c r="AD358" i="178"/>
  <c r="AE358" i="178"/>
  <c r="AF358" i="178"/>
  <c r="AG358" i="178"/>
  <c r="AH358" i="178"/>
  <c r="AI358" i="178"/>
  <c r="AJ358" i="178"/>
  <c r="AK358" i="178"/>
  <c r="AL358" i="178"/>
  <c r="AM358" i="178"/>
  <c r="AN358" i="178"/>
  <c r="AO358" i="178"/>
  <c r="AD690" i="178"/>
  <c r="AE690" i="178"/>
  <c r="AF690" i="178"/>
  <c r="AG690" i="178"/>
  <c r="AH690" i="178"/>
  <c r="AI690" i="178"/>
  <c r="AJ690" i="178"/>
  <c r="AK690" i="178"/>
  <c r="AL690" i="178"/>
  <c r="AM690" i="178"/>
  <c r="AN690" i="178"/>
  <c r="AO690" i="178"/>
  <c r="AD698" i="178"/>
  <c r="AE698" i="178"/>
  <c r="AF698" i="178"/>
  <c r="AG698" i="178"/>
  <c r="AH698" i="178"/>
  <c r="AI698" i="178"/>
  <c r="AJ698" i="178"/>
  <c r="AK698" i="178"/>
  <c r="AL698" i="178"/>
  <c r="AM698" i="178"/>
  <c r="AN698" i="178"/>
  <c r="AO698" i="178"/>
  <c r="AD706" i="178"/>
  <c r="AE706" i="178"/>
  <c r="AF706" i="178"/>
  <c r="AG706" i="178"/>
  <c r="AH706" i="178"/>
  <c r="AI706" i="178"/>
  <c r="AJ706" i="178"/>
  <c r="AK706" i="178"/>
  <c r="AL706" i="178"/>
  <c r="AM706" i="178"/>
  <c r="AN706" i="178"/>
  <c r="AO706" i="178"/>
  <c r="AD714" i="178"/>
  <c r="AE714" i="178"/>
  <c r="AF714" i="178"/>
  <c r="AG714" i="178"/>
  <c r="AH714" i="178"/>
  <c r="AI714" i="178"/>
  <c r="AJ714" i="178"/>
  <c r="AK714" i="178"/>
  <c r="AL714" i="178"/>
  <c r="AM714" i="178"/>
  <c r="AN714" i="178"/>
  <c r="AO714" i="178"/>
  <c r="AD792" i="178"/>
  <c r="AE792" i="178"/>
  <c r="AF792" i="178"/>
  <c r="AG792" i="178"/>
  <c r="AH792" i="178"/>
  <c r="AI792" i="178"/>
  <c r="AJ792" i="178"/>
  <c r="AK792" i="178"/>
  <c r="AL792" i="178"/>
  <c r="AM792" i="178"/>
  <c r="AN792" i="178"/>
  <c r="AO792" i="178"/>
  <c r="AD804" i="178"/>
  <c r="AE804" i="178"/>
  <c r="AF804" i="178"/>
  <c r="AG804" i="178"/>
  <c r="AH804" i="178"/>
  <c r="AI804" i="178"/>
  <c r="AJ804" i="178"/>
  <c r="AK804" i="178"/>
  <c r="AL804" i="178"/>
  <c r="AM804" i="178"/>
  <c r="AN804" i="178"/>
  <c r="AO804" i="178"/>
  <c r="AD805" i="178"/>
  <c r="AE805" i="178"/>
  <c r="AF805" i="178"/>
  <c r="AG805" i="178"/>
  <c r="AH805" i="178"/>
  <c r="AI805" i="178"/>
  <c r="AJ805" i="178"/>
  <c r="AK805" i="178"/>
  <c r="AL805" i="178"/>
  <c r="AM805" i="178"/>
  <c r="AN805" i="178"/>
  <c r="AO805" i="178"/>
  <c r="AD806" i="178"/>
  <c r="AE806" i="178"/>
  <c r="AF806" i="178"/>
  <c r="AG806" i="178"/>
  <c r="AH806" i="178"/>
  <c r="AI806" i="178"/>
  <c r="AJ806" i="178"/>
  <c r="AK806" i="178"/>
  <c r="AL806" i="178"/>
  <c r="AM806" i="178"/>
  <c r="AN806" i="178"/>
  <c r="AO806" i="178"/>
  <c r="AD807" i="178"/>
  <c r="AE807" i="178"/>
  <c r="AF807" i="178"/>
  <c r="AG807" i="178"/>
  <c r="AH807" i="178"/>
  <c r="AI807" i="178"/>
  <c r="AJ807" i="178"/>
  <c r="AK807" i="178"/>
  <c r="AL807" i="178"/>
  <c r="AM807" i="178"/>
  <c r="AN807" i="178"/>
  <c r="AO807" i="178"/>
  <c r="AD708" i="178"/>
  <c r="AE708" i="178"/>
  <c r="AF708" i="178"/>
  <c r="AG708" i="178"/>
  <c r="AH708" i="178"/>
  <c r="AI708" i="178"/>
  <c r="AJ708" i="178"/>
  <c r="AK708" i="178"/>
  <c r="AL708" i="178"/>
  <c r="AM708" i="178"/>
  <c r="AN708" i="178"/>
  <c r="AO708" i="178"/>
  <c r="AD810" i="178"/>
  <c r="AE810" i="178"/>
  <c r="AF810" i="178"/>
  <c r="AG810" i="178"/>
  <c r="AH810" i="178"/>
  <c r="AI810" i="178"/>
  <c r="AJ810" i="178"/>
  <c r="AK810" i="178"/>
  <c r="AL810" i="178"/>
  <c r="AM810" i="178"/>
  <c r="AN810" i="178"/>
  <c r="AO810" i="178"/>
  <c r="AD811" i="178"/>
  <c r="AE811" i="178"/>
  <c r="AF811" i="178"/>
  <c r="AG811" i="178"/>
  <c r="AH811" i="178"/>
  <c r="AI811" i="178"/>
  <c r="AJ811" i="178"/>
  <c r="AK811" i="178"/>
  <c r="AL811" i="178"/>
  <c r="AM811" i="178"/>
  <c r="AN811" i="178"/>
  <c r="AO811" i="178"/>
  <c r="AD812" i="178"/>
  <c r="AE812" i="178"/>
  <c r="AF812" i="178"/>
  <c r="AG812" i="178"/>
  <c r="AH812" i="178"/>
  <c r="AI812" i="178"/>
  <c r="AJ812" i="178"/>
  <c r="AK812" i="178"/>
  <c r="AL812" i="178"/>
  <c r="AM812" i="178"/>
  <c r="AN812" i="178"/>
  <c r="AO812" i="178"/>
  <c r="AD813" i="178"/>
  <c r="AE813" i="178"/>
  <c r="AF813" i="178"/>
  <c r="AG813" i="178"/>
  <c r="AH813" i="178"/>
  <c r="AI813" i="178"/>
  <c r="AJ813" i="178"/>
  <c r="AK813" i="178"/>
  <c r="AL813" i="178"/>
  <c r="AM813" i="178"/>
  <c r="AN813" i="178"/>
  <c r="AO813" i="178"/>
  <c r="AD932" i="178"/>
  <c r="AE932" i="178"/>
  <c r="AF932" i="178"/>
  <c r="AG932" i="178"/>
  <c r="AH932" i="178"/>
  <c r="AI932" i="178"/>
  <c r="AJ932" i="178"/>
  <c r="AK932" i="178"/>
  <c r="AL932" i="178"/>
  <c r="AM932" i="178"/>
  <c r="AN932" i="178"/>
  <c r="AO932" i="178"/>
  <c r="AD964" i="178"/>
  <c r="AE964" i="178"/>
  <c r="AF964" i="178"/>
  <c r="AG964" i="178"/>
  <c r="AH964" i="178"/>
  <c r="AI964" i="178"/>
  <c r="AJ964" i="178"/>
  <c r="AK964" i="178"/>
  <c r="AL964" i="178"/>
  <c r="AM964" i="178"/>
  <c r="AN964" i="178"/>
  <c r="AO964" i="178"/>
  <c r="AD965" i="178"/>
  <c r="AE965" i="178"/>
  <c r="AF965" i="178"/>
  <c r="AG965" i="178"/>
  <c r="AH965" i="178"/>
  <c r="AI965" i="178"/>
  <c r="AJ965" i="178"/>
  <c r="AK965" i="178"/>
  <c r="AL965" i="178"/>
  <c r="AM965" i="178"/>
  <c r="AN965" i="178"/>
  <c r="AO965" i="178"/>
  <c r="AD172" i="178"/>
  <c r="AE172" i="178"/>
  <c r="AF172" i="178"/>
  <c r="AG172" i="178"/>
  <c r="AH172" i="178"/>
  <c r="AI172" i="178"/>
  <c r="AJ172" i="178"/>
  <c r="AK172" i="178"/>
  <c r="AL172" i="178"/>
  <c r="AM172" i="178"/>
  <c r="AN172" i="178"/>
  <c r="AO172" i="178"/>
  <c r="AD173" i="178"/>
  <c r="AE173" i="178"/>
  <c r="AF173" i="178"/>
  <c r="AG173" i="178"/>
  <c r="AH173" i="178"/>
  <c r="AI173" i="178"/>
  <c r="AJ173" i="178"/>
  <c r="AK173" i="178"/>
  <c r="AL173" i="178"/>
  <c r="AM173" i="178"/>
  <c r="AN173" i="178"/>
  <c r="AO173" i="178"/>
  <c r="AD195" i="178"/>
  <c r="AE195" i="178"/>
  <c r="AF195" i="178"/>
  <c r="AG195" i="178"/>
  <c r="AH195" i="178"/>
  <c r="AI195" i="178"/>
  <c r="AJ195" i="178"/>
  <c r="AK195" i="178"/>
  <c r="AL195" i="178"/>
  <c r="AM195" i="178"/>
  <c r="AN195" i="178"/>
  <c r="AO195" i="178"/>
  <c r="AD196" i="178"/>
  <c r="AE196" i="178"/>
  <c r="AF196" i="178"/>
  <c r="AG196" i="178"/>
  <c r="AH196" i="178"/>
  <c r="AI196" i="178"/>
  <c r="AJ196" i="178"/>
  <c r="AK196" i="178"/>
  <c r="AL196" i="178"/>
  <c r="AM196" i="178"/>
  <c r="AN196" i="178"/>
  <c r="AO196" i="178"/>
  <c r="AD198" i="178"/>
  <c r="AE198" i="178"/>
  <c r="AF198" i="178"/>
  <c r="AG198" i="178"/>
  <c r="AH198" i="178"/>
  <c r="AI198" i="178"/>
  <c r="AJ198" i="178"/>
  <c r="AK198" i="178"/>
  <c r="AL198" i="178"/>
  <c r="AM198" i="178"/>
  <c r="AN198" i="178"/>
  <c r="AO198" i="178"/>
  <c r="AD199" i="178"/>
  <c r="AE199" i="178"/>
  <c r="AF199" i="178"/>
  <c r="AG199" i="178"/>
  <c r="AH199" i="178"/>
  <c r="AI199" i="178"/>
  <c r="AJ199" i="178"/>
  <c r="AK199" i="178"/>
  <c r="AL199" i="178"/>
  <c r="AM199" i="178"/>
  <c r="AN199" i="178"/>
  <c r="AO199" i="178"/>
  <c r="AD388" i="178"/>
  <c r="AE388" i="178"/>
  <c r="AF388" i="178"/>
  <c r="AG388" i="178"/>
  <c r="AH388" i="178"/>
  <c r="AI388" i="178"/>
  <c r="AJ388" i="178"/>
  <c r="AK388" i="178"/>
  <c r="AL388" i="178"/>
  <c r="AM388" i="178"/>
  <c r="AN388" i="178"/>
  <c r="AO388" i="178"/>
  <c r="AD413" i="178"/>
  <c r="AE413" i="178"/>
  <c r="AF413" i="178"/>
  <c r="AG413" i="178"/>
  <c r="AH413" i="178"/>
  <c r="AI413" i="178"/>
  <c r="AJ413" i="178"/>
  <c r="AK413" i="178"/>
  <c r="AL413" i="178"/>
  <c r="AM413" i="178"/>
  <c r="AN413" i="178"/>
  <c r="AO413" i="178"/>
  <c r="AD428" i="178"/>
  <c r="AE428" i="178"/>
  <c r="AF428" i="178"/>
  <c r="AG428" i="178"/>
  <c r="AH428" i="178"/>
  <c r="AI428" i="178"/>
  <c r="AJ428" i="178"/>
  <c r="AK428" i="178"/>
  <c r="AL428" i="178"/>
  <c r="AM428" i="178"/>
  <c r="AN428" i="178"/>
  <c r="AO428" i="178"/>
  <c r="AD429" i="178"/>
  <c r="AE429" i="178"/>
  <c r="AF429" i="178"/>
  <c r="AG429" i="178"/>
  <c r="AH429" i="178"/>
  <c r="AI429" i="178"/>
  <c r="AJ429" i="178"/>
  <c r="AK429" i="178"/>
  <c r="AL429" i="178"/>
  <c r="AM429" i="178"/>
  <c r="AN429" i="178"/>
  <c r="AO429" i="178"/>
  <c r="AD494" i="178"/>
  <c r="AE494" i="178"/>
  <c r="AF494" i="178"/>
  <c r="AG494" i="178"/>
  <c r="AH494" i="178"/>
  <c r="AI494" i="178"/>
  <c r="AJ494" i="178"/>
  <c r="AK494" i="178"/>
  <c r="AL494" i="178"/>
  <c r="AM494" i="178"/>
  <c r="AN494" i="178"/>
  <c r="AO494" i="178"/>
  <c r="AD495" i="178"/>
  <c r="AE495" i="178"/>
  <c r="AF495" i="178"/>
  <c r="AG495" i="178"/>
  <c r="AH495" i="178"/>
  <c r="AI495" i="178"/>
  <c r="AJ495" i="178"/>
  <c r="AK495" i="178"/>
  <c r="AL495" i="178"/>
  <c r="AM495" i="178"/>
  <c r="AN495" i="178"/>
  <c r="AO495" i="178"/>
  <c r="AD553" i="178"/>
  <c r="AE553" i="178"/>
  <c r="AF553" i="178"/>
  <c r="AG553" i="178"/>
  <c r="AH553" i="178"/>
  <c r="AI553" i="178"/>
  <c r="AJ553" i="178"/>
  <c r="AK553" i="178"/>
  <c r="AL553" i="178"/>
  <c r="AM553" i="178"/>
  <c r="AN553" i="178"/>
  <c r="AO553" i="178"/>
  <c r="AD580" i="178"/>
  <c r="AE580" i="178"/>
  <c r="AF580" i="178"/>
  <c r="AG580" i="178"/>
  <c r="AH580" i="178"/>
  <c r="AI580" i="178"/>
  <c r="AJ580" i="178"/>
  <c r="AK580" i="178"/>
  <c r="AL580" i="178"/>
  <c r="AM580" i="178"/>
  <c r="AN580" i="178"/>
  <c r="AO580" i="178"/>
  <c r="AD582" i="178"/>
  <c r="AE582" i="178"/>
  <c r="AF582" i="178"/>
  <c r="AG582" i="178"/>
  <c r="AH582" i="178"/>
  <c r="AI582" i="178"/>
  <c r="AJ582" i="178"/>
  <c r="AK582" i="178"/>
  <c r="AL582" i="178"/>
  <c r="AM582" i="178"/>
  <c r="AN582" i="178"/>
  <c r="AO582" i="178"/>
  <c r="AD635" i="178"/>
  <c r="AE635" i="178"/>
  <c r="AF635" i="178"/>
  <c r="AG635" i="178"/>
  <c r="AH635" i="178"/>
  <c r="AI635" i="178"/>
  <c r="AJ635" i="178"/>
  <c r="AK635" i="178"/>
  <c r="AL635" i="178"/>
  <c r="AM635" i="178"/>
  <c r="AN635" i="178"/>
  <c r="AO635" i="178"/>
  <c r="AD661" i="178"/>
  <c r="AE661" i="178"/>
  <c r="AF661" i="178"/>
  <c r="AG661" i="178"/>
  <c r="AH661" i="178"/>
  <c r="AI661" i="178"/>
  <c r="AJ661" i="178"/>
  <c r="AK661" i="178"/>
  <c r="AL661" i="178"/>
  <c r="AM661" i="178"/>
  <c r="AN661" i="178"/>
  <c r="AO661" i="178"/>
  <c r="AD664" i="178"/>
  <c r="AE664" i="178"/>
  <c r="AF664" i="178"/>
  <c r="AG664" i="178"/>
  <c r="AH664" i="178"/>
  <c r="AI664" i="178"/>
  <c r="AJ664" i="178"/>
  <c r="AK664" i="178"/>
  <c r="AL664" i="178"/>
  <c r="AM664" i="178"/>
  <c r="AN664" i="178"/>
  <c r="AO664" i="178"/>
  <c r="AD722" i="178"/>
  <c r="AE722" i="178"/>
  <c r="AF722" i="178"/>
  <c r="AG722" i="178"/>
  <c r="AH722" i="178"/>
  <c r="AI722" i="178"/>
  <c r="AJ722" i="178"/>
  <c r="AK722" i="178"/>
  <c r="AL722" i="178"/>
  <c r="AM722" i="178"/>
  <c r="AN722" i="178"/>
  <c r="AO722" i="178"/>
  <c r="AD723" i="178"/>
  <c r="AE723" i="178"/>
  <c r="AF723" i="178"/>
  <c r="AG723" i="178"/>
  <c r="AH723" i="178"/>
  <c r="AI723" i="178"/>
  <c r="AJ723" i="178"/>
  <c r="AK723" i="178"/>
  <c r="AL723" i="178"/>
  <c r="AM723" i="178"/>
  <c r="AN723" i="178"/>
  <c r="AO723" i="178"/>
  <c r="AD725" i="178"/>
  <c r="AE725" i="178"/>
  <c r="AF725" i="178"/>
  <c r="AG725" i="178"/>
  <c r="AH725" i="178"/>
  <c r="AI725" i="178"/>
  <c r="AJ725" i="178"/>
  <c r="AK725" i="178"/>
  <c r="AL725" i="178"/>
  <c r="AM725" i="178"/>
  <c r="AN725" i="178"/>
  <c r="AO725" i="178"/>
  <c r="AD728" i="178"/>
  <c r="AE728" i="178"/>
  <c r="AF728" i="178"/>
  <c r="AG728" i="178"/>
  <c r="AH728" i="178"/>
  <c r="AI728" i="178"/>
  <c r="AJ728" i="178"/>
  <c r="AK728" i="178"/>
  <c r="AL728" i="178"/>
  <c r="AM728" i="178"/>
  <c r="AN728" i="178"/>
  <c r="AO728" i="178"/>
  <c r="AD729" i="178"/>
  <c r="AE729" i="178"/>
  <c r="AF729" i="178"/>
  <c r="AG729" i="178"/>
  <c r="AH729" i="178"/>
  <c r="AI729" i="178"/>
  <c r="AJ729" i="178"/>
  <c r="AK729" i="178"/>
  <c r="AL729" i="178"/>
  <c r="AM729" i="178"/>
  <c r="AN729" i="178"/>
  <c r="AO729" i="178"/>
  <c r="AD818" i="178"/>
  <c r="AE818" i="178"/>
  <c r="AF818" i="178"/>
  <c r="AG818" i="178"/>
  <c r="AH818" i="178"/>
  <c r="AI818" i="178"/>
  <c r="AJ818" i="178"/>
  <c r="AK818" i="178"/>
  <c r="AL818" i="178"/>
  <c r="AM818" i="178"/>
  <c r="AN818" i="178"/>
  <c r="AO818" i="178"/>
  <c r="AD864" i="178"/>
  <c r="AE864" i="178"/>
  <c r="AF864" i="178"/>
  <c r="AG864" i="178"/>
  <c r="AH864" i="178"/>
  <c r="AI864" i="178"/>
  <c r="AJ864" i="178"/>
  <c r="AK864" i="178"/>
  <c r="AL864" i="178"/>
  <c r="AM864" i="178"/>
  <c r="AN864" i="178"/>
  <c r="AO864" i="178"/>
  <c r="AD867" i="178"/>
  <c r="AE867" i="178"/>
  <c r="AF867" i="178"/>
  <c r="AG867" i="178"/>
  <c r="AH867" i="178"/>
  <c r="AI867" i="178"/>
  <c r="AJ867" i="178"/>
  <c r="AK867" i="178"/>
  <c r="AL867" i="178"/>
  <c r="AM867" i="178"/>
  <c r="AN867" i="178"/>
  <c r="AO867" i="178"/>
  <c r="AD868" i="178"/>
  <c r="AE868" i="178"/>
  <c r="AF868" i="178"/>
  <c r="AG868" i="178"/>
  <c r="AH868" i="178"/>
  <c r="AI868" i="178"/>
  <c r="AJ868" i="178"/>
  <c r="AK868" i="178"/>
  <c r="AL868" i="178"/>
  <c r="AM868" i="178"/>
  <c r="AN868" i="178"/>
  <c r="AO868" i="178"/>
  <c r="AD870" i="178"/>
  <c r="AE870" i="178"/>
  <c r="AF870" i="178"/>
  <c r="AG870" i="178"/>
  <c r="AH870" i="178"/>
  <c r="AI870" i="178"/>
  <c r="AJ870" i="178"/>
  <c r="AK870" i="178"/>
  <c r="AL870" i="178"/>
  <c r="AM870" i="178"/>
  <c r="AN870" i="178"/>
  <c r="AO870" i="178"/>
  <c r="AD873" i="178"/>
  <c r="AE873" i="178"/>
  <c r="AF873" i="178"/>
  <c r="AG873" i="178"/>
  <c r="AH873" i="178"/>
  <c r="AI873" i="178"/>
  <c r="AJ873" i="178"/>
  <c r="AK873" i="178"/>
  <c r="AL873" i="178"/>
  <c r="AM873" i="178"/>
  <c r="AN873" i="178"/>
  <c r="AO873" i="178"/>
  <c r="AD875" i="178"/>
  <c r="AE875" i="178"/>
  <c r="AF875" i="178"/>
  <c r="AG875" i="178"/>
  <c r="AH875" i="178"/>
  <c r="AI875" i="178"/>
  <c r="AJ875" i="178"/>
  <c r="AK875" i="178"/>
  <c r="AL875" i="178"/>
  <c r="AM875" i="178"/>
  <c r="AN875" i="178"/>
  <c r="AO875" i="178"/>
  <c r="AD877" i="178"/>
  <c r="AE877" i="178"/>
  <c r="AF877" i="178"/>
  <c r="AG877" i="178"/>
  <c r="AH877" i="178"/>
  <c r="AI877" i="178"/>
  <c r="AJ877" i="178"/>
  <c r="AK877" i="178"/>
  <c r="AL877" i="178"/>
  <c r="AM877" i="178"/>
  <c r="AN877" i="178"/>
  <c r="AO877" i="178"/>
  <c r="AD879" i="178"/>
  <c r="AE879" i="178"/>
  <c r="AF879" i="178"/>
  <c r="AG879" i="178"/>
  <c r="AH879" i="178"/>
  <c r="AI879" i="178"/>
  <c r="AJ879" i="178"/>
  <c r="AK879" i="178"/>
  <c r="AL879" i="178"/>
  <c r="AM879" i="178"/>
  <c r="AN879" i="178"/>
  <c r="AO879" i="178"/>
  <c r="AD878" i="178"/>
  <c r="AE878" i="178"/>
  <c r="AF878" i="178"/>
  <c r="AG878" i="178"/>
  <c r="AH878" i="178"/>
  <c r="AI878" i="178"/>
  <c r="AJ878" i="178"/>
  <c r="AK878" i="178"/>
  <c r="AL878" i="178"/>
  <c r="AM878" i="178"/>
  <c r="AN878" i="178"/>
  <c r="AO878" i="178"/>
  <c r="AD881" i="178"/>
  <c r="AE881" i="178"/>
  <c r="AF881" i="178"/>
  <c r="AG881" i="178"/>
  <c r="AH881" i="178"/>
  <c r="AI881" i="178"/>
  <c r="AJ881" i="178"/>
  <c r="AK881" i="178"/>
  <c r="AL881" i="178"/>
  <c r="AM881" i="178"/>
  <c r="AN881" i="178"/>
  <c r="AO881" i="178"/>
  <c r="AD882" i="178"/>
  <c r="AE882" i="178"/>
  <c r="AF882" i="178"/>
  <c r="AG882" i="178"/>
  <c r="AH882" i="178"/>
  <c r="AI882" i="178"/>
  <c r="AJ882" i="178"/>
  <c r="AK882" i="178"/>
  <c r="AL882" i="178"/>
  <c r="AM882" i="178"/>
  <c r="AN882" i="178"/>
  <c r="AO882" i="178"/>
  <c r="AD884" i="178"/>
  <c r="AE884" i="178"/>
  <c r="AF884" i="178"/>
  <c r="AG884" i="178"/>
  <c r="AH884" i="178"/>
  <c r="AI884" i="178"/>
  <c r="AJ884" i="178"/>
  <c r="AK884" i="178"/>
  <c r="AL884" i="178"/>
  <c r="AM884" i="178"/>
  <c r="AN884" i="178"/>
  <c r="AO884" i="178"/>
  <c r="AD886" i="178"/>
  <c r="AE886" i="178"/>
  <c r="AF886" i="178"/>
  <c r="AG886" i="178"/>
  <c r="AH886" i="178"/>
  <c r="AI886" i="178"/>
  <c r="AJ886" i="178"/>
  <c r="AK886" i="178"/>
  <c r="AL886" i="178"/>
  <c r="AM886" i="178"/>
  <c r="AN886" i="178"/>
  <c r="AO886" i="178"/>
  <c r="AD885" i="178"/>
  <c r="AE885" i="178"/>
  <c r="AF885" i="178"/>
  <c r="AG885" i="178"/>
  <c r="AH885" i="178"/>
  <c r="AI885" i="178"/>
  <c r="AJ885" i="178"/>
  <c r="AK885" i="178"/>
  <c r="AL885" i="178"/>
  <c r="AM885" i="178"/>
  <c r="AN885" i="178"/>
  <c r="AO885" i="178"/>
  <c r="AD888" i="178"/>
  <c r="AE888" i="178"/>
  <c r="AF888" i="178"/>
  <c r="AG888" i="178"/>
  <c r="AH888" i="178"/>
  <c r="AI888" i="178"/>
  <c r="AJ888" i="178"/>
  <c r="AK888" i="178"/>
  <c r="AL888" i="178"/>
  <c r="AM888" i="178"/>
  <c r="AN888" i="178"/>
  <c r="AO888" i="178"/>
  <c r="AD889" i="178"/>
  <c r="AE889" i="178"/>
  <c r="AF889" i="178"/>
  <c r="AG889" i="178"/>
  <c r="AH889" i="178"/>
  <c r="AI889" i="178"/>
  <c r="AJ889" i="178"/>
  <c r="AK889" i="178"/>
  <c r="AL889" i="178"/>
  <c r="AM889" i="178"/>
  <c r="AN889" i="178"/>
  <c r="AO889" i="178"/>
  <c r="AD891" i="178"/>
  <c r="AE891" i="178"/>
  <c r="AF891" i="178"/>
  <c r="AG891" i="178"/>
  <c r="AH891" i="178"/>
  <c r="AI891" i="178"/>
  <c r="AJ891" i="178"/>
  <c r="AK891" i="178"/>
  <c r="AL891" i="178"/>
  <c r="AM891" i="178"/>
  <c r="AN891" i="178"/>
  <c r="AO891" i="178"/>
  <c r="AD902" i="178"/>
  <c r="AE902" i="178"/>
  <c r="AF902" i="178"/>
  <c r="AG902" i="178"/>
  <c r="AH902" i="178"/>
  <c r="AI902" i="178"/>
  <c r="AJ902" i="178"/>
  <c r="AK902" i="178"/>
  <c r="AL902" i="178"/>
  <c r="AM902" i="178"/>
  <c r="AN902" i="178"/>
  <c r="AO902" i="178"/>
  <c r="AD903" i="178"/>
  <c r="AE903" i="178"/>
  <c r="AF903" i="178"/>
  <c r="AG903" i="178"/>
  <c r="AH903" i="178"/>
  <c r="AI903" i="178"/>
  <c r="AJ903" i="178"/>
  <c r="AK903" i="178"/>
  <c r="AL903" i="178"/>
  <c r="AM903" i="178"/>
  <c r="AN903" i="178"/>
  <c r="AO903" i="178"/>
  <c r="AD905" i="178"/>
  <c r="AE905" i="178"/>
  <c r="AF905" i="178"/>
  <c r="AG905" i="178"/>
  <c r="AH905" i="178"/>
  <c r="AI905" i="178"/>
  <c r="AJ905" i="178"/>
  <c r="AK905" i="178"/>
  <c r="AL905" i="178"/>
  <c r="AM905" i="178"/>
  <c r="AN905" i="178"/>
  <c r="AO905" i="178"/>
  <c r="AD906" i="178"/>
  <c r="AE906" i="178"/>
  <c r="AF906" i="178"/>
  <c r="AG906" i="178"/>
  <c r="AH906" i="178"/>
  <c r="AI906" i="178"/>
  <c r="AJ906" i="178"/>
  <c r="AK906" i="178"/>
  <c r="AL906" i="178"/>
  <c r="AM906" i="178"/>
  <c r="AN906" i="178"/>
  <c r="AO906" i="178"/>
  <c r="AD909" i="178"/>
  <c r="AE909" i="178"/>
  <c r="AF909" i="178"/>
  <c r="AG909" i="178"/>
  <c r="AH909" i="178"/>
  <c r="AI909" i="178"/>
  <c r="AJ909" i="178"/>
  <c r="AK909" i="178"/>
  <c r="AL909" i="178"/>
  <c r="AM909" i="178"/>
  <c r="AN909" i="178"/>
  <c r="AO909" i="178"/>
  <c r="AD911" i="178"/>
  <c r="AE911" i="178"/>
  <c r="AF911" i="178"/>
  <c r="AG911" i="178"/>
  <c r="AH911" i="178"/>
  <c r="AI911" i="178"/>
  <c r="AJ911" i="178"/>
  <c r="AK911" i="178"/>
  <c r="AL911" i="178"/>
  <c r="AM911" i="178"/>
  <c r="AN911" i="178"/>
  <c r="AO911" i="178"/>
  <c r="AD910" i="178"/>
  <c r="AE910" i="178"/>
  <c r="AF910" i="178"/>
  <c r="AG910" i="178"/>
  <c r="AH910" i="178"/>
  <c r="AI910" i="178"/>
  <c r="AJ910" i="178"/>
  <c r="AK910" i="178"/>
  <c r="AL910" i="178"/>
  <c r="AM910" i="178"/>
  <c r="AN910" i="178"/>
  <c r="AO910" i="178"/>
  <c r="AD913" i="178"/>
  <c r="AE913" i="178"/>
  <c r="AF913" i="178"/>
  <c r="AG913" i="178"/>
  <c r="AH913" i="178"/>
  <c r="AI913" i="178"/>
  <c r="AJ913" i="178"/>
  <c r="AK913" i="178"/>
  <c r="AL913" i="178"/>
  <c r="AM913" i="178"/>
  <c r="AN913" i="178"/>
  <c r="AO913" i="178"/>
  <c r="AD914" i="178"/>
  <c r="AE914" i="178"/>
  <c r="AF914" i="178"/>
  <c r="AG914" i="178"/>
  <c r="AH914" i="178"/>
  <c r="AI914" i="178"/>
  <c r="AJ914" i="178"/>
  <c r="AK914" i="178"/>
  <c r="AL914" i="178"/>
  <c r="AM914" i="178"/>
  <c r="AN914" i="178"/>
  <c r="AO914" i="178"/>
  <c r="AD135" i="178"/>
  <c r="AE135" i="178"/>
  <c r="AF135" i="178"/>
  <c r="AG135" i="178"/>
  <c r="AH135" i="178"/>
  <c r="AI135" i="178"/>
  <c r="AJ135" i="178"/>
  <c r="AK135" i="178"/>
  <c r="AL135" i="178"/>
  <c r="AM135" i="178"/>
  <c r="AN135" i="178"/>
  <c r="AO135" i="178"/>
  <c r="AD368" i="178"/>
  <c r="AE368" i="178"/>
  <c r="AF368" i="178"/>
  <c r="AG368" i="178"/>
  <c r="AH368" i="178"/>
  <c r="AI368" i="178"/>
  <c r="AJ368" i="178"/>
  <c r="AK368" i="178"/>
  <c r="AL368" i="178"/>
  <c r="AM368" i="178"/>
  <c r="AN368" i="178"/>
  <c r="AO368" i="178"/>
  <c r="AD369" i="178"/>
  <c r="AE369" i="178"/>
  <c r="AF369" i="178"/>
  <c r="AG369" i="178"/>
  <c r="AH369" i="178"/>
  <c r="AI369" i="178"/>
  <c r="AJ369" i="178"/>
  <c r="AK369" i="178"/>
  <c r="AL369" i="178"/>
  <c r="AM369" i="178"/>
  <c r="AN369" i="178"/>
  <c r="AO369" i="178"/>
  <c r="AD420" i="178"/>
  <c r="AE420" i="178"/>
  <c r="AF420" i="178"/>
  <c r="AG420" i="178"/>
  <c r="AH420" i="178"/>
  <c r="AI420" i="178"/>
  <c r="AJ420" i="178"/>
  <c r="AK420" i="178"/>
  <c r="AL420" i="178"/>
  <c r="AM420" i="178"/>
  <c r="AN420" i="178"/>
  <c r="AO420" i="178"/>
  <c r="AD440" i="178"/>
  <c r="AE440" i="178"/>
  <c r="AF440" i="178"/>
  <c r="AG440" i="178"/>
  <c r="AH440" i="178"/>
  <c r="AI440" i="178"/>
  <c r="AJ440" i="178"/>
  <c r="AK440" i="178"/>
  <c r="AL440" i="178"/>
  <c r="AM440" i="178"/>
  <c r="AN440" i="178"/>
  <c r="AO440" i="178"/>
  <c r="AD547" i="178"/>
  <c r="AE547" i="178"/>
  <c r="AF547" i="178"/>
  <c r="AG547" i="178"/>
  <c r="AH547" i="178"/>
  <c r="AI547" i="178"/>
  <c r="AJ547" i="178"/>
  <c r="AK547" i="178"/>
  <c r="AL547" i="178"/>
  <c r="AM547" i="178"/>
  <c r="AN547" i="178"/>
  <c r="AO547" i="178"/>
  <c r="AD548" i="178"/>
  <c r="AE548" i="178"/>
  <c r="AF548" i="178"/>
  <c r="AG548" i="178"/>
  <c r="AH548" i="178"/>
  <c r="AI548" i="178"/>
  <c r="AJ548" i="178"/>
  <c r="AK548" i="178"/>
  <c r="AL548" i="178"/>
  <c r="AM548" i="178"/>
  <c r="AN548" i="178"/>
  <c r="AO548" i="178"/>
  <c r="AD686" i="178"/>
  <c r="AE686" i="178"/>
  <c r="AF686" i="178"/>
  <c r="AG686" i="178"/>
  <c r="AH686" i="178"/>
  <c r="AI686" i="178"/>
  <c r="AJ686" i="178"/>
  <c r="AK686" i="178"/>
  <c r="AL686" i="178"/>
  <c r="AM686" i="178"/>
  <c r="AN686" i="178"/>
  <c r="AO686" i="178"/>
  <c r="AD687" i="178"/>
  <c r="AE687" i="178"/>
  <c r="AF687" i="178"/>
  <c r="AG687" i="178"/>
  <c r="AH687" i="178"/>
  <c r="AI687" i="178"/>
  <c r="AJ687" i="178"/>
  <c r="AK687" i="178"/>
  <c r="AL687" i="178"/>
  <c r="AM687" i="178"/>
  <c r="AN687" i="178"/>
  <c r="AO687" i="178"/>
  <c r="AD688" i="178"/>
  <c r="AE688" i="178"/>
  <c r="AF688" i="178"/>
  <c r="AG688" i="178"/>
  <c r="AH688" i="178"/>
  <c r="AI688" i="178"/>
  <c r="AJ688" i="178"/>
  <c r="AK688" i="178"/>
  <c r="AL688" i="178"/>
  <c r="AM688" i="178"/>
  <c r="AN688" i="178"/>
  <c r="AO688" i="178"/>
  <c r="AD737" i="178"/>
  <c r="AE737" i="178"/>
  <c r="AF737" i="178"/>
  <c r="AG737" i="178"/>
  <c r="AH737" i="178"/>
  <c r="AI737" i="178"/>
  <c r="AJ737" i="178"/>
  <c r="AK737" i="178"/>
  <c r="AL737" i="178"/>
  <c r="AM737" i="178"/>
  <c r="AN737" i="178"/>
  <c r="AO737" i="178"/>
  <c r="AD738" i="178"/>
  <c r="AE738" i="178"/>
  <c r="AF738" i="178"/>
  <c r="AG738" i="178"/>
  <c r="AH738" i="178"/>
  <c r="AI738" i="178"/>
  <c r="AJ738" i="178"/>
  <c r="AK738" i="178"/>
  <c r="AL738" i="178"/>
  <c r="AM738" i="178"/>
  <c r="AN738" i="178"/>
  <c r="AO738" i="178"/>
  <c r="AD739" i="178"/>
  <c r="AE739" i="178"/>
  <c r="AF739" i="178"/>
  <c r="AG739" i="178"/>
  <c r="AH739" i="178"/>
  <c r="AI739" i="178"/>
  <c r="AJ739" i="178"/>
  <c r="AK739" i="178"/>
  <c r="AL739" i="178"/>
  <c r="AM739" i="178"/>
  <c r="AN739" i="178"/>
  <c r="AO739" i="178"/>
  <c r="AD767" i="178"/>
  <c r="AE767" i="178"/>
  <c r="AF767" i="178"/>
  <c r="AG767" i="178"/>
  <c r="AH767" i="178"/>
  <c r="AI767" i="178"/>
  <c r="AJ767" i="178"/>
  <c r="AK767" i="178"/>
  <c r="AL767" i="178"/>
  <c r="AM767" i="178"/>
  <c r="AN767" i="178"/>
  <c r="AO767" i="178"/>
  <c r="AD768" i="178"/>
  <c r="AE768" i="178"/>
  <c r="AF768" i="178"/>
  <c r="AG768" i="178"/>
  <c r="AH768" i="178"/>
  <c r="AI768" i="178"/>
  <c r="AJ768" i="178"/>
  <c r="AK768" i="178"/>
  <c r="AL768" i="178"/>
  <c r="AM768" i="178"/>
  <c r="AN768" i="178"/>
  <c r="AO768" i="178"/>
  <c r="AD769" i="178"/>
  <c r="AE769" i="178"/>
  <c r="AF769" i="178"/>
  <c r="AG769" i="178"/>
  <c r="AH769" i="178"/>
  <c r="AI769" i="178"/>
  <c r="AJ769" i="178"/>
  <c r="AK769" i="178"/>
  <c r="AL769" i="178"/>
  <c r="AM769" i="178"/>
  <c r="AN769" i="178"/>
  <c r="AO769" i="178"/>
  <c r="AD816" i="178"/>
  <c r="AE816" i="178"/>
  <c r="AF816" i="178"/>
  <c r="AG816" i="178"/>
  <c r="AH816" i="178"/>
  <c r="AI816" i="178"/>
  <c r="AJ816" i="178"/>
  <c r="AK816" i="178"/>
  <c r="AL816" i="178"/>
  <c r="AM816" i="178"/>
  <c r="AN816" i="178"/>
  <c r="AO816" i="178"/>
  <c r="AD817" i="178"/>
  <c r="AE817" i="178"/>
  <c r="AF817" i="178"/>
  <c r="AG817" i="178"/>
  <c r="AH817" i="178"/>
  <c r="AI817" i="178"/>
  <c r="AJ817" i="178"/>
  <c r="AK817" i="178"/>
  <c r="AL817" i="178"/>
  <c r="AM817" i="178"/>
  <c r="AN817" i="178"/>
  <c r="AO817" i="178"/>
  <c r="AD925" i="178"/>
  <c r="AE925" i="178"/>
  <c r="AF925" i="178"/>
  <c r="AG925" i="178"/>
  <c r="AH925" i="178"/>
  <c r="AI925" i="178"/>
  <c r="AJ925" i="178"/>
  <c r="AK925" i="178"/>
  <c r="AL925" i="178"/>
  <c r="AM925" i="178"/>
  <c r="AN925" i="178"/>
  <c r="AO925" i="178"/>
  <c r="AD926" i="178"/>
  <c r="AE926" i="178"/>
  <c r="AF926" i="178"/>
  <c r="AG926" i="178"/>
  <c r="AH926" i="178"/>
  <c r="AI926" i="178"/>
  <c r="AJ926" i="178"/>
  <c r="AK926" i="178"/>
  <c r="AL926" i="178"/>
  <c r="AM926" i="178"/>
  <c r="AN926" i="178"/>
  <c r="AO926" i="178"/>
  <c r="AD927" i="178"/>
  <c r="AE927" i="178"/>
  <c r="AF927" i="178"/>
  <c r="AG927" i="178"/>
  <c r="AH927" i="178"/>
  <c r="AI927" i="178"/>
  <c r="AJ927" i="178"/>
  <c r="AK927" i="178"/>
  <c r="AL927" i="178"/>
  <c r="AM927" i="178"/>
  <c r="AN927" i="178"/>
  <c r="AO927" i="178"/>
  <c r="AD1151" i="178"/>
  <c r="AE1151" i="178"/>
  <c r="AF1151" i="178"/>
  <c r="AG1151" i="178"/>
  <c r="AH1151" i="178"/>
  <c r="AI1151" i="178"/>
  <c r="AJ1151" i="178"/>
  <c r="AK1151" i="178"/>
  <c r="AL1151" i="178"/>
  <c r="AM1151" i="178"/>
  <c r="AN1151" i="178"/>
  <c r="AO1151" i="178"/>
  <c r="AD361" i="178"/>
  <c r="AE361" i="178"/>
  <c r="AF361" i="178"/>
  <c r="AG361" i="178"/>
  <c r="AH361" i="178"/>
  <c r="AI361" i="178"/>
  <c r="AJ361" i="178"/>
  <c r="AK361" i="178"/>
  <c r="AL361" i="178"/>
  <c r="AM361" i="178"/>
  <c r="AN361" i="178"/>
  <c r="AO361" i="178"/>
  <c r="AD360" i="178"/>
  <c r="AE360" i="178"/>
  <c r="AF360" i="178"/>
  <c r="AG360" i="178"/>
  <c r="AH360" i="178"/>
  <c r="AI360" i="178"/>
  <c r="AJ360" i="178"/>
  <c r="AK360" i="178"/>
  <c r="AL360" i="178"/>
  <c r="AM360" i="178"/>
  <c r="AN360" i="178"/>
  <c r="AO360" i="178"/>
  <c r="AD362" i="178"/>
  <c r="AE362" i="178"/>
  <c r="AF362" i="178"/>
  <c r="AG362" i="178"/>
  <c r="AH362" i="178"/>
  <c r="AI362" i="178"/>
  <c r="AJ362" i="178"/>
  <c r="AK362" i="178"/>
  <c r="AL362" i="178"/>
  <c r="AM362" i="178"/>
  <c r="AN362" i="178"/>
  <c r="AO362" i="178"/>
  <c r="AD566" i="178"/>
  <c r="AE566" i="178"/>
  <c r="AF566" i="178"/>
  <c r="AG566" i="178"/>
  <c r="AH566" i="178"/>
  <c r="AI566" i="178"/>
  <c r="AJ566" i="178"/>
  <c r="AK566" i="178"/>
  <c r="AL566" i="178"/>
  <c r="AM566" i="178"/>
  <c r="AN566" i="178"/>
  <c r="AO566" i="178"/>
  <c r="AD567" i="178"/>
  <c r="AE567" i="178"/>
  <c r="AF567" i="178"/>
  <c r="AG567" i="178"/>
  <c r="AH567" i="178"/>
  <c r="AI567" i="178"/>
  <c r="AJ567" i="178"/>
  <c r="AK567" i="178"/>
  <c r="AL567" i="178"/>
  <c r="AM567" i="178"/>
  <c r="AN567" i="178"/>
  <c r="AO567" i="178"/>
  <c r="AD569" i="178"/>
  <c r="AE569" i="178"/>
  <c r="AF569" i="178"/>
  <c r="AG569" i="178"/>
  <c r="AH569" i="178"/>
  <c r="AI569" i="178"/>
  <c r="AJ569" i="178"/>
  <c r="AK569" i="178"/>
  <c r="AL569" i="178"/>
  <c r="AM569" i="178"/>
  <c r="AN569" i="178"/>
  <c r="AO569" i="178"/>
  <c r="AD568" i="178"/>
  <c r="AE568" i="178"/>
  <c r="AF568" i="178"/>
  <c r="AG568" i="178"/>
  <c r="AH568" i="178"/>
  <c r="AI568" i="178"/>
  <c r="AJ568" i="178"/>
  <c r="AK568" i="178"/>
  <c r="AL568" i="178"/>
  <c r="AM568" i="178"/>
  <c r="AN568" i="178"/>
  <c r="AO568" i="178"/>
  <c r="AD570" i="178"/>
  <c r="AE570" i="178"/>
  <c r="AF570" i="178"/>
  <c r="AG570" i="178"/>
  <c r="AH570" i="178"/>
  <c r="AI570" i="178"/>
  <c r="AJ570" i="178"/>
  <c r="AK570" i="178"/>
  <c r="AL570" i="178"/>
  <c r="AM570" i="178"/>
  <c r="AN570" i="178"/>
  <c r="AO570" i="178"/>
  <c r="AD676" i="178"/>
  <c r="AE676" i="178"/>
  <c r="AF676" i="178"/>
  <c r="AG676" i="178"/>
  <c r="AH676" i="178"/>
  <c r="AI676" i="178"/>
  <c r="AJ676" i="178"/>
  <c r="AK676" i="178"/>
  <c r="AL676" i="178"/>
  <c r="AM676" i="178"/>
  <c r="AN676" i="178"/>
  <c r="AO676" i="178"/>
  <c r="AD674" i="178"/>
  <c r="AE674" i="178"/>
  <c r="AF674" i="178"/>
  <c r="AG674" i="178"/>
  <c r="AH674" i="178"/>
  <c r="AI674" i="178"/>
  <c r="AJ674" i="178"/>
  <c r="AK674" i="178"/>
  <c r="AL674" i="178"/>
  <c r="AM674" i="178"/>
  <c r="AN674" i="178"/>
  <c r="AO674" i="178"/>
  <c r="AD966" i="178"/>
  <c r="AE966" i="178"/>
  <c r="AF966" i="178"/>
  <c r="AG966" i="178"/>
  <c r="AH966" i="178"/>
  <c r="AI966" i="178"/>
  <c r="AJ966" i="178"/>
  <c r="AK966" i="178"/>
  <c r="AL966" i="178"/>
  <c r="AM966" i="178"/>
  <c r="AN966" i="178"/>
  <c r="AO966" i="178"/>
  <c r="T533" i="178"/>
  <c r="U533" i="178" s="1"/>
  <c r="W533" i="178"/>
  <c r="T534" i="178"/>
  <c r="W534" i="178"/>
  <c r="T556" i="178"/>
  <c r="W556" i="178"/>
  <c r="T557" i="178"/>
  <c r="W557" i="178"/>
  <c r="T558" i="178"/>
  <c r="W558" i="178"/>
  <c r="T1134" i="178"/>
  <c r="W1134" i="178"/>
  <c r="T1133" i="178"/>
  <c r="W1133" i="178"/>
  <c r="T1135" i="178"/>
  <c r="W1135" i="178"/>
  <c r="T1136" i="178"/>
  <c r="W1136" i="178"/>
  <c r="T1137" i="178"/>
  <c r="W1137" i="178"/>
  <c r="T1206" i="178"/>
  <c r="W1206" i="178"/>
  <c r="T1210" i="178"/>
  <c r="W1210" i="178"/>
  <c r="T1207" i="178"/>
  <c r="W1207" i="178"/>
  <c r="T1208" i="178"/>
  <c r="W1208" i="178"/>
  <c r="T1211" i="178"/>
  <c r="W1211" i="178"/>
  <c r="T1212" i="178"/>
  <c r="W1212" i="178"/>
  <c r="T1213" i="178"/>
  <c r="W1213" i="178"/>
  <c r="T1209" i="178"/>
  <c r="W1209" i="178"/>
  <c r="T1214" i="178"/>
  <c r="W1214" i="178"/>
  <c r="T1218" i="178"/>
  <c r="W1218" i="178"/>
  <c r="T1215" i="178"/>
  <c r="W1215" i="178"/>
  <c r="T1219" i="178"/>
  <c r="W1219" i="178"/>
  <c r="T1220" i="178"/>
  <c r="W1220" i="178"/>
  <c r="T1216" i="178"/>
  <c r="W1216" i="178"/>
  <c r="T1217" i="178"/>
  <c r="W1217" i="178"/>
  <c r="T1221" i="178"/>
  <c r="W1221" i="178"/>
  <c r="T1222" i="178"/>
  <c r="W1222" i="178"/>
  <c r="T1240" i="178"/>
  <c r="W1240" i="178"/>
  <c r="T1241" i="178"/>
  <c r="W1241" i="178"/>
  <c r="T1246" i="178"/>
  <c r="W1246" i="178"/>
  <c r="T1245" i="178"/>
  <c r="W1245" i="178"/>
  <c r="T1247" i="178"/>
  <c r="W1247" i="178"/>
  <c r="T1248" i="178"/>
  <c r="W1248" i="178"/>
  <c r="T430" i="178"/>
  <c r="W430" i="178"/>
  <c r="T545" i="178"/>
  <c r="W545" i="178"/>
  <c r="T560" i="178"/>
  <c r="W560" i="178"/>
  <c r="T561" i="178"/>
  <c r="W561" i="178"/>
  <c r="T562" i="178"/>
  <c r="V562" i="178" s="1"/>
  <c r="W562" i="178"/>
  <c r="T563" i="178"/>
  <c r="V563" i="178" s="1"/>
  <c r="W563" i="178"/>
  <c r="T764" i="178"/>
  <c r="W764" i="178"/>
  <c r="T800" i="178"/>
  <c r="W800" i="178"/>
  <c r="T801" i="178"/>
  <c r="V801" i="178" s="1"/>
  <c r="W801" i="178"/>
  <c r="T802" i="178"/>
  <c r="V802" i="178" s="1"/>
  <c r="W802" i="178"/>
  <c r="T814" i="178"/>
  <c r="W814" i="178"/>
  <c r="T901" i="178"/>
  <c r="W901" i="178"/>
  <c r="T916" i="178"/>
  <c r="W916" i="178"/>
  <c r="T917" i="178"/>
  <c r="V917" i="178" s="1"/>
  <c r="W917" i="178"/>
  <c r="T134" i="178"/>
  <c r="V134" i="178" s="1"/>
  <c r="W134" i="178"/>
  <c r="T421" i="178"/>
  <c r="W421" i="178"/>
  <c r="T484" i="178"/>
  <c r="V484" i="178" s="1"/>
  <c r="W484" i="178"/>
  <c r="T546" i="178"/>
  <c r="V546" i="178" s="1"/>
  <c r="W546" i="178"/>
  <c r="T572" i="178"/>
  <c r="V572" i="178" s="1"/>
  <c r="W572" i="178"/>
  <c r="T680" i="178"/>
  <c r="W680" i="178"/>
  <c r="T682" i="178"/>
  <c r="W682" i="178"/>
  <c r="T681" i="178"/>
  <c r="V681" i="178" s="1"/>
  <c r="W681" i="178"/>
  <c r="T683" i="178"/>
  <c r="V683" i="178" s="1"/>
  <c r="W683" i="178"/>
  <c r="T684" i="178"/>
  <c r="W684" i="178"/>
  <c r="T735" i="178"/>
  <c r="W735" i="178"/>
  <c r="T736" i="178"/>
  <c r="W736" i="178"/>
  <c r="T765" i="178"/>
  <c r="W765" i="178"/>
  <c r="T766" i="178"/>
  <c r="V766" i="178" s="1"/>
  <c r="W766" i="178"/>
  <c r="T815" i="178"/>
  <c r="V815" i="178" s="1"/>
  <c r="W815" i="178"/>
  <c r="T928" i="178"/>
  <c r="W928" i="178"/>
  <c r="T929" i="178"/>
  <c r="V929" i="178" s="1"/>
  <c r="W929" i="178"/>
  <c r="T930" i="178"/>
  <c r="V930" i="178" s="1"/>
  <c r="W930" i="178"/>
  <c r="T931" i="178"/>
  <c r="W931" i="178"/>
  <c r="T1146" i="178"/>
  <c r="V1146" i="178" s="1"/>
  <c r="W1146" i="178"/>
  <c r="T147" i="178"/>
  <c r="U147" i="178" s="1"/>
  <c r="W147" i="178"/>
  <c r="T207" i="178"/>
  <c r="U207" i="178" s="1"/>
  <c r="W207" i="178"/>
  <c r="T208" i="178"/>
  <c r="W208" i="178"/>
  <c r="T278" i="178"/>
  <c r="U278" i="178" s="1"/>
  <c r="W278" i="178"/>
  <c r="T1061" i="178"/>
  <c r="U1061" i="178" s="1"/>
  <c r="W1061" i="178"/>
  <c r="T1062" i="178"/>
  <c r="W1062" i="178"/>
  <c r="T1258" i="178"/>
  <c r="U1258" i="178" s="1"/>
  <c r="W1258" i="178"/>
  <c r="T1270" i="178"/>
  <c r="W1270" i="178"/>
  <c r="T8" i="178"/>
  <c r="W8" i="178"/>
  <c r="T10" i="178"/>
  <c r="U10" i="178" s="1"/>
  <c r="W10" i="178"/>
  <c r="T4" i="178"/>
  <c r="W4" i="178"/>
  <c r="T5" i="178"/>
  <c r="U5" i="178" s="1"/>
  <c r="W5" i="178"/>
  <c r="T9" i="178"/>
  <c r="U9" i="178" s="1"/>
  <c r="W9" i="178"/>
  <c r="T6" i="178"/>
  <c r="U6" i="178" s="1"/>
  <c r="W6" i="178"/>
  <c r="T11" i="178"/>
  <c r="W11" i="178"/>
  <c r="T7" i="178"/>
  <c r="U7" i="178" s="1"/>
  <c r="W7" i="178"/>
  <c r="T22" i="178"/>
  <c r="W22" i="178"/>
  <c r="T19" i="178"/>
  <c r="U19" i="178" s="1"/>
  <c r="W19" i="178"/>
  <c r="T18" i="178"/>
  <c r="U18" i="178" s="1"/>
  <c r="W18" i="178"/>
  <c r="T20" i="178"/>
  <c r="W20" i="178"/>
  <c r="T21" i="178"/>
  <c r="U21" i="178" s="1"/>
  <c r="W21" i="178"/>
  <c r="T27" i="178"/>
  <c r="U27" i="178" s="1"/>
  <c r="W27" i="178"/>
  <c r="T23" i="178"/>
  <c r="U23" i="178" s="1"/>
  <c r="W23" i="178"/>
  <c r="T26" i="178"/>
  <c r="W26" i="178"/>
  <c r="T24" i="178"/>
  <c r="W24" i="178"/>
  <c r="T25" i="178"/>
  <c r="W25" i="178"/>
  <c r="T28" i="178"/>
  <c r="W28" i="178"/>
  <c r="T30" i="178"/>
  <c r="U30" i="178" s="1"/>
  <c r="W30" i="178"/>
  <c r="T31" i="178"/>
  <c r="U31" i="178" s="1"/>
  <c r="W31" i="178"/>
  <c r="T32" i="178"/>
  <c r="U32" i="178" s="1"/>
  <c r="W32" i="178"/>
  <c r="T33" i="178"/>
  <c r="U33" i="178" s="1"/>
  <c r="W33" i="178"/>
  <c r="T34" i="178"/>
  <c r="U34" i="178" s="1"/>
  <c r="W34" i="178"/>
  <c r="T38" i="178"/>
  <c r="W38" i="178"/>
  <c r="T39" i="178"/>
  <c r="U39" i="178" s="1"/>
  <c r="W39" i="178"/>
  <c r="T40" i="178"/>
  <c r="W40" i="178"/>
  <c r="T41" i="178"/>
  <c r="U41" i="178" s="1"/>
  <c r="W41" i="178"/>
  <c r="T42" i="178"/>
  <c r="W42" i="178"/>
  <c r="T43" i="178"/>
  <c r="W43" i="178"/>
  <c r="T46" i="178"/>
  <c r="W46" i="178"/>
  <c r="T47" i="178"/>
  <c r="W47" i="178"/>
  <c r="T51" i="178"/>
  <c r="U51" i="178" s="1"/>
  <c r="W51" i="178"/>
  <c r="T50" i="178"/>
  <c r="W50" i="178"/>
  <c r="T53" i="178"/>
  <c r="U53" i="178" s="1"/>
  <c r="W53" i="178"/>
  <c r="T52" i="178"/>
  <c r="W52" i="178"/>
  <c r="T60" i="178"/>
  <c r="U60" i="178" s="1"/>
  <c r="W60" i="178"/>
  <c r="T63" i="178"/>
  <c r="U63" i="178" s="1"/>
  <c r="W63" i="178"/>
  <c r="T61" i="178"/>
  <c r="W61" i="178"/>
  <c r="T62" i="178"/>
  <c r="W62" i="178"/>
  <c r="T64" i="178"/>
  <c r="W64" i="178"/>
  <c r="T71" i="178"/>
  <c r="W71" i="178"/>
  <c r="T70" i="178"/>
  <c r="U70" i="178" s="1"/>
  <c r="W70" i="178"/>
  <c r="T90" i="178"/>
  <c r="U90" i="178" s="1"/>
  <c r="W90" i="178"/>
  <c r="T91" i="178"/>
  <c r="W91" i="178"/>
  <c r="T86" i="178"/>
  <c r="U86" i="178" s="1"/>
  <c r="W86" i="178"/>
  <c r="T87" i="178"/>
  <c r="W87" i="178"/>
  <c r="T88" i="178"/>
  <c r="U88" i="178" s="1"/>
  <c r="W88" i="178"/>
  <c r="T89" i="178"/>
  <c r="U89" i="178" s="1"/>
  <c r="W89" i="178"/>
  <c r="T97" i="178"/>
  <c r="U97" i="178" s="1"/>
  <c r="W97" i="178"/>
  <c r="T98" i="178"/>
  <c r="W98" i="178"/>
  <c r="T93" i="178"/>
  <c r="W93" i="178"/>
  <c r="T94" i="178"/>
  <c r="W94" i="178"/>
  <c r="T95" i="178"/>
  <c r="U95" i="178" s="1"/>
  <c r="W95" i="178"/>
  <c r="T96" i="178"/>
  <c r="W96" i="178"/>
  <c r="T101" i="178"/>
  <c r="U101" i="178" s="1"/>
  <c r="W101" i="178"/>
  <c r="T107" i="178"/>
  <c r="U107" i="178" s="1"/>
  <c r="W107" i="178"/>
  <c r="T108" i="178"/>
  <c r="U108" i="178" s="1"/>
  <c r="W108" i="178"/>
  <c r="T102" i="178"/>
  <c r="W102" i="178"/>
  <c r="T103" i="178"/>
  <c r="U103" i="178" s="1"/>
  <c r="W103" i="178"/>
  <c r="T104" i="178"/>
  <c r="W104" i="178"/>
  <c r="T105" i="178"/>
  <c r="U105" i="178" s="1"/>
  <c r="W105" i="178"/>
  <c r="T109" i="178"/>
  <c r="W109" i="178"/>
  <c r="T106" i="178"/>
  <c r="U106" i="178" s="1"/>
  <c r="W106" i="178"/>
  <c r="T111" i="178"/>
  <c r="U111" i="178" s="1"/>
  <c r="W111" i="178"/>
  <c r="T116" i="178"/>
  <c r="U116" i="178" s="1"/>
  <c r="W116" i="178"/>
  <c r="T117" i="178"/>
  <c r="W117" i="178"/>
  <c r="T112" i="178"/>
  <c r="W112" i="178"/>
  <c r="T113" i="178"/>
  <c r="W113" i="178"/>
  <c r="T114" i="178"/>
  <c r="U114" i="178" s="1"/>
  <c r="W114" i="178"/>
  <c r="T115" i="178"/>
  <c r="W115" i="178"/>
  <c r="T142" i="178"/>
  <c r="U142" i="178" s="1"/>
  <c r="W142" i="178"/>
  <c r="T143" i="178"/>
  <c r="W143" i="178"/>
  <c r="T149" i="178"/>
  <c r="V149" i="178" s="1"/>
  <c r="W149" i="178"/>
  <c r="T150" i="178"/>
  <c r="W150" i="178"/>
  <c r="T211" i="178"/>
  <c r="W211" i="178"/>
  <c r="T209" i="178"/>
  <c r="W209" i="178"/>
  <c r="T210" i="178"/>
  <c r="V210" i="178" s="1"/>
  <c r="W210" i="178"/>
  <c r="T214" i="178"/>
  <c r="V214" i="178" s="1"/>
  <c r="W214" i="178"/>
  <c r="T215" i="178"/>
  <c r="W215" i="178"/>
  <c r="T236" i="178"/>
  <c r="V236" i="178" s="1"/>
  <c r="W236" i="178"/>
  <c r="T237" i="178"/>
  <c r="W237" i="178"/>
  <c r="T239" i="178"/>
  <c r="V239" i="178" s="1"/>
  <c r="W239" i="178"/>
  <c r="T240" i="178"/>
  <c r="V240" i="178" s="1"/>
  <c r="W240" i="178"/>
  <c r="T247" i="178"/>
  <c r="V247" i="178" s="1"/>
  <c r="W247" i="178"/>
  <c r="T244" i="178"/>
  <c r="W244" i="178"/>
  <c r="T245" i="178"/>
  <c r="V245" i="178" s="1"/>
  <c r="W245" i="178"/>
  <c r="T246" i="178"/>
  <c r="W246" i="178"/>
  <c r="T254" i="178"/>
  <c r="V254" i="178" s="1"/>
  <c r="W254" i="178"/>
  <c r="T252" i="178"/>
  <c r="V252" i="178" s="1"/>
  <c r="W252" i="178"/>
  <c r="T253" i="178"/>
  <c r="W253" i="178"/>
  <c r="T258" i="178"/>
  <c r="W258" i="178"/>
  <c r="T259" i="178"/>
  <c r="V259" i="178" s="1"/>
  <c r="W259" i="178"/>
  <c r="T268" i="178"/>
  <c r="W268" i="178"/>
  <c r="T271" i="178"/>
  <c r="W271" i="178"/>
  <c r="T269" i="178"/>
  <c r="V269" i="178" s="1"/>
  <c r="W269" i="178"/>
  <c r="T270" i="178"/>
  <c r="W270" i="178"/>
  <c r="T272" i="178"/>
  <c r="V272" i="178" s="1"/>
  <c r="W272" i="178"/>
  <c r="T276" i="178"/>
  <c r="V276" i="178" s="1"/>
  <c r="W276" i="178"/>
  <c r="T277" i="178"/>
  <c r="V277" i="178" s="1"/>
  <c r="W277" i="178"/>
  <c r="T273" i="178"/>
  <c r="W273" i="178"/>
  <c r="T274" i="178"/>
  <c r="W274" i="178"/>
  <c r="T275" i="178"/>
  <c r="W275" i="178"/>
  <c r="T286" i="178"/>
  <c r="V286" i="178" s="1"/>
  <c r="W286" i="178"/>
  <c r="T283" i="178"/>
  <c r="W283" i="178"/>
  <c r="T281" i="178"/>
  <c r="V281" i="178" s="1"/>
  <c r="W281" i="178"/>
  <c r="T284" i="178"/>
  <c r="W284" i="178"/>
  <c r="T285" i="178"/>
  <c r="V285" i="178" s="1"/>
  <c r="W285" i="178"/>
  <c r="T287" i="178"/>
  <c r="W287" i="178"/>
  <c r="T288" i="178"/>
  <c r="V288" i="178" s="1"/>
  <c r="W288" i="178"/>
  <c r="T298" i="178"/>
  <c r="W298" i="178"/>
  <c r="T300" i="178"/>
  <c r="V300" i="178" s="1"/>
  <c r="W300" i="178"/>
  <c r="T301" i="178"/>
  <c r="V301" i="178" s="1"/>
  <c r="W301" i="178"/>
  <c r="T297" i="178"/>
  <c r="V297" i="178" s="1"/>
  <c r="W297" i="178"/>
  <c r="T299" i="178"/>
  <c r="W299" i="178"/>
  <c r="T303" i="178"/>
  <c r="V303" i="178" s="1"/>
  <c r="W303" i="178"/>
  <c r="T306" i="178"/>
  <c r="V306" i="178" s="1"/>
  <c r="W306" i="178"/>
  <c r="T304" i="178"/>
  <c r="V304" i="178" s="1"/>
  <c r="W304" i="178"/>
  <c r="T305" i="178"/>
  <c r="W305" i="178"/>
  <c r="T318" i="178"/>
  <c r="V318" i="178" s="1"/>
  <c r="W318" i="178"/>
  <c r="T316" i="178"/>
  <c r="W316" i="178"/>
  <c r="T317" i="178"/>
  <c r="V317" i="178" s="1"/>
  <c r="W317" i="178"/>
  <c r="T319" i="178"/>
  <c r="V319" i="178" s="1"/>
  <c r="W319" i="178"/>
  <c r="T320" i="178"/>
  <c r="V320" i="178" s="1"/>
  <c r="W320" i="178"/>
  <c r="T323" i="178"/>
  <c r="W323" i="178"/>
  <c r="T321" i="178"/>
  <c r="W321" i="178"/>
  <c r="T322" i="178"/>
  <c r="W322" i="178"/>
  <c r="T326" i="178"/>
  <c r="V326" i="178" s="1"/>
  <c r="W326" i="178"/>
  <c r="T324" i="178"/>
  <c r="W324" i="178"/>
  <c r="T325" i="178"/>
  <c r="V325" i="178" s="1"/>
  <c r="W325" i="178"/>
  <c r="T329" i="178"/>
  <c r="W329" i="178"/>
  <c r="T327" i="178"/>
  <c r="V327" i="178" s="1"/>
  <c r="W327" i="178"/>
  <c r="T328" i="178"/>
  <c r="W328" i="178"/>
  <c r="T338" i="178"/>
  <c r="V338" i="178" s="1"/>
  <c r="W338" i="178"/>
  <c r="T336" i="178"/>
  <c r="W336" i="178"/>
  <c r="T337" i="178"/>
  <c r="V337" i="178" s="1"/>
  <c r="W337" i="178"/>
  <c r="T436" i="178"/>
  <c r="V436" i="178" s="1"/>
  <c r="W436" i="178"/>
  <c r="T437" i="178"/>
  <c r="V437" i="178" s="1"/>
  <c r="W437" i="178"/>
  <c r="T438" i="178"/>
  <c r="W438" i="178"/>
  <c r="T442" i="178"/>
  <c r="V442" i="178" s="1"/>
  <c r="W442" i="178"/>
  <c r="T443" i="178"/>
  <c r="V443" i="178" s="1"/>
  <c r="W443" i="178"/>
  <c r="T445" i="178"/>
  <c r="V445" i="178" s="1"/>
  <c r="W445" i="178"/>
  <c r="T446" i="178"/>
  <c r="W446" i="178"/>
  <c r="T448" i="178"/>
  <c r="V448" i="178" s="1"/>
  <c r="W448" i="178"/>
  <c r="T449" i="178"/>
  <c r="V449" i="178" s="1"/>
  <c r="W449" i="178"/>
  <c r="T452" i="178"/>
  <c r="W452" i="178"/>
  <c r="T451" i="178"/>
  <c r="V451" i="178" s="1"/>
  <c r="W451" i="178"/>
  <c r="T453" i="178"/>
  <c r="V453" i="178" s="1"/>
  <c r="W453" i="178"/>
  <c r="T455" i="178"/>
  <c r="V455" i="178" s="1"/>
  <c r="W455" i="178"/>
  <c r="T456" i="178"/>
  <c r="V456" i="178" s="1"/>
  <c r="W456" i="178"/>
  <c r="T458" i="178"/>
  <c r="W458" i="178"/>
  <c r="T459" i="178"/>
  <c r="W459" i="178"/>
  <c r="T465" i="178"/>
  <c r="V465" i="178" s="1"/>
  <c r="W465" i="178"/>
  <c r="T466" i="178"/>
  <c r="W466" i="178"/>
  <c r="T467" i="178"/>
  <c r="V467" i="178" s="1"/>
  <c r="W467" i="178"/>
  <c r="T500" i="178"/>
  <c r="W500" i="178"/>
  <c r="T501" i="178"/>
  <c r="V501" i="178" s="1"/>
  <c r="W501" i="178"/>
  <c r="T514" i="178"/>
  <c r="V514" i="178" s="1"/>
  <c r="W514" i="178"/>
  <c r="T519" i="178"/>
  <c r="W519" i="178"/>
  <c r="T520" i="178"/>
  <c r="W520" i="178"/>
  <c r="T526" i="178"/>
  <c r="W526" i="178"/>
  <c r="T527" i="178"/>
  <c r="W527" i="178"/>
  <c r="T528" i="178"/>
  <c r="W528" i="178"/>
  <c r="T536" i="178"/>
  <c r="V536" i="178" s="1"/>
  <c r="W536" i="178"/>
  <c r="T538" i="178"/>
  <c r="W538" i="178"/>
  <c r="T540" i="178"/>
  <c r="V540" i="178" s="1"/>
  <c r="W540" i="178"/>
  <c r="T971" i="178"/>
  <c r="W971" i="178"/>
  <c r="T969" i="178"/>
  <c r="V969" i="178" s="1"/>
  <c r="W969" i="178"/>
  <c r="T970" i="178"/>
  <c r="W970" i="178"/>
  <c r="T984" i="178"/>
  <c r="V984" i="178" s="1"/>
  <c r="W984" i="178"/>
  <c r="T985" i="178"/>
  <c r="W985" i="178"/>
  <c r="T986" i="178"/>
  <c r="V986" i="178" s="1"/>
  <c r="W986" i="178"/>
  <c r="T987" i="178"/>
  <c r="W987" i="178"/>
  <c r="T989" i="178"/>
  <c r="V989" i="178" s="1"/>
  <c r="W989" i="178"/>
  <c r="T988" i="178"/>
  <c r="W988" i="178"/>
  <c r="T990" i="178"/>
  <c r="V990" i="178" s="1"/>
  <c r="W990" i="178"/>
  <c r="T991" i="178"/>
  <c r="V991" i="178" s="1"/>
  <c r="W991" i="178"/>
  <c r="T993" i="178"/>
  <c r="W993" i="178"/>
  <c r="T992" i="178"/>
  <c r="V992" i="178" s="1"/>
  <c r="W992" i="178"/>
  <c r="T994" i="178"/>
  <c r="W994" i="178"/>
  <c r="T995" i="178"/>
  <c r="V995" i="178" s="1"/>
  <c r="W995" i="178"/>
  <c r="T1001" i="178"/>
  <c r="V1001" i="178" s="1"/>
  <c r="W1001" i="178"/>
  <c r="T1003" i="178"/>
  <c r="V1003" i="178" s="1"/>
  <c r="W1003" i="178"/>
  <c r="T1002" i="178"/>
  <c r="W1002" i="178"/>
  <c r="T1005" i="178"/>
  <c r="V1005" i="178" s="1"/>
  <c r="W1005" i="178"/>
  <c r="T1012" i="178"/>
  <c r="V1012" i="178" s="1"/>
  <c r="W1012" i="178"/>
  <c r="T1013" i="178"/>
  <c r="W1013" i="178"/>
  <c r="T1014" i="178"/>
  <c r="W1014" i="178"/>
  <c r="T1020" i="178"/>
  <c r="V1020" i="178" s="1"/>
  <c r="W1020" i="178"/>
  <c r="T1021" i="178"/>
  <c r="V1021" i="178" s="1"/>
  <c r="W1021" i="178"/>
  <c r="T1027" i="178"/>
  <c r="W1027" i="178"/>
  <c r="T1022" i="178"/>
  <c r="W1022" i="178"/>
  <c r="T1023" i="178"/>
  <c r="W1023" i="178"/>
  <c r="T1036" i="178"/>
  <c r="V1036" i="178" s="1"/>
  <c r="W1036" i="178"/>
  <c r="T1039" i="178"/>
  <c r="W1039" i="178"/>
  <c r="T1037" i="178"/>
  <c r="V1037" i="178" s="1"/>
  <c r="W1037" i="178"/>
  <c r="T1038" i="178"/>
  <c r="V1038" i="178" s="1"/>
  <c r="W1038" i="178"/>
  <c r="T1040" i="178"/>
  <c r="V1040" i="178" s="1"/>
  <c r="W1040" i="178"/>
  <c r="T1048" i="178"/>
  <c r="V1048" i="178" s="1"/>
  <c r="W1048" i="178"/>
  <c r="T1049" i="178"/>
  <c r="V1049" i="178" s="1"/>
  <c r="W1049" i="178"/>
  <c r="T1047" i="178"/>
  <c r="W1047" i="178"/>
  <c r="T1050" i="178"/>
  <c r="W1050" i="178"/>
  <c r="T1053" i="178"/>
  <c r="V1053" i="178" s="1"/>
  <c r="W1053" i="178"/>
  <c r="T1054" i="178"/>
  <c r="W1054" i="178"/>
  <c r="T1055" i="178"/>
  <c r="V1055" i="178" s="1"/>
  <c r="W1055" i="178"/>
  <c r="T1052" i="178"/>
  <c r="V1052" i="178" s="1"/>
  <c r="W1052" i="178"/>
  <c r="T1056" i="178"/>
  <c r="V1056" i="178" s="1"/>
  <c r="W1056" i="178"/>
  <c r="T1068" i="178"/>
  <c r="W1068" i="178"/>
  <c r="T1069" i="178"/>
  <c r="W1069" i="178"/>
  <c r="T1066" i="178"/>
  <c r="V1066" i="178" s="1"/>
  <c r="W1066" i="178"/>
  <c r="T1070" i="178"/>
  <c r="V1070" i="178" s="1"/>
  <c r="W1070" i="178"/>
  <c r="T1067" i="178"/>
  <c r="W1067" i="178"/>
  <c r="T1071" i="178"/>
  <c r="V1071" i="178" s="1"/>
  <c r="W1071" i="178"/>
  <c r="T1077" i="178"/>
  <c r="V1077" i="178" s="1"/>
  <c r="W1077" i="178"/>
  <c r="T1072" i="178"/>
  <c r="W1072" i="178"/>
  <c r="T1073" i="178"/>
  <c r="W1073" i="178"/>
  <c r="T1074" i="178"/>
  <c r="W1074" i="178"/>
  <c r="T1075" i="178"/>
  <c r="W1075" i="178"/>
  <c r="T1076" i="178"/>
  <c r="V1076" i="178" s="1"/>
  <c r="W1076" i="178"/>
  <c r="T1138" i="178"/>
  <c r="W1138" i="178"/>
  <c r="T1144" i="178"/>
  <c r="V1144" i="178" s="1"/>
  <c r="W1144" i="178"/>
  <c r="T1139" i="178"/>
  <c r="V1139" i="178" s="1"/>
  <c r="W1139" i="178"/>
  <c r="T1140" i="178"/>
  <c r="V1140" i="178" s="1"/>
  <c r="W1140" i="178"/>
  <c r="T1141" i="178"/>
  <c r="W1141" i="178"/>
  <c r="T1143" i="178"/>
  <c r="V1143" i="178" s="1"/>
  <c r="W1143" i="178"/>
  <c r="T1145" i="178"/>
  <c r="W1145" i="178"/>
  <c r="T1142" i="178"/>
  <c r="V1142" i="178" s="1"/>
  <c r="W1142" i="178"/>
  <c r="T1160" i="178"/>
  <c r="V1160" i="178" s="1"/>
  <c r="W1160" i="178"/>
  <c r="T1161" i="178"/>
  <c r="W1161" i="178"/>
  <c r="T1162" i="178"/>
  <c r="V1162" i="178" s="1"/>
  <c r="W1162" i="178"/>
  <c r="T1163" i="178"/>
  <c r="V1163" i="178" s="1"/>
  <c r="W1163" i="178"/>
  <c r="T1172" i="178"/>
  <c r="W1172" i="178"/>
  <c r="T1171" i="178"/>
  <c r="W1171" i="178"/>
  <c r="T1173" i="178"/>
  <c r="W1173" i="178"/>
  <c r="T1176" i="178"/>
  <c r="V1176" i="178" s="1"/>
  <c r="W1176" i="178"/>
  <c r="T1174" i="178"/>
  <c r="V1174" i="178" s="1"/>
  <c r="W1174" i="178"/>
  <c r="T1177" i="178"/>
  <c r="W1177" i="178"/>
  <c r="T1175" i="178"/>
  <c r="V1175" i="178" s="1"/>
  <c r="W1175" i="178"/>
  <c r="T1178" i="178"/>
  <c r="V1178" i="178" s="1"/>
  <c r="W1178" i="178"/>
  <c r="T1190" i="178"/>
  <c r="V1190" i="178" s="1"/>
  <c r="W1190" i="178"/>
  <c r="T1194" i="178"/>
  <c r="W1194" i="178"/>
  <c r="T1191" i="178"/>
  <c r="W1191" i="178"/>
  <c r="T1192" i="178"/>
  <c r="W1192" i="178"/>
  <c r="T1193" i="178"/>
  <c r="W1193" i="178"/>
  <c r="T1276" i="178"/>
  <c r="W1276" i="178"/>
  <c r="T651" i="178"/>
  <c r="V651" i="178" s="1"/>
  <c r="W651" i="178"/>
  <c r="T652" i="178"/>
  <c r="V652" i="178" s="1"/>
  <c r="W652" i="178"/>
  <c r="T653" i="178"/>
  <c r="V653" i="178" s="1"/>
  <c r="W653" i="178"/>
  <c r="T654" i="178"/>
  <c r="V654" i="178" s="1"/>
  <c r="W654" i="178"/>
  <c r="T1032" i="178"/>
  <c r="V1032" i="178" s="1"/>
  <c r="W1032" i="178"/>
  <c r="T1033" i="178"/>
  <c r="V1033" i="178" s="1"/>
  <c r="W1033" i="178"/>
  <c r="T1115" i="178"/>
  <c r="U1115" i="178" s="1"/>
  <c r="W1115" i="178"/>
  <c r="T1116" i="178"/>
  <c r="W1116" i="178"/>
  <c r="T1118" i="178"/>
  <c r="W1118" i="178"/>
  <c r="T1120" i="178"/>
  <c r="U1120" i="178" s="1"/>
  <c r="W1120" i="178"/>
  <c r="T1123" i="178"/>
  <c r="U1123" i="178" s="1"/>
  <c r="W1123" i="178"/>
  <c r="T1124" i="178"/>
  <c r="U1124" i="178" s="1"/>
  <c r="W1124" i="178"/>
  <c r="T154" i="178"/>
  <c r="U154" i="178" s="1"/>
  <c r="W154" i="178"/>
  <c r="T155" i="178"/>
  <c r="U155" i="178" s="1"/>
  <c r="W155" i="178"/>
  <c r="T156" i="178"/>
  <c r="W156" i="178"/>
  <c r="T162" i="178"/>
  <c r="U162" i="178" s="1"/>
  <c r="W162" i="178"/>
  <c r="T163" i="178"/>
  <c r="U163" i="178" s="1"/>
  <c r="W163" i="178"/>
  <c r="T164" i="178"/>
  <c r="W164" i="178"/>
  <c r="T165" i="178"/>
  <c r="U165" i="178" s="1"/>
  <c r="W165" i="178"/>
  <c r="T166" i="178"/>
  <c r="U166" i="178" s="1"/>
  <c r="W166" i="178"/>
  <c r="T167" i="178"/>
  <c r="U167" i="178" s="1"/>
  <c r="W167" i="178"/>
  <c r="T355" i="178"/>
  <c r="W355" i="178"/>
  <c r="T358" i="178"/>
  <c r="U358" i="178" s="1"/>
  <c r="W358" i="178"/>
  <c r="T690" i="178"/>
  <c r="W690" i="178"/>
  <c r="T698" i="178"/>
  <c r="U698" i="178" s="1"/>
  <c r="W698" i="178"/>
  <c r="T706" i="178"/>
  <c r="U706" i="178" s="1"/>
  <c r="W706" i="178"/>
  <c r="T714" i="178"/>
  <c r="U714" i="178" s="1"/>
  <c r="W714" i="178"/>
  <c r="T792" i="178"/>
  <c r="W792" i="178"/>
  <c r="T804" i="178"/>
  <c r="U804" i="178" s="1"/>
  <c r="W804" i="178"/>
  <c r="T805" i="178"/>
  <c r="U805" i="178" s="1"/>
  <c r="W805" i="178"/>
  <c r="T806" i="178"/>
  <c r="W806" i="178"/>
  <c r="T807" i="178"/>
  <c r="U807" i="178" s="1"/>
  <c r="W807" i="178"/>
  <c r="T708" i="178"/>
  <c r="U708" i="178" s="1"/>
  <c r="W708" i="178"/>
  <c r="T810" i="178"/>
  <c r="U810" i="178" s="1"/>
  <c r="W810" i="178"/>
  <c r="T811" i="178"/>
  <c r="W811" i="178"/>
  <c r="T812" i="178"/>
  <c r="U812" i="178" s="1"/>
  <c r="W812" i="178"/>
  <c r="T813" i="178"/>
  <c r="U813" i="178" s="1"/>
  <c r="W813" i="178"/>
  <c r="T932" i="178"/>
  <c r="U932" i="178" s="1"/>
  <c r="W932" i="178"/>
  <c r="T964" i="178"/>
  <c r="U964" i="178" s="1"/>
  <c r="W964" i="178"/>
  <c r="T965" i="178"/>
  <c r="W965" i="178"/>
  <c r="T172" i="178"/>
  <c r="W172" i="178"/>
  <c r="T173" i="178"/>
  <c r="U173" i="178" s="1"/>
  <c r="W173" i="178"/>
  <c r="T195" i="178"/>
  <c r="U195" i="178" s="1"/>
  <c r="W195" i="178"/>
  <c r="T196" i="178"/>
  <c r="U196" i="178" s="1"/>
  <c r="W196" i="178"/>
  <c r="T198" i="178"/>
  <c r="U198" i="178" s="1"/>
  <c r="W198" i="178"/>
  <c r="T199" i="178"/>
  <c r="W199" i="178"/>
  <c r="T388" i="178"/>
  <c r="U388" i="178" s="1"/>
  <c r="W388" i="178"/>
  <c r="T413" i="178"/>
  <c r="U413" i="178" s="1"/>
  <c r="W413" i="178"/>
  <c r="T428" i="178"/>
  <c r="U428" i="178" s="1"/>
  <c r="W428" i="178"/>
  <c r="T429" i="178"/>
  <c r="U429" i="178" s="1"/>
  <c r="W429" i="178"/>
  <c r="T494" i="178"/>
  <c r="U494" i="178" s="1"/>
  <c r="W494" i="178"/>
  <c r="T495" i="178"/>
  <c r="W495" i="178"/>
  <c r="T553" i="178"/>
  <c r="U553" i="178" s="1"/>
  <c r="W553" i="178"/>
  <c r="T580" i="178"/>
  <c r="W580" i="178"/>
  <c r="T582" i="178"/>
  <c r="U582" i="178" s="1"/>
  <c r="W582" i="178"/>
  <c r="T635" i="178"/>
  <c r="U635" i="178" s="1"/>
  <c r="W635" i="178"/>
  <c r="T661" i="178"/>
  <c r="W661" i="178"/>
  <c r="T664" i="178"/>
  <c r="U664" i="178" s="1"/>
  <c r="W664" i="178"/>
  <c r="T722" i="178"/>
  <c r="U722" i="178" s="1"/>
  <c r="W722" i="178"/>
  <c r="T723" i="178"/>
  <c r="U723" i="178" s="1"/>
  <c r="W723" i="178"/>
  <c r="T725" i="178"/>
  <c r="W725" i="178"/>
  <c r="T728" i="178"/>
  <c r="U728" i="178" s="1"/>
  <c r="W728" i="178"/>
  <c r="T729" i="178"/>
  <c r="U729" i="178" s="1"/>
  <c r="W729" i="178"/>
  <c r="T818" i="178"/>
  <c r="W818" i="178"/>
  <c r="T864" i="178"/>
  <c r="U864" i="178" s="1"/>
  <c r="W864" i="178"/>
  <c r="T867" i="178"/>
  <c r="W867" i="178"/>
  <c r="T868" i="178"/>
  <c r="U868" i="178" s="1"/>
  <c r="W868" i="178"/>
  <c r="T870" i="178"/>
  <c r="U870" i="178" s="1"/>
  <c r="W870" i="178"/>
  <c r="T873" i="178"/>
  <c r="U873" i="178" s="1"/>
  <c r="W873" i="178"/>
  <c r="T875" i="178"/>
  <c r="U875" i="178" s="1"/>
  <c r="W875" i="178"/>
  <c r="T877" i="178"/>
  <c r="U877" i="178" s="1"/>
  <c r="W877" i="178"/>
  <c r="T879" i="178"/>
  <c r="U879" i="178" s="1"/>
  <c r="W879" i="178"/>
  <c r="T878" i="178"/>
  <c r="U878" i="178" s="1"/>
  <c r="W878" i="178"/>
  <c r="T881" i="178"/>
  <c r="W881" i="178"/>
  <c r="T882" i="178"/>
  <c r="U882" i="178" s="1"/>
  <c r="W882" i="178"/>
  <c r="T884" i="178"/>
  <c r="U884" i="178" s="1"/>
  <c r="W884" i="178"/>
  <c r="T886" i="178"/>
  <c r="W886" i="178"/>
  <c r="T885" i="178"/>
  <c r="U885" i="178" s="1"/>
  <c r="W885" i="178"/>
  <c r="T888" i="178"/>
  <c r="W888" i="178"/>
  <c r="T889" i="178"/>
  <c r="W889" i="178"/>
  <c r="T891" i="178"/>
  <c r="U891" i="178" s="1"/>
  <c r="W891" i="178"/>
  <c r="T902" i="178"/>
  <c r="W902" i="178"/>
  <c r="T903" i="178"/>
  <c r="U903" i="178" s="1"/>
  <c r="W903" i="178"/>
  <c r="T905" i="178"/>
  <c r="U905" i="178" s="1"/>
  <c r="W905" i="178"/>
  <c r="T906" i="178"/>
  <c r="W906" i="178"/>
  <c r="T909" i="178"/>
  <c r="W909" i="178"/>
  <c r="T911" i="178"/>
  <c r="W911" i="178"/>
  <c r="T910" i="178"/>
  <c r="U910" i="178" s="1"/>
  <c r="W910" i="178"/>
  <c r="T913" i="178"/>
  <c r="W913" i="178"/>
  <c r="T914" i="178"/>
  <c r="U914" i="178" s="1"/>
  <c r="W914" i="178"/>
  <c r="T135" i="178"/>
  <c r="U135" i="178" s="1"/>
  <c r="W135" i="178"/>
  <c r="T368" i="178"/>
  <c r="W368" i="178"/>
  <c r="T369" i="178"/>
  <c r="U369" i="178" s="1"/>
  <c r="W369" i="178"/>
  <c r="T420" i="178"/>
  <c r="W420" i="178"/>
  <c r="T440" i="178"/>
  <c r="U440" i="178" s="1"/>
  <c r="W440" i="178"/>
  <c r="T547" i="178"/>
  <c r="U547" i="178" s="1"/>
  <c r="W547" i="178"/>
  <c r="T548" i="178"/>
  <c r="U548" i="178" s="1"/>
  <c r="W548" i="178"/>
  <c r="T686" i="178"/>
  <c r="W686" i="178"/>
  <c r="T687" i="178"/>
  <c r="U687" i="178" s="1"/>
  <c r="W687" i="178"/>
  <c r="T688" i="178"/>
  <c r="U688" i="178" s="1"/>
  <c r="W688" i="178"/>
  <c r="T737" i="178"/>
  <c r="W737" i="178"/>
  <c r="T738" i="178"/>
  <c r="U738" i="178" s="1"/>
  <c r="W738" i="178"/>
  <c r="T739" i="178"/>
  <c r="W739" i="178"/>
  <c r="T767" i="178"/>
  <c r="W767" i="178"/>
  <c r="T768" i="178"/>
  <c r="U768" i="178" s="1"/>
  <c r="W768" i="178"/>
  <c r="T769" i="178"/>
  <c r="U769" i="178" s="1"/>
  <c r="W769" i="178"/>
  <c r="T816" i="178"/>
  <c r="U816" i="178" s="1"/>
  <c r="W816" i="178"/>
  <c r="T817" i="178"/>
  <c r="W817" i="178"/>
  <c r="T925" i="178"/>
  <c r="W925" i="178"/>
  <c r="T926" i="178"/>
  <c r="U926" i="178" s="1"/>
  <c r="W926" i="178"/>
  <c r="T927" i="178"/>
  <c r="W927" i="178"/>
  <c r="T1151" i="178"/>
  <c r="U1151" i="178" s="1"/>
  <c r="W1151" i="178"/>
  <c r="T361" i="178"/>
  <c r="W361" i="178"/>
  <c r="T360" i="178"/>
  <c r="W360" i="178"/>
  <c r="T362" i="178"/>
  <c r="U362" i="178" s="1"/>
  <c r="W362" i="178"/>
  <c r="T566" i="178"/>
  <c r="W566" i="178"/>
  <c r="T567" i="178"/>
  <c r="U567" i="178" s="1"/>
  <c r="W567" i="178"/>
  <c r="T569" i="178"/>
  <c r="W569" i="178"/>
  <c r="T568" i="178"/>
  <c r="U568" i="178" s="1"/>
  <c r="W568" i="178"/>
  <c r="T570" i="178"/>
  <c r="W570" i="178"/>
  <c r="T676" i="178"/>
  <c r="W676" i="178"/>
  <c r="T674" i="178"/>
  <c r="U674" i="178" s="1"/>
  <c r="W674" i="178"/>
  <c r="T966" i="178"/>
  <c r="U966" i="178" s="1"/>
  <c r="W966" i="178"/>
  <c r="Q533" i="178"/>
  <c r="S533" i="178" s="1"/>
  <c r="Q534" i="178"/>
  <c r="S534" i="178" s="1"/>
  <c r="Q556" i="178"/>
  <c r="S556" i="178" s="1"/>
  <c r="Q557" i="178"/>
  <c r="S557" i="178" s="1"/>
  <c r="Q558" i="178"/>
  <c r="S558" i="178" s="1"/>
  <c r="Q1134" i="178"/>
  <c r="S1134" i="178" s="1"/>
  <c r="Q1133" i="178"/>
  <c r="S1133" i="178" s="1"/>
  <c r="Q1135" i="178"/>
  <c r="S1135" i="178" s="1"/>
  <c r="Q1136" i="178"/>
  <c r="S1136" i="178" s="1"/>
  <c r="Q1137" i="178"/>
  <c r="S1137" i="178" s="1"/>
  <c r="Q1206" i="178"/>
  <c r="S1206" i="178" s="1"/>
  <c r="Q1210" i="178"/>
  <c r="S1210" i="178" s="1"/>
  <c r="Q1207" i="178"/>
  <c r="S1207" i="178" s="1"/>
  <c r="Q1208" i="178"/>
  <c r="S1208" i="178" s="1"/>
  <c r="Q1211" i="178"/>
  <c r="S1211" i="178" s="1"/>
  <c r="Q1212" i="178"/>
  <c r="S1212" i="178" s="1"/>
  <c r="Q1213" i="178"/>
  <c r="S1213" i="178" s="1"/>
  <c r="Q1209" i="178"/>
  <c r="S1209" i="178" s="1"/>
  <c r="Q1214" i="178"/>
  <c r="S1214" i="178" s="1"/>
  <c r="Q1218" i="178"/>
  <c r="S1218" i="178" s="1"/>
  <c r="Q1215" i="178"/>
  <c r="S1215" i="178" s="1"/>
  <c r="Q1219" i="178"/>
  <c r="S1219" i="178" s="1"/>
  <c r="Q1220" i="178"/>
  <c r="S1220" i="178" s="1"/>
  <c r="Q1216" i="178"/>
  <c r="S1216" i="178" s="1"/>
  <c r="Q1217" i="178"/>
  <c r="S1217" i="178" s="1"/>
  <c r="Q1221" i="178"/>
  <c r="S1221" i="178" s="1"/>
  <c r="Q1222" i="178"/>
  <c r="S1222" i="178" s="1"/>
  <c r="Q1240" i="178"/>
  <c r="S1240" i="178" s="1"/>
  <c r="Q1241" i="178"/>
  <c r="S1241" i="178" s="1"/>
  <c r="Q1246" i="178"/>
  <c r="S1246" i="178" s="1"/>
  <c r="Q1245" i="178"/>
  <c r="S1245" i="178" s="1"/>
  <c r="Q1247" i="178"/>
  <c r="S1247" i="178" s="1"/>
  <c r="Q1248" i="178"/>
  <c r="S1248" i="178" s="1"/>
  <c r="Q430" i="178"/>
  <c r="S430" i="178" s="1"/>
  <c r="Q545" i="178"/>
  <c r="S545" i="178" s="1"/>
  <c r="Q560" i="178"/>
  <c r="S560" i="178" s="1"/>
  <c r="Q561" i="178"/>
  <c r="S561" i="178" s="1"/>
  <c r="Q562" i="178"/>
  <c r="S562" i="178" s="1"/>
  <c r="Q563" i="178"/>
  <c r="S563" i="178" s="1"/>
  <c r="Q764" i="178"/>
  <c r="S764" i="178" s="1"/>
  <c r="Q800" i="178"/>
  <c r="S800" i="178" s="1"/>
  <c r="Q801" i="178"/>
  <c r="S801" i="178" s="1"/>
  <c r="Q802" i="178"/>
  <c r="S802" i="178" s="1"/>
  <c r="Q814" i="178"/>
  <c r="S814" i="178" s="1"/>
  <c r="Q901" i="178"/>
  <c r="S901" i="178" s="1"/>
  <c r="Q916" i="178"/>
  <c r="S916" i="178" s="1"/>
  <c r="Q917" i="178"/>
  <c r="S917" i="178" s="1"/>
  <c r="Q134" i="178"/>
  <c r="S134" i="178" s="1"/>
  <c r="Q421" i="178"/>
  <c r="S421" i="178" s="1"/>
  <c r="Q484" i="178"/>
  <c r="S484" i="178" s="1"/>
  <c r="Q546" i="178"/>
  <c r="S546" i="178" s="1"/>
  <c r="Q572" i="178"/>
  <c r="S572" i="178" s="1"/>
  <c r="Q680" i="178"/>
  <c r="S680" i="178" s="1"/>
  <c r="Q682" i="178"/>
  <c r="S682" i="178" s="1"/>
  <c r="Q681" i="178"/>
  <c r="S681" i="178" s="1"/>
  <c r="Q683" i="178"/>
  <c r="S683" i="178" s="1"/>
  <c r="Q684" i="178"/>
  <c r="S684" i="178" s="1"/>
  <c r="Q735" i="178"/>
  <c r="S735" i="178" s="1"/>
  <c r="Q736" i="178"/>
  <c r="S736" i="178" s="1"/>
  <c r="Q765" i="178"/>
  <c r="S765" i="178" s="1"/>
  <c r="Q766" i="178"/>
  <c r="S766" i="178" s="1"/>
  <c r="Q815" i="178"/>
  <c r="S815" i="178" s="1"/>
  <c r="Q928" i="178"/>
  <c r="S928" i="178" s="1"/>
  <c r="Q929" i="178"/>
  <c r="S929" i="178" s="1"/>
  <c r="Q930" i="178"/>
  <c r="S930" i="178" s="1"/>
  <c r="Q931" i="178"/>
  <c r="S931" i="178" s="1"/>
  <c r="Q1146" i="178"/>
  <c r="S1146" i="178" s="1"/>
  <c r="Q147" i="178"/>
  <c r="S147" i="178" s="1"/>
  <c r="Q207" i="178"/>
  <c r="S207" i="178" s="1"/>
  <c r="Q208" i="178"/>
  <c r="S208" i="178" s="1"/>
  <c r="Q278" i="178"/>
  <c r="S278" i="178" s="1"/>
  <c r="Q1061" i="178"/>
  <c r="S1061" i="178" s="1"/>
  <c r="Q1062" i="178"/>
  <c r="S1062" i="178" s="1"/>
  <c r="Q1258" i="178"/>
  <c r="S1258" i="178" s="1"/>
  <c r="Q1270" i="178"/>
  <c r="Q8" i="178"/>
  <c r="S8" i="178" s="1"/>
  <c r="Q10" i="178"/>
  <c r="S10" i="178" s="1"/>
  <c r="Q4" i="178"/>
  <c r="S4" i="178" s="1"/>
  <c r="Q5" i="178"/>
  <c r="S5" i="178" s="1"/>
  <c r="Q9" i="178"/>
  <c r="S9" i="178" s="1"/>
  <c r="Q6" i="178"/>
  <c r="S6" i="178" s="1"/>
  <c r="Q11" i="178"/>
  <c r="S11" i="178" s="1"/>
  <c r="Q7" i="178"/>
  <c r="S7" i="178" s="1"/>
  <c r="Q22" i="178"/>
  <c r="S22" i="178" s="1"/>
  <c r="Q19" i="178"/>
  <c r="S19" i="178" s="1"/>
  <c r="Q18" i="178"/>
  <c r="S18" i="178" s="1"/>
  <c r="Q20" i="178"/>
  <c r="S20" i="178" s="1"/>
  <c r="Q21" i="178"/>
  <c r="S21" i="178" s="1"/>
  <c r="Q27" i="178"/>
  <c r="S27" i="178" s="1"/>
  <c r="Q23" i="178"/>
  <c r="S23" i="178" s="1"/>
  <c r="Q26" i="178"/>
  <c r="S26" i="178" s="1"/>
  <c r="Q24" i="178"/>
  <c r="S24" i="178" s="1"/>
  <c r="Q25" i="178"/>
  <c r="S25" i="178" s="1"/>
  <c r="Q28" i="178"/>
  <c r="S28" i="178" s="1"/>
  <c r="Q30" i="178"/>
  <c r="S30" i="178" s="1"/>
  <c r="Q31" i="178"/>
  <c r="S31" i="178" s="1"/>
  <c r="Q32" i="178"/>
  <c r="S32" i="178" s="1"/>
  <c r="Q33" i="178"/>
  <c r="S33" i="178" s="1"/>
  <c r="Q34" i="178"/>
  <c r="S34" i="178" s="1"/>
  <c r="Q38" i="178"/>
  <c r="S38" i="178" s="1"/>
  <c r="Q39" i="178"/>
  <c r="S39" i="178" s="1"/>
  <c r="Q40" i="178"/>
  <c r="S40" i="178" s="1"/>
  <c r="Q41" i="178"/>
  <c r="S41" i="178" s="1"/>
  <c r="Q42" i="178"/>
  <c r="S42" i="178" s="1"/>
  <c r="Q43" i="178"/>
  <c r="S43" i="178" s="1"/>
  <c r="Q46" i="178"/>
  <c r="S46" i="178" s="1"/>
  <c r="Q47" i="178"/>
  <c r="S47" i="178" s="1"/>
  <c r="Q51" i="178"/>
  <c r="S51" i="178" s="1"/>
  <c r="Q50" i="178"/>
  <c r="S50" i="178" s="1"/>
  <c r="Q53" i="178"/>
  <c r="S53" i="178" s="1"/>
  <c r="Q52" i="178"/>
  <c r="S52" i="178" s="1"/>
  <c r="Q60" i="178"/>
  <c r="S60" i="178" s="1"/>
  <c r="Q63" i="178"/>
  <c r="S63" i="178" s="1"/>
  <c r="Q61" i="178"/>
  <c r="S61" i="178" s="1"/>
  <c r="Q62" i="178"/>
  <c r="S62" i="178" s="1"/>
  <c r="Q64" i="178"/>
  <c r="S64" i="178" s="1"/>
  <c r="Q71" i="178"/>
  <c r="S71" i="178" s="1"/>
  <c r="Q70" i="178"/>
  <c r="S70" i="178" s="1"/>
  <c r="Q90" i="178"/>
  <c r="S90" i="178" s="1"/>
  <c r="Q91" i="178"/>
  <c r="S91" i="178" s="1"/>
  <c r="Q86" i="178"/>
  <c r="S86" i="178" s="1"/>
  <c r="Q87" i="178"/>
  <c r="S87" i="178" s="1"/>
  <c r="Q88" i="178"/>
  <c r="S88" i="178" s="1"/>
  <c r="Q89" i="178"/>
  <c r="S89" i="178" s="1"/>
  <c r="Q97" i="178"/>
  <c r="S97" i="178" s="1"/>
  <c r="Q98" i="178"/>
  <c r="S98" i="178" s="1"/>
  <c r="Q93" i="178"/>
  <c r="S93" i="178" s="1"/>
  <c r="Q94" i="178"/>
  <c r="S94" i="178" s="1"/>
  <c r="Q95" i="178"/>
  <c r="S95" i="178" s="1"/>
  <c r="Q96" i="178"/>
  <c r="S96" i="178" s="1"/>
  <c r="Q101" i="178"/>
  <c r="S101" i="178" s="1"/>
  <c r="Q107" i="178"/>
  <c r="S107" i="178" s="1"/>
  <c r="Q108" i="178"/>
  <c r="S108" i="178" s="1"/>
  <c r="Q102" i="178"/>
  <c r="S102" i="178" s="1"/>
  <c r="Q103" i="178"/>
  <c r="S103" i="178" s="1"/>
  <c r="Q104" i="178"/>
  <c r="S104" i="178" s="1"/>
  <c r="Q105" i="178"/>
  <c r="S105" i="178" s="1"/>
  <c r="Q109" i="178"/>
  <c r="S109" i="178" s="1"/>
  <c r="Q106" i="178"/>
  <c r="S106" i="178" s="1"/>
  <c r="Q111" i="178"/>
  <c r="S111" i="178" s="1"/>
  <c r="Q116" i="178"/>
  <c r="S116" i="178" s="1"/>
  <c r="Q117" i="178"/>
  <c r="S117" i="178" s="1"/>
  <c r="Q112" i="178"/>
  <c r="S112" i="178" s="1"/>
  <c r="Q113" i="178"/>
  <c r="S113" i="178" s="1"/>
  <c r="Q114" i="178"/>
  <c r="S114" i="178" s="1"/>
  <c r="Q115" i="178"/>
  <c r="S115" i="178" s="1"/>
  <c r="Q142" i="178"/>
  <c r="S142" i="178" s="1"/>
  <c r="Q143" i="178"/>
  <c r="S143" i="178" s="1"/>
  <c r="Q149" i="178"/>
  <c r="S149" i="178" s="1"/>
  <c r="Q150" i="178"/>
  <c r="S150" i="178" s="1"/>
  <c r="Q211" i="178"/>
  <c r="S211" i="178" s="1"/>
  <c r="Q209" i="178"/>
  <c r="S209" i="178" s="1"/>
  <c r="Q210" i="178"/>
  <c r="S210" i="178" s="1"/>
  <c r="Q214" i="178"/>
  <c r="S214" i="178" s="1"/>
  <c r="Q215" i="178"/>
  <c r="S215" i="178" s="1"/>
  <c r="Q236" i="178"/>
  <c r="S236" i="178" s="1"/>
  <c r="Q237" i="178"/>
  <c r="S237" i="178" s="1"/>
  <c r="Q239" i="178"/>
  <c r="S239" i="178" s="1"/>
  <c r="Q240" i="178"/>
  <c r="S240" i="178" s="1"/>
  <c r="Q247" i="178"/>
  <c r="S247" i="178" s="1"/>
  <c r="Q244" i="178"/>
  <c r="S244" i="178" s="1"/>
  <c r="Q245" i="178"/>
  <c r="S245" i="178" s="1"/>
  <c r="Q246" i="178"/>
  <c r="S246" i="178" s="1"/>
  <c r="Q254" i="178"/>
  <c r="S254" i="178" s="1"/>
  <c r="Q252" i="178"/>
  <c r="S252" i="178" s="1"/>
  <c r="Q253" i="178"/>
  <c r="S253" i="178" s="1"/>
  <c r="Q258" i="178"/>
  <c r="S258" i="178" s="1"/>
  <c r="Q259" i="178"/>
  <c r="S259" i="178" s="1"/>
  <c r="Q268" i="178"/>
  <c r="S268" i="178" s="1"/>
  <c r="Q271" i="178"/>
  <c r="S271" i="178" s="1"/>
  <c r="Q269" i="178"/>
  <c r="S269" i="178" s="1"/>
  <c r="Q270" i="178"/>
  <c r="S270" i="178" s="1"/>
  <c r="Q272" i="178"/>
  <c r="S272" i="178" s="1"/>
  <c r="Q276" i="178"/>
  <c r="S276" i="178" s="1"/>
  <c r="Q277" i="178"/>
  <c r="S277" i="178" s="1"/>
  <c r="Q273" i="178"/>
  <c r="S273" i="178" s="1"/>
  <c r="Q274" i="178"/>
  <c r="S274" i="178" s="1"/>
  <c r="Q275" i="178"/>
  <c r="S275" i="178" s="1"/>
  <c r="Q286" i="178"/>
  <c r="S286" i="178" s="1"/>
  <c r="Q283" i="178"/>
  <c r="S283" i="178" s="1"/>
  <c r="Q281" i="178"/>
  <c r="S281" i="178" s="1"/>
  <c r="Q284" i="178"/>
  <c r="S284" i="178" s="1"/>
  <c r="Q285" i="178"/>
  <c r="S285" i="178" s="1"/>
  <c r="Q287" i="178"/>
  <c r="S287" i="178" s="1"/>
  <c r="Q288" i="178"/>
  <c r="S288" i="178" s="1"/>
  <c r="Q298" i="178"/>
  <c r="S298" i="178" s="1"/>
  <c r="Q300" i="178"/>
  <c r="S300" i="178" s="1"/>
  <c r="Q301" i="178"/>
  <c r="S301" i="178" s="1"/>
  <c r="Q297" i="178"/>
  <c r="S297" i="178" s="1"/>
  <c r="Q299" i="178"/>
  <c r="S299" i="178" s="1"/>
  <c r="Q303" i="178"/>
  <c r="S303" i="178" s="1"/>
  <c r="Q306" i="178"/>
  <c r="S306" i="178" s="1"/>
  <c r="Q304" i="178"/>
  <c r="S304" i="178" s="1"/>
  <c r="Q305" i="178"/>
  <c r="S305" i="178" s="1"/>
  <c r="Q318" i="178"/>
  <c r="S318" i="178" s="1"/>
  <c r="Q316" i="178"/>
  <c r="S316" i="178" s="1"/>
  <c r="Q317" i="178"/>
  <c r="S317" i="178" s="1"/>
  <c r="Q319" i="178"/>
  <c r="S319" i="178" s="1"/>
  <c r="Q320" i="178"/>
  <c r="S320" i="178" s="1"/>
  <c r="Q323" i="178"/>
  <c r="S323" i="178" s="1"/>
  <c r="Q321" i="178"/>
  <c r="S321" i="178" s="1"/>
  <c r="Q322" i="178"/>
  <c r="S322" i="178" s="1"/>
  <c r="Q326" i="178"/>
  <c r="S326" i="178" s="1"/>
  <c r="Q324" i="178"/>
  <c r="S324" i="178" s="1"/>
  <c r="Q325" i="178"/>
  <c r="S325" i="178" s="1"/>
  <c r="Q329" i="178"/>
  <c r="S329" i="178" s="1"/>
  <c r="Q327" i="178"/>
  <c r="S327" i="178" s="1"/>
  <c r="Q328" i="178"/>
  <c r="S328" i="178" s="1"/>
  <c r="Q338" i="178"/>
  <c r="S338" i="178" s="1"/>
  <c r="Q336" i="178"/>
  <c r="S336" i="178" s="1"/>
  <c r="Q337" i="178"/>
  <c r="S337" i="178" s="1"/>
  <c r="Q436" i="178"/>
  <c r="S436" i="178" s="1"/>
  <c r="Q437" i="178"/>
  <c r="S437" i="178" s="1"/>
  <c r="Q438" i="178"/>
  <c r="S438" i="178" s="1"/>
  <c r="Q442" i="178"/>
  <c r="S442" i="178" s="1"/>
  <c r="Q443" i="178"/>
  <c r="S443" i="178" s="1"/>
  <c r="Q445" i="178"/>
  <c r="S445" i="178" s="1"/>
  <c r="Q446" i="178"/>
  <c r="S446" i="178" s="1"/>
  <c r="Q448" i="178"/>
  <c r="S448" i="178" s="1"/>
  <c r="Q449" i="178"/>
  <c r="S449" i="178" s="1"/>
  <c r="Q452" i="178"/>
  <c r="S452" i="178" s="1"/>
  <c r="Q451" i="178"/>
  <c r="S451" i="178" s="1"/>
  <c r="Q453" i="178"/>
  <c r="S453" i="178" s="1"/>
  <c r="Q455" i="178"/>
  <c r="S455" i="178" s="1"/>
  <c r="Q456" i="178"/>
  <c r="S456" i="178" s="1"/>
  <c r="Q458" i="178"/>
  <c r="S458" i="178" s="1"/>
  <c r="Q459" i="178"/>
  <c r="S459" i="178" s="1"/>
  <c r="Q465" i="178"/>
  <c r="S465" i="178" s="1"/>
  <c r="Q466" i="178"/>
  <c r="S466" i="178" s="1"/>
  <c r="Q467" i="178"/>
  <c r="S467" i="178" s="1"/>
  <c r="Q500" i="178"/>
  <c r="S500" i="178" s="1"/>
  <c r="Q501" i="178"/>
  <c r="S501" i="178" s="1"/>
  <c r="Q514" i="178"/>
  <c r="S514" i="178" s="1"/>
  <c r="Q519" i="178"/>
  <c r="S519" i="178" s="1"/>
  <c r="Q520" i="178"/>
  <c r="S520" i="178" s="1"/>
  <c r="Q526" i="178"/>
  <c r="S526" i="178" s="1"/>
  <c r="Q527" i="178"/>
  <c r="S527" i="178" s="1"/>
  <c r="Q528" i="178"/>
  <c r="S528" i="178" s="1"/>
  <c r="Q536" i="178"/>
  <c r="S536" i="178" s="1"/>
  <c r="Q538" i="178"/>
  <c r="S538" i="178" s="1"/>
  <c r="Q540" i="178"/>
  <c r="S540" i="178" s="1"/>
  <c r="Q971" i="178"/>
  <c r="S971" i="178" s="1"/>
  <c r="Q969" i="178"/>
  <c r="S969" i="178" s="1"/>
  <c r="Q970" i="178"/>
  <c r="S970" i="178" s="1"/>
  <c r="Q984" i="178"/>
  <c r="S984" i="178" s="1"/>
  <c r="Q985" i="178"/>
  <c r="S985" i="178" s="1"/>
  <c r="Q986" i="178"/>
  <c r="S986" i="178" s="1"/>
  <c r="Q987" i="178"/>
  <c r="S987" i="178" s="1"/>
  <c r="Q989" i="178"/>
  <c r="S989" i="178" s="1"/>
  <c r="Q988" i="178"/>
  <c r="S988" i="178" s="1"/>
  <c r="Q990" i="178"/>
  <c r="S990" i="178" s="1"/>
  <c r="Q991" i="178"/>
  <c r="S991" i="178" s="1"/>
  <c r="Q993" i="178"/>
  <c r="S993" i="178" s="1"/>
  <c r="Q992" i="178"/>
  <c r="S992" i="178" s="1"/>
  <c r="Q994" i="178"/>
  <c r="S994" i="178" s="1"/>
  <c r="Q995" i="178"/>
  <c r="S995" i="178" s="1"/>
  <c r="Q1001" i="178"/>
  <c r="S1001" i="178" s="1"/>
  <c r="Q1003" i="178"/>
  <c r="S1003" i="178" s="1"/>
  <c r="Q1002" i="178"/>
  <c r="S1002" i="178" s="1"/>
  <c r="Q1005" i="178"/>
  <c r="S1005" i="178" s="1"/>
  <c r="Q1012" i="178"/>
  <c r="S1012" i="178" s="1"/>
  <c r="Q1013" i="178"/>
  <c r="S1013" i="178" s="1"/>
  <c r="Q1014" i="178"/>
  <c r="S1014" i="178" s="1"/>
  <c r="Q1020" i="178"/>
  <c r="S1020" i="178" s="1"/>
  <c r="Q1021" i="178"/>
  <c r="S1021" i="178" s="1"/>
  <c r="Q1027" i="178"/>
  <c r="S1027" i="178" s="1"/>
  <c r="Q1022" i="178"/>
  <c r="S1022" i="178" s="1"/>
  <c r="Q1023" i="178"/>
  <c r="S1023" i="178" s="1"/>
  <c r="Q1036" i="178"/>
  <c r="S1036" i="178" s="1"/>
  <c r="Q1039" i="178"/>
  <c r="S1039" i="178" s="1"/>
  <c r="Q1037" i="178"/>
  <c r="S1037" i="178" s="1"/>
  <c r="Q1038" i="178"/>
  <c r="S1038" i="178" s="1"/>
  <c r="Q1040" i="178"/>
  <c r="S1040" i="178" s="1"/>
  <c r="Q1048" i="178"/>
  <c r="S1048" i="178" s="1"/>
  <c r="Q1049" i="178"/>
  <c r="S1049" i="178" s="1"/>
  <c r="Q1047" i="178"/>
  <c r="S1047" i="178" s="1"/>
  <c r="Q1050" i="178"/>
  <c r="S1050" i="178" s="1"/>
  <c r="Q1053" i="178"/>
  <c r="S1053" i="178" s="1"/>
  <c r="Q1054" i="178"/>
  <c r="S1054" i="178" s="1"/>
  <c r="Q1055" i="178"/>
  <c r="S1055" i="178" s="1"/>
  <c r="Q1052" i="178"/>
  <c r="S1052" i="178" s="1"/>
  <c r="Q1056" i="178"/>
  <c r="S1056" i="178" s="1"/>
  <c r="Q1068" i="178"/>
  <c r="S1068" i="178" s="1"/>
  <c r="Q1069" i="178"/>
  <c r="S1069" i="178" s="1"/>
  <c r="Q1066" i="178"/>
  <c r="S1066" i="178" s="1"/>
  <c r="Q1070" i="178"/>
  <c r="S1070" i="178" s="1"/>
  <c r="Q1067" i="178"/>
  <c r="S1067" i="178" s="1"/>
  <c r="Q1071" i="178"/>
  <c r="S1071" i="178" s="1"/>
  <c r="Q1077" i="178"/>
  <c r="S1077" i="178" s="1"/>
  <c r="Q1072" i="178"/>
  <c r="S1072" i="178" s="1"/>
  <c r="Q1073" i="178"/>
  <c r="S1073" i="178" s="1"/>
  <c r="Q1074" i="178"/>
  <c r="S1074" i="178" s="1"/>
  <c r="Q1075" i="178"/>
  <c r="S1075" i="178" s="1"/>
  <c r="Q1076" i="178"/>
  <c r="S1076" i="178" s="1"/>
  <c r="Q1138" i="178"/>
  <c r="S1138" i="178" s="1"/>
  <c r="Q1144" i="178"/>
  <c r="S1144" i="178" s="1"/>
  <c r="Q1139" i="178"/>
  <c r="S1139" i="178" s="1"/>
  <c r="Q1140" i="178"/>
  <c r="S1140" i="178" s="1"/>
  <c r="Q1141" i="178"/>
  <c r="S1141" i="178" s="1"/>
  <c r="Q1143" i="178"/>
  <c r="S1143" i="178" s="1"/>
  <c r="Q1145" i="178"/>
  <c r="S1145" i="178" s="1"/>
  <c r="Q1142" i="178"/>
  <c r="S1142" i="178" s="1"/>
  <c r="Q1160" i="178"/>
  <c r="S1160" i="178" s="1"/>
  <c r="Q1161" i="178"/>
  <c r="S1161" i="178" s="1"/>
  <c r="Q1162" i="178"/>
  <c r="S1162" i="178" s="1"/>
  <c r="Q1163" i="178"/>
  <c r="S1163" i="178" s="1"/>
  <c r="Q1172" i="178"/>
  <c r="S1172" i="178" s="1"/>
  <c r="Q1171" i="178"/>
  <c r="S1171" i="178" s="1"/>
  <c r="Q1173" i="178"/>
  <c r="S1173" i="178" s="1"/>
  <c r="Q1176" i="178"/>
  <c r="S1176" i="178" s="1"/>
  <c r="Q1174" i="178"/>
  <c r="S1174" i="178" s="1"/>
  <c r="Q1177" i="178"/>
  <c r="S1177" i="178" s="1"/>
  <c r="Q1175" i="178"/>
  <c r="S1175" i="178" s="1"/>
  <c r="Q1178" i="178"/>
  <c r="S1178" i="178" s="1"/>
  <c r="Q1190" i="178"/>
  <c r="S1190" i="178" s="1"/>
  <c r="Q1194" i="178"/>
  <c r="S1194" i="178" s="1"/>
  <c r="Q1191" i="178"/>
  <c r="Q1192" i="178"/>
  <c r="S1192" i="178" s="1"/>
  <c r="Q1193" i="178"/>
  <c r="Q1276" i="178"/>
  <c r="S1276" i="178" s="1"/>
  <c r="Q651" i="178"/>
  <c r="S651" i="178" s="1"/>
  <c r="Q652" i="178"/>
  <c r="Q653" i="178"/>
  <c r="Q654" i="178"/>
  <c r="S654" i="178" s="1"/>
  <c r="Q1032" i="178"/>
  <c r="S1032" i="178" s="1"/>
  <c r="Q1033" i="178"/>
  <c r="S1033" i="178" s="1"/>
  <c r="Q1115" i="178"/>
  <c r="S1115" i="178" s="1"/>
  <c r="Q1116" i="178"/>
  <c r="S1116" i="178" s="1"/>
  <c r="Q1118" i="178"/>
  <c r="S1118" i="178" s="1"/>
  <c r="Q1120" i="178"/>
  <c r="S1120" i="178" s="1"/>
  <c r="Q1123" i="178"/>
  <c r="S1123" i="178" s="1"/>
  <c r="Q1124" i="178"/>
  <c r="S1124" i="178" s="1"/>
  <c r="Q154" i="178"/>
  <c r="S154" i="178" s="1"/>
  <c r="Q155" i="178"/>
  <c r="S155" i="178" s="1"/>
  <c r="Q156" i="178"/>
  <c r="S156" i="178" s="1"/>
  <c r="Q162" i="178"/>
  <c r="S162" i="178" s="1"/>
  <c r="Q163" i="178"/>
  <c r="S163" i="178" s="1"/>
  <c r="Q164" i="178"/>
  <c r="S164" i="178" s="1"/>
  <c r="Q165" i="178"/>
  <c r="S165" i="178" s="1"/>
  <c r="Q166" i="178"/>
  <c r="S166" i="178" s="1"/>
  <c r="Q167" i="178"/>
  <c r="S167" i="178" s="1"/>
  <c r="Q355" i="178"/>
  <c r="S355" i="178" s="1"/>
  <c r="Q358" i="178"/>
  <c r="S358" i="178" s="1"/>
  <c r="Q690" i="178"/>
  <c r="S690" i="178" s="1"/>
  <c r="Q698" i="178"/>
  <c r="S698" i="178" s="1"/>
  <c r="Q706" i="178"/>
  <c r="S706" i="178" s="1"/>
  <c r="Q714" i="178"/>
  <c r="S714" i="178" s="1"/>
  <c r="Q792" i="178"/>
  <c r="S792" i="178" s="1"/>
  <c r="Q804" i="178"/>
  <c r="S804" i="178" s="1"/>
  <c r="Q805" i="178"/>
  <c r="S805" i="178" s="1"/>
  <c r="Q806" i="178"/>
  <c r="S806" i="178" s="1"/>
  <c r="Q807" i="178"/>
  <c r="S807" i="178" s="1"/>
  <c r="Q708" i="178"/>
  <c r="S708" i="178" s="1"/>
  <c r="Q810" i="178"/>
  <c r="S810" i="178" s="1"/>
  <c r="Q811" i="178"/>
  <c r="S811" i="178" s="1"/>
  <c r="Q812" i="178"/>
  <c r="S812" i="178" s="1"/>
  <c r="Q813" i="178"/>
  <c r="S813" i="178" s="1"/>
  <c r="Q932" i="178"/>
  <c r="S932" i="178" s="1"/>
  <c r="Q964" i="178"/>
  <c r="S964" i="178" s="1"/>
  <c r="Q965" i="178"/>
  <c r="S965" i="178" s="1"/>
  <c r="Q172" i="178"/>
  <c r="S172" i="178" s="1"/>
  <c r="Q173" i="178"/>
  <c r="S173" i="178" s="1"/>
  <c r="Q195" i="178"/>
  <c r="S195" i="178" s="1"/>
  <c r="Q196" i="178"/>
  <c r="S196" i="178" s="1"/>
  <c r="Q198" i="178"/>
  <c r="S198" i="178" s="1"/>
  <c r="Q199" i="178"/>
  <c r="S199" i="178" s="1"/>
  <c r="Q388" i="178"/>
  <c r="S388" i="178" s="1"/>
  <c r="Q413" i="178"/>
  <c r="S413" i="178" s="1"/>
  <c r="Q428" i="178"/>
  <c r="S428" i="178" s="1"/>
  <c r="Q429" i="178"/>
  <c r="S429" i="178" s="1"/>
  <c r="Q494" i="178"/>
  <c r="S494" i="178" s="1"/>
  <c r="Q495" i="178"/>
  <c r="S495" i="178" s="1"/>
  <c r="Q553" i="178"/>
  <c r="S553" i="178" s="1"/>
  <c r="Q580" i="178"/>
  <c r="S580" i="178" s="1"/>
  <c r="Q582" i="178"/>
  <c r="S582" i="178" s="1"/>
  <c r="Q635" i="178"/>
  <c r="S635" i="178" s="1"/>
  <c r="Q661" i="178"/>
  <c r="S661" i="178" s="1"/>
  <c r="Q664" i="178"/>
  <c r="S664" i="178" s="1"/>
  <c r="Q722" i="178"/>
  <c r="S722" i="178" s="1"/>
  <c r="Q723" i="178"/>
  <c r="S723" i="178" s="1"/>
  <c r="Q725" i="178"/>
  <c r="S725" i="178" s="1"/>
  <c r="Q728" i="178"/>
  <c r="S728" i="178" s="1"/>
  <c r="Q729" i="178"/>
  <c r="S729" i="178" s="1"/>
  <c r="Q818" i="178"/>
  <c r="S818" i="178" s="1"/>
  <c r="Q864" i="178"/>
  <c r="S864" i="178" s="1"/>
  <c r="Q867" i="178"/>
  <c r="S867" i="178" s="1"/>
  <c r="Q868" i="178"/>
  <c r="S868" i="178" s="1"/>
  <c r="Q870" i="178"/>
  <c r="S870" i="178" s="1"/>
  <c r="Q873" i="178"/>
  <c r="S873" i="178" s="1"/>
  <c r="Q875" i="178"/>
  <c r="S875" i="178" s="1"/>
  <c r="Q877" i="178"/>
  <c r="S877" i="178" s="1"/>
  <c r="Q879" i="178"/>
  <c r="S879" i="178" s="1"/>
  <c r="Q878" i="178"/>
  <c r="S878" i="178" s="1"/>
  <c r="Q881" i="178"/>
  <c r="S881" i="178" s="1"/>
  <c r="Q882" i="178"/>
  <c r="S882" i="178" s="1"/>
  <c r="Q884" i="178"/>
  <c r="S884" i="178" s="1"/>
  <c r="Q886" i="178"/>
  <c r="S886" i="178" s="1"/>
  <c r="Q885" i="178"/>
  <c r="S885" i="178" s="1"/>
  <c r="Q888" i="178"/>
  <c r="S888" i="178" s="1"/>
  <c r="Q889" i="178"/>
  <c r="S889" i="178" s="1"/>
  <c r="Q891" i="178"/>
  <c r="S891" i="178" s="1"/>
  <c r="Q902" i="178"/>
  <c r="S902" i="178" s="1"/>
  <c r="Q903" i="178"/>
  <c r="S903" i="178" s="1"/>
  <c r="Q905" i="178"/>
  <c r="S905" i="178" s="1"/>
  <c r="Q906" i="178"/>
  <c r="S906" i="178" s="1"/>
  <c r="Q909" i="178"/>
  <c r="Q911" i="178"/>
  <c r="Q910" i="178"/>
  <c r="Q913" i="178"/>
  <c r="Q914" i="178"/>
  <c r="S914" i="178" s="1"/>
  <c r="Q135" i="178"/>
  <c r="S135" i="178" s="1"/>
  <c r="Q368" i="178"/>
  <c r="S368" i="178" s="1"/>
  <c r="Q369" i="178"/>
  <c r="Q420" i="178"/>
  <c r="Q440" i="178"/>
  <c r="Q547" i="178"/>
  <c r="S547" i="178" s="1"/>
  <c r="Q548" i="178"/>
  <c r="S548" i="178" s="1"/>
  <c r="Q686" i="178"/>
  <c r="S686" i="178" s="1"/>
  <c r="Q687" i="178"/>
  <c r="S687" i="178" s="1"/>
  <c r="Q688" i="178"/>
  <c r="S688" i="178" s="1"/>
  <c r="Q737" i="178"/>
  <c r="S737" i="178" s="1"/>
  <c r="Q738" i="178"/>
  <c r="Q739" i="178"/>
  <c r="Q767" i="178"/>
  <c r="Q768" i="178"/>
  <c r="Q769" i="178"/>
  <c r="Q816" i="178"/>
  <c r="Q817" i="178"/>
  <c r="Q925" i="178"/>
  <c r="S925" i="178" s="1"/>
  <c r="Q926" i="178"/>
  <c r="S926" i="178" s="1"/>
  <c r="Q927" i="178"/>
  <c r="S927" i="178" s="1"/>
  <c r="Q1151" i="178"/>
  <c r="S1151" i="178" s="1"/>
  <c r="Q361" i="178"/>
  <c r="S361" i="178" s="1"/>
  <c r="Q360" i="178"/>
  <c r="S360" i="178" s="1"/>
  <c r="Q362" i="178"/>
  <c r="Q566" i="178"/>
  <c r="S566" i="178" s="1"/>
  <c r="Q567" i="178"/>
  <c r="Q569" i="178"/>
  <c r="S569" i="178" s="1"/>
  <c r="Q568" i="178"/>
  <c r="S568" i="178" s="1"/>
  <c r="Q570" i="178"/>
  <c r="S570" i="178" s="1"/>
  <c r="Q676" i="178"/>
  <c r="Q674" i="178"/>
  <c r="Q966" i="178"/>
  <c r="AO1275" i="178"/>
  <c r="AN1275" i="178"/>
  <c r="AM1275" i="178"/>
  <c r="AL1275" i="178"/>
  <c r="AK1275" i="178"/>
  <c r="AJ1275" i="178"/>
  <c r="AI1275" i="178"/>
  <c r="AH1275" i="178"/>
  <c r="AG1275" i="178"/>
  <c r="AF1275" i="178"/>
  <c r="AE1275" i="178"/>
  <c r="AD1275" i="178"/>
  <c r="W1275" i="178"/>
  <c r="T1275" i="178"/>
  <c r="U1275" i="178" s="1"/>
  <c r="Q1275" i="178"/>
  <c r="B1275" i="178"/>
  <c r="AO1274" i="178"/>
  <c r="AN1274" i="178"/>
  <c r="AM1274" i="178"/>
  <c r="AL1274" i="178"/>
  <c r="AK1274" i="178"/>
  <c r="AJ1274" i="178"/>
  <c r="AI1274" i="178"/>
  <c r="AH1274" i="178"/>
  <c r="AG1274" i="178"/>
  <c r="AF1274" i="178"/>
  <c r="AE1274" i="178"/>
  <c r="AD1274" i="178"/>
  <c r="W1274" i="178"/>
  <c r="T1274" i="178"/>
  <c r="V1274" i="178" s="1"/>
  <c r="Q1274" i="178"/>
  <c r="B1274" i="178"/>
  <c r="AO1273" i="178"/>
  <c r="AN1273" i="178"/>
  <c r="AM1273" i="178"/>
  <c r="AL1273" i="178"/>
  <c r="AK1273" i="178"/>
  <c r="AJ1273" i="178"/>
  <c r="AI1273" i="178"/>
  <c r="AH1273" i="178"/>
  <c r="AG1273" i="178"/>
  <c r="AF1273" i="178"/>
  <c r="AE1273" i="178"/>
  <c r="AD1273" i="178"/>
  <c r="W1273" i="178"/>
  <c r="T1273" i="178"/>
  <c r="V1273" i="178" s="1"/>
  <c r="Q1273" i="178"/>
  <c r="B1273" i="178"/>
  <c r="AO1271" i="178"/>
  <c r="AN1271" i="178"/>
  <c r="AM1271" i="178"/>
  <c r="AL1271" i="178"/>
  <c r="AK1271" i="178"/>
  <c r="AJ1271" i="178"/>
  <c r="AI1271" i="178"/>
  <c r="AH1271" i="178"/>
  <c r="AG1271" i="178"/>
  <c r="AF1271" i="178"/>
  <c r="AE1271" i="178"/>
  <c r="AD1271" i="178"/>
  <c r="W1271" i="178"/>
  <c r="T1271" i="178"/>
  <c r="V1271" i="178" s="1"/>
  <c r="Q1271" i="178"/>
  <c r="S1271" i="178" s="1"/>
  <c r="B1271" i="178"/>
  <c r="AO1268" i="178"/>
  <c r="AN1268" i="178"/>
  <c r="AM1268" i="178"/>
  <c r="AL1268" i="178"/>
  <c r="AK1268" i="178"/>
  <c r="AJ1268" i="178"/>
  <c r="AI1268" i="178"/>
  <c r="AH1268" i="178"/>
  <c r="AG1268" i="178"/>
  <c r="AF1268" i="178"/>
  <c r="AE1268" i="178"/>
  <c r="AD1268" i="178"/>
  <c r="W1268" i="178"/>
  <c r="T1268" i="178"/>
  <c r="V1268" i="178" s="1"/>
  <c r="Q1268" i="178"/>
  <c r="B1268" i="178"/>
  <c r="AO1267" i="178"/>
  <c r="AN1267" i="178"/>
  <c r="AM1267" i="178"/>
  <c r="AL1267" i="178"/>
  <c r="AK1267" i="178"/>
  <c r="AJ1267" i="178"/>
  <c r="AI1267" i="178"/>
  <c r="AH1267" i="178"/>
  <c r="AG1267" i="178"/>
  <c r="AF1267" i="178"/>
  <c r="AE1267" i="178"/>
  <c r="AD1267" i="178"/>
  <c r="W1267" i="178"/>
  <c r="T1267" i="178"/>
  <c r="V1267" i="178" s="1"/>
  <c r="Q1267" i="178"/>
  <c r="S1267" i="178" s="1"/>
  <c r="B1267" i="178"/>
  <c r="AO1266" i="178"/>
  <c r="AN1266" i="178"/>
  <c r="AM1266" i="178"/>
  <c r="AL1266" i="178"/>
  <c r="AK1266" i="178"/>
  <c r="AJ1266" i="178"/>
  <c r="AI1266" i="178"/>
  <c r="AH1266" i="178"/>
  <c r="AG1266" i="178"/>
  <c r="AF1266" i="178"/>
  <c r="AE1266" i="178"/>
  <c r="AD1266" i="178"/>
  <c r="W1266" i="178"/>
  <c r="T1266" i="178"/>
  <c r="V1266" i="178" s="1"/>
  <c r="Q1266" i="178"/>
  <c r="S1266" i="178" s="1"/>
  <c r="B1266" i="178"/>
  <c r="AO1265" i="178"/>
  <c r="AN1265" i="178"/>
  <c r="AM1265" i="178"/>
  <c r="AL1265" i="178"/>
  <c r="AK1265" i="178"/>
  <c r="AJ1265" i="178"/>
  <c r="AI1265" i="178"/>
  <c r="AH1265" i="178"/>
  <c r="AG1265" i="178"/>
  <c r="AF1265" i="178"/>
  <c r="AE1265" i="178"/>
  <c r="AD1265" i="178"/>
  <c r="W1265" i="178"/>
  <c r="T1265" i="178"/>
  <c r="V1265" i="178" s="1"/>
  <c r="Q1265" i="178"/>
  <c r="S1265" i="178" s="1"/>
  <c r="B1265" i="178"/>
  <c r="AO1262" i="178"/>
  <c r="AN1262" i="178"/>
  <c r="AM1262" i="178"/>
  <c r="AL1262" i="178"/>
  <c r="AK1262" i="178"/>
  <c r="AJ1262" i="178"/>
  <c r="AI1262" i="178"/>
  <c r="AH1262" i="178"/>
  <c r="AG1262" i="178"/>
  <c r="AF1262" i="178"/>
  <c r="AE1262" i="178"/>
  <c r="AD1262" i="178"/>
  <c r="W1262" i="178"/>
  <c r="T1262" i="178"/>
  <c r="V1262" i="178" s="1"/>
  <c r="Q1262" i="178"/>
  <c r="S1262" i="178" s="1"/>
  <c r="B1262" i="178"/>
  <c r="AO1261" i="178"/>
  <c r="AN1261" i="178"/>
  <c r="AM1261" i="178"/>
  <c r="AL1261" i="178"/>
  <c r="AK1261" i="178"/>
  <c r="AJ1261" i="178"/>
  <c r="AI1261" i="178"/>
  <c r="AH1261" i="178"/>
  <c r="AG1261" i="178"/>
  <c r="AF1261" i="178"/>
  <c r="AE1261" i="178"/>
  <c r="AD1261" i="178"/>
  <c r="W1261" i="178"/>
  <c r="T1261" i="178"/>
  <c r="V1261" i="178" s="1"/>
  <c r="Q1261" i="178"/>
  <c r="B1261" i="178"/>
  <c r="AO1260" i="178"/>
  <c r="AN1260" i="178"/>
  <c r="AM1260" i="178"/>
  <c r="AL1260" i="178"/>
  <c r="AK1260" i="178"/>
  <c r="AJ1260" i="178"/>
  <c r="AI1260" i="178"/>
  <c r="AH1260" i="178"/>
  <c r="AG1260" i="178"/>
  <c r="AF1260" i="178"/>
  <c r="AE1260" i="178"/>
  <c r="AD1260" i="178"/>
  <c r="W1260" i="178"/>
  <c r="T1260" i="178"/>
  <c r="V1260" i="178" s="1"/>
  <c r="Q1260" i="178"/>
  <c r="B1260" i="178"/>
  <c r="AO1259" i="178"/>
  <c r="AN1259" i="178"/>
  <c r="AM1259" i="178"/>
  <c r="AL1259" i="178"/>
  <c r="AK1259" i="178"/>
  <c r="AJ1259" i="178"/>
  <c r="AI1259" i="178"/>
  <c r="AH1259" i="178"/>
  <c r="AG1259" i="178"/>
  <c r="AF1259" i="178"/>
  <c r="AE1259" i="178"/>
  <c r="AD1259" i="178"/>
  <c r="W1259" i="178"/>
  <c r="T1259" i="178"/>
  <c r="V1259" i="178" s="1"/>
  <c r="Q1259" i="178"/>
  <c r="S1259" i="178" s="1"/>
  <c r="B1259" i="178"/>
  <c r="AO1257" i="178"/>
  <c r="AN1257" i="178"/>
  <c r="AM1257" i="178"/>
  <c r="AL1257" i="178"/>
  <c r="AK1257" i="178"/>
  <c r="AJ1257" i="178"/>
  <c r="AI1257" i="178"/>
  <c r="AH1257" i="178"/>
  <c r="AG1257" i="178"/>
  <c r="AF1257" i="178"/>
  <c r="AE1257" i="178"/>
  <c r="AD1257" i="178"/>
  <c r="W1257" i="178"/>
  <c r="T1257" i="178"/>
  <c r="V1257" i="178" s="1"/>
  <c r="Q1257" i="178"/>
  <c r="B1257" i="178"/>
  <c r="AO1256" i="178"/>
  <c r="AN1256" i="178"/>
  <c r="AM1256" i="178"/>
  <c r="AL1256" i="178"/>
  <c r="AK1256" i="178"/>
  <c r="AJ1256" i="178"/>
  <c r="AI1256" i="178"/>
  <c r="AH1256" i="178"/>
  <c r="AG1256" i="178"/>
  <c r="AF1256" i="178"/>
  <c r="AE1256" i="178"/>
  <c r="AD1256" i="178"/>
  <c r="W1256" i="178"/>
  <c r="T1256" i="178"/>
  <c r="V1256" i="178" s="1"/>
  <c r="Q1256" i="178"/>
  <c r="B1256" i="178"/>
  <c r="AO1255" i="178"/>
  <c r="AN1255" i="178"/>
  <c r="AM1255" i="178"/>
  <c r="AL1255" i="178"/>
  <c r="AK1255" i="178"/>
  <c r="AJ1255" i="178"/>
  <c r="AI1255" i="178"/>
  <c r="AH1255" i="178"/>
  <c r="AG1255" i="178"/>
  <c r="AF1255" i="178"/>
  <c r="AE1255" i="178"/>
  <c r="AD1255" i="178"/>
  <c r="W1255" i="178"/>
  <c r="T1255" i="178"/>
  <c r="V1255" i="178" s="1"/>
  <c r="Q1255" i="178"/>
  <c r="B1255" i="178"/>
  <c r="AO1254" i="178"/>
  <c r="AN1254" i="178"/>
  <c r="AM1254" i="178"/>
  <c r="AL1254" i="178"/>
  <c r="AK1254" i="178"/>
  <c r="AJ1254" i="178"/>
  <c r="AI1254" i="178"/>
  <c r="AH1254" i="178"/>
  <c r="AG1254" i="178"/>
  <c r="AF1254" i="178"/>
  <c r="AE1254" i="178"/>
  <c r="AD1254" i="178"/>
  <c r="W1254" i="178"/>
  <c r="T1254" i="178"/>
  <c r="V1254" i="178" s="1"/>
  <c r="Q1254" i="178"/>
  <c r="B1254" i="178"/>
  <c r="AO1244" i="178"/>
  <c r="AN1244" i="178"/>
  <c r="AM1244" i="178"/>
  <c r="AL1244" i="178"/>
  <c r="AK1244" i="178"/>
  <c r="AJ1244" i="178"/>
  <c r="AI1244" i="178"/>
  <c r="AH1244" i="178"/>
  <c r="AG1244" i="178"/>
  <c r="AF1244" i="178"/>
  <c r="AE1244" i="178"/>
  <c r="AD1244" i="178"/>
  <c r="W1244" i="178"/>
  <c r="T1244" i="178"/>
  <c r="P1244" i="178"/>
  <c r="Q1244" i="178" s="1"/>
  <c r="B1244" i="178"/>
  <c r="AO1243" i="178"/>
  <c r="AN1243" i="178"/>
  <c r="AM1243" i="178"/>
  <c r="AL1243" i="178"/>
  <c r="AK1243" i="178"/>
  <c r="AJ1243" i="178"/>
  <c r="AI1243" i="178"/>
  <c r="AH1243" i="178"/>
  <c r="AG1243" i="178"/>
  <c r="AF1243" i="178"/>
  <c r="AE1243" i="178"/>
  <c r="AD1243" i="178"/>
  <c r="W1243" i="178"/>
  <c r="T1243" i="178"/>
  <c r="U1243" i="178" s="1"/>
  <c r="Q1243" i="178"/>
  <c r="B1243" i="178"/>
  <c r="AO1242" i="178"/>
  <c r="AN1242" i="178"/>
  <c r="AM1242" i="178"/>
  <c r="AL1242" i="178"/>
  <c r="AK1242" i="178"/>
  <c r="AJ1242" i="178"/>
  <c r="AI1242" i="178"/>
  <c r="AH1242" i="178"/>
  <c r="AG1242" i="178"/>
  <c r="AF1242" i="178"/>
  <c r="AE1242" i="178"/>
  <c r="AD1242" i="178"/>
  <c r="W1242" i="178"/>
  <c r="T1242" i="178"/>
  <c r="V1242" i="178" s="1"/>
  <c r="Q1242" i="178"/>
  <c r="B1242" i="178"/>
  <c r="AO564" i="178"/>
  <c r="AN564" i="178"/>
  <c r="AM564" i="178"/>
  <c r="AL564" i="178"/>
  <c r="AK564" i="178"/>
  <c r="AJ564" i="178"/>
  <c r="AI564" i="178"/>
  <c r="AH564" i="178"/>
  <c r="AG564" i="178"/>
  <c r="AF564" i="178"/>
  <c r="AE564" i="178"/>
  <c r="AD564" i="178"/>
  <c r="W564" i="178"/>
  <c r="T564" i="178"/>
  <c r="V564" i="178" s="1"/>
  <c r="Q564" i="178"/>
  <c r="B564" i="178"/>
  <c r="AO1113" i="178"/>
  <c r="AN1113" i="178"/>
  <c r="AM1113" i="178"/>
  <c r="AL1113" i="178"/>
  <c r="AK1113" i="178"/>
  <c r="AJ1113" i="178"/>
  <c r="AI1113" i="178"/>
  <c r="AH1113" i="178"/>
  <c r="AG1113" i="178"/>
  <c r="AF1113" i="178"/>
  <c r="AE1113" i="178"/>
  <c r="AD1113" i="178"/>
  <c r="W1113" i="178"/>
  <c r="T1113" i="178"/>
  <c r="V1113" i="178" s="1"/>
  <c r="Q1113" i="178"/>
  <c r="B1113" i="178"/>
  <c r="AO1101" i="178"/>
  <c r="AN1101" i="178"/>
  <c r="AM1101" i="178"/>
  <c r="AL1101" i="178"/>
  <c r="AK1101" i="178"/>
  <c r="AJ1101" i="178"/>
  <c r="AI1101" i="178"/>
  <c r="AH1101" i="178"/>
  <c r="AG1101" i="178"/>
  <c r="AF1101" i="178"/>
  <c r="AE1101" i="178"/>
  <c r="AD1101" i="178"/>
  <c r="W1101" i="178"/>
  <c r="T1101" i="178"/>
  <c r="V1101" i="178" s="1"/>
  <c r="Q1101" i="178"/>
  <c r="B1101" i="178"/>
  <c r="AO1093" i="178"/>
  <c r="AN1093" i="178"/>
  <c r="AM1093" i="178"/>
  <c r="AL1093" i="178"/>
  <c r="AK1093" i="178"/>
  <c r="AJ1093" i="178"/>
  <c r="AI1093" i="178"/>
  <c r="AH1093" i="178"/>
  <c r="AG1093" i="178"/>
  <c r="AF1093" i="178"/>
  <c r="AE1093" i="178"/>
  <c r="AD1093" i="178"/>
  <c r="W1093" i="178"/>
  <c r="T1093" i="178"/>
  <c r="V1093" i="178" s="1"/>
  <c r="Q1093" i="178"/>
  <c r="B1093" i="178"/>
  <c r="AO1092" i="178"/>
  <c r="AN1092" i="178"/>
  <c r="AM1092" i="178"/>
  <c r="AL1092" i="178"/>
  <c r="AK1092" i="178"/>
  <c r="AJ1092" i="178"/>
  <c r="AI1092" i="178"/>
  <c r="AH1092" i="178"/>
  <c r="AG1092" i="178"/>
  <c r="AF1092" i="178"/>
  <c r="AE1092" i="178"/>
  <c r="AD1092" i="178"/>
  <c r="W1092" i="178"/>
  <c r="T1092" i="178"/>
  <c r="V1092" i="178" s="1"/>
  <c r="Q1092" i="178"/>
  <c r="B1092" i="178"/>
  <c r="AO1091" i="178"/>
  <c r="AN1091" i="178"/>
  <c r="AM1091" i="178"/>
  <c r="AL1091" i="178"/>
  <c r="AK1091" i="178"/>
  <c r="AJ1091" i="178"/>
  <c r="AI1091" i="178"/>
  <c r="AH1091" i="178"/>
  <c r="AG1091" i="178"/>
  <c r="AF1091" i="178"/>
  <c r="AE1091" i="178"/>
  <c r="AD1091" i="178"/>
  <c r="W1091" i="178"/>
  <c r="T1091" i="178"/>
  <c r="V1091" i="178" s="1"/>
  <c r="Q1091" i="178"/>
  <c r="B1091" i="178"/>
  <c r="AO1189" i="178"/>
  <c r="AN1189" i="178"/>
  <c r="AM1189" i="178"/>
  <c r="AL1189" i="178"/>
  <c r="AK1189" i="178"/>
  <c r="AJ1189" i="178"/>
  <c r="AI1189" i="178"/>
  <c r="AH1189" i="178"/>
  <c r="AG1189" i="178"/>
  <c r="AF1189" i="178"/>
  <c r="AE1189" i="178"/>
  <c r="AD1189" i="178"/>
  <c r="W1189" i="178"/>
  <c r="T1189" i="178"/>
  <c r="V1189" i="178" s="1"/>
  <c r="Q1189" i="178"/>
  <c r="B1189" i="178"/>
  <c r="AO1180" i="178"/>
  <c r="AN1180" i="178"/>
  <c r="AM1180" i="178"/>
  <c r="AL1180" i="178"/>
  <c r="AK1180" i="178"/>
  <c r="AJ1180" i="178"/>
  <c r="AI1180" i="178"/>
  <c r="AH1180" i="178"/>
  <c r="AG1180" i="178"/>
  <c r="AF1180" i="178"/>
  <c r="AE1180" i="178"/>
  <c r="AD1180" i="178"/>
  <c r="W1180" i="178"/>
  <c r="T1180" i="178"/>
  <c r="Q1180" i="178"/>
  <c r="B1180" i="178"/>
  <c r="AO1170" i="178"/>
  <c r="AN1170" i="178"/>
  <c r="AM1170" i="178"/>
  <c r="AL1170" i="178"/>
  <c r="AK1170" i="178"/>
  <c r="AJ1170" i="178"/>
  <c r="AI1170" i="178"/>
  <c r="AH1170" i="178"/>
  <c r="AG1170" i="178"/>
  <c r="AF1170" i="178"/>
  <c r="AE1170" i="178"/>
  <c r="AD1170" i="178"/>
  <c r="W1170" i="178"/>
  <c r="T1170" i="178"/>
  <c r="V1170" i="178" s="1"/>
  <c r="Q1170" i="178"/>
  <c r="B1170" i="178"/>
  <c r="AO1169" i="178"/>
  <c r="AN1169" i="178"/>
  <c r="AM1169" i="178"/>
  <c r="AL1169" i="178"/>
  <c r="AK1169" i="178"/>
  <c r="AJ1169" i="178"/>
  <c r="AI1169" i="178"/>
  <c r="AH1169" i="178"/>
  <c r="AG1169" i="178"/>
  <c r="AF1169" i="178"/>
  <c r="AE1169" i="178"/>
  <c r="AD1169" i="178"/>
  <c r="W1169" i="178"/>
  <c r="T1169" i="178"/>
  <c r="V1169" i="178" s="1"/>
  <c r="Q1169" i="178"/>
  <c r="B1169" i="178"/>
  <c r="AO1168" i="178"/>
  <c r="AN1168" i="178"/>
  <c r="AM1168" i="178"/>
  <c r="AL1168" i="178"/>
  <c r="AK1168" i="178"/>
  <c r="AJ1168" i="178"/>
  <c r="AI1168" i="178"/>
  <c r="AH1168" i="178"/>
  <c r="AG1168" i="178"/>
  <c r="AF1168" i="178"/>
  <c r="AE1168" i="178"/>
  <c r="AD1168" i="178"/>
  <c r="W1168" i="178"/>
  <c r="T1168" i="178"/>
  <c r="V1168" i="178" s="1"/>
  <c r="Q1168" i="178"/>
  <c r="B1168" i="178"/>
  <c r="AO1167" i="178"/>
  <c r="AN1167" i="178"/>
  <c r="AM1167" i="178"/>
  <c r="AL1167" i="178"/>
  <c r="AK1167" i="178"/>
  <c r="AJ1167" i="178"/>
  <c r="AI1167" i="178"/>
  <c r="AH1167" i="178"/>
  <c r="AG1167" i="178"/>
  <c r="AF1167" i="178"/>
  <c r="AE1167" i="178"/>
  <c r="AD1167" i="178"/>
  <c r="W1167" i="178"/>
  <c r="T1167" i="178"/>
  <c r="V1167" i="178" s="1"/>
  <c r="Q1167" i="178"/>
  <c r="B1167" i="178"/>
  <c r="AO1166" i="178"/>
  <c r="AN1166" i="178"/>
  <c r="AM1166" i="178"/>
  <c r="AL1166" i="178"/>
  <c r="AK1166" i="178"/>
  <c r="AJ1166" i="178"/>
  <c r="AI1166" i="178"/>
  <c r="AH1166" i="178"/>
  <c r="AG1166" i="178"/>
  <c r="AF1166" i="178"/>
  <c r="AE1166" i="178"/>
  <c r="AD1166" i="178"/>
  <c r="W1166" i="178"/>
  <c r="T1166" i="178"/>
  <c r="Q1166" i="178"/>
  <c r="S1166" i="178" s="1"/>
  <c r="B1166" i="178"/>
  <c r="AO1119" i="178"/>
  <c r="AN1119" i="178"/>
  <c r="AM1119" i="178"/>
  <c r="AL1119" i="178"/>
  <c r="AK1119" i="178"/>
  <c r="AJ1119" i="178"/>
  <c r="AI1119" i="178"/>
  <c r="AH1119" i="178"/>
  <c r="AG1119" i="178"/>
  <c r="AF1119" i="178"/>
  <c r="AE1119" i="178"/>
  <c r="AD1119" i="178"/>
  <c r="W1119" i="178"/>
  <c r="T1119" i="178"/>
  <c r="U1119" i="178" s="1"/>
  <c r="Q1119" i="178"/>
  <c r="B1119" i="178"/>
  <c r="AO1117" i="178"/>
  <c r="AN1117" i="178"/>
  <c r="AM1117" i="178"/>
  <c r="AL1117" i="178"/>
  <c r="AK1117" i="178"/>
  <c r="AJ1117" i="178"/>
  <c r="AI1117" i="178"/>
  <c r="AH1117" i="178"/>
  <c r="AG1117" i="178"/>
  <c r="AF1117" i="178"/>
  <c r="AE1117" i="178"/>
  <c r="AD1117" i="178"/>
  <c r="W1117" i="178"/>
  <c r="T1117" i="178"/>
  <c r="V1117" i="178" s="1"/>
  <c r="Q1117" i="178"/>
  <c r="B1117" i="178"/>
  <c r="AO1114" i="178"/>
  <c r="AN1114" i="178"/>
  <c r="AM1114" i="178"/>
  <c r="AL1114" i="178"/>
  <c r="AK1114" i="178"/>
  <c r="AJ1114" i="178"/>
  <c r="AI1114" i="178"/>
  <c r="AH1114" i="178"/>
  <c r="AG1114" i="178"/>
  <c r="AF1114" i="178"/>
  <c r="AE1114" i="178"/>
  <c r="AD1114" i="178"/>
  <c r="W1114" i="178"/>
  <c r="T1114" i="178"/>
  <c r="V1114" i="178" s="1"/>
  <c r="Q1114" i="178"/>
  <c r="B1114" i="178"/>
  <c r="AO1100" i="178"/>
  <c r="AN1100" i="178"/>
  <c r="AM1100" i="178"/>
  <c r="AL1100" i="178"/>
  <c r="AK1100" i="178"/>
  <c r="AJ1100" i="178"/>
  <c r="AI1100" i="178"/>
  <c r="AH1100" i="178"/>
  <c r="AG1100" i="178"/>
  <c r="AF1100" i="178"/>
  <c r="AE1100" i="178"/>
  <c r="AD1100" i="178"/>
  <c r="W1100" i="178"/>
  <c r="T1100" i="178"/>
  <c r="V1100" i="178" s="1"/>
  <c r="Q1100" i="178"/>
  <c r="B1100" i="178"/>
  <c r="AO1096" i="178"/>
  <c r="AN1096" i="178"/>
  <c r="AM1096" i="178"/>
  <c r="AL1096" i="178"/>
  <c r="AK1096" i="178"/>
  <c r="AJ1096" i="178"/>
  <c r="AI1096" i="178"/>
  <c r="AH1096" i="178"/>
  <c r="AG1096" i="178"/>
  <c r="AF1096" i="178"/>
  <c r="AE1096" i="178"/>
  <c r="AD1096" i="178"/>
  <c r="W1096" i="178"/>
  <c r="T1096" i="178"/>
  <c r="Q1096" i="178"/>
  <c r="B1096" i="178"/>
  <c r="AO1034" i="178"/>
  <c r="AN1034" i="178"/>
  <c r="AM1034" i="178"/>
  <c r="AL1034" i="178"/>
  <c r="AK1034" i="178"/>
  <c r="AJ1034" i="178"/>
  <c r="AI1034" i="178"/>
  <c r="AH1034" i="178"/>
  <c r="AG1034" i="178"/>
  <c r="AF1034" i="178"/>
  <c r="AE1034" i="178"/>
  <c r="AD1034" i="178"/>
  <c r="W1034" i="178"/>
  <c r="T1034" i="178"/>
  <c r="V1034" i="178" s="1"/>
  <c r="Q1034" i="178"/>
  <c r="B1034" i="178"/>
  <c r="AO1196" i="178"/>
  <c r="AN1196" i="178"/>
  <c r="AM1196" i="178"/>
  <c r="AL1196" i="178"/>
  <c r="AK1196" i="178"/>
  <c r="AJ1196" i="178"/>
  <c r="AI1196" i="178"/>
  <c r="AH1196" i="178"/>
  <c r="AG1196" i="178"/>
  <c r="AF1196" i="178"/>
  <c r="AE1196" i="178"/>
  <c r="AD1196" i="178"/>
  <c r="W1196" i="178"/>
  <c r="T1196" i="178"/>
  <c r="V1196" i="178" s="1"/>
  <c r="Q1196" i="178"/>
  <c r="B1196" i="178"/>
  <c r="AO1195" i="178"/>
  <c r="AN1195" i="178"/>
  <c r="AM1195" i="178"/>
  <c r="AL1195" i="178"/>
  <c r="AK1195" i="178"/>
  <c r="AJ1195" i="178"/>
  <c r="AI1195" i="178"/>
  <c r="AH1195" i="178"/>
  <c r="AG1195" i="178"/>
  <c r="AF1195" i="178"/>
  <c r="AE1195" i="178"/>
  <c r="AD1195" i="178"/>
  <c r="W1195" i="178"/>
  <c r="T1195" i="178"/>
  <c r="Q1195" i="178"/>
  <c r="B1195" i="178"/>
  <c r="AO139" i="178"/>
  <c r="AN139" i="178"/>
  <c r="AM139" i="178"/>
  <c r="AL139" i="178"/>
  <c r="AK139" i="178"/>
  <c r="AJ139" i="178"/>
  <c r="AI139" i="178"/>
  <c r="AH139" i="178"/>
  <c r="AG139" i="178"/>
  <c r="AF139" i="178"/>
  <c r="AE139" i="178"/>
  <c r="AD139" i="178"/>
  <c r="W139" i="178"/>
  <c r="T139" i="178"/>
  <c r="V139" i="178" s="1"/>
  <c r="Q139" i="178"/>
  <c r="B139" i="178"/>
  <c r="AO1197" i="178"/>
  <c r="AN1197" i="178"/>
  <c r="AM1197" i="178"/>
  <c r="AL1197" i="178"/>
  <c r="AK1197" i="178"/>
  <c r="AJ1197" i="178"/>
  <c r="AI1197" i="178"/>
  <c r="AH1197" i="178"/>
  <c r="AG1197" i="178"/>
  <c r="AF1197" i="178"/>
  <c r="AE1197" i="178"/>
  <c r="AD1197" i="178"/>
  <c r="W1197" i="178"/>
  <c r="T1197" i="178"/>
  <c r="V1197" i="178" s="1"/>
  <c r="Q1197" i="178"/>
  <c r="B1197" i="178"/>
  <c r="AO952" i="178"/>
  <c r="AN952" i="178"/>
  <c r="AM952" i="178"/>
  <c r="AL952" i="178"/>
  <c r="AK952" i="178"/>
  <c r="AJ952" i="178"/>
  <c r="AI952" i="178"/>
  <c r="AH952" i="178"/>
  <c r="AG952" i="178"/>
  <c r="AF952" i="178"/>
  <c r="AE952" i="178"/>
  <c r="AD952" i="178"/>
  <c r="W952" i="178"/>
  <c r="T952" i="178"/>
  <c r="V952" i="178" s="1"/>
  <c r="Q952" i="178"/>
  <c r="B952" i="178"/>
  <c r="AO1087" i="178"/>
  <c r="AN1087" i="178"/>
  <c r="AM1087" i="178"/>
  <c r="AL1087" i="178"/>
  <c r="AK1087" i="178"/>
  <c r="AJ1087" i="178"/>
  <c r="AI1087" i="178"/>
  <c r="AH1087" i="178"/>
  <c r="AG1087" i="178"/>
  <c r="AF1087" i="178"/>
  <c r="AE1087" i="178"/>
  <c r="AD1087" i="178"/>
  <c r="W1087" i="178"/>
  <c r="T1087" i="178"/>
  <c r="V1087" i="178" s="1"/>
  <c r="Q1087" i="178"/>
  <c r="B1087" i="178"/>
  <c r="AO1086" i="178"/>
  <c r="AN1086" i="178"/>
  <c r="AM1086" i="178"/>
  <c r="AL1086" i="178"/>
  <c r="AK1086" i="178"/>
  <c r="AJ1086" i="178"/>
  <c r="AI1086" i="178"/>
  <c r="AH1086" i="178"/>
  <c r="AG1086" i="178"/>
  <c r="AF1086" i="178"/>
  <c r="AE1086" i="178"/>
  <c r="AD1086" i="178"/>
  <c r="W1086" i="178"/>
  <c r="T1086" i="178"/>
  <c r="V1086" i="178" s="1"/>
  <c r="Q1086" i="178"/>
  <c r="B1086" i="178"/>
  <c r="AO1085" i="178"/>
  <c r="AN1085" i="178"/>
  <c r="AM1085" i="178"/>
  <c r="AL1085" i="178"/>
  <c r="AK1085" i="178"/>
  <c r="AJ1085" i="178"/>
  <c r="AI1085" i="178"/>
  <c r="AH1085" i="178"/>
  <c r="AG1085" i="178"/>
  <c r="AF1085" i="178"/>
  <c r="AE1085" i="178"/>
  <c r="AD1085" i="178"/>
  <c r="W1085" i="178"/>
  <c r="T1085" i="178"/>
  <c r="V1085" i="178" s="1"/>
  <c r="Q1085" i="178"/>
  <c r="B1085" i="178"/>
  <c r="AO1084" i="178"/>
  <c r="AN1084" i="178"/>
  <c r="AM1084" i="178"/>
  <c r="AL1084" i="178"/>
  <c r="AK1084" i="178"/>
  <c r="AJ1084" i="178"/>
  <c r="AI1084" i="178"/>
  <c r="AH1084" i="178"/>
  <c r="AG1084" i="178"/>
  <c r="AF1084" i="178"/>
  <c r="AE1084" i="178"/>
  <c r="AD1084" i="178"/>
  <c r="W1084" i="178"/>
  <c r="T1084" i="178"/>
  <c r="V1084" i="178" s="1"/>
  <c r="Q1084" i="178"/>
  <c r="B1084" i="178"/>
  <c r="AO1083" i="178"/>
  <c r="AN1083" i="178"/>
  <c r="AM1083" i="178"/>
  <c r="AL1083" i="178"/>
  <c r="AK1083" i="178"/>
  <c r="AJ1083" i="178"/>
  <c r="AI1083" i="178"/>
  <c r="AH1083" i="178"/>
  <c r="AG1083" i="178"/>
  <c r="AF1083" i="178"/>
  <c r="AE1083" i="178"/>
  <c r="AD1083" i="178"/>
  <c r="W1083" i="178"/>
  <c r="T1083" i="178"/>
  <c r="Q1083" i="178"/>
  <c r="B1083" i="178"/>
  <c r="AO1082" i="178"/>
  <c r="AN1082" i="178"/>
  <c r="AM1082" i="178"/>
  <c r="AL1082" i="178"/>
  <c r="AK1082" i="178"/>
  <c r="AJ1082" i="178"/>
  <c r="AI1082" i="178"/>
  <c r="AH1082" i="178"/>
  <c r="AG1082" i="178"/>
  <c r="AF1082" i="178"/>
  <c r="AE1082" i="178"/>
  <c r="AD1082" i="178"/>
  <c r="W1082" i="178"/>
  <c r="T1082" i="178"/>
  <c r="V1082" i="178" s="1"/>
  <c r="Q1082" i="178"/>
  <c r="B1082" i="178"/>
  <c r="AO1081" i="178"/>
  <c r="AN1081" i="178"/>
  <c r="AM1081" i="178"/>
  <c r="AL1081" i="178"/>
  <c r="AK1081" i="178"/>
  <c r="AJ1081" i="178"/>
  <c r="AI1081" i="178"/>
  <c r="AH1081" i="178"/>
  <c r="AG1081" i="178"/>
  <c r="AF1081" i="178"/>
  <c r="AE1081" i="178"/>
  <c r="AD1081" i="178"/>
  <c r="W1081" i="178"/>
  <c r="T1081" i="178"/>
  <c r="Q1081" i="178"/>
  <c r="S1081" i="178" s="1"/>
  <c r="B1081" i="178"/>
  <c r="AO1080" i="178"/>
  <c r="AN1080" i="178"/>
  <c r="AM1080" i="178"/>
  <c r="AL1080" i="178"/>
  <c r="AK1080" i="178"/>
  <c r="AJ1080" i="178"/>
  <c r="AI1080" i="178"/>
  <c r="AH1080" i="178"/>
  <c r="AG1080" i="178"/>
  <c r="AF1080" i="178"/>
  <c r="AE1080" i="178"/>
  <c r="AD1080" i="178"/>
  <c r="W1080" i="178"/>
  <c r="T1080" i="178"/>
  <c r="U1080" i="178" s="1"/>
  <c r="Q1080" i="178"/>
  <c r="B1080" i="178"/>
  <c r="AO1079" i="178"/>
  <c r="AN1079" i="178"/>
  <c r="AM1079" i="178"/>
  <c r="AL1079" i="178"/>
  <c r="AK1079" i="178"/>
  <c r="AJ1079" i="178"/>
  <c r="AI1079" i="178"/>
  <c r="AH1079" i="178"/>
  <c r="AG1079" i="178"/>
  <c r="AF1079" i="178"/>
  <c r="AE1079" i="178"/>
  <c r="AD1079" i="178"/>
  <c r="W1079" i="178"/>
  <c r="T1079" i="178"/>
  <c r="V1079" i="178" s="1"/>
  <c r="Q1079" i="178"/>
  <c r="S1079" i="178" s="1"/>
  <c r="B1079" i="178"/>
  <c r="AO1078" i="178"/>
  <c r="AN1078" i="178"/>
  <c r="AM1078" i="178"/>
  <c r="AL1078" i="178"/>
  <c r="AK1078" i="178"/>
  <c r="AJ1078" i="178"/>
  <c r="AI1078" i="178"/>
  <c r="AH1078" i="178"/>
  <c r="AG1078" i="178"/>
  <c r="AF1078" i="178"/>
  <c r="AE1078" i="178"/>
  <c r="AD1078" i="178"/>
  <c r="W1078" i="178"/>
  <c r="T1078" i="178"/>
  <c r="V1078" i="178" s="1"/>
  <c r="Q1078" i="178"/>
  <c r="B1078" i="178"/>
  <c r="AO1031" i="178"/>
  <c r="AN1031" i="178"/>
  <c r="AM1031" i="178"/>
  <c r="AL1031" i="178"/>
  <c r="AK1031" i="178"/>
  <c r="AJ1031" i="178"/>
  <c r="AI1031" i="178"/>
  <c r="AH1031" i="178"/>
  <c r="AG1031" i="178"/>
  <c r="AF1031" i="178"/>
  <c r="AE1031" i="178"/>
  <c r="AD1031" i="178"/>
  <c r="W1031" i="178"/>
  <c r="T1031" i="178"/>
  <c r="V1031" i="178" s="1"/>
  <c r="Q1031" i="178"/>
  <c r="S1031" i="178" s="1"/>
  <c r="B1031" i="178"/>
  <c r="AO1030" i="178"/>
  <c r="AN1030" i="178"/>
  <c r="AM1030" i="178"/>
  <c r="AL1030" i="178"/>
  <c r="AK1030" i="178"/>
  <c r="AJ1030" i="178"/>
  <c r="AI1030" i="178"/>
  <c r="AH1030" i="178"/>
  <c r="AG1030" i="178"/>
  <c r="AF1030" i="178"/>
  <c r="AE1030" i="178"/>
  <c r="AD1030" i="178"/>
  <c r="W1030" i="178"/>
  <c r="T1030" i="178"/>
  <c r="Q1030" i="178"/>
  <c r="S1030" i="178" s="1"/>
  <c r="B1030" i="178"/>
  <c r="AO1029" i="178"/>
  <c r="AN1029" i="178"/>
  <c r="AM1029" i="178"/>
  <c r="AL1029" i="178"/>
  <c r="AK1029" i="178"/>
  <c r="AJ1029" i="178"/>
  <c r="AI1029" i="178"/>
  <c r="AH1029" i="178"/>
  <c r="AG1029" i="178"/>
  <c r="AF1029" i="178"/>
  <c r="AE1029" i="178"/>
  <c r="AD1029" i="178"/>
  <c r="W1029" i="178"/>
  <c r="T1029" i="178"/>
  <c r="Q1029" i="178"/>
  <c r="B1029" i="178"/>
  <c r="AO1028" i="178"/>
  <c r="AN1028" i="178"/>
  <c r="AM1028" i="178"/>
  <c r="AL1028" i="178"/>
  <c r="AK1028" i="178"/>
  <c r="AJ1028" i="178"/>
  <c r="AI1028" i="178"/>
  <c r="AH1028" i="178"/>
  <c r="AG1028" i="178"/>
  <c r="AF1028" i="178"/>
  <c r="AE1028" i="178"/>
  <c r="AD1028" i="178"/>
  <c r="W1028" i="178"/>
  <c r="T1028" i="178"/>
  <c r="Q1028" i="178"/>
  <c r="B1028" i="178"/>
  <c r="AO1006" i="178"/>
  <c r="AN1006" i="178"/>
  <c r="AM1006" i="178"/>
  <c r="AL1006" i="178"/>
  <c r="AK1006" i="178"/>
  <c r="AJ1006" i="178"/>
  <c r="AI1006" i="178"/>
  <c r="AH1006" i="178"/>
  <c r="AG1006" i="178"/>
  <c r="AF1006" i="178"/>
  <c r="AE1006" i="178"/>
  <c r="AD1006" i="178"/>
  <c r="W1006" i="178"/>
  <c r="T1006" i="178"/>
  <c r="V1006" i="178" s="1"/>
  <c r="Q1006" i="178"/>
  <c r="B1006" i="178"/>
  <c r="AO1004" i="178"/>
  <c r="AN1004" i="178"/>
  <c r="AM1004" i="178"/>
  <c r="AL1004" i="178"/>
  <c r="AK1004" i="178"/>
  <c r="AJ1004" i="178"/>
  <c r="AI1004" i="178"/>
  <c r="AH1004" i="178"/>
  <c r="AG1004" i="178"/>
  <c r="AF1004" i="178"/>
  <c r="AE1004" i="178"/>
  <c r="AD1004" i="178"/>
  <c r="W1004" i="178"/>
  <c r="T1004" i="178"/>
  <c r="V1004" i="178" s="1"/>
  <c r="Q1004" i="178"/>
  <c r="B1004" i="178"/>
  <c r="AO1000" i="178"/>
  <c r="AN1000" i="178"/>
  <c r="AM1000" i="178"/>
  <c r="AL1000" i="178"/>
  <c r="AK1000" i="178"/>
  <c r="AJ1000" i="178"/>
  <c r="AI1000" i="178"/>
  <c r="AH1000" i="178"/>
  <c r="AG1000" i="178"/>
  <c r="AF1000" i="178"/>
  <c r="AE1000" i="178"/>
  <c r="AD1000" i="178"/>
  <c r="W1000" i="178"/>
  <c r="T1000" i="178"/>
  <c r="V1000" i="178" s="1"/>
  <c r="Q1000" i="178"/>
  <c r="S1000" i="178" s="1"/>
  <c r="B1000" i="178"/>
  <c r="AO366" i="178"/>
  <c r="AN366" i="178"/>
  <c r="AM366" i="178"/>
  <c r="AL366" i="178"/>
  <c r="AK366" i="178"/>
  <c r="AJ366" i="178"/>
  <c r="AI366" i="178"/>
  <c r="AH366" i="178"/>
  <c r="AG366" i="178"/>
  <c r="AF366" i="178"/>
  <c r="AE366" i="178"/>
  <c r="AD366" i="178"/>
  <c r="W366" i="178"/>
  <c r="T366" i="178"/>
  <c r="U366" i="178" s="1"/>
  <c r="Q366" i="178"/>
  <c r="B366" i="178"/>
  <c r="Q693" i="178"/>
  <c r="B693" i="178"/>
  <c r="Q1152" i="178"/>
  <c r="B1152" i="178"/>
  <c r="Q486" i="178"/>
  <c r="B486" i="178"/>
  <c r="AO896" i="178"/>
  <c r="AN896" i="178"/>
  <c r="AM896" i="178"/>
  <c r="AL896" i="178"/>
  <c r="AK896" i="178"/>
  <c r="AJ896" i="178"/>
  <c r="AI896" i="178"/>
  <c r="AH896" i="178"/>
  <c r="AG896" i="178"/>
  <c r="AF896" i="178"/>
  <c r="AE896" i="178"/>
  <c r="AD896" i="178"/>
  <c r="W896" i="178"/>
  <c r="T896" i="178"/>
  <c r="V896" i="178" s="1"/>
  <c r="Q896" i="178"/>
  <c r="S896" i="178" s="1"/>
  <c r="B896" i="178"/>
  <c r="Q692" i="178"/>
  <c r="B692" i="178"/>
  <c r="Q491" i="178"/>
  <c r="B491" i="178"/>
  <c r="Q417" i="178"/>
  <c r="B417" i="178"/>
  <c r="AO918" i="178"/>
  <c r="AN918" i="178"/>
  <c r="AM918" i="178"/>
  <c r="AL918" i="178"/>
  <c r="AK918" i="178"/>
  <c r="AJ918" i="178"/>
  <c r="AI918" i="178"/>
  <c r="AH918" i="178"/>
  <c r="AG918" i="178"/>
  <c r="AF918" i="178"/>
  <c r="AE918" i="178"/>
  <c r="AD918" i="178"/>
  <c r="W918" i="178"/>
  <c r="T918" i="178"/>
  <c r="V918" i="178" s="1"/>
  <c r="Q918" i="178"/>
  <c r="B918" i="178"/>
  <c r="AO856" i="178"/>
  <c r="AN856" i="178"/>
  <c r="AM856" i="178"/>
  <c r="AL856" i="178"/>
  <c r="AK856" i="178"/>
  <c r="AJ856" i="178"/>
  <c r="AI856" i="178"/>
  <c r="AH856" i="178"/>
  <c r="AG856" i="178"/>
  <c r="AF856" i="178"/>
  <c r="AE856" i="178"/>
  <c r="AD856" i="178"/>
  <c r="W856" i="178"/>
  <c r="T856" i="178"/>
  <c r="U856" i="178" s="1"/>
  <c r="Q856" i="178"/>
  <c r="B856" i="178"/>
  <c r="AO855" i="178"/>
  <c r="AN855" i="178"/>
  <c r="AM855" i="178"/>
  <c r="AL855" i="178"/>
  <c r="AK855" i="178"/>
  <c r="AJ855" i="178"/>
  <c r="AI855" i="178"/>
  <c r="AH855" i="178"/>
  <c r="AG855" i="178"/>
  <c r="AF855" i="178"/>
  <c r="AE855" i="178"/>
  <c r="AD855" i="178"/>
  <c r="W855" i="178"/>
  <c r="T855" i="178"/>
  <c r="U855" i="178" s="1"/>
  <c r="Q855" i="178"/>
  <c r="B855" i="178"/>
  <c r="AO854" i="178"/>
  <c r="AN854" i="178"/>
  <c r="AM854" i="178"/>
  <c r="AL854" i="178"/>
  <c r="AK854" i="178"/>
  <c r="AJ854" i="178"/>
  <c r="AI854" i="178"/>
  <c r="AH854" i="178"/>
  <c r="AG854" i="178"/>
  <c r="AF854" i="178"/>
  <c r="AE854" i="178"/>
  <c r="AD854" i="178"/>
  <c r="W854" i="178"/>
  <c r="T854" i="178"/>
  <c r="V854" i="178" s="1"/>
  <c r="Q854" i="178"/>
  <c r="B854" i="178"/>
  <c r="AO853" i="178"/>
  <c r="AN853" i="178"/>
  <c r="AM853" i="178"/>
  <c r="AL853" i="178"/>
  <c r="AK853" i="178"/>
  <c r="AJ853" i="178"/>
  <c r="AI853" i="178"/>
  <c r="AH853" i="178"/>
  <c r="AG853" i="178"/>
  <c r="AF853" i="178"/>
  <c r="AE853" i="178"/>
  <c r="AD853" i="178"/>
  <c r="W853" i="178"/>
  <c r="T853" i="178"/>
  <c r="V853" i="178" s="1"/>
  <c r="Q853" i="178"/>
  <c r="B853" i="178"/>
  <c r="AO852" i="178"/>
  <c r="AN852" i="178"/>
  <c r="AM852" i="178"/>
  <c r="AL852" i="178"/>
  <c r="AK852" i="178"/>
  <c r="AJ852" i="178"/>
  <c r="AI852" i="178"/>
  <c r="AH852" i="178"/>
  <c r="AG852" i="178"/>
  <c r="AF852" i="178"/>
  <c r="AE852" i="178"/>
  <c r="AD852" i="178"/>
  <c r="W852" i="178"/>
  <c r="T852" i="178"/>
  <c r="V852" i="178" s="1"/>
  <c r="Q852" i="178"/>
  <c r="B852" i="178"/>
  <c r="AO851" i="178"/>
  <c r="AN851" i="178"/>
  <c r="AM851" i="178"/>
  <c r="AL851" i="178"/>
  <c r="AK851" i="178"/>
  <c r="AJ851" i="178"/>
  <c r="AI851" i="178"/>
  <c r="AH851" i="178"/>
  <c r="AG851" i="178"/>
  <c r="AF851" i="178"/>
  <c r="AE851" i="178"/>
  <c r="AD851" i="178"/>
  <c r="W851" i="178"/>
  <c r="T851" i="178"/>
  <c r="V851" i="178" s="1"/>
  <c r="Q851" i="178"/>
  <c r="B851" i="178"/>
  <c r="AO850" i="178"/>
  <c r="AN850" i="178"/>
  <c r="AM850" i="178"/>
  <c r="AL850" i="178"/>
  <c r="AK850" i="178"/>
  <c r="AJ850" i="178"/>
  <c r="AI850" i="178"/>
  <c r="AH850" i="178"/>
  <c r="AG850" i="178"/>
  <c r="AF850" i="178"/>
  <c r="AE850" i="178"/>
  <c r="AD850" i="178"/>
  <c r="W850" i="178"/>
  <c r="T850" i="178"/>
  <c r="V850" i="178" s="1"/>
  <c r="Q850" i="178"/>
  <c r="B850" i="178"/>
  <c r="AO849" i="178"/>
  <c r="AN849" i="178"/>
  <c r="AM849" i="178"/>
  <c r="AL849" i="178"/>
  <c r="AK849" i="178"/>
  <c r="AJ849" i="178"/>
  <c r="AI849" i="178"/>
  <c r="AH849" i="178"/>
  <c r="AG849" i="178"/>
  <c r="AF849" i="178"/>
  <c r="AE849" i="178"/>
  <c r="AD849" i="178"/>
  <c r="W849" i="178"/>
  <c r="T849" i="178"/>
  <c r="V849" i="178" s="1"/>
  <c r="Q849" i="178"/>
  <c r="B849" i="178"/>
  <c r="AO858" i="178"/>
  <c r="AN858" i="178"/>
  <c r="AM858" i="178"/>
  <c r="AL858" i="178"/>
  <c r="AK858" i="178"/>
  <c r="AJ858" i="178"/>
  <c r="AI858" i="178"/>
  <c r="AH858" i="178"/>
  <c r="AG858" i="178"/>
  <c r="AF858" i="178"/>
  <c r="AE858" i="178"/>
  <c r="AD858" i="178"/>
  <c r="W858" i="178"/>
  <c r="T858" i="178"/>
  <c r="Q858" i="178"/>
  <c r="B858" i="178"/>
  <c r="AO857" i="178"/>
  <c r="AN857" i="178"/>
  <c r="AM857" i="178"/>
  <c r="AL857" i="178"/>
  <c r="AK857" i="178"/>
  <c r="AJ857" i="178"/>
  <c r="AI857" i="178"/>
  <c r="AH857" i="178"/>
  <c r="AG857" i="178"/>
  <c r="AF857" i="178"/>
  <c r="AE857" i="178"/>
  <c r="AD857" i="178"/>
  <c r="W857" i="178"/>
  <c r="T857" i="178"/>
  <c r="Q857" i="178"/>
  <c r="B857" i="178"/>
  <c r="AO955" i="178"/>
  <c r="AN955" i="178"/>
  <c r="AM955" i="178"/>
  <c r="AL955" i="178"/>
  <c r="AK955" i="178"/>
  <c r="AJ955" i="178"/>
  <c r="AI955" i="178"/>
  <c r="AH955" i="178"/>
  <c r="AG955" i="178"/>
  <c r="AF955" i="178"/>
  <c r="AE955" i="178"/>
  <c r="AD955" i="178"/>
  <c r="W955" i="178"/>
  <c r="T955" i="178"/>
  <c r="Q955" i="178"/>
  <c r="B955" i="178"/>
  <c r="AO954" i="178"/>
  <c r="AN954" i="178"/>
  <c r="AM954" i="178"/>
  <c r="AL954" i="178"/>
  <c r="AK954" i="178"/>
  <c r="AJ954" i="178"/>
  <c r="AI954" i="178"/>
  <c r="AH954" i="178"/>
  <c r="AG954" i="178"/>
  <c r="AF954" i="178"/>
  <c r="AE954" i="178"/>
  <c r="AD954" i="178"/>
  <c r="W954" i="178"/>
  <c r="T954" i="178"/>
  <c r="V954" i="178" s="1"/>
  <c r="Q954" i="178"/>
  <c r="B954" i="178"/>
  <c r="AO957" i="178"/>
  <c r="AN957" i="178"/>
  <c r="AM957" i="178"/>
  <c r="AL957" i="178"/>
  <c r="AK957" i="178"/>
  <c r="AJ957" i="178"/>
  <c r="AI957" i="178"/>
  <c r="AH957" i="178"/>
  <c r="AG957" i="178"/>
  <c r="AF957" i="178"/>
  <c r="AE957" i="178"/>
  <c r="AD957" i="178"/>
  <c r="W957" i="178"/>
  <c r="T957" i="178"/>
  <c r="V957" i="178" s="1"/>
  <c r="Q957" i="178"/>
  <c r="B957" i="178"/>
  <c r="AO956" i="178"/>
  <c r="AN956" i="178"/>
  <c r="AM956" i="178"/>
  <c r="AL956" i="178"/>
  <c r="AK956" i="178"/>
  <c r="AJ956" i="178"/>
  <c r="AI956" i="178"/>
  <c r="AH956" i="178"/>
  <c r="AG956" i="178"/>
  <c r="AF956" i="178"/>
  <c r="AE956" i="178"/>
  <c r="AD956" i="178"/>
  <c r="W956" i="178"/>
  <c r="T956" i="178"/>
  <c r="V956" i="178" s="1"/>
  <c r="Q956" i="178"/>
  <c r="B956" i="178"/>
  <c r="AO160" i="178"/>
  <c r="AN160" i="178"/>
  <c r="AM160" i="178"/>
  <c r="AL160" i="178"/>
  <c r="AK160" i="178"/>
  <c r="AJ160" i="178"/>
  <c r="AI160" i="178"/>
  <c r="AH160" i="178"/>
  <c r="AG160" i="178"/>
  <c r="AF160" i="178"/>
  <c r="AE160" i="178"/>
  <c r="AD160" i="178"/>
  <c r="W160" i="178"/>
  <c r="T160" i="178"/>
  <c r="V160" i="178" s="1"/>
  <c r="Q160" i="178"/>
  <c r="S160" i="178" s="1"/>
  <c r="B160" i="178"/>
  <c r="AO740" i="178"/>
  <c r="AN740" i="178"/>
  <c r="AM740" i="178"/>
  <c r="AL740" i="178"/>
  <c r="AK740" i="178"/>
  <c r="AJ740" i="178"/>
  <c r="AI740" i="178"/>
  <c r="AH740" i="178"/>
  <c r="AG740" i="178"/>
  <c r="AF740" i="178"/>
  <c r="AE740" i="178"/>
  <c r="AD740" i="178"/>
  <c r="W740" i="178"/>
  <c r="T740" i="178"/>
  <c r="V740" i="178" s="1"/>
  <c r="Q740" i="178"/>
  <c r="B740" i="178"/>
  <c r="AO733" i="178"/>
  <c r="AN733" i="178"/>
  <c r="AM733" i="178"/>
  <c r="AL733" i="178"/>
  <c r="AK733" i="178"/>
  <c r="AJ733" i="178"/>
  <c r="AI733" i="178"/>
  <c r="AH733" i="178"/>
  <c r="AG733" i="178"/>
  <c r="AF733" i="178"/>
  <c r="AE733" i="178"/>
  <c r="AD733" i="178"/>
  <c r="W733" i="178"/>
  <c r="T733" i="178"/>
  <c r="V733" i="178" s="1"/>
  <c r="Q733" i="178"/>
  <c r="B733" i="178"/>
  <c r="AO718" i="178"/>
  <c r="AN718" i="178"/>
  <c r="AM718" i="178"/>
  <c r="AL718" i="178"/>
  <c r="AK718" i="178"/>
  <c r="AJ718" i="178"/>
  <c r="AI718" i="178"/>
  <c r="AH718" i="178"/>
  <c r="AG718" i="178"/>
  <c r="AF718" i="178"/>
  <c r="AE718" i="178"/>
  <c r="AD718" i="178"/>
  <c r="W718" i="178"/>
  <c r="T718" i="178"/>
  <c r="V718" i="178" s="1"/>
  <c r="Q718" i="178"/>
  <c r="B718" i="178"/>
  <c r="AO694" i="178"/>
  <c r="AN694" i="178"/>
  <c r="AM694" i="178"/>
  <c r="AL694" i="178"/>
  <c r="AK694" i="178"/>
  <c r="AJ694" i="178"/>
  <c r="AI694" i="178"/>
  <c r="AH694" i="178"/>
  <c r="AG694" i="178"/>
  <c r="AF694" i="178"/>
  <c r="AE694" i="178"/>
  <c r="AD694" i="178"/>
  <c r="W694" i="178"/>
  <c r="T694" i="178"/>
  <c r="V694" i="178" s="1"/>
  <c r="Q694" i="178"/>
  <c r="B694" i="178"/>
  <c r="AO935" i="178"/>
  <c r="AN935" i="178"/>
  <c r="AM935" i="178"/>
  <c r="AL935" i="178"/>
  <c r="AK935" i="178"/>
  <c r="AJ935" i="178"/>
  <c r="AI935" i="178"/>
  <c r="AH935" i="178"/>
  <c r="AG935" i="178"/>
  <c r="AF935" i="178"/>
  <c r="AE935" i="178"/>
  <c r="AD935" i="178"/>
  <c r="W935" i="178"/>
  <c r="T935" i="178"/>
  <c r="V935" i="178" s="1"/>
  <c r="Q935" i="178"/>
  <c r="B935" i="178"/>
  <c r="AO893" i="178"/>
  <c r="AN893" i="178"/>
  <c r="AM893" i="178"/>
  <c r="AL893" i="178"/>
  <c r="AK893" i="178"/>
  <c r="AJ893" i="178"/>
  <c r="AI893" i="178"/>
  <c r="AH893" i="178"/>
  <c r="AG893" i="178"/>
  <c r="AF893" i="178"/>
  <c r="AE893" i="178"/>
  <c r="AD893" i="178"/>
  <c r="W893" i="178"/>
  <c r="T893" i="178"/>
  <c r="V893" i="178" s="1"/>
  <c r="Q893" i="178"/>
  <c r="B893" i="178"/>
  <c r="AO673" i="178"/>
  <c r="AN673" i="178"/>
  <c r="AM673" i="178"/>
  <c r="AL673" i="178"/>
  <c r="AK673" i="178"/>
  <c r="AJ673" i="178"/>
  <c r="AI673" i="178"/>
  <c r="AH673" i="178"/>
  <c r="AG673" i="178"/>
  <c r="AF673" i="178"/>
  <c r="AE673" i="178"/>
  <c r="AD673" i="178"/>
  <c r="W673" i="178"/>
  <c r="T673" i="178"/>
  <c r="Q673" i="178"/>
  <c r="B673" i="178"/>
  <c r="AO672" i="178"/>
  <c r="AN672" i="178"/>
  <c r="AM672" i="178"/>
  <c r="AL672" i="178"/>
  <c r="AK672" i="178"/>
  <c r="AJ672" i="178"/>
  <c r="AI672" i="178"/>
  <c r="AH672" i="178"/>
  <c r="AG672" i="178"/>
  <c r="AF672" i="178"/>
  <c r="AE672" i="178"/>
  <c r="AD672" i="178"/>
  <c r="W672" i="178"/>
  <c r="T672" i="178"/>
  <c r="V672" i="178" s="1"/>
  <c r="Q672" i="178"/>
  <c r="B672" i="178"/>
  <c r="AO670" i="178"/>
  <c r="AN670" i="178"/>
  <c r="AM670" i="178"/>
  <c r="AL670" i="178"/>
  <c r="AK670" i="178"/>
  <c r="AJ670" i="178"/>
  <c r="AI670" i="178"/>
  <c r="AH670" i="178"/>
  <c r="AG670" i="178"/>
  <c r="AF670" i="178"/>
  <c r="AE670" i="178"/>
  <c r="AD670" i="178"/>
  <c r="W670" i="178"/>
  <c r="T670" i="178"/>
  <c r="V670" i="178" s="1"/>
  <c r="Q670" i="178"/>
  <c r="B670" i="178"/>
  <c r="AO669" i="178"/>
  <c r="AN669" i="178"/>
  <c r="AM669" i="178"/>
  <c r="AL669" i="178"/>
  <c r="AK669" i="178"/>
  <c r="AJ669" i="178"/>
  <c r="AI669" i="178"/>
  <c r="AH669" i="178"/>
  <c r="AG669" i="178"/>
  <c r="AF669" i="178"/>
  <c r="AE669" i="178"/>
  <c r="AD669" i="178"/>
  <c r="W669" i="178"/>
  <c r="T669" i="178"/>
  <c r="V669" i="178" s="1"/>
  <c r="Q669" i="178"/>
  <c r="B669" i="178"/>
  <c r="AO668" i="178"/>
  <c r="AN668" i="178"/>
  <c r="AM668" i="178"/>
  <c r="AL668" i="178"/>
  <c r="AK668" i="178"/>
  <c r="AJ668" i="178"/>
  <c r="AI668" i="178"/>
  <c r="AH668" i="178"/>
  <c r="AG668" i="178"/>
  <c r="AF668" i="178"/>
  <c r="AE668" i="178"/>
  <c r="AD668" i="178"/>
  <c r="W668" i="178"/>
  <c r="T668" i="178"/>
  <c r="V668" i="178" s="1"/>
  <c r="Q668" i="178"/>
  <c r="B668" i="178"/>
  <c r="AO650" i="178"/>
  <c r="AN650" i="178"/>
  <c r="AM650" i="178"/>
  <c r="AL650" i="178"/>
  <c r="AK650" i="178"/>
  <c r="AJ650" i="178"/>
  <c r="AI650" i="178"/>
  <c r="AH650" i="178"/>
  <c r="AG650" i="178"/>
  <c r="AF650" i="178"/>
  <c r="AE650" i="178"/>
  <c r="AD650" i="178"/>
  <c r="W650" i="178"/>
  <c r="T650" i="178"/>
  <c r="U650" i="178" s="1"/>
  <c r="Q650" i="178"/>
  <c r="B650" i="178"/>
  <c r="AO649" i="178"/>
  <c r="AN649" i="178"/>
  <c r="AM649" i="178"/>
  <c r="AL649" i="178"/>
  <c r="AK649" i="178"/>
  <c r="AJ649" i="178"/>
  <c r="AI649" i="178"/>
  <c r="AH649" i="178"/>
  <c r="AG649" i="178"/>
  <c r="AF649" i="178"/>
  <c r="AE649" i="178"/>
  <c r="AD649" i="178"/>
  <c r="W649" i="178"/>
  <c r="T649" i="178"/>
  <c r="U649" i="178" s="1"/>
  <c r="Q649" i="178"/>
  <c r="B649" i="178"/>
  <c r="AO648" i="178"/>
  <c r="AN648" i="178"/>
  <c r="AM648" i="178"/>
  <c r="AL648" i="178"/>
  <c r="AK648" i="178"/>
  <c r="AJ648" i="178"/>
  <c r="AI648" i="178"/>
  <c r="AH648" i="178"/>
  <c r="AG648" i="178"/>
  <c r="AF648" i="178"/>
  <c r="AE648" i="178"/>
  <c r="AD648" i="178"/>
  <c r="W648" i="178"/>
  <c r="T648" i="178"/>
  <c r="U648" i="178" s="1"/>
  <c r="Q648" i="178"/>
  <c r="B648" i="178"/>
  <c r="AO647" i="178"/>
  <c r="AN647" i="178"/>
  <c r="AM647" i="178"/>
  <c r="AL647" i="178"/>
  <c r="AK647" i="178"/>
  <c r="AJ647" i="178"/>
  <c r="AI647" i="178"/>
  <c r="AH647" i="178"/>
  <c r="AG647" i="178"/>
  <c r="AF647" i="178"/>
  <c r="AE647" i="178"/>
  <c r="AD647" i="178"/>
  <c r="W647" i="178"/>
  <c r="T647" i="178"/>
  <c r="U647" i="178" s="1"/>
  <c r="Q647" i="178"/>
  <c r="B647" i="178"/>
  <c r="AO646" i="178"/>
  <c r="AN646" i="178"/>
  <c r="AM646" i="178"/>
  <c r="AL646" i="178"/>
  <c r="AK646" i="178"/>
  <c r="AJ646" i="178"/>
  <c r="AI646" i="178"/>
  <c r="AH646" i="178"/>
  <c r="AG646" i="178"/>
  <c r="AF646" i="178"/>
  <c r="AE646" i="178"/>
  <c r="AD646" i="178"/>
  <c r="W646" i="178"/>
  <c r="T646" i="178"/>
  <c r="U646" i="178" s="1"/>
  <c r="Q646" i="178"/>
  <c r="B646" i="178"/>
  <c r="AO645" i="178"/>
  <c r="AN645" i="178"/>
  <c r="AM645" i="178"/>
  <c r="AL645" i="178"/>
  <c r="AK645" i="178"/>
  <c r="AJ645" i="178"/>
  <c r="AI645" i="178"/>
  <c r="AH645" i="178"/>
  <c r="AG645" i="178"/>
  <c r="AF645" i="178"/>
  <c r="AE645" i="178"/>
  <c r="AD645" i="178"/>
  <c r="W645" i="178"/>
  <c r="T645" i="178"/>
  <c r="U645" i="178" s="1"/>
  <c r="Q645" i="178"/>
  <c r="B645" i="178"/>
  <c r="AO644" i="178"/>
  <c r="AN644" i="178"/>
  <c r="AM644" i="178"/>
  <c r="AL644" i="178"/>
  <c r="AK644" i="178"/>
  <c r="AJ644" i="178"/>
  <c r="AI644" i="178"/>
  <c r="AH644" i="178"/>
  <c r="AG644" i="178"/>
  <c r="AF644" i="178"/>
  <c r="AE644" i="178"/>
  <c r="AD644" i="178"/>
  <c r="W644" i="178"/>
  <c r="T644" i="178"/>
  <c r="U644" i="178" s="1"/>
  <c r="Q644" i="178"/>
  <c r="B644" i="178"/>
  <c r="AO643" i="178"/>
  <c r="AN643" i="178"/>
  <c r="AM643" i="178"/>
  <c r="AL643" i="178"/>
  <c r="AK643" i="178"/>
  <c r="AJ643" i="178"/>
  <c r="AI643" i="178"/>
  <c r="AH643" i="178"/>
  <c r="AG643" i="178"/>
  <c r="AF643" i="178"/>
  <c r="AE643" i="178"/>
  <c r="AD643" i="178"/>
  <c r="W643" i="178"/>
  <c r="T643" i="178"/>
  <c r="U643" i="178" s="1"/>
  <c r="Q643" i="178"/>
  <c r="B643" i="178"/>
  <c r="AO642" i="178"/>
  <c r="AN642" i="178"/>
  <c r="AM642" i="178"/>
  <c r="AL642" i="178"/>
  <c r="AK642" i="178"/>
  <c r="AJ642" i="178"/>
  <c r="AI642" i="178"/>
  <c r="AH642" i="178"/>
  <c r="AG642" i="178"/>
  <c r="AF642" i="178"/>
  <c r="AE642" i="178"/>
  <c r="AD642" i="178"/>
  <c r="W642" i="178"/>
  <c r="T642" i="178"/>
  <c r="U642" i="178" s="1"/>
  <c r="Q642" i="178"/>
  <c r="B642" i="178"/>
  <c r="Q158" i="178"/>
  <c r="B158" i="178"/>
  <c r="Q391" i="178"/>
  <c r="B391" i="178"/>
  <c r="Q782" i="178"/>
  <c r="B782" i="178"/>
  <c r="B263" i="178"/>
  <c r="Q781" i="178"/>
  <c r="B781" i="178"/>
  <c r="B260" i="178"/>
  <c r="Q780" i="178"/>
  <c r="B780" i="178"/>
  <c r="B257" i="178"/>
  <c r="AO574" i="178"/>
  <c r="AN574" i="178"/>
  <c r="AM574" i="178"/>
  <c r="AL574" i="178"/>
  <c r="AK574" i="178"/>
  <c r="AJ574" i="178"/>
  <c r="AI574" i="178"/>
  <c r="AH574" i="178"/>
  <c r="AG574" i="178"/>
  <c r="AF574" i="178"/>
  <c r="AE574" i="178"/>
  <c r="AD574" i="178"/>
  <c r="W574" i="178"/>
  <c r="T574" i="178"/>
  <c r="V574" i="178" s="1"/>
  <c r="Q574" i="178"/>
  <c r="B574" i="178"/>
  <c r="AO573" i="178"/>
  <c r="AN573" i="178"/>
  <c r="AM573" i="178"/>
  <c r="AL573" i="178"/>
  <c r="AK573" i="178"/>
  <c r="AJ573" i="178"/>
  <c r="AI573" i="178"/>
  <c r="AH573" i="178"/>
  <c r="AG573" i="178"/>
  <c r="AF573" i="178"/>
  <c r="AE573" i="178"/>
  <c r="AD573" i="178"/>
  <c r="W573" i="178"/>
  <c r="T573" i="178"/>
  <c r="V573" i="178" s="1"/>
  <c r="Q573" i="178"/>
  <c r="B573" i="178"/>
  <c r="AO571" i="178"/>
  <c r="AN571" i="178"/>
  <c r="AM571" i="178"/>
  <c r="AL571" i="178"/>
  <c r="AK571" i="178"/>
  <c r="AJ571" i="178"/>
  <c r="AI571" i="178"/>
  <c r="AH571" i="178"/>
  <c r="AG571" i="178"/>
  <c r="AF571" i="178"/>
  <c r="AE571" i="178"/>
  <c r="AD571" i="178"/>
  <c r="W571" i="178"/>
  <c r="T571" i="178"/>
  <c r="V571" i="178" s="1"/>
  <c r="Q571" i="178"/>
  <c r="S571" i="178" s="1"/>
  <c r="B571" i="178"/>
  <c r="AO565" i="178"/>
  <c r="AN565" i="178"/>
  <c r="AM565" i="178"/>
  <c r="AL565" i="178"/>
  <c r="AK565" i="178"/>
  <c r="AJ565" i="178"/>
  <c r="AI565" i="178"/>
  <c r="AH565" i="178"/>
  <c r="AG565" i="178"/>
  <c r="AF565" i="178"/>
  <c r="AE565" i="178"/>
  <c r="AD565" i="178"/>
  <c r="W565" i="178"/>
  <c r="T565" i="178"/>
  <c r="V565" i="178" s="1"/>
  <c r="Q565" i="178"/>
  <c r="B565" i="178"/>
  <c r="AO550" i="178"/>
  <c r="AN550" i="178"/>
  <c r="AM550" i="178"/>
  <c r="AL550" i="178"/>
  <c r="AK550" i="178"/>
  <c r="AJ550" i="178"/>
  <c r="AI550" i="178"/>
  <c r="AH550" i="178"/>
  <c r="AG550" i="178"/>
  <c r="AF550" i="178"/>
  <c r="AE550" i="178"/>
  <c r="AD550" i="178"/>
  <c r="W550" i="178"/>
  <c r="T550" i="178"/>
  <c r="V550" i="178" s="1"/>
  <c r="Q550" i="178"/>
  <c r="B550" i="178"/>
  <c r="AO555" i="178"/>
  <c r="AN555" i="178"/>
  <c r="AM555" i="178"/>
  <c r="AL555" i="178"/>
  <c r="AK555" i="178"/>
  <c r="AJ555" i="178"/>
  <c r="AI555" i="178"/>
  <c r="AH555" i="178"/>
  <c r="AG555" i="178"/>
  <c r="AF555" i="178"/>
  <c r="AE555" i="178"/>
  <c r="AD555" i="178"/>
  <c r="W555" i="178"/>
  <c r="T555" i="178"/>
  <c r="V555" i="178" s="1"/>
  <c r="Q555" i="178"/>
  <c r="B555" i="178"/>
  <c r="AO549" i="178"/>
  <c r="AN549" i="178"/>
  <c r="AM549" i="178"/>
  <c r="AL549" i="178"/>
  <c r="AK549" i="178"/>
  <c r="AJ549" i="178"/>
  <c r="AI549" i="178"/>
  <c r="AH549" i="178"/>
  <c r="AG549" i="178"/>
  <c r="AF549" i="178"/>
  <c r="AE549" i="178"/>
  <c r="AD549" i="178"/>
  <c r="W549" i="178"/>
  <c r="T549" i="178"/>
  <c r="V549" i="178" s="1"/>
  <c r="Q549" i="178"/>
  <c r="B549" i="178"/>
  <c r="AO544" i="178"/>
  <c r="AN544" i="178"/>
  <c r="AM544" i="178"/>
  <c r="AL544" i="178"/>
  <c r="AK544" i="178"/>
  <c r="AJ544" i="178"/>
  <c r="AI544" i="178"/>
  <c r="AH544" i="178"/>
  <c r="AG544" i="178"/>
  <c r="AF544" i="178"/>
  <c r="AE544" i="178"/>
  <c r="AD544" i="178"/>
  <c r="W544" i="178"/>
  <c r="T544" i="178"/>
  <c r="V544" i="178" s="1"/>
  <c r="Q544" i="178"/>
  <c r="B544" i="178"/>
  <c r="AO543" i="178"/>
  <c r="AN543" i="178"/>
  <c r="AM543" i="178"/>
  <c r="AL543" i="178"/>
  <c r="AK543" i="178"/>
  <c r="AJ543" i="178"/>
  <c r="AI543" i="178"/>
  <c r="AH543" i="178"/>
  <c r="AG543" i="178"/>
  <c r="AF543" i="178"/>
  <c r="AE543" i="178"/>
  <c r="AD543" i="178"/>
  <c r="W543" i="178"/>
  <c r="T543" i="178"/>
  <c r="V543" i="178" s="1"/>
  <c r="Q543" i="178"/>
  <c r="B543" i="178"/>
  <c r="AO542" i="178"/>
  <c r="AN542" i="178"/>
  <c r="AM542" i="178"/>
  <c r="AL542" i="178"/>
  <c r="AK542" i="178"/>
  <c r="AJ542" i="178"/>
  <c r="AI542" i="178"/>
  <c r="AH542" i="178"/>
  <c r="AG542" i="178"/>
  <c r="AF542" i="178"/>
  <c r="AE542" i="178"/>
  <c r="AD542" i="178"/>
  <c r="W542" i="178"/>
  <c r="T542" i="178"/>
  <c r="V542" i="178" s="1"/>
  <c r="Q542" i="178"/>
  <c r="B542" i="178"/>
  <c r="AO541" i="178"/>
  <c r="AN541" i="178"/>
  <c r="AM541" i="178"/>
  <c r="AL541" i="178"/>
  <c r="AK541" i="178"/>
  <c r="AJ541" i="178"/>
  <c r="AI541" i="178"/>
  <c r="AH541" i="178"/>
  <c r="AG541" i="178"/>
  <c r="AF541" i="178"/>
  <c r="AE541" i="178"/>
  <c r="AD541" i="178"/>
  <c r="W541" i="178"/>
  <c r="T541" i="178"/>
  <c r="V541" i="178" s="1"/>
  <c r="Q541" i="178"/>
  <c r="B541" i="178"/>
  <c r="AO539" i="178"/>
  <c r="AN539" i="178"/>
  <c r="AM539" i="178"/>
  <c r="AL539" i="178"/>
  <c r="AK539" i="178"/>
  <c r="AJ539" i="178"/>
  <c r="AI539" i="178"/>
  <c r="AH539" i="178"/>
  <c r="AG539" i="178"/>
  <c r="AF539" i="178"/>
  <c r="AE539" i="178"/>
  <c r="AD539" i="178"/>
  <c r="W539" i="178"/>
  <c r="T539" i="178"/>
  <c r="U539" i="178" s="1"/>
  <c r="Q539" i="178"/>
  <c r="B539" i="178"/>
  <c r="AO537" i="178"/>
  <c r="AN537" i="178"/>
  <c r="AM537" i="178"/>
  <c r="AL537" i="178"/>
  <c r="AK537" i="178"/>
  <c r="AJ537" i="178"/>
  <c r="AI537" i="178"/>
  <c r="AH537" i="178"/>
  <c r="AG537" i="178"/>
  <c r="AF537" i="178"/>
  <c r="AE537" i="178"/>
  <c r="AD537" i="178"/>
  <c r="W537" i="178"/>
  <c r="T537" i="178"/>
  <c r="V537" i="178" s="1"/>
  <c r="Q537" i="178"/>
  <c r="B537" i="178"/>
  <c r="AO525" i="178"/>
  <c r="AN525" i="178"/>
  <c r="AM525" i="178"/>
  <c r="AL525" i="178"/>
  <c r="AK525" i="178"/>
  <c r="AJ525" i="178"/>
  <c r="AI525" i="178"/>
  <c r="AH525" i="178"/>
  <c r="AG525" i="178"/>
  <c r="AF525" i="178"/>
  <c r="AE525" i="178"/>
  <c r="AD525" i="178"/>
  <c r="W525" i="178"/>
  <c r="T525" i="178"/>
  <c r="V525" i="178" s="1"/>
  <c r="Q525" i="178"/>
  <c r="B525" i="178"/>
  <c r="AO524" i="178"/>
  <c r="AN524" i="178"/>
  <c r="AM524" i="178"/>
  <c r="AL524" i="178"/>
  <c r="AK524" i="178"/>
  <c r="AJ524" i="178"/>
  <c r="AI524" i="178"/>
  <c r="AH524" i="178"/>
  <c r="AG524" i="178"/>
  <c r="AF524" i="178"/>
  <c r="AE524" i="178"/>
  <c r="AD524" i="178"/>
  <c r="W524" i="178"/>
  <c r="T524" i="178"/>
  <c r="V524" i="178" s="1"/>
  <c r="Q524" i="178"/>
  <c r="B524" i="178"/>
  <c r="AO523" i="178"/>
  <c r="AN523" i="178"/>
  <c r="AM523" i="178"/>
  <c r="AL523" i="178"/>
  <c r="AK523" i="178"/>
  <c r="AJ523" i="178"/>
  <c r="AI523" i="178"/>
  <c r="AH523" i="178"/>
  <c r="AG523" i="178"/>
  <c r="AF523" i="178"/>
  <c r="AE523" i="178"/>
  <c r="AD523" i="178"/>
  <c r="W523" i="178"/>
  <c r="T523" i="178"/>
  <c r="U523" i="178" s="1"/>
  <c r="Q523" i="178"/>
  <c r="B523" i="178"/>
  <c r="AO522" i="178"/>
  <c r="AN522" i="178"/>
  <c r="AM522" i="178"/>
  <c r="AL522" i="178"/>
  <c r="AK522" i="178"/>
  <c r="AJ522" i="178"/>
  <c r="AI522" i="178"/>
  <c r="AH522" i="178"/>
  <c r="AG522" i="178"/>
  <c r="AF522" i="178"/>
  <c r="AE522" i="178"/>
  <c r="AD522" i="178"/>
  <c r="W522" i="178"/>
  <c r="T522" i="178"/>
  <c r="V522" i="178" s="1"/>
  <c r="Q522" i="178"/>
  <c r="B522" i="178"/>
  <c r="AO521" i="178"/>
  <c r="AN521" i="178"/>
  <c r="AM521" i="178"/>
  <c r="AL521" i="178"/>
  <c r="AK521" i="178"/>
  <c r="AJ521" i="178"/>
  <c r="AI521" i="178"/>
  <c r="AH521" i="178"/>
  <c r="AG521" i="178"/>
  <c r="AF521" i="178"/>
  <c r="AE521" i="178"/>
  <c r="AD521" i="178"/>
  <c r="W521" i="178"/>
  <c r="T521" i="178"/>
  <c r="V521" i="178" s="1"/>
  <c r="Q521" i="178"/>
  <c r="B521" i="178"/>
  <c r="AO518" i="178"/>
  <c r="AN518" i="178"/>
  <c r="AM518" i="178"/>
  <c r="AL518" i="178"/>
  <c r="AK518" i="178"/>
  <c r="AJ518" i="178"/>
  <c r="AI518" i="178"/>
  <c r="AH518" i="178"/>
  <c r="AG518" i="178"/>
  <c r="AF518" i="178"/>
  <c r="AE518" i="178"/>
  <c r="AD518" i="178"/>
  <c r="W518" i="178"/>
  <c r="T518" i="178"/>
  <c r="V518" i="178" s="1"/>
  <c r="Q518" i="178"/>
  <c r="B518" i="178"/>
  <c r="AO517" i="178"/>
  <c r="AN517" i="178"/>
  <c r="AM517" i="178"/>
  <c r="AL517" i="178"/>
  <c r="AK517" i="178"/>
  <c r="AJ517" i="178"/>
  <c r="AI517" i="178"/>
  <c r="AH517" i="178"/>
  <c r="AG517" i="178"/>
  <c r="AF517" i="178"/>
  <c r="AE517" i="178"/>
  <c r="AD517" i="178"/>
  <c r="W517" i="178"/>
  <c r="T517" i="178"/>
  <c r="V517" i="178" s="1"/>
  <c r="Q517" i="178"/>
  <c r="B517" i="178"/>
  <c r="AO516" i="178"/>
  <c r="AN516" i="178"/>
  <c r="AM516" i="178"/>
  <c r="AL516" i="178"/>
  <c r="AK516" i="178"/>
  <c r="AJ516" i="178"/>
  <c r="AI516" i="178"/>
  <c r="AH516" i="178"/>
  <c r="AG516" i="178"/>
  <c r="AF516" i="178"/>
  <c r="AE516" i="178"/>
  <c r="AD516" i="178"/>
  <c r="W516" i="178"/>
  <c r="T516" i="178"/>
  <c r="V516" i="178" s="1"/>
  <c r="Q516" i="178"/>
  <c r="B516" i="178"/>
  <c r="AO515" i="178"/>
  <c r="AN515" i="178"/>
  <c r="AM515" i="178"/>
  <c r="AL515" i="178"/>
  <c r="AK515" i="178"/>
  <c r="AJ515" i="178"/>
  <c r="AI515" i="178"/>
  <c r="AH515" i="178"/>
  <c r="AG515" i="178"/>
  <c r="AF515" i="178"/>
  <c r="AE515" i="178"/>
  <c r="AD515" i="178"/>
  <c r="W515" i="178"/>
  <c r="T515" i="178"/>
  <c r="V515" i="178" s="1"/>
  <c r="Q515" i="178"/>
  <c r="B515" i="178"/>
  <c r="AO513" i="178"/>
  <c r="AN513" i="178"/>
  <c r="AM513" i="178"/>
  <c r="AL513" i="178"/>
  <c r="AK513" i="178"/>
  <c r="AJ513" i="178"/>
  <c r="AI513" i="178"/>
  <c r="AH513" i="178"/>
  <c r="AG513" i="178"/>
  <c r="AF513" i="178"/>
  <c r="AE513" i="178"/>
  <c r="AD513" i="178"/>
  <c r="W513" i="178"/>
  <c r="T513" i="178"/>
  <c r="V513" i="178" s="1"/>
  <c r="Q513" i="178"/>
  <c r="B513" i="178"/>
  <c r="AO507" i="178"/>
  <c r="AN507" i="178"/>
  <c r="AM507" i="178"/>
  <c r="AL507" i="178"/>
  <c r="AK507" i="178"/>
  <c r="AJ507" i="178"/>
  <c r="AI507" i="178"/>
  <c r="AH507" i="178"/>
  <c r="AG507" i="178"/>
  <c r="AF507" i="178"/>
  <c r="AE507" i="178"/>
  <c r="AD507" i="178"/>
  <c r="W507" i="178"/>
  <c r="T507" i="178"/>
  <c r="V507" i="178" s="1"/>
  <c r="Q507" i="178"/>
  <c r="B507" i="178"/>
  <c r="AO502" i="178"/>
  <c r="AN502" i="178"/>
  <c r="AM502" i="178"/>
  <c r="AL502" i="178"/>
  <c r="AK502" i="178"/>
  <c r="AJ502" i="178"/>
  <c r="AI502" i="178"/>
  <c r="AH502" i="178"/>
  <c r="AG502" i="178"/>
  <c r="AF502" i="178"/>
  <c r="AE502" i="178"/>
  <c r="AD502" i="178"/>
  <c r="W502" i="178"/>
  <c r="T502" i="178"/>
  <c r="V502" i="178" s="1"/>
  <c r="Q502" i="178"/>
  <c r="B502" i="178"/>
  <c r="AO499" i="178"/>
  <c r="AN499" i="178"/>
  <c r="AM499" i="178"/>
  <c r="AL499" i="178"/>
  <c r="AK499" i="178"/>
  <c r="AJ499" i="178"/>
  <c r="AI499" i="178"/>
  <c r="AH499" i="178"/>
  <c r="AG499" i="178"/>
  <c r="AF499" i="178"/>
  <c r="AE499" i="178"/>
  <c r="AD499" i="178"/>
  <c r="W499" i="178"/>
  <c r="T499" i="178"/>
  <c r="V499" i="178" s="1"/>
  <c r="Q499" i="178"/>
  <c r="B499" i="178"/>
  <c r="AO498" i="178"/>
  <c r="AN498" i="178"/>
  <c r="AM498" i="178"/>
  <c r="AL498" i="178"/>
  <c r="AK498" i="178"/>
  <c r="AJ498" i="178"/>
  <c r="AI498" i="178"/>
  <c r="AH498" i="178"/>
  <c r="AG498" i="178"/>
  <c r="AF498" i="178"/>
  <c r="AE498" i="178"/>
  <c r="AD498" i="178"/>
  <c r="W498" i="178"/>
  <c r="T498" i="178"/>
  <c r="V498" i="178" s="1"/>
  <c r="Q498" i="178"/>
  <c r="B498" i="178"/>
  <c r="AO497" i="178"/>
  <c r="AN497" i="178"/>
  <c r="AM497" i="178"/>
  <c r="AL497" i="178"/>
  <c r="AK497" i="178"/>
  <c r="AJ497" i="178"/>
  <c r="AI497" i="178"/>
  <c r="AH497" i="178"/>
  <c r="AG497" i="178"/>
  <c r="AF497" i="178"/>
  <c r="AE497" i="178"/>
  <c r="AD497" i="178"/>
  <c r="W497" i="178"/>
  <c r="T497" i="178"/>
  <c r="V497" i="178" s="1"/>
  <c r="Q497" i="178"/>
  <c r="B497" i="178"/>
  <c r="AO496" i="178"/>
  <c r="AN496" i="178"/>
  <c r="AM496" i="178"/>
  <c r="AL496" i="178"/>
  <c r="AK496" i="178"/>
  <c r="AJ496" i="178"/>
  <c r="AI496" i="178"/>
  <c r="AH496" i="178"/>
  <c r="AG496" i="178"/>
  <c r="AF496" i="178"/>
  <c r="AE496" i="178"/>
  <c r="AD496" i="178"/>
  <c r="W496" i="178"/>
  <c r="T496" i="178"/>
  <c r="V496" i="178" s="1"/>
  <c r="Q496" i="178"/>
  <c r="B496" i="178"/>
  <c r="AO477" i="178"/>
  <c r="AN477" i="178"/>
  <c r="AM477" i="178"/>
  <c r="AL477" i="178"/>
  <c r="AK477" i="178"/>
  <c r="AJ477" i="178"/>
  <c r="AI477" i="178"/>
  <c r="AH477" i="178"/>
  <c r="AG477" i="178"/>
  <c r="AF477" i="178"/>
  <c r="AE477" i="178"/>
  <c r="AD477" i="178"/>
  <c r="W477" i="178"/>
  <c r="T477" i="178"/>
  <c r="U477" i="178" s="1"/>
  <c r="Q477" i="178"/>
  <c r="B477" i="178"/>
  <c r="AO468" i="178"/>
  <c r="AN468" i="178"/>
  <c r="AM468" i="178"/>
  <c r="AL468" i="178"/>
  <c r="AK468" i="178"/>
  <c r="AJ468" i="178"/>
  <c r="AI468" i="178"/>
  <c r="AH468" i="178"/>
  <c r="AG468" i="178"/>
  <c r="AF468" i="178"/>
  <c r="AE468" i="178"/>
  <c r="AD468" i="178"/>
  <c r="W468" i="178"/>
  <c r="T468" i="178"/>
  <c r="U468" i="178" s="1"/>
  <c r="Q468" i="178"/>
  <c r="B468" i="178"/>
  <c r="AO464" i="178"/>
  <c r="AN464" i="178"/>
  <c r="AM464" i="178"/>
  <c r="AL464" i="178"/>
  <c r="AK464" i="178"/>
  <c r="AJ464" i="178"/>
  <c r="AI464" i="178"/>
  <c r="AH464" i="178"/>
  <c r="AG464" i="178"/>
  <c r="AF464" i="178"/>
  <c r="AE464" i="178"/>
  <c r="AD464" i="178"/>
  <c r="W464" i="178"/>
  <c r="T464" i="178"/>
  <c r="V464" i="178" s="1"/>
  <c r="Q464" i="178"/>
  <c r="B464" i="178"/>
  <c r="AO460" i="178"/>
  <c r="AN460" i="178"/>
  <c r="AM460" i="178"/>
  <c r="AL460" i="178"/>
  <c r="AK460" i="178"/>
  <c r="AJ460" i="178"/>
  <c r="AI460" i="178"/>
  <c r="AH460" i="178"/>
  <c r="AG460" i="178"/>
  <c r="AF460" i="178"/>
  <c r="AE460" i="178"/>
  <c r="AD460" i="178"/>
  <c r="W460" i="178"/>
  <c r="T460" i="178"/>
  <c r="U460" i="178" s="1"/>
  <c r="Q460" i="178"/>
  <c r="B460" i="178"/>
  <c r="AO457" i="178"/>
  <c r="AN457" i="178"/>
  <c r="AM457" i="178"/>
  <c r="AL457" i="178"/>
  <c r="AK457" i="178"/>
  <c r="AJ457" i="178"/>
  <c r="AI457" i="178"/>
  <c r="AH457" i="178"/>
  <c r="AG457" i="178"/>
  <c r="AF457" i="178"/>
  <c r="AE457" i="178"/>
  <c r="AD457" i="178"/>
  <c r="W457" i="178"/>
  <c r="T457" i="178"/>
  <c r="V457" i="178" s="1"/>
  <c r="Q457" i="178"/>
  <c r="B457" i="178"/>
  <c r="AO454" i="178"/>
  <c r="AN454" i="178"/>
  <c r="AM454" i="178"/>
  <c r="AL454" i="178"/>
  <c r="AK454" i="178"/>
  <c r="AJ454" i="178"/>
  <c r="AI454" i="178"/>
  <c r="AH454" i="178"/>
  <c r="AG454" i="178"/>
  <c r="AF454" i="178"/>
  <c r="AE454" i="178"/>
  <c r="AD454" i="178"/>
  <c r="W454" i="178"/>
  <c r="T454" i="178"/>
  <c r="U454" i="178" s="1"/>
  <c r="Q454" i="178"/>
  <c r="B454" i="178"/>
  <c r="AO450" i="178"/>
  <c r="AN450" i="178"/>
  <c r="AM450" i="178"/>
  <c r="AL450" i="178"/>
  <c r="AK450" i="178"/>
  <c r="AJ450" i="178"/>
  <c r="AI450" i="178"/>
  <c r="AH450" i="178"/>
  <c r="AG450" i="178"/>
  <c r="AF450" i="178"/>
  <c r="AE450" i="178"/>
  <c r="AD450" i="178"/>
  <c r="W450" i="178"/>
  <c r="T450" i="178"/>
  <c r="V450" i="178" s="1"/>
  <c r="Q450" i="178"/>
  <c r="B450" i="178"/>
  <c r="AO447" i="178"/>
  <c r="AN447" i="178"/>
  <c r="AM447" i="178"/>
  <c r="AL447" i="178"/>
  <c r="AK447" i="178"/>
  <c r="AJ447" i="178"/>
  <c r="AI447" i="178"/>
  <c r="AH447" i="178"/>
  <c r="AG447" i="178"/>
  <c r="AF447" i="178"/>
  <c r="AE447" i="178"/>
  <c r="AD447" i="178"/>
  <c r="W447" i="178"/>
  <c r="T447" i="178"/>
  <c r="V447" i="178" s="1"/>
  <c r="Q447" i="178"/>
  <c r="B447" i="178"/>
  <c r="AO444" i="178"/>
  <c r="AN444" i="178"/>
  <c r="AM444" i="178"/>
  <c r="AL444" i="178"/>
  <c r="AK444" i="178"/>
  <c r="AJ444" i="178"/>
  <c r="AI444" i="178"/>
  <c r="AH444" i="178"/>
  <c r="AG444" i="178"/>
  <c r="AF444" i="178"/>
  <c r="AE444" i="178"/>
  <c r="AD444" i="178"/>
  <c r="W444" i="178"/>
  <c r="T444" i="178"/>
  <c r="V444" i="178" s="1"/>
  <c r="Q444" i="178"/>
  <c r="B444" i="178"/>
  <c r="AO441" i="178"/>
  <c r="AN441" i="178"/>
  <c r="AM441" i="178"/>
  <c r="AL441" i="178"/>
  <c r="AK441" i="178"/>
  <c r="AJ441" i="178"/>
  <c r="AI441" i="178"/>
  <c r="AH441" i="178"/>
  <c r="AG441" i="178"/>
  <c r="AF441" i="178"/>
  <c r="AE441" i="178"/>
  <c r="AD441" i="178"/>
  <c r="W441" i="178"/>
  <c r="T441" i="178"/>
  <c r="V441" i="178" s="1"/>
  <c r="Q441" i="178"/>
  <c r="B441" i="178"/>
  <c r="AO435" i="178"/>
  <c r="AN435" i="178"/>
  <c r="AM435" i="178"/>
  <c r="AL435" i="178"/>
  <c r="AK435" i="178"/>
  <c r="AJ435" i="178"/>
  <c r="AI435" i="178"/>
  <c r="AH435" i="178"/>
  <c r="AG435" i="178"/>
  <c r="AF435" i="178"/>
  <c r="AE435" i="178"/>
  <c r="AD435" i="178"/>
  <c r="W435" i="178"/>
  <c r="T435" i="178"/>
  <c r="U435" i="178" s="1"/>
  <c r="Q435" i="178"/>
  <c r="B435" i="178"/>
  <c r="Q418" i="178"/>
  <c r="B418" i="178"/>
  <c r="Q488" i="178"/>
  <c r="B488" i="178"/>
  <c r="Q45" i="178"/>
  <c r="B45" i="178"/>
  <c r="B227" i="178"/>
  <c r="Q393" i="178"/>
  <c r="B393" i="178"/>
  <c r="Q354" i="178"/>
  <c r="B354" i="178"/>
  <c r="Q36" i="178"/>
  <c r="B36" i="178"/>
  <c r="B225" i="178"/>
  <c r="AO711" i="178"/>
  <c r="AN711" i="178"/>
  <c r="AM711" i="178"/>
  <c r="AL711" i="178"/>
  <c r="AK711" i="178"/>
  <c r="AJ711" i="178"/>
  <c r="AI711" i="178"/>
  <c r="AH711" i="178"/>
  <c r="AG711" i="178"/>
  <c r="AF711" i="178"/>
  <c r="AE711" i="178"/>
  <c r="AD711" i="178"/>
  <c r="W711" i="178"/>
  <c r="T711" i="178"/>
  <c r="V711" i="178" s="1"/>
  <c r="Q711" i="178"/>
  <c r="B711" i="178"/>
  <c r="AO705" i="178"/>
  <c r="AN705" i="178"/>
  <c r="AM705" i="178"/>
  <c r="AL705" i="178"/>
  <c r="AK705" i="178"/>
  <c r="AJ705" i="178"/>
  <c r="AI705" i="178"/>
  <c r="AH705" i="178"/>
  <c r="AG705" i="178"/>
  <c r="AF705" i="178"/>
  <c r="AE705" i="178"/>
  <c r="AD705" i="178"/>
  <c r="W705" i="178"/>
  <c r="T705" i="178"/>
  <c r="U705" i="178" s="1"/>
  <c r="Q705" i="178"/>
  <c r="B705" i="178"/>
  <c r="AO794" i="178"/>
  <c r="AN794" i="178"/>
  <c r="AM794" i="178"/>
  <c r="AL794" i="178"/>
  <c r="AK794" i="178"/>
  <c r="AJ794" i="178"/>
  <c r="AI794" i="178"/>
  <c r="AH794" i="178"/>
  <c r="AG794" i="178"/>
  <c r="AF794" i="178"/>
  <c r="AE794" i="178"/>
  <c r="AD794" i="178"/>
  <c r="W794" i="178"/>
  <c r="T794" i="178"/>
  <c r="V794" i="178" s="1"/>
  <c r="Q794" i="178"/>
  <c r="B794" i="178"/>
  <c r="AO793" i="178"/>
  <c r="AN793" i="178"/>
  <c r="AM793" i="178"/>
  <c r="AL793" i="178"/>
  <c r="AK793" i="178"/>
  <c r="AJ793" i="178"/>
  <c r="AI793" i="178"/>
  <c r="AH793" i="178"/>
  <c r="AG793" i="178"/>
  <c r="AF793" i="178"/>
  <c r="AE793" i="178"/>
  <c r="AD793" i="178"/>
  <c r="W793" i="178"/>
  <c r="T793" i="178"/>
  <c r="U793" i="178" s="1"/>
  <c r="Q793" i="178"/>
  <c r="B793" i="178"/>
  <c r="AO704" i="178"/>
  <c r="AN704" i="178"/>
  <c r="AM704" i="178"/>
  <c r="AL704" i="178"/>
  <c r="AK704" i="178"/>
  <c r="AJ704" i="178"/>
  <c r="AI704" i="178"/>
  <c r="AH704" i="178"/>
  <c r="AG704" i="178"/>
  <c r="AF704" i="178"/>
  <c r="AE704" i="178"/>
  <c r="AD704" i="178"/>
  <c r="W704" i="178"/>
  <c r="T704" i="178"/>
  <c r="U704" i="178" s="1"/>
  <c r="Q704" i="178"/>
  <c r="B704" i="178"/>
  <c r="AO703" i="178"/>
  <c r="AN703" i="178"/>
  <c r="AM703" i="178"/>
  <c r="AL703" i="178"/>
  <c r="AK703" i="178"/>
  <c r="AJ703" i="178"/>
  <c r="AI703" i="178"/>
  <c r="AH703" i="178"/>
  <c r="AG703" i="178"/>
  <c r="AF703" i="178"/>
  <c r="AE703" i="178"/>
  <c r="AD703" i="178"/>
  <c r="W703" i="178"/>
  <c r="T703" i="178"/>
  <c r="U703" i="178" s="1"/>
  <c r="Q703" i="178"/>
  <c r="B703" i="178"/>
  <c r="AO717" i="178"/>
  <c r="AN717" i="178"/>
  <c r="AM717" i="178"/>
  <c r="AL717" i="178"/>
  <c r="AK717" i="178"/>
  <c r="AJ717" i="178"/>
  <c r="AI717" i="178"/>
  <c r="AH717" i="178"/>
  <c r="AG717" i="178"/>
  <c r="AF717" i="178"/>
  <c r="AE717" i="178"/>
  <c r="AD717" i="178"/>
  <c r="W717" i="178"/>
  <c r="T717" i="178"/>
  <c r="U717" i="178" s="1"/>
  <c r="Q717" i="178"/>
  <c r="B717" i="178"/>
  <c r="AO716" i="178"/>
  <c r="AN716" i="178"/>
  <c r="AM716" i="178"/>
  <c r="AL716" i="178"/>
  <c r="AK716" i="178"/>
  <c r="AJ716" i="178"/>
  <c r="AI716" i="178"/>
  <c r="AH716" i="178"/>
  <c r="AG716" i="178"/>
  <c r="AF716" i="178"/>
  <c r="AE716" i="178"/>
  <c r="AD716" i="178"/>
  <c r="W716" i="178"/>
  <c r="T716" i="178"/>
  <c r="U716" i="178" s="1"/>
  <c r="Q716" i="178"/>
  <c r="B716" i="178"/>
  <c r="AO351" i="178"/>
  <c r="AN351" i="178"/>
  <c r="AM351" i="178"/>
  <c r="AL351" i="178"/>
  <c r="AK351" i="178"/>
  <c r="AJ351" i="178"/>
  <c r="AI351" i="178"/>
  <c r="AH351" i="178"/>
  <c r="AG351" i="178"/>
  <c r="AF351" i="178"/>
  <c r="AE351" i="178"/>
  <c r="AD351" i="178"/>
  <c r="W351" i="178"/>
  <c r="T351" i="178"/>
  <c r="U351" i="178" s="1"/>
  <c r="Q351" i="178"/>
  <c r="S351" i="178" s="1"/>
  <c r="B351" i="178"/>
  <c r="AO350" i="178"/>
  <c r="AN350" i="178"/>
  <c r="AM350" i="178"/>
  <c r="AL350" i="178"/>
  <c r="AK350" i="178"/>
  <c r="AJ350" i="178"/>
  <c r="AI350" i="178"/>
  <c r="AH350" i="178"/>
  <c r="AG350" i="178"/>
  <c r="AF350" i="178"/>
  <c r="AE350" i="178"/>
  <c r="AD350" i="178"/>
  <c r="W350" i="178"/>
  <c r="T350" i="178"/>
  <c r="U350" i="178" s="1"/>
  <c r="Q350" i="178"/>
  <c r="S350" i="178" s="1"/>
  <c r="B350" i="178"/>
  <c r="AO349" i="178"/>
  <c r="AN349" i="178"/>
  <c r="AM349" i="178"/>
  <c r="AL349" i="178"/>
  <c r="AK349" i="178"/>
  <c r="AJ349" i="178"/>
  <c r="AI349" i="178"/>
  <c r="AH349" i="178"/>
  <c r="AG349" i="178"/>
  <c r="AF349" i="178"/>
  <c r="AE349" i="178"/>
  <c r="AD349" i="178"/>
  <c r="W349" i="178"/>
  <c r="T349" i="178"/>
  <c r="U349" i="178" s="1"/>
  <c r="Q349" i="178"/>
  <c r="B349" i="178"/>
  <c r="AO348" i="178"/>
  <c r="AN348" i="178"/>
  <c r="AM348" i="178"/>
  <c r="AL348" i="178"/>
  <c r="AK348" i="178"/>
  <c r="AJ348" i="178"/>
  <c r="AI348" i="178"/>
  <c r="AH348" i="178"/>
  <c r="AG348" i="178"/>
  <c r="AF348" i="178"/>
  <c r="AE348" i="178"/>
  <c r="AD348" i="178"/>
  <c r="W348" i="178"/>
  <c r="T348" i="178"/>
  <c r="U348" i="178" s="1"/>
  <c r="Q348" i="178"/>
  <c r="B348" i="178"/>
  <c r="AO344" i="178"/>
  <c r="AN344" i="178"/>
  <c r="AM344" i="178"/>
  <c r="AL344" i="178"/>
  <c r="AK344" i="178"/>
  <c r="AJ344" i="178"/>
  <c r="AI344" i="178"/>
  <c r="AH344" i="178"/>
  <c r="AG344" i="178"/>
  <c r="AF344" i="178"/>
  <c r="AE344" i="178"/>
  <c r="AD344" i="178"/>
  <c r="W344" i="178"/>
  <c r="T344" i="178"/>
  <c r="U344" i="178" s="1"/>
  <c r="Q344" i="178"/>
  <c r="S344" i="178" s="1"/>
  <c r="B344" i="178"/>
  <c r="AO342" i="178"/>
  <c r="AN342" i="178"/>
  <c r="AM342" i="178"/>
  <c r="AL342" i="178"/>
  <c r="AK342" i="178"/>
  <c r="AJ342" i="178"/>
  <c r="AI342" i="178"/>
  <c r="AH342" i="178"/>
  <c r="AG342" i="178"/>
  <c r="AF342" i="178"/>
  <c r="AE342" i="178"/>
  <c r="AD342" i="178"/>
  <c r="W342" i="178"/>
  <c r="T342" i="178"/>
  <c r="V342" i="178" s="1"/>
  <c r="Q342" i="178"/>
  <c r="S342" i="178" s="1"/>
  <c r="B342" i="178"/>
  <c r="AO341" i="178"/>
  <c r="AN341" i="178"/>
  <c r="AM341" i="178"/>
  <c r="AL341" i="178"/>
  <c r="AK341" i="178"/>
  <c r="AJ341" i="178"/>
  <c r="AI341" i="178"/>
  <c r="AH341" i="178"/>
  <c r="AG341" i="178"/>
  <c r="AF341" i="178"/>
  <c r="AE341" i="178"/>
  <c r="AD341" i="178"/>
  <c r="W341" i="178"/>
  <c r="T341" i="178"/>
  <c r="V341" i="178" s="1"/>
  <c r="Q341" i="178"/>
  <c r="S341" i="178" s="1"/>
  <c r="B341" i="178"/>
  <c r="AO340" i="178"/>
  <c r="AN340" i="178"/>
  <c r="AM340" i="178"/>
  <c r="AL340" i="178"/>
  <c r="AK340" i="178"/>
  <c r="AJ340" i="178"/>
  <c r="AI340" i="178"/>
  <c r="AH340" i="178"/>
  <c r="AG340" i="178"/>
  <c r="AF340" i="178"/>
  <c r="AE340" i="178"/>
  <c r="AD340" i="178"/>
  <c r="W340" i="178"/>
  <c r="T340" i="178"/>
  <c r="V340" i="178" s="1"/>
  <c r="Q340" i="178"/>
  <c r="S340" i="178" s="1"/>
  <c r="B340" i="178"/>
  <c r="AO339" i="178"/>
  <c r="AN339" i="178"/>
  <c r="AM339" i="178"/>
  <c r="AL339" i="178"/>
  <c r="AK339" i="178"/>
  <c r="AJ339" i="178"/>
  <c r="AI339" i="178"/>
  <c r="AH339" i="178"/>
  <c r="AG339" i="178"/>
  <c r="AF339" i="178"/>
  <c r="AE339" i="178"/>
  <c r="AD339" i="178"/>
  <c r="W339" i="178"/>
  <c r="T339" i="178"/>
  <c r="V339" i="178" s="1"/>
  <c r="Q339" i="178"/>
  <c r="B339" i="178"/>
  <c r="AO314" i="178"/>
  <c r="AN314" i="178"/>
  <c r="AM314" i="178"/>
  <c r="AL314" i="178"/>
  <c r="AK314" i="178"/>
  <c r="AJ314" i="178"/>
  <c r="AI314" i="178"/>
  <c r="AH314" i="178"/>
  <c r="AG314" i="178"/>
  <c r="AF314" i="178"/>
  <c r="AE314" i="178"/>
  <c r="AD314" i="178"/>
  <c r="W314" i="178"/>
  <c r="T314" i="178"/>
  <c r="Q314" i="178"/>
  <c r="S314" i="178" s="1"/>
  <c r="B314" i="178"/>
  <c r="AO313" i="178"/>
  <c r="AN313" i="178"/>
  <c r="AM313" i="178"/>
  <c r="AL313" i="178"/>
  <c r="AK313" i="178"/>
  <c r="AJ313" i="178"/>
  <c r="AI313" i="178"/>
  <c r="AH313" i="178"/>
  <c r="AG313" i="178"/>
  <c r="AF313" i="178"/>
  <c r="AE313" i="178"/>
  <c r="AD313" i="178"/>
  <c r="W313" i="178"/>
  <c r="T313" i="178"/>
  <c r="Q313" i="178"/>
  <c r="B313" i="178"/>
  <c r="AO307" i="178"/>
  <c r="AN307" i="178"/>
  <c r="AM307" i="178"/>
  <c r="AL307" i="178"/>
  <c r="AK307" i="178"/>
  <c r="AJ307" i="178"/>
  <c r="AI307" i="178"/>
  <c r="AH307" i="178"/>
  <c r="AG307" i="178"/>
  <c r="AF307" i="178"/>
  <c r="AE307" i="178"/>
  <c r="AD307" i="178"/>
  <c r="W307" i="178"/>
  <c r="T307" i="178"/>
  <c r="V307" i="178" s="1"/>
  <c r="Q307" i="178"/>
  <c r="B307" i="178"/>
  <c r="AO302" i="178"/>
  <c r="AN302" i="178"/>
  <c r="AM302" i="178"/>
  <c r="AL302" i="178"/>
  <c r="AK302" i="178"/>
  <c r="AJ302" i="178"/>
  <c r="AI302" i="178"/>
  <c r="AH302" i="178"/>
  <c r="AG302" i="178"/>
  <c r="AF302" i="178"/>
  <c r="AE302" i="178"/>
  <c r="AD302" i="178"/>
  <c r="W302" i="178"/>
  <c r="T302" i="178"/>
  <c r="V302" i="178" s="1"/>
  <c r="Q302" i="178"/>
  <c r="B302" i="178"/>
  <c r="AO296" i="178"/>
  <c r="AN296" i="178"/>
  <c r="AM296" i="178"/>
  <c r="AL296" i="178"/>
  <c r="AK296" i="178"/>
  <c r="AJ296" i="178"/>
  <c r="AI296" i="178"/>
  <c r="AH296" i="178"/>
  <c r="AG296" i="178"/>
  <c r="AF296" i="178"/>
  <c r="AE296" i="178"/>
  <c r="AD296" i="178"/>
  <c r="W296" i="178"/>
  <c r="T296" i="178"/>
  <c r="V296" i="178" s="1"/>
  <c r="Q296" i="178"/>
  <c r="B296" i="178"/>
  <c r="AO294" i="178"/>
  <c r="AN294" i="178"/>
  <c r="AM294" i="178"/>
  <c r="AL294" i="178"/>
  <c r="AK294" i="178"/>
  <c r="AJ294" i="178"/>
  <c r="AI294" i="178"/>
  <c r="AH294" i="178"/>
  <c r="AG294" i="178"/>
  <c r="AF294" i="178"/>
  <c r="AE294" i="178"/>
  <c r="AD294" i="178"/>
  <c r="W294" i="178"/>
  <c r="T294" i="178"/>
  <c r="V294" i="178" s="1"/>
  <c r="Q294" i="178"/>
  <c r="B294" i="178"/>
  <c r="AO291" i="178"/>
  <c r="AN291" i="178"/>
  <c r="AM291" i="178"/>
  <c r="AL291" i="178"/>
  <c r="AK291" i="178"/>
  <c r="AJ291" i="178"/>
  <c r="AI291" i="178"/>
  <c r="AH291" i="178"/>
  <c r="AG291" i="178"/>
  <c r="AF291" i="178"/>
  <c r="AE291" i="178"/>
  <c r="AD291" i="178"/>
  <c r="W291" i="178"/>
  <c r="T291" i="178"/>
  <c r="V291" i="178" s="1"/>
  <c r="Q291" i="178"/>
  <c r="B291" i="178"/>
  <c r="AO238" i="178"/>
  <c r="AN238" i="178"/>
  <c r="AM238" i="178"/>
  <c r="AL238" i="178"/>
  <c r="AK238" i="178"/>
  <c r="AJ238" i="178"/>
  <c r="AI238" i="178"/>
  <c r="AH238" i="178"/>
  <c r="AG238" i="178"/>
  <c r="AF238" i="178"/>
  <c r="AE238" i="178"/>
  <c r="AD238" i="178"/>
  <c r="W238" i="178"/>
  <c r="T238" i="178"/>
  <c r="V238" i="178" s="1"/>
  <c r="Q238" i="178"/>
  <c r="S238" i="178" s="1"/>
  <c r="B238" i="178"/>
  <c r="AO235" i="178"/>
  <c r="AN235" i="178"/>
  <c r="AM235" i="178"/>
  <c r="AL235" i="178"/>
  <c r="AK235" i="178"/>
  <c r="AJ235" i="178"/>
  <c r="AI235" i="178"/>
  <c r="AH235" i="178"/>
  <c r="AG235" i="178"/>
  <c r="AF235" i="178"/>
  <c r="AE235" i="178"/>
  <c r="AD235" i="178"/>
  <c r="W235" i="178"/>
  <c r="T235" i="178"/>
  <c r="V235" i="178" s="1"/>
  <c r="Q235" i="178"/>
  <c r="S235" i="178" s="1"/>
  <c r="B235" i="178"/>
  <c r="AO959" i="178"/>
  <c r="AN959" i="178"/>
  <c r="AM959" i="178"/>
  <c r="AL959" i="178"/>
  <c r="AK959" i="178"/>
  <c r="AJ959" i="178"/>
  <c r="AI959" i="178"/>
  <c r="AH959" i="178"/>
  <c r="AG959" i="178"/>
  <c r="AF959" i="178"/>
  <c r="AE959" i="178"/>
  <c r="AD959" i="178"/>
  <c r="W959" i="178"/>
  <c r="T959" i="178"/>
  <c r="V959" i="178" s="1"/>
  <c r="Q959" i="178"/>
  <c r="S959" i="178" s="1"/>
  <c r="B959" i="178"/>
  <c r="AO1122" i="178"/>
  <c r="AN1122" i="178"/>
  <c r="AM1122" i="178"/>
  <c r="AL1122" i="178"/>
  <c r="AK1122" i="178"/>
  <c r="AJ1122" i="178"/>
  <c r="AI1122" i="178"/>
  <c r="AH1122" i="178"/>
  <c r="AG1122" i="178"/>
  <c r="AF1122" i="178"/>
  <c r="AE1122" i="178"/>
  <c r="AD1122" i="178"/>
  <c r="W1122" i="178"/>
  <c r="T1122" i="178"/>
  <c r="V1122" i="178" s="1"/>
  <c r="Q1122" i="178"/>
  <c r="S1122" i="178" s="1"/>
  <c r="B1122" i="178"/>
  <c r="AO1121" i="178"/>
  <c r="AN1121" i="178"/>
  <c r="AM1121" i="178"/>
  <c r="AL1121" i="178"/>
  <c r="AK1121" i="178"/>
  <c r="AJ1121" i="178"/>
  <c r="AI1121" i="178"/>
  <c r="AH1121" i="178"/>
  <c r="AG1121" i="178"/>
  <c r="AF1121" i="178"/>
  <c r="AE1121" i="178"/>
  <c r="AD1121" i="178"/>
  <c r="W1121" i="178"/>
  <c r="T1121" i="178"/>
  <c r="V1121" i="178" s="1"/>
  <c r="Q1121" i="178"/>
  <c r="S1121" i="178" s="1"/>
  <c r="B1121" i="178"/>
  <c r="AO224" i="178"/>
  <c r="AN224" i="178"/>
  <c r="AM224" i="178"/>
  <c r="AL224" i="178"/>
  <c r="AK224" i="178"/>
  <c r="AJ224" i="178"/>
  <c r="AI224" i="178"/>
  <c r="AH224" i="178"/>
  <c r="AG224" i="178"/>
  <c r="AF224" i="178"/>
  <c r="AE224" i="178"/>
  <c r="AD224" i="178"/>
  <c r="W224" i="178"/>
  <c r="T224" i="178"/>
  <c r="V224" i="178" s="1"/>
  <c r="Q224" i="178"/>
  <c r="S224" i="178" s="1"/>
  <c r="B224" i="178"/>
  <c r="AO223" i="178"/>
  <c r="AN223" i="178"/>
  <c r="AM223" i="178"/>
  <c r="AL223" i="178"/>
  <c r="AK223" i="178"/>
  <c r="AJ223" i="178"/>
  <c r="AI223" i="178"/>
  <c r="AH223" i="178"/>
  <c r="AG223" i="178"/>
  <c r="AF223" i="178"/>
  <c r="AE223" i="178"/>
  <c r="AD223" i="178"/>
  <c r="W223" i="178"/>
  <c r="T223" i="178"/>
  <c r="V223" i="178" s="1"/>
  <c r="Q223" i="178"/>
  <c r="S223" i="178" s="1"/>
  <c r="B223" i="178"/>
  <c r="AO222" i="178"/>
  <c r="AN222" i="178"/>
  <c r="AM222" i="178"/>
  <c r="AL222" i="178"/>
  <c r="AK222" i="178"/>
  <c r="AJ222" i="178"/>
  <c r="AI222" i="178"/>
  <c r="AH222" i="178"/>
  <c r="AG222" i="178"/>
  <c r="AF222" i="178"/>
  <c r="AE222" i="178"/>
  <c r="AD222" i="178"/>
  <c r="W222" i="178"/>
  <c r="T222" i="178"/>
  <c r="V222" i="178" s="1"/>
  <c r="Q222" i="178"/>
  <c r="S222" i="178" s="1"/>
  <c r="B222" i="178"/>
  <c r="AO953" i="178"/>
  <c r="AN953" i="178"/>
  <c r="AM953" i="178"/>
  <c r="AL953" i="178"/>
  <c r="AK953" i="178"/>
  <c r="AJ953" i="178"/>
  <c r="AI953" i="178"/>
  <c r="AH953" i="178"/>
  <c r="AG953" i="178"/>
  <c r="AF953" i="178"/>
  <c r="AE953" i="178"/>
  <c r="AD953" i="178"/>
  <c r="W953" i="178"/>
  <c r="T953" i="178"/>
  <c r="V953" i="178" s="1"/>
  <c r="Q953" i="178"/>
  <c r="S953" i="178" s="1"/>
  <c r="B953" i="178"/>
  <c r="AO221" i="178"/>
  <c r="AN221" i="178"/>
  <c r="AM221" i="178"/>
  <c r="AL221" i="178"/>
  <c r="AK221" i="178"/>
  <c r="AJ221" i="178"/>
  <c r="AI221" i="178"/>
  <c r="AH221" i="178"/>
  <c r="AG221" i="178"/>
  <c r="AF221" i="178"/>
  <c r="AE221" i="178"/>
  <c r="AD221" i="178"/>
  <c r="W221" i="178"/>
  <c r="T221" i="178"/>
  <c r="V221" i="178" s="1"/>
  <c r="Q221" i="178"/>
  <c r="S221" i="178" s="1"/>
  <c r="B221" i="178"/>
  <c r="AO206" i="178"/>
  <c r="AN206" i="178"/>
  <c r="AM206" i="178"/>
  <c r="AL206" i="178"/>
  <c r="AK206" i="178"/>
  <c r="AJ206" i="178"/>
  <c r="AI206" i="178"/>
  <c r="AH206" i="178"/>
  <c r="AG206" i="178"/>
  <c r="AF206" i="178"/>
  <c r="AE206" i="178"/>
  <c r="AD206" i="178"/>
  <c r="W206" i="178"/>
  <c r="T206" i="178"/>
  <c r="V206" i="178" s="1"/>
  <c r="Q206" i="178"/>
  <c r="S206" i="178" s="1"/>
  <c r="B206" i="178"/>
  <c r="AO213" i="178"/>
  <c r="AN213" i="178"/>
  <c r="AM213" i="178"/>
  <c r="AL213" i="178"/>
  <c r="AK213" i="178"/>
  <c r="AJ213" i="178"/>
  <c r="AI213" i="178"/>
  <c r="AH213" i="178"/>
  <c r="AG213" i="178"/>
  <c r="AF213" i="178"/>
  <c r="AE213" i="178"/>
  <c r="AD213" i="178"/>
  <c r="W213" i="178"/>
  <c r="T213" i="178"/>
  <c r="V213" i="178" s="1"/>
  <c r="Q213" i="178"/>
  <c r="S213" i="178" s="1"/>
  <c r="B213" i="178"/>
  <c r="AO216" i="178"/>
  <c r="AN216" i="178"/>
  <c r="AM216" i="178"/>
  <c r="AL216" i="178"/>
  <c r="AK216" i="178"/>
  <c r="AJ216" i="178"/>
  <c r="AI216" i="178"/>
  <c r="AH216" i="178"/>
  <c r="AG216" i="178"/>
  <c r="AF216" i="178"/>
  <c r="AE216" i="178"/>
  <c r="AD216" i="178"/>
  <c r="W216" i="178"/>
  <c r="T216" i="178"/>
  <c r="V216" i="178" s="1"/>
  <c r="Q216" i="178"/>
  <c r="S216" i="178" s="1"/>
  <c r="B216" i="178"/>
  <c r="AO219" i="178"/>
  <c r="AN219" i="178"/>
  <c r="AM219" i="178"/>
  <c r="AL219" i="178"/>
  <c r="AK219" i="178"/>
  <c r="AJ219" i="178"/>
  <c r="AI219" i="178"/>
  <c r="AH219" i="178"/>
  <c r="AG219" i="178"/>
  <c r="AF219" i="178"/>
  <c r="AE219" i="178"/>
  <c r="AD219" i="178"/>
  <c r="W219" i="178"/>
  <c r="T219" i="178"/>
  <c r="V219" i="178" s="1"/>
  <c r="Q219" i="178"/>
  <c r="S219" i="178" s="1"/>
  <c r="B219" i="178"/>
  <c r="AO220" i="178"/>
  <c r="AN220" i="178"/>
  <c r="AM220" i="178"/>
  <c r="AL220" i="178"/>
  <c r="AK220" i="178"/>
  <c r="AJ220" i="178"/>
  <c r="AI220" i="178"/>
  <c r="AH220" i="178"/>
  <c r="AG220" i="178"/>
  <c r="AF220" i="178"/>
  <c r="AE220" i="178"/>
  <c r="AD220" i="178"/>
  <c r="W220" i="178"/>
  <c r="T220" i="178"/>
  <c r="V220" i="178" s="1"/>
  <c r="Q220" i="178"/>
  <c r="S220" i="178" s="1"/>
  <c r="B220" i="178"/>
  <c r="AO183" i="178"/>
  <c r="AN183" i="178"/>
  <c r="AM183" i="178"/>
  <c r="AL183" i="178"/>
  <c r="AK183" i="178"/>
  <c r="AJ183" i="178"/>
  <c r="AI183" i="178"/>
  <c r="AH183" i="178"/>
  <c r="AG183" i="178"/>
  <c r="AF183" i="178"/>
  <c r="AE183" i="178"/>
  <c r="AD183" i="178"/>
  <c r="W183" i="178"/>
  <c r="T183" i="178"/>
  <c r="V183" i="178" s="1"/>
  <c r="Q183" i="178"/>
  <c r="S183" i="178" s="1"/>
  <c r="B183" i="178"/>
  <c r="AO182" i="178"/>
  <c r="AN182" i="178"/>
  <c r="AM182" i="178"/>
  <c r="AL182" i="178"/>
  <c r="AK182" i="178"/>
  <c r="AJ182" i="178"/>
  <c r="AI182" i="178"/>
  <c r="AH182" i="178"/>
  <c r="AG182" i="178"/>
  <c r="AF182" i="178"/>
  <c r="AE182" i="178"/>
  <c r="AD182" i="178"/>
  <c r="W182" i="178"/>
  <c r="T182" i="178"/>
  <c r="V182" i="178" s="1"/>
  <c r="Q182" i="178"/>
  <c r="S182" i="178" s="1"/>
  <c r="B182" i="178"/>
  <c r="AO181" i="178"/>
  <c r="AN181" i="178"/>
  <c r="AM181" i="178"/>
  <c r="AL181" i="178"/>
  <c r="AK181" i="178"/>
  <c r="AJ181" i="178"/>
  <c r="AI181" i="178"/>
  <c r="AH181" i="178"/>
  <c r="AG181" i="178"/>
  <c r="AF181" i="178"/>
  <c r="AE181" i="178"/>
  <c r="AD181" i="178"/>
  <c r="W181" i="178"/>
  <c r="T181" i="178"/>
  <c r="V181" i="178" s="1"/>
  <c r="Q181" i="178"/>
  <c r="S181" i="178" s="1"/>
  <c r="B181" i="178"/>
  <c r="AO180" i="178"/>
  <c r="AN180" i="178"/>
  <c r="AM180" i="178"/>
  <c r="AL180" i="178"/>
  <c r="AK180" i="178"/>
  <c r="AJ180" i="178"/>
  <c r="AI180" i="178"/>
  <c r="AH180" i="178"/>
  <c r="AG180" i="178"/>
  <c r="AF180" i="178"/>
  <c r="AE180" i="178"/>
  <c r="AD180" i="178"/>
  <c r="W180" i="178"/>
  <c r="T180" i="178"/>
  <c r="V180" i="178" s="1"/>
  <c r="Q180" i="178"/>
  <c r="S180" i="178" s="1"/>
  <c r="B180" i="178"/>
  <c r="AO179" i="178"/>
  <c r="AN179" i="178"/>
  <c r="AM179" i="178"/>
  <c r="AL179" i="178"/>
  <c r="AK179" i="178"/>
  <c r="AJ179" i="178"/>
  <c r="AI179" i="178"/>
  <c r="AH179" i="178"/>
  <c r="AG179" i="178"/>
  <c r="AF179" i="178"/>
  <c r="AE179" i="178"/>
  <c r="AD179" i="178"/>
  <c r="W179" i="178"/>
  <c r="T179" i="178"/>
  <c r="V179" i="178" s="1"/>
  <c r="Q179" i="178"/>
  <c r="S179" i="178" s="1"/>
  <c r="B179" i="178"/>
  <c r="AO178" i="178"/>
  <c r="AN178" i="178"/>
  <c r="AM178" i="178"/>
  <c r="AL178" i="178"/>
  <c r="AK178" i="178"/>
  <c r="AJ178" i="178"/>
  <c r="AI178" i="178"/>
  <c r="AH178" i="178"/>
  <c r="AG178" i="178"/>
  <c r="AF178" i="178"/>
  <c r="AE178" i="178"/>
  <c r="AD178" i="178"/>
  <c r="W178" i="178"/>
  <c r="T178" i="178"/>
  <c r="V178" i="178" s="1"/>
  <c r="Q178" i="178"/>
  <c r="S178" i="178" s="1"/>
  <c r="B178" i="178"/>
  <c r="AO176" i="178"/>
  <c r="AN176" i="178"/>
  <c r="AM176" i="178"/>
  <c r="AL176" i="178"/>
  <c r="AK176" i="178"/>
  <c r="AJ176" i="178"/>
  <c r="AI176" i="178"/>
  <c r="AH176" i="178"/>
  <c r="AG176" i="178"/>
  <c r="AF176" i="178"/>
  <c r="AE176" i="178"/>
  <c r="AD176" i="178"/>
  <c r="W176" i="178"/>
  <c r="T176" i="178"/>
  <c r="V176" i="178" s="1"/>
  <c r="Q176" i="178"/>
  <c r="S176" i="178" s="1"/>
  <c r="B176" i="178"/>
  <c r="AO169" i="178"/>
  <c r="AN169" i="178"/>
  <c r="AM169" i="178"/>
  <c r="AL169" i="178"/>
  <c r="AK169" i="178"/>
  <c r="AJ169" i="178"/>
  <c r="AI169" i="178"/>
  <c r="AH169" i="178"/>
  <c r="AG169" i="178"/>
  <c r="AF169" i="178"/>
  <c r="AE169" i="178"/>
  <c r="AD169" i="178"/>
  <c r="W169" i="178"/>
  <c r="T169" i="178"/>
  <c r="U169" i="178" s="1"/>
  <c r="Q169" i="178"/>
  <c r="B169" i="178"/>
  <c r="AO168" i="178"/>
  <c r="AN168" i="178"/>
  <c r="AM168" i="178"/>
  <c r="AL168" i="178"/>
  <c r="AK168" i="178"/>
  <c r="AJ168" i="178"/>
  <c r="AI168" i="178"/>
  <c r="AH168" i="178"/>
  <c r="AG168" i="178"/>
  <c r="AF168" i="178"/>
  <c r="AE168" i="178"/>
  <c r="AD168" i="178"/>
  <c r="W168" i="178"/>
  <c r="T168" i="178"/>
  <c r="U168" i="178" s="1"/>
  <c r="Q168" i="178"/>
  <c r="B168" i="178"/>
  <c r="AO212" i="178"/>
  <c r="AN212" i="178"/>
  <c r="AM212" i="178"/>
  <c r="AL212" i="178"/>
  <c r="AK212" i="178"/>
  <c r="AJ212" i="178"/>
  <c r="AI212" i="178"/>
  <c r="AH212" i="178"/>
  <c r="AG212" i="178"/>
  <c r="AF212" i="178"/>
  <c r="AE212" i="178"/>
  <c r="AD212" i="178"/>
  <c r="W212" i="178"/>
  <c r="T212" i="178"/>
  <c r="U212" i="178" s="1"/>
  <c r="Q212" i="178"/>
  <c r="B212" i="178"/>
  <c r="AO184" i="178"/>
  <c r="AN184" i="178"/>
  <c r="AM184" i="178"/>
  <c r="AL184" i="178"/>
  <c r="AK184" i="178"/>
  <c r="AJ184" i="178"/>
  <c r="AI184" i="178"/>
  <c r="AH184" i="178"/>
  <c r="AG184" i="178"/>
  <c r="AF184" i="178"/>
  <c r="AE184" i="178"/>
  <c r="AD184" i="178"/>
  <c r="W184" i="178"/>
  <c r="T184" i="178"/>
  <c r="U184" i="178" s="1"/>
  <c r="Q184" i="178"/>
  <c r="B184" i="178"/>
  <c r="AO153" i="178"/>
  <c r="AN153" i="178"/>
  <c r="AM153" i="178"/>
  <c r="AL153" i="178"/>
  <c r="AK153" i="178"/>
  <c r="AJ153" i="178"/>
  <c r="AI153" i="178"/>
  <c r="AH153" i="178"/>
  <c r="AG153" i="178"/>
  <c r="AF153" i="178"/>
  <c r="AE153" i="178"/>
  <c r="AD153" i="178"/>
  <c r="W153" i="178"/>
  <c r="T153" i="178"/>
  <c r="U153" i="178" s="1"/>
  <c r="Q153" i="178"/>
  <c r="B153" i="178"/>
  <c r="AO141" i="178"/>
  <c r="AN141" i="178"/>
  <c r="AM141" i="178"/>
  <c r="AL141" i="178"/>
  <c r="AK141" i="178"/>
  <c r="AJ141" i="178"/>
  <c r="AI141" i="178"/>
  <c r="AH141" i="178"/>
  <c r="AG141" i="178"/>
  <c r="AF141" i="178"/>
  <c r="AE141" i="178"/>
  <c r="AD141" i="178"/>
  <c r="W141" i="178"/>
  <c r="T141" i="178"/>
  <c r="V141" i="178" s="1"/>
  <c r="Q141" i="178"/>
  <c r="B141" i="178"/>
  <c r="AO140" i="178"/>
  <c r="AN140" i="178"/>
  <c r="AM140" i="178"/>
  <c r="AL140" i="178"/>
  <c r="AK140" i="178"/>
  <c r="AJ140" i="178"/>
  <c r="AI140" i="178"/>
  <c r="AH140" i="178"/>
  <c r="AG140" i="178"/>
  <c r="AF140" i="178"/>
  <c r="AE140" i="178"/>
  <c r="AD140" i="178"/>
  <c r="W140" i="178"/>
  <c r="T140" i="178"/>
  <c r="V140" i="178" s="1"/>
  <c r="Q140" i="178"/>
  <c r="B140" i="178"/>
  <c r="AO118" i="178"/>
  <c r="AN118" i="178"/>
  <c r="AM118" i="178"/>
  <c r="AL118" i="178"/>
  <c r="AK118" i="178"/>
  <c r="AJ118" i="178"/>
  <c r="AI118" i="178"/>
  <c r="AH118" i="178"/>
  <c r="AG118" i="178"/>
  <c r="AF118" i="178"/>
  <c r="AE118" i="178"/>
  <c r="AD118" i="178"/>
  <c r="W118" i="178"/>
  <c r="T118" i="178"/>
  <c r="U118" i="178" s="1"/>
  <c r="Q118" i="178"/>
  <c r="B118" i="178"/>
  <c r="AO110" i="178"/>
  <c r="AN110" i="178"/>
  <c r="AM110" i="178"/>
  <c r="AL110" i="178"/>
  <c r="AK110" i="178"/>
  <c r="AJ110" i="178"/>
  <c r="AI110" i="178"/>
  <c r="AH110" i="178"/>
  <c r="AG110" i="178"/>
  <c r="AF110" i="178"/>
  <c r="AE110" i="178"/>
  <c r="AD110" i="178"/>
  <c r="W110" i="178"/>
  <c r="T110" i="178"/>
  <c r="U110" i="178" s="1"/>
  <c r="Q110" i="178"/>
  <c r="B110" i="178"/>
  <c r="AO100" i="178"/>
  <c r="AN100" i="178"/>
  <c r="AM100" i="178"/>
  <c r="AL100" i="178"/>
  <c r="AK100" i="178"/>
  <c r="AJ100" i="178"/>
  <c r="AI100" i="178"/>
  <c r="AH100" i="178"/>
  <c r="AG100" i="178"/>
  <c r="AF100" i="178"/>
  <c r="AE100" i="178"/>
  <c r="AD100" i="178"/>
  <c r="W100" i="178"/>
  <c r="T100" i="178"/>
  <c r="U100" i="178" s="1"/>
  <c r="Q100" i="178"/>
  <c r="B100" i="178"/>
  <c r="AO99" i="178"/>
  <c r="AN99" i="178"/>
  <c r="AM99" i="178"/>
  <c r="AL99" i="178"/>
  <c r="AK99" i="178"/>
  <c r="AJ99" i="178"/>
  <c r="AI99" i="178"/>
  <c r="AH99" i="178"/>
  <c r="AG99" i="178"/>
  <c r="AF99" i="178"/>
  <c r="AE99" i="178"/>
  <c r="AD99" i="178"/>
  <c r="W99" i="178"/>
  <c r="T99" i="178"/>
  <c r="U99" i="178" s="1"/>
  <c r="Q99" i="178"/>
  <c r="B99" i="178"/>
  <c r="AO92" i="178"/>
  <c r="AN92" i="178"/>
  <c r="AM92" i="178"/>
  <c r="AL92" i="178"/>
  <c r="AK92" i="178"/>
  <c r="AJ92" i="178"/>
  <c r="AI92" i="178"/>
  <c r="AH92" i="178"/>
  <c r="AG92" i="178"/>
  <c r="AF92" i="178"/>
  <c r="AE92" i="178"/>
  <c r="AD92" i="178"/>
  <c r="W92" i="178"/>
  <c r="T92" i="178"/>
  <c r="U92" i="178" s="1"/>
  <c r="Q92" i="178"/>
  <c r="B92" i="178"/>
  <c r="AO85" i="178"/>
  <c r="AN85" i="178"/>
  <c r="AM85" i="178"/>
  <c r="AL85" i="178"/>
  <c r="AK85" i="178"/>
  <c r="AJ85" i="178"/>
  <c r="AI85" i="178"/>
  <c r="AH85" i="178"/>
  <c r="AG85" i="178"/>
  <c r="AF85" i="178"/>
  <c r="AE85" i="178"/>
  <c r="AD85" i="178"/>
  <c r="W85" i="178"/>
  <c r="T85" i="178"/>
  <c r="U85" i="178" s="1"/>
  <c r="Q85" i="178"/>
  <c r="B85" i="178"/>
  <c r="AO84" i="178"/>
  <c r="AN84" i="178"/>
  <c r="AM84" i="178"/>
  <c r="AL84" i="178"/>
  <c r="AK84" i="178"/>
  <c r="AJ84" i="178"/>
  <c r="AI84" i="178"/>
  <c r="AH84" i="178"/>
  <c r="AG84" i="178"/>
  <c r="AF84" i="178"/>
  <c r="AE84" i="178"/>
  <c r="AD84" i="178"/>
  <c r="W84" i="178"/>
  <c r="T84" i="178"/>
  <c r="U84" i="178" s="1"/>
  <c r="Q84" i="178"/>
  <c r="B84" i="178"/>
  <c r="AO3" i="178"/>
  <c r="AN3" i="178"/>
  <c r="AM3" i="178"/>
  <c r="AL3" i="178"/>
  <c r="AK3" i="178"/>
  <c r="AJ3" i="178"/>
  <c r="AI3" i="178"/>
  <c r="AH3" i="178"/>
  <c r="AG3" i="178"/>
  <c r="AF3" i="178"/>
  <c r="AE3" i="178"/>
  <c r="AD3" i="178"/>
  <c r="W3" i="178"/>
  <c r="T3" i="178"/>
  <c r="U3" i="178" s="1"/>
  <c r="Q3" i="178"/>
  <c r="B3" i="178"/>
  <c r="AO2" i="178"/>
  <c r="AN2" i="178"/>
  <c r="AM2" i="178"/>
  <c r="AL2" i="178"/>
  <c r="AK2" i="178"/>
  <c r="AJ2" i="178"/>
  <c r="AI2" i="178"/>
  <c r="AH2" i="178"/>
  <c r="AG2" i="178"/>
  <c r="AF2" i="178"/>
  <c r="AE2" i="178"/>
  <c r="AD2" i="178"/>
  <c r="W2" i="178"/>
  <c r="T2" i="178"/>
  <c r="U2" i="178" s="1"/>
  <c r="Q2" i="178"/>
  <c r="B2" i="178"/>
  <c r="S417" i="178" l="1"/>
  <c r="S692" i="178"/>
  <c r="AR225" i="178"/>
  <c r="AV225" i="178"/>
  <c r="AZ225" i="178"/>
  <c r="BD225" i="178"/>
  <c r="BH225" i="178"/>
  <c r="BM225" i="178"/>
  <c r="AT225" i="178"/>
  <c r="AX225" i="178"/>
  <c r="BB225" i="178"/>
  <c r="BF225" i="178"/>
  <c r="BJ225" i="178"/>
  <c r="BK225" i="178"/>
  <c r="S1270" i="178"/>
  <c r="AT1270" i="178"/>
  <c r="AX1270" i="178"/>
  <c r="BB1270" i="178"/>
  <c r="BF1270" i="178"/>
  <c r="BJ1270" i="178"/>
  <c r="BK1270" i="178"/>
  <c r="AR1270" i="178"/>
  <c r="AV1270" i="178"/>
  <c r="AZ1270" i="178"/>
  <c r="BD1270" i="178"/>
  <c r="BH1270" i="178"/>
  <c r="BM1270" i="178"/>
  <c r="BL340" i="178"/>
  <c r="BL342" i="178"/>
  <c r="BK793" i="178"/>
  <c r="BK794" i="178"/>
  <c r="BK227" i="178"/>
  <c r="BK488" i="178"/>
  <c r="BK643" i="178"/>
  <c r="BK644" i="178"/>
  <c r="BK648" i="178"/>
  <c r="BK649" i="178"/>
  <c r="BL160" i="178"/>
  <c r="BL896" i="178"/>
  <c r="BK486" i="178"/>
  <c r="BL1079" i="178"/>
  <c r="BK1091" i="178"/>
  <c r="BK1243" i="178"/>
  <c r="BL1259" i="178"/>
  <c r="BA820" i="178"/>
  <c r="AY820" i="178"/>
  <c r="BL820" i="178"/>
  <c r="AS820" i="178"/>
  <c r="BC820" i="178"/>
  <c r="BI820" i="178"/>
  <c r="AW820" i="178"/>
  <c r="BG820" i="178"/>
  <c r="BE820" i="178"/>
  <c r="AU820" i="178"/>
  <c r="BL823" i="178"/>
  <c r="AS823" i="178"/>
  <c r="AW823" i="178"/>
  <c r="BA823" i="178"/>
  <c r="BE823" i="178"/>
  <c r="BI823" i="178"/>
  <c r="BN823" i="178"/>
  <c r="AU823" i="178"/>
  <c r="AY823" i="178"/>
  <c r="BC823" i="178"/>
  <c r="BG823" i="178"/>
  <c r="AS824" i="178"/>
  <c r="AW824" i="178"/>
  <c r="BA824" i="178"/>
  <c r="BE824" i="178"/>
  <c r="BI824" i="178"/>
  <c r="BN824" i="178"/>
  <c r="AU824" i="178"/>
  <c r="AY824" i="178"/>
  <c r="BC824" i="178"/>
  <c r="BG824" i="178"/>
  <c r="BL824" i="178"/>
  <c r="BK647" i="178"/>
  <c r="V21" i="178"/>
  <c r="U1146" i="178"/>
  <c r="V388" i="178"/>
  <c r="V7" i="178"/>
  <c r="V810" i="178"/>
  <c r="U652" i="178"/>
  <c r="U1021" i="178"/>
  <c r="V163" i="178"/>
  <c r="U1174" i="178"/>
  <c r="U456" i="178"/>
  <c r="U276" i="178"/>
  <c r="V816" i="178"/>
  <c r="V195" i="178"/>
  <c r="U1160" i="178"/>
  <c r="U1048" i="178"/>
  <c r="U992" i="178"/>
  <c r="U451" i="178"/>
  <c r="V142" i="178"/>
  <c r="V53" i="178"/>
  <c r="V674" i="178"/>
  <c r="V567" i="178"/>
  <c r="V805" i="178"/>
  <c r="U1066" i="178"/>
  <c r="U319" i="178"/>
  <c r="V32" i="178"/>
  <c r="U815" i="178"/>
  <c r="V362" i="178"/>
  <c r="V688" i="178"/>
  <c r="V135" i="178"/>
  <c r="V714" i="178"/>
  <c r="U1033" i="178"/>
  <c r="U1001" i="178"/>
  <c r="U990" i="178"/>
  <c r="U254" i="178"/>
  <c r="V103" i="178"/>
  <c r="V70" i="178"/>
  <c r="U766" i="178"/>
  <c r="V1151" i="178"/>
  <c r="V548" i="178"/>
  <c r="V910" i="178"/>
  <c r="V879" i="178"/>
  <c r="V964" i="178"/>
  <c r="V167" i="178"/>
  <c r="V1124" i="178"/>
  <c r="U654" i="178"/>
  <c r="U1140" i="178"/>
  <c r="U1052" i="178"/>
  <c r="U1012" i="178"/>
  <c r="U1005" i="178"/>
  <c r="U445" i="178"/>
  <c r="U210" i="178"/>
  <c r="V88" i="178"/>
  <c r="V9" i="178"/>
  <c r="V1061" i="178"/>
  <c r="U484" i="178"/>
  <c r="U562" i="178"/>
  <c r="U570" i="178"/>
  <c r="V570" i="178"/>
  <c r="V568" i="178"/>
  <c r="U909" i="178"/>
  <c r="V909" i="178"/>
  <c r="V905" i="178"/>
  <c r="U1116" i="178"/>
  <c r="V1116" i="178"/>
  <c r="V1074" i="178"/>
  <c r="U1074" i="178"/>
  <c r="V322" i="178"/>
  <c r="U322" i="178"/>
  <c r="V268" i="178"/>
  <c r="U268" i="178"/>
  <c r="U62" i="178"/>
  <c r="V62" i="178"/>
  <c r="S652" i="178"/>
  <c r="AY652" i="178" s="1"/>
  <c r="U199" i="178"/>
  <c r="V199" i="178"/>
  <c r="V1172" i="178"/>
  <c r="U1172" i="178"/>
  <c r="V1023" i="178"/>
  <c r="U1023" i="178"/>
  <c r="V275" i="178"/>
  <c r="U275" i="178"/>
  <c r="U24" i="178"/>
  <c r="V24" i="178"/>
  <c r="U739" i="178"/>
  <c r="V739" i="178"/>
  <c r="U495" i="178"/>
  <c r="V495" i="178"/>
  <c r="V1191" i="178"/>
  <c r="U1191" i="178"/>
  <c r="V438" i="178"/>
  <c r="U438" i="178"/>
  <c r="V209" i="178"/>
  <c r="U209" i="178"/>
  <c r="U112" i="178"/>
  <c r="V112" i="178"/>
  <c r="U42" i="178"/>
  <c r="V42" i="178"/>
  <c r="U1270" i="178"/>
  <c r="V1270" i="178"/>
  <c r="S1191" i="178"/>
  <c r="AU1191" i="178" s="1"/>
  <c r="U361" i="178"/>
  <c r="V361" i="178"/>
  <c r="U886" i="178"/>
  <c r="V886" i="178"/>
  <c r="V1068" i="178"/>
  <c r="U1068" i="178"/>
  <c r="V527" i="178"/>
  <c r="U527" i="178"/>
  <c r="V452" i="178"/>
  <c r="U452" i="178"/>
  <c r="U93" i="178"/>
  <c r="V93" i="178"/>
  <c r="U47" i="178"/>
  <c r="V47" i="178"/>
  <c r="V682" i="178"/>
  <c r="U682" i="178"/>
  <c r="V800" i="178"/>
  <c r="U800" i="178"/>
  <c r="U1038" i="178"/>
  <c r="U986" i="178"/>
  <c r="U514" i="178"/>
  <c r="U467" i="178"/>
  <c r="U306" i="178"/>
  <c r="U259" i="178"/>
  <c r="U240" i="178"/>
  <c r="V111" i="178"/>
  <c r="V101" i="178"/>
  <c r="V89" i="178"/>
  <c r="V90" i="178"/>
  <c r="V41" i="178"/>
  <c r="V34" i="178"/>
  <c r="V30" i="178"/>
  <c r="V27" i="178"/>
  <c r="V19" i="178"/>
  <c r="U929" i="178"/>
  <c r="U683" i="178"/>
  <c r="U917" i="178"/>
  <c r="S362" i="178"/>
  <c r="BA362" i="178" s="1"/>
  <c r="S768" i="178"/>
  <c r="BE768" i="178" s="1"/>
  <c r="S440" i="178"/>
  <c r="BA440" i="178" s="1"/>
  <c r="S913" i="178"/>
  <c r="BE913" i="178" s="1"/>
  <c r="S653" i="178"/>
  <c r="BL653" i="178" s="1"/>
  <c r="S1193" i="178"/>
  <c r="BL1193" i="178" s="1"/>
  <c r="S966" i="178"/>
  <c r="BC966" i="178" s="1"/>
  <c r="S567" i="178"/>
  <c r="S816" i="178"/>
  <c r="AU816" i="178" s="1"/>
  <c r="S910" i="178"/>
  <c r="S739" i="178"/>
  <c r="BG739" i="178" s="1"/>
  <c r="S909" i="178"/>
  <c r="BL909" i="178" s="1"/>
  <c r="S674" i="178"/>
  <c r="BC674" i="178" s="1"/>
  <c r="S676" i="178"/>
  <c r="AY676" i="178" s="1"/>
  <c r="S769" i="178"/>
  <c r="BI769" i="178" s="1"/>
  <c r="S738" i="178"/>
  <c r="AY738" i="178" s="1"/>
  <c r="S369" i="178"/>
  <c r="BG369" i="178" s="1"/>
  <c r="S817" i="178"/>
  <c r="AW817" i="178" s="1"/>
  <c r="S767" i="178"/>
  <c r="BL767" i="178" s="1"/>
  <c r="S420" i="178"/>
  <c r="BL420" i="178" s="1"/>
  <c r="S911" i="178"/>
  <c r="BC911" i="178" s="1"/>
  <c r="U737" i="178"/>
  <c r="V737" i="178"/>
  <c r="U368" i="178"/>
  <c r="V368" i="178"/>
  <c r="U913" i="178"/>
  <c r="V913" i="178"/>
  <c r="U889" i="178"/>
  <c r="V889" i="178"/>
  <c r="U1163" i="178"/>
  <c r="U1076" i="178"/>
  <c r="U1053" i="178"/>
  <c r="U995" i="178"/>
  <c r="V971" i="178"/>
  <c r="U971" i="178"/>
  <c r="V519" i="178"/>
  <c r="U519" i="178"/>
  <c r="V446" i="178"/>
  <c r="U446" i="178"/>
  <c r="U437" i="178"/>
  <c r="U337" i="178"/>
  <c r="U301" i="178"/>
  <c r="U288" i="178"/>
  <c r="V246" i="178"/>
  <c r="U246" i="178"/>
  <c r="U113" i="178"/>
  <c r="V113" i="178"/>
  <c r="V106" i="178"/>
  <c r="V107" i="178"/>
  <c r="V60" i="178"/>
  <c r="U38" i="178"/>
  <c r="V38" i="178"/>
  <c r="V33" i="178"/>
  <c r="V5" i="178"/>
  <c r="V147" i="178"/>
  <c r="U930" i="178"/>
  <c r="U546" i="178"/>
  <c r="V926" i="178"/>
  <c r="V768" i="178"/>
  <c r="V687" i="178"/>
  <c r="V440" i="178"/>
  <c r="V868" i="178"/>
  <c r="V728" i="178"/>
  <c r="V722" i="178"/>
  <c r="V428" i="178"/>
  <c r="V173" i="178"/>
  <c r="V807" i="178"/>
  <c r="V698" i="178"/>
  <c r="V165" i="178"/>
  <c r="V528" i="178"/>
  <c r="U528" i="178"/>
  <c r="V458" i="178"/>
  <c r="U458" i="178"/>
  <c r="V321" i="178"/>
  <c r="U321" i="178"/>
  <c r="U303" i="178"/>
  <c r="V271" i="178"/>
  <c r="U271" i="178"/>
  <c r="U91" i="178"/>
  <c r="V91" i="178"/>
  <c r="V278" i="178"/>
  <c r="V736" i="178"/>
  <c r="U736" i="178"/>
  <c r="U802" i="178"/>
  <c r="V987" i="178"/>
  <c r="U987" i="178"/>
  <c r="V329" i="178"/>
  <c r="U329" i="178"/>
  <c r="V274" i="178"/>
  <c r="U274" i="178"/>
  <c r="U94" i="178"/>
  <c r="V94" i="178"/>
  <c r="U52" i="178"/>
  <c r="V52" i="178"/>
  <c r="U25" i="178"/>
  <c r="V25" i="178"/>
  <c r="U1062" i="178"/>
  <c r="V1062" i="178"/>
  <c r="V901" i="178"/>
  <c r="U901" i="178"/>
  <c r="V430" i="178"/>
  <c r="U430" i="178"/>
  <c r="V882" i="178"/>
  <c r="V875" i="178"/>
  <c r="V864" i="178"/>
  <c r="V664" i="178"/>
  <c r="V582" i="178"/>
  <c r="V413" i="178"/>
  <c r="V196" i="178"/>
  <c r="V812" i="178"/>
  <c r="V154" i="178"/>
  <c r="V1120" i="178"/>
  <c r="U1032" i="178"/>
  <c r="U1190" i="178"/>
  <c r="U1175" i="178"/>
  <c r="U1176" i="178"/>
  <c r="U1142" i="178"/>
  <c r="U1143" i="178"/>
  <c r="U1144" i="178"/>
  <c r="U1077" i="178"/>
  <c r="V994" i="178"/>
  <c r="U994" i="178"/>
  <c r="V500" i="178"/>
  <c r="U500" i="178"/>
  <c r="V284" i="178"/>
  <c r="U284" i="178"/>
  <c r="U104" i="178"/>
  <c r="V104" i="178"/>
  <c r="U64" i="178"/>
  <c r="V64" i="178"/>
  <c r="U8" i="178"/>
  <c r="V8" i="178"/>
  <c r="V421" i="178"/>
  <c r="U421" i="178"/>
  <c r="V560" i="178"/>
  <c r="U560" i="178"/>
  <c r="AB995" i="178"/>
  <c r="Z995" i="178"/>
  <c r="BK966" i="178"/>
  <c r="AR966" i="178"/>
  <c r="AV966" i="178"/>
  <c r="AZ966" i="178"/>
  <c r="BD966" i="178"/>
  <c r="BH966" i="178"/>
  <c r="BM966" i="178"/>
  <c r="AT966" i="178"/>
  <c r="BJ966" i="178"/>
  <c r="AX966" i="178"/>
  <c r="BB966" i="178"/>
  <c r="BF966" i="178"/>
  <c r="AT674" i="178"/>
  <c r="AX674" i="178"/>
  <c r="BB674" i="178"/>
  <c r="BF674" i="178"/>
  <c r="BJ674" i="178"/>
  <c r="BK674" i="178"/>
  <c r="AR674" i="178"/>
  <c r="AV674" i="178"/>
  <c r="AZ674" i="178"/>
  <c r="BD674" i="178"/>
  <c r="BH674" i="178"/>
  <c r="BM674" i="178"/>
  <c r="AT676" i="178"/>
  <c r="AX676" i="178"/>
  <c r="BB676" i="178"/>
  <c r="BF676" i="178"/>
  <c r="BJ676" i="178"/>
  <c r="BK676" i="178"/>
  <c r="AR676" i="178"/>
  <c r="AV676" i="178"/>
  <c r="AZ676" i="178"/>
  <c r="BD676" i="178"/>
  <c r="BH676" i="178"/>
  <c r="BM676" i="178"/>
  <c r="BK570" i="178"/>
  <c r="AR570" i="178"/>
  <c r="AV570" i="178"/>
  <c r="AZ570" i="178"/>
  <c r="BD570" i="178"/>
  <c r="BH570" i="178"/>
  <c r="BM570" i="178"/>
  <c r="AX570" i="178"/>
  <c r="BB570" i="178"/>
  <c r="BF570" i="178"/>
  <c r="AT570" i="178"/>
  <c r="BJ570" i="178"/>
  <c r="BM568" i="178"/>
  <c r="AT568" i="178"/>
  <c r="AX568" i="178"/>
  <c r="BB568" i="178"/>
  <c r="BF568" i="178"/>
  <c r="BJ568" i="178"/>
  <c r="BK568" i="178"/>
  <c r="AV568" i="178"/>
  <c r="AZ568" i="178"/>
  <c r="BD568" i="178"/>
  <c r="AR568" i="178"/>
  <c r="BH568" i="178"/>
  <c r="AR569" i="178"/>
  <c r="AV569" i="178"/>
  <c r="AZ569" i="178"/>
  <c r="BD569" i="178"/>
  <c r="BH569" i="178"/>
  <c r="BM569" i="178"/>
  <c r="AT569" i="178"/>
  <c r="AX569" i="178"/>
  <c r="BB569" i="178"/>
  <c r="BF569" i="178"/>
  <c r="BJ569" i="178"/>
  <c r="BK569" i="178"/>
  <c r="BK567" i="178"/>
  <c r="AR567" i="178"/>
  <c r="AV567" i="178"/>
  <c r="AZ567" i="178"/>
  <c r="BD567" i="178"/>
  <c r="BH567" i="178"/>
  <c r="BM567" i="178"/>
  <c r="AT567" i="178"/>
  <c r="BJ567" i="178"/>
  <c r="AX567" i="178"/>
  <c r="BB567" i="178"/>
  <c r="BF567" i="178"/>
  <c r="AT566" i="178"/>
  <c r="AX566" i="178"/>
  <c r="BB566" i="178"/>
  <c r="BF566" i="178"/>
  <c r="BJ566" i="178"/>
  <c r="BK566" i="178"/>
  <c r="AR566" i="178"/>
  <c r="AV566" i="178"/>
  <c r="AZ566" i="178"/>
  <c r="BD566" i="178"/>
  <c r="BH566" i="178"/>
  <c r="BM566" i="178"/>
  <c r="BM362" i="178"/>
  <c r="AT362" i="178"/>
  <c r="AX362" i="178"/>
  <c r="BB362" i="178"/>
  <c r="BF362" i="178"/>
  <c r="BJ362" i="178"/>
  <c r="BK362" i="178"/>
  <c r="BD362" i="178"/>
  <c r="AR362" i="178"/>
  <c r="BH362" i="178"/>
  <c r="AV362" i="178"/>
  <c r="AZ362" i="178"/>
  <c r="AR360" i="178"/>
  <c r="AV360" i="178"/>
  <c r="AZ360" i="178"/>
  <c r="BD360" i="178"/>
  <c r="BH360" i="178"/>
  <c r="BM360" i="178"/>
  <c r="AT360" i="178"/>
  <c r="AX360" i="178"/>
  <c r="BB360" i="178"/>
  <c r="BF360" i="178"/>
  <c r="BJ360" i="178"/>
  <c r="BK360" i="178"/>
  <c r="BK361" i="178"/>
  <c r="AR361" i="178"/>
  <c r="AV361" i="178"/>
  <c r="AZ361" i="178"/>
  <c r="BD361" i="178"/>
  <c r="BH361" i="178"/>
  <c r="BM361" i="178"/>
  <c r="BB361" i="178"/>
  <c r="BF361" i="178"/>
  <c r="AT361" i="178"/>
  <c r="BJ361" i="178"/>
  <c r="AX361" i="178"/>
  <c r="BK1151" i="178"/>
  <c r="AR1151" i="178"/>
  <c r="AV1151" i="178"/>
  <c r="AZ1151" i="178"/>
  <c r="BD1151" i="178"/>
  <c r="BH1151" i="178"/>
  <c r="BM1151" i="178"/>
  <c r="AX1151" i="178"/>
  <c r="BB1151" i="178"/>
  <c r="BF1151" i="178"/>
  <c r="AT1151" i="178"/>
  <c r="BJ1151" i="178"/>
  <c r="AT927" i="178"/>
  <c r="AX927" i="178"/>
  <c r="BB927" i="178"/>
  <c r="BF927" i="178"/>
  <c r="BJ927" i="178"/>
  <c r="BK927" i="178"/>
  <c r="AR927" i="178"/>
  <c r="AV927" i="178"/>
  <c r="AZ927" i="178"/>
  <c r="BD927" i="178"/>
  <c r="BH927" i="178"/>
  <c r="BM927" i="178"/>
  <c r="BM926" i="178"/>
  <c r="AT926" i="178"/>
  <c r="AX926" i="178"/>
  <c r="BB926" i="178"/>
  <c r="BF926" i="178"/>
  <c r="BJ926" i="178"/>
  <c r="BK926" i="178"/>
  <c r="AV926" i="178"/>
  <c r="AZ926" i="178"/>
  <c r="BD926" i="178"/>
  <c r="AR926" i="178"/>
  <c r="BH926" i="178"/>
  <c r="AR925" i="178"/>
  <c r="AV925" i="178"/>
  <c r="AZ925" i="178"/>
  <c r="BD925" i="178"/>
  <c r="BH925" i="178"/>
  <c r="BM925" i="178"/>
  <c r="AT925" i="178"/>
  <c r="AX925" i="178"/>
  <c r="BB925" i="178"/>
  <c r="BF925" i="178"/>
  <c r="BJ925" i="178"/>
  <c r="BK925" i="178"/>
  <c r="AR817" i="178"/>
  <c r="AV817" i="178"/>
  <c r="AZ817" i="178"/>
  <c r="BD817" i="178"/>
  <c r="BH817" i="178"/>
  <c r="BM817" i="178"/>
  <c r="AT817" i="178"/>
  <c r="AX817" i="178"/>
  <c r="BB817" i="178"/>
  <c r="BF817" i="178"/>
  <c r="BJ817" i="178"/>
  <c r="BK817" i="178"/>
  <c r="BK816" i="178"/>
  <c r="AR816" i="178"/>
  <c r="AV816" i="178"/>
  <c r="AZ816" i="178"/>
  <c r="BD816" i="178"/>
  <c r="BH816" i="178"/>
  <c r="BM816" i="178"/>
  <c r="BF816" i="178"/>
  <c r="AT816" i="178"/>
  <c r="BJ816" i="178"/>
  <c r="AX816" i="178"/>
  <c r="BB816" i="178"/>
  <c r="AT769" i="178"/>
  <c r="AX769" i="178"/>
  <c r="BB769" i="178"/>
  <c r="BF769" i="178"/>
  <c r="BJ769" i="178"/>
  <c r="BK769" i="178"/>
  <c r="AR769" i="178"/>
  <c r="AV769" i="178"/>
  <c r="AZ769" i="178"/>
  <c r="BD769" i="178"/>
  <c r="BH769" i="178"/>
  <c r="BM769" i="178"/>
  <c r="BM768" i="178"/>
  <c r="AT768" i="178"/>
  <c r="AX768" i="178"/>
  <c r="BB768" i="178"/>
  <c r="BF768" i="178"/>
  <c r="BJ768" i="178"/>
  <c r="BK768" i="178"/>
  <c r="BD768" i="178"/>
  <c r="AR768" i="178"/>
  <c r="BH768" i="178"/>
  <c r="AV768" i="178"/>
  <c r="AZ768" i="178"/>
  <c r="AR767" i="178"/>
  <c r="AV767" i="178"/>
  <c r="AZ767" i="178"/>
  <c r="BD767" i="178"/>
  <c r="BH767" i="178"/>
  <c r="BM767" i="178"/>
  <c r="AT767" i="178"/>
  <c r="AX767" i="178"/>
  <c r="BB767" i="178"/>
  <c r="BF767" i="178"/>
  <c r="BJ767" i="178"/>
  <c r="BK767" i="178"/>
  <c r="BK739" i="178"/>
  <c r="AR739" i="178"/>
  <c r="AV739" i="178"/>
  <c r="AZ739" i="178"/>
  <c r="BD739" i="178"/>
  <c r="BH739" i="178"/>
  <c r="BM739" i="178"/>
  <c r="BB739" i="178"/>
  <c r="BF739" i="178"/>
  <c r="AT739" i="178"/>
  <c r="BJ739" i="178"/>
  <c r="AX739" i="178"/>
  <c r="AT738" i="178"/>
  <c r="AX738" i="178"/>
  <c r="BB738" i="178"/>
  <c r="BF738" i="178"/>
  <c r="BJ738" i="178"/>
  <c r="BK738" i="178"/>
  <c r="AR738" i="178"/>
  <c r="AV738" i="178"/>
  <c r="AZ738" i="178"/>
  <c r="BD738" i="178"/>
  <c r="BH738" i="178"/>
  <c r="BM738" i="178"/>
  <c r="BM737" i="178"/>
  <c r="AT737" i="178"/>
  <c r="AX737" i="178"/>
  <c r="BB737" i="178"/>
  <c r="BF737" i="178"/>
  <c r="BJ737" i="178"/>
  <c r="BK737" i="178"/>
  <c r="AZ737" i="178"/>
  <c r="BD737" i="178"/>
  <c r="AR737" i="178"/>
  <c r="BH737" i="178"/>
  <c r="AV737" i="178"/>
  <c r="BK688" i="178"/>
  <c r="AR688" i="178"/>
  <c r="AV688" i="178"/>
  <c r="AZ688" i="178"/>
  <c r="BD688" i="178"/>
  <c r="BH688" i="178"/>
  <c r="BM688" i="178"/>
  <c r="AX688" i="178"/>
  <c r="BB688" i="178"/>
  <c r="BF688" i="178"/>
  <c r="AT688" i="178"/>
  <c r="BJ688" i="178"/>
  <c r="BM687" i="178"/>
  <c r="AT687" i="178"/>
  <c r="AX687" i="178"/>
  <c r="BB687" i="178"/>
  <c r="BF687" i="178"/>
  <c r="BJ687" i="178"/>
  <c r="BK687" i="178"/>
  <c r="AV687" i="178"/>
  <c r="AZ687" i="178"/>
  <c r="BD687" i="178"/>
  <c r="AR687" i="178"/>
  <c r="BH687" i="178"/>
  <c r="AR686" i="178"/>
  <c r="AV686" i="178"/>
  <c r="AZ686" i="178"/>
  <c r="BD686" i="178"/>
  <c r="BH686" i="178"/>
  <c r="BM686" i="178"/>
  <c r="AT686" i="178"/>
  <c r="AX686" i="178"/>
  <c r="BB686" i="178"/>
  <c r="BF686" i="178"/>
  <c r="BJ686" i="178"/>
  <c r="BK686" i="178"/>
  <c r="BK548" i="178"/>
  <c r="AR548" i="178"/>
  <c r="AV548" i="178"/>
  <c r="AZ548" i="178"/>
  <c r="BD548" i="178"/>
  <c r="BH548" i="178"/>
  <c r="BM548" i="178"/>
  <c r="AT548" i="178"/>
  <c r="BJ548" i="178"/>
  <c r="AX548" i="178"/>
  <c r="BB548" i="178"/>
  <c r="BF548" i="178"/>
  <c r="AT547" i="178"/>
  <c r="AX547" i="178"/>
  <c r="BB547" i="178"/>
  <c r="BF547" i="178"/>
  <c r="BJ547" i="178"/>
  <c r="BK547" i="178"/>
  <c r="AR547" i="178"/>
  <c r="AV547" i="178"/>
  <c r="AZ547" i="178"/>
  <c r="BD547" i="178"/>
  <c r="BH547" i="178"/>
  <c r="BM547" i="178"/>
  <c r="BM440" i="178"/>
  <c r="AT440" i="178"/>
  <c r="AX440" i="178"/>
  <c r="BB440" i="178"/>
  <c r="BF440" i="178"/>
  <c r="BJ440" i="178"/>
  <c r="BK440" i="178"/>
  <c r="BD440" i="178"/>
  <c r="AR440" i="178"/>
  <c r="BH440" i="178"/>
  <c r="AV440" i="178"/>
  <c r="AZ440" i="178"/>
  <c r="AR420" i="178"/>
  <c r="AV420" i="178"/>
  <c r="AZ420" i="178"/>
  <c r="BD420" i="178"/>
  <c r="BH420" i="178"/>
  <c r="BM420" i="178"/>
  <c r="AT420" i="178"/>
  <c r="AX420" i="178"/>
  <c r="BB420" i="178"/>
  <c r="BF420" i="178"/>
  <c r="BJ420" i="178"/>
  <c r="BK420" i="178"/>
  <c r="AT369" i="178"/>
  <c r="AX369" i="178"/>
  <c r="BB369" i="178"/>
  <c r="BF369" i="178"/>
  <c r="BJ369" i="178"/>
  <c r="BK369" i="178"/>
  <c r="AR369" i="178"/>
  <c r="AV369" i="178"/>
  <c r="AZ369" i="178"/>
  <c r="BD369" i="178"/>
  <c r="BH369" i="178"/>
  <c r="BM369" i="178"/>
  <c r="BM368" i="178"/>
  <c r="AT368" i="178"/>
  <c r="AX368" i="178"/>
  <c r="BB368" i="178"/>
  <c r="BF368" i="178"/>
  <c r="BJ368" i="178"/>
  <c r="BK368" i="178"/>
  <c r="BD368" i="178"/>
  <c r="AR368" i="178"/>
  <c r="BH368" i="178"/>
  <c r="AV368" i="178"/>
  <c r="AZ368" i="178"/>
  <c r="BK135" i="178"/>
  <c r="AR135" i="178"/>
  <c r="AV135" i="178"/>
  <c r="AZ135" i="178"/>
  <c r="BD135" i="178"/>
  <c r="BH135" i="178"/>
  <c r="BM135" i="178"/>
  <c r="AX135" i="178"/>
  <c r="BB135" i="178"/>
  <c r="BF135" i="178"/>
  <c r="AT135" i="178"/>
  <c r="BJ135" i="178"/>
  <c r="AT914" i="178"/>
  <c r="AX914" i="178"/>
  <c r="BB914" i="178"/>
  <c r="BF914" i="178"/>
  <c r="BJ914" i="178"/>
  <c r="BK914" i="178"/>
  <c r="AR914" i="178"/>
  <c r="AV914" i="178"/>
  <c r="AZ914" i="178"/>
  <c r="BD914" i="178"/>
  <c r="BH914" i="178"/>
  <c r="BM914" i="178"/>
  <c r="BM913" i="178"/>
  <c r="AT913" i="178"/>
  <c r="AX913" i="178"/>
  <c r="BB913" i="178"/>
  <c r="BF913" i="178"/>
  <c r="BJ913" i="178"/>
  <c r="BK913" i="178"/>
  <c r="AV913" i="178"/>
  <c r="AZ913" i="178"/>
  <c r="BD913" i="178"/>
  <c r="AR913" i="178"/>
  <c r="BH913" i="178"/>
  <c r="BK910" i="178"/>
  <c r="AR910" i="178"/>
  <c r="AV910" i="178"/>
  <c r="AZ910" i="178"/>
  <c r="BD910" i="178"/>
  <c r="BH910" i="178"/>
  <c r="BM910" i="178"/>
  <c r="AT910" i="178"/>
  <c r="BJ910" i="178"/>
  <c r="AX910" i="178"/>
  <c r="BB910" i="178"/>
  <c r="BF910" i="178"/>
  <c r="AR911" i="178"/>
  <c r="AV911" i="178"/>
  <c r="AZ911" i="178"/>
  <c r="BD911" i="178"/>
  <c r="BH911" i="178"/>
  <c r="BM911" i="178"/>
  <c r="AT911" i="178"/>
  <c r="AX911" i="178"/>
  <c r="BB911" i="178"/>
  <c r="BF911" i="178"/>
  <c r="BJ911" i="178"/>
  <c r="BK911" i="178"/>
  <c r="BK909" i="178"/>
  <c r="AR909" i="178"/>
  <c r="AV909" i="178"/>
  <c r="AZ909" i="178"/>
  <c r="BD909" i="178"/>
  <c r="BH909" i="178"/>
  <c r="BM909" i="178"/>
  <c r="BF909" i="178"/>
  <c r="AT909" i="178"/>
  <c r="BJ909" i="178"/>
  <c r="AX909" i="178"/>
  <c r="BB909" i="178"/>
  <c r="AR906" i="178"/>
  <c r="AV906" i="178"/>
  <c r="AZ906" i="178"/>
  <c r="BD906" i="178"/>
  <c r="BH906" i="178"/>
  <c r="BM906" i="178"/>
  <c r="AT906" i="178"/>
  <c r="AX906" i="178"/>
  <c r="BB906" i="178"/>
  <c r="BF906" i="178"/>
  <c r="BJ906" i="178"/>
  <c r="BK906" i="178"/>
  <c r="BK905" i="178"/>
  <c r="AR905" i="178"/>
  <c r="AV905" i="178"/>
  <c r="AZ905" i="178"/>
  <c r="BD905" i="178"/>
  <c r="BH905" i="178"/>
  <c r="BM905" i="178"/>
  <c r="BB905" i="178"/>
  <c r="BF905" i="178"/>
  <c r="AT905" i="178"/>
  <c r="BJ905" i="178"/>
  <c r="AX905" i="178"/>
  <c r="AT903" i="178"/>
  <c r="AX903" i="178"/>
  <c r="BB903" i="178"/>
  <c r="BF903" i="178"/>
  <c r="BJ903" i="178"/>
  <c r="BK903" i="178"/>
  <c r="AR903" i="178"/>
  <c r="AV903" i="178"/>
  <c r="AZ903" i="178"/>
  <c r="BD903" i="178"/>
  <c r="BH903" i="178"/>
  <c r="BM903" i="178"/>
  <c r="AR902" i="178"/>
  <c r="AV902" i="178"/>
  <c r="AZ902" i="178"/>
  <c r="BD902" i="178"/>
  <c r="BH902" i="178"/>
  <c r="BM902" i="178"/>
  <c r="AT902" i="178"/>
  <c r="AX902" i="178"/>
  <c r="BB902" i="178"/>
  <c r="BF902" i="178"/>
  <c r="BJ902" i="178"/>
  <c r="BK902" i="178"/>
  <c r="AT891" i="178"/>
  <c r="AX891" i="178"/>
  <c r="BB891" i="178"/>
  <c r="BF891" i="178"/>
  <c r="BJ891" i="178"/>
  <c r="BK891" i="178"/>
  <c r="AR891" i="178"/>
  <c r="AV891" i="178"/>
  <c r="AZ891" i="178"/>
  <c r="BD891" i="178"/>
  <c r="BH891" i="178"/>
  <c r="BM891" i="178"/>
  <c r="BM889" i="178"/>
  <c r="AT889" i="178"/>
  <c r="AX889" i="178"/>
  <c r="BB889" i="178"/>
  <c r="BF889" i="178"/>
  <c r="BJ889" i="178"/>
  <c r="BK889" i="178"/>
  <c r="AV889" i="178"/>
  <c r="AZ889" i="178"/>
  <c r="BD889" i="178"/>
  <c r="AR889" i="178"/>
  <c r="BH889" i="178"/>
  <c r="AR888" i="178"/>
  <c r="AV888" i="178"/>
  <c r="AZ888" i="178"/>
  <c r="BD888" i="178"/>
  <c r="BH888" i="178"/>
  <c r="BM888" i="178"/>
  <c r="AT888" i="178"/>
  <c r="AX888" i="178"/>
  <c r="BB888" i="178"/>
  <c r="BF888" i="178"/>
  <c r="BJ888" i="178"/>
  <c r="BK888" i="178"/>
  <c r="AT885" i="178"/>
  <c r="AX885" i="178"/>
  <c r="BB885" i="178"/>
  <c r="BF885" i="178"/>
  <c r="BJ885" i="178"/>
  <c r="BK885" i="178"/>
  <c r="AR885" i="178"/>
  <c r="AV885" i="178"/>
  <c r="AZ885" i="178"/>
  <c r="BD885" i="178"/>
  <c r="BH885" i="178"/>
  <c r="BM885" i="178"/>
  <c r="BK886" i="178"/>
  <c r="AR886" i="178"/>
  <c r="AV886" i="178"/>
  <c r="AZ886" i="178"/>
  <c r="BD886" i="178"/>
  <c r="BH886" i="178"/>
  <c r="BM886" i="178"/>
  <c r="BF886" i="178"/>
  <c r="AT886" i="178"/>
  <c r="BJ886" i="178"/>
  <c r="AX886" i="178"/>
  <c r="BB886" i="178"/>
  <c r="AT884" i="178"/>
  <c r="AX884" i="178"/>
  <c r="BB884" i="178"/>
  <c r="BF884" i="178"/>
  <c r="BJ884" i="178"/>
  <c r="BK884" i="178"/>
  <c r="AR884" i="178"/>
  <c r="AV884" i="178"/>
  <c r="AZ884" i="178"/>
  <c r="BD884" i="178"/>
  <c r="BH884" i="178"/>
  <c r="BM884" i="178"/>
  <c r="BM882" i="178"/>
  <c r="AT882" i="178"/>
  <c r="AX882" i="178"/>
  <c r="BB882" i="178"/>
  <c r="BF882" i="178"/>
  <c r="BJ882" i="178"/>
  <c r="BK882" i="178"/>
  <c r="BD882" i="178"/>
  <c r="AR882" i="178"/>
  <c r="BH882" i="178"/>
  <c r="AV882" i="178"/>
  <c r="AZ882" i="178"/>
  <c r="AR881" i="178"/>
  <c r="AV881" i="178"/>
  <c r="AZ881" i="178"/>
  <c r="BD881" i="178"/>
  <c r="BH881" i="178"/>
  <c r="BM881" i="178"/>
  <c r="AT881" i="178"/>
  <c r="AX881" i="178"/>
  <c r="BB881" i="178"/>
  <c r="BF881" i="178"/>
  <c r="BJ881" i="178"/>
  <c r="BK881" i="178"/>
  <c r="AT878" i="178"/>
  <c r="AX878" i="178"/>
  <c r="BB878" i="178"/>
  <c r="BF878" i="178"/>
  <c r="BJ878" i="178"/>
  <c r="BK878" i="178"/>
  <c r="AR878" i="178"/>
  <c r="AV878" i="178"/>
  <c r="AZ878" i="178"/>
  <c r="BD878" i="178"/>
  <c r="BH878" i="178"/>
  <c r="BM878" i="178"/>
  <c r="BK879" i="178"/>
  <c r="AR879" i="178"/>
  <c r="AV879" i="178"/>
  <c r="AZ879" i="178"/>
  <c r="BD879" i="178"/>
  <c r="BH879" i="178"/>
  <c r="BM879" i="178"/>
  <c r="AX879" i="178"/>
  <c r="BB879" i="178"/>
  <c r="BF879" i="178"/>
  <c r="AT879" i="178"/>
  <c r="BJ879" i="178"/>
  <c r="AT877" i="178"/>
  <c r="AX877" i="178"/>
  <c r="BB877" i="178"/>
  <c r="BF877" i="178"/>
  <c r="BJ877" i="178"/>
  <c r="BK877" i="178"/>
  <c r="AR877" i="178"/>
  <c r="AV877" i="178"/>
  <c r="AZ877" i="178"/>
  <c r="BD877" i="178"/>
  <c r="BH877" i="178"/>
  <c r="BM877" i="178"/>
  <c r="BM875" i="178"/>
  <c r="AT875" i="178"/>
  <c r="AX875" i="178"/>
  <c r="BB875" i="178"/>
  <c r="BF875" i="178"/>
  <c r="BJ875" i="178"/>
  <c r="BK875" i="178"/>
  <c r="AV875" i="178"/>
  <c r="AZ875" i="178"/>
  <c r="BD875" i="178"/>
  <c r="AR875" i="178"/>
  <c r="BH875" i="178"/>
  <c r="AT873" i="178"/>
  <c r="AX873" i="178"/>
  <c r="BB873" i="178"/>
  <c r="BF873" i="178"/>
  <c r="BJ873" i="178"/>
  <c r="BK873" i="178"/>
  <c r="AR873" i="178"/>
  <c r="AV873" i="178"/>
  <c r="AZ873" i="178"/>
  <c r="BD873" i="178"/>
  <c r="BH873" i="178"/>
  <c r="BM873" i="178"/>
  <c r="AT870" i="178"/>
  <c r="AX870" i="178"/>
  <c r="BB870" i="178"/>
  <c r="BF870" i="178"/>
  <c r="BJ870" i="178"/>
  <c r="BK870" i="178"/>
  <c r="AR870" i="178"/>
  <c r="AV870" i="178"/>
  <c r="AZ870" i="178"/>
  <c r="BD870" i="178"/>
  <c r="BH870" i="178"/>
  <c r="BM870" i="178"/>
  <c r="BM868" i="178"/>
  <c r="AT868" i="178"/>
  <c r="AX868" i="178"/>
  <c r="BB868" i="178"/>
  <c r="BF868" i="178"/>
  <c r="BJ868" i="178"/>
  <c r="BK868" i="178"/>
  <c r="AZ868" i="178"/>
  <c r="BD868" i="178"/>
  <c r="AR868" i="178"/>
  <c r="BH868" i="178"/>
  <c r="AV868" i="178"/>
  <c r="AR867" i="178"/>
  <c r="AV867" i="178"/>
  <c r="AZ867" i="178"/>
  <c r="BD867" i="178"/>
  <c r="BH867" i="178"/>
  <c r="BM867" i="178"/>
  <c r="AT867" i="178"/>
  <c r="AX867" i="178"/>
  <c r="BB867" i="178"/>
  <c r="BF867" i="178"/>
  <c r="BJ867" i="178"/>
  <c r="BK867" i="178"/>
  <c r="BM864" i="178"/>
  <c r="AT864" i="178"/>
  <c r="AX864" i="178"/>
  <c r="BB864" i="178"/>
  <c r="BF864" i="178"/>
  <c r="BJ864" i="178"/>
  <c r="BK864" i="178"/>
  <c r="AV864" i="178"/>
  <c r="AZ864" i="178"/>
  <c r="BD864" i="178"/>
  <c r="AR864" i="178"/>
  <c r="BH864" i="178"/>
  <c r="AR818" i="178"/>
  <c r="AV818" i="178"/>
  <c r="AZ818" i="178"/>
  <c r="BD818" i="178"/>
  <c r="BH818" i="178"/>
  <c r="BM818" i="178"/>
  <c r="AT818" i="178"/>
  <c r="BB818" i="178"/>
  <c r="BJ818" i="178"/>
  <c r="BK818" i="178"/>
  <c r="AX818" i="178"/>
  <c r="BF818" i="178"/>
  <c r="AT729" i="178"/>
  <c r="AX729" i="178"/>
  <c r="BB729" i="178"/>
  <c r="BF729" i="178"/>
  <c r="BJ729" i="178"/>
  <c r="BK729" i="178"/>
  <c r="AV729" i="178"/>
  <c r="BD729" i="178"/>
  <c r="BM729" i="178"/>
  <c r="AR729" i="178"/>
  <c r="AZ729" i="178"/>
  <c r="BH729" i="178"/>
  <c r="BM728" i="178"/>
  <c r="AT728" i="178"/>
  <c r="AX728" i="178"/>
  <c r="BB728" i="178"/>
  <c r="BF728" i="178"/>
  <c r="BJ728" i="178"/>
  <c r="BK728" i="178"/>
  <c r="AV728" i="178"/>
  <c r="BD728" i="178"/>
  <c r="AR728" i="178"/>
  <c r="AZ728" i="178"/>
  <c r="BH728" i="178"/>
  <c r="AR725" i="178"/>
  <c r="AV725" i="178"/>
  <c r="AZ725" i="178"/>
  <c r="BD725" i="178"/>
  <c r="BH725" i="178"/>
  <c r="BM725" i="178"/>
  <c r="AX725" i="178"/>
  <c r="BF725" i="178"/>
  <c r="AT725" i="178"/>
  <c r="BB725" i="178"/>
  <c r="BJ725" i="178"/>
  <c r="BK725" i="178"/>
  <c r="BM723" i="178"/>
  <c r="AT723" i="178"/>
  <c r="AX723" i="178"/>
  <c r="BB723" i="178"/>
  <c r="BF723" i="178"/>
  <c r="BJ723" i="178"/>
  <c r="BK723" i="178"/>
  <c r="AR723" i="178"/>
  <c r="BH723" i="178"/>
  <c r="AV723" i="178"/>
  <c r="AZ723" i="178"/>
  <c r="BD723" i="178"/>
  <c r="AR722" i="178"/>
  <c r="AV722" i="178"/>
  <c r="AZ722" i="178"/>
  <c r="BD722" i="178"/>
  <c r="BH722" i="178"/>
  <c r="BM722" i="178"/>
  <c r="AT722" i="178"/>
  <c r="AX722" i="178"/>
  <c r="BB722" i="178"/>
  <c r="BF722" i="178"/>
  <c r="BJ722" i="178"/>
  <c r="BK722" i="178"/>
  <c r="AR664" i="178"/>
  <c r="AV664" i="178"/>
  <c r="AZ664" i="178"/>
  <c r="BD664" i="178"/>
  <c r="BH664" i="178"/>
  <c r="BM664" i="178"/>
  <c r="AT664" i="178"/>
  <c r="AX664" i="178"/>
  <c r="BB664" i="178"/>
  <c r="BF664" i="178"/>
  <c r="BJ664" i="178"/>
  <c r="BK664" i="178"/>
  <c r="BK661" i="178"/>
  <c r="AR661" i="178"/>
  <c r="AV661" i="178"/>
  <c r="AZ661" i="178"/>
  <c r="BD661" i="178"/>
  <c r="BH661" i="178"/>
  <c r="BM661" i="178"/>
  <c r="AX661" i="178"/>
  <c r="BB661" i="178"/>
  <c r="BF661" i="178"/>
  <c r="BJ661" i="178"/>
  <c r="AT661" i="178"/>
  <c r="BM635" i="178"/>
  <c r="AT635" i="178"/>
  <c r="AX635" i="178"/>
  <c r="BB635" i="178"/>
  <c r="BF635" i="178"/>
  <c r="BJ635" i="178"/>
  <c r="BK635" i="178"/>
  <c r="AV635" i="178"/>
  <c r="AZ635" i="178"/>
  <c r="BD635" i="178"/>
  <c r="AR635" i="178"/>
  <c r="BH635" i="178"/>
  <c r="AR582" i="178"/>
  <c r="AV582" i="178"/>
  <c r="AZ582" i="178"/>
  <c r="BD582" i="178"/>
  <c r="BH582" i="178"/>
  <c r="BM582" i="178"/>
  <c r="AT582" i="178"/>
  <c r="AX582" i="178"/>
  <c r="BB582" i="178"/>
  <c r="BF582" i="178"/>
  <c r="BJ582" i="178"/>
  <c r="BK582" i="178"/>
  <c r="BK580" i="178"/>
  <c r="AR580" i="178"/>
  <c r="AV580" i="178"/>
  <c r="AZ580" i="178"/>
  <c r="BD580" i="178"/>
  <c r="BH580" i="178"/>
  <c r="BM580" i="178"/>
  <c r="AT580" i="178"/>
  <c r="BJ580" i="178"/>
  <c r="AX580" i="178"/>
  <c r="BB580" i="178"/>
  <c r="BF580" i="178"/>
  <c r="BM553" i="178"/>
  <c r="AT553" i="178"/>
  <c r="AX553" i="178"/>
  <c r="BB553" i="178"/>
  <c r="BF553" i="178"/>
  <c r="BJ553" i="178"/>
  <c r="BK553" i="178"/>
  <c r="AR553" i="178"/>
  <c r="BH553" i="178"/>
  <c r="AV553" i="178"/>
  <c r="AZ553" i="178"/>
  <c r="BD553" i="178"/>
  <c r="AT495" i="178"/>
  <c r="AX495" i="178"/>
  <c r="BB495" i="178"/>
  <c r="BF495" i="178"/>
  <c r="BJ495" i="178"/>
  <c r="BK495" i="178"/>
  <c r="AR495" i="178"/>
  <c r="AV495" i="178"/>
  <c r="AZ495" i="178"/>
  <c r="BD495" i="178"/>
  <c r="BH495" i="178"/>
  <c r="BM495" i="178"/>
  <c r="BM494" i="178"/>
  <c r="AT494" i="178"/>
  <c r="AX494" i="178"/>
  <c r="BB494" i="178"/>
  <c r="BF494" i="178"/>
  <c r="BJ494" i="178"/>
  <c r="BK494" i="178"/>
  <c r="AV494" i="178"/>
  <c r="AZ494" i="178"/>
  <c r="BD494" i="178"/>
  <c r="AR494" i="178"/>
  <c r="BH494" i="178"/>
  <c r="BM429" i="178"/>
  <c r="AT429" i="178"/>
  <c r="AX429" i="178"/>
  <c r="BB429" i="178"/>
  <c r="BF429" i="178"/>
  <c r="BJ429" i="178"/>
  <c r="BK429" i="178"/>
  <c r="AR429" i="178"/>
  <c r="BH429" i="178"/>
  <c r="AV429" i="178"/>
  <c r="AZ429" i="178"/>
  <c r="BD429" i="178"/>
  <c r="AR428" i="178"/>
  <c r="AV428" i="178"/>
  <c r="AZ428" i="178"/>
  <c r="BD428" i="178"/>
  <c r="BH428" i="178"/>
  <c r="BM428" i="178"/>
  <c r="AT428" i="178"/>
  <c r="AX428" i="178"/>
  <c r="BB428" i="178"/>
  <c r="BF428" i="178"/>
  <c r="BJ428" i="178"/>
  <c r="BK428" i="178"/>
  <c r="AR413" i="178"/>
  <c r="AV413" i="178"/>
  <c r="AZ413" i="178"/>
  <c r="BD413" i="178"/>
  <c r="BH413" i="178"/>
  <c r="BM413" i="178"/>
  <c r="AT413" i="178"/>
  <c r="AX413" i="178"/>
  <c r="BB413" i="178"/>
  <c r="BF413" i="178"/>
  <c r="BJ413" i="178"/>
  <c r="BK413" i="178"/>
  <c r="AT388" i="178"/>
  <c r="AX388" i="178"/>
  <c r="BB388" i="178"/>
  <c r="BF388" i="178"/>
  <c r="BJ388" i="178"/>
  <c r="BK388" i="178"/>
  <c r="AR388" i="178"/>
  <c r="AV388" i="178"/>
  <c r="AZ388" i="178"/>
  <c r="BD388" i="178"/>
  <c r="BH388" i="178"/>
  <c r="BM388" i="178"/>
  <c r="AT199" i="178"/>
  <c r="AX199" i="178"/>
  <c r="BB199" i="178"/>
  <c r="BF199" i="178"/>
  <c r="BJ199" i="178"/>
  <c r="BK199" i="178"/>
  <c r="AR199" i="178"/>
  <c r="AV199" i="178"/>
  <c r="AZ199" i="178"/>
  <c r="BD199" i="178"/>
  <c r="BH199" i="178"/>
  <c r="BM199" i="178"/>
  <c r="BM198" i="178"/>
  <c r="AT198" i="178"/>
  <c r="AX198" i="178"/>
  <c r="BB198" i="178"/>
  <c r="BF198" i="178"/>
  <c r="BJ198" i="178"/>
  <c r="BK198" i="178"/>
  <c r="AV198" i="178"/>
  <c r="AZ198" i="178"/>
  <c r="BD198" i="178"/>
  <c r="AR198" i="178"/>
  <c r="BH198" i="178"/>
  <c r="AR196" i="178"/>
  <c r="AV196" i="178"/>
  <c r="AZ196" i="178"/>
  <c r="BD196" i="178"/>
  <c r="BH196" i="178"/>
  <c r="BM196" i="178"/>
  <c r="AT196" i="178"/>
  <c r="AX196" i="178"/>
  <c r="BB196" i="178"/>
  <c r="BF196" i="178"/>
  <c r="BJ196" i="178"/>
  <c r="BK196" i="178"/>
  <c r="AT195" i="178"/>
  <c r="AX195" i="178"/>
  <c r="BB195" i="178"/>
  <c r="BF195" i="178"/>
  <c r="BJ195" i="178"/>
  <c r="BK195" i="178"/>
  <c r="AR195" i="178"/>
  <c r="AV195" i="178"/>
  <c r="AZ195" i="178"/>
  <c r="BD195" i="178"/>
  <c r="BH195" i="178"/>
  <c r="BM195" i="178"/>
  <c r="AR173" i="178"/>
  <c r="AV173" i="178"/>
  <c r="AZ173" i="178"/>
  <c r="BD173" i="178"/>
  <c r="BH173" i="178"/>
  <c r="BM173" i="178"/>
  <c r="AT173" i="178"/>
  <c r="AX173" i="178"/>
  <c r="BB173" i="178"/>
  <c r="BF173" i="178"/>
  <c r="BJ173" i="178"/>
  <c r="BK173" i="178"/>
  <c r="BK172" i="178"/>
  <c r="AR172" i="178"/>
  <c r="AV172" i="178"/>
  <c r="AZ172" i="178"/>
  <c r="BD172" i="178"/>
  <c r="BH172" i="178"/>
  <c r="BM172" i="178"/>
  <c r="BF172" i="178"/>
  <c r="AT172" i="178"/>
  <c r="BJ172" i="178"/>
  <c r="AX172" i="178"/>
  <c r="BB172" i="178"/>
  <c r="BK965" i="178"/>
  <c r="AR965" i="178"/>
  <c r="AV965" i="178"/>
  <c r="AZ965" i="178"/>
  <c r="BD965" i="178"/>
  <c r="BH965" i="178"/>
  <c r="BM965" i="178"/>
  <c r="BB965" i="178"/>
  <c r="BF965" i="178"/>
  <c r="AT965" i="178"/>
  <c r="BJ965" i="178"/>
  <c r="AX965" i="178"/>
  <c r="AT964" i="178"/>
  <c r="AX964" i="178"/>
  <c r="BB964" i="178"/>
  <c r="BF964" i="178"/>
  <c r="BJ964" i="178"/>
  <c r="BK964" i="178"/>
  <c r="AR964" i="178"/>
  <c r="AV964" i="178"/>
  <c r="AZ964" i="178"/>
  <c r="BD964" i="178"/>
  <c r="BH964" i="178"/>
  <c r="BM964" i="178"/>
  <c r="BM932" i="178"/>
  <c r="AT932" i="178"/>
  <c r="AX932" i="178"/>
  <c r="BB932" i="178"/>
  <c r="BF932" i="178"/>
  <c r="BJ932" i="178"/>
  <c r="BK932" i="178"/>
  <c r="AZ932" i="178"/>
  <c r="BD932" i="178"/>
  <c r="AR932" i="178"/>
  <c r="BH932" i="178"/>
  <c r="AV932" i="178"/>
  <c r="BM813" i="178"/>
  <c r="AT813" i="178"/>
  <c r="AX813" i="178"/>
  <c r="BB813" i="178"/>
  <c r="BF813" i="178"/>
  <c r="BJ813" i="178"/>
  <c r="BK813" i="178"/>
  <c r="AV813" i="178"/>
  <c r="AZ813" i="178"/>
  <c r="BD813" i="178"/>
  <c r="BH813" i="178"/>
  <c r="AR813" i="178"/>
  <c r="AR812" i="178"/>
  <c r="AV812" i="178"/>
  <c r="AZ812" i="178"/>
  <c r="BD812" i="178"/>
  <c r="BH812" i="178"/>
  <c r="BM812" i="178"/>
  <c r="AT812" i="178"/>
  <c r="AX812" i="178"/>
  <c r="BB812" i="178"/>
  <c r="BF812" i="178"/>
  <c r="BJ812" i="178"/>
  <c r="BK812" i="178"/>
  <c r="BK811" i="178"/>
  <c r="AR811" i="178"/>
  <c r="AV811" i="178"/>
  <c r="AZ811" i="178"/>
  <c r="BD811" i="178"/>
  <c r="BH811" i="178"/>
  <c r="BM811" i="178"/>
  <c r="AT811" i="178"/>
  <c r="BJ811" i="178"/>
  <c r="AX811" i="178"/>
  <c r="BB811" i="178"/>
  <c r="BF811" i="178"/>
  <c r="AT810" i="178"/>
  <c r="AX810" i="178"/>
  <c r="BB810" i="178"/>
  <c r="BF810" i="178"/>
  <c r="BJ810" i="178"/>
  <c r="BK810" i="178"/>
  <c r="AR810" i="178"/>
  <c r="AV810" i="178"/>
  <c r="AZ810" i="178"/>
  <c r="BD810" i="178"/>
  <c r="BH810" i="178"/>
  <c r="BM810" i="178"/>
  <c r="BM708" i="178"/>
  <c r="AT708" i="178"/>
  <c r="AX708" i="178"/>
  <c r="BB708" i="178"/>
  <c r="BF708" i="178"/>
  <c r="BJ708" i="178"/>
  <c r="BK708" i="178"/>
  <c r="AR708" i="178"/>
  <c r="BH708" i="178"/>
  <c r="AV708" i="178"/>
  <c r="AZ708" i="178"/>
  <c r="BD708" i="178"/>
  <c r="AR807" i="178"/>
  <c r="AV807" i="178"/>
  <c r="AZ807" i="178"/>
  <c r="BD807" i="178"/>
  <c r="BH807" i="178"/>
  <c r="BM807" i="178"/>
  <c r="AT807" i="178"/>
  <c r="AX807" i="178"/>
  <c r="BB807" i="178"/>
  <c r="BF807" i="178"/>
  <c r="BJ807" i="178"/>
  <c r="BK807" i="178"/>
  <c r="BK806" i="178"/>
  <c r="AR806" i="178"/>
  <c r="AV806" i="178"/>
  <c r="AZ806" i="178"/>
  <c r="BD806" i="178"/>
  <c r="BH806" i="178"/>
  <c r="BM806" i="178"/>
  <c r="BF806" i="178"/>
  <c r="AT806" i="178"/>
  <c r="BJ806" i="178"/>
  <c r="AX806" i="178"/>
  <c r="BB806" i="178"/>
  <c r="AT805" i="178"/>
  <c r="AX805" i="178"/>
  <c r="BB805" i="178"/>
  <c r="BF805" i="178"/>
  <c r="BJ805" i="178"/>
  <c r="BK805" i="178"/>
  <c r="AR805" i="178"/>
  <c r="AV805" i="178"/>
  <c r="AZ805" i="178"/>
  <c r="BD805" i="178"/>
  <c r="BH805" i="178"/>
  <c r="BM805" i="178"/>
  <c r="BM804" i="178"/>
  <c r="AT804" i="178"/>
  <c r="AX804" i="178"/>
  <c r="BB804" i="178"/>
  <c r="BF804" i="178"/>
  <c r="BJ804" i="178"/>
  <c r="BK804" i="178"/>
  <c r="BD804" i="178"/>
  <c r="AR804" i="178"/>
  <c r="BH804" i="178"/>
  <c r="AV804" i="178"/>
  <c r="AZ804" i="178"/>
  <c r="BK792" i="178"/>
  <c r="AR792" i="178"/>
  <c r="AV792" i="178"/>
  <c r="AZ792" i="178"/>
  <c r="BD792" i="178"/>
  <c r="BH792" i="178"/>
  <c r="BM792" i="178"/>
  <c r="BB792" i="178"/>
  <c r="BF792" i="178"/>
  <c r="AT792" i="178"/>
  <c r="BJ792" i="178"/>
  <c r="AX792" i="178"/>
  <c r="AT714" i="178"/>
  <c r="AX714" i="178"/>
  <c r="BB714" i="178"/>
  <c r="BF714" i="178"/>
  <c r="BJ714" i="178"/>
  <c r="BK714" i="178"/>
  <c r="AR714" i="178"/>
  <c r="AV714" i="178"/>
  <c r="AZ714" i="178"/>
  <c r="BD714" i="178"/>
  <c r="BH714" i="178"/>
  <c r="BM714" i="178"/>
  <c r="BM706" i="178"/>
  <c r="AT706" i="178"/>
  <c r="AX706" i="178"/>
  <c r="BB706" i="178"/>
  <c r="BF706" i="178"/>
  <c r="BJ706" i="178"/>
  <c r="BK706" i="178"/>
  <c r="AZ706" i="178"/>
  <c r="BD706" i="178"/>
  <c r="AR706" i="178"/>
  <c r="BH706" i="178"/>
  <c r="AV706" i="178"/>
  <c r="AR698" i="178"/>
  <c r="AV698" i="178"/>
  <c r="AZ698" i="178"/>
  <c r="BD698" i="178"/>
  <c r="BH698" i="178"/>
  <c r="BM698" i="178"/>
  <c r="AT698" i="178"/>
  <c r="AX698" i="178"/>
  <c r="BB698" i="178"/>
  <c r="BF698" i="178"/>
  <c r="BJ698" i="178"/>
  <c r="BK698" i="178"/>
  <c r="BK690" i="178"/>
  <c r="AR690" i="178"/>
  <c r="AV690" i="178"/>
  <c r="AZ690" i="178"/>
  <c r="BD690" i="178"/>
  <c r="BH690" i="178"/>
  <c r="BM690" i="178"/>
  <c r="AX690" i="178"/>
  <c r="BB690" i="178"/>
  <c r="BF690" i="178"/>
  <c r="BJ690" i="178"/>
  <c r="AT690" i="178"/>
  <c r="BM358" i="178"/>
  <c r="AT358" i="178"/>
  <c r="AX358" i="178"/>
  <c r="BB358" i="178"/>
  <c r="BF358" i="178"/>
  <c r="BJ358" i="178"/>
  <c r="BK358" i="178"/>
  <c r="AV358" i="178"/>
  <c r="AZ358" i="178"/>
  <c r="BD358" i="178"/>
  <c r="AR358" i="178"/>
  <c r="BH358" i="178"/>
  <c r="BK355" i="178"/>
  <c r="AR355" i="178"/>
  <c r="AV355" i="178"/>
  <c r="AZ355" i="178"/>
  <c r="BD355" i="178"/>
  <c r="BH355" i="178"/>
  <c r="BM355" i="178"/>
  <c r="AT355" i="178"/>
  <c r="BJ355" i="178"/>
  <c r="AX355" i="178"/>
  <c r="BB355" i="178"/>
  <c r="BF355" i="178"/>
  <c r="AT167" i="178"/>
  <c r="AX167" i="178"/>
  <c r="BB167" i="178"/>
  <c r="BF167" i="178"/>
  <c r="BJ167" i="178"/>
  <c r="BK167" i="178"/>
  <c r="AR167" i="178"/>
  <c r="AV167" i="178"/>
  <c r="AZ167" i="178"/>
  <c r="BD167" i="178"/>
  <c r="BH167" i="178"/>
  <c r="BM167" i="178"/>
  <c r="BM166" i="178"/>
  <c r="AT166" i="178"/>
  <c r="AX166" i="178"/>
  <c r="BB166" i="178"/>
  <c r="BF166" i="178"/>
  <c r="BJ166" i="178"/>
  <c r="BK166" i="178"/>
  <c r="AR166" i="178"/>
  <c r="BH166" i="178"/>
  <c r="AV166" i="178"/>
  <c r="AZ166" i="178"/>
  <c r="BD166" i="178"/>
  <c r="AR165" i="178"/>
  <c r="AV165" i="178"/>
  <c r="AZ165" i="178"/>
  <c r="BD165" i="178"/>
  <c r="BH165" i="178"/>
  <c r="BM165" i="178"/>
  <c r="AT165" i="178"/>
  <c r="AX165" i="178"/>
  <c r="BB165" i="178"/>
  <c r="BF165" i="178"/>
  <c r="BJ165" i="178"/>
  <c r="BK165" i="178"/>
  <c r="BK164" i="178"/>
  <c r="AR164" i="178"/>
  <c r="AV164" i="178"/>
  <c r="AZ164" i="178"/>
  <c r="BD164" i="178"/>
  <c r="BH164" i="178"/>
  <c r="BM164" i="178"/>
  <c r="BF164" i="178"/>
  <c r="AT164" i="178"/>
  <c r="BJ164" i="178"/>
  <c r="AX164" i="178"/>
  <c r="BB164" i="178"/>
  <c r="AT163" i="178"/>
  <c r="AX163" i="178"/>
  <c r="BB163" i="178"/>
  <c r="BF163" i="178"/>
  <c r="BJ163" i="178"/>
  <c r="BK163" i="178"/>
  <c r="AR163" i="178"/>
  <c r="AV163" i="178"/>
  <c r="AZ163" i="178"/>
  <c r="BD163" i="178"/>
  <c r="BH163" i="178"/>
  <c r="BM163" i="178"/>
  <c r="BM162" i="178"/>
  <c r="AT162" i="178"/>
  <c r="AX162" i="178"/>
  <c r="BB162" i="178"/>
  <c r="BF162" i="178"/>
  <c r="BJ162" i="178"/>
  <c r="BK162" i="178"/>
  <c r="BD162" i="178"/>
  <c r="AR162" i="178"/>
  <c r="BH162" i="178"/>
  <c r="AV162" i="178"/>
  <c r="AZ162" i="178"/>
  <c r="BK156" i="178"/>
  <c r="AR156" i="178"/>
  <c r="AV156" i="178"/>
  <c r="AZ156" i="178"/>
  <c r="BD156" i="178"/>
  <c r="BH156" i="178"/>
  <c r="BM156" i="178"/>
  <c r="AX156" i="178"/>
  <c r="BB156" i="178"/>
  <c r="BF156" i="178"/>
  <c r="AT156" i="178"/>
  <c r="BJ156" i="178"/>
  <c r="BM155" i="178"/>
  <c r="AT155" i="178"/>
  <c r="AX155" i="178"/>
  <c r="BB155" i="178"/>
  <c r="BF155" i="178"/>
  <c r="BJ155" i="178"/>
  <c r="BK155" i="178"/>
  <c r="AV155" i="178"/>
  <c r="AZ155" i="178"/>
  <c r="BD155" i="178"/>
  <c r="AR155" i="178"/>
  <c r="BH155" i="178"/>
  <c r="AR154" i="178"/>
  <c r="AV154" i="178"/>
  <c r="AZ154" i="178"/>
  <c r="BD154" i="178"/>
  <c r="BH154" i="178"/>
  <c r="BM154" i="178"/>
  <c r="AT154" i="178"/>
  <c r="AX154" i="178"/>
  <c r="BB154" i="178"/>
  <c r="BF154" i="178"/>
  <c r="BJ154" i="178"/>
  <c r="BK154" i="178"/>
  <c r="AT1124" i="178"/>
  <c r="AX1124" i="178"/>
  <c r="BB1124" i="178"/>
  <c r="BF1124" i="178"/>
  <c r="BJ1124" i="178"/>
  <c r="BK1124" i="178"/>
  <c r="AR1124" i="178"/>
  <c r="AV1124" i="178"/>
  <c r="AZ1124" i="178"/>
  <c r="BD1124" i="178"/>
  <c r="BH1124" i="178"/>
  <c r="BM1124" i="178"/>
  <c r="BM1123" i="178"/>
  <c r="AT1123" i="178"/>
  <c r="AX1123" i="178"/>
  <c r="BB1123" i="178"/>
  <c r="BF1123" i="178"/>
  <c r="BJ1123" i="178"/>
  <c r="BK1123" i="178"/>
  <c r="AV1123" i="178"/>
  <c r="AZ1123" i="178"/>
  <c r="BD1123" i="178"/>
  <c r="AR1123" i="178"/>
  <c r="BH1123" i="178"/>
  <c r="AR1120" i="178"/>
  <c r="AV1120" i="178"/>
  <c r="AZ1120" i="178"/>
  <c r="BD1120" i="178"/>
  <c r="BH1120" i="178"/>
  <c r="BM1120" i="178"/>
  <c r="AT1120" i="178"/>
  <c r="AX1120" i="178"/>
  <c r="BB1120" i="178"/>
  <c r="BF1120" i="178"/>
  <c r="BJ1120" i="178"/>
  <c r="BK1120" i="178"/>
  <c r="BK1118" i="178"/>
  <c r="AR1118" i="178"/>
  <c r="AV1118" i="178"/>
  <c r="AZ1118" i="178"/>
  <c r="BD1118" i="178"/>
  <c r="BH1118" i="178"/>
  <c r="BM1118" i="178"/>
  <c r="AT1118" i="178"/>
  <c r="BJ1118" i="178"/>
  <c r="AX1118" i="178"/>
  <c r="BB1118" i="178"/>
  <c r="BF1118" i="178"/>
  <c r="AT1116" i="178"/>
  <c r="AX1116" i="178"/>
  <c r="BB1116" i="178"/>
  <c r="BF1116" i="178"/>
  <c r="BJ1116" i="178"/>
  <c r="BK1116" i="178"/>
  <c r="AR1116" i="178"/>
  <c r="AV1116" i="178"/>
  <c r="AZ1116" i="178"/>
  <c r="BD1116" i="178"/>
  <c r="BH1116" i="178"/>
  <c r="BM1116" i="178"/>
  <c r="BM1115" i="178"/>
  <c r="AT1115" i="178"/>
  <c r="AX1115" i="178"/>
  <c r="BB1115" i="178"/>
  <c r="BF1115" i="178"/>
  <c r="BJ1115" i="178"/>
  <c r="BK1115" i="178"/>
  <c r="AR1115" i="178"/>
  <c r="BH1115" i="178"/>
  <c r="AV1115" i="178"/>
  <c r="AZ1115" i="178"/>
  <c r="BD1115" i="178"/>
  <c r="AT1033" i="178"/>
  <c r="AX1033" i="178"/>
  <c r="BB1033" i="178"/>
  <c r="BF1033" i="178"/>
  <c r="BJ1033" i="178"/>
  <c r="BK1033" i="178"/>
  <c r="AR1033" i="178"/>
  <c r="AV1033" i="178"/>
  <c r="AZ1033" i="178"/>
  <c r="BD1033" i="178"/>
  <c r="BH1033" i="178"/>
  <c r="BM1033" i="178"/>
  <c r="BM1032" i="178"/>
  <c r="AT1032" i="178"/>
  <c r="AX1032" i="178"/>
  <c r="BB1032" i="178"/>
  <c r="BF1032" i="178"/>
  <c r="BJ1032" i="178"/>
  <c r="BK1032" i="178"/>
  <c r="AZ1032" i="178"/>
  <c r="BD1032" i="178"/>
  <c r="AR1032" i="178"/>
  <c r="BH1032" i="178"/>
  <c r="AV1032" i="178"/>
  <c r="AT654" i="178"/>
  <c r="AX654" i="178"/>
  <c r="BB654" i="178"/>
  <c r="BF654" i="178"/>
  <c r="BJ654" i="178"/>
  <c r="BK654" i="178"/>
  <c r="AR654" i="178"/>
  <c r="AV654" i="178"/>
  <c r="AZ654" i="178"/>
  <c r="BD654" i="178"/>
  <c r="BH654" i="178"/>
  <c r="BM654" i="178"/>
  <c r="AR653" i="178"/>
  <c r="AV653" i="178"/>
  <c r="AZ653" i="178"/>
  <c r="BD653" i="178"/>
  <c r="BH653" i="178"/>
  <c r="BM653" i="178"/>
  <c r="AT653" i="178"/>
  <c r="AX653" i="178"/>
  <c r="BB653" i="178"/>
  <c r="BF653" i="178"/>
  <c r="BJ653" i="178"/>
  <c r="BK653" i="178"/>
  <c r="AT652" i="178"/>
  <c r="AX652" i="178"/>
  <c r="BB652" i="178"/>
  <c r="BF652" i="178"/>
  <c r="BJ652" i="178"/>
  <c r="BK652" i="178"/>
  <c r="AR652" i="178"/>
  <c r="AV652" i="178"/>
  <c r="AZ652" i="178"/>
  <c r="BD652" i="178"/>
  <c r="BH652" i="178"/>
  <c r="BM652" i="178"/>
  <c r="BM651" i="178"/>
  <c r="AT651" i="178"/>
  <c r="AX651" i="178"/>
  <c r="BB651" i="178"/>
  <c r="BF651" i="178"/>
  <c r="BJ651" i="178"/>
  <c r="BK651" i="178"/>
  <c r="BD651" i="178"/>
  <c r="AR651" i="178"/>
  <c r="BH651" i="178"/>
  <c r="AV651" i="178"/>
  <c r="AZ651" i="178"/>
  <c r="BK1276" i="178"/>
  <c r="AR1276" i="178"/>
  <c r="AV1276" i="178"/>
  <c r="AZ1276" i="178"/>
  <c r="BD1276" i="178"/>
  <c r="BH1276" i="178"/>
  <c r="BM1276" i="178"/>
  <c r="BB1276" i="178"/>
  <c r="BF1276" i="178"/>
  <c r="AT1276" i="178"/>
  <c r="BJ1276" i="178"/>
  <c r="AX1276" i="178"/>
  <c r="AR1193" i="178"/>
  <c r="AV1193" i="178"/>
  <c r="AZ1193" i="178"/>
  <c r="BD1193" i="178"/>
  <c r="BH1193" i="178"/>
  <c r="BM1193" i="178"/>
  <c r="AT1193" i="178"/>
  <c r="AX1193" i="178"/>
  <c r="BB1193" i="178"/>
  <c r="BF1193" i="178"/>
  <c r="BJ1193" i="178"/>
  <c r="BK1193" i="178"/>
  <c r="BK1192" i="178"/>
  <c r="AR1192" i="178"/>
  <c r="AV1192" i="178"/>
  <c r="AZ1192" i="178"/>
  <c r="BD1192" i="178"/>
  <c r="BH1192" i="178"/>
  <c r="BM1192" i="178"/>
  <c r="AX1192" i="178"/>
  <c r="BB1192" i="178"/>
  <c r="BF1192" i="178"/>
  <c r="BJ1192" i="178"/>
  <c r="AT1192" i="178"/>
  <c r="AT1191" i="178"/>
  <c r="AX1191" i="178"/>
  <c r="BB1191" i="178"/>
  <c r="BF1191" i="178"/>
  <c r="BJ1191" i="178"/>
  <c r="BK1191" i="178"/>
  <c r="AR1191" i="178"/>
  <c r="AV1191" i="178"/>
  <c r="AZ1191" i="178"/>
  <c r="BD1191" i="178"/>
  <c r="BH1191" i="178"/>
  <c r="BM1191" i="178"/>
  <c r="BM1194" i="178"/>
  <c r="AT1194" i="178"/>
  <c r="AX1194" i="178"/>
  <c r="BB1194" i="178"/>
  <c r="BF1194" i="178"/>
  <c r="BJ1194" i="178"/>
  <c r="BK1194" i="178"/>
  <c r="AV1194" i="178"/>
  <c r="AZ1194" i="178"/>
  <c r="BD1194" i="178"/>
  <c r="AR1194" i="178"/>
  <c r="BH1194" i="178"/>
  <c r="AR1190" i="178"/>
  <c r="AV1190" i="178"/>
  <c r="AZ1190" i="178"/>
  <c r="BD1190" i="178"/>
  <c r="BH1190" i="178"/>
  <c r="BM1190" i="178"/>
  <c r="AT1190" i="178"/>
  <c r="AX1190" i="178"/>
  <c r="BB1190" i="178"/>
  <c r="BF1190" i="178"/>
  <c r="BJ1190" i="178"/>
  <c r="BK1190" i="178"/>
  <c r="BM1178" i="178"/>
  <c r="AT1178" i="178"/>
  <c r="AX1178" i="178"/>
  <c r="BB1178" i="178"/>
  <c r="BF1178" i="178"/>
  <c r="BJ1178" i="178"/>
  <c r="BK1178" i="178"/>
  <c r="BD1178" i="178"/>
  <c r="AR1178" i="178"/>
  <c r="BH1178" i="178"/>
  <c r="AV1178" i="178"/>
  <c r="AZ1178" i="178"/>
  <c r="AR1175" i="178"/>
  <c r="AV1175" i="178"/>
  <c r="AZ1175" i="178"/>
  <c r="BD1175" i="178"/>
  <c r="BH1175" i="178"/>
  <c r="BM1175" i="178"/>
  <c r="AT1175" i="178"/>
  <c r="AX1175" i="178"/>
  <c r="BB1175" i="178"/>
  <c r="BF1175" i="178"/>
  <c r="BJ1175" i="178"/>
  <c r="BK1175" i="178"/>
  <c r="BK1177" i="178"/>
  <c r="AR1177" i="178"/>
  <c r="AV1177" i="178"/>
  <c r="AZ1177" i="178"/>
  <c r="BD1177" i="178"/>
  <c r="BH1177" i="178"/>
  <c r="BM1177" i="178"/>
  <c r="BB1177" i="178"/>
  <c r="BF1177" i="178"/>
  <c r="AT1177" i="178"/>
  <c r="BJ1177" i="178"/>
  <c r="AX1177" i="178"/>
  <c r="AT1174" i="178"/>
  <c r="AX1174" i="178"/>
  <c r="BB1174" i="178"/>
  <c r="BF1174" i="178"/>
  <c r="BJ1174" i="178"/>
  <c r="BK1174" i="178"/>
  <c r="AR1174" i="178"/>
  <c r="AV1174" i="178"/>
  <c r="AZ1174" i="178"/>
  <c r="BD1174" i="178"/>
  <c r="BH1174" i="178"/>
  <c r="BM1174" i="178"/>
  <c r="BM1176" i="178"/>
  <c r="AT1176" i="178"/>
  <c r="AX1176" i="178"/>
  <c r="BB1176" i="178"/>
  <c r="BF1176" i="178"/>
  <c r="BJ1176" i="178"/>
  <c r="BK1176" i="178"/>
  <c r="AZ1176" i="178"/>
  <c r="BD1176" i="178"/>
  <c r="AR1176" i="178"/>
  <c r="BH1176" i="178"/>
  <c r="AV1176" i="178"/>
  <c r="AR1173" i="178"/>
  <c r="AV1173" i="178"/>
  <c r="AZ1173" i="178"/>
  <c r="BD1173" i="178"/>
  <c r="BH1173" i="178"/>
  <c r="BM1173" i="178"/>
  <c r="AT1173" i="178"/>
  <c r="AX1173" i="178"/>
  <c r="BB1173" i="178"/>
  <c r="BF1173" i="178"/>
  <c r="BJ1173" i="178"/>
  <c r="BK1173" i="178"/>
  <c r="BK1171" i="178"/>
  <c r="AR1171" i="178"/>
  <c r="AV1171" i="178"/>
  <c r="AZ1171" i="178"/>
  <c r="BD1171" i="178"/>
  <c r="BH1171" i="178"/>
  <c r="BM1171" i="178"/>
  <c r="AX1171" i="178"/>
  <c r="BB1171" i="178"/>
  <c r="BF1171" i="178"/>
  <c r="AT1171" i="178"/>
  <c r="BJ1171" i="178"/>
  <c r="AT1172" i="178"/>
  <c r="AX1172" i="178"/>
  <c r="BB1172" i="178"/>
  <c r="AR1172" i="178"/>
  <c r="AZ1172" i="178"/>
  <c r="BF1172" i="178"/>
  <c r="BJ1172" i="178"/>
  <c r="BK1172" i="178"/>
  <c r="AV1172" i="178"/>
  <c r="BD1172" i="178"/>
  <c r="BH1172" i="178"/>
  <c r="BM1172" i="178"/>
  <c r="AT1163" i="178"/>
  <c r="AX1163" i="178"/>
  <c r="BB1163" i="178"/>
  <c r="BF1163" i="178"/>
  <c r="BJ1163" i="178"/>
  <c r="BK1163" i="178"/>
  <c r="AV1163" i="178"/>
  <c r="BD1163" i="178"/>
  <c r="BM1163" i="178"/>
  <c r="AR1163" i="178"/>
  <c r="AZ1163" i="178"/>
  <c r="BH1163" i="178"/>
  <c r="AR1162" i="178"/>
  <c r="AV1162" i="178"/>
  <c r="AZ1162" i="178"/>
  <c r="BD1162" i="178"/>
  <c r="BH1162" i="178"/>
  <c r="BM1162" i="178"/>
  <c r="AT1162" i="178"/>
  <c r="BB1162" i="178"/>
  <c r="BJ1162" i="178"/>
  <c r="BK1162" i="178"/>
  <c r="AX1162" i="178"/>
  <c r="BF1162" i="178"/>
  <c r="BK1161" i="178"/>
  <c r="AR1161" i="178"/>
  <c r="AV1161" i="178"/>
  <c r="AZ1161" i="178"/>
  <c r="BD1161" i="178"/>
  <c r="BH1161" i="178"/>
  <c r="AT1161" i="178"/>
  <c r="BB1161" i="178"/>
  <c r="BJ1161" i="178"/>
  <c r="BM1161" i="178"/>
  <c r="BF1161" i="178"/>
  <c r="AX1161" i="178"/>
  <c r="AT1160" i="178"/>
  <c r="AX1160" i="178"/>
  <c r="BB1160" i="178"/>
  <c r="BF1160" i="178"/>
  <c r="BJ1160" i="178"/>
  <c r="BK1160" i="178"/>
  <c r="AR1160" i="178"/>
  <c r="AZ1160" i="178"/>
  <c r="BH1160" i="178"/>
  <c r="AV1160" i="178"/>
  <c r="BD1160" i="178"/>
  <c r="BM1160" i="178"/>
  <c r="AR1142" i="178"/>
  <c r="AV1142" i="178"/>
  <c r="AZ1142" i="178"/>
  <c r="BD1142" i="178"/>
  <c r="BH1142" i="178"/>
  <c r="BM1142" i="178"/>
  <c r="AX1142" i="178"/>
  <c r="BF1142" i="178"/>
  <c r="AT1142" i="178"/>
  <c r="BB1142" i="178"/>
  <c r="BJ1142" i="178"/>
  <c r="BK1142" i="178"/>
  <c r="BK1145" i="178"/>
  <c r="AR1145" i="178"/>
  <c r="AV1145" i="178"/>
  <c r="AZ1145" i="178"/>
  <c r="BD1145" i="178"/>
  <c r="BH1145" i="178"/>
  <c r="BM1145" i="178"/>
  <c r="AX1145" i="178"/>
  <c r="BF1145" i="178"/>
  <c r="AT1145" i="178"/>
  <c r="BB1145" i="178"/>
  <c r="BJ1145" i="178"/>
  <c r="BM1143" i="178"/>
  <c r="AT1143" i="178"/>
  <c r="AX1143" i="178"/>
  <c r="BB1143" i="178"/>
  <c r="BF1143" i="178"/>
  <c r="BJ1143" i="178"/>
  <c r="BK1143" i="178"/>
  <c r="AV1143" i="178"/>
  <c r="BD1143" i="178"/>
  <c r="BH1143" i="178"/>
  <c r="AR1143" i="178"/>
  <c r="AZ1143" i="178"/>
  <c r="BK1141" i="178"/>
  <c r="AR1141" i="178"/>
  <c r="AV1141" i="178"/>
  <c r="AZ1141" i="178"/>
  <c r="BD1141" i="178"/>
  <c r="BH1141" i="178"/>
  <c r="AT1141" i="178"/>
  <c r="BB1141" i="178"/>
  <c r="BJ1141" i="178"/>
  <c r="BM1141" i="178"/>
  <c r="AX1141" i="178"/>
  <c r="BF1141" i="178"/>
  <c r="AT1140" i="178"/>
  <c r="AX1140" i="178"/>
  <c r="BB1140" i="178"/>
  <c r="BF1140" i="178"/>
  <c r="BJ1140" i="178"/>
  <c r="BK1140" i="178"/>
  <c r="AR1140" i="178"/>
  <c r="AZ1140" i="178"/>
  <c r="BH1140" i="178"/>
  <c r="AV1140" i="178"/>
  <c r="BD1140" i="178"/>
  <c r="BM1140" i="178"/>
  <c r="BM1139" i="178"/>
  <c r="AT1139" i="178"/>
  <c r="AX1139" i="178"/>
  <c r="BB1139" i="178"/>
  <c r="BF1139" i="178"/>
  <c r="BJ1139" i="178"/>
  <c r="AR1139" i="178"/>
  <c r="AZ1139" i="178"/>
  <c r="BH1139" i="178"/>
  <c r="BK1139" i="178"/>
  <c r="BD1139" i="178"/>
  <c r="AV1139" i="178"/>
  <c r="AR1144" i="178"/>
  <c r="AV1144" i="178"/>
  <c r="AZ1144" i="178"/>
  <c r="BD1144" i="178"/>
  <c r="BH1144" i="178"/>
  <c r="BM1144" i="178"/>
  <c r="AX1144" i="178"/>
  <c r="BF1144" i="178"/>
  <c r="AT1144" i="178"/>
  <c r="BB1144" i="178"/>
  <c r="BJ1144" i="178"/>
  <c r="BK1144" i="178"/>
  <c r="BK1138" i="178"/>
  <c r="AR1138" i="178"/>
  <c r="AV1138" i="178"/>
  <c r="AZ1138" i="178"/>
  <c r="BD1138" i="178"/>
  <c r="BH1138" i="178"/>
  <c r="BM1138" i="178"/>
  <c r="AX1138" i="178"/>
  <c r="BF1138" i="178"/>
  <c r="AT1138" i="178"/>
  <c r="BB1138" i="178"/>
  <c r="BJ1138" i="178"/>
  <c r="AT1076" i="178"/>
  <c r="AX1076" i="178"/>
  <c r="BB1076" i="178"/>
  <c r="BF1076" i="178"/>
  <c r="BJ1076" i="178"/>
  <c r="BK1076" i="178"/>
  <c r="AV1076" i="178"/>
  <c r="BD1076" i="178"/>
  <c r="BM1076" i="178"/>
  <c r="AR1076" i="178"/>
  <c r="AZ1076" i="178"/>
  <c r="BH1076" i="178"/>
  <c r="AR1075" i="178"/>
  <c r="AV1075" i="178"/>
  <c r="AZ1075" i="178"/>
  <c r="BD1075" i="178"/>
  <c r="BH1075" i="178"/>
  <c r="BM1075" i="178"/>
  <c r="AT1075" i="178"/>
  <c r="BB1075" i="178"/>
  <c r="BJ1075" i="178"/>
  <c r="BK1075" i="178"/>
  <c r="AX1075" i="178"/>
  <c r="BF1075" i="178"/>
  <c r="AT1074" i="178"/>
  <c r="AX1074" i="178"/>
  <c r="BB1074" i="178"/>
  <c r="BF1074" i="178"/>
  <c r="BJ1074" i="178"/>
  <c r="BK1074" i="178"/>
  <c r="AR1074" i="178"/>
  <c r="AZ1074" i="178"/>
  <c r="BH1074" i="178"/>
  <c r="AV1074" i="178"/>
  <c r="BD1074" i="178"/>
  <c r="BM1074" i="178"/>
  <c r="BM1073" i="178"/>
  <c r="AT1073" i="178"/>
  <c r="AX1073" i="178"/>
  <c r="BB1073" i="178"/>
  <c r="BF1073" i="178"/>
  <c r="BJ1073" i="178"/>
  <c r="AV1073" i="178"/>
  <c r="AZ1073" i="178"/>
  <c r="BH1073" i="178"/>
  <c r="BK1073" i="178"/>
  <c r="AR1073" i="178"/>
  <c r="BD1073" i="178"/>
  <c r="BK1072" i="178"/>
  <c r="AR1072" i="178"/>
  <c r="AV1072" i="178"/>
  <c r="AZ1072" i="178"/>
  <c r="BD1072" i="178"/>
  <c r="BH1072" i="178"/>
  <c r="BM1072" i="178"/>
  <c r="AT1072" i="178"/>
  <c r="BJ1072" i="178"/>
  <c r="AX1072" i="178"/>
  <c r="BB1072" i="178"/>
  <c r="BF1072" i="178"/>
  <c r="BM1077" i="178"/>
  <c r="AT1077" i="178"/>
  <c r="AX1077" i="178"/>
  <c r="BB1077" i="178"/>
  <c r="BF1077" i="178"/>
  <c r="BJ1077" i="178"/>
  <c r="BK1077" i="178"/>
  <c r="AR1077" i="178"/>
  <c r="BH1077" i="178"/>
  <c r="AV1077" i="178"/>
  <c r="AZ1077" i="178"/>
  <c r="BD1077" i="178"/>
  <c r="AR1071" i="178"/>
  <c r="AV1071" i="178"/>
  <c r="AZ1071" i="178"/>
  <c r="BD1071" i="178"/>
  <c r="BH1071" i="178"/>
  <c r="BM1071" i="178"/>
  <c r="AT1071" i="178"/>
  <c r="AX1071" i="178"/>
  <c r="BB1071" i="178"/>
  <c r="BF1071" i="178"/>
  <c r="BJ1071" i="178"/>
  <c r="BK1071" i="178"/>
  <c r="BK1067" i="178"/>
  <c r="AR1067" i="178"/>
  <c r="AV1067" i="178"/>
  <c r="AZ1067" i="178"/>
  <c r="BD1067" i="178"/>
  <c r="BH1067" i="178"/>
  <c r="BM1067" i="178"/>
  <c r="BF1067" i="178"/>
  <c r="AT1067" i="178"/>
  <c r="BJ1067" i="178"/>
  <c r="AX1067" i="178"/>
  <c r="BB1067" i="178"/>
  <c r="BM1070" i="178"/>
  <c r="AT1070" i="178"/>
  <c r="AX1070" i="178"/>
  <c r="BB1070" i="178"/>
  <c r="BF1070" i="178"/>
  <c r="BJ1070" i="178"/>
  <c r="BK1070" i="178"/>
  <c r="BD1070" i="178"/>
  <c r="AR1070" i="178"/>
  <c r="BH1070" i="178"/>
  <c r="AV1070" i="178"/>
  <c r="AZ1070" i="178"/>
  <c r="AR1066" i="178"/>
  <c r="AV1066" i="178"/>
  <c r="AZ1066" i="178"/>
  <c r="BD1066" i="178"/>
  <c r="BH1066" i="178"/>
  <c r="BM1066" i="178"/>
  <c r="AT1066" i="178"/>
  <c r="AX1066" i="178"/>
  <c r="BB1066" i="178"/>
  <c r="BF1066" i="178"/>
  <c r="BJ1066" i="178"/>
  <c r="BK1066" i="178"/>
  <c r="AR1069" i="178"/>
  <c r="AV1069" i="178"/>
  <c r="AZ1069" i="178"/>
  <c r="BD1069" i="178"/>
  <c r="BH1069" i="178"/>
  <c r="BM1069" i="178"/>
  <c r="AT1069" i="178"/>
  <c r="AX1069" i="178"/>
  <c r="BB1069" i="178"/>
  <c r="BF1069" i="178"/>
  <c r="BJ1069" i="178"/>
  <c r="BK1069" i="178"/>
  <c r="AT1068" i="178"/>
  <c r="AX1068" i="178"/>
  <c r="BB1068" i="178"/>
  <c r="BF1068" i="178"/>
  <c r="BJ1068" i="178"/>
  <c r="BK1068" i="178"/>
  <c r="AR1068" i="178"/>
  <c r="AV1068" i="178"/>
  <c r="AZ1068" i="178"/>
  <c r="BD1068" i="178"/>
  <c r="BH1068" i="178"/>
  <c r="BM1068" i="178"/>
  <c r="BK1056" i="178"/>
  <c r="AR1056" i="178"/>
  <c r="AV1056" i="178"/>
  <c r="AZ1056" i="178"/>
  <c r="BD1056" i="178"/>
  <c r="BH1056" i="178"/>
  <c r="BM1056" i="178"/>
  <c r="AT1056" i="178"/>
  <c r="BJ1056" i="178"/>
  <c r="AX1056" i="178"/>
  <c r="BB1056" i="178"/>
  <c r="BF1056" i="178"/>
  <c r="AT1052" i="178"/>
  <c r="AX1052" i="178"/>
  <c r="BB1052" i="178"/>
  <c r="BF1052" i="178"/>
  <c r="BJ1052" i="178"/>
  <c r="BK1052" i="178"/>
  <c r="AR1052" i="178"/>
  <c r="AV1052" i="178"/>
  <c r="AZ1052" i="178"/>
  <c r="BD1052" i="178"/>
  <c r="BH1052" i="178"/>
  <c r="BM1052" i="178"/>
  <c r="BM1055" i="178"/>
  <c r="AT1055" i="178"/>
  <c r="AX1055" i="178"/>
  <c r="BB1055" i="178"/>
  <c r="BF1055" i="178"/>
  <c r="BJ1055" i="178"/>
  <c r="BK1055" i="178"/>
  <c r="AR1055" i="178"/>
  <c r="BH1055" i="178"/>
  <c r="AV1055" i="178"/>
  <c r="AZ1055" i="178"/>
  <c r="BD1055" i="178"/>
  <c r="AR1054" i="178"/>
  <c r="AV1054" i="178"/>
  <c r="AZ1054" i="178"/>
  <c r="BD1054" i="178"/>
  <c r="BH1054" i="178"/>
  <c r="BM1054" i="178"/>
  <c r="AT1054" i="178"/>
  <c r="AX1054" i="178"/>
  <c r="BB1054" i="178"/>
  <c r="BF1054" i="178"/>
  <c r="BJ1054" i="178"/>
  <c r="BK1054" i="178"/>
  <c r="AT1053" i="178"/>
  <c r="AX1053" i="178"/>
  <c r="BB1053" i="178"/>
  <c r="BF1053" i="178"/>
  <c r="BJ1053" i="178"/>
  <c r="BK1053" i="178"/>
  <c r="AR1053" i="178"/>
  <c r="AV1053" i="178"/>
  <c r="AZ1053" i="178"/>
  <c r="BD1053" i="178"/>
  <c r="BH1053" i="178"/>
  <c r="BM1053" i="178"/>
  <c r="BM1050" i="178"/>
  <c r="AT1050" i="178"/>
  <c r="AX1050" i="178"/>
  <c r="BB1050" i="178"/>
  <c r="BF1050" i="178"/>
  <c r="BJ1050" i="178"/>
  <c r="BK1050" i="178"/>
  <c r="BD1050" i="178"/>
  <c r="AR1050" i="178"/>
  <c r="BH1050" i="178"/>
  <c r="AV1050" i="178"/>
  <c r="AZ1050" i="178"/>
  <c r="AR1047" i="178"/>
  <c r="AV1047" i="178"/>
  <c r="AZ1047" i="178"/>
  <c r="BD1047" i="178"/>
  <c r="BH1047" i="178"/>
  <c r="BM1047" i="178"/>
  <c r="AT1047" i="178"/>
  <c r="AX1047" i="178"/>
  <c r="BB1047" i="178"/>
  <c r="BF1047" i="178"/>
  <c r="BJ1047" i="178"/>
  <c r="BK1047" i="178"/>
  <c r="BK1049" i="178"/>
  <c r="AR1049" i="178"/>
  <c r="AV1049" i="178"/>
  <c r="AZ1049" i="178"/>
  <c r="BD1049" i="178"/>
  <c r="BH1049" i="178"/>
  <c r="BM1049" i="178"/>
  <c r="BB1049" i="178"/>
  <c r="BF1049" i="178"/>
  <c r="AT1049" i="178"/>
  <c r="BJ1049" i="178"/>
  <c r="AX1049" i="178"/>
  <c r="AT1048" i="178"/>
  <c r="AX1048" i="178"/>
  <c r="BB1048" i="178"/>
  <c r="BF1048" i="178"/>
  <c r="BJ1048" i="178"/>
  <c r="BK1048" i="178"/>
  <c r="AR1048" i="178"/>
  <c r="AV1048" i="178"/>
  <c r="AZ1048" i="178"/>
  <c r="BD1048" i="178"/>
  <c r="BH1048" i="178"/>
  <c r="BM1048" i="178"/>
  <c r="BK1040" i="178"/>
  <c r="AR1040" i="178"/>
  <c r="AV1040" i="178"/>
  <c r="AZ1040" i="178"/>
  <c r="BD1040" i="178"/>
  <c r="BH1040" i="178"/>
  <c r="BM1040" i="178"/>
  <c r="AT1040" i="178"/>
  <c r="BJ1040" i="178"/>
  <c r="AX1040" i="178"/>
  <c r="BB1040" i="178"/>
  <c r="BF1040" i="178"/>
  <c r="AT1038" i="178"/>
  <c r="AX1038" i="178"/>
  <c r="BB1038" i="178"/>
  <c r="BF1038" i="178"/>
  <c r="BJ1038" i="178"/>
  <c r="BK1038" i="178"/>
  <c r="AR1038" i="178"/>
  <c r="AV1038" i="178"/>
  <c r="AZ1038" i="178"/>
  <c r="BD1038" i="178"/>
  <c r="BH1038" i="178"/>
  <c r="BM1038" i="178"/>
  <c r="BM1037" i="178"/>
  <c r="AT1037" i="178"/>
  <c r="AX1037" i="178"/>
  <c r="BB1037" i="178"/>
  <c r="BF1037" i="178"/>
  <c r="BJ1037" i="178"/>
  <c r="BK1037" i="178"/>
  <c r="AR1037" i="178"/>
  <c r="BH1037" i="178"/>
  <c r="AV1037" i="178"/>
  <c r="AZ1037" i="178"/>
  <c r="BD1037" i="178"/>
  <c r="AR1039" i="178"/>
  <c r="AV1039" i="178"/>
  <c r="AZ1039" i="178"/>
  <c r="BD1039" i="178"/>
  <c r="BH1039" i="178"/>
  <c r="BM1039" i="178"/>
  <c r="AT1039" i="178"/>
  <c r="AX1039" i="178"/>
  <c r="BB1039" i="178"/>
  <c r="BF1039" i="178"/>
  <c r="BJ1039" i="178"/>
  <c r="BK1039" i="178"/>
  <c r="BK1036" i="178"/>
  <c r="AR1036" i="178"/>
  <c r="AV1036" i="178"/>
  <c r="AZ1036" i="178"/>
  <c r="BD1036" i="178"/>
  <c r="BH1036" i="178"/>
  <c r="BM1036" i="178"/>
  <c r="BF1036" i="178"/>
  <c r="AT1036" i="178"/>
  <c r="BJ1036" i="178"/>
  <c r="AX1036" i="178"/>
  <c r="BB1036" i="178"/>
  <c r="AT1023" i="178"/>
  <c r="AX1023" i="178"/>
  <c r="BB1023" i="178"/>
  <c r="BF1023" i="178"/>
  <c r="BJ1023" i="178"/>
  <c r="BK1023" i="178"/>
  <c r="AR1023" i="178"/>
  <c r="AV1023" i="178"/>
  <c r="AZ1023" i="178"/>
  <c r="BD1023" i="178"/>
  <c r="BH1023" i="178"/>
  <c r="BM1023" i="178"/>
  <c r="BM1022" i="178"/>
  <c r="AT1022" i="178"/>
  <c r="AX1022" i="178"/>
  <c r="BB1022" i="178"/>
  <c r="BF1022" i="178"/>
  <c r="BJ1022" i="178"/>
  <c r="BK1022" i="178"/>
  <c r="BD1022" i="178"/>
  <c r="AR1022" i="178"/>
  <c r="BH1022" i="178"/>
  <c r="AV1022" i="178"/>
  <c r="AZ1022" i="178"/>
  <c r="AR1027" i="178"/>
  <c r="AV1027" i="178"/>
  <c r="AZ1027" i="178"/>
  <c r="BD1027" i="178"/>
  <c r="BH1027" i="178"/>
  <c r="BM1027" i="178"/>
  <c r="AT1027" i="178"/>
  <c r="AX1027" i="178"/>
  <c r="BB1027" i="178"/>
  <c r="BF1027" i="178"/>
  <c r="BJ1027" i="178"/>
  <c r="BK1027" i="178"/>
  <c r="AT1021" i="178"/>
  <c r="AX1021" i="178"/>
  <c r="BB1021" i="178"/>
  <c r="BF1021" i="178"/>
  <c r="BJ1021" i="178"/>
  <c r="BK1021" i="178"/>
  <c r="AR1021" i="178"/>
  <c r="AV1021" i="178"/>
  <c r="AZ1021" i="178"/>
  <c r="BD1021" i="178"/>
  <c r="BH1021" i="178"/>
  <c r="BM1021" i="178"/>
  <c r="BM1020" i="178"/>
  <c r="AT1020" i="178"/>
  <c r="AX1020" i="178"/>
  <c r="BB1020" i="178"/>
  <c r="BF1020" i="178"/>
  <c r="BJ1020" i="178"/>
  <c r="BK1020" i="178"/>
  <c r="AZ1020" i="178"/>
  <c r="BD1020" i="178"/>
  <c r="AR1020" i="178"/>
  <c r="BH1020" i="178"/>
  <c r="AV1020" i="178"/>
  <c r="BM1014" i="178"/>
  <c r="AT1014" i="178"/>
  <c r="AX1014" i="178"/>
  <c r="BB1014" i="178"/>
  <c r="BF1014" i="178"/>
  <c r="BJ1014" i="178"/>
  <c r="BK1014" i="178"/>
  <c r="AV1014" i="178"/>
  <c r="AZ1014" i="178"/>
  <c r="BD1014" i="178"/>
  <c r="BH1014" i="178"/>
  <c r="AR1014" i="178"/>
  <c r="AR1013" i="178"/>
  <c r="AV1013" i="178"/>
  <c r="AZ1013" i="178"/>
  <c r="BD1013" i="178"/>
  <c r="BH1013" i="178"/>
  <c r="BM1013" i="178"/>
  <c r="AT1013" i="178"/>
  <c r="AX1013" i="178"/>
  <c r="BB1013" i="178"/>
  <c r="BF1013" i="178"/>
  <c r="BJ1013" i="178"/>
  <c r="BK1013" i="178"/>
  <c r="AT1012" i="178"/>
  <c r="AX1012" i="178"/>
  <c r="BB1012" i="178"/>
  <c r="BF1012" i="178"/>
  <c r="BJ1012" i="178"/>
  <c r="BK1012" i="178"/>
  <c r="AR1012" i="178"/>
  <c r="AV1012" i="178"/>
  <c r="AZ1012" i="178"/>
  <c r="BD1012" i="178"/>
  <c r="BH1012" i="178"/>
  <c r="BM1012" i="178"/>
  <c r="BM1005" i="178"/>
  <c r="AT1005" i="178"/>
  <c r="AX1005" i="178"/>
  <c r="BB1005" i="178"/>
  <c r="BF1005" i="178"/>
  <c r="BJ1005" i="178"/>
  <c r="BK1005" i="178"/>
  <c r="AZ1005" i="178"/>
  <c r="BD1005" i="178"/>
  <c r="AR1005" i="178"/>
  <c r="BH1005" i="178"/>
  <c r="AV1005" i="178"/>
  <c r="AR1002" i="178"/>
  <c r="AV1002" i="178"/>
  <c r="AZ1002" i="178"/>
  <c r="BD1002" i="178"/>
  <c r="BH1002" i="178"/>
  <c r="BM1002" i="178"/>
  <c r="AT1002" i="178"/>
  <c r="AX1002" i="178"/>
  <c r="BB1002" i="178"/>
  <c r="BF1002" i="178"/>
  <c r="BJ1002" i="178"/>
  <c r="BK1002" i="178"/>
  <c r="BK1003" i="178"/>
  <c r="AR1003" i="178"/>
  <c r="AV1003" i="178"/>
  <c r="AZ1003" i="178"/>
  <c r="BD1003" i="178"/>
  <c r="BH1003" i="178"/>
  <c r="BM1003" i="178"/>
  <c r="AX1003" i="178"/>
  <c r="BB1003" i="178"/>
  <c r="BF1003" i="178"/>
  <c r="BJ1003" i="178"/>
  <c r="AT1003" i="178"/>
  <c r="AT1001" i="178"/>
  <c r="AX1001" i="178"/>
  <c r="BB1001" i="178"/>
  <c r="BF1001" i="178"/>
  <c r="BJ1001" i="178"/>
  <c r="BK1001" i="178"/>
  <c r="AR1001" i="178"/>
  <c r="AV1001" i="178"/>
  <c r="AZ1001" i="178"/>
  <c r="BD1001" i="178"/>
  <c r="BH1001" i="178"/>
  <c r="BM1001" i="178"/>
  <c r="BM995" i="178"/>
  <c r="AT995" i="178"/>
  <c r="AX995" i="178"/>
  <c r="BB995" i="178"/>
  <c r="BF995" i="178"/>
  <c r="BJ995" i="178"/>
  <c r="BK995" i="178"/>
  <c r="AV995" i="178"/>
  <c r="AZ995" i="178"/>
  <c r="BD995" i="178"/>
  <c r="AR995" i="178"/>
  <c r="BH995" i="178"/>
  <c r="AT994" i="178"/>
  <c r="AX994" i="178"/>
  <c r="BB994" i="178"/>
  <c r="BF994" i="178"/>
  <c r="BJ994" i="178"/>
  <c r="BK994" i="178"/>
  <c r="AR994" i="178"/>
  <c r="AV994" i="178"/>
  <c r="AZ994" i="178"/>
  <c r="BD994" i="178"/>
  <c r="BH994" i="178"/>
  <c r="BM994" i="178"/>
  <c r="BM992" i="178"/>
  <c r="AT992" i="178"/>
  <c r="AX992" i="178"/>
  <c r="BB992" i="178"/>
  <c r="BF992" i="178"/>
  <c r="BJ992" i="178"/>
  <c r="BK992" i="178"/>
  <c r="AR992" i="178"/>
  <c r="BH992" i="178"/>
  <c r="AV992" i="178"/>
  <c r="AZ992" i="178"/>
  <c r="BD992" i="178"/>
  <c r="AR993" i="178"/>
  <c r="AV993" i="178"/>
  <c r="AZ993" i="178"/>
  <c r="BD993" i="178"/>
  <c r="BH993" i="178"/>
  <c r="BM993" i="178"/>
  <c r="AT993" i="178"/>
  <c r="AX993" i="178"/>
  <c r="BB993" i="178"/>
  <c r="BF993" i="178"/>
  <c r="BJ993" i="178"/>
  <c r="BK993" i="178"/>
  <c r="BK991" i="178"/>
  <c r="AR991" i="178"/>
  <c r="AV991" i="178"/>
  <c r="AZ991" i="178"/>
  <c r="BD991" i="178"/>
  <c r="BH991" i="178"/>
  <c r="BM991" i="178"/>
  <c r="BF991" i="178"/>
  <c r="AT991" i="178"/>
  <c r="BJ991" i="178"/>
  <c r="AX991" i="178"/>
  <c r="BB991" i="178"/>
  <c r="BM990" i="178"/>
  <c r="AT990" i="178"/>
  <c r="AX990" i="178"/>
  <c r="BB990" i="178"/>
  <c r="BF990" i="178"/>
  <c r="BJ990" i="178"/>
  <c r="BK990" i="178"/>
  <c r="BD990" i="178"/>
  <c r="AR990" i="178"/>
  <c r="BH990" i="178"/>
  <c r="AV990" i="178"/>
  <c r="AZ990" i="178"/>
  <c r="AR988" i="178"/>
  <c r="AV988" i="178"/>
  <c r="AZ988" i="178"/>
  <c r="BD988" i="178"/>
  <c r="BH988" i="178"/>
  <c r="BM988" i="178"/>
  <c r="AT988" i="178"/>
  <c r="AX988" i="178"/>
  <c r="BB988" i="178"/>
  <c r="BF988" i="178"/>
  <c r="BJ988" i="178"/>
  <c r="BK988" i="178"/>
  <c r="BK989" i="178"/>
  <c r="AR989" i="178"/>
  <c r="AV989" i="178"/>
  <c r="AZ989" i="178"/>
  <c r="BD989" i="178"/>
  <c r="BH989" i="178"/>
  <c r="BM989" i="178"/>
  <c r="BB989" i="178"/>
  <c r="BF989" i="178"/>
  <c r="AT989" i="178"/>
  <c r="BJ989" i="178"/>
  <c r="AX989" i="178"/>
  <c r="AT987" i="178"/>
  <c r="AX987" i="178"/>
  <c r="BB987" i="178"/>
  <c r="BF987" i="178"/>
  <c r="BJ987" i="178"/>
  <c r="BK987" i="178"/>
  <c r="AR987" i="178"/>
  <c r="AV987" i="178"/>
  <c r="AZ987" i="178"/>
  <c r="BD987" i="178"/>
  <c r="BH987" i="178"/>
  <c r="BM987" i="178"/>
  <c r="BM986" i="178"/>
  <c r="AT986" i="178"/>
  <c r="AX986" i="178"/>
  <c r="BB986" i="178"/>
  <c r="BF986" i="178"/>
  <c r="BJ986" i="178"/>
  <c r="BK986" i="178"/>
  <c r="AZ986" i="178"/>
  <c r="BD986" i="178"/>
  <c r="AR986" i="178"/>
  <c r="BH986" i="178"/>
  <c r="AV986" i="178"/>
  <c r="AR985" i="178"/>
  <c r="AV985" i="178"/>
  <c r="AZ985" i="178"/>
  <c r="BD985" i="178"/>
  <c r="BH985" i="178"/>
  <c r="BM985" i="178"/>
  <c r="AT985" i="178"/>
  <c r="AX985" i="178"/>
  <c r="BB985" i="178"/>
  <c r="BF985" i="178"/>
  <c r="BJ985" i="178"/>
  <c r="BK985" i="178"/>
  <c r="BK984" i="178"/>
  <c r="AR984" i="178"/>
  <c r="AV984" i="178"/>
  <c r="AZ984" i="178"/>
  <c r="BD984" i="178"/>
  <c r="BH984" i="178"/>
  <c r="BM984" i="178"/>
  <c r="AX984" i="178"/>
  <c r="BB984" i="178"/>
  <c r="BF984" i="178"/>
  <c r="AT984" i="178"/>
  <c r="BJ984" i="178"/>
  <c r="AR970" i="178"/>
  <c r="AV970" i="178"/>
  <c r="AZ970" i="178"/>
  <c r="BD970" i="178"/>
  <c r="BH970" i="178"/>
  <c r="BM970" i="178"/>
  <c r="AT970" i="178"/>
  <c r="AX970" i="178"/>
  <c r="BB970" i="178"/>
  <c r="BF970" i="178"/>
  <c r="BJ970" i="178"/>
  <c r="BK970" i="178"/>
  <c r="BK969" i="178"/>
  <c r="AR969" i="178"/>
  <c r="AV969" i="178"/>
  <c r="AZ969" i="178"/>
  <c r="BD969" i="178"/>
  <c r="BH969" i="178"/>
  <c r="BM969" i="178"/>
  <c r="BB969" i="178"/>
  <c r="BF969" i="178"/>
  <c r="AT969" i="178"/>
  <c r="BJ969" i="178"/>
  <c r="AX969" i="178"/>
  <c r="AT971" i="178"/>
  <c r="AX971" i="178"/>
  <c r="BB971" i="178"/>
  <c r="BF971" i="178"/>
  <c r="BJ971" i="178"/>
  <c r="BK971" i="178"/>
  <c r="AR971" i="178"/>
  <c r="AV971" i="178"/>
  <c r="AZ971" i="178"/>
  <c r="BD971" i="178"/>
  <c r="BH971" i="178"/>
  <c r="BM971" i="178"/>
  <c r="BM540" i="178"/>
  <c r="BK540" i="178"/>
  <c r="AT540" i="178"/>
  <c r="BB540" i="178"/>
  <c r="BJ540" i="178"/>
  <c r="AV540" i="178"/>
  <c r="BD540" i="178"/>
  <c r="AX540" i="178"/>
  <c r="BF540" i="178"/>
  <c r="AZ540" i="178"/>
  <c r="BH540" i="178"/>
  <c r="AR540" i="178"/>
  <c r="AT538" i="178"/>
  <c r="AX538" i="178"/>
  <c r="BB538" i="178"/>
  <c r="BF538" i="178"/>
  <c r="BJ538" i="178"/>
  <c r="AR538" i="178"/>
  <c r="AV538" i="178"/>
  <c r="AZ538" i="178"/>
  <c r="BD538" i="178"/>
  <c r="BH538" i="178"/>
  <c r="BK538" i="178"/>
  <c r="BM538" i="178"/>
  <c r="BM536" i="178"/>
  <c r="BK536" i="178"/>
  <c r="AX536" i="178"/>
  <c r="BF536" i="178"/>
  <c r="AR536" i="178"/>
  <c r="AZ536" i="178"/>
  <c r="BH536" i="178"/>
  <c r="AT536" i="178"/>
  <c r="BB536" i="178"/>
  <c r="BJ536" i="178"/>
  <c r="AV536" i="178"/>
  <c r="BD536" i="178"/>
  <c r="AR528" i="178"/>
  <c r="AV528" i="178"/>
  <c r="AZ528" i="178"/>
  <c r="BD528" i="178"/>
  <c r="BH528" i="178"/>
  <c r="AT528" i="178"/>
  <c r="AX528" i="178"/>
  <c r="BB528" i="178"/>
  <c r="BF528" i="178"/>
  <c r="BJ528" i="178"/>
  <c r="BM528" i="178"/>
  <c r="BK528" i="178"/>
  <c r="BK527" i="178"/>
  <c r="BM527" i="178"/>
  <c r="AV527" i="178"/>
  <c r="BD527" i="178"/>
  <c r="AX527" i="178"/>
  <c r="BF527" i="178"/>
  <c r="AR527" i="178"/>
  <c r="AZ527" i="178"/>
  <c r="BH527" i="178"/>
  <c r="BJ527" i="178"/>
  <c r="AT527" i="178"/>
  <c r="BB527" i="178"/>
  <c r="AT526" i="178"/>
  <c r="AX526" i="178"/>
  <c r="BB526" i="178"/>
  <c r="BF526" i="178"/>
  <c r="BJ526" i="178"/>
  <c r="AR526" i="178"/>
  <c r="AV526" i="178"/>
  <c r="AZ526" i="178"/>
  <c r="BD526" i="178"/>
  <c r="BH526" i="178"/>
  <c r="BK526" i="178"/>
  <c r="BM526" i="178"/>
  <c r="AT520" i="178"/>
  <c r="AX520" i="178"/>
  <c r="BB520" i="178"/>
  <c r="BF520" i="178"/>
  <c r="BJ520" i="178"/>
  <c r="AR520" i="178"/>
  <c r="AV520" i="178"/>
  <c r="AZ520" i="178"/>
  <c r="BD520" i="178"/>
  <c r="BH520" i="178"/>
  <c r="BK520" i="178"/>
  <c r="BM520" i="178"/>
  <c r="AR519" i="178"/>
  <c r="AV519" i="178"/>
  <c r="AZ519" i="178"/>
  <c r="BD519" i="178"/>
  <c r="BH519" i="178"/>
  <c r="BM519" i="178"/>
  <c r="AT519" i="178"/>
  <c r="AX519" i="178"/>
  <c r="BB519" i="178"/>
  <c r="BF519" i="178"/>
  <c r="BJ519" i="178"/>
  <c r="BK519" i="178"/>
  <c r="BK514" i="178"/>
  <c r="AR514" i="178"/>
  <c r="AV514" i="178"/>
  <c r="AZ514" i="178"/>
  <c r="BD514" i="178"/>
  <c r="BH514" i="178"/>
  <c r="BM514" i="178"/>
  <c r="AT514" i="178"/>
  <c r="BJ514" i="178"/>
  <c r="AX514" i="178"/>
  <c r="BB514" i="178"/>
  <c r="BF514" i="178"/>
  <c r="BM501" i="178"/>
  <c r="AT501" i="178"/>
  <c r="AX501" i="178"/>
  <c r="BB501" i="178"/>
  <c r="BF501" i="178"/>
  <c r="BJ501" i="178"/>
  <c r="BK501" i="178"/>
  <c r="BD501" i="178"/>
  <c r="AR501" i="178"/>
  <c r="BH501" i="178"/>
  <c r="AV501" i="178"/>
  <c r="AZ501" i="178"/>
  <c r="AR500" i="178"/>
  <c r="AV500" i="178"/>
  <c r="AZ500" i="178"/>
  <c r="BD500" i="178"/>
  <c r="BH500" i="178"/>
  <c r="BM500" i="178"/>
  <c r="AT500" i="178"/>
  <c r="AX500" i="178"/>
  <c r="BB500" i="178"/>
  <c r="BF500" i="178"/>
  <c r="BJ500" i="178"/>
  <c r="BK500" i="178"/>
  <c r="BK467" i="178"/>
  <c r="AR467" i="178"/>
  <c r="AV467" i="178"/>
  <c r="AZ467" i="178"/>
  <c r="BD467" i="178"/>
  <c r="BH467" i="178"/>
  <c r="BM467" i="178"/>
  <c r="AT467" i="178"/>
  <c r="BJ467" i="178"/>
  <c r="AX467" i="178"/>
  <c r="BB467" i="178"/>
  <c r="BF467" i="178"/>
  <c r="AT466" i="178"/>
  <c r="AX466" i="178"/>
  <c r="BB466" i="178"/>
  <c r="BF466" i="178"/>
  <c r="BJ466" i="178"/>
  <c r="BK466" i="178"/>
  <c r="AR466" i="178"/>
  <c r="AV466" i="178"/>
  <c r="AZ466" i="178"/>
  <c r="BD466" i="178"/>
  <c r="BH466" i="178"/>
  <c r="BM466" i="178"/>
  <c r="BM465" i="178"/>
  <c r="AT465" i="178"/>
  <c r="AX465" i="178"/>
  <c r="BB465" i="178"/>
  <c r="BF465" i="178"/>
  <c r="BJ465" i="178"/>
  <c r="BK465" i="178"/>
  <c r="AR465" i="178"/>
  <c r="BH465" i="178"/>
  <c r="AV465" i="178"/>
  <c r="AZ465" i="178"/>
  <c r="BD465" i="178"/>
  <c r="AT459" i="178"/>
  <c r="AX459" i="178"/>
  <c r="BB459" i="178"/>
  <c r="BF459" i="178"/>
  <c r="BJ459" i="178"/>
  <c r="BK459" i="178"/>
  <c r="AR459" i="178"/>
  <c r="AV459" i="178"/>
  <c r="AZ459" i="178"/>
  <c r="BD459" i="178"/>
  <c r="BH459" i="178"/>
  <c r="BM459" i="178"/>
  <c r="AR458" i="178"/>
  <c r="AV458" i="178"/>
  <c r="AZ458" i="178"/>
  <c r="BD458" i="178"/>
  <c r="BH458" i="178"/>
  <c r="BM458" i="178"/>
  <c r="AT458" i="178"/>
  <c r="AX458" i="178"/>
  <c r="BB458" i="178"/>
  <c r="BF458" i="178"/>
  <c r="BJ458" i="178"/>
  <c r="BK458" i="178"/>
  <c r="BK456" i="178"/>
  <c r="AR456" i="178"/>
  <c r="AV456" i="178"/>
  <c r="AZ456" i="178"/>
  <c r="BD456" i="178"/>
  <c r="BH456" i="178"/>
  <c r="BM456" i="178"/>
  <c r="BB456" i="178"/>
  <c r="BF456" i="178"/>
  <c r="AT456" i="178"/>
  <c r="BJ456" i="178"/>
  <c r="AX456" i="178"/>
  <c r="AT455" i="178"/>
  <c r="AX455" i="178"/>
  <c r="BB455" i="178"/>
  <c r="BF455" i="178"/>
  <c r="BJ455" i="178"/>
  <c r="BK455" i="178"/>
  <c r="AR455" i="178"/>
  <c r="AV455" i="178"/>
  <c r="AZ455" i="178"/>
  <c r="BD455" i="178"/>
  <c r="BH455" i="178"/>
  <c r="BM455" i="178"/>
  <c r="BM453" i="178"/>
  <c r="AT453" i="178"/>
  <c r="AX453" i="178"/>
  <c r="BB453" i="178"/>
  <c r="BF453" i="178"/>
  <c r="BJ453" i="178"/>
  <c r="BK453" i="178"/>
  <c r="AZ453" i="178"/>
  <c r="BD453" i="178"/>
  <c r="AR453" i="178"/>
  <c r="BH453" i="178"/>
  <c r="AV453" i="178"/>
  <c r="AR451" i="178"/>
  <c r="AV451" i="178"/>
  <c r="AZ451" i="178"/>
  <c r="BD451" i="178"/>
  <c r="BH451" i="178"/>
  <c r="BM451" i="178"/>
  <c r="AT451" i="178"/>
  <c r="AX451" i="178"/>
  <c r="BB451" i="178"/>
  <c r="BF451" i="178"/>
  <c r="BJ451" i="178"/>
  <c r="BK451" i="178"/>
  <c r="BK452" i="178"/>
  <c r="AR452" i="178"/>
  <c r="AV452" i="178"/>
  <c r="AZ452" i="178"/>
  <c r="BD452" i="178"/>
  <c r="BH452" i="178"/>
  <c r="BM452" i="178"/>
  <c r="AX452" i="178"/>
  <c r="BB452" i="178"/>
  <c r="BF452" i="178"/>
  <c r="AT452" i="178"/>
  <c r="BJ452" i="178"/>
  <c r="AT449" i="178"/>
  <c r="AX449" i="178"/>
  <c r="BB449" i="178"/>
  <c r="BF449" i="178"/>
  <c r="BJ449" i="178"/>
  <c r="BK449" i="178"/>
  <c r="AR449" i="178"/>
  <c r="AV449" i="178"/>
  <c r="AZ449" i="178"/>
  <c r="BD449" i="178"/>
  <c r="BH449" i="178"/>
  <c r="BM449" i="178"/>
  <c r="BM448" i="178"/>
  <c r="AT448" i="178"/>
  <c r="AX448" i="178"/>
  <c r="BB448" i="178"/>
  <c r="BF448" i="178"/>
  <c r="BJ448" i="178"/>
  <c r="BK448" i="178"/>
  <c r="AV448" i="178"/>
  <c r="AZ448" i="178"/>
  <c r="BD448" i="178"/>
  <c r="BH448" i="178"/>
  <c r="AR448" i="178"/>
  <c r="AR446" i="178"/>
  <c r="AV446" i="178"/>
  <c r="AZ446" i="178"/>
  <c r="BD446" i="178"/>
  <c r="BH446" i="178"/>
  <c r="BM446" i="178"/>
  <c r="AT446" i="178"/>
  <c r="AX446" i="178"/>
  <c r="BB446" i="178"/>
  <c r="BF446" i="178"/>
  <c r="BJ446" i="178"/>
  <c r="BK446" i="178"/>
  <c r="BK445" i="178"/>
  <c r="AR445" i="178"/>
  <c r="AV445" i="178"/>
  <c r="AZ445" i="178"/>
  <c r="BD445" i="178"/>
  <c r="BH445" i="178"/>
  <c r="BM445" i="178"/>
  <c r="AT445" i="178"/>
  <c r="BJ445" i="178"/>
  <c r="AX445" i="178"/>
  <c r="BB445" i="178"/>
  <c r="BF445" i="178"/>
  <c r="AT443" i="178"/>
  <c r="AX443" i="178"/>
  <c r="BB443" i="178"/>
  <c r="BF443" i="178"/>
  <c r="BJ443" i="178"/>
  <c r="BK443" i="178"/>
  <c r="AR443" i="178"/>
  <c r="AV443" i="178"/>
  <c r="AZ443" i="178"/>
  <c r="BD443" i="178"/>
  <c r="BH443" i="178"/>
  <c r="BM443" i="178"/>
  <c r="BM442" i="178"/>
  <c r="AT442" i="178"/>
  <c r="AX442" i="178"/>
  <c r="BB442" i="178"/>
  <c r="BF442" i="178"/>
  <c r="BJ442" i="178"/>
  <c r="BK442" i="178"/>
  <c r="AR442" i="178"/>
  <c r="BH442" i="178"/>
  <c r="AV442" i="178"/>
  <c r="AZ442" i="178"/>
  <c r="BD442" i="178"/>
  <c r="AR438" i="178"/>
  <c r="AV438" i="178"/>
  <c r="AZ438" i="178"/>
  <c r="BD438" i="178"/>
  <c r="BH438" i="178"/>
  <c r="BM438" i="178"/>
  <c r="AT438" i="178"/>
  <c r="AX438" i="178"/>
  <c r="BB438" i="178"/>
  <c r="BF438" i="178"/>
  <c r="BJ438" i="178"/>
  <c r="BK438" i="178"/>
  <c r="BK437" i="178"/>
  <c r="AR437" i="178"/>
  <c r="AV437" i="178"/>
  <c r="AZ437" i="178"/>
  <c r="BD437" i="178"/>
  <c r="BH437" i="178"/>
  <c r="BM437" i="178"/>
  <c r="BF437" i="178"/>
  <c r="AT437" i="178"/>
  <c r="BJ437" i="178"/>
  <c r="AX437" i="178"/>
  <c r="BB437" i="178"/>
  <c r="AT436" i="178"/>
  <c r="AX436" i="178"/>
  <c r="BB436" i="178"/>
  <c r="BF436" i="178"/>
  <c r="BJ436" i="178"/>
  <c r="BK436" i="178"/>
  <c r="AR436" i="178"/>
  <c r="AV436" i="178"/>
  <c r="AZ436" i="178"/>
  <c r="BD436" i="178"/>
  <c r="BH436" i="178"/>
  <c r="BM436" i="178"/>
  <c r="BM337" i="178"/>
  <c r="AT337" i="178"/>
  <c r="AX337" i="178"/>
  <c r="BB337" i="178"/>
  <c r="BF337" i="178"/>
  <c r="BJ337" i="178"/>
  <c r="BK337" i="178"/>
  <c r="AR337" i="178"/>
  <c r="BH337" i="178"/>
  <c r="AV337" i="178"/>
  <c r="AZ337" i="178"/>
  <c r="BD337" i="178"/>
  <c r="AR336" i="178"/>
  <c r="AV336" i="178"/>
  <c r="AZ336" i="178"/>
  <c r="BD336" i="178"/>
  <c r="BH336" i="178"/>
  <c r="BM336" i="178"/>
  <c r="AT336" i="178"/>
  <c r="AX336" i="178"/>
  <c r="BB336" i="178"/>
  <c r="BF336" i="178"/>
  <c r="BJ336" i="178"/>
  <c r="BK336" i="178"/>
  <c r="BK338" i="178"/>
  <c r="AR338" i="178"/>
  <c r="AV338" i="178"/>
  <c r="AZ338" i="178"/>
  <c r="BD338" i="178"/>
  <c r="BH338" i="178"/>
  <c r="BM338" i="178"/>
  <c r="BF338" i="178"/>
  <c r="AT338" i="178"/>
  <c r="BJ338" i="178"/>
  <c r="AX338" i="178"/>
  <c r="BB338" i="178"/>
  <c r="AR328" i="178"/>
  <c r="AV328" i="178"/>
  <c r="AZ328" i="178"/>
  <c r="BD328" i="178"/>
  <c r="BH328" i="178"/>
  <c r="BM328" i="178"/>
  <c r="AT328" i="178"/>
  <c r="AX328" i="178"/>
  <c r="BB328" i="178"/>
  <c r="BF328" i="178"/>
  <c r="BJ328" i="178"/>
  <c r="BK328" i="178"/>
  <c r="BK327" i="178"/>
  <c r="AR327" i="178"/>
  <c r="AV327" i="178"/>
  <c r="AZ327" i="178"/>
  <c r="BD327" i="178"/>
  <c r="BH327" i="178"/>
  <c r="BM327" i="178"/>
  <c r="AX327" i="178"/>
  <c r="BB327" i="178"/>
  <c r="BF327" i="178"/>
  <c r="AT327" i="178"/>
  <c r="BJ327" i="178"/>
  <c r="AT329" i="178"/>
  <c r="AX329" i="178"/>
  <c r="BB329" i="178"/>
  <c r="BF329" i="178"/>
  <c r="BJ329" i="178"/>
  <c r="BK329" i="178"/>
  <c r="AR329" i="178"/>
  <c r="AV329" i="178"/>
  <c r="AZ329" i="178"/>
  <c r="BD329" i="178"/>
  <c r="BH329" i="178"/>
  <c r="BM329" i="178"/>
  <c r="BM325" i="178"/>
  <c r="AT325" i="178"/>
  <c r="AX325" i="178"/>
  <c r="BB325" i="178"/>
  <c r="BF325" i="178"/>
  <c r="BJ325" i="178"/>
  <c r="BK325" i="178"/>
  <c r="AV325" i="178"/>
  <c r="AZ325" i="178"/>
  <c r="BD325" i="178"/>
  <c r="AR325" i="178"/>
  <c r="BH325" i="178"/>
  <c r="AR324" i="178"/>
  <c r="AV324" i="178"/>
  <c r="AZ324" i="178"/>
  <c r="BD324" i="178"/>
  <c r="BH324" i="178"/>
  <c r="BM324" i="178"/>
  <c r="AT324" i="178"/>
  <c r="AX324" i="178"/>
  <c r="BB324" i="178"/>
  <c r="BF324" i="178"/>
  <c r="BJ324" i="178"/>
  <c r="BK324" i="178"/>
  <c r="BK326" i="178"/>
  <c r="AR326" i="178"/>
  <c r="AV326" i="178"/>
  <c r="AZ326" i="178"/>
  <c r="BD326" i="178"/>
  <c r="BH326" i="178"/>
  <c r="BM326" i="178"/>
  <c r="AT326" i="178"/>
  <c r="BJ326" i="178"/>
  <c r="AX326" i="178"/>
  <c r="BB326" i="178"/>
  <c r="BF326" i="178"/>
  <c r="AT322" i="178"/>
  <c r="AX322" i="178"/>
  <c r="BB322" i="178"/>
  <c r="BF322" i="178"/>
  <c r="BJ322" i="178"/>
  <c r="BK322" i="178"/>
  <c r="AR322" i="178"/>
  <c r="AV322" i="178"/>
  <c r="AZ322" i="178"/>
  <c r="BD322" i="178"/>
  <c r="BH322" i="178"/>
  <c r="BM322" i="178"/>
  <c r="BM321" i="178"/>
  <c r="AT321" i="178"/>
  <c r="AX321" i="178"/>
  <c r="BB321" i="178"/>
  <c r="BF321" i="178"/>
  <c r="BJ321" i="178"/>
  <c r="BK321" i="178"/>
  <c r="AR321" i="178"/>
  <c r="BH321" i="178"/>
  <c r="AV321" i="178"/>
  <c r="AZ321" i="178"/>
  <c r="BD321" i="178"/>
  <c r="AR323" i="178"/>
  <c r="AV323" i="178"/>
  <c r="AZ323" i="178"/>
  <c r="BD323" i="178"/>
  <c r="BH323" i="178"/>
  <c r="BM323" i="178"/>
  <c r="AT323" i="178"/>
  <c r="AX323" i="178"/>
  <c r="BB323" i="178"/>
  <c r="BF323" i="178"/>
  <c r="BJ323" i="178"/>
  <c r="BK323" i="178"/>
  <c r="BK320" i="178"/>
  <c r="AR320" i="178"/>
  <c r="AV320" i="178"/>
  <c r="AZ320" i="178"/>
  <c r="BD320" i="178"/>
  <c r="BH320" i="178"/>
  <c r="BM320" i="178"/>
  <c r="BF320" i="178"/>
  <c r="AT320" i="178"/>
  <c r="BJ320" i="178"/>
  <c r="AX320" i="178"/>
  <c r="BB320" i="178"/>
  <c r="AT319" i="178"/>
  <c r="AX319" i="178"/>
  <c r="BB319" i="178"/>
  <c r="BF319" i="178"/>
  <c r="BJ319" i="178"/>
  <c r="BK319" i="178"/>
  <c r="AR319" i="178"/>
  <c r="AV319" i="178"/>
  <c r="AZ319" i="178"/>
  <c r="BD319" i="178"/>
  <c r="BH319" i="178"/>
  <c r="BM319" i="178"/>
  <c r="BM317" i="178"/>
  <c r="AT317" i="178"/>
  <c r="AX317" i="178"/>
  <c r="BB317" i="178"/>
  <c r="BF317" i="178"/>
  <c r="BJ317" i="178"/>
  <c r="BK317" i="178"/>
  <c r="BD317" i="178"/>
  <c r="AR317" i="178"/>
  <c r="BH317" i="178"/>
  <c r="AV317" i="178"/>
  <c r="AZ317" i="178"/>
  <c r="AR316" i="178"/>
  <c r="AV316" i="178"/>
  <c r="AZ316" i="178"/>
  <c r="BD316" i="178"/>
  <c r="BH316" i="178"/>
  <c r="BM316" i="178"/>
  <c r="AT316" i="178"/>
  <c r="AX316" i="178"/>
  <c r="BB316" i="178"/>
  <c r="BF316" i="178"/>
  <c r="BJ316" i="178"/>
  <c r="BK316" i="178"/>
  <c r="BK318" i="178"/>
  <c r="AR318" i="178"/>
  <c r="AV318" i="178"/>
  <c r="AZ318" i="178"/>
  <c r="BD318" i="178"/>
  <c r="BH318" i="178"/>
  <c r="BM318" i="178"/>
  <c r="BB318" i="178"/>
  <c r="BF318" i="178"/>
  <c r="AT318" i="178"/>
  <c r="BJ318" i="178"/>
  <c r="AX318" i="178"/>
  <c r="AR305" i="178"/>
  <c r="AV305" i="178"/>
  <c r="AZ305" i="178"/>
  <c r="BD305" i="178"/>
  <c r="BH305" i="178"/>
  <c r="BM305" i="178"/>
  <c r="AT305" i="178"/>
  <c r="AX305" i="178"/>
  <c r="BB305" i="178"/>
  <c r="BF305" i="178"/>
  <c r="BJ305" i="178"/>
  <c r="BK305" i="178"/>
  <c r="AT304" i="178"/>
  <c r="BK304" i="178"/>
  <c r="AV304" i="178"/>
  <c r="AZ304" i="178"/>
  <c r="BD304" i="178"/>
  <c r="BH304" i="178"/>
  <c r="AR304" i="178"/>
  <c r="BM304" i="178"/>
  <c r="BJ304" i="178"/>
  <c r="AX304" i="178"/>
  <c r="BB304" i="178"/>
  <c r="BF304" i="178"/>
  <c r="AT306" i="178"/>
  <c r="AX306" i="178"/>
  <c r="BB306" i="178"/>
  <c r="BF306" i="178"/>
  <c r="BJ306" i="178"/>
  <c r="AR306" i="178"/>
  <c r="AV306" i="178"/>
  <c r="AZ306" i="178"/>
  <c r="BD306" i="178"/>
  <c r="BH306" i="178"/>
  <c r="BM306" i="178"/>
  <c r="BK306" i="178"/>
  <c r="BM303" i="178"/>
  <c r="BK303" i="178"/>
  <c r="AV303" i="178"/>
  <c r="BD303" i="178"/>
  <c r="AX303" i="178"/>
  <c r="BF303" i="178"/>
  <c r="AR303" i="178"/>
  <c r="AZ303" i="178"/>
  <c r="BH303" i="178"/>
  <c r="BJ303" i="178"/>
  <c r="AT303" i="178"/>
  <c r="BB303" i="178"/>
  <c r="AR299" i="178"/>
  <c r="AV299" i="178"/>
  <c r="AZ299" i="178"/>
  <c r="BD299" i="178"/>
  <c r="BH299" i="178"/>
  <c r="AT299" i="178"/>
  <c r="AX299" i="178"/>
  <c r="BB299" i="178"/>
  <c r="BF299" i="178"/>
  <c r="BJ299" i="178"/>
  <c r="BK299" i="178"/>
  <c r="BM299" i="178"/>
  <c r="BK297" i="178"/>
  <c r="BM297" i="178"/>
  <c r="AT297" i="178"/>
  <c r="BB297" i="178"/>
  <c r="BJ297" i="178"/>
  <c r="AV297" i="178"/>
  <c r="BD297" i="178"/>
  <c r="AX297" i="178"/>
  <c r="BF297" i="178"/>
  <c r="AR297" i="178"/>
  <c r="AZ297" i="178"/>
  <c r="BH297" i="178"/>
  <c r="AT301" i="178"/>
  <c r="AX301" i="178"/>
  <c r="BB301" i="178"/>
  <c r="BF301" i="178"/>
  <c r="BJ301" i="178"/>
  <c r="AR301" i="178"/>
  <c r="AV301" i="178"/>
  <c r="AZ301" i="178"/>
  <c r="BD301" i="178"/>
  <c r="BH301" i="178"/>
  <c r="BK301" i="178"/>
  <c r="BM301" i="178"/>
  <c r="BM300" i="178"/>
  <c r="BK300" i="178"/>
  <c r="AR300" i="178"/>
  <c r="AZ300" i="178"/>
  <c r="BH300" i="178"/>
  <c r="AT300" i="178"/>
  <c r="BB300" i="178"/>
  <c r="BJ300" i="178"/>
  <c r="AV300" i="178"/>
  <c r="BD300" i="178"/>
  <c r="BF300" i="178"/>
  <c r="AX300" i="178"/>
  <c r="AR298" i="178"/>
  <c r="AV298" i="178"/>
  <c r="AZ298" i="178"/>
  <c r="BD298" i="178"/>
  <c r="BH298" i="178"/>
  <c r="AT298" i="178"/>
  <c r="AX298" i="178"/>
  <c r="BB298" i="178"/>
  <c r="BF298" i="178"/>
  <c r="BJ298" i="178"/>
  <c r="BK298" i="178"/>
  <c r="BM298" i="178"/>
  <c r="BM288" i="178"/>
  <c r="BK288" i="178"/>
  <c r="AV288" i="178"/>
  <c r="BD288" i="178"/>
  <c r="AX288" i="178"/>
  <c r="BF288" i="178"/>
  <c r="AR288" i="178"/>
  <c r="AZ288" i="178"/>
  <c r="BH288" i="178"/>
  <c r="BB288" i="178"/>
  <c r="BJ288" i="178"/>
  <c r="AT288" i="178"/>
  <c r="AR287" i="178"/>
  <c r="AV287" i="178"/>
  <c r="AZ287" i="178"/>
  <c r="BD287" i="178"/>
  <c r="BH287" i="178"/>
  <c r="AT287" i="178"/>
  <c r="AX287" i="178"/>
  <c r="BB287" i="178"/>
  <c r="BF287" i="178"/>
  <c r="BJ287" i="178"/>
  <c r="BK287" i="178"/>
  <c r="BM287" i="178"/>
  <c r="BK285" i="178"/>
  <c r="BM285" i="178"/>
  <c r="AT285" i="178"/>
  <c r="BB285" i="178"/>
  <c r="BJ285" i="178"/>
  <c r="AV285" i="178"/>
  <c r="BD285" i="178"/>
  <c r="AX285" i="178"/>
  <c r="BF285" i="178"/>
  <c r="AR285" i="178"/>
  <c r="AZ285" i="178"/>
  <c r="BH285" i="178"/>
  <c r="AT284" i="178"/>
  <c r="AX284" i="178"/>
  <c r="BB284" i="178"/>
  <c r="BF284" i="178"/>
  <c r="BJ284" i="178"/>
  <c r="AR284" i="178"/>
  <c r="AV284" i="178"/>
  <c r="AZ284" i="178"/>
  <c r="BD284" i="178"/>
  <c r="BH284" i="178"/>
  <c r="BK284" i="178"/>
  <c r="BM284" i="178"/>
  <c r="BM281" i="178"/>
  <c r="BK281" i="178"/>
  <c r="AR281" i="178"/>
  <c r="AZ281" i="178"/>
  <c r="BH281" i="178"/>
  <c r="AT281" i="178"/>
  <c r="BB281" i="178"/>
  <c r="BJ281" i="178"/>
  <c r="AV281" i="178"/>
  <c r="BD281" i="178"/>
  <c r="AX281" i="178"/>
  <c r="BF281" i="178"/>
  <c r="AR283" i="178"/>
  <c r="AV283" i="178"/>
  <c r="AZ283" i="178"/>
  <c r="BD283" i="178"/>
  <c r="BH283" i="178"/>
  <c r="AT283" i="178"/>
  <c r="AX283" i="178"/>
  <c r="BB283" i="178"/>
  <c r="BF283" i="178"/>
  <c r="BJ283" i="178"/>
  <c r="BK283" i="178"/>
  <c r="BM283" i="178"/>
  <c r="BK286" i="178"/>
  <c r="BM286" i="178"/>
  <c r="AX286" i="178"/>
  <c r="BF286" i="178"/>
  <c r="AR286" i="178"/>
  <c r="AZ286" i="178"/>
  <c r="BH286" i="178"/>
  <c r="AT286" i="178"/>
  <c r="BB286" i="178"/>
  <c r="BJ286" i="178"/>
  <c r="AV286" i="178"/>
  <c r="BD286" i="178"/>
  <c r="AT275" i="178"/>
  <c r="AX275" i="178"/>
  <c r="BB275" i="178"/>
  <c r="BF275" i="178"/>
  <c r="BJ275" i="178"/>
  <c r="AR275" i="178"/>
  <c r="AV275" i="178"/>
  <c r="AZ275" i="178"/>
  <c r="BD275" i="178"/>
  <c r="BH275" i="178"/>
  <c r="BM275" i="178"/>
  <c r="BK275" i="178"/>
  <c r="BM274" i="178"/>
  <c r="BK274" i="178"/>
  <c r="AV274" i="178"/>
  <c r="BD274" i="178"/>
  <c r="AX274" i="178"/>
  <c r="BF274" i="178"/>
  <c r="AR274" i="178"/>
  <c r="AZ274" i="178"/>
  <c r="BH274" i="178"/>
  <c r="AT274" i="178"/>
  <c r="BB274" i="178"/>
  <c r="BJ274" i="178"/>
  <c r="AR273" i="178"/>
  <c r="AV273" i="178"/>
  <c r="AZ273" i="178"/>
  <c r="BD273" i="178"/>
  <c r="BH273" i="178"/>
  <c r="AT273" i="178"/>
  <c r="AX273" i="178"/>
  <c r="BB273" i="178"/>
  <c r="BF273" i="178"/>
  <c r="BJ273" i="178"/>
  <c r="BK273" i="178"/>
  <c r="BM273" i="178"/>
  <c r="BK277" i="178"/>
  <c r="BM277" i="178"/>
  <c r="AT277" i="178"/>
  <c r="BB277" i="178"/>
  <c r="BJ277" i="178"/>
  <c r="AV277" i="178"/>
  <c r="BD277" i="178"/>
  <c r="AX277" i="178"/>
  <c r="BF277" i="178"/>
  <c r="BH277" i="178"/>
  <c r="AR277" i="178"/>
  <c r="AZ277" i="178"/>
  <c r="AT276" i="178"/>
  <c r="AX276" i="178"/>
  <c r="BB276" i="178"/>
  <c r="BF276" i="178"/>
  <c r="BJ276" i="178"/>
  <c r="AR276" i="178"/>
  <c r="AV276" i="178"/>
  <c r="AZ276" i="178"/>
  <c r="BD276" i="178"/>
  <c r="BH276" i="178"/>
  <c r="BK276" i="178"/>
  <c r="BM276" i="178"/>
  <c r="BM272" i="178"/>
  <c r="BK272" i="178"/>
  <c r="AR272" i="178"/>
  <c r="AZ272" i="178"/>
  <c r="BH272" i="178"/>
  <c r="AT272" i="178"/>
  <c r="BB272" i="178"/>
  <c r="BJ272" i="178"/>
  <c r="AV272" i="178"/>
  <c r="BD272" i="178"/>
  <c r="AX272" i="178"/>
  <c r="BF272" i="178"/>
  <c r="AR270" i="178"/>
  <c r="AV270" i="178"/>
  <c r="AZ270" i="178"/>
  <c r="BD270" i="178"/>
  <c r="BH270" i="178"/>
  <c r="AT270" i="178"/>
  <c r="AX270" i="178"/>
  <c r="BB270" i="178"/>
  <c r="BF270" i="178"/>
  <c r="BJ270" i="178"/>
  <c r="BK270" i="178"/>
  <c r="BM270" i="178"/>
  <c r="BK269" i="178"/>
  <c r="BM269" i="178"/>
  <c r="AX269" i="178"/>
  <c r="BF269" i="178"/>
  <c r="AR269" i="178"/>
  <c r="AZ269" i="178"/>
  <c r="BH269" i="178"/>
  <c r="AT269" i="178"/>
  <c r="BB269" i="178"/>
  <c r="BJ269" i="178"/>
  <c r="BD269" i="178"/>
  <c r="AV269" i="178"/>
  <c r="AT271" i="178"/>
  <c r="AX271" i="178"/>
  <c r="BB271" i="178"/>
  <c r="BF271" i="178"/>
  <c r="BJ271" i="178"/>
  <c r="AR271" i="178"/>
  <c r="AV271" i="178"/>
  <c r="AZ271" i="178"/>
  <c r="BD271" i="178"/>
  <c r="BH271" i="178"/>
  <c r="BM271" i="178"/>
  <c r="BK271" i="178"/>
  <c r="BM268" i="178"/>
  <c r="BK268" i="178"/>
  <c r="AV268" i="178"/>
  <c r="BD268" i="178"/>
  <c r="AX268" i="178"/>
  <c r="BF268" i="178"/>
  <c r="AR268" i="178"/>
  <c r="AZ268" i="178"/>
  <c r="BH268" i="178"/>
  <c r="AT268" i="178"/>
  <c r="BB268" i="178"/>
  <c r="BJ268" i="178"/>
  <c r="BM259" i="178"/>
  <c r="AT259" i="178"/>
  <c r="AX259" i="178"/>
  <c r="BB259" i="178"/>
  <c r="BF259" i="178"/>
  <c r="BJ259" i="178"/>
  <c r="BK259" i="178"/>
  <c r="AV259" i="178"/>
  <c r="AZ259" i="178"/>
  <c r="BD259" i="178"/>
  <c r="AR259" i="178"/>
  <c r="BH259" i="178"/>
  <c r="AR258" i="178"/>
  <c r="AV258" i="178"/>
  <c r="AZ258" i="178"/>
  <c r="BD258" i="178"/>
  <c r="BH258" i="178"/>
  <c r="BM258" i="178"/>
  <c r="AT258" i="178"/>
  <c r="AX258" i="178"/>
  <c r="BB258" i="178"/>
  <c r="BF258" i="178"/>
  <c r="BJ258" i="178"/>
  <c r="BK258" i="178"/>
  <c r="AR253" i="178"/>
  <c r="AV253" i="178"/>
  <c r="AZ253" i="178"/>
  <c r="BD253" i="178"/>
  <c r="BH253" i="178"/>
  <c r="BM253" i="178"/>
  <c r="AT253" i="178"/>
  <c r="AX253" i="178"/>
  <c r="BB253" i="178"/>
  <c r="BF253" i="178"/>
  <c r="BJ253" i="178"/>
  <c r="BK253" i="178"/>
  <c r="BK252" i="178"/>
  <c r="AR252" i="178"/>
  <c r="AV252" i="178"/>
  <c r="AZ252" i="178"/>
  <c r="BD252" i="178"/>
  <c r="BH252" i="178"/>
  <c r="BM252" i="178"/>
  <c r="BF252" i="178"/>
  <c r="AT252" i="178"/>
  <c r="BJ252" i="178"/>
  <c r="AX252" i="178"/>
  <c r="BB252" i="178"/>
  <c r="AT254" i="178"/>
  <c r="AX254" i="178"/>
  <c r="BB254" i="178"/>
  <c r="BF254" i="178"/>
  <c r="BJ254" i="178"/>
  <c r="BK254" i="178"/>
  <c r="AR254" i="178"/>
  <c r="AV254" i="178"/>
  <c r="AZ254" i="178"/>
  <c r="BD254" i="178"/>
  <c r="BH254" i="178"/>
  <c r="BM254" i="178"/>
  <c r="AT246" i="178"/>
  <c r="AX246" i="178"/>
  <c r="BB246" i="178"/>
  <c r="BF246" i="178"/>
  <c r="BJ246" i="178"/>
  <c r="BK246" i="178"/>
  <c r="AR246" i="178"/>
  <c r="AV246" i="178"/>
  <c r="AZ246" i="178"/>
  <c r="BD246" i="178"/>
  <c r="BH246" i="178"/>
  <c r="BM246" i="178"/>
  <c r="BM245" i="178"/>
  <c r="AT245" i="178"/>
  <c r="AX245" i="178"/>
  <c r="BB245" i="178"/>
  <c r="BF245" i="178"/>
  <c r="BJ245" i="178"/>
  <c r="BK245" i="178"/>
  <c r="AZ245" i="178"/>
  <c r="BD245" i="178"/>
  <c r="AR245" i="178"/>
  <c r="BH245" i="178"/>
  <c r="AV245" i="178"/>
  <c r="AR244" i="178"/>
  <c r="AV244" i="178"/>
  <c r="AZ244" i="178"/>
  <c r="BD244" i="178"/>
  <c r="BH244" i="178"/>
  <c r="BM244" i="178"/>
  <c r="AT244" i="178"/>
  <c r="AX244" i="178"/>
  <c r="BB244" i="178"/>
  <c r="BF244" i="178"/>
  <c r="BJ244" i="178"/>
  <c r="BK244" i="178"/>
  <c r="BK247" i="178"/>
  <c r="AR247" i="178"/>
  <c r="AV247" i="178"/>
  <c r="AZ247" i="178"/>
  <c r="BD247" i="178"/>
  <c r="BH247" i="178"/>
  <c r="BM247" i="178"/>
  <c r="AX247" i="178"/>
  <c r="BB247" i="178"/>
  <c r="BF247" i="178"/>
  <c r="AT247" i="178"/>
  <c r="BJ247" i="178"/>
  <c r="AT240" i="178"/>
  <c r="AX240" i="178"/>
  <c r="BB240" i="178"/>
  <c r="BF240" i="178"/>
  <c r="BJ240" i="178"/>
  <c r="BK240" i="178"/>
  <c r="AR240" i="178"/>
  <c r="AV240" i="178"/>
  <c r="AZ240" i="178"/>
  <c r="BD240" i="178"/>
  <c r="BH240" i="178"/>
  <c r="BM240" i="178"/>
  <c r="BM239" i="178"/>
  <c r="AT239" i="178"/>
  <c r="AX239" i="178"/>
  <c r="BB239" i="178"/>
  <c r="BF239" i="178"/>
  <c r="BJ239" i="178"/>
  <c r="BK239" i="178"/>
  <c r="AR239" i="178"/>
  <c r="BH239" i="178"/>
  <c r="AV239" i="178"/>
  <c r="AZ239" i="178"/>
  <c r="BD239" i="178"/>
  <c r="AR237" i="178"/>
  <c r="AV237" i="178"/>
  <c r="AZ237" i="178"/>
  <c r="BD237" i="178"/>
  <c r="BH237" i="178"/>
  <c r="BM237" i="178"/>
  <c r="AT237" i="178"/>
  <c r="AX237" i="178"/>
  <c r="BB237" i="178"/>
  <c r="BF237" i="178"/>
  <c r="BJ237" i="178"/>
  <c r="BK237" i="178"/>
  <c r="BK236" i="178"/>
  <c r="AR236" i="178"/>
  <c r="AV236" i="178"/>
  <c r="AZ236" i="178"/>
  <c r="BD236" i="178"/>
  <c r="BH236" i="178"/>
  <c r="BM236" i="178"/>
  <c r="BF236" i="178"/>
  <c r="AT236" i="178"/>
  <c r="BJ236" i="178"/>
  <c r="AX236" i="178"/>
  <c r="BB236" i="178"/>
  <c r="AR215" i="178"/>
  <c r="AV215" i="178"/>
  <c r="AZ215" i="178"/>
  <c r="BD215" i="178"/>
  <c r="BH215" i="178"/>
  <c r="BM215" i="178"/>
  <c r="AT215" i="178"/>
  <c r="AX215" i="178"/>
  <c r="BB215" i="178"/>
  <c r="BF215" i="178"/>
  <c r="BJ215" i="178"/>
  <c r="BK215" i="178"/>
  <c r="BK214" i="178"/>
  <c r="AR214" i="178"/>
  <c r="AV214" i="178"/>
  <c r="AZ214" i="178"/>
  <c r="BD214" i="178"/>
  <c r="BH214" i="178"/>
  <c r="BM214" i="178"/>
  <c r="BF214" i="178"/>
  <c r="AT214" i="178"/>
  <c r="BJ214" i="178"/>
  <c r="AX214" i="178"/>
  <c r="BB214" i="178"/>
  <c r="AT210" i="178"/>
  <c r="AX210" i="178"/>
  <c r="BB210" i="178"/>
  <c r="BF210" i="178"/>
  <c r="BJ210" i="178"/>
  <c r="BK210" i="178"/>
  <c r="AR210" i="178"/>
  <c r="AV210" i="178"/>
  <c r="AZ210" i="178"/>
  <c r="BD210" i="178"/>
  <c r="BH210" i="178"/>
  <c r="BM210" i="178"/>
  <c r="BM209" i="178"/>
  <c r="AT209" i="178"/>
  <c r="AX209" i="178"/>
  <c r="BB209" i="178"/>
  <c r="BF209" i="178"/>
  <c r="BJ209" i="178"/>
  <c r="BK209" i="178"/>
  <c r="BD209" i="178"/>
  <c r="AR209" i="178"/>
  <c r="BH209" i="178"/>
  <c r="AV209" i="178"/>
  <c r="AZ209" i="178"/>
  <c r="AR211" i="178"/>
  <c r="AV211" i="178"/>
  <c r="AZ211" i="178"/>
  <c r="BD211" i="178"/>
  <c r="BH211" i="178"/>
  <c r="BM211" i="178"/>
  <c r="AT211" i="178"/>
  <c r="AX211" i="178"/>
  <c r="BB211" i="178"/>
  <c r="BF211" i="178"/>
  <c r="BJ211" i="178"/>
  <c r="BK211" i="178"/>
  <c r="AR150" i="178"/>
  <c r="AZ150" i="178"/>
  <c r="BH150" i="178"/>
  <c r="AT150" i="178"/>
  <c r="BB150" i="178"/>
  <c r="BM150" i="178"/>
  <c r="AV150" i="178"/>
  <c r="BD150" i="178"/>
  <c r="BJ150" i="178"/>
  <c r="AX150" i="178"/>
  <c r="BF150" i="178"/>
  <c r="BK150" i="178"/>
  <c r="AT149" i="178"/>
  <c r="AX149" i="178"/>
  <c r="BB149" i="178"/>
  <c r="BF149" i="178"/>
  <c r="BJ149" i="178"/>
  <c r="AR149" i="178"/>
  <c r="AV149" i="178"/>
  <c r="AZ149" i="178"/>
  <c r="BD149" i="178"/>
  <c r="BH149" i="178"/>
  <c r="BK149" i="178"/>
  <c r="BM149" i="178"/>
  <c r="AR143" i="178"/>
  <c r="AV143" i="178"/>
  <c r="AZ143" i="178"/>
  <c r="BD143" i="178"/>
  <c r="BH143" i="178"/>
  <c r="AT143" i="178"/>
  <c r="AX143" i="178"/>
  <c r="BB143" i="178"/>
  <c r="BF143" i="178"/>
  <c r="BJ143" i="178"/>
  <c r="BK143" i="178"/>
  <c r="BM143" i="178"/>
  <c r="BK142" i="178"/>
  <c r="BM142" i="178"/>
  <c r="AR142" i="178"/>
  <c r="AZ142" i="178"/>
  <c r="BH142" i="178"/>
  <c r="AT142" i="178"/>
  <c r="BB142" i="178"/>
  <c r="BJ142" i="178"/>
  <c r="AV142" i="178"/>
  <c r="BD142" i="178"/>
  <c r="AX142" i="178"/>
  <c r="BF142" i="178"/>
  <c r="BM115" i="178"/>
  <c r="BK115" i="178"/>
  <c r="AT115" i="178"/>
  <c r="BB115" i="178"/>
  <c r="BJ115" i="178"/>
  <c r="AV115" i="178"/>
  <c r="BD115" i="178"/>
  <c r="AX115" i="178"/>
  <c r="BF115" i="178"/>
  <c r="AR115" i="178"/>
  <c r="AZ115" i="178"/>
  <c r="BH115" i="178"/>
  <c r="AR114" i="178"/>
  <c r="AV114" i="178"/>
  <c r="AZ114" i="178"/>
  <c r="BD114" i="178"/>
  <c r="BH114" i="178"/>
  <c r="AT114" i="178"/>
  <c r="AX114" i="178"/>
  <c r="BB114" i="178"/>
  <c r="BF114" i="178"/>
  <c r="BJ114" i="178"/>
  <c r="BK114" i="178"/>
  <c r="BM114" i="178"/>
  <c r="BK113" i="178"/>
  <c r="BM113" i="178"/>
  <c r="AR113" i="178"/>
  <c r="AZ113" i="178"/>
  <c r="BH113" i="178"/>
  <c r="AT113" i="178"/>
  <c r="BB113" i="178"/>
  <c r="BJ113" i="178"/>
  <c r="AV113" i="178"/>
  <c r="BD113" i="178"/>
  <c r="BF113" i="178"/>
  <c r="AX113" i="178"/>
  <c r="AT112" i="178"/>
  <c r="AX112" i="178"/>
  <c r="BB112" i="178"/>
  <c r="BF112" i="178"/>
  <c r="BJ112" i="178"/>
  <c r="AR112" i="178"/>
  <c r="AV112" i="178"/>
  <c r="AZ112" i="178"/>
  <c r="BD112" i="178"/>
  <c r="BH112" i="178"/>
  <c r="BK112" i="178"/>
  <c r="BM112" i="178"/>
  <c r="BM117" i="178"/>
  <c r="BK117" i="178"/>
  <c r="AX117" i="178"/>
  <c r="BF117" i="178"/>
  <c r="AR117" i="178"/>
  <c r="AZ117" i="178"/>
  <c r="BH117" i="178"/>
  <c r="AT117" i="178"/>
  <c r="BB117" i="178"/>
  <c r="BJ117" i="178"/>
  <c r="AV117" i="178"/>
  <c r="BD117" i="178"/>
  <c r="AR116" i="178"/>
  <c r="AV116" i="178"/>
  <c r="AZ116" i="178"/>
  <c r="BD116" i="178"/>
  <c r="BH116" i="178"/>
  <c r="AT116" i="178"/>
  <c r="AX116" i="178"/>
  <c r="BB116" i="178"/>
  <c r="BF116" i="178"/>
  <c r="BJ116" i="178"/>
  <c r="BM116" i="178"/>
  <c r="BK116" i="178"/>
  <c r="BK111" i="178"/>
  <c r="AR111" i="178"/>
  <c r="AV111" i="178"/>
  <c r="AZ111" i="178"/>
  <c r="BD111" i="178"/>
  <c r="BH111" i="178"/>
  <c r="BM111" i="178"/>
  <c r="AT111" i="178"/>
  <c r="BJ111" i="178"/>
  <c r="AX111" i="178"/>
  <c r="BB111" i="178"/>
  <c r="BF111" i="178"/>
  <c r="AT106" i="178"/>
  <c r="AX106" i="178"/>
  <c r="BB106" i="178"/>
  <c r="BF106" i="178"/>
  <c r="BJ106" i="178"/>
  <c r="BK106" i="178"/>
  <c r="AR106" i="178"/>
  <c r="AV106" i="178"/>
  <c r="AZ106" i="178"/>
  <c r="BD106" i="178"/>
  <c r="BH106" i="178"/>
  <c r="BM106" i="178"/>
  <c r="BM109" i="178"/>
  <c r="AT109" i="178"/>
  <c r="AX109" i="178"/>
  <c r="BB109" i="178"/>
  <c r="BF109" i="178"/>
  <c r="BJ109" i="178"/>
  <c r="BK109" i="178"/>
  <c r="AR109" i="178"/>
  <c r="BH109" i="178"/>
  <c r="AV109" i="178"/>
  <c r="AZ109" i="178"/>
  <c r="BD109" i="178"/>
  <c r="AR105" i="178"/>
  <c r="AV105" i="178"/>
  <c r="AZ105" i="178"/>
  <c r="BD105" i="178"/>
  <c r="BH105" i="178"/>
  <c r="BM105" i="178"/>
  <c r="AT105" i="178"/>
  <c r="AX105" i="178"/>
  <c r="BB105" i="178"/>
  <c r="BF105" i="178"/>
  <c r="BJ105" i="178"/>
  <c r="BK105" i="178"/>
  <c r="BK104" i="178"/>
  <c r="AR104" i="178"/>
  <c r="AV104" i="178"/>
  <c r="AZ104" i="178"/>
  <c r="BD104" i="178"/>
  <c r="BH104" i="178"/>
  <c r="BM104" i="178"/>
  <c r="BF104" i="178"/>
  <c r="AT104" i="178"/>
  <c r="BJ104" i="178"/>
  <c r="AX104" i="178"/>
  <c r="BB104" i="178"/>
  <c r="AT103" i="178"/>
  <c r="AX103" i="178"/>
  <c r="BB103" i="178"/>
  <c r="BF103" i="178"/>
  <c r="BJ103" i="178"/>
  <c r="BK103" i="178"/>
  <c r="AR103" i="178"/>
  <c r="AV103" i="178"/>
  <c r="AZ103" i="178"/>
  <c r="BD103" i="178"/>
  <c r="BH103" i="178"/>
  <c r="BM103" i="178"/>
  <c r="BM102" i="178"/>
  <c r="AT102" i="178"/>
  <c r="AX102" i="178"/>
  <c r="BB102" i="178"/>
  <c r="BF102" i="178"/>
  <c r="BJ102" i="178"/>
  <c r="BK102" i="178"/>
  <c r="BD102" i="178"/>
  <c r="AR102" i="178"/>
  <c r="BH102" i="178"/>
  <c r="AV102" i="178"/>
  <c r="AZ102" i="178"/>
  <c r="AR108" i="178"/>
  <c r="AV108" i="178"/>
  <c r="AZ108" i="178"/>
  <c r="BD108" i="178"/>
  <c r="BH108" i="178"/>
  <c r="BM108" i="178"/>
  <c r="AT108" i="178"/>
  <c r="AX108" i="178"/>
  <c r="BB108" i="178"/>
  <c r="BF108" i="178"/>
  <c r="BJ108" i="178"/>
  <c r="BK108" i="178"/>
  <c r="BK107" i="178"/>
  <c r="AR107" i="178"/>
  <c r="AV107" i="178"/>
  <c r="AZ107" i="178"/>
  <c r="BD107" i="178"/>
  <c r="BH107" i="178"/>
  <c r="BM107" i="178"/>
  <c r="BB107" i="178"/>
  <c r="BF107" i="178"/>
  <c r="AT107" i="178"/>
  <c r="BJ107" i="178"/>
  <c r="AX107" i="178"/>
  <c r="AT101" i="178"/>
  <c r="AX101" i="178"/>
  <c r="BB101" i="178"/>
  <c r="BF101" i="178"/>
  <c r="BJ101" i="178"/>
  <c r="BK101" i="178"/>
  <c r="AR101" i="178"/>
  <c r="AV101" i="178"/>
  <c r="AZ101" i="178"/>
  <c r="BD101" i="178"/>
  <c r="BH101" i="178"/>
  <c r="BM101" i="178"/>
  <c r="BM96" i="178"/>
  <c r="AT96" i="178"/>
  <c r="AX96" i="178"/>
  <c r="BB96" i="178"/>
  <c r="BF96" i="178"/>
  <c r="BJ96" i="178"/>
  <c r="BK96" i="178"/>
  <c r="AZ96" i="178"/>
  <c r="BD96" i="178"/>
  <c r="AR96" i="178"/>
  <c r="BH96" i="178"/>
  <c r="AV96" i="178"/>
  <c r="AR95" i="178"/>
  <c r="AV95" i="178"/>
  <c r="AZ95" i="178"/>
  <c r="BD95" i="178"/>
  <c r="BH95" i="178"/>
  <c r="BM95" i="178"/>
  <c r="AT95" i="178"/>
  <c r="AX95" i="178"/>
  <c r="BB95" i="178"/>
  <c r="BF95" i="178"/>
  <c r="BJ95" i="178"/>
  <c r="BK95" i="178"/>
  <c r="BK94" i="178"/>
  <c r="AR94" i="178"/>
  <c r="AV94" i="178"/>
  <c r="AZ94" i="178"/>
  <c r="BD94" i="178"/>
  <c r="BH94" i="178"/>
  <c r="BM94" i="178"/>
  <c r="AX94" i="178"/>
  <c r="BB94" i="178"/>
  <c r="BF94" i="178"/>
  <c r="BJ94" i="178"/>
  <c r="AT94" i="178"/>
  <c r="AT93" i="178"/>
  <c r="AX93" i="178"/>
  <c r="BB93" i="178"/>
  <c r="BF93" i="178"/>
  <c r="BJ93" i="178"/>
  <c r="BK93" i="178"/>
  <c r="AR93" i="178"/>
  <c r="AV93" i="178"/>
  <c r="AZ93" i="178"/>
  <c r="BD93" i="178"/>
  <c r="BH93" i="178"/>
  <c r="BM93" i="178"/>
  <c r="BM98" i="178"/>
  <c r="AT98" i="178"/>
  <c r="AX98" i="178"/>
  <c r="BB98" i="178"/>
  <c r="BF98" i="178"/>
  <c r="BJ98" i="178"/>
  <c r="BK98" i="178"/>
  <c r="AV98" i="178"/>
  <c r="AZ98" i="178"/>
  <c r="BD98" i="178"/>
  <c r="AR98" i="178"/>
  <c r="BH98" i="178"/>
  <c r="AR97" i="178"/>
  <c r="AV97" i="178"/>
  <c r="AZ97" i="178"/>
  <c r="BD97" i="178"/>
  <c r="BH97" i="178"/>
  <c r="BM97" i="178"/>
  <c r="AT97" i="178"/>
  <c r="AX97" i="178"/>
  <c r="BB97" i="178"/>
  <c r="BF97" i="178"/>
  <c r="BJ97" i="178"/>
  <c r="BK97" i="178"/>
  <c r="BK89" i="178"/>
  <c r="AR89" i="178"/>
  <c r="AV89" i="178"/>
  <c r="AZ89" i="178"/>
  <c r="BD89" i="178"/>
  <c r="BH89" i="178"/>
  <c r="BM89" i="178"/>
  <c r="AT89" i="178"/>
  <c r="BJ89" i="178"/>
  <c r="AX89" i="178"/>
  <c r="BB89" i="178"/>
  <c r="BF89" i="178"/>
  <c r="AT88" i="178"/>
  <c r="AX88" i="178"/>
  <c r="BB88" i="178"/>
  <c r="BF88" i="178"/>
  <c r="BJ88" i="178"/>
  <c r="BK88" i="178"/>
  <c r="AR88" i="178"/>
  <c r="AV88" i="178"/>
  <c r="AZ88" i="178"/>
  <c r="BD88" i="178"/>
  <c r="BH88" i="178"/>
  <c r="BM88" i="178"/>
  <c r="BM87" i="178"/>
  <c r="AT87" i="178"/>
  <c r="AX87" i="178"/>
  <c r="BB87" i="178"/>
  <c r="BF87" i="178"/>
  <c r="BJ87" i="178"/>
  <c r="BK87" i="178"/>
  <c r="AR87" i="178"/>
  <c r="BH87" i="178"/>
  <c r="AV87" i="178"/>
  <c r="AZ87" i="178"/>
  <c r="BD87" i="178"/>
  <c r="AR86" i="178"/>
  <c r="AV86" i="178"/>
  <c r="AZ86" i="178"/>
  <c r="BD86" i="178"/>
  <c r="BH86" i="178"/>
  <c r="BM86" i="178"/>
  <c r="AT86" i="178"/>
  <c r="AX86" i="178"/>
  <c r="BB86" i="178"/>
  <c r="BF86" i="178"/>
  <c r="BJ86" i="178"/>
  <c r="BK86" i="178"/>
  <c r="BK91" i="178"/>
  <c r="AR91" i="178"/>
  <c r="AV91" i="178"/>
  <c r="AZ91" i="178"/>
  <c r="BD91" i="178"/>
  <c r="BH91" i="178"/>
  <c r="BM91" i="178"/>
  <c r="BF91" i="178"/>
  <c r="AT91" i="178"/>
  <c r="BJ91" i="178"/>
  <c r="AX91" i="178"/>
  <c r="BB91" i="178"/>
  <c r="AT90" i="178"/>
  <c r="AX90" i="178"/>
  <c r="BB90" i="178"/>
  <c r="BF90" i="178"/>
  <c r="BJ90" i="178"/>
  <c r="BK90" i="178"/>
  <c r="AR90" i="178"/>
  <c r="AV90" i="178"/>
  <c r="AZ90" i="178"/>
  <c r="BD90" i="178"/>
  <c r="BH90" i="178"/>
  <c r="BM90" i="178"/>
  <c r="AT70" i="178"/>
  <c r="AX70" i="178"/>
  <c r="BB70" i="178"/>
  <c r="BF70" i="178"/>
  <c r="BJ70" i="178"/>
  <c r="BK70" i="178"/>
  <c r="AR70" i="178"/>
  <c r="AV70" i="178"/>
  <c r="AZ70" i="178"/>
  <c r="BD70" i="178"/>
  <c r="BH70" i="178"/>
  <c r="BM70" i="178"/>
  <c r="BM71" i="178"/>
  <c r="AT71" i="178"/>
  <c r="AX71" i="178"/>
  <c r="BB71" i="178"/>
  <c r="BF71" i="178"/>
  <c r="BJ71" i="178"/>
  <c r="BK71" i="178"/>
  <c r="AV71" i="178"/>
  <c r="AZ71" i="178"/>
  <c r="BD71" i="178"/>
  <c r="AR71" i="178"/>
  <c r="BH71" i="178"/>
  <c r="BK64" i="178"/>
  <c r="AR64" i="178"/>
  <c r="AV64" i="178"/>
  <c r="AZ64" i="178"/>
  <c r="BD64" i="178"/>
  <c r="BH64" i="178"/>
  <c r="BM64" i="178"/>
  <c r="BF64" i="178"/>
  <c r="AT64" i="178"/>
  <c r="BJ64" i="178"/>
  <c r="AX64" i="178"/>
  <c r="BB64" i="178"/>
  <c r="AT62" i="178"/>
  <c r="AX62" i="178"/>
  <c r="BB62" i="178"/>
  <c r="BF62" i="178"/>
  <c r="BJ62" i="178"/>
  <c r="BK62" i="178"/>
  <c r="AR62" i="178"/>
  <c r="AV62" i="178"/>
  <c r="AZ62" i="178"/>
  <c r="BD62" i="178"/>
  <c r="BH62" i="178"/>
  <c r="BM62" i="178"/>
  <c r="BM61" i="178"/>
  <c r="AT61" i="178"/>
  <c r="AX61" i="178"/>
  <c r="BB61" i="178"/>
  <c r="BF61" i="178"/>
  <c r="BJ61" i="178"/>
  <c r="BK61" i="178"/>
  <c r="BD61" i="178"/>
  <c r="AR61" i="178"/>
  <c r="BH61" i="178"/>
  <c r="AV61" i="178"/>
  <c r="AZ61" i="178"/>
  <c r="AR63" i="178"/>
  <c r="AV63" i="178"/>
  <c r="AZ63" i="178"/>
  <c r="BD63" i="178"/>
  <c r="BH63" i="178"/>
  <c r="BM63" i="178"/>
  <c r="AT63" i="178"/>
  <c r="AX63" i="178"/>
  <c r="BB63" i="178"/>
  <c r="BF63" i="178"/>
  <c r="BJ63" i="178"/>
  <c r="BK63" i="178"/>
  <c r="BK60" i="178"/>
  <c r="AR60" i="178"/>
  <c r="AV60" i="178"/>
  <c r="AZ60" i="178"/>
  <c r="BD60" i="178"/>
  <c r="BH60" i="178"/>
  <c r="BM60" i="178"/>
  <c r="BB60" i="178"/>
  <c r="BF60" i="178"/>
  <c r="AT60" i="178"/>
  <c r="BJ60" i="178"/>
  <c r="AX60" i="178"/>
  <c r="BK52" i="178"/>
  <c r="AR52" i="178"/>
  <c r="AV52" i="178"/>
  <c r="AZ52" i="178"/>
  <c r="BD52" i="178"/>
  <c r="BH52" i="178"/>
  <c r="BM52" i="178"/>
  <c r="AX52" i="178"/>
  <c r="BB52" i="178"/>
  <c r="BF52" i="178"/>
  <c r="AT52" i="178"/>
  <c r="BJ52" i="178"/>
  <c r="AT53" i="178"/>
  <c r="AX53" i="178"/>
  <c r="BB53" i="178"/>
  <c r="BF53" i="178"/>
  <c r="BJ53" i="178"/>
  <c r="BK53" i="178"/>
  <c r="AR53" i="178"/>
  <c r="AV53" i="178"/>
  <c r="AZ53" i="178"/>
  <c r="BD53" i="178"/>
  <c r="BH53" i="178"/>
  <c r="BM53" i="178"/>
  <c r="BM50" i="178"/>
  <c r="AT50" i="178"/>
  <c r="AX50" i="178"/>
  <c r="BB50" i="178"/>
  <c r="BF50" i="178"/>
  <c r="BJ50" i="178"/>
  <c r="BK50" i="178"/>
  <c r="AV50" i="178"/>
  <c r="AZ50" i="178"/>
  <c r="BD50" i="178"/>
  <c r="AR50" i="178"/>
  <c r="BH50" i="178"/>
  <c r="AR51" i="178"/>
  <c r="AV51" i="178"/>
  <c r="AZ51" i="178"/>
  <c r="BD51" i="178"/>
  <c r="BH51" i="178"/>
  <c r="BM51" i="178"/>
  <c r="AT51" i="178"/>
  <c r="AX51" i="178"/>
  <c r="BB51" i="178"/>
  <c r="BF51" i="178"/>
  <c r="BJ51" i="178"/>
  <c r="BK51" i="178"/>
  <c r="AT47" i="178"/>
  <c r="AX47" i="178"/>
  <c r="BB47" i="178"/>
  <c r="BF47" i="178"/>
  <c r="BJ47" i="178"/>
  <c r="BK47" i="178"/>
  <c r="AR47" i="178"/>
  <c r="AV47" i="178"/>
  <c r="AZ47" i="178"/>
  <c r="BD47" i="178"/>
  <c r="BH47" i="178"/>
  <c r="BM47" i="178"/>
  <c r="BM46" i="178"/>
  <c r="AT46" i="178"/>
  <c r="AX46" i="178"/>
  <c r="BB46" i="178"/>
  <c r="BF46" i="178"/>
  <c r="BJ46" i="178"/>
  <c r="BK46" i="178"/>
  <c r="AR46" i="178"/>
  <c r="BH46" i="178"/>
  <c r="AV46" i="178"/>
  <c r="AZ46" i="178"/>
  <c r="BD46" i="178"/>
  <c r="BM43" i="178"/>
  <c r="AT43" i="178"/>
  <c r="AX43" i="178"/>
  <c r="BB43" i="178"/>
  <c r="BF43" i="178"/>
  <c r="BJ43" i="178"/>
  <c r="BK43" i="178"/>
  <c r="BD43" i="178"/>
  <c r="AR43" i="178"/>
  <c r="BH43" i="178"/>
  <c r="AV43" i="178"/>
  <c r="AZ43" i="178"/>
  <c r="BK42" i="178"/>
  <c r="AR42" i="178"/>
  <c r="AV42" i="178"/>
  <c r="AZ42" i="178"/>
  <c r="BD42" i="178"/>
  <c r="BH42" i="178"/>
  <c r="BM42" i="178"/>
  <c r="BB42" i="178"/>
  <c r="BF42" i="178"/>
  <c r="AT42" i="178"/>
  <c r="BJ42" i="178"/>
  <c r="AX42" i="178"/>
  <c r="AT41" i="178"/>
  <c r="AX41" i="178"/>
  <c r="BB41" i="178"/>
  <c r="BF41" i="178"/>
  <c r="BJ41" i="178"/>
  <c r="BK41" i="178"/>
  <c r="AR41" i="178"/>
  <c r="AV41" i="178"/>
  <c r="AZ41" i="178"/>
  <c r="BD41" i="178"/>
  <c r="BH41" i="178"/>
  <c r="BM41" i="178"/>
  <c r="BM40" i="178"/>
  <c r="AT40" i="178"/>
  <c r="AX40" i="178"/>
  <c r="BB40" i="178"/>
  <c r="BF40" i="178"/>
  <c r="BJ40" i="178"/>
  <c r="BK40" i="178"/>
  <c r="AZ40" i="178"/>
  <c r="BD40" i="178"/>
  <c r="AR40" i="178"/>
  <c r="BH40" i="178"/>
  <c r="AV40" i="178"/>
  <c r="AR39" i="178"/>
  <c r="AV39" i="178"/>
  <c r="AZ39" i="178"/>
  <c r="BD39" i="178"/>
  <c r="BH39" i="178"/>
  <c r="BM39" i="178"/>
  <c r="AT39" i="178"/>
  <c r="AX39" i="178"/>
  <c r="BB39" i="178"/>
  <c r="BF39" i="178"/>
  <c r="BJ39" i="178"/>
  <c r="BK39" i="178"/>
  <c r="BK38" i="178"/>
  <c r="AR38" i="178"/>
  <c r="AV38" i="178"/>
  <c r="AZ38" i="178"/>
  <c r="BD38" i="178"/>
  <c r="BH38" i="178"/>
  <c r="BM38" i="178"/>
  <c r="AX38" i="178"/>
  <c r="BB38" i="178"/>
  <c r="BF38" i="178"/>
  <c r="AT38" i="178"/>
  <c r="BJ38" i="178"/>
  <c r="BK34" i="178"/>
  <c r="AR34" i="178"/>
  <c r="AV34" i="178"/>
  <c r="AZ34" i="178"/>
  <c r="BD34" i="178"/>
  <c r="BH34" i="178"/>
  <c r="BM34" i="178"/>
  <c r="AT34" i="178"/>
  <c r="BJ34" i="178"/>
  <c r="AX34" i="178"/>
  <c r="BB34" i="178"/>
  <c r="BF34" i="178"/>
  <c r="AT33" i="178"/>
  <c r="AX33" i="178"/>
  <c r="BB33" i="178"/>
  <c r="BF33" i="178"/>
  <c r="BJ33" i="178"/>
  <c r="BK33" i="178"/>
  <c r="AR33" i="178"/>
  <c r="AV33" i="178"/>
  <c r="AZ33" i="178"/>
  <c r="BD33" i="178"/>
  <c r="BH33" i="178"/>
  <c r="BM33" i="178"/>
  <c r="AT32" i="178"/>
  <c r="AX32" i="178"/>
  <c r="BB32" i="178"/>
  <c r="BF32" i="178"/>
  <c r="BJ32" i="178"/>
  <c r="BK32" i="178"/>
  <c r="AR32" i="178"/>
  <c r="AV32" i="178"/>
  <c r="AZ32" i="178"/>
  <c r="BD32" i="178"/>
  <c r="BH32" i="178"/>
  <c r="BM32" i="178"/>
  <c r="AR31" i="178"/>
  <c r="AV31" i="178"/>
  <c r="AZ31" i="178"/>
  <c r="BD31" i="178"/>
  <c r="BH31" i="178"/>
  <c r="BM31" i="178"/>
  <c r="AT31" i="178"/>
  <c r="AX31" i="178"/>
  <c r="BB31" i="178"/>
  <c r="BF31" i="178"/>
  <c r="BJ31" i="178"/>
  <c r="BK31" i="178"/>
  <c r="BM30" i="178"/>
  <c r="BK30" i="178"/>
  <c r="AR30" i="178"/>
  <c r="AZ30" i="178"/>
  <c r="BH30" i="178"/>
  <c r="AT30" i="178"/>
  <c r="BB30" i="178"/>
  <c r="BJ30" i="178"/>
  <c r="AV30" i="178"/>
  <c r="BD30" i="178"/>
  <c r="AX30" i="178"/>
  <c r="BF30" i="178"/>
  <c r="AR28" i="178"/>
  <c r="AV28" i="178"/>
  <c r="AZ28" i="178"/>
  <c r="BD28" i="178"/>
  <c r="BH28" i="178"/>
  <c r="AT28" i="178"/>
  <c r="AX28" i="178"/>
  <c r="BB28" i="178"/>
  <c r="BF28" i="178"/>
  <c r="BJ28" i="178"/>
  <c r="BK28" i="178"/>
  <c r="BM28" i="178"/>
  <c r="AT25" i="178"/>
  <c r="AX25" i="178"/>
  <c r="BB25" i="178"/>
  <c r="BF25" i="178"/>
  <c r="BJ25" i="178"/>
  <c r="AR25" i="178"/>
  <c r="AV25" i="178"/>
  <c r="AZ25" i="178"/>
  <c r="BD25" i="178"/>
  <c r="BH25" i="178"/>
  <c r="BM25" i="178"/>
  <c r="BK25" i="178"/>
  <c r="BM24" i="178"/>
  <c r="BK24" i="178"/>
  <c r="AV24" i="178"/>
  <c r="BD24" i="178"/>
  <c r="AX24" i="178"/>
  <c r="BF24" i="178"/>
  <c r="AR24" i="178"/>
  <c r="AZ24" i="178"/>
  <c r="BH24" i="178"/>
  <c r="BJ24" i="178"/>
  <c r="AT24" i="178"/>
  <c r="BB24" i="178"/>
  <c r="AR26" i="178"/>
  <c r="AV26" i="178"/>
  <c r="AZ26" i="178"/>
  <c r="BD26" i="178"/>
  <c r="BH26" i="178"/>
  <c r="AT26" i="178"/>
  <c r="AX26" i="178"/>
  <c r="BB26" i="178"/>
  <c r="BF26" i="178"/>
  <c r="BJ26" i="178"/>
  <c r="BK26" i="178"/>
  <c r="BM26" i="178"/>
  <c r="BK23" i="178"/>
  <c r="BM23" i="178"/>
  <c r="AT23" i="178"/>
  <c r="BB23" i="178"/>
  <c r="BJ23" i="178"/>
  <c r="AV23" i="178"/>
  <c r="BD23" i="178"/>
  <c r="AX23" i="178"/>
  <c r="BF23" i="178"/>
  <c r="AR23" i="178"/>
  <c r="AZ23" i="178"/>
  <c r="BH23" i="178"/>
  <c r="AT27" i="178"/>
  <c r="AX27" i="178"/>
  <c r="BB27" i="178"/>
  <c r="BF27" i="178"/>
  <c r="BJ27" i="178"/>
  <c r="AR27" i="178"/>
  <c r="AV27" i="178"/>
  <c r="AZ27" i="178"/>
  <c r="BD27" i="178"/>
  <c r="BH27" i="178"/>
  <c r="BK27" i="178"/>
  <c r="BM27" i="178"/>
  <c r="BM21" i="178"/>
  <c r="BK21" i="178"/>
  <c r="AR21" i="178"/>
  <c r="AZ21" i="178"/>
  <c r="BH21" i="178"/>
  <c r="AT21" i="178"/>
  <c r="BB21" i="178"/>
  <c r="BJ21" i="178"/>
  <c r="AV21" i="178"/>
  <c r="BD21" i="178"/>
  <c r="BF21" i="178"/>
  <c r="AX21" i="178"/>
  <c r="AR20" i="178"/>
  <c r="AV20" i="178"/>
  <c r="AZ20" i="178"/>
  <c r="BD20" i="178"/>
  <c r="BH20" i="178"/>
  <c r="AT20" i="178"/>
  <c r="AX20" i="178"/>
  <c r="BB20" i="178"/>
  <c r="BF20" i="178"/>
  <c r="BJ20" i="178"/>
  <c r="BK20" i="178"/>
  <c r="BM20" i="178"/>
  <c r="BK18" i="178"/>
  <c r="BM18" i="178"/>
  <c r="AX18" i="178"/>
  <c r="BF18" i="178"/>
  <c r="AR18" i="178"/>
  <c r="AZ18" i="178"/>
  <c r="BH18" i="178"/>
  <c r="AT18" i="178"/>
  <c r="BB18" i="178"/>
  <c r="BJ18" i="178"/>
  <c r="AV18" i="178"/>
  <c r="BD18" i="178"/>
  <c r="BM19" i="178"/>
  <c r="BK19" i="178"/>
  <c r="AV19" i="178"/>
  <c r="BD19" i="178"/>
  <c r="AX19" i="178"/>
  <c r="BF19" i="178"/>
  <c r="AR19" i="178"/>
  <c r="AZ19" i="178"/>
  <c r="BH19" i="178"/>
  <c r="BB19" i="178"/>
  <c r="BJ19" i="178"/>
  <c r="AT19" i="178"/>
  <c r="AR22" i="178"/>
  <c r="AV22" i="178"/>
  <c r="AZ22" i="178"/>
  <c r="BD22" i="178"/>
  <c r="BH22" i="178"/>
  <c r="AT22" i="178"/>
  <c r="AX22" i="178"/>
  <c r="BB22" i="178"/>
  <c r="BF22" i="178"/>
  <c r="BJ22" i="178"/>
  <c r="BK22" i="178"/>
  <c r="BM22" i="178"/>
  <c r="BM7" i="178"/>
  <c r="AT7" i="178"/>
  <c r="AX7" i="178"/>
  <c r="BB7" i="178"/>
  <c r="BF7" i="178"/>
  <c r="BJ7" i="178"/>
  <c r="BK7" i="178"/>
  <c r="AV7" i="178"/>
  <c r="AZ7" i="178"/>
  <c r="BD7" i="178"/>
  <c r="AR7" i="178"/>
  <c r="BH7" i="178"/>
  <c r="AR11" i="178"/>
  <c r="AV11" i="178"/>
  <c r="AZ11" i="178"/>
  <c r="BD11" i="178"/>
  <c r="BH11" i="178"/>
  <c r="BM11" i="178"/>
  <c r="AT11" i="178"/>
  <c r="AX11" i="178"/>
  <c r="BB11" i="178"/>
  <c r="BF11" i="178"/>
  <c r="BJ11" i="178"/>
  <c r="BK11" i="178"/>
  <c r="BK6" i="178"/>
  <c r="AR6" i="178"/>
  <c r="AV6" i="178"/>
  <c r="AZ6" i="178"/>
  <c r="BD6" i="178"/>
  <c r="BH6" i="178"/>
  <c r="BM6" i="178"/>
  <c r="AT6" i="178"/>
  <c r="BJ6" i="178"/>
  <c r="AX6" i="178"/>
  <c r="BB6" i="178"/>
  <c r="BF6" i="178"/>
  <c r="AT9" i="178"/>
  <c r="AX9" i="178"/>
  <c r="BB9" i="178"/>
  <c r="BF9" i="178"/>
  <c r="BJ9" i="178"/>
  <c r="BK9" i="178"/>
  <c r="AR9" i="178"/>
  <c r="AV9" i="178"/>
  <c r="AZ9" i="178"/>
  <c r="BD9" i="178"/>
  <c r="BH9" i="178"/>
  <c r="BM9" i="178"/>
  <c r="BM5" i="178"/>
  <c r="AT5" i="178"/>
  <c r="AX5" i="178"/>
  <c r="BB5" i="178"/>
  <c r="BF5" i="178"/>
  <c r="BJ5" i="178"/>
  <c r="BK5" i="178"/>
  <c r="AR5" i="178"/>
  <c r="BH5" i="178"/>
  <c r="AV5" i="178"/>
  <c r="AZ5" i="178"/>
  <c r="BD5" i="178"/>
  <c r="AR4" i="178"/>
  <c r="AV4" i="178"/>
  <c r="AZ4" i="178"/>
  <c r="BD4" i="178"/>
  <c r="BH4" i="178"/>
  <c r="BM4" i="178"/>
  <c r="AT4" i="178"/>
  <c r="AX4" i="178"/>
  <c r="BB4" i="178"/>
  <c r="BF4" i="178"/>
  <c r="BJ4" i="178"/>
  <c r="BK4" i="178"/>
  <c r="BK10" i="178"/>
  <c r="AR10" i="178"/>
  <c r="AV10" i="178"/>
  <c r="AZ10" i="178"/>
  <c r="BD10" i="178"/>
  <c r="BH10" i="178"/>
  <c r="BM10" i="178"/>
  <c r="BF10" i="178"/>
  <c r="AT10" i="178"/>
  <c r="BJ10" i="178"/>
  <c r="AX10" i="178"/>
  <c r="BB10" i="178"/>
  <c r="AT8" i="178"/>
  <c r="AX8" i="178"/>
  <c r="BB8" i="178"/>
  <c r="BF8" i="178"/>
  <c r="BJ8" i="178"/>
  <c r="BK8" i="178"/>
  <c r="AR8" i="178"/>
  <c r="AV8" i="178"/>
  <c r="AZ8" i="178"/>
  <c r="BD8" i="178"/>
  <c r="BH8" i="178"/>
  <c r="BM8" i="178"/>
  <c r="BK1258" i="178"/>
  <c r="AR1258" i="178"/>
  <c r="AV1258" i="178"/>
  <c r="AZ1258" i="178"/>
  <c r="BD1258" i="178"/>
  <c r="BH1258" i="178"/>
  <c r="BM1258" i="178"/>
  <c r="BB1258" i="178"/>
  <c r="BF1258" i="178"/>
  <c r="AT1258" i="178"/>
  <c r="BJ1258" i="178"/>
  <c r="AX1258" i="178"/>
  <c r="AT1062" i="178"/>
  <c r="AX1062" i="178"/>
  <c r="BB1062" i="178"/>
  <c r="BF1062" i="178"/>
  <c r="BJ1062" i="178"/>
  <c r="BK1062" i="178"/>
  <c r="AR1062" i="178"/>
  <c r="AV1062" i="178"/>
  <c r="AZ1062" i="178"/>
  <c r="BD1062" i="178"/>
  <c r="BH1062" i="178"/>
  <c r="BM1062" i="178"/>
  <c r="BM1061" i="178"/>
  <c r="AT1061" i="178"/>
  <c r="AX1061" i="178"/>
  <c r="BB1061" i="178"/>
  <c r="BF1061" i="178"/>
  <c r="BJ1061" i="178"/>
  <c r="BK1061" i="178"/>
  <c r="AV1061" i="178"/>
  <c r="AZ1061" i="178"/>
  <c r="BD1061" i="178"/>
  <c r="AR1061" i="178"/>
  <c r="BH1061" i="178"/>
  <c r="AT278" i="178"/>
  <c r="AX278" i="178"/>
  <c r="BB278" i="178"/>
  <c r="BF278" i="178"/>
  <c r="BJ278" i="178"/>
  <c r="BK278" i="178"/>
  <c r="AR278" i="178"/>
  <c r="AV278" i="178"/>
  <c r="AZ278" i="178"/>
  <c r="BD278" i="178"/>
  <c r="BH278" i="178"/>
  <c r="BM278" i="178"/>
  <c r="BM208" i="178"/>
  <c r="AT208" i="178"/>
  <c r="AX208" i="178"/>
  <c r="BB208" i="178"/>
  <c r="BF208" i="178"/>
  <c r="BJ208" i="178"/>
  <c r="BK208" i="178"/>
  <c r="AR208" i="178"/>
  <c r="BH208" i="178"/>
  <c r="AV208" i="178"/>
  <c r="AZ208" i="178"/>
  <c r="BD208" i="178"/>
  <c r="AR207" i="178"/>
  <c r="AV207" i="178"/>
  <c r="AZ207" i="178"/>
  <c r="BD207" i="178"/>
  <c r="BH207" i="178"/>
  <c r="BM207" i="178"/>
  <c r="AT207" i="178"/>
  <c r="AX207" i="178"/>
  <c r="BB207" i="178"/>
  <c r="BF207" i="178"/>
  <c r="BJ207" i="178"/>
  <c r="BK207" i="178"/>
  <c r="AT147" i="178"/>
  <c r="AX147" i="178"/>
  <c r="BB147" i="178"/>
  <c r="BF147" i="178"/>
  <c r="BJ147" i="178"/>
  <c r="BK147" i="178"/>
  <c r="AR147" i="178"/>
  <c r="AV147" i="178"/>
  <c r="AZ147" i="178"/>
  <c r="BD147" i="178"/>
  <c r="BH147" i="178"/>
  <c r="BM147" i="178"/>
  <c r="BM1146" i="178"/>
  <c r="AT1146" i="178"/>
  <c r="AX1146" i="178"/>
  <c r="BB1146" i="178"/>
  <c r="BF1146" i="178"/>
  <c r="BJ1146" i="178"/>
  <c r="BK1146" i="178"/>
  <c r="AV1146" i="178"/>
  <c r="AZ1146" i="178"/>
  <c r="BD1146" i="178"/>
  <c r="AR1146" i="178"/>
  <c r="BH1146" i="178"/>
  <c r="AR931" i="178"/>
  <c r="AV931" i="178"/>
  <c r="AZ931" i="178"/>
  <c r="BD931" i="178"/>
  <c r="BH931" i="178"/>
  <c r="BM931" i="178"/>
  <c r="AT931" i="178"/>
  <c r="AX931" i="178"/>
  <c r="BB931" i="178"/>
  <c r="BF931" i="178"/>
  <c r="BJ931" i="178"/>
  <c r="BK931" i="178"/>
  <c r="BK930" i="178"/>
  <c r="AR930" i="178"/>
  <c r="AV930" i="178"/>
  <c r="AZ930" i="178"/>
  <c r="BD930" i="178"/>
  <c r="BH930" i="178"/>
  <c r="BM930" i="178"/>
  <c r="AT930" i="178"/>
  <c r="BJ930" i="178"/>
  <c r="AX930" i="178"/>
  <c r="BB930" i="178"/>
  <c r="BF930" i="178"/>
  <c r="BM929" i="178"/>
  <c r="AT929" i="178"/>
  <c r="AX929" i="178"/>
  <c r="BB929" i="178"/>
  <c r="BF929" i="178"/>
  <c r="BJ929" i="178"/>
  <c r="BK929" i="178"/>
  <c r="AR929" i="178"/>
  <c r="BH929" i="178"/>
  <c r="AV929" i="178"/>
  <c r="AZ929" i="178"/>
  <c r="BD929" i="178"/>
  <c r="AR928" i="178"/>
  <c r="AV928" i="178"/>
  <c r="AZ928" i="178"/>
  <c r="BD928" i="178"/>
  <c r="BH928" i="178"/>
  <c r="BM928" i="178"/>
  <c r="AT928" i="178"/>
  <c r="AX928" i="178"/>
  <c r="BB928" i="178"/>
  <c r="BF928" i="178"/>
  <c r="BJ928" i="178"/>
  <c r="BK928" i="178"/>
  <c r="BK815" i="178"/>
  <c r="AR815" i="178"/>
  <c r="AV815" i="178"/>
  <c r="AZ815" i="178"/>
  <c r="BD815" i="178"/>
  <c r="BH815" i="178"/>
  <c r="BM815" i="178"/>
  <c r="BB815" i="178"/>
  <c r="BF815" i="178"/>
  <c r="AT815" i="178"/>
  <c r="BJ815" i="178"/>
  <c r="AX815" i="178"/>
  <c r="BM766" i="178"/>
  <c r="AT766" i="178"/>
  <c r="AX766" i="178"/>
  <c r="BB766" i="178"/>
  <c r="BF766" i="178"/>
  <c r="BJ766" i="178"/>
  <c r="BK766" i="178"/>
  <c r="AZ766" i="178"/>
  <c r="BD766" i="178"/>
  <c r="AR766" i="178"/>
  <c r="BH766" i="178"/>
  <c r="AV766" i="178"/>
  <c r="AR765" i="178"/>
  <c r="AV765" i="178"/>
  <c r="AZ765" i="178"/>
  <c r="BD765" i="178"/>
  <c r="BH765" i="178"/>
  <c r="BM765" i="178"/>
  <c r="AT765" i="178"/>
  <c r="AX765" i="178"/>
  <c r="BB765" i="178"/>
  <c r="BF765" i="178"/>
  <c r="BJ765" i="178"/>
  <c r="BK765" i="178"/>
  <c r="BK736" i="178"/>
  <c r="AR736" i="178"/>
  <c r="AV736" i="178"/>
  <c r="AZ736" i="178"/>
  <c r="BD736" i="178"/>
  <c r="BH736" i="178"/>
  <c r="BM736" i="178"/>
  <c r="AX736" i="178"/>
  <c r="BB736" i="178"/>
  <c r="BF736" i="178"/>
  <c r="AT736" i="178"/>
  <c r="BJ736" i="178"/>
  <c r="AT735" i="178"/>
  <c r="AX735" i="178"/>
  <c r="BB735" i="178"/>
  <c r="BF735" i="178"/>
  <c r="BJ735" i="178"/>
  <c r="BK735" i="178"/>
  <c r="AR735" i="178"/>
  <c r="AV735" i="178"/>
  <c r="AZ735" i="178"/>
  <c r="BD735" i="178"/>
  <c r="BH735" i="178"/>
  <c r="BM735" i="178"/>
  <c r="AR684" i="178"/>
  <c r="AV684" i="178"/>
  <c r="AZ684" i="178"/>
  <c r="BD684" i="178"/>
  <c r="BH684" i="178"/>
  <c r="BM684" i="178"/>
  <c r="AT684" i="178"/>
  <c r="AX684" i="178"/>
  <c r="BB684" i="178"/>
  <c r="BF684" i="178"/>
  <c r="BJ684" i="178"/>
  <c r="BK684" i="178"/>
  <c r="BK683" i="178"/>
  <c r="AR683" i="178"/>
  <c r="AV683" i="178"/>
  <c r="AZ683" i="178"/>
  <c r="BD683" i="178"/>
  <c r="BH683" i="178"/>
  <c r="BM683" i="178"/>
  <c r="AT683" i="178"/>
  <c r="BJ683" i="178"/>
  <c r="AX683" i="178"/>
  <c r="BB683" i="178"/>
  <c r="BF683" i="178"/>
  <c r="AT681" i="178"/>
  <c r="AX681" i="178"/>
  <c r="BB681" i="178"/>
  <c r="BF681" i="178"/>
  <c r="BJ681" i="178"/>
  <c r="BK681" i="178"/>
  <c r="AR681" i="178"/>
  <c r="AV681" i="178"/>
  <c r="AZ681" i="178"/>
  <c r="BD681" i="178"/>
  <c r="BH681" i="178"/>
  <c r="BM681" i="178"/>
  <c r="BM682" i="178"/>
  <c r="AT682" i="178"/>
  <c r="AX682" i="178"/>
  <c r="BB682" i="178"/>
  <c r="BF682" i="178"/>
  <c r="BJ682" i="178"/>
  <c r="BK682" i="178"/>
  <c r="AR682" i="178"/>
  <c r="BH682" i="178"/>
  <c r="AV682" i="178"/>
  <c r="AZ682" i="178"/>
  <c r="BD682" i="178"/>
  <c r="AR680" i="178"/>
  <c r="AV680" i="178"/>
  <c r="AZ680" i="178"/>
  <c r="BD680" i="178"/>
  <c r="BH680" i="178"/>
  <c r="BM680" i="178"/>
  <c r="AT680" i="178"/>
  <c r="AX680" i="178"/>
  <c r="BB680" i="178"/>
  <c r="BF680" i="178"/>
  <c r="BJ680" i="178"/>
  <c r="BK680" i="178"/>
  <c r="AT572" i="178"/>
  <c r="AX572" i="178"/>
  <c r="BB572" i="178"/>
  <c r="BF572" i="178"/>
  <c r="BJ572" i="178"/>
  <c r="BK572" i="178"/>
  <c r="AR572" i="178"/>
  <c r="AV572" i="178"/>
  <c r="AZ572" i="178"/>
  <c r="BD572" i="178"/>
  <c r="BH572" i="178"/>
  <c r="BM572" i="178"/>
  <c r="AR546" i="178"/>
  <c r="BM546" i="178"/>
  <c r="AT546" i="178"/>
  <c r="AX546" i="178"/>
  <c r="BB546" i="178"/>
  <c r="BF546" i="178"/>
  <c r="BJ546" i="178"/>
  <c r="BK546" i="178"/>
  <c r="BD546" i="178"/>
  <c r="BH546" i="178"/>
  <c r="AV546" i="178"/>
  <c r="AZ546" i="178"/>
  <c r="BM484" i="178"/>
  <c r="AT484" i="178"/>
  <c r="AX484" i="178"/>
  <c r="BB484" i="178"/>
  <c r="BF484" i="178"/>
  <c r="BJ484" i="178"/>
  <c r="AR484" i="178"/>
  <c r="AZ484" i="178"/>
  <c r="BH484" i="178"/>
  <c r="BK484" i="178"/>
  <c r="AV484" i="178"/>
  <c r="BD484" i="178"/>
  <c r="BK421" i="178"/>
  <c r="AR421" i="178"/>
  <c r="AV421" i="178"/>
  <c r="AZ421" i="178"/>
  <c r="BD421" i="178"/>
  <c r="BH421" i="178"/>
  <c r="AX421" i="178"/>
  <c r="BF421" i="178"/>
  <c r="AT421" i="178"/>
  <c r="BB421" i="178"/>
  <c r="BJ421" i="178"/>
  <c r="BM421" i="178"/>
  <c r="AT134" i="178"/>
  <c r="AX134" i="178"/>
  <c r="BB134" i="178"/>
  <c r="BF134" i="178"/>
  <c r="BJ134" i="178"/>
  <c r="BK134" i="178"/>
  <c r="AR134" i="178"/>
  <c r="AV134" i="178"/>
  <c r="AZ134" i="178"/>
  <c r="BD134" i="178"/>
  <c r="BH134" i="178"/>
  <c r="BM134" i="178"/>
  <c r="BM917" i="178"/>
  <c r="AT917" i="178"/>
  <c r="AX917" i="178"/>
  <c r="BB917" i="178"/>
  <c r="BF917" i="178"/>
  <c r="BJ917" i="178"/>
  <c r="BK917" i="178"/>
  <c r="AZ917" i="178"/>
  <c r="BD917" i="178"/>
  <c r="AR917" i="178"/>
  <c r="BH917" i="178"/>
  <c r="AV917" i="178"/>
  <c r="AR916" i="178"/>
  <c r="AV916" i="178"/>
  <c r="AZ916" i="178"/>
  <c r="BD916" i="178"/>
  <c r="BH916" i="178"/>
  <c r="BM916" i="178"/>
  <c r="AT916" i="178"/>
  <c r="AX916" i="178"/>
  <c r="BB916" i="178"/>
  <c r="BF916" i="178"/>
  <c r="BJ916" i="178"/>
  <c r="BK916" i="178"/>
  <c r="BK901" i="178"/>
  <c r="AR901" i="178"/>
  <c r="AV901" i="178"/>
  <c r="AZ901" i="178"/>
  <c r="BD901" i="178"/>
  <c r="BH901" i="178"/>
  <c r="BM901" i="178"/>
  <c r="AX901" i="178"/>
  <c r="BB901" i="178"/>
  <c r="BF901" i="178"/>
  <c r="AT901" i="178"/>
  <c r="BJ901" i="178"/>
  <c r="AR814" i="178"/>
  <c r="AV814" i="178"/>
  <c r="AZ814" i="178"/>
  <c r="BD814" i="178"/>
  <c r="BH814" i="178"/>
  <c r="BM814" i="178"/>
  <c r="AT814" i="178"/>
  <c r="AX814" i="178"/>
  <c r="BB814" i="178"/>
  <c r="BF814" i="178"/>
  <c r="BJ814" i="178"/>
  <c r="BK814" i="178"/>
  <c r="BM802" i="178"/>
  <c r="AT802" i="178"/>
  <c r="AX802" i="178"/>
  <c r="BB802" i="178"/>
  <c r="BF802" i="178"/>
  <c r="BJ802" i="178"/>
  <c r="BK802" i="178"/>
  <c r="BD802" i="178"/>
  <c r="AR802" i="178"/>
  <c r="BH802" i="178"/>
  <c r="AV802" i="178"/>
  <c r="AZ802" i="178"/>
  <c r="AT801" i="178"/>
  <c r="AX801" i="178"/>
  <c r="BB801" i="178"/>
  <c r="BF801" i="178"/>
  <c r="BJ801" i="178"/>
  <c r="BK801" i="178"/>
  <c r="AR801" i="178"/>
  <c r="AV801" i="178"/>
  <c r="AZ801" i="178"/>
  <c r="BD801" i="178"/>
  <c r="BH801" i="178"/>
  <c r="BM801" i="178"/>
  <c r="BM800" i="178"/>
  <c r="AT800" i="178"/>
  <c r="AX800" i="178"/>
  <c r="BB800" i="178"/>
  <c r="BF800" i="178"/>
  <c r="BJ800" i="178"/>
  <c r="BK800" i="178"/>
  <c r="AZ800" i="178"/>
  <c r="BD800" i="178"/>
  <c r="AR800" i="178"/>
  <c r="BH800" i="178"/>
  <c r="AV800" i="178"/>
  <c r="AR764" i="178"/>
  <c r="AV764" i="178"/>
  <c r="AZ764" i="178"/>
  <c r="BD764" i="178"/>
  <c r="BH764" i="178"/>
  <c r="BM764" i="178"/>
  <c r="AT764" i="178"/>
  <c r="AX764" i="178"/>
  <c r="BB764" i="178"/>
  <c r="BF764" i="178"/>
  <c r="BJ764" i="178"/>
  <c r="BK764" i="178"/>
  <c r="AT563" i="178"/>
  <c r="AX563" i="178"/>
  <c r="BB563" i="178"/>
  <c r="BF563" i="178"/>
  <c r="BJ563" i="178"/>
  <c r="BK563" i="178"/>
  <c r="AR563" i="178"/>
  <c r="AV563" i="178"/>
  <c r="AZ563" i="178"/>
  <c r="BD563" i="178"/>
  <c r="BH563" i="178"/>
  <c r="BM563" i="178"/>
  <c r="BM562" i="178"/>
  <c r="AT562" i="178"/>
  <c r="AX562" i="178"/>
  <c r="BB562" i="178"/>
  <c r="BF562" i="178"/>
  <c r="BJ562" i="178"/>
  <c r="BK562" i="178"/>
  <c r="AR562" i="178"/>
  <c r="BH562" i="178"/>
  <c r="AV562" i="178"/>
  <c r="AZ562" i="178"/>
  <c r="BD562" i="178"/>
  <c r="AR561" i="178"/>
  <c r="AV561" i="178"/>
  <c r="AZ561" i="178"/>
  <c r="BD561" i="178"/>
  <c r="BH561" i="178"/>
  <c r="BM561" i="178"/>
  <c r="AT561" i="178"/>
  <c r="AX561" i="178"/>
  <c r="BB561" i="178"/>
  <c r="BF561" i="178"/>
  <c r="BJ561" i="178"/>
  <c r="BK561" i="178"/>
  <c r="BK560" i="178"/>
  <c r="AR560" i="178"/>
  <c r="AV560" i="178"/>
  <c r="AZ560" i="178"/>
  <c r="BD560" i="178"/>
  <c r="BH560" i="178"/>
  <c r="BM560" i="178"/>
  <c r="BF560" i="178"/>
  <c r="AT560" i="178"/>
  <c r="BJ560" i="178"/>
  <c r="AX560" i="178"/>
  <c r="BB560" i="178"/>
  <c r="AR545" i="178"/>
  <c r="AV545" i="178"/>
  <c r="AZ545" i="178"/>
  <c r="BD545" i="178"/>
  <c r="BH545" i="178"/>
  <c r="BM545" i="178"/>
  <c r="AT545" i="178"/>
  <c r="AX545" i="178"/>
  <c r="BB545" i="178"/>
  <c r="BF545" i="178"/>
  <c r="BJ545" i="178"/>
  <c r="BK545" i="178"/>
  <c r="AR430" i="178"/>
  <c r="AV430" i="178"/>
  <c r="AX430" i="178"/>
  <c r="BB430" i="178"/>
  <c r="BF430" i="178"/>
  <c r="BJ430" i="178"/>
  <c r="BK430" i="178"/>
  <c r="AT430" i="178"/>
  <c r="AZ430" i="178"/>
  <c r="BD430" i="178"/>
  <c r="BH430" i="178"/>
  <c r="BM430" i="178"/>
  <c r="BK1248" i="178"/>
  <c r="AR1248" i="178"/>
  <c r="AV1248" i="178"/>
  <c r="AZ1248" i="178"/>
  <c r="BD1248" i="178"/>
  <c r="BH1248" i="178"/>
  <c r="BM1248" i="178"/>
  <c r="AX1248" i="178"/>
  <c r="BF1248" i="178"/>
  <c r="AT1248" i="178"/>
  <c r="BB1248" i="178"/>
  <c r="BJ1248" i="178"/>
  <c r="AT1247" i="178"/>
  <c r="AX1247" i="178"/>
  <c r="BB1247" i="178"/>
  <c r="BF1247" i="178"/>
  <c r="BJ1247" i="178"/>
  <c r="BK1247" i="178"/>
  <c r="AR1247" i="178"/>
  <c r="AV1247" i="178"/>
  <c r="BD1247" i="178"/>
  <c r="BM1247" i="178"/>
  <c r="AZ1247" i="178"/>
  <c r="BH1247" i="178"/>
  <c r="BM1245" i="178"/>
  <c r="AT1245" i="178"/>
  <c r="AX1245" i="178"/>
  <c r="BB1245" i="178"/>
  <c r="BF1245" i="178"/>
  <c r="BJ1245" i="178"/>
  <c r="BK1245" i="178"/>
  <c r="AZ1245" i="178"/>
  <c r="BD1245" i="178"/>
  <c r="AR1245" i="178"/>
  <c r="BH1245" i="178"/>
  <c r="AV1245" i="178"/>
  <c r="AR1246" i="178"/>
  <c r="AV1246" i="178"/>
  <c r="AZ1246" i="178"/>
  <c r="BD1246" i="178"/>
  <c r="BH1246" i="178"/>
  <c r="BM1246" i="178"/>
  <c r="AT1246" i="178"/>
  <c r="AX1246" i="178"/>
  <c r="BB1246" i="178"/>
  <c r="BF1246" i="178"/>
  <c r="BJ1246" i="178"/>
  <c r="BK1246" i="178"/>
  <c r="BK1241" i="178"/>
  <c r="AR1241" i="178"/>
  <c r="AV1241" i="178"/>
  <c r="AZ1241" i="178"/>
  <c r="BD1241" i="178"/>
  <c r="BH1241" i="178"/>
  <c r="BM1241" i="178"/>
  <c r="AX1241" i="178"/>
  <c r="BB1241" i="178"/>
  <c r="BF1241" i="178"/>
  <c r="AT1241" i="178"/>
  <c r="BJ1241" i="178"/>
  <c r="AT1240" i="178"/>
  <c r="AX1240" i="178"/>
  <c r="BB1240" i="178"/>
  <c r="BF1240" i="178"/>
  <c r="BJ1240" i="178"/>
  <c r="BK1240" i="178"/>
  <c r="AR1240" i="178"/>
  <c r="AV1240" i="178"/>
  <c r="AZ1240" i="178"/>
  <c r="BD1240" i="178"/>
  <c r="BH1240" i="178"/>
  <c r="BM1240" i="178"/>
  <c r="BM1222" i="178"/>
  <c r="AT1222" i="178"/>
  <c r="AX1222" i="178"/>
  <c r="BB1222" i="178"/>
  <c r="BF1222" i="178"/>
  <c r="BJ1222" i="178"/>
  <c r="AR1222" i="178"/>
  <c r="AZ1222" i="178"/>
  <c r="BH1222" i="178"/>
  <c r="BD1222" i="178"/>
  <c r="BK1222" i="178"/>
  <c r="AV1222" i="178"/>
  <c r="AR1221" i="178"/>
  <c r="AV1221" i="178"/>
  <c r="AZ1221" i="178"/>
  <c r="BD1221" i="178"/>
  <c r="BH1221" i="178"/>
  <c r="BM1221" i="178"/>
  <c r="AX1221" i="178"/>
  <c r="BF1221" i="178"/>
  <c r="AT1221" i="178"/>
  <c r="BJ1221" i="178"/>
  <c r="BK1221" i="178"/>
  <c r="BB1221" i="178"/>
  <c r="BK1217" i="178"/>
  <c r="AR1217" i="178"/>
  <c r="AV1217" i="178"/>
  <c r="AZ1217" i="178"/>
  <c r="BD1217" i="178"/>
  <c r="BH1217" i="178"/>
  <c r="BM1217" i="178"/>
  <c r="AX1217" i="178"/>
  <c r="BF1217" i="178"/>
  <c r="BB1217" i="178"/>
  <c r="BJ1217" i="178"/>
  <c r="AT1217" i="178"/>
  <c r="AT1216" i="178"/>
  <c r="AX1216" i="178"/>
  <c r="BB1216" i="178"/>
  <c r="BF1216" i="178"/>
  <c r="BJ1216" i="178"/>
  <c r="BK1216" i="178"/>
  <c r="AV1216" i="178"/>
  <c r="BD1216" i="178"/>
  <c r="BM1216" i="178"/>
  <c r="AR1216" i="178"/>
  <c r="BH1216" i="178"/>
  <c r="AZ1216" i="178"/>
  <c r="BM1220" i="178"/>
  <c r="AT1220" i="178"/>
  <c r="AX1220" i="178"/>
  <c r="BB1220" i="178"/>
  <c r="BF1220" i="178"/>
  <c r="BJ1220" i="178"/>
  <c r="BK1220" i="178"/>
  <c r="AV1220" i="178"/>
  <c r="BD1220" i="178"/>
  <c r="AZ1220" i="178"/>
  <c r="AR1220" i="178"/>
  <c r="BH1220" i="178"/>
  <c r="AR1219" i="178"/>
  <c r="AV1219" i="178"/>
  <c r="AZ1219" i="178"/>
  <c r="BD1219" i="178"/>
  <c r="BH1219" i="178"/>
  <c r="BM1219" i="178"/>
  <c r="AT1219" i="178"/>
  <c r="BB1219" i="178"/>
  <c r="BJ1219" i="178"/>
  <c r="BK1219" i="178"/>
  <c r="BF1219" i="178"/>
  <c r="AX1219" i="178"/>
  <c r="BK1215" i="178"/>
  <c r="AR1215" i="178"/>
  <c r="AV1215" i="178"/>
  <c r="AZ1215" i="178"/>
  <c r="BD1215" i="178"/>
  <c r="BH1215" i="178"/>
  <c r="AT1215" i="178"/>
  <c r="BB1215" i="178"/>
  <c r="BJ1215" i="178"/>
  <c r="BM1215" i="178"/>
  <c r="AX1215" i="178"/>
  <c r="BF1215" i="178"/>
  <c r="AT1218" i="178"/>
  <c r="AX1218" i="178"/>
  <c r="BB1218" i="178"/>
  <c r="BF1218" i="178"/>
  <c r="BJ1218" i="178"/>
  <c r="BK1218" i="178"/>
  <c r="AR1218" i="178"/>
  <c r="AZ1218" i="178"/>
  <c r="BH1218" i="178"/>
  <c r="BD1218" i="178"/>
  <c r="AV1218" i="178"/>
  <c r="BM1218" i="178"/>
  <c r="BM1214" i="178"/>
  <c r="AT1214" i="178"/>
  <c r="AX1214" i="178"/>
  <c r="BB1214" i="178"/>
  <c r="BF1214" i="178"/>
  <c r="BJ1214" i="178"/>
  <c r="AR1214" i="178"/>
  <c r="AZ1214" i="178"/>
  <c r="BH1214" i="178"/>
  <c r="BK1214" i="178"/>
  <c r="AV1214" i="178"/>
  <c r="BD1214" i="178"/>
  <c r="AR1209" i="178"/>
  <c r="AV1209" i="178"/>
  <c r="AZ1209" i="178"/>
  <c r="BD1209" i="178"/>
  <c r="BH1209" i="178"/>
  <c r="BM1209" i="178"/>
  <c r="AX1209" i="178"/>
  <c r="BF1209" i="178"/>
  <c r="BB1209" i="178"/>
  <c r="AT1209" i="178"/>
  <c r="BJ1209" i="178"/>
  <c r="BK1209" i="178"/>
  <c r="BK1213" i="178"/>
  <c r="AR1213" i="178"/>
  <c r="AV1213" i="178"/>
  <c r="AZ1213" i="178"/>
  <c r="BD1213" i="178"/>
  <c r="BH1213" i="178"/>
  <c r="BM1213" i="178"/>
  <c r="AX1213" i="178"/>
  <c r="BF1213" i="178"/>
  <c r="AT1213" i="178"/>
  <c r="BJ1213" i="178"/>
  <c r="BB1213" i="178"/>
  <c r="AT1212" i="178"/>
  <c r="AX1212" i="178"/>
  <c r="BB1212" i="178"/>
  <c r="BF1212" i="178"/>
  <c r="BJ1212" i="178"/>
  <c r="BK1212" i="178"/>
  <c r="AV1212" i="178"/>
  <c r="BD1212" i="178"/>
  <c r="BM1212" i="178"/>
  <c r="AZ1212" i="178"/>
  <c r="AR1212" i="178"/>
  <c r="BH1212" i="178"/>
  <c r="BM1211" i="178"/>
  <c r="AT1211" i="178"/>
  <c r="AX1211" i="178"/>
  <c r="BB1211" i="178"/>
  <c r="BF1211" i="178"/>
  <c r="BJ1211" i="178"/>
  <c r="BK1211" i="178"/>
  <c r="AV1211" i="178"/>
  <c r="BD1211" i="178"/>
  <c r="AR1211" i="178"/>
  <c r="BH1211" i="178"/>
  <c r="AZ1211" i="178"/>
  <c r="AR1208" i="178"/>
  <c r="AV1208" i="178"/>
  <c r="AZ1208" i="178"/>
  <c r="BD1208" i="178"/>
  <c r="BH1208" i="178"/>
  <c r="BM1208" i="178"/>
  <c r="AT1208" i="178"/>
  <c r="BB1208" i="178"/>
  <c r="BJ1208" i="178"/>
  <c r="BK1208" i="178"/>
  <c r="AX1208" i="178"/>
  <c r="BF1208" i="178"/>
  <c r="BK1207" i="178"/>
  <c r="AR1207" i="178"/>
  <c r="AV1207" i="178"/>
  <c r="AZ1207" i="178"/>
  <c r="BD1207" i="178"/>
  <c r="BH1207" i="178"/>
  <c r="AT1207" i="178"/>
  <c r="BB1207" i="178"/>
  <c r="BJ1207" i="178"/>
  <c r="BF1207" i="178"/>
  <c r="BM1207" i="178"/>
  <c r="AX1207" i="178"/>
  <c r="AT1210" i="178"/>
  <c r="AX1210" i="178"/>
  <c r="BB1210" i="178"/>
  <c r="BF1210" i="178"/>
  <c r="BJ1210" i="178"/>
  <c r="BK1210" i="178"/>
  <c r="AR1210" i="178"/>
  <c r="AZ1210" i="178"/>
  <c r="BH1210" i="178"/>
  <c r="AV1210" i="178"/>
  <c r="BM1210" i="178"/>
  <c r="BD1210" i="178"/>
  <c r="BM1206" i="178"/>
  <c r="AT1206" i="178"/>
  <c r="AX1206" i="178"/>
  <c r="BB1206" i="178"/>
  <c r="BF1206" i="178"/>
  <c r="BJ1206" i="178"/>
  <c r="AR1206" i="178"/>
  <c r="AZ1206" i="178"/>
  <c r="BH1206" i="178"/>
  <c r="BD1206" i="178"/>
  <c r="BK1206" i="178"/>
  <c r="AV1206" i="178"/>
  <c r="BM1137" i="178"/>
  <c r="AT1137" i="178"/>
  <c r="AX1137" i="178"/>
  <c r="BB1137" i="178"/>
  <c r="BF1137" i="178"/>
  <c r="BJ1137" i="178"/>
  <c r="BK1137" i="178"/>
  <c r="AV1137" i="178"/>
  <c r="BD1137" i="178"/>
  <c r="AZ1137" i="178"/>
  <c r="AR1137" i="178"/>
  <c r="BH1137" i="178"/>
  <c r="AR1136" i="178"/>
  <c r="AV1136" i="178"/>
  <c r="AZ1136" i="178"/>
  <c r="BD1136" i="178"/>
  <c r="BH1136" i="178"/>
  <c r="BM1136" i="178"/>
  <c r="AT1136" i="178"/>
  <c r="BB1136" i="178"/>
  <c r="BJ1136" i="178"/>
  <c r="BK1136" i="178"/>
  <c r="BF1136" i="178"/>
  <c r="AX1136" i="178"/>
  <c r="BK1135" i="178"/>
  <c r="AR1135" i="178"/>
  <c r="AV1135" i="178"/>
  <c r="AZ1135" i="178"/>
  <c r="BD1135" i="178"/>
  <c r="BH1135" i="178"/>
  <c r="AT1135" i="178"/>
  <c r="BB1135" i="178"/>
  <c r="BJ1135" i="178"/>
  <c r="BM1135" i="178"/>
  <c r="AX1135" i="178"/>
  <c r="BF1135" i="178"/>
  <c r="AT1133" i="178"/>
  <c r="AX1133" i="178"/>
  <c r="BB1133" i="178"/>
  <c r="BF1133" i="178"/>
  <c r="BJ1133" i="178"/>
  <c r="BK1133" i="178"/>
  <c r="AR1133" i="178"/>
  <c r="AZ1133" i="178"/>
  <c r="BH1133" i="178"/>
  <c r="BD1133" i="178"/>
  <c r="AV1133" i="178"/>
  <c r="BM1133" i="178"/>
  <c r="AT1134" i="178"/>
  <c r="AX1134" i="178"/>
  <c r="BB1134" i="178"/>
  <c r="BF1134" i="178"/>
  <c r="AR1134" i="178"/>
  <c r="AV1134" i="178"/>
  <c r="AZ1134" i="178"/>
  <c r="BD1134" i="178"/>
  <c r="BH1134" i="178"/>
  <c r="BM1134" i="178"/>
  <c r="BJ1134" i="178"/>
  <c r="BK1134" i="178"/>
  <c r="BM558" i="178"/>
  <c r="AT558" i="178"/>
  <c r="AX558" i="178"/>
  <c r="BB558" i="178"/>
  <c r="BF558" i="178"/>
  <c r="BJ558" i="178"/>
  <c r="BK558" i="178"/>
  <c r="AZ558" i="178"/>
  <c r="BD558" i="178"/>
  <c r="AR558" i="178"/>
  <c r="AV558" i="178"/>
  <c r="BH558" i="178"/>
  <c r="AR557" i="178"/>
  <c r="AV557" i="178"/>
  <c r="AZ557" i="178"/>
  <c r="BD557" i="178"/>
  <c r="BH557" i="178"/>
  <c r="BM557" i="178"/>
  <c r="AT557" i="178"/>
  <c r="AX557" i="178"/>
  <c r="BB557" i="178"/>
  <c r="BF557" i="178"/>
  <c r="BJ557" i="178"/>
  <c r="BK557" i="178"/>
  <c r="BM556" i="178"/>
  <c r="AT556" i="178"/>
  <c r="AX556" i="178"/>
  <c r="BB556" i="178"/>
  <c r="BF556" i="178"/>
  <c r="BJ556" i="178"/>
  <c r="BK556" i="178"/>
  <c r="AR556" i="178"/>
  <c r="BH556" i="178"/>
  <c r="AV556" i="178"/>
  <c r="AZ556" i="178"/>
  <c r="BD556" i="178"/>
  <c r="AR534" i="178"/>
  <c r="AV534" i="178"/>
  <c r="AZ534" i="178"/>
  <c r="BD534" i="178"/>
  <c r="BH534" i="178"/>
  <c r="BM534" i="178"/>
  <c r="AT534" i="178"/>
  <c r="AX534" i="178"/>
  <c r="BB534" i="178"/>
  <c r="BF534" i="178"/>
  <c r="BJ534" i="178"/>
  <c r="BK534" i="178"/>
  <c r="BM533" i="178"/>
  <c r="AT533" i="178"/>
  <c r="AX533" i="178"/>
  <c r="BB533" i="178"/>
  <c r="BF533" i="178"/>
  <c r="BJ533" i="178"/>
  <c r="BK533" i="178"/>
  <c r="BD533" i="178"/>
  <c r="AR533" i="178"/>
  <c r="BH533" i="178"/>
  <c r="AV533" i="178"/>
  <c r="AZ533" i="178"/>
  <c r="AY674" i="178"/>
  <c r="BI674" i="178"/>
  <c r="BL676" i="178"/>
  <c r="AU570" i="178"/>
  <c r="AY570" i="178"/>
  <c r="BC570" i="178"/>
  <c r="BG570" i="178"/>
  <c r="BL570" i="178"/>
  <c r="AS570" i="178"/>
  <c r="AW570" i="178"/>
  <c r="BA570" i="178"/>
  <c r="BE570" i="178"/>
  <c r="BI570" i="178"/>
  <c r="BN570" i="178"/>
  <c r="AS568" i="178"/>
  <c r="AW568" i="178"/>
  <c r="BA568" i="178"/>
  <c r="BE568" i="178"/>
  <c r="BI568" i="178"/>
  <c r="BN568" i="178"/>
  <c r="AU568" i="178"/>
  <c r="AY568" i="178"/>
  <c r="BC568" i="178"/>
  <c r="BG568" i="178"/>
  <c r="BL568" i="178"/>
  <c r="BL569" i="178"/>
  <c r="AS569" i="178"/>
  <c r="AW569" i="178"/>
  <c r="BA569" i="178"/>
  <c r="BE569" i="178"/>
  <c r="BI569" i="178"/>
  <c r="BN569" i="178"/>
  <c r="BC569" i="178"/>
  <c r="BG569" i="178"/>
  <c r="AU569" i="178"/>
  <c r="AY569" i="178"/>
  <c r="BN566" i="178"/>
  <c r="AU566" i="178"/>
  <c r="AY566" i="178"/>
  <c r="BC566" i="178"/>
  <c r="BG566" i="178"/>
  <c r="BL566" i="178"/>
  <c r="BA566" i="178"/>
  <c r="BE566" i="178"/>
  <c r="AS566" i="178"/>
  <c r="BI566" i="178"/>
  <c r="AW566" i="178"/>
  <c r="AW362" i="178"/>
  <c r="BN362" i="178"/>
  <c r="BG362" i="178"/>
  <c r="BL360" i="178"/>
  <c r="AS360" i="178"/>
  <c r="AW360" i="178"/>
  <c r="BA360" i="178"/>
  <c r="BE360" i="178"/>
  <c r="BI360" i="178"/>
  <c r="BN360" i="178"/>
  <c r="AU360" i="178"/>
  <c r="AY360" i="178"/>
  <c r="BC360" i="178"/>
  <c r="BG360" i="178"/>
  <c r="AU361" i="178"/>
  <c r="AY361" i="178"/>
  <c r="BC361" i="178"/>
  <c r="BG361" i="178"/>
  <c r="BL361" i="178"/>
  <c r="AS361" i="178"/>
  <c r="AW361" i="178"/>
  <c r="BA361" i="178"/>
  <c r="BE361" i="178"/>
  <c r="BI361" i="178"/>
  <c r="BN361" i="178"/>
  <c r="AU1151" i="178"/>
  <c r="AY1151" i="178"/>
  <c r="BC1151" i="178"/>
  <c r="BG1151" i="178"/>
  <c r="BL1151" i="178"/>
  <c r="AS1151" i="178"/>
  <c r="AW1151" i="178"/>
  <c r="BA1151" i="178"/>
  <c r="BE1151" i="178"/>
  <c r="BI1151" i="178"/>
  <c r="BN1151" i="178"/>
  <c r="BN927" i="178"/>
  <c r="AU927" i="178"/>
  <c r="AY927" i="178"/>
  <c r="BC927" i="178"/>
  <c r="BG927" i="178"/>
  <c r="BL927" i="178"/>
  <c r="BE927" i="178"/>
  <c r="AS927" i="178"/>
  <c r="BI927" i="178"/>
  <c r="AW927" i="178"/>
  <c r="BA927" i="178"/>
  <c r="AS926" i="178"/>
  <c r="AW926" i="178"/>
  <c r="BA926" i="178"/>
  <c r="BE926" i="178"/>
  <c r="BI926" i="178"/>
  <c r="BN926" i="178"/>
  <c r="AU926" i="178"/>
  <c r="AY926" i="178"/>
  <c r="BC926" i="178"/>
  <c r="BG926" i="178"/>
  <c r="BL926" i="178"/>
  <c r="BL925" i="178"/>
  <c r="AS925" i="178"/>
  <c r="AW925" i="178"/>
  <c r="BA925" i="178"/>
  <c r="BE925" i="178"/>
  <c r="BI925" i="178"/>
  <c r="BN925" i="178"/>
  <c r="BC925" i="178"/>
  <c r="BG925" i="178"/>
  <c r="AU925" i="178"/>
  <c r="AY925" i="178"/>
  <c r="AS737" i="178"/>
  <c r="AW737" i="178"/>
  <c r="BA737" i="178"/>
  <c r="BE737" i="178"/>
  <c r="BI737" i="178"/>
  <c r="BN737" i="178"/>
  <c r="AU737" i="178"/>
  <c r="AY737" i="178"/>
  <c r="BC737" i="178"/>
  <c r="BG737" i="178"/>
  <c r="BL737" i="178"/>
  <c r="AU688" i="178"/>
  <c r="AY688" i="178"/>
  <c r="BC688" i="178"/>
  <c r="BG688" i="178"/>
  <c r="BL688" i="178"/>
  <c r="AS688" i="178"/>
  <c r="AW688" i="178"/>
  <c r="BA688" i="178"/>
  <c r="BE688" i="178"/>
  <c r="BI688" i="178"/>
  <c r="BN688" i="178"/>
  <c r="AS687" i="178"/>
  <c r="AW687" i="178"/>
  <c r="BA687" i="178"/>
  <c r="BE687" i="178"/>
  <c r="BI687" i="178"/>
  <c r="BN687" i="178"/>
  <c r="AU687" i="178"/>
  <c r="AY687" i="178"/>
  <c r="BC687" i="178"/>
  <c r="BG687" i="178"/>
  <c r="BL687" i="178"/>
  <c r="BL686" i="178"/>
  <c r="AS686" i="178"/>
  <c r="AW686" i="178"/>
  <c r="BA686" i="178"/>
  <c r="BE686" i="178"/>
  <c r="BI686" i="178"/>
  <c r="BN686" i="178"/>
  <c r="BC686" i="178"/>
  <c r="BG686" i="178"/>
  <c r="AU686" i="178"/>
  <c r="AY686" i="178"/>
  <c r="AU548" i="178"/>
  <c r="AY548" i="178"/>
  <c r="BC548" i="178"/>
  <c r="BG548" i="178"/>
  <c r="BL548" i="178"/>
  <c r="AS548" i="178"/>
  <c r="AW548" i="178"/>
  <c r="BA548" i="178"/>
  <c r="BE548" i="178"/>
  <c r="BI548" i="178"/>
  <c r="BN548" i="178"/>
  <c r="BN547" i="178"/>
  <c r="AU547" i="178"/>
  <c r="AY547" i="178"/>
  <c r="BC547" i="178"/>
  <c r="BG547" i="178"/>
  <c r="BL547" i="178"/>
  <c r="BA547" i="178"/>
  <c r="BE547" i="178"/>
  <c r="AS547" i="178"/>
  <c r="BI547" i="178"/>
  <c r="AW547" i="178"/>
  <c r="BN369" i="178"/>
  <c r="BE369" i="178"/>
  <c r="AS368" i="178"/>
  <c r="AW368" i="178"/>
  <c r="BA368" i="178"/>
  <c r="BE368" i="178"/>
  <c r="BI368" i="178"/>
  <c r="BN368" i="178"/>
  <c r="AU368" i="178"/>
  <c r="AY368" i="178"/>
  <c r="BC368" i="178"/>
  <c r="BG368" i="178"/>
  <c r="BL368" i="178"/>
  <c r="AU135" i="178"/>
  <c r="AY135" i="178"/>
  <c r="BC135" i="178"/>
  <c r="BG135" i="178"/>
  <c r="BL135" i="178"/>
  <c r="AS135" i="178"/>
  <c r="AW135" i="178"/>
  <c r="BA135" i="178"/>
  <c r="BE135" i="178"/>
  <c r="BI135" i="178"/>
  <c r="BN135" i="178"/>
  <c r="BN914" i="178"/>
  <c r="AU914" i="178"/>
  <c r="AY914" i="178"/>
  <c r="BC914" i="178"/>
  <c r="BG914" i="178"/>
  <c r="BL914" i="178"/>
  <c r="BE914" i="178"/>
  <c r="AS914" i="178"/>
  <c r="BI914" i="178"/>
  <c r="AW914" i="178"/>
  <c r="BA914" i="178"/>
  <c r="BL906" i="178"/>
  <c r="AS906" i="178"/>
  <c r="AW906" i="178"/>
  <c r="BA906" i="178"/>
  <c r="BE906" i="178"/>
  <c r="BI906" i="178"/>
  <c r="BN906" i="178"/>
  <c r="AU906" i="178"/>
  <c r="AY906" i="178"/>
  <c r="BC906" i="178"/>
  <c r="BG906" i="178"/>
  <c r="AU905" i="178"/>
  <c r="AY905" i="178"/>
  <c r="BC905" i="178"/>
  <c r="BG905" i="178"/>
  <c r="BL905" i="178"/>
  <c r="AS905" i="178"/>
  <c r="AW905" i="178"/>
  <c r="BA905" i="178"/>
  <c r="BE905" i="178"/>
  <c r="BI905" i="178"/>
  <c r="BN905" i="178"/>
  <c r="BN903" i="178"/>
  <c r="AU903" i="178"/>
  <c r="AY903" i="178"/>
  <c r="BC903" i="178"/>
  <c r="BG903" i="178"/>
  <c r="BL903" i="178"/>
  <c r="AS903" i="178"/>
  <c r="BI903" i="178"/>
  <c r="AW903" i="178"/>
  <c r="BA903" i="178"/>
  <c r="BE903" i="178"/>
  <c r="BL902" i="178"/>
  <c r="AS902" i="178"/>
  <c r="AW902" i="178"/>
  <c r="BA902" i="178"/>
  <c r="BE902" i="178"/>
  <c r="BI902" i="178"/>
  <c r="BN902" i="178"/>
  <c r="BG902" i="178"/>
  <c r="AU902" i="178"/>
  <c r="AY902" i="178"/>
  <c r="BC902" i="178"/>
  <c r="BN891" i="178"/>
  <c r="AU891" i="178"/>
  <c r="AY891" i="178"/>
  <c r="BC891" i="178"/>
  <c r="BG891" i="178"/>
  <c r="BL891" i="178"/>
  <c r="BE891" i="178"/>
  <c r="AS891" i="178"/>
  <c r="BI891" i="178"/>
  <c r="AW891" i="178"/>
  <c r="BA891" i="178"/>
  <c r="AS889" i="178"/>
  <c r="AW889" i="178"/>
  <c r="BA889" i="178"/>
  <c r="BE889" i="178"/>
  <c r="BI889" i="178"/>
  <c r="BN889" i="178"/>
  <c r="AU889" i="178"/>
  <c r="AY889" i="178"/>
  <c r="BC889" i="178"/>
  <c r="BG889" i="178"/>
  <c r="BL889" i="178"/>
  <c r="BL888" i="178"/>
  <c r="AS888" i="178"/>
  <c r="AW888" i="178"/>
  <c r="BA888" i="178"/>
  <c r="BE888" i="178"/>
  <c r="BI888" i="178"/>
  <c r="BN888" i="178"/>
  <c r="BC888" i="178"/>
  <c r="BG888" i="178"/>
  <c r="AU888" i="178"/>
  <c r="AY888" i="178"/>
  <c r="BN885" i="178"/>
  <c r="AU885" i="178"/>
  <c r="AY885" i="178"/>
  <c r="BC885" i="178"/>
  <c r="BG885" i="178"/>
  <c r="BL885" i="178"/>
  <c r="BA885" i="178"/>
  <c r="BE885" i="178"/>
  <c r="AS885" i="178"/>
  <c r="BI885" i="178"/>
  <c r="AW885" i="178"/>
  <c r="AU886" i="178"/>
  <c r="AY886" i="178"/>
  <c r="BC886" i="178"/>
  <c r="BG886" i="178"/>
  <c r="BL886" i="178"/>
  <c r="AS886" i="178"/>
  <c r="AW886" i="178"/>
  <c r="BA886" i="178"/>
  <c r="BE886" i="178"/>
  <c r="BI886" i="178"/>
  <c r="BN886" i="178"/>
  <c r="BN884" i="178"/>
  <c r="AU884" i="178"/>
  <c r="AY884" i="178"/>
  <c r="BC884" i="178"/>
  <c r="BG884" i="178"/>
  <c r="BL884" i="178"/>
  <c r="AW884" i="178"/>
  <c r="BA884" i="178"/>
  <c r="BE884" i="178"/>
  <c r="AS884" i="178"/>
  <c r="BI884" i="178"/>
  <c r="AS882" i="178"/>
  <c r="AW882" i="178"/>
  <c r="BA882" i="178"/>
  <c r="BE882" i="178"/>
  <c r="BI882" i="178"/>
  <c r="BN882" i="178"/>
  <c r="AU882" i="178"/>
  <c r="AY882" i="178"/>
  <c r="BC882" i="178"/>
  <c r="BG882" i="178"/>
  <c r="BL882" i="178"/>
  <c r="BL881" i="178"/>
  <c r="AS881" i="178"/>
  <c r="AW881" i="178"/>
  <c r="BA881" i="178"/>
  <c r="BE881" i="178"/>
  <c r="BI881" i="178"/>
  <c r="BN881" i="178"/>
  <c r="AU881" i="178"/>
  <c r="AY881" i="178"/>
  <c r="BC881" i="178"/>
  <c r="BG881" i="178"/>
  <c r="BN878" i="178"/>
  <c r="AU878" i="178"/>
  <c r="AY878" i="178"/>
  <c r="BC878" i="178"/>
  <c r="BG878" i="178"/>
  <c r="BL878" i="178"/>
  <c r="AS878" i="178"/>
  <c r="BI878" i="178"/>
  <c r="AW878" i="178"/>
  <c r="BA878" i="178"/>
  <c r="BE878" i="178"/>
  <c r="AU879" i="178"/>
  <c r="AY879" i="178"/>
  <c r="BC879" i="178"/>
  <c r="BG879" i="178"/>
  <c r="BL879" i="178"/>
  <c r="AS879" i="178"/>
  <c r="AW879" i="178"/>
  <c r="BA879" i="178"/>
  <c r="BE879" i="178"/>
  <c r="BI879" i="178"/>
  <c r="BN879" i="178"/>
  <c r="BN877" i="178"/>
  <c r="AU877" i="178"/>
  <c r="AY877" i="178"/>
  <c r="BC877" i="178"/>
  <c r="BG877" i="178"/>
  <c r="BL877" i="178"/>
  <c r="BE877" i="178"/>
  <c r="AS877" i="178"/>
  <c r="BI877" i="178"/>
  <c r="AW877" i="178"/>
  <c r="BA877" i="178"/>
  <c r="AS875" i="178"/>
  <c r="AW875" i="178"/>
  <c r="BA875" i="178"/>
  <c r="BE875" i="178"/>
  <c r="BI875" i="178"/>
  <c r="BN875" i="178"/>
  <c r="AU875" i="178"/>
  <c r="AY875" i="178"/>
  <c r="BC875" i="178"/>
  <c r="BG875" i="178"/>
  <c r="BL875" i="178"/>
  <c r="BN873" i="178"/>
  <c r="AU873" i="178"/>
  <c r="AY873" i="178"/>
  <c r="BC873" i="178"/>
  <c r="BG873" i="178"/>
  <c r="BL873" i="178"/>
  <c r="AW873" i="178"/>
  <c r="BA873" i="178"/>
  <c r="BE873" i="178"/>
  <c r="AS873" i="178"/>
  <c r="BI873" i="178"/>
  <c r="BN870" i="178"/>
  <c r="AU870" i="178"/>
  <c r="AY870" i="178"/>
  <c r="BC870" i="178"/>
  <c r="BG870" i="178"/>
  <c r="BL870" i="178"/>
  <c r="AS870" i="178"/>
  <c r="BI870" i="178"/>
  <c r="AW870" i="178"/>
  <c r="BA870" i="178"/>
  <c r="BE870" i="178"/>
  <c r="AS868" i="178"/>
  <c r="AW868" i="178"/>
  <c r="BA868" i="178"/>
  <c r="BE868" i="178"/>
  <c r="BI868" i="178"/>
  <c r="BN868" i="178"/>
  <c r="AU868" i="178"/>
  <c r="AY868" i="178"/>
  <c r="BC868" i="178"/>
  <c r="BG868" i="178"/>
  <c r="BL868" i="178"/>
  <c r="BL867" i="178"/>
  <c r="AS867" i="178"/>
  <c r="AW867" i="178"/>
  <c r="BA867" i="178"/>
  <c r="BE867" i="178"/>
  <c r="BI867" i="178"/>
  <c r="BN867" i="178"/>
  <c r="BG867" i="178"/>
  <c r="AU867" i="178"/>
  <c r="AY867" i="178"/>
  <c r="BC867" i="178"/>
  <c r="AS864" i="178"/>
  <c r="AW864" i="178"/>
  <c r="BA864" i="178"/>
  <c r="BE864" i="178"/>
  <c r="BI864" i="178"/>
  <c r="BN864" i="178"/>
  <c r="AU864" i="178"/>
  <c r="AY864" i="178"/>
  <c r="BC864" i="178"/>
  <c r="BG864" i="178"/>
  <c r="BL864" i="178"/>
  <c r="BL818" i="178"/>
  <c r="AS818" i="178"/>
  <c r="AW818" i="178"/>
  <c r="BA818" i="178"/>
  <c r="BE818" i="178"/>
  <c r="BI818" i="178"/>
  <c r="AU818" i="178"/>
  <c r="BC818" i="178"/>
  <c r="BN818" i="178"/>
  <c r="AY818" i="178"/>
  <c r="BG818" i="178"/>
  <c r="BN729" i="178"/>
  <c r="AU729" i="178"/>
  <c r="AY729" i="178"/>
  <c r="BC729" i="178"/>
  <c r="BG729" i="178"/>
  <c r="BL729" i="178"/>
  <c r="AW729" i="178"/>
  <c r="BE729" i="178"/>
  <c r="BA729" i="178"/>
  <c r="BI729" i="178"/>
  <c r="AS729" i="178"/>
  <c r="AS728" i="178"/>
  <c r="AW728" i="178"/>
  <c r="BA728" i="178"/>
  <c r="BE728" i="178"/>
  <c r="BI728" i="178"/>
  <c r="BN728" i="178"/>
  <c r="AU728" i="178"/>
  <c r="BC728" i="178"/>
  <c r="BL728" i="178"/>
  <c r="AY728" i="178"/>
  <c r="BG728" i="178"/>
  <c r="BL725" i="178"/>
  <c r="AS725" i="178"/>
  <c r="AW725" i="178"/>
  <c r="BA725" i="178"/>
  <c r="BE725" i="178"/>
  <c r="BI725" i="178"/>
  <c r="BN725" i="178"/>
  <c r="AY725" i="178"/>
  <c r="BG725" i="178"/>
  <c r="AU725" i="178"/>
  <c r="BC725" i="178"/>
  <c r="AS723" i="178"/>
  <c r="AW723" i="178"/>
  <c r="BA723" i="178"/>
  <c r="BE723" i="178"/>
  <c r="BI723" i="178"/>
  <c r="BN723" i="178"/>
  <c r="AU723" i="178"/>
  <c r="AY723" i="178"/>
  <c r="BC723" i="178"/>
  <c r="BG723" i="178"/>
  <c r="BL723" i="178"/>
  <c r="BL722" i="178"/>
  <c r="AS722" i="178"/>
  <c r="AW722" i="178"/>
  <c r="BA722" i="178"/>
  <c r="BE722" i="178"/>
  <c r="BI722" i="178"/>
  <c r="BN722" i="178"/>
  <c r="AY722" i="178"/>
  <c r="BC722" i="178"/>
  <c r="BG722" i="178"/>
  <c r="AU722" i="178"/>
  <c r="BL664" i="178"/>
  <c r="AS664" i="178"/>
  <c r="AW664" i="178"/>
  <c r="BA664" i="178"/>
  <c r="BE664" i="178"/>
  <c r="BI664" i="178"/>
  <c r="BN664" i="178"/>
  <c r="AU664" i="178"/>
  <c r="AY664" i="178"/>
  <c r="BC664" i="178"/>
  <c r="BG664" i="178"/>
  <c r="AU661" i="178"/>
  <c r="AY661" i="178"/>
  <c r="BC661" i="178"/>
  <c r="BG661" i="178"/>
  <c r="BL661" i="178"/>
  <c r="AS661" i="178"/>
  <c r="AW661" i="178"/>
  <c r="BA661" i="178"/>
  <c r="BE661" i="178"/>
  <c r="BI661" i="178"/>
  <c r="BN661" i="178"/>
  <c r="AS635" i="178"/>
  <c r="AW635" i="178"/>
  <c r="BA635" i="178"/>
  <c r="BE635" i="178"/>
  <c r="BI635" i="178"/>
  <c r="BN635" i="178"/>
  <c r="AU635" i="178"/>
  <c r="AY635" i="178"/>
  <c r="BC635" i="178"/>
  <c r="BG635" i="178"/>
  <c r="BL635" i="178"/>
  <c r="BL582" i="178"/>
  <c r="AS582" i="178"/>
  <c r="AW582" i="178"/>
  <c r="BA582" i="178"/>
  <c r="BE582" i="178"/>
  <c r="BI582" i="178"/>
  <c r="BN582" i="178"/>
  <c r="BC582" i="178"/>
  <c r="BG582" i="178"/>
  <c r="AU582" i="178"/>
  <c r="AY582" i="178"/>
  <c r="AU580" i="178"/>
  <c r="AY580" i="178"/>
  <c r="BC580" i="178"/>
  <c r="BG580" i="178"/>
  <c r="BL580" i="178"/>
  <c r="AS580" i="178"/>
  <c r="AW580" i="178"/>
  <c r="BA580" i="178"/>
  <c r="BE580" i="178"/>
  <c r="BI580" i="178"/>
  <c r="BN580" i="178"/>
  <c r="AS553" i="178"/>
  <c r="AW553" i="178"/>
  <c r="BA553" i="178"/>
  <c r="BE553" i="178"/>
  <c r="BI553" i="178"/>
  <c r="BN553" i="178"/>
  <c r="AU553" i="178"/>
  <c r="AY553" i="178"/>
  <c r="BC553" i="178"/>
  <c r="BG553" i="178"/>
  <c r="BL553" i="178"/>
  <c r="BN495" i="178"/>
  <c r="AU495" i="178"/>
  <c r="AY495" i="178"/>
  <c r="BC495" i="178"/>
  <c r="BG495" i="178"/>
  <c r="BL495" i="178"/>
  <c r="BE495" i="178"/>
  <c r="AS495" i="178"/>
  <c r="BI495" i="178"/>
  <c r="AW495" i="178"/>
  <c r="BA495" i="178"/>
  <c r="AS494" i="178"/>
  <c r="AW494" i="178"/>
  <c r="BA494" i="178"/>
  <c r="BE494" i="178"/>
  <c r="BI494" i="178"/>
  <c r="BN494" i="178"/>
  <c r="AU494" i="178"/>
  <c r="AY494" i="178"/>
  <c r="BC494" i="178"/>
  <c r="BG494" i="178"/>
  <c r="BL494" i="178"/>
  <c r="AS429" i="178"/>
  <c r="AW429" i="178"/>
  <c r="BA429" i="178"/>
  <c r="BE429" i="178"/>
  <c r="BI429" i="178"/>
  <c r="BN429" i="178"/>
  <c r="AU429" i="178"/>
  <c r="AY429" i="178"/>
  <c r="BC429" i="178"/>
  <c r="BG429" i="178"/>
  <c r="BL429" i="178"/>
  <c r="BL428" i="178"/>
  <c r="AS428" i="178"/>
  <c r="AW428" i="178"/>
  <c r="BA428" i="178"/>
  <c r="BE428" i="178"/>
  <c r="BI428" i="178"/>
  <c r="BN428" i="178"/>
  <c r="AY428" i="178"/>
  <c r="BC428" i="178"/>
  <c r="BG428" i="178"/>
  <c r="AU428" i="178"/>
  <c r="BL413" i="178"/>
  <c r="AS413" i="178"/>
  <c r="AW413" i="178"/>
  <c r="BA413" i="178"/>
  <c r="BE413" i="178"/>
  <c r="BI413" i="178"/>
  <c r="BN413" i="178"/>
  <c r="AU413" i="178"/>
  <c r="AY413" i="178"/>
  <c r="BC413" i="178"/>
  <c r="BG413" i="178"/>
  <c r="BN388" i="178"/>
  <c r="AU388" i="178"/>
  <c r="AY388" i="178"/>
  <c r="BC388" i="178"/>
  <c r="BG388" i="178"/>
  <c r="BL388" i="178"/>
  <c r="AS388" i="178"/>
  <c r="BI388" i="178"/>
  <c r="AW388" i="178"/>
  <c r="BA388" i="178"/>
  <c r="BE388" i="178"/>
  <c r="BN199" i="178"/>
  <c r="AU199" i="178"/>
  <c r="AY199" i="178"/>
  <c r="BC199" i="178"/>
  <c r="BG199" i="178"/>
  <c r="BL199" i="178"/>
  <c r="BE199" i="178"/>
  <c r="AS199" i="178"/>
  <c r="BI199" i="178"/>
  <c r="AW199" i="178"/>
  <c r="BA199" i="178"/>
  <c r="AS198" i="178"/>
  <c r="AW198" i="178"/>
  <c r="BA198" i="178"/>
  <c r="BE198" i="178"/>
  <c r="BI198" i="178"/>
  <c r="BN198" i="178"/>
  <c r="AU198" i="178"/>
  <c r="AY198" i="178"/>
  <c r="BC198" i="178"/>
  <c r="BG198" i="178"/>
  <c r="BL198" i="178"/>
  <c r="BL196" i="178"/>
  <c r="AS196" i="178"/>
  <c r="AW196" i="178"/>
  <c r="BA196" i="178"/>
  <c r="BE196" i="178"/>
  <c r="BI196" i="178"/>
  <c r="BN196" i="178"/>
  <c r="BC196" i="178"/>
  <c r="BG196" i="178"/>
  <c r="AU196" i="178"/>
  <c r="AY196" i="178"/>
  <c r="BN195" i="178"/>
  <c r="AU195" i="178"/>
  <c r="AY195" i="178"/>
  <c r="BC195" i="178"/>
  <c r="BG195" i="178"/>
  <c r="BL195" i="178"/>
  <c r="BA195" i="178"/>
  <c r="BE195" i="178"/>
  <c r="AS195" i="178"/>
  <c r="BI195" i="178"/>
  <c r="AW195" i="178"/>
  <c r="BL173" i="178"/>
  <c r="AS173" i="178"/>
  <c r="AW173" i="178"/>
  <c r="BA173" i="178"/>
  <c r="BE173" i="178"/>
  <c r="BI173" i="178"/>
  <c r="BN173" i="178"/>
  <c r="AY173" i="178"/>
  <c r="BC173" i="178"/>
  <c r="BG173" i="178"/>
  <c r="AU173" i="178"/>
  <c r="AU172" i="178"/>
  <c r="AY172" i="178"/>
  <c r="BC172" i="178"/>
  <c r="BG172" i="178"/>
  <c r="BL172" i="178"/>
  <c r="AS172" i="178"/>
  <c r="AW172" i="178"/>
  <c r="BA172" i="178"/>
  <c r="BE172" i="178"/>
  <c r="BI172" i="178"/>
  <c r="BN172" i="178"/>
  <c r="AU965" i="178"/>
  <c r="AY965" i="178"/>
  <c r="BC965" i="178"/>
  <c r="BG965" i="178"/>
  <c r="BL965" i="178"/>
  <c r="AS965" i="178"/>
  <c r="AW965" i="178"/>
  <c r="BA965" i="178"/>
  <c r="BE965" i="178"/>
  <c r="BI965" i="178"/>
  <c r="BN965" i="178"/>
  <c r="BN964" i="178"/>
  <c r="AU964" i="178"/>
  <c r="AY964" i="178"/>
  <c r="BC964" i="178"/>
  <c r="BG964" i="178"/>
  <c r="BL964" i="178"/>
  <c r="AS964" i="178"/>
  <c r="BI964" i="178"/>
  <c r="AW964" i="178"/>
  <c r="BA964" i="178"/>
  <c r="BE964" i="178"/>
  <c r="AS932" i="178"/>
  <c r="AW932" i="178"/>
  <c r="BA932" i="178"/>
  <c r="BE932" i="178"/>
  <c r="BI932" i="178"/>
  <c r="BN932" i="178"/>
  <c r="AU932" i="178"/>
  <c r="AY932" i="178"/>
  <c r="BC932" i="178"/>
  <c r="BG932" i="178"/>
  <c r="BL932" i="178"/>
  <c r="AS813" i="178"/>
  <c r="AW813" i="178"/>
  <c r="BA813" i="178"/>
  <c r="BE813" i="178"/>
  <c r="BI813" i="178"/>
  <c r="BN813" i="178"/>
  <c r="AU813" i="178"/>
  <c r="AY813" i="178"/>
  <c r="BC813" i="178"/>
  <c r="BG813" i="178"/>
  <c r="BL813" i="178"/>
  <c r="BL812" i="178"/>
  <c r="AS812" i="178"/>
  <c r="AW812" i="178"/>
  <c r="BA812" i="178"/>
  <c r="BE812" i="178"/>
  <c r="BI812" i="178"/>
  <c r="BN812" i="178"/>
  <c r="BC812" i="178"/>
  <c r="BG812" i="178"/>
  <c r="AU812" i="178"/>
  <c r="AY812" i="178"/>
  <c r="AU811" i="178"/>
  <c r="AY811" i="178"/>
  <c r="BC811" i="178"/>
  <c r="BG811" i="178"/>
  <c r="BL811" i="178"/>
  <c r="AS811" i="178"/>
  <c r="AW811" i="178"/>
  <c r="BA811" i="178"/>
  <c r="BE811" i="178"/>
  <c r="BI811" i="178"/>
  <c r="BN811" i="178"/>
  <c r="BN810" i="178"/>
  <c r="AU810" i="178"/>
  <c r="AY810" i="178"/>
  <c r="BC810" i="178"/>
  <c r="BG810" i="178"/>
  <c r="BL810" i="178"/>
  <c r="BA810" i="178"/>
  <c r="BE810" i="178"/>
  <c r="AS810" i="178"/>
  <c r="BI810" i="178"/>
  <c r="AW810" i="178"/>
  <c r="AS708" i="178"/>
  <c r="AW708" i="178"/>
  <c r="BA708" i="178"/>
  <c r="BE708" i="178"/>
  <c r="BI708" i="178"/>
  <c r="BN708" i="178"/>
  <c r="AU708" i="178"/>
  <c r="AY708" i="178"/>
  <c r="BC708" i="178"/>
  <c r="BG708" i="178"/>
  <c r="BL708" i="178"/>
  <c r="BL807" i="178"/>
  <c r="AS807" i="178"/>
  <c r="AW807" i="178"/>
  <c r="BA807" i="178"/>
  <c r="BE807" i="178"/>
  <c r="BI807" i="178"/>
  <c r="BN807" i="178"/>
  <c r="AY807" i="178"/>
  <c r="BC807" i="178"/>
  <c r="BG807" i="178"/>
  <c r="AU807" i="178"/>
  <c r="AU806" i="178"/>
  <c r="AY806" i="178"/>
  <c r="BC806" i="178"/>
  <c r="BG806" i="178"/>
  <c r="BL806" i="178"/>
  <c r="AS806" i="178"/>
  <c r="AW806" i="178"/>
  <c r="BA806" i="178"/>
  <c r="BE806" i="178"/>
  <c r="BI806" i="178"/>
  <c r="BN806" i="178"/>
  <c r="BN805" i="178"/>
  <c r="AU805" i="178"/>
  <c r="AY805" i="178"/>
  <c r="BC805" i="178"/>
  <c r="BG805" i="178"/>
  <c r="BL805" i="178"/>
  <c r="AW805" i="178"/>
  <c r="BA805" i="178"/>
  <c r="BE805" i="178"/>
  <c r="AS805" i="178"/>
  <c r="BI805" i="178"/>
  <c r="AS804" i="178"/>
  <c r="AW804" i="178"/>
  <c r="BA804" i="178"/>
  <c r="BE804" i="178"/>
  <c r="BI804" i="178"/>
  <c r="BN804" i="178"/>
  <c r="AU804" i="178"/>
  <c r="AY804" i="178"/>
  <c r="BC804" i="178"/>
  <c r="BG804" i="178"/>
  <c r="BL804" i="178"/>
  <c r="AU792" i="178"/>
  <c r="AY792" i="178"/>
  <c r="BC792" i="178"/>
  <c r="BG792" i="178"/>
  <c r="BL792" i="178"/>
  <c r="AS792" i="178"/>
  <c r="AW792" i="178"/>
  <c r="BA792" i="178"/>
  <c r="BE792" i="178"/>
  <c r="BI792" i="178"/>
  <c r="BN792" i="178"/>
  <c r="BN714" i="178"/>
  <c r="AU714" i="178"/>
  <c r="AY714" i="178"/>
  <c r="BC714" i="178"/>
  <c r="BG714" i="178"/>
  <c r="BL714" i="178"/>
  <c r="AS714" i="178"/>
  <c r="BI714" i="178"/>
  <c r="AW714" i="178"/>
  <c r="BA714" i="178"/>
  <c r="BE714" i="178"/>
  <c r="AS706" i="178"/>
  <c r="AW706" i="178"/>
  <c r="BA706" i="178"/>
  <c r="BE706" i="178"/>
  <c r="BI706" i="178"/>
  <c r="BN706" i="178"/>
  <c r="AU706" i="178"/>
  <c r="AY706" i="178"/>
  <c r="BC706" i="178"/>
  <c r="BG706" i="178"/>
  <c r="BL706" i="178"/>
  <c r="BL698" i="178"/>
  <c r="AS698" i="178"/>
  <c r="AW698" i="178"/>
  <c r="BA698" i="178"/>
  <c r="BE698" i="178"/>
  <c r="BI698" i="178"/>
  <c r="BN698" i="178"/>
  <c r="BG698" i="178"/>
  <c r="AU698" i="178"/>
  <c r="AY698" i="178"/>
  <c r="BC698" i="178"/>
  <c r="AU690" i="178"/>
  <c r="AY690" i="178"/>
  <c r="BC690" i="178"/>
  <c r="BG690" i="178"/>
  <c r="BL690" i="178"/>
  <c r="AS690" i="178"/>
  <c r="AW690" i="178"/>
  <c r="BA690" i="178"/>
  <c r="BE690" i="178"/>
  <c r="BI690" i="178"/>
  <c r="BN690" i="178"/>
  <c r="AS358" i="178"/>
  <c r="AW358" i="178"/>
  <c r="BA358" i="178"/>
  <c r="BE358" i="178"/>
  <c r="BI358" i="178"/>
  <c r="BN358" i="178"/>
  <c r="AU358" i="178"/>
  <c r="AY358" i="178"/>
  <c r="BC358" i="178"/>
  <c r="BG358" i="178"/>
  <c r="BL358" i="178"/>
  <c r="AU355" i="178"/>
  <c r="AY355" i="178"/>
  <c r="BC355" i="178"/>
  <c r="BG355" i="178"/>
  <c r="BL355" i="178"/>
  <c r="AS355" i="178"/>
  <c r="AW355" i="178"/>
  <c r="BA355" i="178"/>
  <c r="BE355" i="178"/>
  <c r="BI355" i="178"/>
  <c r="BN355" i="178"/>
  <c r="BN167" i="178"/>
  <c r="AU167" i="178"/>
  <c r="AY167" i="178"/>
  <c r="BC167" i="178"/>
  <c r="BG167" i="178"/>
  <c r="BL167" i="178"/>
  <c r="BA167" i="178"/>
  <c r="BE167" i="178"/>
  <c r="AS167" i="178"/>
  <c r="BI167" i="178"/>
  <c r="AW167" i="178"/>
  <c r="AS166" i="178"/>
  <c r="AW166" i="178"/>
  <c r="BA166" i="178"/>
  <c r="BE166" i="178"/>
  <c r="BI166" i="178"/>
  <c r="BN166" i="178"/>
  <c r="AU166" i="178"/>
  <c r="AY166" i="178"/>
  <c r="BC166" i="178"/>
  <c r="BG166" i="178"/>
  <c r="BL166" i="178"/>
  <c r="BL165" i="178"/>
  <c r="AS165" i="178"/>
  <c r="AW165" i="178"/>
  <c r="BA165" i="178"/>
  <c r="BE165" i="178"/>
  <c r="BI165" i="178"/>
  <c r="BN165" i="178"/>
  <c r="AY165" i="178"/>
  <c r="BC165" i="178"/>
  <c r="BG165" i="178"/>
  <c r="AU165" i="178"/>
  <c r="AU164" i="178"/>
  <c r="AY164" i="178"/>
  <c r="BC164" i="178"/>
  <c r="BG164" i="178"/>
  <c r="BL164" i="178"/>
  <c r="AS164" i="178"/>
  <c r="AW164" i="178"/>
  <c r="BA164" i="178"/>
  <c r="BE164" i="178"/>
  <c r="BI164" i="178"/>
  <c r="BN164" i="178"/>
  <c r="BN163" i="178"/>
  <c r="AU163" i="178"/>
  <c r="AY163" i="178"/>
  <c r="BC163" i="178"/>
  <c r="BG163" i="178"/>
  <c r="BL163" i="178"/>
  <c r="AW163" i="178"/>
  <c r="BA163" i="178"/>
  <c r="BE163" i="178"/>
  <c r="AS163" i="178"/>
  <c r="BI163" i="178"/>
  <c r="AS162" i="178"/>
  <c r="AW162" i="178"/>
  <c r="BA162" i="178"/>
  <c r="BE162" i="178"/>
  <c r="BI162" i="178"/>
  <c r="BN162" i="178"/>
  <c r="AU162" i="178"/>
  <c r="AY162" i="178"/>
  <c r="BC162" i="178"/>
  <c r="BG162" i="178"/>
  <c r="BL162" i="178"/>
  <c r="AU156" i="178"/>
  <c r="AY156" i="178"/>
  <c r="BC156" i="178"/>
  <c r="BG156" i="178"/>
  <c r="BL156" i="178"/>
  <c r="AS156" i="178"/>
  <c r="AW156" i="178"/>
  <c r="BA156" i="178"/>
  <c r="BE156" i="178"/>
  <c r="BI156" i="178"/>
  <c r="BN156" i="178"/>
  <c r="AS155" i="178"/>
  <c r="AW155" i="178"/>
  <c r="BA155" i="178"/>
  <c r="BE155" i="178"/>
  <c r="BI155" i="178"/>
  <c r="BN155" i="178"/>
  <c r="AU155" i="178"/>
  <c r="AY155" i="178"/>
  <c r="BC155" i="178"/>
  <c r="BG155" i="178"/>
  <c r="BL155" i="178"/>
  <c r="BL154" i="178"/>
  <c r="AS154" i="178"/>
  <c r="AW154" i="178"/>
  <c r="BA154" i="178"/>
  <c r="BE154" i="178"/>
  <c r="BI154" i="178"/>
  <c r="BN154" i="178"/>
  <c r="BC154" i="178"/>
  <c r="BG154" i="178"/>
  <c r="AU154" i="178"/>
  <c r="AY154" i="178"/>
  <c r="BN1124" i="178"/>
  <c r="AU1124" i="178"/>
  <c r="AY1124" i="178"/>
  <c r="BC1124" i="178"/>
  <c r="BG1124" i="178"/>
  <c r="BL1124" i="178"/>
  <c r="BE1124" i="178"/>
  <c r="AS1124" i="178"/>
  <c r="BI1124" i="178"/>
  <c r="AW1124" i="178"/>
  <c r="BA1124" i="178"/>
  <c r="AS1123" i="178"/>
  <c r="AW1123" i="178"/>
  <c r="BA1123" i="178"/>
  <c r="BE1123" i="178"/>
  <c r="BI1123" i="178"/>
  <c r="BN1123" i="178"/>
  <c r="AU1123" i="178"/>
  <c r="AY1123" i="178"/>
  <c r="BC1123" i="178"/>
  <c r="BG1123" i="178"/>
  <c r="BL1123" i="178"/>
  <c r="BL1120" i="178"/>
  <c r="AS1120" i="178"/>
  <c r="AW1120" i="178"/>
  <c r="BA1120" i="178"/>
  <c r="BE1120" i="178"/>
  <c r="BI1120" i="178"/>
  <c r="BN1120" i="178"/>
  <c r="BC1120" i="178"/>
  <c r="BG1120" i="178"/>
  <c r="AU1120" i="178"/>
  <c r="AY1120" i="178"/>
  <c r="AU1118" i="178"/>
  <c r="AY1118" i="178"/>
  <c r="BC1118" i="178"/>
  <c r="BG1118" i="178"/>
  <c r="BL1118" i="178"/>
  <c r="AS1118" i="178"/>
  <c r="AW1118" i="178"/>
  <c r="BA1118" i="178"/>
  <c r="BE1118" i="178"/>
  <c r="BI1118" i="178"/>
  <c r="BN1118" i="178"/>
  <c r="BN1116" i="178"/>
  <c r="AU1116" i="178"/>
  <c r="AY1116" i="178"/>
  <c r="BC1116" i="178"/>
  <c r="BG1116" i="178"/>
  <c r="BL1116" i="178"/>
  <c r="BA1116" i="178"/>
  <c r="BE1116" i="178"/>
  <c r="AS1116" i="178"/>
  <c r="BI1116" i="178"/>
  <c r="AW1116" i="178"/>
  <c r="AS1115" i="178"/>
  <c r="AW1115" i="178"/>
  <c r="BA1115" i="178"/>
  <c r="BE1115" i="178"/>
  <c r="BI1115" i="178"/>
  <c r="BN1115" i="178"/>
  <c r="AU1115" i="178"/>
  <c r="AY1115" i="178"/>
  <c r="BC1115" i="178"/>
  <c r="BG1115" i="178"/>
  <c r="BL1115" i="178"/>
  <c r="BN1033" i="178"/>
  <c r="AU1033" i="178"/>
  <c r="AY1033" i="178"/>
  <c r="BC1033" i="178"/>
  <c r="BG1033" i="178"/>
  <c r="BL1033" i="178"/>
  <c r="AS1033" i="178"/>
  <c r="BI1033" i="178"/>
  <c r="AW1033" i="178"/>
  <c r="BA1033" i="178"/>
  <c r="BE1033" i="178"/>
  <c r="AS1032" i="178"/>
  <c r="AW1032" i="178"/>
  <c r="BA1032" i="178"/>
  <c r="BE1032" i="178"/>
  <c r="BI1032" i="178"/>
  <c r="BN1032" i="178"/>
  <c r="AU1032" i="178"/>
  <c r="AY1032" i="178"/>
  <c r="BC1032" i="178"/>
  <c r="BG1032" i="178"/>
  <c r="BL1032" i="178"/>
  <c r="BN654" i="178"/>
  <c r="AU654" i="178"/>
  <c r="AY654" i="178"/>
  <c r="BC654" i="178"/>
  <c r="BG654" i="178"/>
  <c r="BL654" i="178"/>
  <c r="BA654" i="178"/>
  <c r="BE654" i="178"/>
  <c r="AS654" i="178"/>
  <c r="BI654" i="178"/>
  <c r="AW654" i="178"/>
  <c r="BA653" i="178"/>
  <c r="AY653" i="178"/>
  <c r="AS651" i="178"/>
  <c r="AW651" i="178"/>
  <c r="BA651" i="178"/>
  <c r="BE651" i="178"/>
  <c r="BI651" i="178"/>
  <c r="BN651" i="178"/>
  <c r="AU651" i="178"/>
  <c r="AY651" i="178"/>
  <c r="BC651" i="178"/>
  <c r="BG651" i="178"/>
  <c r="BL651" i="178"/>
  <c r="AU1276" i="178"/>
  <c r="AY1276" i="178"/>
  <c r="BC1276" i="178"/>
  <c r="BG1276" i="178"/>
  <c r="BL1276" i="178"/>
  <c r="AS1276" i="178"/>
  <c r="AW1276" i="178"/>
  <c r="BA1276" i="178"/>
  <c r="BE1276" i="178"/>
  <c r="BI1276" i="178"/>
  <c r="BN1276" i="178"/>
  <c r="AU1192" i="178"/>
  <c r="AY1192" i="178"/>
  <c r="BC1192" i="178"/>
  <c r="BG1192" i="178"/>
  <c r="BL1192" i="178"/>
  <c r="AS1192" i="178"/>
  <c r="AW1192" i="178"/>
  <c r="BA1192" i="178"/>
  <c r="BE1192" i="178"/>
  <c r="BI1192" i="178"/>
  <c r="BN1192" i="178"/>
  <c r="AS1194" i="178"/>
  <c r="AW1194" i="178"/>
  <c r="BA1194" i="178"/>
  <c r="BE1194" i="178"/>
  <c r="BI1194" i="178"/>
  <c r="BN1194" i="178"/>
  <c r="AU1194" i="178"/>
  <c r="AY1194" i="178"/>
  <c r="BC1194" i="178"/>
  <c r="BG1194" i="178"/>
  <c r="BL1194" i="178"/>
  <c r="BL1190" i="178"/>
  <c r="AS1190" i="178"/>
  <c r="AW1190" i="178"/>
  <c r="BA1190" i="178"/>
  <c r="BE1190" i="178"/>
  <c r="BI1190" i="178"/>
  <c r="BN1190" i="178"/>
  <c r="BC1190" i="178"/>
  <c r="BG1190" i="178"/>
  <c r="AU1190" i="178"/>
  <c r="AY1190" i="178"/>
  <c r="AS1178" i="178"/>
  <c r="AW1178" i="178"/>
  <c r="BA1178" i="178"/>
  <c r="BE1178" i="178"/>
  <c r="BI1178" i="178"/>
  <c r="BN1178" i="178"/>
  <c r="AU1178" i="178"/>
  <c r="AY1178" i="178"/>
  <c r="BC1178" i="178"/>
  <c r="BG1178" i="178"/>
  <c r="BL1178" i="178"/>
  <c r="BL1175" i="178"/>
  <c r="AS1175" i="178"/>
  <c r="AW1175" i="178"/>
  <c r="BA1175" i="178"/>
  <c r="BE1175" i="178"/>
  <c r="BI1175" i="178"/>
  <c r="BN1175" i="178"/>
  <c r="AU1175" i="178"/>
  <c r="AY1175" i="178"/>
  <c r="BC1175" i="178"/>
  <c r="BG1175" i="178"/>
  <c r="AU1177" i="178"/>
  <c r="AY1177" i="178"/>
  <c r="BC1177" i="178"/>
  <c r="BG1177" i="178"/>
  <c r="BL1177" i="178"/>
  <c r="AS1177" i="178"/>
  <c r="AW1177" i="178"/>
  <c r="BA1177" i="178"/>
  <c r="BE1177" i="178"/>
  <c r="BI1177" i="178"/>
  <c r="BN1177" i="178"/>
  <c r="BN1174" i="178"/>
  <c r="AU1174" i="178"/>
  <c r="AY1174" i="178"/>
  <c r="BC1174" i="178"/>
  <c r="BG1174" i="178"/>
  <c r="BL1174" i="178"/>
  <c r="AS1174" i="178"/>
  <c r="BI1174" i="178"/>
  <c r="AW1174" i="178"/>
  <c r="BA1174" i="178"/>
  <c r="BE1174" i="178"/>
  <c r="AS1176" i="178"/>
  <c r="AW1176" i="178"/>
  <c r="BA1176" i="178"/>
  <c r="BE1176" i="178"/>
  <c r="BI1176" i="178"/>
  <c r="BN1176" i="178"/>
  <c r="AU1176" i="178"/>
  <c r="AY1176" i="178"/>
  <c r="BC1176" i="178"/>
  <c r="BG1176" i="178"/>
  <c r="BL1176" i="178"/>
  <c r="BL1173" i="178"/>
  <c r="AS1173" i="178"/>
  <c r="AW1173" i="178"/>
  <c r="BA1173" i="178"/>
  <c r="BE1173" i="178"/>
  <c r="BI1173" i="178"/>
  <c r="BN1173" i="178"/>
  <c r="BG1173" i="178"/>
  <c r="AU1173" i="178"/>
  <c r="AY1173" i="178"/>
  <c r="BC1173" i="178"/>
  <c r="AU1171" i="178"/>
  <c r="AY1171" i="178"/>
  <c r="BC1171" i="178"/>
  <c r="BG1171" i="178"/>
  <c r="BL1171" i="178"/>
  <c r="AS1171" i="178"/>
  <c r="AW1171" i="178"/>
  <c r="BA1171" i="178"/>
  <c r="BE1171" i="178"/>
  <c r="BI1171" i="178"/>
  <c r="BN1171" i="178"/>
  <c r="AU1172" i="178"/>
  <c r="AY1172" i="178"/>
  <c r="BC1172" i="178"/>
  <c r="BN1172" i="178"/>
  <c r="AS1172" i="178"/>
  <c r="BA1172" i="178"/>
  <c r="BG1172" i="178"/>
  <c r="BL1172" i="178"/>
  <c r="BE1172" i="178"/>
  <c r="BI1172" i="178"/>
  <c r="AW1172" i="178"/>
  <c r="BN1163" i="178"/>
  <c r="AU1163" i="178"/>
  <c r="AY1163" i="178"/>
  <c r="BC1163" i="178"/>
  <c r="BG1163" i="178"/>
  <c r="BL1163" i="178"/>
  <c r="AW1163" i="178"/>
  <c r="BE1163" i="178"/>
  <c r="BA1163" i="178"/>
  <c r="BI1163" i="178"/>
  <c r="AS1163" i="178"/>
  <c r="BL1162" i="178"/>
  <c r="AS1162" i="178"/>
  <c r="AW1162" i="178"/>
  <c r="BA1162" i="178"/>
  <c r="BE1162" i="178"/>
  <c r="BI1162" i="178"/>
  <c r="AU1162" i="178"/>
  <c r="BC1162" i="178"/>
  <c r="BN1162" i="178"/>
  <c r="AY1162" i="178"/>
  <c r="BG1162" i="178"/>
  <c r="AU1161" i="178"/>
  <c r="AY1161" i="178"/>
  <c r="BC1161" i="178"/>
  <c r="BG1161" i="178"/>
  <c r="BL1161" i="178"/>
  <c r="AS1161" i="178"/>
  <c r="BA1161" i="178"/>
  <c r="BI1161" i="178"/>
  <c r="AW1161" i="178"/>
  <c r="BE1161" i="178"/>
  <c r="BN1161" i="178"/>
  <c r="BN1160" i="178"/>
  <c r="AU1160" i="178"/>
  <c r="AY1160" i="178"/>
  <c r="BC1160" i="178"/>
  <c r="BG1160" i="178"/>
  <c r="AS1160" i="178"/>
  <c r="BA1160" i="178"/>
  <c r="BI1160" i="178"/>
  <c r="BL1160" i="178"/>
  <c r="AW1160" i="178"/>
  <c r="BE1160" i="178"/>
  <c r="BL1142" i="178"/>
  <c r="AS1142" i="178"/>
  <c r="AW1142" i="178"/>
  <c r="BA1142" i="178"/>
  <c r="BE1142" i="178"/>
  <c r="BI1142" i="178"/>
  <c r="BN1142" i="178"/>
  <c r="AY1142" i="178"/>
  <c r="BG1142" i="178"/>
  <c r="BC1142" i="178"/>
  <c r="AU1142" i="178"/>
  <c r="AU1145" i="178"/>
  <c r="AY1145" i="178"/>
  <c r="BC1145" i="178"/>
  <c r="BG1145" i="178"/>
  <c r="BL1145" i="178"/>
  <c r="AW1145" i="178"/>
  <c r="BE1145" i="178"/>
  <c r="BN1145" i="178"/>
  <c r="AS1145" i="178"/>
  <c r="BA1145" i="178"/>
  <c r="BI1145" i="178"/>
  <c r="AS1143" i="178"/>
  <c r="AW1143" i="178"/>
  <c r="BA1143" i="178"/>
  <c r="BE1143" i="178"/>
  <c r="BI1143" i="178"/>
  <c r="BN1143" i="178"/>
  <c r="AU1143" i="178"/>
  <c r="BC1143" i="178"/>
  <c r="BL1143" i="178"/>
  <c r="AY1143" i="178"/>
  <c r="BG1143" i="178"/>
  <c r="AU1141" i="178"/>
  <c r="AY1141" i="178"/>
  <c r="BC1141" i="178"/>
  <c r="BG1141" i="178"/>
  <c r="BL1141" i="178"/>
  <c r="AS1141" i="178"/>
  <c r="BA1141" i="178"/>
  <c r="BI1141" i="178"/>
  <c r="AW1141" i="178"/>
  <c r="BE1141" i="178"/>
  <c r="BN1141" i="178"/>
  <c r="BN1140" i="178"/>
  <c r="AU1140" i="178"/>
  <c r="AY1140" i="178"/>
  <c r="BC1140" i="178"/>
  <c r="BG1140" i="178"/>
  <c r="AS1140" i="178"/>
  <c r="BA1140" i="178"/>
  <c r="BI1140" i="178"/>
  <c r="BL1140" i="178"/>
  <c r="AW1140" i="178"/>
  <c r="BE1140" i="178"/>
  <c r="AS1139" i="178"/>
  <c r="AW1139" i="178"/>
  <c r="BA1139" i="178"/>
  <c r="BE1139" i="178"/>
  <c r="BI1139" i="178"/>
  <c r="BN1139" i="178"/>
  <c r="AY1139" i="178"/>
  <c r="BG1139" i="178"/>
  <c r="AU1139" i="178"/>
  <c r="BC1139" i="178"/>
  <c r="BL1139" i="178"/>
  <c r="BL1144" i="178"/>
  <c r="AS1144" i="178"/>
  <c r="AW1144" i="178"/>
  <c r="BA1144" i="178"/>
  <c r="BE1144" i="178"/>
  <c r="BI1144" i="178"/>
  <c r="BN1144" i="178"/>
  <c r="AY1144" i="178"/>
  <c r="BG1144" i="178"/>
  <c r="AU1144" i="178"/>
  <c r="BC1144" i="178"/>
  <c r="AU1138" i="178"/>
  <c r="AY1138" i="178"/>
  <c r="BC1138" i="178"/>
  <c r="BG1138" i="178"/>
  <c r="BL1138" i="178"/>
  <c r="AW1138" i="178"/>
  <c r="BE1138" i="178"/>
  <c r="BN1138" i="178"/>
  <c r="AS1138" i="178"/>
  <c r="BA1138" i="178"/>
  <c r="BI1138" i="178"/>
  <c r="BN1076" i="178"/>
  <c r="AU1076" i="178"/>
  <c r="AY1076" i="178"/>
  <c r="BC1076" i="178"/>
  <c r="BG1076" i="178"/>
  <c r="BL1076" i="178"/>
  <c r="AW1076" i="178"/>
  <c r="BE1076" i="178"/>
  <c r="BI1076" i="178"/>
  <c r="AS1076" i="178"/>
  <c r="BA1076" i="178"/>
  <c r="BL1075" i="178"/>
  <c r="AS1075" i="178"/>
  <c r="AW1075" i="178"/>
  <c r="BA1075" i="178"/>
  <c r="BE1075" i="178"/>
  <c r="BI1075" i="178"/>
  <c r="AU1075" i="178"/>
  <c r="BC1075" i="178"/>
  <c r="BN1075" i="178"/>
  <c r="AY1075" i="178"/>
  <c r="BG1075" i="178"/>
  <c r="BN1074" i="178"/>
  <c r="AU1074" i="178"/>
  <c r="AY1074" i="178"/>
  <c r="BC1074" i="178"/>
  <c r="BG1074" i="178"/>
  <c r="AS1074" i="178"/>
  <c r="BA1074" i="178"/>
  <c r="BI1074" i="178"/>
  <c r="BL1074" i="178"/>
  <c r="BE1074" i="178"/>
  <c r="AW1074" i="178"/>
  <c r="AS1073" i="178"/>
  <c r="AW1073" i="178"/>
  <c r="BA1073" i="178"/>
  <c r="BE1073" i="178"/>
  <c r="BI1073" i="178"/>
  <c r="BN1073" i="178"/>
  <c r="AU1073" i="178"/>
  <c r="AY1073" i="178"/>
  <c r="BG1073" i="178"/>
  <c r="BC1073" i="178"/>
  <c r="BL1073" i="178"/>
  <c r="AU1072" i="178"/>
  <c r="AY1072" i="178"/>
  <c r="BC1072" i="178"/>
  <c r="BG1072" i="178"/>
  <c r="BL1072" i="178"/>
  <c r="AS1072" i="178"/>
  <c r="AW1072" i="178"/>
  <c r="BA1072" i="178"/>
  <c r="BE1072" i="178"/>
  <c r="BI1072" i="178"/>
  <c r="BN1072" i="178"/>
  <c r="AS1077" i="178"/>
  <c r="AW1077" i="178"/>
  <c r="BA1077" i="178"/>
  <c r="BE1077" i="178"/>
  <c r="BI1077" i="178"/>
  <c r="BN1077" i="178"/>
  <c r="AU1077" i="178"/>
  <c r="AY1077" i="178"/>
  <c r="BC1077" i="178"/>
  <c r="BG1077" i="178"/>
  <c r="BL1077" i="178"/>
  <c r="BL1071" i="178"/>
  <c r="AS1071" i="178"/>
  <c r="AW1071" i="178"/>
  <c r="BA1071" i="178"/>
  <c r="BE1071" i="178"/>
  <c r="BI1071" i="178"/>
  <c r="BN1071" i="178"/>
  <c r="AY1071" i="178"/>
  <c r="BC1071" i="178"/>
  <c r="BG1071" i="178"/>
  <c r="AU1071" i="178"/>
  <c r="AU1067" i="178"/>
  <c r="AY1067" i="178"/>
  <c r="BC1067" i="178"/>
  <c r="BG1067" i="178"/>
  <c r="BL1067" i="178"/>
  <c r="AS1067" i="178"/>
  <c r="AW1067" i="178"/>
  <c r="BA1067" i="178"/>
  <c r="BE1067" i="178"/>
  <c r="BI1067" i="178"/>
  <c r="BN1067" i="178"/>
  <c r="AS1070" i="178"/>
  <c r="AW1070" i="178"/>
  <c r="BA1070" i="178"/>
  <c r="BE1070" i="178"/>
  <c r="BI1070" i="178"/>
  <c r="BN1070" i="178"/>
  <c r="AU1070" i="178"/>
  <c r="AY1070" i="178"/>
  <c r="BC1070" i="178"/>
  <c r="BG1070" i="178"/>
  <c r="BL1070" i="178"/>
  <c r="BL1066" i="178"/>
  <c r="AS1066" i="178"/>
  <c r="AW1066" i="178"/>
  <c r="BA1066" i="178"/>
  <c r="BE1066" i="178"/>
  <c r="BI1066" i="178"/>
  <c r="BN1066" i="178"/>
  <c r="AU1066" i="178"/>
  <c r="AY1066" i="178"/>
  <c r="BC1066" i="178"/>
  <c r="BG1066" i="178"/>
  <c r="BL1069" i="178"/>
  <c r="AS1069" i="178"/>
  <c r="AW1069" i="178"/>
  <c r="BA1069" i="178"/>
  <c r="BE1069" i="178"/>
  <c r="BI1069" i="178"/>
  <c r="BN1069" i="178"/>
  <c r="BG1069" i="178"/>
  <c r="AU1069" i="178"/>
  <c r="AY1069" i="178"/>
  <c r="BC1069" i="178"/>
  <c r="BN1068" i="178"/>
  <c r="AU1068" i="178"/>
  <c r="AY1068" i="178"/>
  <c r="BC1068" i="178"/>
  <c r="BG1068" i="178"/>
  <c r="BL1068" i="178"/>
  <c r="BE1068" i="178"/>
  <c r="AS1068" i="178"/>
  <c r="BI1068" i="178"/>
  <c r="AW1068" i="178"/>
  <c r="BA1068" i="178"/>
  <c r="AU1056" i="178"/>
  <c r="AY1056" i="178"/>
  <c r="BC1056" i="178"/>
  <c r="BG1056" i="178"/>
  <c r="BL1056" i="178"/>
  <c r="AS1056" i="178"/>
  <c r="AW1056" i="178"/>
  <c r="BA1056" i="178"/>
  <c r="BE1056" i="178"/>
  <c r="BI1056" i="178"/>
  <c r="BN1056" i="178"/>
  <c r="BN1052" i="178"/>
  <c r="AU1052" i="178"/>
  <c r="AY1052" i="178"/>
  <c r="BC1052" i="178"/>
  <c r="BG1052" i="178"/>
  <c r="BL1052" i="178"/>
  <c r="BA1052" i="178"/>
  <c r="BE1052" i="178"/>
  <c r="AS1052" i="178"/>
  <c r="BI1052" i="178"/>
  <c r="AW1052" i="178"/>
  <c r="AS1055" i="178"/>
  <c r="AW1055" i="178"/>
  <c r="BA1055" i="178"/>
  <c r="BE1055" i="178"/>
  <c r="BI1055" i="178"/>
  <c r="BN1055" i="178"/>
  <c r="AU1055" i="178"/>
  <c r="AY1055" i="178"/>
  <c r="BC1055" i="178"/>
  <c r="BG1055" i="178"/>
  <c r="BL1055" i="178"/>
  <c r="BL1054" i="178"/>
  <c r="AS1054" i="178"/>
  <c r="AW1054" i="178"/>
  <c r="BA1054" i="178"/>
  <c r="BE1054" i="178"/>
  <c r="BI1054" i="178"/>
  <c r="BN1054" i="178"/>
  <c r="AY1054" i="178"/>
  <c r="BC1054" i="178"/>
  <c r="BG1054" i="178"/>
  <c r="AU1054" i="178"/>
  <c r="BN1053" i="178"/>
  <c r="AU1053" i="178"/>
  <c r="AY1053" i="178"/>
  <c r="BC1053" i="178"/>
  <c r="BG1053" i="178"/>
  <c r="BL1053" i="178"/>
  <c r="AW1053" i="178"/>
  <c r="BA1053" i="178"/>
  <c r="BE1053" i="178"/>
  <c r="BI1053" i="178"/>
  <c r="AS1053" i="178"/>
  <c r="AS1050" i="178"/>
  <c r="AW1050" i="178"/>
  <c r="BA1050" i="178"/>
  <c r="BE1050" i="178"/>
  <c r="BI1050" i="178"/>
  <c r="BN1050" i="178"/>
  <c r="AU1050" i="178"/>
  <c r="AY1050" i="178"/>
  <c r="BC1050" i="178"/>
  <c r="BG1050" i="178"/>
  <c r="BL1050" i="178"/>
  <c r="BL1047" i="178"/>
  <c r="AS1047" i="178"/>
  <c r="AW1047" i="178"/>
  <c r="BA1047" i="178"/>
  <c r="BE1047" i="178"/>
  <c r="BI1047" i="178"/>
  <c r="BN1047" i="178"/>
  <c r="AU1047" i="178"/>
  <c r="AY1047" i="178"/>
  <c r="BC1047" i="178"/>
  <c r="BG1047" i="178"/>
  <c r="AU1049" i="178"/>
  <c r="AY1049" i="178"/>
  <c r="BC1049" i="178"/>
  <c r="BG1049" i="178"/>
  <c r="BL1049" i="178"/>
  <c r="AS1049" i="178"/>
  <c r="AW1049" i="178"/>
  <c r="BA1049" i="178"/>
  <c r="BE1049" i="178"/>
  <c r="BI1049" i="178"/>
  <c r="BN1049" i="178"/>
  <c r="BN1048" i="178"/>
  <c r="AU1048" i="178"/>
  <c r="AY1048" i="178"/>
  <c r="BC1048" i="178"/>
  <c r="BG1048" i="178"/>
  <c r="BL1048" i="178"/>
  <c r="AS1048" i="178"/>
  <c r="BI1048" i="178"/>
  <c r="AW1048" i="178"/>
  <c r="BA1048" i="178"/>
  <c r="BE1048" i="178"/>
  <c r="AU1040" i="178"/>
  <c r="AY1040" i="178"/>
  <c r="BC1040" i="178"/>
  <c r="BG1040" i="178"/>
  <c r="BL1040" i="178"/>
  <c r="AS1040" i="178"/>
  <c r="AW1040" i="178"/>
  <c r="BA1040" i="178"/>
  <c r="BE1040" i="178"/>
  <c r="BI1040" i="178"/>
  <c r="BN1040" i="178"/>
  <c r="BN1038" i="178"/>
  <c r="AU1038" i="178"/>
  <c r="AY1038" i="178"/>
  <c r="BC1038" i="178"/>
  <c r="BG1038" i="178"/>
  <c r="BL1038" i="178"/>
  <c r="BA1038" i="178"/>
  <c r="BE1038" i="178"/>
  <c r="AS1038" i="178"/>
  <c r="BI1038" i="178"/>
  <c r="AW1038" i="178"/>
  <c r="AS1037" i="178"/>
  <c r="AW1037" i="178"/>
  <c r="BA1037" i="178"/>
  <c r="BE1037" i="178"/>
  <c r="BI1037" i="178"/>
  <c r="BN1037" i="178"/>
  <c r="AU1037" i="178"/>
  <c r="AY1037" i="178"/>
  <c r="BC1037" i="178"/>
  <c r="BG1037" i="178"/>
  <c r="BL1037" i="178"/>
  <c r="BL1039" i="178"/>
  <c r="AS1039" i="178"/>
  <c r="AW1039" i="178"/>
  <c r="BA1039" i="178"/>
  <c r="BE1039" i="178"/>
  <c r="BI1039" i="178"/>
  <c r="BN1039" i="178"/>
  <c r="AY1039" i="178"/>
  <c r="BC1039" i="178"/>
  <c r="BG1039" i="178"/>
  <c r="AU1039" i="178"/>
  <c r="AU1036" i="178"/>
  <c r="AY1036" i="178"/>
  <c r="BC1036" i="178"/>
  <c r="BG1036" i="178"/>
  <c r="BL1036" i="178"/>
  <c r="AS1036" i="178"/>
  <c r="AW1036" i="178"/>
  <c r="BA1036" i="178"/>
  <c r="BE1036" i="178"/>
  <c r="BI1036" i="178"/>
  <c r="BN1036" i="178"/>
  <c r="BN1023" i="178"/>
  <c r="AU1023" i="178"/>
  <c r="AY1023" i="178"/>
  <c r="BC1023" i="178"/>
  <c r="BG1023" i="178"/>
  <c r="BL1023" i="178"/>
  <c r="AW1023" i="178"/>
  <c r="BA1023" i="178"/>
  <c r="BE1023" i="178"/>
  <c r="AS1023" i="178"/>
  <c r="BI1023" i="178"/>
  <c r="AS1022" i="178"/>
  <c r="AW1022" i="178"/>
  <c r="BA1022" i="178"/>
  <c r="BE1022" i="178"/>
  <c r="BI1022" i="178"/>
  <c r="BN1022" i="178"/>
  <c r="AU1022" i="178"/>
  <c r="AY1022" i="178"/>
  <c r="BC1022" i="178"/>
  <c r="BG1022" i="178"/>
  <c r="BL1022" i="178"/>
  <c r="BL1027" i="178"/>
  <c r="AS1027" i="178"/>
  <c r="AW1027" i="178"/>
  <c r="BA1027" i="178"/>
  <c r="BE1027" i="178"/>
  <c r="BI1027" i="178"/>
  <c r="BN1027" i="178"/>
  <c r="AU1027" i="178"/>
  <c r="AY1027" i="178"/>
  <c r="BC1027" i="178"/>
  <c r="BG1027" i="178"/>
  <c r="BN1021" i="178"/>
  <c r="AU1021" i="178"/>
  <c r="AY1021" i="178"/>
  <c r="BC1021" i="178"/>
  <c r="BG1021" i="178"/>
  <c r="BL1021" i="178"/>
  <c r="AS1021" i="178"/>
  <c r="BI1021" i="178"/>
  <c r="AW1021" i="178"/>
  <c r="BA1021" i="178"/>
  <c r="BE1021" i="178"/>
  <c r="AS1020" i="178"/>
  <c r="AW1020" i="178"/>
  <c r="BA1020" i="178"/>
  <c r="BE1020" i="178"/>
  <c r="BI1020" i="178"/>
  <c r="BN1020" i="178"/>
  <c r="AU1020" i="178"/>
  <c r="AY1020" i="178"/>
  <c r="BC1020" i="178"/>
  <c r="BG1020" i="178"/>
  <c r="BL1020" i="178"/>
  <c r="AS1014" i="178"/>
  <c r="AW1014" i="178"/>
  <c r="BA1014" i="178"/>
  <c r="BE1014" i="178"/>
  <c r="BI1014" i="178"/>
  <c r="BN1014" i="178"/>
  <c r="AU1014" i="178"/>
  <c r="AY1014" i="178"/>
  <c r="BC1014" i="178"/>
  <c r="BG1014" i="178"/>
  <c r="BL1014" i="178"/>
  <c r="BL1013" i="178"/>
  <c r="AS1013" i="178"/>
  <c r="AW1013" i="178"/>
  <c r="BA1013" i="178"/>
  <c r="BE1013" i="178"/>
  <c r="BI1013" i="178"/>
  <c r="BN1013" i="178"/>
  <c r="AY1013" i="178"/>
  <c r="BC1013" i="178"/>
  <c r="BG1013" i="178"/>
  <c r="AU1013" i="178"/>
  <c r="BN1012" i="178"/>
  <c r="AU1012" i="178"/>
  <c r="AY1012" i="178"/>
  <c r="BC1012" i="178"/>
  <c r="BG1012" i="178"/>
  <c r="BL1012" i="178"/>
  <c r="AW1012" i="178"/>
  <c r="BA1012" i="178"/>
  <c r="BE1012" i="178"/>
  <c r="AS1012" i="178"/>
  <c r="BI1012" i="178"/>
  <c r="AS1005" i="178"/>
  <c r="AW1005" i="178"/>
  <c r="BA1005" i="178"/>
  <c r="BE1005" i="178"/>
  <c r="BI1005" i="178"/>
  <c r="BN1005" i="178"/>
  <c r="AU1005" i="178"/>
  <c r="AY1005" i="178"/>
  <c r="BC1005" i="178"/>
  <c r="BG1005" i="178"/>
  <c r="BL1005" i="178"/>
  <c r="BL1002" i="178"/>
  <c r="AS1002" i="178"/>
  <c r="AW1002" i="178"/>
  <c r="BA1002" i="178"/>
  <c r="BE1002" i="178"/>
  <c r="BI1002" i="178"/>
  <c r="BN1002" i="178"/>
  <c r="BG1002" i="178"/>
  <c r="AU1002" i="178"/>
  <c r="AY1002" i="178"/>
  <c r="BC1002" i="178"/>
  <c r="AU1003" i="178"/>
  <c r="AY1003" i="178"/>
  <c r="BC1003" i="178"/>
  <c r="BG1003" i="178"/>
  <c r="BL1003" i="178"/>
  <c r="AS1003" i="178"/>
  <c r="AW1003" i="178"/>
  <c r="BA1003" i="178"/>
  <c r="BE1003" i="178"/>
  <c r="BI1003" i="178"/>
  <c r="BN1003" i="178"/>
  <c r="BN1001" i="178"/>
  <c r="AU1001" i="178"/>
  <c r="AY1001" i="178"/>
  <c r="BC1001" i="178"/>
  <c r="BG1001" i="178"/>
  <c r="BL1001" i="178"/>
  <c r="BE1001" i="178"/>
  <c r="AS1001" i="178"/>
  <c r="BI1001" i="178"/>
  <c r="AW1001" i="178"/>
  <c r="BA1001" i="178"/>
  <c r="AS995" i="178"/>
  <c r="AW995" i="178"/>
  <c r="BA995" i="178"/>
  <c r="BE995" i="178"/>
  <c r="BI995" i="178"/>
  <c r="BN995" i="178"/>
  <c r="AU995" i="178"/>
  <c r="AY995" i="178"/>
  <c r="BC995" i="178"/>
  <c r="BG995" i="178"/>
  <c r="BL995" i="178"/>
  <c r="BN994" i="178"/>
  <c r="AU994" i="178"/>
  <c r="AY994" i="178"/>
  <c r="BC994" i="178"/>
  <c r="BG994" i="178"/>
  <c r="BL994" i="178"/>
  <c r="BA994" i="178"/>
  <c r="BE994" i="178"/>
  <c r="AS994" i="178"/>
  <c r="BI994" i="178"/>
  <c r="AW994" i="178"/>
  <c r="AS992" i="178"/>
  <c r="AW992" i="178"/>
  <c r="BA992" i="178"/>
  <c r="BE992" i="178"/>
  <c r="BI992" i="178"/>
  <c r="BN992" i="178"/>
  <c r="AU992" i="178"/>
  <c r="AY992" i="178"/>
  <c r="BC992" i="178"/>
  <c r="BG992" i="178"/>
  <c r="BL992" i="178"/>
  <c r="BL993" i="178"/>
  <c r="AS993" i="178"/>
  <c r="AW993" i="178"/>
  <c r="BA993" i="178"/>
  <c r="BE993" i="178"/>
  <c r="BI993" i="178"/>
  <c r="BN993" i="178"/>
  <c r="AY993" i="178"/>
  <c r="BC993" i="178"/>
  <c r="BG993" i="178"/>
  <c r="AU993" i="178"/>
  <c r="AU991" i="178"/>
  <c r="AY991" i="178"/>
  <c r="BC991" i="178"/>
  <c r="BG991" i="178"/>
  <c r="BL991" i="178"/>
  <c r="AS991" i="178"/>
  <c r="AW991" i="178"/>
  <c r="BA991" i="178"/>
  <c r="BE991" i="178"/>
  <c r="BI991" i="178"/>
  <c r="BN991" i="178"/>
  <c r="AS990" i="178"/>
  <c r="AW990" i="178"/>
  <c r="BA990" i="178"/>
  <c r="BE990" i="178"/>
  <c r="BI990" i="178"/>
  <c r="BN990" i="178"/>
  <c r="AU990" i="178"/>
  <c r="AY990" i="178"/>
  <c r="BC990" i="178"/>
  <c r="BG990" i="178"/>
  <c r="BL990" i="178"/>
  <c r="BL988" i="178"/>
  <c r="AS988" i="178"/>
  <c r="AW988" i="178"/>
  <c r="BA988" i="178"/>
  <c r="BE988" i="178"/>
  <c r="BI988" i="178"/>
  <c r="BN988" i="178"/>
  <c r="AU988" i="178"/>
  <c r="AY988" i="178"/>
  <c r="BC988" i="178"/>
  <c r="BG988" i="178"/>
  <c r="AU989" i="178"/>
  <c r="AY989" i="178"/>
  <c r="BC989" i="178"/>
  <c r="BG989" i="178"/>
  <c r="BL989" i="178"/>
  <c r="AS989" i="178"/>
  <c r="AW989" i="178"/>
  <c r="BA989" i="178"/>
  <c r="BE989" i="178"/>
  <c r="BI989" i="178"/>
  <c r="BN989" i="178"/>
  <c r="BN987" i="178"/>
  <c r="AU987" i="178"/>
  <c r="AY987" i="178"/>
  <c r="BC987" i="178"/>
  <c r="BG987" i="178"/>
  <c r="BL987" i="178"/>
  <c r="AS987" i="178"/>
  <c r="BI987" i="178"/>
  <c r="AW987" i="178"/>
  <c r="BA987" i="178"/>
  <c r="BE987" i="178"/>
  <c r="AS986" i="178"/>
  <c r="AW986" i="178"/>
  <c r="BA986" i="178"/>
  <c r="BE986" i="178"/>
  <c r="BI986" i="178"/>
  <c r="BN986" i="178"/>
  <c r="AU986" i="178"/>
  <c r="AY986" i="178"/>
  <c r="BC986" i="178"/>
  <c r="BG986" i="178"/>
  <c r="BL986" i="178"/>
  <c r="BL985" i="178"/>
  <c r="AS985" i="178"/>
  <c r="AW985" i="178"/>
  <c r="BA985" i="178"/>
  <c r="BE985" i="178"/>
  <c r="BI985" i="178"/>
  <c r="BN985" i="178"/>
  <c r="BG985" i="178"/>
  <c r="AU985" i="178"/>
  <c r="AY985" i="178"/>
  <c r="BC985" i="178"/>
  <c r="AU984" i="178"/>
  <c r="AY984" i="178"/>
  <c r="BC984" i="178"/>
  <c r="BG984" i="178"/>
  <c r="BL984" i="178"/>
  <c r="AS984" i="178"/>
  <c r="AW984" i="178"/>
  <c r="BA984" i="178"/>
  <c r="BE984" i="178"/>
  <c r="BI984" i="178"/>
  <c r="BN984" i="178"/>
  <c r="BL970" i="178"/>
  <c r="AS970" i="178"/>
  <c r="AW970" i="178"/>
  <c r="BA970" i="178"/>
  <c r="BE970" i="178"/>
  <c r="BI970" i="178"/>
  <c r="BN970" i="178"/>
  <c r="AU970" i="178"/>
  <c r="AY970" i="178"/>
  <c r="BC970" i="178"/>
  <c r="BG970" i="178"/>
  <c r="AU969" i="178"/>
  <c r="AY969" i="178"/>
  <c r="BC969" i="178"/>
  <c r="BG969" i="178"/>
  <c r="BL969" i="178"/>
  <c r="AS969" i="178"/>
  <c r="AW969" i="178"/>
  <c r="BA969" i="178"/>
  <c r="BE969" i="178"/>
  <c r="BI969" i="178"/>
  <c r="BN969" i="178"/>
  <c r="BN971" i="178"/>
  <c r="AU971" i="178"/>
  <c r="AY971" i="178"/>
  <c r="BC971" i="178"/>
  <c r="BG971" i="178"/>
  <c r="BL971" i="178"/>
  <c r="AS971" i="178"/>
  <c r="BI971" i="178"/>
  <c r="AW971" i="178"/>
  <c r="BA971" i="178"/>
  <c r="BE971" i="178"/>
  <c r="AS540" i="178"/>
  <c r="AW540" i="178"/>
  <c r="BA540" i="178"/>
  <c r="BE540" i="178"/>
  <c r="BI540" i="178"/>
  <c r="AU540" i="178"/>
  <c r="AY540" i="178"/>
  <c r="BC540" i="178"/>
  <c r="BG540" i="178"/>
  <c r="BL540" i="178"/>
  <c r="BN540" i="178"/>
  <c r="BN538" i="178"/>
  <c r="BL538" i="178"/>
  <c r="AY538" i="178"/>
  <c r="BG538" i="178"/>
  <c r="AS538" i="178"/>
  <c r="BA538" i="178"/>
  <c r="BI538" i="178"/>
  <c r="AU538" i="178"/>
  <c r="BC538" i="178"/>
  <c r="BE538" i="178"/>
  <c r="AW538" i="178"/>
  <c r="AS536" i="178"/>
  <c r="AW536" i="178"/>
  <c r="BA536" i="178"/>
  <c r="BE536" i="178"/>
  <c r="BI536" i="178"/>
  <c r="AU536" i="178"/>
  <c r="AY536" i="178"/>
  <c r="BC536" i="178"/>
  <c r="BG536" i="178"/>
  <c r="BN536" i="178"/>
  <c r="BL536" i="178"/>
  <c r="BL528" i="178"/>
  <c r="BN528" i="178"/>
  <c r="AW528" i="178"/>
  <c r="BE528" i="178"/>
  <c r="AY528" i="178"/>
  <c r="BG528" i="178"/>
  <c r="AS528" i="178"/>
  <c r="BA528" i="178"/>
  <c r="BI528" i="178"/>
  <c r="AU528" i="178"/>
  <c r="BC528" i="178"/>
  <c r="AU527" i="178"/>
  <c r="AY527" i="178"/>
  <c r="BC527" i="178"/>
  <c r="BG527" i="178"/>
  <c r="AS527" i="178"/>
  <c r="AW527" i="178"/>
  <c r="BA527" i="178"/>
  <c r="BE527" i="178"/>
  <c r="BI527" i="178"/>
  <c r="BL527" i="178"/>
  <c r="BN527" i="178"/>
  <c r="BN526" i="178"/>
  <c r="BL526" i="178"/>
  <c r="AU526" i="178"/>
  <c r="BC526" i="178"/>
  <c r="AW526" i="178"/>
  <c r="BE526" i="178"/>
  <c r="AY526" i="178"/>
  <c r="BG526" i="178"/>
  <c r="BA526" i="178"/>
  <c r="BI526" i="178"/>
  <c r="AS526" i="178"/>
  <c r="BN520" i="178"/>
  <c r="BL520" i="178"/>
  <c r="AY520" i="178"/>
  <c r="BG520" i="178"/>
  <c r="AS520" i="178"/>
  <c r="BA520" i="178"/>
  <c r="BI520" i="178"/>
  <c r="AU520" i="178"/>
  <c r="BC520" i="178"/>
  <c r="AW520" i="178"/>
  <c r="BE520" i="178"/>
  <c r="BL519" i="178"/>
  <c r="AS519" i="178"/>
  <c r="AW519" i="178"/>
  <c r="BA519" i="178"/>
  <c r="BE519" i="178"/>
  <c r="BI519" i="178"/>
  <c r="BN519" i="178"/>
  <c r="BC519" i="178"/>
  <c r="BG519" i="178"/>
  <c r="AU519" i="178"/>
  <c r="AY519" i="178"/>
  <c r="AU514" i="178"/>
  <c r="AY514" i="178"/>
  <c r="BC514" i="178"/>
  <c r="BG514" i="178"/>
  <c r="BL514" i="178"/>
  <c r="AS514" i="178"/>
  <c r="AW514" i="178"/>
  <c r="BA514" i="178"/>
  <c r="BE514" i="178"/>
  <c r="BI514" i="178"/>
  <c r="BN514" i="178"/>
  <c r="AS501" i="178"/>
  <c r="AW501" i="178"/>
  <c r="BA501" i="178"/>
  <c r="BE501" i="178"/>
  <c r="BI501" i="178"/>
  <c r="BN501" i="178"/>
  <c r="AU501" i="178"/>
  <c r="AY501" i="178"/>
  <c r="BC501" i="178"/>
  <c r="BG501" i="178"/>
  <c r="BL501" i="178"/>
  <c r="BL500" i="178"/>
  <c r="AS500" i="178"/>
  <c r="AW500" i="178"/>
  <c r="BA500" i="178"/>
  <c r="BE500" i="178"/>
  <c r="BI500" i="178"/>
  <c r="BN500" i="178"/>
  <c r="AU500" i="178"/>
  <c r="AY500" i="178"/>
  <c r="BC500" i="178"/>
  <c r="BG500" i="178"/>
  <c r="AU467" i="178"/>
  <c r="AY467" i="178"/>
  <c r="BC467" i="178"/>
  <c r="BG467" i="178"/>
  <c r="BL467" i="178"/>
  <c r="AS467" i="178"/>
  <c r="AW467" i="178"/>
  <c r="BA467" i="178"/>
  <c r="BE467" i="178"/>
  <c r="BI467" i="178"/>
  <c r="BN467" i="178"/>
  <c r="BN466" i="178"/>
  <c r="AU466" i="178"/>
  <c r="AY466" i="178"/>
  <c r="BC466" i="178"/>
  <c r="BG466" i="178"/>
  <c r="BL466" i="178"/>
  <c r="BA466" i="178"/>
  <c r="BE466" i="178"/>
  <c r="AS466" i="178"/>
  <c r="BI466" i="178"/>
  <c r="AW466" i="178"/>
  <c r="AS465" i="178"/>
  <c r="AW465" i="178"/>
  <c r="BA465" i="178"/>
  <c r="BE465" i="178"/>
  <c r="BI465" i="178"/>
  <c r="BN465" i="178"/>
  <c r="AU465" i="178"/>
  <c r="AY465" i="178"/>
  <c r="BC465" i="178"/>
  <c r="BG465" i="178"/>
  <c r="BL465" i="178"/>
  <c r="BN459" i="178"/>
  <c r="AU459" i="178"/>
  <c r="AY459" i="178"/>
  <c r="BC459" i="178"/>
  <c r="BG459" i="178"/>
  <c r="BL459" i="178"/>
  <c r="AW459" i="178"/>
  <c r="BA459" i="178"/>
  <c r="BE459" i="178"/>
  <c r="AS459" i="178"/>
  <c r="BI459" i="178"/>
  <c r="BL458" i="178"/>
  <c r="AS458" i="178"/>
  <c r="AW458" i="178"/>
  <c r="BA458" i="178"/>
  <c r="BE458" i="178"/>
  <c r="BI458" i="178"/>
  <c r="BN458" i="178"/>
  <c r="AU458" i="178"/>
  <c r="AY458" i="178"/>
  <c r="BC458" i="178"/>
  <c r="BG458" i="178"/>
  <c r="AU456" i="178"/>
  <c r="AY456" i="178"/>
  <c r="BC456" i="178"/>
  <c r="BG456" i="178"/>
  <c r="BL456" i="178"/>
  <c r="AS456" i="178"/>
  <c r="AW456" i="178"/>
  <c r="BA456" i="178"/>
  <c r="BE456" i="178"/>
  <c r="BI456" i="178"/>
  <c r="BN456" i="178"/>
  <c r="BN455" i="178"/>
  <c r="AU455" i="178"/>
  <c r="AY455" i="178"/>
  <c r="BC455" i="178"/>
  <c r="BG455" i="178"/>
  <c r="BL455" i="178"/>
  <c r="AS455" i="178"/>
  <c r="BI455" i="178"/>
  <c r="AW455" i="178"/>
  <c r="BA455" i="178"/>
  <c r="BE455" i="178"/>
  <c r="AS453" i="178"/>
  <c r="AW453" i="178"/>
  <c r="BA453" i="178"/>
  <c r="BE453" i="178"/>
  <c r="BI453" i="178"/>
  <c r="BN453" i="178"/>
  <c r="AU453" i="178"/>
  <c r="AY453" i="178"/>
  <c r="BC453" i="178"/>
  <c r="BG453" i="178"/>
  <c r="BL453" i="178"/>
  <c r="BL451" i="178"/>
  <c r="AS451" i="178"/>
  <c r="AW451" i="178"/>
  <c r="BA451" i="178"/>
  <c r="BE451" i="178"/>
  <c r="BI451" i="178"/>
  <c r="BN451" i="178"/>
  <c r="BG451" i="178"/>
  <c r="AU451" i="178"/>
  <c r="AY451" i="178"/>
  <c r="BC451" i="178"/>
  <c r="AU452" i="178"/>
  <c r="AY452" i="178"/>
  <c r="BC452" i="178"/>
  <c r="BG452" i="178"/>
  <c r="BL452" i="178"/>
  <c r="AS452" i="178"/>
  <c r="AW452" i="178"/>
  <c r="BA452" i="178"/>
  <c r="BE452" i="178"/>
  <c r="BI452" i="178"/>
  <c r="BN452" i="178"/>
  <c r="BN449" i="178"/>
  <c r="AU449" i="178"/>
  <c r="AY449" i="178"/>
  <c r="BC449" i="178"/>
  <c r="BG449" i="178"/>
  <c r="BL449" i="178"/>
  <c r="BE449" i="178"/>
  <c r="AS449" i="178"/>
  <c r="BI449" i="178"/>
  <c r="AW449" i="178"/>
  <c r="BA449" i="178"/>
  <c r="AS448" i="178"/>
  <c r="AW448" i="178"/>
  <c r="BA448" i="178"/>
  <c r="BE448" i="178"/>
  <c r="BI448" i="178"/>
  <c r="BN448" i="178"/>
  <c r="AU448" i="178"/>
  <c r="AY448" i="178"/>
  <c r="BC448" i="178"/>
  <c r="BG448" i="178"/>
  <c r="BL448" i="178"/>
  <c r="BL446" i="178"/>
  <c r="AS446" i="178"/>
  <c r="AW446" i="178"/>
  <c r="BA446" i="178"/>
  <c r="BE446" i="178"/>
  <c r="BI446" i="178"/>
  <c r="BN446" i="178"/>
  <c r="BC446" i="178"/>
  <c r="BG446" i="178"/>
  <c r="AU446" i="178"/>
  <c r="AY446" i="178"/>
  <c r="AU445" i="178"/>
  <c r="AY445" i="178"/>
  <c r="BC445" i="178"/>
  <c r="BG445" i="178"/>
  <c r="BL445" i="178"/>
  <c r="AS445" i="178"/>
  <c r="AW445" i="178"/>
  <c r="BA445" i="178"/>
  <c r="BE445" i="178"/>
  <c r="BI445" i="178"/>
  <c r="BN445" i="178"/>
  <c r="BN443" i="178"/>
  <c r="AU443" i="178"/>
  <c r="AY443" i="178"/>
  <c r="BC443" i="178"/>
  <c r="BG443" i="178"/>
  <c r="BL443" i="178"/>
  <c r="BA443" i="178"/>
  <c r="BE443" i="178"/>
  <c r="AS443" i="178"/>
  <c r="BI443" i="178"/>
  <c r="AW443" i="178"/>
  <c r="AS442" i="178"/>
  <c r="AW442" i="178"/>
  <c r="BA442" i="178"/>
  <c r="BE442" i="178"/>
  <c r="BI442" i="178"/>
  <c r="BN442" i="178"/>
  <c r="AU442" i="178"/>
  <c r="AY442" i="178"/>
  <c r="BC442" i="178"/>
  <c r="BG442" i="178"/>
  <c r="BL442" i="178"/>
  <c r="BL438" i="178"/>
  <c r="AS438" i="178"/>
  <c r="AW438" i="178"/>
  <c r="BA438" i="178"/>
  <c r="BE438" i="178"/>
  <c r="BI438" i="178"/>
  <c r="BN438" i="178"/>
  <c r="AY438" i="178"/>
  <c r="BC438" i="178"/>
  <c r="BG438" i="178"/>
  <c r="AU438" i="178"/>
  <c r="AU437" i="178"/>
  <c r="AY437" i="178"/>
  <c r="BC437" i="178"/>
  <c r="BG437" i="178"/>
  <c r="BL437" i="178"/>
  <c r="AS437" i="178"/>
  <c r="AW437" i="178"/>
  <c r="BA437" i="178"/>
  <c r="BE437" i="178"/>
  <c r="BI437" i="178"/>
  <c r="BN437" i="178"/>
  <c r="BN436" i="178"/>
  <c r="AU436" i="178"/>
  <c r="AY436" i="178"/>
  <c r="BC436" i="178"/>
  <c r="BG436" i="178"/>
  <c r="BL436" i="178"/>
  <c r="AW436" i="178"/>
  <c r="BA436" i="178"/>
  <c r="BE436" i="178"/>
  <c r="AS436" i="178"/>
  <c r="BI436" i="178"/>
  <c r="AS337" i="178"/>
  <c r="AW337" i="178"/>
  <c r="BA337" i="178"/>
  <c r="BE337" i="178"/>
  <c r="BI337" i="178"/>
  <c r="BN337" i="178"/>
  <c r="AU337" i="178"/>
  <c r="AY337" i="178"/>
  <c r="BC337" i="178"/>
  <c r="BG337" i="178"/>
  <c r="BL337" i="178"/>
  <c r="BL336" i="178"/>
  <c r="AS336" i="178"/>
  <c r="AW336" i="178"/>
  <c r="BA336" i="178"/>
  <c r="BE336" i="178"/>
  <c r="BI336" i="178"/>
  <c r="BN336" i="178"/>
  <c r="AY336" i="178"/>
  <c r="BC336" i="178"/>
  <c r="BG336" i="178"/>
  <c r="AU336" i="178"/>
  <c r="AU338" i="178"/>
  <c r="AY338" i="178"/>
  <c r="BC338" i="178"/>
  <c r="BG338" i="178"/>
  <c r="BL338" i="178"/>
  <c r="AS338" i="178"/>
  <c r="AW338" i="178"/>
  <c r="BA338" i="178"/>
  <c r="BE338" i="178"/>
  <c r="BI338" i="178"/>
  <c r="BN338" i="178"/>
  <c r="BL328" i="178"/>
  <c r="AS328" i="178"/>
  <c r="AW328" i="178"/>
  <c r="BA328" i="178"/>
  <c r="BE328" i="178"/>
  <c r="BI328" i="178"/>
  <c r="BN328" i="178"/>
  <c r="BG328" i="178"/>
  <c r="AU328" i="178"/>
  <c r="AY328" i="178"/>
  <c r="BC328" i="178"/>
  <c r="AU327" i="178"/>
  <c r="AY327" i="178"/>
  <c r="BC327" i="178"/>
  <c r="BG327" i="178"/>
  <c r="BL327" i="178"/>
  <c r="AS327" i="178"/>
  <c r="AW327" i="178"/>
  <c r="BA327" i="178"/>
  <c r="BE327" i="178"/>
  <c r="BI327" i="178"/>
  <c r="BN327" i="178"/>
  <c r="BN329" i="178"/>
  <c r="AU329" i="178"/>
  <c r="AY329" i="178"/>
  <c r="BC329" i="178"/>
  <c r="BG329" i="178"/>
  <c r="BL329" i="178"/>
  <c r="BE329" i="178"/>
  <c r="AS329" i="178"/>
  <c r="BI329" i="178"/>
  <c r="AW329" i="178"/>
  <c r="BA329" i="178"/>
  <c r="AS325" i="178"/>
  <c r="AW325" i="178"/>
  <c r="BA325" i="178"/>
  <c r="BE325" i="178"/>
  <c r="BI325" i="178"/>
  <c r="BN325" i="178"/>
  <c r="AU325" i="178"/>
  <c r="AY325" i="178"/>
  <c r="BC325" i="178"/>
  <c r="BG325" i="178"/>
  <c r="BL325" i="178"/>
  <c r="BL324" i="178"/>
  <c r="AS324" i="178"/>
  <c r="AW324" i="178"/>
  <c r="BA324" i="178"/>
  <c r="BE324" i="178"/>
  <c r="BI324" i="178"/>
  <c r="BN324" i="178"/>
  <c r="BC324" i="178"/>
  <c r="BG324" i="178"/>
  <c r="AU324" i="178"/>
  <c r="AY324" i="178"/>
  <c r="AU326" i="178"/>
  <c r="AY326" i="178"/>
  <c r="BC326" i="178"/>
  <c r="BG326" i="178"/>
  <c r="BL326" i="178"/>
  <c r="AS326" i="178"/>
  <c r="AW326" i="178"/>
  <c r="BA326" i="178"/>
  <c r="BE326" i="178"/>
  <c r="BI326" i="178"/>
  <c r="BN326" i="178"/>
  <c r="BN322" i="178"/>
  <c r="AU322" i="178"/>
  <c r="AY322" i="178"/>
  <c r="BC322" i="178"/>
  <c r="BG322" i="178"/>
  <c r="BL322" i="178"/>
  <c r="BA322" i="178"/>
  <c r="BE322" i="178"/>
  <c r="AS322" i="178"/>
  <c r="BI322" i="178"/>
  <c r="AW322" i="178"/>
  <c r="AS321" i="178"/>
  <c r="AW321" i="178"/>
  <c r="BA321" i="178"/>
  <c r="BE321" i="178"/>
  <c r="BI321" i="178"/>
  <c r="BN321" i="178"/>
  <c r="AU321" i="178"/>
  <c r="AY321" i="178"/>
  <c r="BC321" i="178"/>
  <c r="BG321" i="178"/>
  <c r="BL321" i="178"/>
  <c r="BL323" i="178"/>
  <c r="AS323" i="178"/>
  <c r="AW323" i="178"/>
  <c r="BA323" i="178"/>
  <c r="BE323" i="178"/>
  <c r="BI323" i="178"/>
  <c r="BN323" i="178"/>
  <c r="AY323" i="178"/>
  <c r="BC323" i="178"/>
  <c r="BG323" i="178"/>
  <c r="AU323" i="178"/>
  <c r="AU320" i="178"/>
  <c r="AY320" i="178"/>
  <c r="BC320" i="178"/>
  <c r="BG320" i="178"/>
  <c r="BL320" i="178"/>
  <c r="AS320" i="178"/>
  <c r="AW320" i="178"/>
  <c r="BA320" i="178"/>
  <c r="BE320" i="178"/>
  <c r="BI320" i="178"/>
  <c r="BN320" i="178"/>
  <c r="BN319" i="178"/>
  <c r="AU319" i="178"/>
  <c r="AY319" i="178"/>
  <c r="BC319" i="178"/>
  <c r="BG319" i="178"/>
  <c r="BL319" i="178"/>
  <c r="AW319" i="178"/>
  <c r="BA319" i="178"/>
  <c r="BE319" i="178"/>
  <c r="BI319" i="178"/>
  <c r="AS319" i="178"/>
  <c r="AS317" i="178"/>
  <c r="AW317" i="178"/>
  <c r="BA317" i="178"/>
  <c r="BE317" i="178"/>
  <c r="BI317" i="178"/>
  <c r="BN317" i="178"/>
  <c r="AU317" i="178"/>
  <c r="AY317" i="178"/>
  <c r="BC317" i="178"/>
  <c r="BG317" i="178"/>
  <c r="BL317" i="178"/>
  <c r="BL316" i="178"/>
  <c r="AS316" i="178"/>
  <c r="AW316" i="178"/>
  <c r="BA316" i="178"/>
  <c r="BE316" i="178"/>
  <c r="BI316" i="178"/>
  <c r="BN316" i="178"/>
  <c r="AU316" i="178"/>
  <c r="AY316" i="178"/>
  <c r="BC316" i="178"/>
  <c r="BG316" i="178"/>
  <c r="AU318" i="178"/>
  <c r="AY318" i="178"/>
  <c r="BC318" i="178"/>
  <c r="BG318" i="178"/>
  <c r="BL318" i="178"/>
  <c r="AS318" i="178"/>
  <c r="AW318" i="178"/>
  <c r="BA318" i="178"/>
  <c r="BE318" i="178"/>
  <c r="BI318" i="178"/>
  <c r="BN318" i="178"/>
  <c r="BL305" i="178"/>
  <c r="AS305" i="178"/>
  <c r="AW305" i="178"/>
  <c r="BA305" i="178"/>
  <c r="BE305" i="178"/>
  <c r="BI305" i="178"/>
  <c r="BN305" i="178"/>
  <c r="BC305" i="178"/>
  <c r="BG305" i="178"/>
  <c r="AU305" i="178"/>
  <c r="AY305" i="178"/>
  <c r="AU304" i="178"/>
  <c r="AY304" i="178"/>
  <c r="BC304" i="178"/>
  <c r="BG304" i="178"/>
  <c r="BL304" i="178"/>
  <c r="AW304" i="178"/>
  <c r="BA304" i="178"/>
  <c r="BE304" i="178"/>
  <c r="BI304" i="178"/>
  <c r="AS304" i="178"/>
  <c r="BN304" i="178"/>
  <c r="BN306" i="178"/>
  <c r="AW306" i="178"/>
  <c r="BE306" i="178"/>
  <c r="BL306" i="178"/>
  <c r="AY306" i="178"/>
  <c r="BG306" i="178"/>
  <c r="AS306" i="178"/>
  <c r="BA306" i="178"/>
  <c r="BI306" i="178"/>
  <c r="AU306" i="178"/>
  <c r="BC306" i="178"/>
  <c r="AS303" i="178"/>
  <c r="AW303" i="178"/>
  <c r="BA303" i="178"/>
  <c r="BE303" i="178"/>
  <c r="BI303" i="178"/>
  <c r="AU303" i="178"/>
  <c r="AY303" i="178"/>
  <c r="BC303" i="178"/>
  <c r="BG303" i="178"/>
  <c r="BL303" i="178"/>
  <c r="BN303" i="178"/>
  <c r="BL299" i="178"/>
  <c r="BN299" i="178"/>
  <c r="AU299" i="178"/>
  <c r="BC299" i="178"/>
  <c r="AW299" i="178"/>
  <c r="BE299" i="178"/>
  <c r="AY299" i="178"/>
  <c r="BG299" i="178"/>
  <c r="BA299" i="178"/>
  <c r="BI299" i="178"/>
  <c r="AS299" i="178"/>
  <c r="AU297" i="178"/>
  <c r="AY297" i="178"/>
  <c r="BC297" i="178"/>
  <c r="BG297" i="178"/>
  <c r="AS297" i="178"/>
  <c r="AW297" i="178"/>
  <c r="BA297" i="178"/>
  <c r="BE297" i="178"/>
  <c r="BI297" i="178"/>
  <c r="BL297" i="178"/>
  <c r="BN297" i="178"/>
  <c r="BN301" i="178"/>
  <c r="BL301" i="178"/>
  <c r="AS301" i="178"/>
  <c r="BA301" i="178"/>
  <c r="BI301" i="178"/>
  <c r="AU301" i="178"/>
  <c r="BC301" i="178"/>
  <c r="AW301" i="178"/>
  <c r="BE301" i="178"/>
  <c r="AY301" i="178"/>
  <c r="BG301" i="178"/>
  <c r="AS300" i="178"/>
  <c r="AW300" i="178"/>
  <c r="BA300" i="178"/>
  <c r="BE300" i="178"/>
  <c r="BI300" i="178"/>
  <c r="AU300" i="178"/>
  <c r="AY300" i="178"/>
  <c r="BC300" i="178"/>
  <c r="BG300" i="178"/>
  <c r="BL300" i="178"/>
  <c r="BN300" i="178"/>
  <c r="BL298" i="178"/>
  <c r="BN298" i="178"/>
  <c r="AY298" i="178"/>
  <c r="BG298" i="178"/>
  <c r="AS298" i="178"/>
  <c r="BA298" i="178"/>
  <c r="BI298" i="178"/>
  <c r="AU298" i="178"/>
  <c r="BC298" i="178"/>
  <c r="AW298" i="178"/>
  <c r="BE298" i="178"/>
  <c r="AS288" i="178"/>
  <c r="AW288" i="178"/>
  <c r="BA288" i="178"/>
  <c r="BE288" i="178"/>
  <c r="BI288" i="178"/>
  <c r="AU288" i="178"/>
  <c r="AY288" i="178"/>
  <c r="BC288" i="178"/>
  <c r="BG288" i="178"/>
  <c r="BL288" i="178"/>
  <c r="BN288" i="178"/>
  <c r="BL287" i="178"/>
  <c r="BN287" i="178"/>
  <c r="AU287" i="178"/>
  <c r="BC287" i="178"/>
  <c r="AW287" i="178"/>
  <c r="BE287" i="178"/>
  <c r="AY287" i="178"/>
  <c r="BG287" i="178"/>
  <c r="AS287" i="178"/>
  <c r="BA287" i="178"/>
  <c r="BI287" i="178"/>
  <c r="AU285" i="178"/>
  <c r="AY285" i="178"/>
  <c r="BC285" i="178"/>
  <c r="BG285" i="178"/>
  <c r="AS285" i="178"/>
  <c r="AW285" i="178"/>
  <c r="BA285" i="178"/>
  <c r="BE285" i="178"/>
  <c r="BI285" i="178"/>
  <c r="BL285" i="178"/>
  <c r="BN285" i="178"/>
  <c r="BN284" i="178"/>
  <c r="BL284" i="178"/>
  <c r="AS284" i="178"/>
  <c r="BA284" i="178"/>
  <c r="BI284" i="178"/>
  <c r="AU284" i="178"/>
  <c r="BC284" i="178"/>
  <c r="AW284" i="178"/>
  <c r="BE284" i="178"/>
  <c r="BG284" i="178"/>
  <c r="AY284" i="178"/>
  <c r="AS281" i="178"/>
  <c r="AW281" i="178"/>
  <c r="BA281" i="178"/>
  <c r="BE281" i="178"/>
  <c r="BI281" i="178"/>
  <c r="AU281" i="178"/>
  <c r="AY281" i="178"/>
  <c r="BC281" i="178"/>
  <c r="BG281" i="178"/>
  <c r="BL281" i="178"/>
  <c r="BN281" i="178"/>
  <c r="BL283" i="178"/>
  <c r="BN283" i="178"/>
  <c r="AY283" i="178"/>
  <c r="BG283" i="178"/>
  <c r="AS283" i="178"/>
  <c r="BA283" i="178"/>
  <c r="BI283" i="178"/>
  <c r="AU283" i="178"/>
  <c r="BC283" i="178"/>
  <c r="AW283" i="178"/>
  <c r="BE283" i="178"/>
  <c r="AU286" i="178"/>
  <c r="AY286" i="178"/>
  <c r="BC286" i="178"/>
  <c r="BG286" i="178"/>
  <c r="AS286" i="178"/>
  <c r="AW286" i="178"/>
  <c r="BA286" i="178"/>
  <c r="BE286" i="178"/>
  <c r="BI286" i="178"/>
  <c r="BN286" i="178"/>
  <c r="BL286" i="178"/>
  <c r="BN275" i="178"/>
  <c r="BL275" i="178"/>
  <c r="AW275" i="178"/>
  <c r="BE275" i="178"/>
  <c r="AY275" i="178"/>
  <c r="BG275" i="178"/>
  <c r="AS275" i="178"/>
  <c r="BA275" i="178"/>
  <c r="BI275" i="178"/>
  <c r="BC275" i="178"/>
  <c r="AU275" i="178"/>
  <c r="AS274" i="178"/>
  <c r="AW274" i="178"/>
  <c r="BA274" i="178"/>
  <c r="BE274" i="178"/>
  <c r="BI274" i="178"/>
  <c r="AU274" i="178"/>
  <c r="AY274" i="178"/>
  <c r="BC274" i="178"/>
  <c r="BG274" i="178"/>
  <c r="BL274" i="178"/>
  <c r="BN274" i="178"/>
  <c r="BL273" i="178"/>
  <c r="BN273" i="178"/>
  <c r="AU273" i="178"/>
  <c r="BC273" i="178"/>
  <c r="AW273" i="178"/>
  <c r="BE273" i="178"/>
  <c r="AY273" i="178"/>
  <c r="BG273" i="178"/>
  <c r="AS273" i="178"/>
  <c r="BA273" i="178"/>
  <c r="BI273" i="178"/>
  <c r="AU277" i="178"/>
  <c r="AY277" i="178"/>
  <c r="BC277" i="178"/>
  <c r="BG277" i="178"/>
  <c r="AS277" i="178"/>
  <c r="AW277" i="178"/>
  <c r="BA277" i="178"/>
  <c r="BE277" i="178"/>
  <c r="BI277" i="178"/>
  <c r="BL277" i="178"/>
  <c r="BN277" i="178"/>
  <c r="BN276" i="178"/>
  <c r="BL276" i="178"/>
  <c r="AS276" i="178"/>
  <c r="BA276" i="178"/>
  <c r="BI276" i="178"/>
  <c r="AU276" i="178"/>
  <c r="BC276" i="178"/>
  <c r="AW276" i="178"/>
  <c r="BE276" i="178"/>
  <c r="AY276" i="178"/>
  <c r="BG276" i="178"/>
  <c r="AS272" i="178"/>
  <c r="AW272" i="178"/>
  <c r="BA272" i="178"/>
  <c r="BE272" i="178"/>
  <c r="BI272" i="178"/>
  <c r="AU272" i="178"/>
  <c r="AY272" i="178"/>
  <c r="BC272" i="178"/>
  <c r="BG272" i="178"/>
  <c r="BL272" i="178"/>
  <c r="BN272" i="178"/>
  <c r="BL270" i="178"/>
  <c r="BN270" i="178"/>
  <c r="AY270" i="178"/>
  <c r="BG270" i="178"/>
  <c r="AS270" i="178"/>
  <c r="BA270" i="178"/>
  <c r="BI270" i="178"/>
  <c r="AU270" i="178"/>
  <c r="BC270" i="178"/>
  <c r="AW270" i="178"/>
  <c r="BE270" i="178"/>
  <c r="AU269" i="178"/>
  <c r="AY269" i="178"/>
  <c r="BC269" i="178"/>
  <c r="BG269" i="178"/>
  <c r="AS269" i="178"/>
  <c r="AW269" i="178"/>
  <c r="BA269" i="178"/>
  <c r="BE269" i="178"/>
  <c r="BI269" i="178"/>
  <c r="BN269" i="178"/>
  <c r="BL269" i="178"/>
  <c r="BN271" i="178"/>
  <c r="BL271" i="178"/>
  <c r="AW271" i="178"/>
  <c r="BE271" i="178"/>
  <c r="AY271" i="178"/>
  <c r="BG271" i="178"/>
  <c r="AS271" i="178"/>
  <c r="BA271" i="178"/>
  <c r="BI271" i="178"/>
  <c r="AU271" i="178"/>
  <c r="BC271" i="178"/>
  <c r="AS268" i="178"/>
  <c r="AW268" i="178"/>
  <c r="BA268" i="178"/>
  <c r="BE268" i="178"/>
  <c r="BI268" i="178"/>
  <c r="AU268" i="178"/>
  <c r="AY268" i="178"/>
  <c r="BC268" i="178"/>
  <c r="BG268" i="178"/>
  <c r="BL268" i="178"/>
  <c r="BN268" i="178"/>
  <c r="AS259" i="178"/>
  <c r="AW259" i="178"/>
  <c r="BA259" i="178"/>
  <c r="BE259" i="178"/>
  <c r="BI259" i="178"/>
  <c r="BN259" i="178"/>
  <c r="AU259" i="178"/>
  <c r="AY259" i="178"/>
  <c r="BC259" i="178"/>
  <c r="BG259" i="178"/>
  <c r="BL259" i="178"/>
  <c r="BL258" i="178"/>
  <c r="AS258" i="178"/>
  <c r="AW258" i="178"/>
  <c r="BA258" i="178"/>
  <c r="BE258" i="178"/>
  <c r="BI258" i="178"/>
  <c r="BN258" i="178"/>
  <c r="BC258" i="178"/>
  <c r="BG258" i="178"/>
  <c r="AU258" i="178"/>
  <c r="AY258" i="178"/>
  <c r="BL253" i="178"/>
  <c r="AS253" i="178"/>
  <c r="AW253" i="178"/>
  <c r="BA253" i="178"/>
  <c r="BE253" i="178"/>
  <c r="BI253" i="178"/>
  <c r="BN253" i="178"/>
  <c r="AY253" i="178"/>
  <c r="BC253" i="178"/>
  <c r="BG253" i="178"/>
  <c r="AU253" i="178"/>
  <c r="AU252" i="178"/>
  <c r="AY252" i="178"/>
  <c r="BC252" i="178"/>
  <c r="BG252" i="178"/>
  <c r="BL252" i="178"/>
  <c r="AS252" i="178"/>
  <c r="AW252" i="178"/>
  <c r="BA252" i="178"/>
  <c r="BE252" i="178"/>
  <c r="BI252" i="178"/>
  <c r="BN252" i="178"/>
  <c r="BN254" i="178"/>
  <c r="AU254" i="178"/>
  <c r="AY254" i="178"/>
  <c r="BC254" i="178"/>
  <c r="BG254" i="178"/>
  <c r="BL254" i="178"/>
  <c r="AW254" i="178"/>
  <c r="BA254" i="178"/>
  <c r="BE254" i="178"/>
  <c r="BI254" i="178"/>
  <c r="AS254" i="178"/>
  <c r="BN246" i="178"/>
  <c r="AU246" i="178"/>
  <c r="AY246" i="178"/>
  <c r="BC246" i="178"/>
  <c r="BG246" i="178"/>
  <c r="BL246" i="178"/>
  <c r="AS246" i="178"/>
  <c r="BI246" i="178"/>
  <c r="AW246" i="178"/>
  <c r="BA246" i="178"/>
  <c r="BE246" i="178"/>
  <c r="AS245" i="178"/>
  <c r="AW245" i="178"/>
  <c r="BA245" i="178"/>
  <c r="BE245" i="178"/>
  <c r="BI245" i="178"/>
  <c r="BN245" i="178"/>
  <c r="AU245" i="178"/>
  <c r="AY245" i="178"/>
  <c r="BC245" i="178"/>
  <c r="BG245" i="178"/>
  <c r="BL245" i="178"/>
  <c r="BL244" i="178"/>
  <c r="AS244" i="178"/>
  <c r="AW244" i="178"/>
  <c r="BA244" i="178"/>
  <c r="BE244" i="178"/>
  <c r="BI244" i="178"/>
  <c r="BN244" i="178"/>
  <c r="BG244" i="178"/>
  <c r="AU244" i="178"/>
  <c r="AY244" i="178"/>
  <c r="BC244" i="178"/>
  <c r="AU247" i="178"/>
  <c r="AY247" i="178"/>
  <c r="BC247" i="178"/>
  <c r="BG247" i="178"/>
  <c r="BL247" i="178"/>
  <c r="AS247" i="178"/>
  <c r="AW247" i="178"/>
  <c r="BA247" i="178"/>
  <c r="BE247" i="178"/>
  <c r="BI247" i="178"/>
  <c r="BN247" i="178"/>
  <c r="BN240" i="178"/>
  <c r="AU240" i="178"/>
  <c r="AY240" i="178"/>
  <c r="BC240" i="178"/>
  <c r="BG240" i="178"/>
  <c r="BL240" i="178"/>
  <c r="BA240" i="178"/>
  <c r="BE240" i="178"/>
  <c r="AS240" i="178"/>
  <c r="BI240" i="178"/>
  <c r="AW240" i="178"/>
  <c r="AS239" i="178"/>
  <c r="AW239" i="178"/>
  <c r="BA239" i="178"/>
  <c r="BE239" i="178"/>
  <c r="BI239" i="178"/>
  <c r="BN239" i="178"/>
  <c r="AU239" i="178"/>
  <c r="AY239" i="178"/>
  <c r="BC239" i="178"/>
  <c r="BG239" i="178"/>
  <c r="BL239" i="178"/>
  <c r="BL237" i="178"/>
  <c r="AS237" i="178"/>
  <c r="AW237" i="178"/>
  <c r="BA237" i="178"/>
  <c r="BE237" i="178"/>
  <c r="BI237" i="178"/>
  <c r="BN237" i="178"/>
  <c r="AY237" i="178"/>
  <c r="BC237" i="178"/>
  <c r="BG237" i="178"/>
  <c r="AU237" i="178"/>
  <c r="AU236" i="178"/>
  <c r="AY236" i="178"/>
  <c r="BC236" i="178"/>
  <c r="BG236" i="178"/>
  <c r="BL236" i="178"/>
  <c r="AS236" i="178"/>
  <c r="AW236" i="178"/>
  <c r="BA236" i="178"/>
  <c r="BE236" i="178"/>
  <c r="BI236" i="178"/>
  <c r="BN236" i="178"/>
  <c r="BL215" i="178"/>
  <c r="AS215" i="178"/>
  <c r="AW215" i="178"/>
  <c r="BA215" i="178"/>
  <c r="BE215" i="178"/>
  <c r="BI215" i="178"/>
  <c r="BN215" i="178"/>
  <c r="AY215" i="178"/>
  <c r="BC215" i="178"/>
  <c r="BG215" i="178"/>
  <c r="AU215" i="178"/>
  <c r="AU214" i="178"/>
  <c r="AY214" i="178"/>
  <c r="BC214" i="178"/>
  <c r="BG214" i="178"/>
  <c r="BL214" i="178"/>
  <c r="AS214" i="178"/>
  <c r="AW214" i="178"/>
  <c r="BA214" i="178"/>
  <c r="BE214" i="178"/>
  <c r="BI214" i="178"/>
  <c r="BN214" i="178"/>
  <c r="BN210" i="178"/>
  <c r="AU210" i="178"/>
  <c r="AY210" i="178"/>
  <c r="BC210" i="178"/>
  <c r="BG210" i="178"/>
  <c r="BL210" i="178"/>
  <c r="AW210" i="178"/>
  <c r="BA210" i="178"/>
  <c r="BE210" i="178"/>
  <c r="AS210" i="178"/>
  <c r="BI210" i="178"/>
  <c r="AS209" i="178"/>
  <c r="AW209" i="178"/>
  <c r="BA209" i="178"/>
  <c r="BE209" i="178"/>
  <c r="BI209" i="178"/>
  <c r="BN209" i="178"/>
  <c r="AU209" i="178"/>
  <c r="AY209" i="178"/>
  <c r="BC209" i="178"/>
  <c r="BG209" i="178"/>
  <c r="BL209" i="178"/>
  <c r="BL211" i="178"/>
  <c r="AS211" i="178"/>
  <c r="AW211" i="178"/>
  <c r="BA211" i="178"/>
  <c r="BE211" i="178"/>
  <c r="BI211" i="178"/>
  <c r="BN211" i="178"/>
  <c r="AU211" i="178"/>
  <c r="AY211" i="178"/>
  <c r="BC211" i="178"/>
  <c r="BG211" i="178"/>
  <c r="AU150" i="178"/>
  <c r="AY150" i="178"/>
  <c r="BC150" i="178"/>
  <c r="BG150" i="178"/>
  <c r="AS150" i="178"/>
  <c r="AW150" i="178"/>
  <c r="BA150" i="178"/>
  <c r="BE150" i="178"/>
  <c r="BL150" i="178"/>
  <c r="BI150" i="178"/>
  <c r="BN150" i="178"/>
  <c r="BN149" i="178"/>
  <c r="BL149" i="178"/>
  <c r="AY149" i="178"/>
  <c r="BG149" i="178"/>
  <c r="AS149" i="178"/>
  <c r="BA149" i="178"/>
  <c r="BI149" i="178"/>
  <c r="AU149" i="178"/>
  <c r="BC149" i="178"/>
  <c r="AW149" i="178"/>
  <c r="BE149" i="178"/>
  <c r="BL143" i="178"/>
  <c r="BN143" i="178"/>
  <c r="AS143" i="178"/>
  <c r="BA143" i="178"/>
  <c r="BI143" i="178"/>
  <c r="AU143" i="178"/>
  <c r="BC143" i="178"/>
  <c r="AW143" i="178"/>
  <c r="BE143" i="178"/>
  <c r="AY143" i="178"/>
  <c r="BG143" i="178"/>
  <c r="AU142" i="178"/>
  <c r="AY142" i="178"/>
  <c r="BC142" i="178"/>
  <c r="BG142" i="178"/>
  <c r="AS142" i="178"/>
  <c r="AW142" i="178"/>
  <c r="BA142" i="178"/>
  <c r="BE142" i="178"/>
  <c r="BI142" i="178"/>
  <c r="BL142" i="178"/>
  <c r="BN142" i="178"/>
  <c r="AS115" i="178"/>
  <c r="AW115" i="178"/>
  <c r="BA115" i="178"/>
  <c r="BE115" i="178"/>
  <c r="BI115" i="178"/>
  <c r="AU115" i="178"/>
  <c r="AY115" i="178"/>
  <c r="BC115" i="178"/>
  <c r="BG115" i="178"/>
  <c r="BL115" i="178"/>
  <c r="BN115" i="178"/>
  <c r="BL114" i="178"/>
  <c r="BN114" i="178"/>
  <c r="AS114" i="178"/>
  <c r="BA114" i="178"/>
  <c r="BI114" i="178"/>
  <c r="AU114" i="178"/>
  <c r="BC114" i="178"/>
  <c r="AW114" i="178"/>
  <c r="BE114" i="178"/>
  <c r="AY114" i="178"/>
  <c r="BG114" i="178"/>
  <c r="AU113" i="178"/>
  <c r="AY113" i="178"/>
  <c r="BC113" i="178"/>
  <c r="BG113" i="178"/>
  <c r="AS113" i="178"/>
  <c r="AW113" i="178"/>
  <c r="BA113" i="178"/>
  <c r="BE113" i="178"/>
  <c r="BI113" i="178"/>
  <c r="BL113" i="178"/>
  <c r="BN113" i="178"/>
  <c r="BN112" i="178"/>
  <c r="BL112" i="178"/>
  <c r="AY112" i="178"/>
  <c r="BG112" i="178"/>
  <c r="AS112" i="178"/>
  <c r="BA112" i="178"/>
  <c r="BI112" i="178"/>
  <c r="AU112" i="178"/>
  <c r="BC112" i="178"/>
  <c r="AW112" i="178"/>
  <c r="BE112" i="178"/>
  <c r="AS117" i="178"/>
  <c r="AW117" i="178"/>
  <c r="BA117" i="178"/>
  <c r="BE117" i="178"/>
  <c r="BI117" i="178"/>
  <c r="AU117" i="178"/>
  <c r="AY117" i="178"/>
  <c r="BC117" i="178"/>
  <c r="BG117" i="178"/>
  <c r="BN117" i="178"/>
  <c r="BL117" i="178"/>
  <c r="BL116" i="178"/>
  <c r="BN116" i="178"/>
  <c r="AW116" i="178"/>
  <c r="BE116" i="178"/>
  <c r="AY116" i="178"/>
  <c r="BG116" i="178"/>
  <c r="AS116" i="178"/>
  <c r="BA116" i="178"/>
  <c r="BI116" i="178"/>
  <c r="AU116" i="178"/>
  <c r="BC116" i="178"/>
  <c r="AU111" i="178"/>
  <c r="AY111" i="178"/>
  <c r="BC111" i="178"/>
  <c r="BG111" i="178"/>
  <c r="BL111" i="178"/>
  <c r="AS111" i="178"/>
  <c r="AW111" i="178"/>
  <c r="BA111" i="178"/>
  <c r="BE111" i="178"/>
  <c r="BI111" i="178"/>
  <c r="BN111" i="178"/>
  <c r="BN106" i="178"/>
  <c r="AU106" i="178"/>
  <c r="AY106" i="178"/>
  <c r="BC106" i="178"/>
  <c r="BG106" i="178"/>
  <c r="BL106" i="178"/>
  <c r="BA106" i="178"/>
  <c r="BE106" i="178"/>
  <c r="AS106" i="178"/>
  <c r="BI106" i="178"/>
  <c r="AW106" i="178"/>
  <c r="AS109" i="178"/>
  <c r="AW109" i="178"/>
  <c r="BA109" i="178"/>
  <c r="BE109" i="178"/>
  <c r="BI109" i="178"/>
  <c r="BN109" i="178"/>
  <c r="AU109" i="178"/>
  <c r="AY109" i="178"/>
  <c r="BC109" i="178"/>
  <c r="BG109" i="178"/>
  <c r="BL109" i="178"/>
  <c r="BL105" i="178"/>
  <c r="AS105" i="178"/>
  <c r="AW105" i="178"/>
  <c r="BA105" i="178"/>
  <c r="BE105" i="178"/>
  <c r="BI105" i="178"/>
  <c r="BN105" i="178"/>
  <c r="AY105" i="178"/>
  <c r="BC105" i="178"/>
  <c r="BG105" i="178"/>
  <c r="AU105" i="178"/>
  <c r="AU104" i="178"/>
  <c r="AY104" i="178"/>
  <c r="BC104" i="178"/>
  <c r="BG104" i="178"/>
  <c r="BL104" i="178"/>
  <c r="AS104" i="178"/>
  <c r="AW104" i="178"/>
  <c r="BA104" i="178"/>
  <c r="BE104" i="178"/>
  <c r="BI104" i="178"/>
  <c r="BN104" i="178"/>
  <c r="BN103" i="178"/>
  <c r="AU103" i="178"/>
  <c r="AY103" i="178"/>
  <c r="BC103" i="178"/>
  <c r="BG103" i="178"/>
  <c r="BL103" i="178"/>
  <c r="AW103" i="178"/>
  <c r="BA103" i="178"/>
  <c r="BE103" i="178"/>
  <c r="AS103" i="178"/>
  <c r="BI103" i="178"/>
  <c r="AS102" i="178"/>
  <c r="AW102" i="178"/>
  <c r="BA102" i="178"/>
  <c r="BE102" i="178"/>
  <c r="BI102" i="178"/>
  <c r="BN102" i="178"/>
  <c r="AU102" i="178"/>
  <c r="AY102" i="178"/>
  <c r="BC102" i="178"/>
  <c r="BG102" i="178"/>
  <c r="BL102" i="178"/>
  <c r="BL108" i="178"/>
  <c r="AS108" i="178"/>
  <c r="AW108" i="178"/>
  <c r="BA108" i="178"/>
  <c r="BE108" i="178"/>
  <c r="BI108" i="178"/>
  <c r="BN108" i="178"/>
  <c r="AU108" i="178"/>
  <c r="AY108" i="178"/>
  <c r="BC108" i="178"/>
  <c r="BG108" i="178"/>
  <c r="AU107" i="178"/>
  <c r="AY107" i="178"/>
  <c r="BC107" i="178"/>
  <c r="BG107" i="178"/>
  <c r="BL107" i="178"/>
  <c r="AS107" i="178"/>
  <c r="AW107" i="178"/>
  <c r="BA107" i="178"/>
  <c r="BE107" i="178"/>
  <c r="BI107" i="178"/>
  <c r="BN107" i="178"/>
  <c r="BN101" i="178"/>
  <c r="AU101" i="178"/>
  <c r="AY101" i="178"/>
  <c r="BC101" i="178"/>
  <c r="BG101" i="178"/>
  <c r="BL101" i="178"/>
  <c r="AS101" i="178"/>
  <c r="BI101" i="178"/>
  <c r="AW101" i="178"/>
  <c r="BA101" i="178"/>
  <c r="BE101" i="178"/>
  <c r="AS96" i="178"/>
  <c r="AW96" i="178"/>
  <c r="BA96" i="178"/>
  <c r="BE96" i="178"/>
  <c r="BI96" i="178"/>
  <c r="BN96" i="178"/>
  <c r="AU96" i="178"/>
  <c r="AY96" i="178"/>
  <c r="BC96" i="178"/>
  <c r="BG96" i="178"/>
  <c r="BL96" i="178"/>
  <c r="BL95" i="178"/>
  <c r="AS95" i="178"/>
  <c r="AW95" i="178"/>
  <c r="BA95" i="178"/>
  <c r="BE95" i="178"/>
  <c r="BI95" i="178"/>
  <c r="BN95" i="178"/>
  <c r="BG95" i="178"/>
  <c r="AU95" i="178"/>
  <c r="AY95" i="178"/>
  <c r="BC95" i="178"/>
  <c r="AU94" i="178"/>
  <c r="AY94" i="178"/>
  <c r="BC94" i="178"/>
  <c r="BG94" i="178"/>
  <c r="BL94" i="178"/>
  <c r="AS94" i="178"/>
  <c r="AW94" i="178"/>
  <c r="BA94" i="178"/>
  <c r="BE94" i="178"/>
  <c r="BI94" i="178"/>
  <c r="BN94" i="178"/>
  <c r="BN93" i="178"/>
  <c r="AU93" i="178"/>
  <c r="AY93" i="178"/>
  <c r="BC93" i="178"/>
  <c r="BG93" i="178"/>
  <c r="BL93" i="178"/>
  <c r="BE93" i="178"/>
  <c r="AS93" i="178"/>
  <c r="BI93" i="178"/>
  <c r="AW93" i="178"/>
  <c r="BA93" i="178"/>
  <c r="AS98" i="178"/>
  <c r="AW98" i="178"/>
  <c r="BA98" i="178"/>
  <c r="BE98" i="178"/>
  <c r="BI98" i="178"/>
  <c r="BN98" i="178"/>
  <c r="AU98" i="178"/>
  <c r="AY98" i="178"/>
  <c r="BC98" i="178"/>
  <c r="BG98" i="178"/>
  <c r="BL98" i="178"/>
  <c r="BL97" i="178"/>
  <c r="AS97" i="178"/>
  <c r="AW97" i="178"/>
  <c r="BA97" i="178"/>
  <c r="BE97" i="178"/>
  <c r="BI97" i="178"/>
  <c r="BN97" i="178"/>
  <c r="BC97" i="178"/>
  <c r="BG97" i="178"/>
  <c r="AU97" i="178"/>
  <c r="AY97" i="178"/>
  <c r="AU89" i="178"/>
  <c r="AY89" i="178"/>
  <c r="BC89" i="178"/>
  <c r="BG89" i="178"/>
  <c r="BL89" i="178"/>
  <c r="AS89" i="178"/>
  <c r="AW89" i="178"/>
  <c r="BA89" i="178"/>
  <c r="BE89" i="178"/>
  <c r="BI89" i="178"/>
  <c r="BN89" i="178"/>
  <c r="BN88" i="178"/>
  <c r="AU88" i="178"/>
  <c r="AY88" i="178"/>
  <c r="BC88" i="178"/>
  <c r="BG88" i="178"/>
  <c r="BL88" i="178"/>
  <c r="BA88" i="178"/>
  <c r="BE88" i="178"/>
  <c r="AS88" i="178"/>
  <c r="BI88" i="178"/>
  <c r="AW88" i="178"/>
  <c r="AS87" i="178"/>
  <c r="AW87" i="178"/>
  <c r="BA87" i="178"/>
  <c r="BE87" i="178"/>
  <c r="BI87" i="178"/>
  <c r="BN87" i="178"/>
  <c r="AU87" i="178"/>
  <c r="AY87" i="178"/>
  <c r="BC87" i="178"/>
  <c r="BG87" i="178"/>
  <c r="BL87" i="178"/>
  <c r="BL86" i="178"/>
  <c r="AS86" i="178"/>
  <c r="AW86" i="178"/>
  <c r="BA86" i="178"/>
  <c r="BE86" i="178"/>
  <c r="BI86" i="178"/>
  <c r="BN86" i="178"/>
  <c r="AY86" i="178"/>
  <c r="BC86" i="178"/>
  <c r="BG86" i="178"/>
  <c r="AU86" i="178"/>
  <c r="AU91" i="178"/>
  <c r="AY91" i="178"/>
  <c r="BC91" i="178"/>
  <c r="BG91" i="178"/>
  <c r="BL91" i="178"/>
  <c r="AS91" i="178"/>
  <c r="AW91" i="178"/>
  <c r="BA91" i="178"/>
  <c r="BE91" i="178"/>
  <c r="BI91" i="178"/>
  <c r="BN91" i="178"/>
  <c r="BN90" i="178"/>
  <c r="AU90" i="178"/>
  <c r="AY90" i="178"/>
  <c r="BC90" i="178"/>
  <c r="BG90" i="178"/>
  <c r="BL90" i="178"/>
  <c r="AW90" i="178"/>
  <c r="BA90" i="178"/>
  <c r="BE90" i="178"/>
  <c r="AS90" i="178"/>
  <c r="BI90" i="178"/>
  <c r="BN70" i="178"/>
  <c r="AU70" i="178"/>
  <c r="AY70" i="178"/>
  <c r="BC70" i="178"/>
  <c r="BG70" i="178"/>
  <c r="BL70" i="178"/>
  <c r="BE70" i="178"/>
  <c r="AS70" i="178"/>
  <c r="BI70" i="178"/>
  <c r="AW70" i="178"/>
  <c r="BA70" i="178"/>
  <c r="AS71" i="178"/>
  <c r="AW71" i="178"/>
  <c r="BA71" i="178"/>
  <c r="BE71" i="178"/>
  <c r="BI71" i="178"/>
  <c r="BN71" i="178"/>
  <c r="AU71" i="178"/>
  <c r="AY71" i="178"/>
  <c r="BC71" i="178"/>
  <c r="BG71" i="178"/>
  <c r="BL71" i="178"/>
  <c r="AU64" i="178"/>
  <c r="AY64" i="178"/>
  <c r="BC64" i="178"/>
  <c r="BG64" i="178"/>
  <c r="BL64" i="178"/>
  <c r="AS64" i="178"/>
  <c r="AW64" i="178"/>
  <c r="BA64" i="178"/>
  <c r="BE64" i="178"/>
  <c r="BI64" i="178"/>
  <c r="BN64" i="178"/>
  <c r="BN62" i="178"/>
  <c r="AU62" i="178"/>
  <c r="AY62" i="178"/>
  <c r="BC62" i="178"/>
  <c r="BG62" i="178"/>
  <c r="BL62" i="178"/>
  <c r="AW62" i="178"/>
  <c r="BA62" i="178"/>
  <c r="BE62" i="178"/>
  <c r="BI62" i="178"/>
  <c r="AS62" i="178"/>
  <c r="AS61" i="178"/>
  <c r="AW61" i="178"/>
  <c r="BA61" i="178"/>
  <c r="BE61" i="178"/>
  <c r="BI61" i="178"/>
  <c r="BN61" i="178"/>
  <c r="AU61" i="178"/>
  <c r="AY61" i="178"/>
  <c r="BC61" i="178"/>
  <c r="BG61" i="178"/>
  <c r="BL61" i="178"/>
  <c r="BL63" i="178"/>
  <c r="AS63" i="178"/>
  <c r="AW63" i="178"/>
  <c r="BA63" i="178"/>
  <c r="BE63" i="178"/>
  <c r="BI63" i="178"/>
  <c r="BN63" i="178"/>
  <c r="AU63" i="178"/>
  <c r="AY63" i="178"/>
  <c r="BC63" i="178"/>
  <c r="BG63" i="178"/>
  <c r="AU60" i="178"/>
  <c r="AY60" i="178"/>
  <c r="BC60" i="178"/>
  <c r="BG60" i="178"/>
  <c r="BL60" i="178"/>
  <c r="AS60" i="178"/>
  <c r="AW60" i="178"/>
  <c r="BA60" i="178"/>
  <c r="BE60" i="178"/>
  <c r="BI60" i="178"/>
  <c r="BN60" i="178"/>
  <c r="AU52" i="178"/>
  <c r="AY52" i="178"/>
  <c r="BC52" i="178"/>
  <c r="BG52" i="178"/>
  <c r="BL52" i="178"/>
  <c r="AS52" i="178"/>
  <c r="AW52" i="178"/>
  <c r="BA52" i="178"/>
  <c r="BE52" i="178"/>
  <c r="BI52" i="178"/>
  <c r="BN52" i="178"/>
  <c r="BN53" i="178"/>
  <c r="AU53" i="178"/>
  <c r="AY53" i="178"/>
  <c r="BC53" i="178"/>
  <c r="BG53" i="178"/>
  <c r="BL53" i="178"/>
  <c r="BE53" i="178"/>
  <c r="AS53" i="178"/>
  <c r="BI53" i="178"/>
  <c r="AW53" i="178"/>
  <c r="BA53" i="178"/>
  <c r="AS50" i="178"/>
  <c r="AW50" i="178"/>
  <c r="BA50" i="178"/>
  <c r="BE50" i="178"/>
  <c r="BI50" i="178"/>
  <c r="BN50" i="178"/>
  <c r="AU50" i="178"/>
  <c r="AY50" i="178"/>
  <c r="BC50" i="178"/>
  <c r="BG50" i="178"/>
  <c r="BL50" i="178"/>
  <c r="BL51" i="178"/>
  <c r="AS51" i="178"/>
  <c r="AW51" i="178"/>
  <c r="BA51" i="178"/>
  <c r="BE51" i="178"/>
  <c r="BI51" i="178"/>
  <c r="BN51" i="178"/>
  <c r="BC51" i="178"/>
  <c r="BG51" i="178"/>
  <c r="AU51" i="178"/>
  <c r="AY51" i="178"/>
  <c r="BN47" i="178"/>
  <c r="AU47" i="178"/>
  <c r="AY47" i="178"/>
  <c r="BC47" i="178"/>
  <c r="BG47" i="178"/>
  <c r="BL47" i="178"/>
  <c r="BA47" i="178"/>
  <c r="BE47" i="178"/>
  <c r="AS47" i="178"/>
  <c r="BI47" i="178"/>
  <c r="AW47" i="178"/>
  <c r="AS46" i="178"/>
  <c r="AW46" i="178"/>
  <c r="BA46" i="178"/>
  <c r="BE46" i="178"/>
  <c r="BI46" i="178"/>
  <c r="BN46" i="178"/>
  <c r="AU46" i="178"/>
  <c r="AY46" i="178"/>
  <c r="BC46" i="178"/>
  <c r="BG46" i="178"/>
  <c r="BL46" i="178"/>
  <c r="AS43" i="178"/>
  <c r="AW43" i="178"/>
  <c r="BA43" i="178"/>
  <c r="BE43" i="178"/>
  <c r="BI43" i="178"/>
  <c r="BN43" i="178"/>
  <c r="AU43" i="178"/>
  <c r="AY43" i="178"/>
  <c r="BC43" i="178"/>
  <c r="BG43" i="178"/>
  <c r="BL43" i="178"/>
  <c r="AU42" i="178"/>
  <c r="AY42" i="178"/>
  <c r="BC42" i="178"/>
  <c r="BG42" i="178"/>
  <c r="BL42" i="178"/>
  <c r="AS42" i="178"/>
  <c r="AW42" i="178"/>
  <c r="BA42" i="178"/>
  <c r="BE42" i="178"/>
  <c r="BI42" i="178"/>
  <c r="BN42" i="178"/>
  <c r="BN41" i="178"/>
  <c r="AU41" i="178"/>
  <c r="AY41" i="178"/>
  <c r="BC41" i="178"/>
  <c r="BG41" i="178"/>
  <c r="BL41" i="178"/>
  <c r="AS41" i="178"/>
  <c r="BI41" i="178"/>
  <c r="AW41" i="178"/>
  <c r="BA41" i="178"/>
  <c r="BE41" i="178"/>
  <c r="AS40" i="178"/>
  <c r="AW40" i="178"/>
  <c r="BA40" i="178"/>
  <c r="BE40" i="178"/>
  <c r="BI40" i="178"/>
  <c r="BN40" i="178"/>
  <c r="AU40" i="178"/>
  <c r="AY40" i="178"/>
  <c r="BC40" i="178"/>
  <c r="BG40" i="178"/>
  <c r="BL40" i="178"/>
  <c r="BL39" i="178"/>
  <c r="AS39" i="178"/>
  <c r="AW39" i="178"/>
  <c r="BA39" i="178"/>
  <c r="BE39" i="178"/>
  <c r="BI39" i="178"/>
  <c r="BN39" i="178"/>
  <c r="BG39" i="178"/>
  <c r="AU39" i="178"/>
  <c r="AY39" i="178"/>
  <c r="BC39" i="178"/>
  <c r="AU38" i="178"/>
  <c r="AY38" i="178"/>
  <c r="BC38" i="178"/>
  <c r="BG38" i="178"/>
  <c r="BL38" i="178"/>
  <c r="AS38" i="178"/>
  <c r="AW38" i="178"/>
  <c r="BA38" i="178"/>
  <c r="BE38" i="178"/>
  <c r="BI38" i="178"/>
  <c r="BN38" i="178"/>
  <c r="AU34" i="178"/>
  <c r="AY34" i="178"/>
  <c r="BC34" i="178"/>
  <c r="BG34" i="178"/>
  <c r="BL34" i="178"/>
  <c r="AS34" i="178"/>
  <c r="AW34" i="178"/>
  <c r="BA34" i="178"/>
  <c r="BE34" i="178"/>
  <c r="BI34" i="178"/>
  <c r="BN34" i="178"/>
  <c r="BN33" i="178"/>
  <c r="AU33" i="178"/>
  <c r="AY33" i="178"/>
  <c r="BC33" i="178"/>
  <c r="BG33" i="178"/>
  <c r="BL33" i="178"/>
  <c r="BA33" i="178"/>
  <c r="BE33" i="178"/>
  <c r="AS33" i="178"/>
  <c r="BI33" i="178"/>
  <c r="AW33" i="178"/>
  <c r="BN32" i="178"/>
  <c r="AU32" i="178"/>
  <c r="AY32" i="178"/>
  <c r="BC32" i="178"/>
  <c r="BG32" i="178"/>
  <c r="BL32" i="178"/>
  <c r="AW32" i="178"/>
  <c r="BA32" i="178"/>
  <c r="BE32" i="178"/>
  <c r="AS32" i="178"/>
  <c r="BI32" i="178"/>
  <c r="BL31" i="178"/>
  <c r="AS31" i="178"/>
  <c r="AW31" i="178"/>
  <c r="BA31" i="178"/>
  <c r="BE31" i="178"/>
  <c r="BI31" i="178"/>
  <c r="BN31" i="178"/>
  <c r="AU31" i="178"/>
  <c r="AY31" i="178"/>
  <c r="BC31" i="178"/>
  <c r="BG31" i="178"/>
  <c r="AS30" i="178"/>
  <c r="AW30" i="178"/>
  <c r="BA30" i="178"/>
  <c r="BE30" i="178"/>
  <c r="BI30" i="178"/>
  <c r="AU30" i="178"/>
  <c r="AY30" i="178"/>
  <c r="BC30" i="178"/>
  <c r="BG30" i="178"/>
  <c r="BL30" i="178"/>
  <c r="BN30" i="178"/>
  <c r="BL28" i="178"/>
  <c r="BN28" i="178"/>
  <c r="AY28" i="178"/>
  <c r="BG28" i="178"/>
  <c r="AS28" i="178"/>
  <c r="BA28" i="178"/>
  <c r="BI28" i="178"/>
  <c r="AU28" i="178"/>
  <c r="BC28" i="178"/>
  <c r="BE28" i="178"/>
  <c r="AW28" i="178"/>
  <c r="BN25" i="178"/>
  <c r="BL25" i="178"/>
  <c r="AW25" i="178"/>
  <c r="BE25" i="178"/>
  <c r="AY25" i="178"/>
  <c r="BG25" i="178"/>
  <c r="AS25" i="178"/>
  <c r="BA25" i="178"/>
  <c r="BI25" i="178"/>
  <c r="AU25" i="178"/>
  <c r="BC25" i="178"/>
  <c r="AS24" i="178"/>
  <c r="AW24" i="178"/>
  <c r="BA24" i="178"/>
  <c r="BE24" i="178"/>
  <c r="BI24" i="178"/>
  <c r="AU24" i="178"/>
  <c r="AY24" i="178"/>
  <c r="BC24" i="178"/>
  <c r="BG24" i="178"/>
  <c r="BL24" i="178"/>
  <c r="BN24" i="178"/>
  <c r="BL26" i="178"/>
  <c r="BN26" i="178"/>
  <c r="AU26" i="178"/>
  <c r="BC26" i="178"/>
  <c r="AW26" i="178"/>
  <c r="BE26" i="178"/>
  <c r="AY26" i="178"/>
  <c r="BG26" i="178"/>
  <c r="BA26" i="178"/>
  <c r="BI26" i="178"/>
  <c r="AS26" i="178"/>
  <c r="AU23" i="178"/>
  <c r="AY23" i="178"/>
  <c r="BC23" i="178"/>
  <c r="BG23" i="178"/>
  <c r="AS23" i="178"/>
  <c r="AW23" i="178"/>
  <c r="BA23" i="178"/>
  <c r="BE23" i="178"/>
  <c r="BI23" i="178"/>
  <c r="BL23" i="178"/>
  <c r="BN23" i="178"/>
  <c r="BN27" i="178"/>
  <c r="BL27" i="178"/>
  <c r="AS27" i="178"/>
  <c r="BA27" i="178"/>
  <c r="BI27" i="178"/>
  <c r="AU27" i="178"/>
  <c r="BC27" i="178"/>
  <c r="AW27" i="178"/>
  <c r="BE27" i="178"/>
  <c r="AY27" i="178"/>
  <c r="BG27" i="178"/>
  <c r="AS21" i="178"/>
  <c r="AW21" i="178"/>
  <c r="BA21" i="178"/>
  <c r="BE21" i="178"/>
  <c r="BI21" i="178"/>
  <c r="AU21" i="178"/>
  <c r="AY21" i="178"/>
  <c r="BC21" i="178"/>
  <c r="BG21" i="178"/>
  <c r="BL21" i="178"/>
  <c r="BN21" i="178"/>
  <c r="BL20" i="178"/>
  <c r="BN20" i="178"/>
  <c r="AY20" i="178"/>
  <c r="BG20" i="178"/>
  <c r="AS20" i="178"/>
  <c r="BA20" i="178"/>
  <c r="BI20" i="178"/>
  <c r="AU20" i="178"/>
  <c r="BC20" i="178"/>
  <c r="AW20" i="178"/>
  <c r="BE20" i="178"/>
  <c r="AU18" i="178"/>
  <c r="AY18" i="178"/>
  <c r="BC18" i="178"/>
  <c r="BG18" i="178"/>
  <c r="AS18" i="178"/>
  <c r="AW18" i="178"/>
  <c r="BA18" i="178"/>
  <c r="BE18" i="178"/>
  <c r="BI18" i="178"/>
  <c r="BN18" i="178"/>
  <c r="BL18" i="178"/>
  <c r="AS19" i="178"/>
  <c r="AW19" i="178"/>
  <c r="BA19" i="178"/>
  <c r="BE19" i="178"/>
  <c r="BI19" i="178"/>
  <c r="AU19" i="178"/>
  <c r="AY19" i="178"/>
  <c r="BC19" i="178"/>
  <c r="BG19" i="178"/>
  <c r="BL19" i="178"/>
  <c r="BN19" i="178"/>
  <c r="BL22" i="178"/>
  <c r="BN22" i="178"/>
  <c r="AU22" i="178"/>
  <c r="BC22" i="178"/>
  <c r="AW22" i="178"/>
  <c r="BE22" i="178"/>
  <c r="AY22" i="178"/>
  <c r="BG22" i="178"/>
  <c r="AS22" i="178"/>
  <c r="BA22" i="178"/>
  <c r="BI22" i="178"/>
  <c r="AS7" i="178"/>
  <c r="AW7" i="178"/>
  <c r="BA7" i="178"/>
  <c r="BE7" i="178"/>
  <c r="BI7" i="178"/>
  <c r="BN7" i="178"/>
  <c r="AU7" i="178"/>
  <c r="AY7" i="178"/>
  <c r="BC7" i="178"/>
  <c r="BG7" i="178"/>
  <c r="BL7" i="178"/>
  <c r="BL11" i="178"/>
  <c r="AS11" i="178"/>
  <c r="AW11" i="178"/>
  <c r="BA11" i="178"/>
  <c r="BE11" i="178"/>
  <c r="BI11" i="178"/>
  <c r="BN11" i="178"/>
  <c r="BC11" i="178"/>
  <c r="BG11" i="178"/>
  <c r="AU11" i="178"/>
  <c r="AY11" i="178"/>
  <c r="AU6" i="178"/>
  <c r="AY6" i="178"/>
  <c r="BC6" i="178"/>
  <c r="BG6" i="178"/>
  <c r="BL6" i="178"/>
  <c r="AS6" i="178"/>
  <c r="AW6" i="178"/>
  <c r="BA6" i="178"/>
  <c r="BE6" i="178"/>
  <c r="BI6" i="178"/>
  <c r="BN6" i="178"/>
  <c r="BN9" i="178"/>
  <c r="AU9" i="178"/>
  <c r="AY9" i="178"/>
  <c r="BC9" i="178"/>
  <c r="BG9" i="178"/>
  <c r="BL9" i="178"/>
  <c r="BA9" i="178"/>
  <c r="BE9" i="178"/>
  <c r="AS9" i="178"/>
  <c r="BI9" i="178"/>
  <c r="AW9" i="178"/>
  <c r="AS5" i="178"/>
  <c r="AW5" i="178"/>
  <c r="BA5" i="178"/>
  <c r="BE5" i="178"/>
  <c r="BI5" i="178"/>
  <c r="BN5" i="178"/>
  <c r="AU5" i="178"/>
  <c r="AY5" i="178"/>
  <c r="BC5" i="178"/>
  <c r="BG5" i="178"/>
  <c r="BL5" i="178"/>
  <c r="BL4" i="178"/>
  <c r="AS4" i="178"/>
  <c r="AW4" i="178"/>
  <c r="BA4" i="178"/>
  <c r="BE4" i="178"/>
  <c r="BI4" i="178"/>
  <c r="BN4" i="178"/>
  <c r="AY4" i="178"/>
  <c r="BC4" i="178"/>
  <c r="BG4" i="178"/>
  <c r="AU4" i="178"/>
  <c r="AU10" i="178"/>
  <c r="AY10" i="178"/>
  <c r="BC10" i="178"/>
  <c r="BG10" i="178"/>
  <c r="BL10" i="178"/>
  <c r="AS10" i="178"/>
  <c r="AW10" i="178"/>
  <c r="BA10" i="178"/>
  <c r="BE10" i="178"/>
  <c r="BI10" i="178"/>
  <c r="BN10" i="178"/>
  <c r="BN8" i="178"/>
  <c r="AU8" i="178"/>
  <c r="AY8" i="178"/>
  <c r="BC8" i="178"/>
  <c r="BG8" i="178"/>
  <c r="BL8" i="178"/>
  <c r="AW8" i="178"/>
  <c r="BA8" i="178"/>
  <c r="BE8" i="178"/>
  <c r="BI8" i="178"/>
  <c r="AS8" i="178"/>
  <c r="AU1258" i="178"/>
  <c r="AY1258" i="178"/>
  <c r="BC1258" i="178"/>
  <c r="BG1258" i="178"/>
  <c r="BL1258" i="178"/>
  <c r="AS1258" i="178"/>
  <c r="AW1258" i="178"/>
  <c r="BA1258" i="178"/>
  <c r="BE1258" i="178"/>
  <c r="BI1258" i="178"/>
  <c r="BN1258" i="178"/>
  <c r="BN1062" i="178"/>
  <c r="AU1062" i="178"/>
  <c r="AY1062" i="178"/>
  <c r="BC1062" i="178"/>
  <c r="BG1062" i="178"/>
  <c r="BL1062" i="178"/>
  <c r="BE1062" i="178"/>
  <c r="AS1062" i="178"/>
  <c r="BI1062" i="178"/>
  <c r="AW1062" i="178"/>
  <c r="BA1062" i="178"/>
  <c r="AS1061" i="178"/>
  <c r="AW1061" i="178"/>
  <c r="BA1061" i="178"/>
  <c r="BE1061" i="178"/>
  <c r="BI1061" i="178"/>
  <c r="BN1061" i="178"/>
  <c r="AU1061" i="178"/>
  <c r="AY1061" i="178"/>
  <c r="BC1061" i="178"/>
  <c r="BG1061" i="178"/>
  <c r="BL1061" i="178"/>
  <c r="BN278" i="178"/>
  <c r="AU278" i="178"/>
  <c r="AY278" i="178"/>
  <c r="BC278" i="178"/>
  <c r="BG278" i="178"/>
  <c r="BL278" i="178"/>
  <c r="BA278" i="178"/>
  <c r="BE278" i="178"/>
  <c r="AS278" i="178"/>
  <c r="BI278" i="178"/>
  <c r="AW278" i="178"/>
  <c r="AS208" i="178"/>
  <c r="AW208" i="178"/>
  <c r="BA208" i="178"/>
  <c r="BE208" i="178"/>
  <c r="BI208" i="178"/>
  <c r="BN208" i="178"/>
  <c r="AU208" i="178"/>
  <c r="AY208" i="178"/>
  <c r="BC208" i="178"/>
  <c r="BG208" i="178"/>
  <c r="BL208" i="178"/>
  <c r="BL207" i="178"/>
  <c r="AS207" i="178"/>
  <c r="AW207" i="178"/>
  <c r="BA207" i="178"/>
  <c r="BE207" i="178"/>
  <c r="BI207" i="178"/>
  <c r="BN207" i="178"/>
  <c r="AY207" i="178"/>
  <c r="BC207" i="178"/>
  <c r="BG207" i="178"/>
  <c r="AU207" i="178"/>
  <c r="BN147" i="178"/>
  <c r="AU147" i="178"/>
  <c r="AY147" i="178"/>
  <c r="BC147" i="178"/>
  <c r="BG147" i="178"/>
  <c r="BL147" i="178"/>
  <c r="AS147" i="178"/>
  <c r="BI147" i="178"/>
  <c r="AW147" i="178"/>
  <c r="BA147" i="178"/>
  <c r="BE147" i="178"/>
  <c r="AS1146" i="178"/>
  <c r="AW1146" i="178"/>
  <c r="BA1146" i="178"/>
  <c r="BE1146" i="178"/>
  <c r="BI1146" i="178"/>
  <c r="BN1146" i="178"/>
  <c r="AU1146" i="178"/>
  <c r="AY1146" i="178"/>
  <c r="BC1146" i="178"/>
  <c r="BG1146" i="178"/>
  <c r="BL1146" i="178"/>
  <c r="BL931" i="178"/>
  <c r="AS931" i="178"/>
  <c r="AW931" i="178"/>
  <c r="BA931" i="178"/>
  <c r="BE931" i="178"/>
  <c r="BI931" i="178"/>
  <c r="BN931" i="178"/>
  <c r="BC931" i="178"/>
  <c r="BG931" i="178"/>
  <c r="AU931" i="178"/>
  <c r="AY931" i="178"/>
  <c r="AU930" i="178"/>
  <c r="AY930" i="178"/>
  <c r="BC930" i="178"/>
  <c r="BG930" i="178"/>
  <c r="BL930" i="178"/>
  <c r="AS930" i="178"/>
  <c r="AW930" i="178"/>
  <c r="BA930" i="178"/>
  <c r="BE930" i="178"/>
  <c r="BI930" i="178"/>
  <c r="BN930" i="178"/>
  <c r="AS929" i="178"/>
  <c r="AW929" i="178"/>
  <c r="BA929" i="178"/>
  <c r="BE929" i="178"/>
  <c r="BI929" i="178"/>
  <c r="BN929" i="178"/>
  <c r="AU929" i="178"/>
  <c r="AY929" i="178"/>
  <c r="BC929" i="178"/>
  <c r="BG929" i="178"/>
  <c r="BL929" i="178"/>
  <c r="BL928" i="178"/>
  <c r="AS928" i="178"/>
  <c r="AW928" i="178"/>
  <c r="BA928" i="178"/>
  <c r="BE928" i="178"/>
  <c r="BI928" i="178"/>
  <c r="BN928" i="178"/>
  <c r="AY928" i="178"/>
  <c r="BC928" i="178"/>
  <c r="BG928" i="178"/>
  <c r="AU928" i="178"/>
  <c r="AU815" i="178"/>
  <c r="AY815" i="178"/>
  <c r="BC815" i="178"/>
  <c r="BG815" i="178"/>
  <c r="BL815" i="178"/>
  <c r="AS815" i="178"/>
  <c r="AW815" i="178"/>
  <c r="BA815" i="178"/>
  <c r="BE815" i="178"/>
  <c r="BI815" i="178"/>
  <c r="BN815" i="178"/>
  <c r="AS766" i="178"/>
  <c r="AW766" i="178"/>
  <c r="BA766" i="178"/>
  <c r="BE766" i="178"/>
  <c r="BI766" i="178"/>
  <c r="BN766" i="178"/>
  <c r="AU766" i="178"/>
  <c r="AY766" i="178"/>
  <c r="BC766" i="178"/>
  <c r="BG766" i="178"/>
  <c r="BL766" i="178"/>
  <c r="BL765" i="178"/>
  <c r="AS765" i="178"/>
  <c r="AW765" i="178"/>
  <c r="BA765" i="178"/>
  <c r="BE765" i="178"/>
  <c r="BI765" i="178"/>
  <c r="BN765" i="178"/>
  <c r="BG765" i="178"/>
  <c r="AU765" i="178"/>
  <c r="AY765" i="178"/>
  <c r="BC765" i="178"/>
  <c r="AU736" i="178"/>
  <c r="AY736" i="178"/>
  <c r="BC736" i="178"/>
  <c r="BG736" i="178"/>
  <c r="BL736" i="178"/>
  <c r="AS736" i="178"/>
  <c r="AW736" i="178"/>
  <c r="BA736" i="178"/>
  <c r="BE736" i="178"/>
  <c r="BI736" i="178"/>
  <c r="BN736" i="178"/>
  <c r="BN735" i="178"/>
  <c r="AU735" i="178"/>
  <c r="AY735" i="178"/>
  <c r="BC735" i="178"/>
  <c r="BG735" i="178"/>
  <c r="BL735" i="178"/>
  <c r="BE735" i="178"/>
  <c r="AS735" i="178"/>
  <c r="BI735" i="178"/>
  <c r="AW735" i="178"/>
  <c r="BA735" i="178"/>
  <c r="BL684" i="178"/>
  <c r="AS684" i="178"/>
  <c r="AW684" i="178"/>
  <c r="BA684" i="178"/>
  <c r="BE684" i="178"/>
  <c r="BI684" i="178"/>
  <c r="BN684" i="178"/>
  <c r="BC684" i="178"/>
  <c r="BG684" i="178"/>
  <c r="AU684" i="178"/>
  <c r="AY684" i="178"/>
  <c r="AU683" i="178"/>
  <c r="AY683" i="178"/>
  <c r="BC683" i="178"/>
  <c r="BG683" i="178"/>
  <c r="BL683" i="178"/>
  <c r="AS683" i="178"/>
  <c r="AW683" i="178"/>
  <c r="BA683" i="178"/>
  <c r="BE683" i="178"/>
  <c r="BI683" i="178"/>
  <c r="BN683" i="178"/>
  <c r="BN681" i="178"/>
  <c r="AU681" i="178"/>
  <c r="AY681" i="178"/>
  <c r="BC681" i="178"/>
  <c r="BG681" i="178"/>
  <c r="BL681" i="178"/>
  <c r="BA681" i="178"/>
  <c r="BE681" i="178"/>
  <c r="AS681" i="178"/>
  <c r="BI681" i="178"/>
  <c r="AW681" i="178"/>
  <c r="AS682" i="178"/>
  <c r="AW682" i="178"/>
  <c r="BA682" i="178"/>
  <c r="BE682" i="178"/>
  <c r="BI682" i="178"/>
  <c r="BN682" i="178"/>
  <c r="AU682" i="178"/>
  <c r="AY682" i="178"/>
  <c r="BC682" i="178"/>
  <c r="BG682" i="178"/>
  <c r="BL682" i="178"/>
  <c r="BL680" i="178"/>
  <c r="AS680" i="178"/>
  <c r="AW680" i="178"/>
  <c r="BA680" i="178"/>
  <c r="BE680" i="178"/>
  <c r="BI680" i="178"/>
  <c r="BN680" i="178"/>
  <c r="AY680" i="178"/>
  <c r="BC680" i="178"/>
  <c r="BG680" i="178"/>
  <c r="AU680" i="178"/>
  <c r="BN572" i="178"/>
  <c r="AU572" i="178"/>
  <c r="AY572" i="178"/>
  <c r="BC572" i="178"/>
  <c r="BG572" i="178"/>
  <c r="BL572" i="178"/>
  <c r="AW572" i="178"/>
  <c r="BA572" i="178"/>
  <c r="BE572" i="178"/>
  <c r="AS572" i="178"/>
  <c r="BI572" i="178"/>
  <c r="AS546" i="178"/>
  <c r="AW546" i="178"/>
  <c r="BA546" i="178"/>
  <c r="BE546" i="178"/>
  <c r="BI546" i="178"/>
  <c r="BN546" i="178"/>
  <c r="AU546" i="178"/>
  <c r="AY546" i="178"/>
  <c r="BC546" i="178"/>
  <c r="BG546" i="178"/>
  <c r="BL546" i="178"/>
  <c r="AS484" i="178"/>
  <c r="AW484" i="178"/>
  <c r="BA484" i="178"/>
  <c r="BE484" i="178"/>
  <c r="BI484" i="178"/>
  <c r="BN484" i="178"/>
  <c r="AU484" i="178"/>
  <c r="BC484" i="178"/>
  <c r="BL484" i="178"/>
  <c r="AY484" i="178"/>
  <c r="BG484" i="178"/>
  <c r="AU421" i="178"/>
  <c r="AY421" i="178"/>
  <c r="BC421" i="178"/>
  <c r="BG421" i="178"/>
  <c r="BL421" i="178"/>
  <c r="BN421" i="178"/>
  <c r="AS421" i="178"/>
  <c r="BA421" i="178"/>
  <c r="BI421" i="178"/>
  <c r="AW421" i="178"/>
  <c r="BE421" i="178"/>
  <c r="BN134" i="178"/>
  <c r="AU134" i="178"/>
  <c r="AY134" i="178"/>
  <c r="BC134" i="178"/>
  <c r="BG134" i="178"/>
  <c r="BL134" i="178"/>
  <c r="AS134" i="178"/>
  <c r="BI134" i="178"/>
  <c r="AW134" i="178"/>
  <c r="BA134" i="178"/>
  <c r="BE134" i="178"/>
  <c r="AS917" i="178"/>
  <c r="AW917" i="178"/>
  <c r="BA917" i="178"/>
  <c r="BE917" i="178"/>
  <c r="BI917" i="178"/>
  <c r="BN917" i="178"/>
  <c r="AU917" i="178"/>
  <c r="AY917" i="178"/>
  <c r="BC917" i="178"/>
  <c r="BG917" i="178"/>
  <c r="BL917" i="178"/>
  <c r="BL916" i="178"/>
  <c r="AS916" i="178"/>
  <c r="AW916" i="178"/>
  <c r="BA916" i="178"/>
  <c r="BE916" i="178"/>
  <c r="BI916" i="178"/>
  <c r="BN916" i="178"/>
  <c r="BG916" i="178"/>
  <c r="AU916" i="178"/>
  <c r="AY916" i="178"/>
  <c r="BC916" i="178"/>
  <c r="AU901" i="178"/>
  <c r="AY901" i="178"/>
  <c r="BC901" i="178"/>
  <c r="BG901" i="178"/>
  <c r="BL901" i="178"/>
  <c r="AS901" i="178"/>
  <c r="AW901" i="178"/>
  <c r="BA901" i="178"/>
  <c r="BE901" i="178"/>
  <c r="BI901" i="178"/>
  <c r="BN901" i="178"/>
  <c r="BL814" i="178"/>
  <c r="AS814" i="178"/>
  <c r="AW814" i="178"/>
  <c r="BA814" i="178"/>
  <c r="BE814" i="178"/>
  <c r="BI814" i="178"/>
  <c r="BN814" i="178"/>
  <c r="AY814" i="178"/>
  <c r="BC814" i="178"/>
  <c r="BG814" i="178"/>
  <c r="AU814" i="178"/>
  <c r="AS802" i="178"/>
  <c r="AW802" i="178"/>
  <c r="BA802" i="178"/>
  <c r="BE802" i="178"/>
  <c r="BI802" i="178"/>
  <c r="BN802" i="178"/>
  <c r="AU802" i="178"/>
  <c r="AY802" i="178"/>
  <c r="BC802" i="178"/>
  <c r="BG802" i="178"/>
  <c r="BL802" i="178"/>
  <c r="BN801" i="178"/>
  <c r="AU801" i="178"/>
  <c r="AY801" i="178"/>
  <c r="BC801" i="178"/>
  <c r="BG801" i="178"/>
  <c r="BL801" i="178"/>
  <c r="AS801" i="178"/>
  <c r="BI801" i="178"/>
  <c r="AW801" i="178"/>
  <c r="BA801" i="178"/>
  <c r="BE801" i="178"/>
  <c r="AS800" i="178"/>
  <c r="AW800" i="178"/>
  <c r="BA800" i="178"/>
  <c r="BE800" i="178"/>
  <c r="BI800" i="178"/>
  <c r="BN800" i="178"/>
  <c r="AU800" i="178"/>
  <c r="AY800" i="178"/>
  <c r="BC800" i="178"/>
  <c r="BG800" i="178"/>
  <c r="BL800" i="178"/>
  <c r="BL764" i="178"/>
  <c r="AS764" i="178"/>
  <c r="AW764" i="178"/>
  <c r="BA764" i="178"/>
  <c r="BE764" i="178"/>
  <c r="BI764" i="178"/>
  <c r="BN764" i="178"/>
  <c r="BG764" i="178"/>
  <c r="AU764" i="178"/>
  <c r="AY764" i="178"/>
  <c r="BC764" i="178"/>
  <c r="BN563" i="178"/>
  <c r="AU563" i="178"/>
  <c r="AY563" i="178"/>
  <c r="BC563" i="178"/>
  <c r="BG563" i="178"/>
  <c r="BL563" i="178"/>
  <c r="BA563" i="178"/>
  <c r="BE563" i="178"/>
  <c r="AS563" i="178"/>
  <c r="BI563" i="178"/>
  <c r="AW563" i="178"/>
  <c r="AS562" i="178"/>
  <c r="AW562" i="178"/>
  <c r="BA562" i="178"/>
  <c r="BE562" i="178"/>
  <c r="BI562" i="178"/>
  <c r="BN562" i="178"/>
  <c r="AU562" i="178"/>
  <c r="AY562" i="178"/>
  <c r="BC562" i="178"/>
  <c r="BG562" i="178"/>
  <c r="BL562" i="178"/>
  <c r="BL561" i="178"/>
  <c r="AS561" i="178"/>
  <c r="AW561" i="178"/>
  <c r="BA561" i="178"/>
  <c r="BE561" i="178"/>
  <c r="BI561" i="178"/>
  <c r="BN561" i="178"/>
  <c r="AY561" i="178"/>
  <c r="BC561" i="178"/>
  <c r="BG561" i="178"/>
  <c r="AU561" i="178"/>
  <c r="AU560" i="178"/>
  <c r="AY560" i="178"/>
  <c r="BC560" i="178"/>
  <c r="BG560" i="178"/>
  <c r="BL560" i="178"/>
  <c r="AS560" i="178"/>
  <c r="AW560" i="178"/>
  <c r="BA560" i="178"/>
  <c r="BE560" i="178"/>
  <c r="BI560" i="178"/>
  <c r="BN560" i="178"/>
  <c r="BL545" i="178"/>
  <c r="AS545" i="178"/>
  <c r="AW545" i="178"/>
  <c r="BA545" i="178"/>
  <c r="BE545" i="178"/>
  <c r="BI545" i="178"/>
  <c r="BN545" i="178"/>
  <c r="AU545" i="178"/>
  <c r="AY545" i="178"/>
  <c r="BC545" i="178"/>
  <c r="BG545" i="178"/>
  <c r="AS430" i="178"/>
  <c r="AW430" i="178"/>
  <c r="BN430" i="178"/>
  <c r="AY430" i="178"/>
  <c r="BC430" i="178"/>
  <c r="BG430" i="178"/>
  <c r="BL430" i="178"/>
  <c r="BI430" i="178"/>
  <c r="AU430" i="178"/>
  <c r="BA430" i="178"/>
  <c r="BE430" i="178"/>
  <c r="AU1248" i="178"/>
  <c r="AY1248" i="178"/>
  <c r="BC1248" i="178"/>
  <c r="BG1248" i="178"/>
  <c r="BL1248" i="178"/>
  <c r="AW1248" i="178"/>
  <c r="BE1248" i="178"/>
  <c r="BN1248" i="178"/>
  <c r="AS1248" i="178"/>
  <c r="BA1248" i="178"/>
  <c r="BI1248" i="178"/>
  <c r="BN1247" i="178"/>
  <c r="AU1247" i="178"/>
  <c r="AY1247" i="178"/>
  <c r="BC1247" i="178"/>
  <c r="BG1247" i="178"/>
  <c r="AS1247" i="178"/>
  <c r="BL1247" i="178"/>
  <c r="AW1247" i="178"/>
  <c r="BE1247" i="178"/>
  <c r="BA1247" i="178"/>
  <c r="BI1247" i="178"/>
  <c r="AS1245" i="178"/>
  <c r="AW1245" i="178"/>
  <c r="BA1245" i="178"/>
  <c r="BE1245" i="178"/>
  <c r="BI1245" i="178"/>
  <c r="BN1245" i="178"/>
  <c r="AU1245" i="178"/>
  <c r="AY1245" i="178"/>
  <c r="BC1245" i="178"/>
  <c r="BG1245" i="178"/>
  <c r="BL1245" i="178"/>
  <c r="BL1246" i="178"/>
  <c r="AS1246" i="178"/>
  <c r="AW1246" i="178"/>
  <c r="BA1246" i="178"/>
  <c r="BE1246" i="178"/>
  <c r="BI1246" i="178"/>
  <c r="BN1246" i="178"/>
  <c r="BG1246" i="178"/>
  <c r="AU1246" i="178"/>
  <c r="AY1246" i="178"/>
  <c r="BC1246" i="178"/>
  <c r="AU1241" i="178"/>
  <c r="AY1241" i="178"/>
  <c r="BC1241" i="178"/>
  <c r="BG1241" i="178"/>
  <c r="BL1241" i="178"/>
  <c r="AS1241" i="178"/>
  <c r="AW1241" i="178"/>
  <c r="BA1241" i="178"/>
  <c r="BE1241" i="178"/>
  <c r="BI1241" i="178"/>
  <c r="BN1241" i="178"/>
  <c r="BN1240" i="178"/>
  <c r="AU1240" i="178"/>
  <c r="AY1240" i="178"/>
  <c r="BC1240" i="178"/>
  <c r="BG1240" i="178"/>
  <c r="BL1240" i="178"/>
  <c r="BE1240" i="178"/>
  <c r="AS1240" i="178"/>
  <c r="BI1240" i="178"/>
  <c r="AW1240" i="178"/>
  <c r="BA1240" i="178"/>
  <c r="AS1222" i="178"/>
  <c r="AW1222" i="178"/>
  <c r="BA1222" i="178"/>
  <c r="BE1222" i="178"/>
  <c r="BI1222" i="178"/>
  <c r="BN1222" i="178"/>
  <c r="AY1222" i="178"/>
  <c r="BG1222" i="178"/>
  <c r="BC1222" i="178"/>
  <c r="AU1222" i="178"/>
  <c r="BL1222" i="178"/>
  <c r="BL1221" i="178"/>
  <c r="AS1221" i="178"/>
  <c r="AW1221" i="178"/>
  <c r="BA1221" i="178"/>
  <c r="BE1221" i="178"/>
  <c r="BI1221" i="178"/>
  <c r="BN1221" i="178"/>
  <c r="AY1221" i="178"/>
  <c r="BG1221" i="178"/>
  <c r="AU1221" i="178"/>
  <c r="BC1221" i="178"/>
  <c r="AU1217" i="178"/>
  <c r="AY1217" i="178"/>
  <c r="BC1217" i="178"/>
  <c r="BG1217" i="178"/>
  <c r="BL1217" i="178"/>
  <c r="AW1217" i="178"/>
  <c r="BE1217" i="178"/>
  <c r="BN1217" i="178"/>
  <c r="BA1217" i="178"/>
  <c r="AS1217" i="178"/>
  <c r="BI1217" i="178"/>
  <c r="BN1216" i="178"/>
  <c r="AU1216" i="178"/>
  <c r="AY1216" i="178"/>
  <c r="BC1216" i="178"/>
  <c r="BG1216" i="178"/>
  <c r="BL1216" i="178"/>
  <c r="AW1216" i="178"/>
  <c r="BE1216" i="178"/>
  <c r="AS1216" i="178"/>
  <c r="BI1216" i="178"/>
  <c r="BA1216" i="178"/>
  <c r="AS1220" i="178"/>
  <c r="AW1220" i="178"/>
  <c r="BA1220" i="178"/>
  <c r="BE1220" i="178"/>
  <c r="BI1220" i="178"/>
  <c r="BN1220" i="178"/>
  <c r="AU1220" i="178"/>
  <c r="BC1220" i="178"/>
  <c r="BL1220" i="178"/>
  <c r="AY1220" i="178"/>
  <c r="BG1220" i="178"/>
  <c r="BL1219" i="178"/>
  <c r="AS1219" i="178"/>
  <c r="AW1219" i="178"/>
  <c r="BA1219" i="178"/>
  <c r="BE1219" i="178"/>
  <c r="BI1219" i="178"/>
  <c r="AU1219" i="178"/>
  <c r="BC1219" i="178"/>
  <c r="BG1219" i="178"/>
  <c r="BN1219" i="178"/>
  <c r="AY1219" i="178"/>
  <c r="AU1215" i="178"/>
  <c r="AY1215" i="178"/>
  <c r="BC1215" i="178"/>
  <c r="BG1215" i="178"/>
  <c r="BL1215" i="178"/>
  <c r="AS1215" i="178"/>
  <c r="BA1215" i="178"/>
  <c r="BI1215" i="178"/>
  <c r="AW1215" i="178"/>
  <c r="BN1215" i="178"/>
  <c r="BE1215" i="178"/>
  <c r="BN1218" i="178"/>
  <c r="AU1218" i="178"/>
  <c r="AY1218" i="178"/>
  <c r="BC1218" i="178"/>
  <c r="BG1218" i="178"/>
  <c r="AS1218" i="178"/>
  <c r="BA1218" i="178"/>
  <c r="BI1218" i="178"/>
  <c r="BE1218" i="178"/>
  <c r="BL1218" i="178"/>
  <c r="AW1218" i="178"/>
  <c r="AS1214" i="178"/>
  <c r="AW1214" i="178"/>
  <c r="BA1214" i="178"/>
  <c r="BE1214" i="178"/>
  <c r="BI1214" i="178"/>
  <c r="BN1214" i="178"/>
  <c r="AY1214" i="178"/>
  <c r="BG1214" i="178"/>
  <c r="AU1214" i="178"/>
  <c r="BL1214" i="178"/>
  <c r="BC1214" i="178"/>
  <c r="BL1209" i="178"/>
  <c r="AS1209" i="178"/>
  <c r="AW1209" i="178"/>
  <c r="BA1209" i="178"/>
  <c r="BE1209" i="178"/>
  <c r="BI1209" i="178"/>
  <c r="BN1209" i="178"/>
  <c r="AY1209" i="178"/>
  <c r="BG1209" i="178"/>
  <c r="BC1209" i="178"/>
  <c r="AU1209" i="178"/>
  <c r="AU1213" i="178"/>
  <c r="AY1213" i="178"/>
  <c r="BC1213" i="178"/>
  <c r="BG1213" i="178"/>
  <c r="BL1213" i="178"/>
  <c r="AW1213" i="178"/>
  <c r="BE1213" i="178"/>
  <c r="BN1213" i="178"/>
  <c r="AS1213" i="178"/>
  <c r="BI1213" i="178"/>
  <c r="BA1213" i="178"/>
  <c r="BN1212" i="178"/>
  <c r="AU1212" i="178"/>
  <c r="AY1212" i="178"/>
  <c r="BC1212" i="178"/>
  <c r="BG1212" i="178"/>
  <c r="BL1212" i="178"/>
  <c r="AW1212" i="178"/>
  <c r="BE1212" i="178"/>
  <c r="BA1212" i="178"/>
  <c r="AS1212" i="178"/>
  <c r="BI1212" i="178"/>
  <c r="AS1211" i="178"/>
  <c r="AW1211" i="178"/>
  <c r="BA1211" i="178"/>
  <c r="BE1211" i="178"/>
  <c r="BI1211" i="178"/>
  <c r="BN1211" i="178"/>
  <c r="AU1211" i="178"/>
  <c r="BC1211" i="178"/>
  <c r="BL1211" i="178"/>
  <c r="BG1211" i="178"/>
  <c r="AY1211" i="178"/>
  <c r="BL1208" i="178"/>
  <c r="AS1208" i="178"/>
  <c r="AW1208" i="178"/>
  <c r="BA1208" i="178"/>
  <c r="BE1208" i="178"/>
  <c r="BI1208" i="178"/>
  <c r="AU1208" i="178"/>
  <c r="BC1208" i="178"/>
  <c r="BN1208" i="178"/>
  <c r="AY1208" i="178"/>
  <c r="BG1208" i="178"/>
  <c r="AU1207" i="178"/>
  <c r="AY1207" i="178"/>
  <c r="BC1207" i="178"/>
  <c r="BG1207" i="178"/>
  <c r="BL1207" i="178"/>
  <c r="AS1207" i="178"/>
  <c r="BA1207" i="178"/>
  <c r="BI1207" i="178"/>
  <c r="BE1207" i="178"/>
  <c r="AW1207" i="178"/>
  <c r="BN1207" i="178"/>
  <c r="BN1210" i="178"/>
  <c r="AU1210" i="178"/>
  <c r="AY1210" i="178"/>
  <c r="BC1210" i="178"/>
  <c r="BG1210" i="178"/>
  <c r="AS1210" i="178"/>
  <c r="BA1210" i="178"/>
  <c r="BI1210" i="178"/>
  <c r="BL1210" i="178"/>
  <c r="AW1210" i="178"/>
  <c r="BE1210" i="178"/>
  <c r="AS1206" i="178"/>
  <c r="AW1206" i="178"/>
  <c r="BA1206" i="178"/>
  <c r="BE1206" i="178"/>
  <c r="BI1206" i="178"/>
  <c r="BN1206" i="178"/>
  <c r="AY1206" i="178"/>
  <c r="BG1206" i="178"/>
  <c r="BC1206" i="178"/>
  <c r="AU1206" i="178"/>
  <c r="BL1206" i="178"/>
  <c r="AS1137" i="178"/>
  <c r="AW1137" i="178"/>
  <c r="BA1137" i="178"/>
  <c r="BE1137" i="178"/>
  <c r="BI1137" i="178"/>
  <c r="BN1137" i="178"/>
  <c r="AU1137" i="178"/>
  <c r="BC1137" i="178"/>
  <c r="BL1137" i="178"/>
  <c r="AY1137" i="178"/>
  <c r="BG1137" i="178"/>
  <c r="BL1136" i="178"/>
  <c r="AS1136" i="178"/>
  <c r="AW1136" i="178"/>
  <c r="BA1136" i="178"/>
  <c r="BE1136" i="178"/>
  <c r="BI1136" i="178"/>
  <c r="AU1136" i="178"/>
  <c r="BC1136" i="178"/>
  <c r="BG1136" i="178"/>
  <c r="BN1136" i="178"/>
  <c r="AY1136" i="178"/>
  <c r="AU1135" i="178"/>
  <c r="AY1135" i="178"/>
  <c r="BC1135" i="178"/>
  <c r="BG1135" i="178"/>
  <c r="BL1135" i="178"/>
  <c r="AS1135" i="178"/>
  <c r="BA1135" i="178"/>
  <c r="BI1135" i="178"/>
  <c r="AW1135" i="178"/>
  <c r="BN1135" i="178"/>
  <c r="BE1135" i="178"/>
  <c r="BN1133" i="178"/>
  <c r="AU1133" i="178"/>
  <c r="AY1133" i="178"/>
  <c r="BC1133" i="178"/>
  <c r="BG1133" i="178"/>
  <c r="AS1133" i="178"/>
  <c r="BA1133" i="178"/>
  <c r="BI1133" i="178"/>
  <c r="BE1133" i="178"/>
  <c r="BL1133" i="178"/>
  <c r="AW1133" i="178"/>
  <c r="AU1134" i="178"/>
  <c r="AY1134" i="178"/>
  <c r="BC1134" i="178"/>
  <c r="BG1134" i="178"/>
  <c r="AS1134" i="178"/>
  <c r="BI1134" i="178"/>
  <c r="AW1134" i="178"/>
  <c r="BN1134" i="178"/>
  <c r="BA1134" i="178"/>
  <c r="BE1134" i="178"/>
  <c r="BL1134" i="178"/>
  <c r="AS558" i="178"/>
  <c r="AW558" i="178"/>
  <c r="BA558" i="178"/>
  <c r="BE558" i="178"/>
  <c r="BI558" i="178"/>
  <c r="BN558" i="178"/>
  <c r="AU558" i="178"/>
  <c r="AY558" i="178"/>
  <c r="BC558" i="178"/>
  <c r="BG558" i="178"/>
  <c r="BL558" i="178"/>
  <c r="BL557" i="178"/>
  <c r="AS557" i="178"/>
  <c r="AW557" i="178"/>
  <c r="BA557" i="178"/>
  <c r="BE557" i="178"/>
  <c r="BI557" i="178"/>
  <c r="BN557" i="178"/>
  <c r="BC557" i="178"/>
  <c r="BG557" i="178"/>
  <c r="AU557" i="178"/>
  <c r="AY557" i="178"/>
  <c r="AS556" i="178"/>
  <c r="AW556" i="178"/>
  <c r="BA556" i="178"/>
  <c r="BE556" i="178"/>
  <c r="BI556" i="178"/>
  <c r="BN556" i="178"/>
  <c r="AU556" i="178"/>
  <c r="AY556" i="178"/>
  <c r="BC556" i="178"/>
  <c r="BG556" i="178"/>
  <c r="BL556" i="178"/>
  <c r="BL534" i="178"/>
  <c r="AS534" i="178"/>
  <c r="AW534" i="178"/>
  <c r="BA534" i="178"/>
  <c r="BE534" i="178"/>
  <c r="BI534" i="178"/>
  <c r="BN534" i="178"/>
  <c r="AY534" i="178"/>
  <c r="BC534" i="178"/>
  <c r="BG534" i="178"/>
  <c r="AU534" i="178"/>
  <c r="AS533" i="178"/>
  <c r="AW533" i="178"/>
  <c r="BA533" i="178"/>
  <c r="BE533" i="178"/>
  <c r="BI533" i="178"/>
  <c r="BN533" i="178"/>
  <c r="AU533" i="178"/>
  <c r="AY533" i="178"/>
  <c r="BC533" i="178"/>
  <c r="BG533" i="178"/>
  <c r="BL533" i="178"/>
  <c r="U925" i="178"/>
  <c r="V925" i="178"/>
  <c r="U902" i="178"/>
  <c r="V902" i="178"/>
  <c r="U867" i="178"/>
  <c r="V867" i="178"/>
  <c r="U818" i="178"/>
  <c r="V818" i="178"/>
  <c r="U172" i="178"/>
  <c r="V172" i="178"/>
  <c r="U806" i="178"/>
  <c r="V806" i="178"/>
  <c r="U164" i="178"/>
  <c r="V164" i="178"/>
  <c r="U676" i="178"/>
  <c r="V676" i="178"/>
  <c r="U566" i="178"/>
  <c r="V566" i="178"/>
  <c r="V1194" i="178"/>
  <c r="U1194" i="178"/>
  <c r="V1073" i="178"/>
  <c r="U1073" i="178"/>
  <c r="V1014" i="178"/>
  <c r="U1014" i="178"/>
  <c r="U569" i="178"/>
  <c r="V569" i="178"/>
  <c r="U686" i="178"/>
  <c r="V686" i="178"/>
  <c r="U817" i="178"/>
  <c r="V817" i="178"/>
  <c r="U888" i="178"/>
  <c r="V888" i="178"/>
  <c r="U965" i="178"/>
  <c r="V965" i="178"/>
  <c r="U792" i="178"/>
  <c r="V792" i="178"/>
  <c r="U1118" i="178"/>
  <c r="V1118" i="178"/>
  <c r="V1193" i="178"/>
  <c r="U1193" i="178"/>
  <c r="V1173" i="178"/>
  <c r="U1173" i="178"/>
  <c r="V1075" i="178"/>
  <c r="U1075" i="178"/>
  <c r="V1069" i="178"/>
  <c r="U1069" i="178"/>
  <c r="U360" i="178"/>
  <c r="V360" i="178"/>
  <c r="U420" i="178"/>
  <c r="V420" i="178"/>
  <c r="V966" i="178"/>
  <c r="U906" i="178"/>
  <c r="V906" i="178"/>
  <c r="U881" i="178"/>
  <c r="V881" i="178"/>
  <c r="U725" i="178"/>
  <c r="V725" i="178"/>
  <c r="U580" i="178"/>
  <c r="V580" i="178"/>
  <c r="U811" i="178"/>
  <c r="V811" i="178"/>
  <c r="U355" i="178"/>
  <c r="V355" i="178"/>
  <c r="U927" i="178"/>
  <c r="V927" i="178"/>
  <c r="V1050" i="178"/>
  <c r="U1050" i="178"/>
  <c r="V1022" i="178"/>
  <c r="U1022" i="178"/>
  <c r="U767" i="178"/>
  <c r="V767" i="178"/>
  <c r="U911" i="178"/>
  <c r="V911" i="178"/>
  <c r="U661" i="178"/>
  <c r="V661" i="178"/>
  <c r="U690" i="178"/>
  <c r="V690" i="178"/>
  <c r="U156" i="178"/>
  <c r="V156" i="178"/>
  <c r="V1161" i="178"/>
  <c r="U1161" i="178"/>
  <c r="V1141" i="178"/>
  <c r="U1141" i="178"/>
  <c r="V1067" i="178"/>
  <c r="U1067" i="178"/>
  <c r="V1054" i="178"/>
  <c r="U1054" i="178"/>
  <c r="V1039" i="178"/>
  <c r="U1039" i="178"/>
  <c r="V1013" i="178"/>
  <c r="U1013" i="178"/>
  <c r="V1002" i="178"/>
  <c r="U1002" i="178"/>
  <c r="V993" i="178"/>
  <c r="U993" i="178"/>
  <c r="V985" i="178"/>
  <c r="U985" i="178"/>
  <c r="V769" i="178"/>
  <c r="V738" i="178"/>
  <c r="V547" i="178"/>
  <c r="V369" i="178"/>
  <c r="V914" i="178"/>
  <c r="V903" i="178"/>
  <c r="V891" i="178"/>
  <c r="V885" i="178"/>
  <c r="V884" i="178"/>
  <c r="V878" i="178"/>
  <c r="V877" i="178"/>
  <c r="V873" i="178"/>
  <c r="V870" i="178"/>
  <c r="V729" i="178"/>
  <c r="V723" i="178"/>
  <c r="V635" i="178"/>
  <c r="V553" i="178"/>
  <c r="V494" i="178"/>
  <c r="V429" i="178"/>
  <c r="V198" i="178"/>
  <c r="V932" i="178"/>
  <c r="V813" i="178"/>
  <c r="V708" i="178"/>
  <c r="V804" i="178"/>
  <c r="V706" i="178"/>
  <c r="V358" i="178"/>
  <c r="V166" i="178"/>
  <c r="V162" i="178"/>
  <c r="V155" i="178"/>
  <c r="V1123" i="178"/>
  <c r="V1115" i="178"/>
  <c r="U653" i="178"/>
  <c r="U651" i="178"/>
  <c r="U1178" i="178"/>
  <c r="U1162" i="178"/>
  <c r="V1145" i="178"/>
  <c r="U1145" i="178"/>
  <c r="U1139" i="178"/>
  <c r="V1072" i="178"/>
  <c r="U1072" i="178"/>
  <c r="U1071" i="178"/>
  <c r="U1070" i="178"/>
  <c r="U1055" i="178"/>
  <c r="U1037" i="178"/>
  <c r="U1020" i="178"/>
  <c r="V1192" i="178"/>
  <c r="U1192" i="178"/>
  <c r="V1171" i="178"/>
  <c r="U1171" i="178"/>
  <c r="V1047" i="178"/>
  <c r="U1047" i="178"/>
  <c r="V1027" i="178"/>
  <c r="U1027" i="178"/>
  <c r="V988" i="178"/>
  <c r="U988" i="178"/>
  <c r="V970" i="178"/>
  <c r="U970" i="178"/>
  <c r="V538" i="178"/>
  <c r="U538" i="178"/>
  <c r="V520" i="178"/>
  <c r="U520" i="178"/>
  <c r="V459" i="178"/>
  <c r="U459" i="178"/>
  <c r="V1276" i="178"/>
  <c r="U1276" i="178"/>
  <c r="V1177" i="178"/>
  <c r="U1177" i="178"/>
  <c r="V1138" i="178"/>
  <c r="U1138" i="178"/>
  <c r="V526" i="178"/>
  <c r="U526" i="178"/>
  <c r="V466" i="178"/>
  <c r="U466" i="178"/>
  <c r="U143" i="178"/>
  <c r="V143" i="178"/>
  <c r="V735" i="178"/>
  <c r="U735" i="178"/>
  <c r="V324" i="178"/>
  <c r="U324" i="178"/>
  <c r="V316" i="178"/>
  <c r="U316" i="178"/>
  <c r="V305" i="178"/>
  <c r="U305" i="178"/>
  <c r="V298" i="178"/>
  <c r="U298" i="178"/>
  <c r="V283" i="178"/>
  <c r="U283" i="178"/>
  <c r="V270" i="178"/>
  <c r="U270" i="178"/>
  <c r="V253" i="178"/>
  <c r="U253" i="178"/>
  <c r="V244" i="178"/>
  <c r="U244" i="178"/>
  <c r="V237" i="178"/>
  <c r="U237" i="178"/>
  <c r="V215" i="178"/>
  <c r="U215" i="178"/>
  <c r="U115" i="178"/>
  <c r="V115" i="178"/>
  <c r="U109" i="178"/>
  <c r="V109" i="178"/>
  <c r="U96" i="178"/>
  <c r="V96" i="178"/>
  <c r="U87" i="178"/>
  <c r="V87" i="178"/>
  <c r="U46" i="178"/>
  <c r="V46" i="178"/>
  <c r="U40" i="178"/>
  <c r="V40" i="178"/>
  <c r="U28" i="178"/>
  <c r="V28" i="178"/>
  <c r="U20" i="178"/>
  <c r="V20" i="178"/>
  <c r="U4" i="178"/>
  <c r="V4" i="178"/>
  <c r="U1056" i="178"/>
  <c r="U1049" i="178"/>
  <c r="U1040" i="178"/>
  <c r="U1036" i="178"/>
  <c r="U1003" i="178"/>
  <c r="U991" i="178"/>
  <c r="U989" i="178"/>
  <c r="U984" i="178"/>
  <c r="U969" i="178"/>
  <c r="U540" i="178"/>
  <c r="U536" i="178"/>
  <c r="U501" i="178"/>
  <c r="U465" i="178"/>
  <c r="U453" i="178"/>
  <c r="U448" i="178"/>
  <c r="U442" i="178"/>
  <c r="U325" i="178"/>
  <c r="U317" i="178"/>
  <c r="U300" i="178"/>
  <c r="U281" i="178"/>
  <c r="U272" i="178"/>
  <c r="U245" i="178"/>
  <c r="U239" i="178"/>
  <c r="U455" i="178"/>
  <c r="U449" i="178"/>
  <c r="U443" i="178"/>
  <c r="U436" i="178"/>
  <c r="V336" i="178"/>
  <c r="U336" i="178"/>
  <c r="V328" i="178"/>
  <c r="U328" i="178"/>
  <c r="V323" i="178"/>
  <c r="U323" i="178"/>
  <c r="V299" i="178"/>
  <c r="U299" i="178"/>
  <c r="V287" i="178"/>
  <c r="U287" i="178"/>
  <c r="V273" i="178"/>
  <c r="U273" i="178"/>
  <c r="V258" i="178"/>
  <c r="U258" i="178"/>
  <c r="V211" i="178"/>
  <c r="U211" i="178"/>
  <c r="V150" i="178"/>
  <c r="U150" i="178"/>
  <c r="U208" i="178"/>
  <c r="V208" i="178"/>
  <c r="U338" i="178"/>
  <c r="U327" i="178"/>
  <c r="U326" i="178"/>
  <c r="U320" i="178"/>
  <c r="U318" i="178"/>
  <c r="U304" i="178"/>
  <c r="U297" i="178"/>
  <c r="U285" i="178"/>
  <c r="U286" i="178"/>
  <c r="U277" i="178"/>
  <c r="U269" i="178"/>
  <c r="U252" i="178"/>
  <c r="U247" i="178"/>
  <c r="U236" i="178"/>
  <c r="U214" i="178"/>
  <c r="U149" i="178"/>
  <c r="U117" i="178"/>
  <c r="V117" i="178"/>
  <c r="U102" i="178"/>
  <c r="V102" i="178"/>
  <c r="U98" i="178"/>
  <c r="V98" i="178"/>
  <c r="U71" i="178"/>
  <c r="V71" i="178"/>
  <c r="U61" i="178"/>
  <c r="V61" i="178"/>
  <c r="U50" i="178"/>
  <c r="V50" i="178"/>
  <c r="U43" i="178"/>
  <c r="V43" i="178"/>
  <c r="U26" i="178"/>
  <c r="V26" i="178"/>
  <c r="U22" i="178"/>
  <c r="V22" i="178"/>
  <c r="U11" i="178"/>
  <c r="V11" i="178"/>
  <c r="V931" i="178"/>
  <c r="U931" i="178"/>
  <c r="V684" i="178"/>
  <c r="U684" i="178"/>
  <c r="V545" i="178"/>
  <c r="U545" i="178"/>
  <c r="V114" i="178"/>
  <c r="V116" i="178"/>
  <c r="V105" i="178"/>
  <c r="V108" i="178"/>
  <c r="V95" i="178"/>
  <c r="V97" i="178"/>
  <c r="V86" i="178"/>
  <c r="V63" i="178"/>
  <c r="V51" i="178"/>
  <c r="V39" i="178"/>
  <c r="V31" i="178"/>
  <c r="V23" i="178"/>
  <c r="V18" i="178"/>
  <c r="V6" i="178"/>
  <c r="V10" i="178"/>
  <c r="V1258" i="178"/>
  <c r="V207" i="178"/>
  <c r="V928" i="178"/>
  <c r="U928" i="178"/>
  <c r="V765" i="178"/>
  <c r="U765" i="178"/>
  <c r="V680" i="178"/>
  <c r="U680" i="178"/>
  <c r="V916" i="178"/>
  <c r="U916" i="178"/>
  <c r="V814" i="178"/>
  <c r="U814" i="178"/>
  <c r="V764" i="178"/>
  <c r="U764" i="178"/>
  <c r="V561" i="178"/>
  <c r="U561" i="178"/>
  <c r="U681" i="178"/>
  <c r="U572" i="178"/>
  <c r="U134" i="178"/>
  <c r="U801" i="178"/>
  <c r="U563" i="178"/>
  <c r="U1248" i="178"/>
  <c r="V1248" i="178"/>
  <c r="U1245" i="178"/>
  <c r="V1245" i="178"/>
  <c r="U1241" i="178"/>
  <c r="V1241" i="178"/>
  <c r="U1221" i="178"/>
  <c r="V1221" i="178"/>
  <c r="U1216" i="178"/>
  <c r="V1216" i="178"/>
  <c r="U1219" i="178"/>
  <c r="V1219" i="178"/>
  <c r="U1218" i="178"/>
  <c r="V1218" i="178"/>
  <c r="U1209" i="178"/>
  <c r="V1209" i="178"/>
  <c r="U1212" i="178"/>
  <c r="V1212" i="178"/>
  <c r="U1208" i="178"/>
  <c r="V1208" i="178"/>
  <c r="U1210" i="178"/>
  <c r="V1210" i="178"/>
  <c r="U1136" i="178"/>
  <c r="V1136" i="178"/>
  <c r="U1133" i="178"/>
  <c r="V1133" i="178"/>
  <c r="U558" i="178"/>
  <c r="V558" i="178"/>
  <c r="U556" i="178"/>
  <c r="V556" i="178"/>
  <c r="U1247" i="178"/>
  <c r="V1247" i="178"/>
  <c r="U1246" i="178"/>
  <c r="V1246" i="178"/>
  <c r="U1240" i="178"/>
  <c r="V1240" i="178"/>
  <c r="U1222" i="178"/>
  <c r="V1222" i="178"/>
  <c r="U1217" i="178"/>
  <c r="V1217" i="178"/>
  <c r="U1220" i="178"/>
  <c r="V1220" i="178"/>
  <c r="U1215" i="178"/>
  <c r="V1215" i="178"/>
  <c r="U1214" i="178"/>
  <c r="V1214" i="178"/>
  <c r="U1213" i="178"/>
  <c r="V1213" i="178"/>
  <c r="U1211" i="178"/>
  <c r="V1211" i="178"/>
  <c r="U1207" i="178"/>
  <c r="V1207" i="178"/>
  <c r="U1206" i="178"/>
  <c r="V1206" i="178"/>
  <c r="U1137" i="178"/>
  <c r="V1137" i="178"/>
  <c r="U1135" i="178"/>
  <c r="V1135" i="178"/>
  <c r="U1134" i="178"/>
  <c r="V1134" i="178"/>
  <c r="U557" i="178"/>
  <c r="V557" i="178"/>
  <c r="U534" i="178"/>
  <c r="V534" i="178"/>
  <c r="V533" i="178"/>
  <c r="BN1271" i="178"/>
  <c r="BB646" i="178"/>
  <c r="BH852" i="178"/>
  <c r="AT141" i="178"/>
  <c r="BH694" i="178"/>
  <c r="U1092" i="178"/>
  <c r="BF645" i="178"/>
  <c r="AX740" i="178"/>
  <c r="BH1180" i="178"/>
  <c r="BL341" i="178"/>
  <c r="BI180" i="178"/>
  <c r="BI183" i="178"/>
  <c r="BI216" i="178"/>
  <c r="BI953" i="178"/>
  <c r="BI1121" i="178"/>
  <c r="BI179" i="178"/>
  <c r="BI182" i="178"/>
  <c r="BI221" i="178"/>
  <c r="BI224" i="178"/>
  <c r="BJ648" i="178"/>
  <c r="BI235" i="178"/>
  <c r="BI219" i="178"/>
  <c r="BI206" i="178"/>
  <c r="BI223" i="178"/>
  <c r="BI959" i="178"/>
  <c r="BH291" i="178"/>
  <c r="BJ1169" i="178"/>
  <c r="BN1267" i="178"/>
  <c r="BJ141" i="178"/>
  <c r="BI178" i="178"/>
  <c r="BF141" i="178"/>
  <c r="BI176" i="178"/>
  <c r="BI181" i="178"/>
  <c r="BI220" i="178"/>
  <c r="BI213" i="178"/>
  <c r="BI222" i="178"/>
  <c r="BI1122" i="178"/>
  <c r="BI238" i="178"/>
  <c r="U464" i="178"/>
  <c r="V468" i="178"/>
  <c r="AX669" i="178"/>
  <c r="BF669" i="178"/>
  <c r="BM669" i="178"/>
  <c r="BH673" i="178"/>
  <c r="BH856" i="178"/>
  <c r="BN1265" i="178"/>
  <c r="U1085" i="178"/>
  <c r="U1087" i="178"/>
  <c r="BH139" i="178"/>
  <c r="BB1168" i="178"/>
  <c r="BK178" i="178"/>
  <c r="BK181" i="178"/>
  <c r="BK183" i="178"/>
  <c r="BK206" i="178"/>
  <c r="BK222" i="178"/>
  <c r="BK1121" i="178"/>
  <c r="BK235" i="178"/>
  <c r="BF573" i="178"/>
  <c r="V366" i="178"/>
  <c r="BK182" i="178"/>
  <c r="BK220" i="178"/>
  <c r="BK219" i="178"/>
  <c r="BK213" i="178"/>
  <c r="BK953" i="178"/>
  <c r="BK224" i="178"/>
  <c r="BK959" i="178"/>
  <c r="BK238" i="178"/>
  <c r="BM176" i="178"/>
  <c r="BM179" i="178"/>
  <c r="BM181" i="178"/>
  <c r="BM183" i="178"/>
  <c r="BM213" i="178"/>
  <c r="BM221" i="178"/>
  <c r="BH525" i="178"/>
  <c r="BH543" i="178"/>
  <c r="BH780" i="178"/>
  <c r="U918" i="178"/>
  <c r="BH1087" i="178"/>
  <c r="BF1168" i="178"/>
  <c r="BJ169" i="178"/>
  <c r="BK176" i="178"/>
  <c r="BK179" i="178"/>
  <c r="BK180" i="178"/>
  <c r="BK216" i="178"/>
  <c r="BK221" i="178"/>
  <c r="BK223" i="178"/>
  <c r="BK1122" i="178"/>
  <c r="BH302" i="178"/>
  <c r="BM178" i="178"/>
  <c r="BM180" i="178"/>
  <c r="BM182" i="178"/>
  <c r="BM220" i="178"/>
  <c r="BM216" i="178"/>
  <c r="BM206" i="178"/>
  <c r="AX296" i="178"/>
  <c r="BF296" i="178"/>
  <c r="BM296" i="178"/>
  <c r="U302" i="178"/>
  <c r="BH704" i="178"/>
  <c r="BF537" i="178"/>
  <c r="BJ644" i="178"/>
  <c r="BK645" i="178"/>
  <c r="AX718" i="178"/>
  <c r="BF718" i="178"/>
  <c r="BM718" i="178"/>
  <c r="BH857" i="178"/>
  <c r="BH491" i="178"/>
  <c r="BK692" i="178"/>
  <c r="BH1085" i="178"/>
  <c r="AU1166" i="178"/>
  <c r="BJ168" i="178"/>
  <c r="BJ212" i="178"/>
  <c r="BH294" i="178"/>
  <c r="BA314" i="178"/>
  <c r="BH497" i="178"/>
  <c r="BH507" i="178"/>
  <c r="BJ184" i="178"/>
  <c r="BJ153" i="178"/>
  <c r="BH703" i="178"/>
  <c r="BH296" i="178"/>
  <c r="BK468" i="178"/>
  <c r="BH513" i="178"/>
  <c r="AX524" i="178"/>
  <c r="BH537" i="178"/>
  <c r="AX571" i="178"/>
  <c r="AT573" i="178"/>
  <c r="BM574" i="178"/>
  <c r="BJ650" i="178"/>
  <c r="BH672" i="178"/>
  <c r="AX694" i="178"/>
  <c r="BF694" i="178"/>
  <c r="BM694" i="178"/>
  <c r="BH733" i="178"/>
  <c r="S740" i="178"/>
  <c r="BI740" i="178" s="1"/>
  <c r="BK740" i="178"/>
  <c r="BK160" i="178"/>
  <c r="BH955" i="178"/>
  <c r="S857" i="178"/>
  <c r="BG857" i="178" s="1"/>
  <c r="BK857" i="178"/>
  <c r="AX858" i="178"/>
  <c r="AT850" i="178"/>
  <c r="BF1083" i="178"/>
  <c r="BJ1244" i="178"/>
  <c r="BH1254" i="178"/>
  <c r="AX1262" i="178"/>
  <c r="BF1262" i="178"/>
  <c r="BM1262" i="178"/>
  <c r="BH550" i="178"/>
  <c r="BH935" i="178"/>
  <c r="BH954" i="178"/>
  <c r="BM1170" i="178"/>
  <c r="U1189" i="178"/>
  <c r="U564" i="178"/>
  <c r="BN1266" i="178"/>
  <c r="AX1267" i="178"/>
  <c r="V539" i="178"/>
  <c r="BJ642" i="178"/>
  <c r="AX668" i="178"/>
  <c r="BF668" i="178"/>
  <c r="BM668" i="178"/>
  <c r="U669" i="178"/>
  <c r="U670" i="178"/>
  <c r="BH1000" i="178"/>
  <c r="BK1000" i="178"/>
  <c r="BH1029" i="178"/>
  <c r="BH1078" i="178"/>
  <c r="BH1084" i="178"/>
  <c r="S1085" i="178"/>
  <c r="BA1085" i="178" s="1"/>
  <c r="AT1085" i="178"/>
  <c r="BB1085" i="178"/>
  <c r="BJ1085" i="178"/>
  <c r="BH1086" i="178"/>
  <c r="S1087" i="178"/>
  <c r="AY1087" i="178" s="1"/>
  <c r="AT1087" i="178"/>
  <c r="BB1087" i="178"/>
  <c r="BJ1087" i="178"/>
  <c r="V1119" i="178"/>
  <c r="V100" i="178"/>
  <c r="AT296" i="178"/>
  <c r="BJ296" i="178"/>
  <c r="BH307" i="178"/>
  <c r="BH339" i="178"/>
  <c r="V704" i="178"/>
  <c r="V705" i="178"/>
  <c r="U711" i="178"/>
  <c r="BH435" i="178"/>
  <c r="BH496" i="178"/>
  <c r="AX542" i="178"/>
  <c r="BH555" i="178"/>
  <c r="BH565" i="178"/>
  <c r="BB642" i="178"/>
  <c r="BJ646" i="178"/>
  <c r="BF649" i="178"/>
  <c r="BB650" i="178"/>
  <c r="BH669" i="178"/>
  <c r="BH670" i="178"/>
  <c r="BM140" i="178"/>
  <c r="S296" i="178"/>
  <c r="BA296" i="178" s="1"/>
  <c r="BK296" i="178"/>
  <c r="BM340" i="178"/>
  <c r="V348" i="178"/>
  <c r="V349" i="178"/>
  <c r="V716" i="178"/>
  <c r="V717" i="178"/>
  <c r="BK454" i="178"/>
  <c r="BK457" i="178"/>
  <c r="BM496" i="178"/>
  <c r="BH499" i="178"/>
  <c r="V523" i="178"/>
  <c r="AR524" i="178"/>
  <c r="AZ524" i="178"/>
  <c r="BH524" i="178"/>
  <c r="AV524" i="178"/>
  <c r="BF549" i="178"/>
  <c r="BK549" i="178"/>
  <c r="S565" i="178"/>
  <c r="BN565" i="178" s="1"/>
  <c r="BH668" i="178"/>
  <c r="V118" i="178"/>
  <c r="V153" i="178"/>
  <c r="V184" i="178"/>
  <c r="V212" i="178"/>
  <c r="V168" i="178"/>
  <c r="V169" i="178"/>
  <c r="AY176" i="178"/>
  <c r="BG176" i="178"/>
  <c r="AY178" i="178"/>
  <c r="BG178" i="178"/>
  <c r="AY179" i="178"/>
  <c r="BG179" i="178"/>
  <c r="AY180" i="178"/>
  <c r="BG180" i="178"/>
  <c r="AY181" i="178"/>
  <c r="BG181" i="178"/>
  <c r="AY182" i="178"/>
  <c r="BG182" i="178"/>
  <c r="AY183" i="178"/>
  <c r="BG183" i="178"/>
  <c r="AY220" i="178"/>
  <c r="BG220" i="178"/>
  <c r="AY219" i="178"/>
  <c r="BG219" i="178"/>
  <c r="BM219" i="178"/>
  <c r="AY216" i="178"/>
  <c r="BG216" i="178"/>
  <c r="AY213" i="178"/>
  <c r="BG213" i="178"/>
  <c r="AY206" i="178"/>
  <c r="BG206" i="178"/>
  <c r="AY221" i="178"/>
  <c r="BG221" i="178"/>
  <c r="AY953" i="178"/>
  <c r="BG953" i="178"/>
  <c r="BM953" i="178"/>
  <c r="AY222" i="178"/>
  <c r="BG222" i="178"/>
  <c r="BM222" i="178"/>
  <c r="AY223" i="178"/>
  <c r="BG223" i="178"/>
  <c r="BM223" i="178"/>
  <c r="AY224" i="178"/>
  <c r="BG224" i="178"/>
  <c r="BM224" i="178"/>
  <c r="AY1121" i="178"/>
  <c r="BG1121" i="178"/>
  <c r="BM1121" i="178"/>
  <c r="AY1122" i="178"/>
  <c r="BG1122" i="178"/>
  <c r="BM1122" i="178"/>
  <c r="AY959" i="178"/>
  <c r="BG959" i="178"/>
  <c r="BM959" i="178"/>
  <c r="AY235" i="178"/>
  <c r="BG235" i="178"/>
  <c r="BM235" i="178"/>
  <c r="AY238" i="178"/>
  <c r="BG238" i="178"/>
  <c r="BM238" i="178"/>
  <c r="AX313" i="178"/>
  <c r="BK314" i="178"/>
  <c r="BH341" i="178"/>
  <c r="BH342" i="178"/>
  <c r="BH344" i="178"/>
  <c r="BH348" i="178"/>
  <c r="BH349" i="178"/>
  <c r="BH350" i="178"/>
  <c r="BH351" i="178"/>
  <c r="BH716" i="178"/>
  <c r="BH717" i="178"/>
  <c r="U441" i="178"/>
  <c r="U444" i="178"/>
  <c r="U447" i="178"/>
  <c r="U450" i="178"/>
  <c r="V454" i="178"/>
  <c r="U457" i="178"/>
  <c r="BJ496" i="178"/>
  <c r="V673" i="178"/>
  <c r="U673" i="178"/>
  <c r="BJ740" i="178"/>
  <c r="BJ857" i="178"/>
  <c r="BN1030" i="178"/>
  <c r="BN1031" i="178"/>
  <c r="BD1096" i="178"/>
  <c r="U1113" i="178"/>
  <c r="BH1257" i="178"/>
  <c r="BB850" i="178"/>
  <c r="BH855" i="178"/>
  <c r="AT1168" i="178"/>
  <c r="AX1259" i="178"/>
  <c r="BF1259" i="178"/>
  <c r="BM1259" i="178"/>
  <c r="U1273" i="178"/>
  <c r="U694" i="178"/>
  <c r="BM733" i="178"/>
  <c r="BM740" i="178"/>
  <c r="BH957" i="178"/>
  <c r="BM857" i="178"/>
  <c r="BH1006" i="178"/>
  <c r="BH1081" i="178"/>
  <c r="AT1081" i="178"/>
  <c r="BB1081" i="178"/>
  <c r="BJ1081" i="178"/>
  <c r="BH1082" i="178"/>
  <c r="S1083" i="178"/>
  <c r="BA1083" i="178" s="1"/>
  <c r="BK1083" i="178"/>
  <c r="U1197" i="178"/>
  <c r="BM1166" i="178"/>
  <c r="AX1167" i="178"/>
  <c r="BF1169" i="178"/>
  <c r="BK1262" i="178"/>
  <c r="AX672" i="178"/>
  <c r="BF672" i="178"/>
  <c r="BM672" i="178"/>
  <c r="AX673" i="178"/>
  <c r="BF673" i="178"/>
  <c r="BM673" i="178"/>
  <c r="BH893" i="178"/>
  <c r="BH718" i="178"/>
  <c r="BH956" i="178"/>
  <c r="BM954" i="178"/>
  <c r="BK417" i="178"/>
  <c r="S491" i="178"/>
  <c r="BE491" i="178" s="1"/>
  <c r="AT491" i="178"/>
  <c r="BB491" i="178"/>
  <c r="BJ491" i="178"/>
  <c r="BH692" i="178"/>
  <c r="AT1000" i="178"/>
  <c r="BJ1000" i="178"/>
  <c r="BH1004" i="178"/>
  <c r="AT1030" i="178"/>
  <c r="BB1030" i="178"/>
  <c r="BJ1030" i="178"/>
  <c r="AV1119" i="178"/>
  <c r="U1255" i="178"/>
  <c r="BJ1273" i="178"/>
  <c r="BM1275" i="178"/>
  <c r="V2" i="178"/>
  <c r="V3" i="178"/>
  <c r="BJ140" i="178"/>
  <c r="BH84" i="178"/>
  <c r="BH85" i="178"/>
  <c r="BH92" i="178"/>
  <c r="BH99" i="178"/>
  <c r="BH100" i="178"/>
  <c r="BH110" i="178"/>
  <c r="BH118" i="178"/>
  <c r="BB141" i="178"/>
  <c r="S84" i="178"/>
  <c r="S85" i="178"/>
  <c r="BI85" i="178" s="1"/>
  <c r="S92" i="178"/>
  <c r="BI92" i="178" s="1"/>
  <c r="S99" i="178"/>
  <c r="BL99" i="178" s="1"/>
  <c r="S110" i="178"/>
  <c r="AT140" i="178"/>
  <c r="BH176" i="178"/>
  <c r="AT176" i="178"/>
  <c r="BB176" i="178"/>
  <c r="BJ176" i="178"/>
  <c r="BH178" i="178"/>
  <c r="AT178" i="178"/>
  <c r="BB178" i="178"/>
  <c r="BJ178" i="178"/>
  <c r="BH179" i="178"/>
  <c r="AT179" i="178"/>
  <c r="BB179" i="178"/>
  <c r="BJ179" i="178"/>
  <c r="BH180" i="178"/>
  <c r="AT180" i="178"/>
  <c r="BB180" i="178"/>
  <c r="BJ180" i="178"/>
  <c r="BH181" i="178"/>
  <c r="AT181" i="178"/>
  <c r="BB181" i="178"/>
  <c r="BJ181" i="178"/>
  <c r="BH182" i="178"/>
  <c r="AT182" i="178"/>
  <c r="BB182" i="178"/>
  <c r="BJ182" i="178"/>
  <c r="BH183" i="178"/>
  <c r="AT183" i="178"/>
  <c r="BB183" i="178"/>
  <c r="BJ183" i="178"/>
  <c r="BH220" i="178"/>
  <c r="AT220" i="178"/>
  <c r="BB220" i="178"/>
  <c r="BJ220" i="178"/>
  <c r="BH219" i="178"/>
  <c r="AT219" i="178"/>
  <c r="BB219" i="178"/>
  <c r="BJ219" i="178"/>
  <c r="BH216" i="178"/>
  <c r="AT216" i="178"/>
  <c r="BB216" i="178"/>
  <c r="BJ216" i="178"/>
  <c r="BH213" i="178"/>
  <c r="AT213" i="178"/>
  <c r="BB213" i="178"/>
  <c r="BJ213" i="178"/>
  <c r="BH206" i="178"/>
  <c r="AT206" i="178"/>
  <c r="BB206" i="178"/>
  <c r="BJ206" i="178"/>
  <c r="BH221" i="178"/>
  <c r="AT221" i="178"/>
  <c r="BB221" i="178"/>
  <c r="BJ221" i="178"/>
  <c r="BH953" i="178"/>
  <c r="AT953" i="178"/>
  <c r="BB953" i="178"/>
  <c r="BJ953" i="178"/>
  <c r="BH222" i="178"/>
  <c r="AT222" i="178"/>
  <c r="BB222" i="178"/>
  <c r="BJ222" i="178"/>
  <c r="BH223" i="178"/>
  <c r="AT223" i="178"/>
  <c r="BB223" i="178"/>
  <c r="BJ223" i="178"/>
  <c r="BH224" i="178"/>
  <c r="AT224" i="178"/>
  <c r="BB224" i="178"/>
  <c r="BJ224" i="178"/>
  <c r="BH1121" i="178"/>
  <c r="AT1121" i="178"/>
  <c r="BB1121" i="178"/>
  <c r="BJ1121" i="178"/>
  <c r="BH1122" i="178"/>
  <c r="AT1122" i="178"/>
  <c r="BB1122" i="178"/>
  <c r="BJ1122" i="178"/>
  <c r="BH959" i="178"/>
  <c r="AT959" i="178"/>
  <c r="BB959" i="178"/>
  <c r="BJ959" i="178"/>
  <c r="BH235" i="178"/>
  <c r="AT235" i="178"/>
  <c r="BB235" i="178"/>
  <c r="BJ235" i="178"/>
  <c r="BH238" i="178"/>
  <c r="AT238" i="178"/>
  <c r="BB238" i="178"/>
  <c r="BJ238" i="178"/>
  <c r="U296" i="178"/>
  <c r="S302" i="178"/>
  <c r="BL302" i="178" s="1"/>
  <c r="AT302" i="178"/>
  <c r="BJ302" i="178"/>
  <c r="U307" i="178"/>
  <c r="BF314" i="178"/>
  <c r="S348" i="178"/>
  <c r="BL348" i="178" s="1"/>
  <c r="V350" i="178"/>
  <c r="S716" i="178"/>
  <c r="BL716" i="178" s="1"/>
  <c r="S704" i="178"/>
  <c r="BL704" i="178" s="1"/>
  <c r="U794" i="178"/>
  <c r="BM499" i="178"/>
  <c r="BK524" i="178"/>
  <c r="BF543" i="178"/>
  <c r="AX549" i="178"/>
  <c r="BK302" i="178"/>
  <c r="AS314" i="178"/>
  <c r="BI314" i="178"/>
  <c r="BH340" i="178"/>
  <c r="V344" i="178"/>
  <c r="S349" i="178"/>
  <c r="BL349" i="178" s="1"/>
  <c r="V351" i="178"/>
  <c r="S717" i="178"/>
  <c r="BA717" i="178" s="1"/>
  <c r="V703" i="178"/>
  <c r="BK496" i="178"/>
  <c r="BF497" i="178"/>
  <c r="BB499" i="178"/>
  <c r="BH502" i="178"/>
  <c r="BK507" i="178"/>
  <c r="BK513" i="178"/>
  <c r="U541" i="178"/>
  <c r="AZ543" i="178"/>
  <c r="AZ544" i="178"/>
  <c r="S549" i="178"/>
  <c r="BA549" i="178" s="1"/>
  <c r="AT549" i="178"/>
  <c r="BJ549" i="178"/>
  <c r="BM555" i="178"/>
  <c r="AX302" i="178"/>
  <c r="BF302" i="178"/>
  <c r="BM302" i="178"/>
  <c r="BL350" i="178"/>
  <c r="BJ497" i="178"/>
  <c r="S703" i="178"/>
  <c r="BL703" i="178" s="1"/>
  <c r="AX496" i="178"/>
  <c r="S497" i="178"/>
  <c r="BI497" i="178" s="1"/>
  <c r="BK497" i="178"/>
  <c r="BH498" i="178"/>
  <c r="BF502" i="178"/>
  <c r="BM502" i="178"/>
  <c r="BB507" i="178"/>
  <c r="BB513" i="178"/>
  <c r="BH515" i="178"/>
  <c r="BH516" i="178"/>
  <c r="BH517" i="178"/>
  <c r="BH518" i="178"/>
  <c r="BH521" i="178"/>
  <c r="BM522" i="178"/>
  <c r="BB524" i="178"/>
  <c r="AZ537" i="178"/>
  <c r="BB539" i="178"/>
  <c r="BB542" i="178"/>
  <c r="BK544" i="178"/>
  <c r="U549" i="178"/>
  <c r="S555" i="178"/>
  <c r="BN555" i="178" s="1"/>
  <c r="AT555" i="178"/>
  <c r="BB573" i="178"/>
  <c r="BJ573" i="178"/>
  <c r="BH574" i="178"/>
  <c r="BM263" i="178"/>
  <c r="BM391" i="178"/>
  <c r="AX733" i="178"/>
  <c r="S957" i="178"/>
  <c r="BC957" i="178" s="1"/>
  <c r="BK957" i="178"/>
  <c r="BB954" i="178"/>
  <c r="S574" i="178"/>
  <c r="BC574" i="178" s="1"/>
  <c r="BK574" i="178"/>
  <c r="AT668" i="178"/>
  <c r="BB668" i="178"/>
  <c r="BJ668" i="178"/>
  <c r="AT672" i="178"/>
  <c r="BB672" i="178"/>
  <c r="BJ672" i="178"/>
  <c r="AT893" i="178"/>
  <c r="BB893" i="178"/>
  <c r="BJ893" i="178"/>
  <c r="AT935" i="178"/>
  <c r="BB935" i="178"/>
  <c r="BJ935" i="178"/>
  <c r="BB733" i="178"/>
  <c r="S954" i="178"/>
  <c r="BC954" i="178" s="1"/>
  <c r="BH858" i="178"/>
  <c r="BF858" i="178"/>
  <c r="BH851" i="178"/>
  <c r="BB851" i="178"/>
  <c r="BH257" i="178"/>
  <c r="AT644" i="178"/>
  <c r="AT648" i="178"/>
  <c r="S668" i="178"/>
  <c r="BC668" i="178" s="1"/>
  <c r="BK668" i="178"/>
  <c r="S672" i="178"/>
  <c r="AY672" i="178" s="1"/>
  <c r="BK672" i="178"/>
  <c r="S893" i="178"/>
  <c r="BL893" i="178" s="1"/>
  <c r="S935" i="178"/>
  <c r="S718" i="178"/>
  <c r="BC718" i="178" s="1"/>
  <c r="BK718" i="178"/>
  <c r="S733" i="178"/>
  <c r="BI733" i="178" s="1"/>
  <c r="BK733" i="178"/>
  <c r="BJ733" i="178"/>
  <c r="BH740" i="178"/>
  <c r="BB740" i="178"/>
  <c r="BH160" i="178"/>
  <c r="BB957" i="178"/>
  <c r="BK954" i="178"/>
  <c r="BB857" i="178"/>
  <c r="S858" i="178"/>
  <c r="BG858" i="178" s="1"/>
  <c r="BK858" i="178"/>
  <c r="BJ858" i="178"/>
  <c r="BJ849" i="178"/>
  <c r="AT849" i="178"/>
  <c r="BJ850" i="178"/>
  <c r="BH854" i="178"/>
  <c r="AU692" i="178"/>
  <c r="BI1000" i="178"/>
  <c r="BE1000" i="178"/>
  <c r="BF850" i="178"/>
  <c r="BH853" i="178"/>
  <c r="V1081" i="178"/>
  <c r="U1081" i="178"/>
  <c r="BH1197" i="178"/>
  <c r="S1197" i="178"/>
  <c r="AY1197" i="178" s="1"/>
  <c r="S1006" i="178"/>
  <c r="BI1006" i="178" s="1"/>
  <c r="BK1006" i="178"/>
  <c r="BJ1028" i="178"/>
  <c r="V1030" i="178"/>
  <c r="U1030" i="178"/>
  <c r="BH918" i="178"/>
  <c r="BH417" i="178"/>
  <c r="AT417" i="178"/>
  <c r="BB417" i="178"/>
  <c r="BJ417" i="178"/>
  <c r="AY692" i="178"/>
  <c r="BG692" i="178"/>
  <c r="BM692" i="178"/>
  <c r="U1000" i="178"/>
  <c r="AY1000" i="178"/>
  <c r="BF1000" i="178"/>
  <c r="BM1000" i="178"/>
  <c r="AT1195" i="178"/>
  <c r="BB1195" i="178"/>
  <c r="BJ1195" i="178"/>
  <c r="BG417" i="178"/>
  <c r="BK896" i="178"/>
  <c r="BC896" i="178"/>
  <c r="BM693" i="178"/>
  <c r="BB1006" i="178"/>
  <c r="AT1031" i="178"/>
  <c r="BB1031" i="178"/>
  <c r="BJ1031" i="178"/>
  <c r="V1083" i="178"/>
  <c r="U1083" i="178"/>
  <c r="BH1195" i="178"/>
  <c r="BM1195" i="178"/>
  <c r="S1195" i="178"/>
  <c r="BL1195" i="178" s="1"/>
  <c r="AX1081" i="178"/>
  <c r="BF1081" i="178"/>
  <c r="BM1081" i="178"/>
  <c r="BH952" i="178"/>
  <c r="AT1197" i="178"/>
  <c r="BB1197" i="178"/>
  <c r="BJ1197" i="178"/>
  <c r="BH1196" i="178"/>
  <c r="BK1096" i="178"/>
  <c r="AV1096" i="178"/>
  <c r="S1096" i="178"/>
  <c r="BE1096" i="178" s="1"/>
  <c r="U1031" i="178"/>
  <c r="AX1031" i="178"/>
  <c r="BF1031" i="178"/>
  <c r="BM1031" i="178"/>
  <c r="AT1082" i="178"/>
  <c r="BB1082" i="178"/>
  <c r="BJ1082" i="178"/>
  <c r="AX1085" i="178"/>
  <c r="BF1085" i="178"/>
  <c r="BM1085" i="178"/>
  <c r="AX1087" i="178"/>
  <c r="BF1087" i="178"/>
  <c r="V1195" i="178"/>
  <c r="U1195" i="178"/>
  <c r="U1096" i="178"/>
  <c r="V1096" i="178"/>
  <c r="BL1081" i="178"/>
  <c r="BM1087" i="178"/>
  <c r="AX1197" i="178"/>
  <c r="BK1170" i="178"/>
  <c r="BB1180" i="178"/>
  <c r="BH1113" i="178"/>
  <c r="BH1242" i="178"/>
  <c r="BK1168" i="178"/>
  <c r="BJ1168" i="178"/>
  <c r="S1180" i="178"/>
  <c r="BN1180" i="178" s="1"/>
  <c r="BK1180" i="178"/>
  <c r="U1257" i="178"/>
  <c r="U1260" i="178"/>
  <c r="U1261" i="178"/>
  <c r="AX1275" i="178"/>
  <c r="BB1170" i="178"/>
  <c r="BM1189" i="178"/>
  <c r="BF1197" i="178"/>
  <c r="BM1197" i="178"/>
  <c r="AX1195" i="178"/>
  <c r="BF1195" i="178"/>
  <c r="BJ1034" i="178"/>
  <c r="BF1166" i="178"/>
  <c r="BJ1180" i="178"/>
  <c r="BH1255" i="178"/>
  <c r="BH1256" i="178"/>
  <c r="S1257" i="178"/>
  <c r="BL1257" i="178" s="1"/>
  <c r="BH1259" i="178"/>
  <c r="AT1259" i="178"/>
  <c r="BB1259" i="178"/>
  <c r="BJ1259" i="178"/>
  <c r="BK1260" i="178"/>
  <c r="BH1261" i="178"/>
  <c r="BH1262" i="178"/>
  <c r="AT1262" i="178"/>
  <c r="BB1262" i="178"/>
  <c r="BH1265" i="178"/>
  <c r="AT1265" i="178"/>
  <c r="BH1266" i="178"/>
  <c r="AT1266" i="178"/>
  <c r="BH1267" i="178"/>
  <c r="BH1268" i="178"/>
  <c r="BH1274" i="178"/>
  <c r="BM100" i="178"/>
  <c r="BM118" i="178"/>
  <c r="V84" i="178"/>
  <c r="V92" i="178"/>
  <c r="V99" i="178"/>
  <c r="S100" i="178"/>
  <c r="BL100" i="178" s="1"/>
  <c r="V110" i="178"/>
  <c r="S118" i="178"/>
  <c r="BI118" i="178" s="1"/>
  <c r="AX140" i="178"/>
  <c r="U176" i="178"/>
  <c r="U178" i="178"/>
  <c r="U179" i="178"/>
  <c r="U180" i="178"/>
  <c r="U181" i="178"/>
  <c r="U182" i="178"/>
  <c r="U183" i="178"/>
  <c r="U220" i="178"/>
  <c r="U219" i="178"/>
  <c r="U216" i="178"/>
  <c r="U213" i="178"/>
  <c r="U206" i="178"/>
  <c r="U221" i="178"/>
  <c r="U953" i="178"/>
  <c r="U222" i="178"/>
  <c r="U223" i="178"/>
  <c r="U224" i="178"/>
  <c r="U1121" i="178"/>
  <c r="U1122" i="178"/>
  <c r="U959" i="178"/>
  <c r="U235" i="178"/>
  <c r="U238" i="178"/>
  <c r="S291" i="178"/>
  <c r="BG291" i="178" s="1"/>
  <c r="AT291" i="178"/>
  <c r="BB291" i="178"/>
  <c r="BJ291" i="178"/>
  <c r="S294" i="178"/>
  <c r="AT294" i="178"/>
  <c r="BB294" i="178"/>
  <c r="BJ294" i="178"/>
  <c r="AX307" i="178"/>
  <c r="BH313" i="178"/>
  <c r="BF313" i="178"/>
  <c r="S313" i="178"/>
  <c r="BC313" i="178" s="1"/>
  <c r="BM313" i="178"/>
  <c r="BM2" i="178"/>
  <c r="BH3" i="178"/>
  <c r="V85" i="178"/>
  <c r="BM84" i="178"/>
  <c r="BM85" i="178"/>
  <c r="BM92" i="178"/>
  <c r="BM99" i="178"/>
  <c r="BM110" i="178"/>
  <c r="BB140" i="178"/>
  <c r="BM141" i="178"/>
  <c r="AX141" i="178"/>
  <c r="AU176" i="178"/>
  <c r="AU178" i="178"/>
  <c r="AU179" i="178"/>
  <c r="AU180" i="178"/>
  <c r="AU181" i="178"/>
  <c r="AU182" i="178"/>
  <c r="AU183" i="178"/>
  <c r="AU220" i="178"/>
  <c r="AU219" i="178"/>
  <c r="AU216" i="178"/>
  <c r="AU213" i="178"/>
  <c r="AU206" i="178"/>
  <c r="AU221" i="178"/>
  <c r="AU953" i="178"/>
  <c r="AU222" i="178"/>
  <c r="AU223" i="178"/>
  <c r="AU224" i="178"/>
  <c r="AU1121" i="178"/>
  <c r="AU1122" i="178"/>
  <c r="AU959" i="178"/>
  <c r="AU235" i="178"/>
  <c r="AU238" i="178"/>
  <c r="BK291" i="178"/>
  <c r="BK294" i="178"/>
  <c r="S307" i="178"/>
  <c r="BL307" i="178" s="1"/>
  <c r="AT307" i="178"/>
  <c r="BB307" i="178"/>
  <c r="BJ307" i="178"/>
  <c r="BF307" i="178"/>
  <c r="BF140" i="178"/>
  <c r="BC176" i="178"/>
  <c r="BC178" i="178"/>
  <c r="BC179" i="178"/>
  <c r="BC180" i="178"/>
  <c r="BC181" i="178"/>
  <c r="BC182" i="178"/>
  <c r="BC183" i="178"/>
  <c r="BC220" i="178"/>
  <c r="BC219" i="178"/>
  <c r="BC216" i="178"/>
  <c r="BC213" i="178"/>
  <c r="BC206" i="178"/>
  <c r="BC221" i="178"/>
  <c r="BC953" i="178"/>
  <c r="BC222" i="178"/>
  <c r="BC223" i="178"/>
  <c r="BC224" i="178"/>
  <c r="BC1121" i="178"/>
  <c r="BC1122" i="178"/>
  <c r="BC959" i="178"/>
  <c r="BC235" i="178"/>
  <c r="BC238" i="178"/>
  <c r="U291" i="178"/>
  <c r="BM291" i="178"/>
  <c r="U294" i="178"/>
  <c r="BM294" i="178"/>
  <c r="BB296" i="178"/>
  <c r="BB302" i="178"/>
  <c r="BK307" i="178"/>
  <c r="BM307" i="178"/>
  <c r="BK313" i="178"/>
  <c r="AW314" i="178"/>
  <c r="BE314" i="178"/>
  <c r="AX340" i="178"/>
  <c r="BM342" i="178"/>
  <c r="BL344" i="178"/>
  <c r="BL351" i="178"/>
  <c r="V793" i="178"/>
  <c r="BK711" i="178"/>
  <c r="BK441" i="178"/>
  <c r="BK444" i="178"/>
  <c r="BK447" i="178"/>
  <c r="BK450" i="178"/>
  <c r="V460" i="178"/>
  <c r="BK464" i="178"/>
  <c r="V477" i="178"/>
  <c r="AT496" i="178"/>
  <c r="BM497" i="178"/>
  <c r="BB497" i="178"/>
  <c r="BK498" i="178"/>
  <c r="AX498" i="178"/>
  <c r="BJ498" i="178"/>
  <c r="S499" i="178"/>
  <c r="AY499" i="178" s="1"/>
  <c r="BF499" i="178"/>
  <c r="S502" i="178"/>
  <c r="BC502" i="178" s="1"/>
  <c r="AX502" i="178"/>
  <c r="AT507" i="178"/>
  <c r="BJ507" i="178"/>
  <c r="AT513" i="178"/>
  <c r="BJ513" i="178"/>
  <c r="AT515" i="178"/>
  <c r="BJ515" i="178"/>
  <c r="AT516" i="178"/>
  <c r="BJ516" i="178"/>
  <c r="AT517" i="178"/>
  <c r="BJ517" i="178"/>
  <c r="AT518" i="178"/>
  <c r="BJ518" i="178"/>
  <c r="AT521" i="178"/>
  <c r="BJ521" i="178"/>
  <c r="U524" i="178"/>
  <c r="AZ525" i="178"/>
  <c r="U537" i="178"/>
  <c r="BK537" i="178"/>
  <c r="BB537" i="178"/>
  <c r="AR542" i="178"/>
  <c r="BH542" i="178"/>
  <c r="AV542" i="178"/>
  <c r="AV543" i="178"/>
  <c r="BH544" i="178"/>
  <c r="BF544" i="178"/>
  <c r="BM550" i="178"/>
  <c r="AT565" i="178"/>
  <c r="BB565" i="178"/>
  <c r="BJ565" i="178"/>
  <c r="BF565" i="178"/>
  <c r="AX339" i="178"/>
  <c r="AT340" i="178"/>
  <c r="BB340" i="178"/>
  <c r="BJ340" i="178"/>
  <c r="BF340" i="178"/>
  <c r="BM348" i="178"/>
  <c r="BM350" i="178"/>
  <c r="BM716" i="178"/>
  <c r="BM704" i="178"/>
  <c r="V435" i="178"/>
  <c r="BK460" i="178"/>
  <c r="BK477" i="178"/>
  <c r="S496" i="178"/>
  <c r="AS496" i="178" s="1"/>
  <c r="BF496" i="178"/>
  <c r="AT497" i="178"/>
  <c r="BM498" i="178"/>
  <c r="BB498" i="178"/>
  <c r="BK499" i="178"/>
  <c r="AX499" i="178"/>
  <c r="BJ499" i="178"/>
  <c r="BK502" i="178"/>
  <c r="BB502" i="178"/>
  <c r="S507" i="178"/>
  <c r="AS507" i="178" s="1"/>
  <c r="AX507" i="178"/>
  <c r="BM507" i="178"/>
  <c r="S513" i="178"/>
  <c r="AY513" i="178" s="1"/>
  <c r="AX513" i="178"/>
  <c r="BM513" i="178"/>
  <c r="S515" i="178"/>
  <c r="AX515" i="178"/>
  <c r="BM515" i="178"/>
  <c r="S516" i="178"/>
  <c r="BL516" i="178" s="1"/>
  <c r="AX516" i="178"/>
  <c r="BM516" i="178"/>
  <c r="S517" i="178"/>
  <c r="AS517" i="178" s="1"/>
  <c r="AX517" i="178"/>
  <c r="BM517" i="178"/>
  <c r="S518" i="178"/>
  <c r="AX518" i="178"/>
  <c r="BM518" i="178"/>
  <c r="S521" i="178"/>
  <c r="AX521" i="178"/>
  <c r="BM521" i="178"/>
  <c r="S522" i="178"/>
  <c r="BE522" i="178" s="1"/>
  <c r="AT522" i="178"/>
  <c r="AZ522" i="178"/>
  <c r="U525" i="178"/>
  <c r="BK525" i="178"/>
  <c r="BB525" i="178"/>
  <c r="AR539" i="178"/>
  <c r="BH539" i="178"/>
  <c r="AV539" i="178"/>
  <c r="BJ555" i="178"/>
  <c r="BF555" i="178"/>
  <c r="BK565" i="178"/>
  <c r="BM565" i="178"/>
  <c r="AT339" i="178"/>
  <c r="BB339" i="178"/>
  <c r="BJ339" i="178"/>
  <c r="BF339" i="178"/>
  <c r="BM435" i="178"/>
  <c r="AT498" i="178"/>
  <c r="BK515" i="178"/>
  <c r="BB515" i="178"/>
  <c r="BK516" i="178"/>
  <c r="BB516" i="178"/>
  <c r="BK517" i="178"/>
  <c r="BB517" i="178"/>
  <c r="BK518" i="178"/>
  <c r="BB518" i="178"/>
  <c r="BB521" i="178"/>
  <c r="BD522" i="178"/>
  <c r="BK522" i="178"/>
  <c r="BF522" i="178"/>
  <c r="BF524" i="178"/>
  <c r="BF525" i="178"/>
  <c r="AV537" i="178"/>
  <c r="AX539" i="178"/>
  <c r="U542" i="178"/>
  <c r="U543" i="178"/>
  <c r="BK543" i="178"/>
  <c r="BB543" i="178"/>
  <c r="BH549" i="178"/>
  <c r="BM549" i="178"/>
  <c r="BK555" i="178"/>
  <c r="AX555" i="178"/>
  <c r="S550" i="178"/>
  <c r="BL550" i="178" s="1"/>
  <c r="AT550" i="178"/>
  <c r="BB550" i="178"/>
  <c r="BJ550" i="178"/>
  <c r="BH573" i="178"/>
  <c r="AX573" i="178"/>
  <c r="BM573" i="178"/>
  <c r="S573" i="178"/>
  <c r="BN573" i="178" s="1"/>
  <c r="AT313" i="178"/>
  <c r="BB313" i="178"/>
  <c r="BJ313" i="178"/>
  <c r="BH314" i="178"/>
  <c r="AT314" i="178"/>
  <c r="BB314" i="178"/>
  <c r="BJ314" i="178"/>
  <c r="AX314" i="178"/>
  <c r="BM314" i="178"/>
  <c r="S339" i="178"/>
  <c r="AU339" i="178" s="1"/>
  <c r="BM339" i="178"/>
  <c r="BM341" i="178"/>
  <c r="BM344" i="178"/>
  <c r="BM349" i="178"/>
  <c r="BM351" i="178"/>
  <c r="BM717" i="178"/>
  <c r="BM703" i="178"/>
  <c r="BK705" i="178"/>
  <c r="S435" i="178"/>
  <c r="BI435" i="178" s="1"/>
  <c r="BB496" i="178"/>
  <c r="AX497" i="178"/>
  <c r="S498" i="178"/>
  <c r="BG498" i="178" s="1"/>
  <c r="BF498" i="178"/>
  <c r="AT499" i="178"/>
  <c r="AT502" i="178"/>
  <c r="BJ502" i="178"/>
  <c r="BF507" i="178"/>
  <c r="BF513" i="178"/>
  <c r="BF515" i="178"/>
  <c r="BF516" i="178"/>
  <c r="BF517" i="178"/>
  <c r="BF518" i="178"/>
  <c r="BF521" i="178"/>
  <c r="BJ522" i="178"/>
  <c r="AV525" i="178"/>
  <c r="BK550" i="178"/>
  <c r="AX550" i="178"/>
  <c r="BF550" i="178"/>
  <c r="AX565" i="178"/>
  <c r="BK573" i="178"/>
  <c r="BF642" i="178"/>
  <c r="BB643" i="178"/>
  <c r="AX644" i="178"/>
  <c r="AT645" i="178"/>
  <c r="BJ645" i="178"/>
  <c r="BF646" i="178"/>
  <c r="BB647" i="178"/>
  <c r="AX648" i="178"/>
  <c r="AT649" i="178"/>
  <c r="BJ649" i="178"/>
  <c r="BF650" i="178"/>
  <c r="U668" i="178"/>
  <c r="S670" i="178"/>
  <c r="BC670" i="178" s="1"/>
  <c r="AT670" i="178"/>
  <c r="BB670" i="178"/>
  <c r="BJ670" i="178"/>
  <c r="U672" i="178"/>
  <c r="BK893" i="178"/>
  <c r="BK935" i="178"/>
  <c r="BH571" i="178"/>
  <c r="AT571" i="178"/>
  <c r="BB571" i="178"/>
  <c r="BJ571" i="178"/>
  <c r="BF571" i="178"/>
  <c r="AX574" i="178"/>
  <c r="BK780" i="178"/>
  <c r="AT642" i="178"/>
  <c r="BF643" i="178"/>
  <c r="BB644" i="178"/>
  <c r="AX645" i="178"/>
  <c r="AT646" i="178"/>
  <c r="BF647" i="178"/>
  <c r="BB648" i="178"/>
  <c r="AX649" i="178"/>
  <c r="AT650" i="178"/>
  <c r="S669" i="178"/>
  <c r="BI669" i="178" s="1"/>
  <c r="AT669" i="178"/>
  <c r="BB669" i="178"/>
  <c r="BJ669" i="178"/>
  <c r="BK670" i="178"/>
  <c r="S673" i="178"/>
  <c r="AS673" i="178" s="1"/>
  <c r="AT673" i="178"/>
  <c r="BB673" i="178"/>
  <c r="BJ673" i="178"/>
  <c r="U893" i="178"/>
  <c r="AX893" i="178"/>
  <c r="BF893" i="178"/>
  <c r="BM893" i="178"/>
  <c r="U935" i="178"/>
  <c r="AX935" i="178"/>
  <c r="BF935" i="178"/>
  <c r="BM935" i="178"/>
  <c r="S694" i="178"/>
  <c r="BL694" i="178" s="1"/>
  <c r="AT694" i="178"/>
  <c r="BB694" i="178"/>
  <c r="BJ694" i="178"/>
  <c r="AT733" i="178"/>
  <c r="AT740" i="178"/>
  <c r="BN571" i="178"/>
  <c r="BK571" i="178"/>
  <c r="BM571" i="178"/>
  <c r="AT574" i="178"/>
  <c r="BB574" i="178"/>
  <c r="BJ574" i="178"/>
  <c r="BF574" i="178"/>
  <c r="BK642" i="178"/>
  <c r="AX642" i="178"/>
  <c r="AT643" i="178"/>
  <c r="BJ643" i="178"/>
  <c r="BF644" i="178"/>
  <c r="BB645" i="178"/>
  <c r="BK646" i="178"/>
  <c r="AX646" i="178"/>
  <c r="AT647" i="178"/>
  <c r="BJ647" i="178"/>
  <c r="BF648" i="178"/>
  <c r="BB649" i="178"/>
  <c r="BK650" i="178"/>
  <c r="AX650" i="178"/>
  <c r="BK669" i="178"/>
  <c r="AX670" i="178"/>
  <c r="BF670" i="178"/>
  <c r="BM670" i="178"/>
  <c r="BK673" i="178"/>
  <c r="BK694" i="178"/>
  <c r="AT718" i="178"/>
  <c r="BB718" i="178"/>
  <c r="BJ718" i="178"/>
  <c r="BF733" i="178"/>
  <c r="BF740" i="178"/>
  <c r="BK257" i="178"/>
  <c r="AX643" i="178"/>
  <c r="AX647" i="178"/>
  <c r="AU160" i="178"/>
  <c r="AT956" i="178"/>
  <c r="BJ956" i="178"/>
  <c r="AT955" i="178"/>
  <c r="BH849" i="178"/>
  <c r="AX849" i="178"/>
  <c r="BF851" i="178"/>
  <c r="V855" i="178"/>
  <c r="V856" i="178"/>
  <c r="BB160" i="178"/>
  <c r="S956" i="178"/>
  <c r="BG956" i="178" s="1"/>
  <c r="BM957" i="178"/>
  <c r="AT954" i="178"/>
  <c r="BJ954" i="178"/>
  <c r="S955" i="178"/>
  <c r="AY955" i="178" s="1"/>
  <c r="BF955" i="178"/>
  <c r="AT857" i="178"/>
  <c r="BM858" i="178"/>
  <c r="BB858" i="178"/>
  <c r="BB849" i="178"/>
  <c r="BH850" i="178"/>
  <c r="AX850" i="178"/>
  <c r="AT851" i="178"/>
  <c r="BJ851" i="178"/>
  <c r="AY160" i="178"/>
  <c r="BG160" i="178"/>
  <c r="BM160" i="178"/>
  <c r="BC160" i="178"/>
  <c r="BK956" i="178"/>
  <c r="BB956" i="178"/>
  <c r="AT957" i="178"/>
  <c r="BJ957" i="178"/>
  <c r="BK955" i="178"/>
  <c r="AX955" i="178"/>
  <c r="BJ955" i="178"/>
  <c r="BF857" i="178"/>
  <c r="AT858" i="178"/>
  <c r="BF849" i="178"/>
  <c r="AX851" i="178"/>
  <c r="AT160" i="178"/>
  <c r="BJ160" i="178"/>
  <c r="BM956" i="178"/>
  <c r="BM955" i="178"/>
  <c r="BB955" i="178"/>
  <c r="AX857" i="178"/>
  <c r="AX918" i="178"/>
  <c r="BF918" i="178"/>
  <c r="BM918" i="178"/>
  <c r="BE417" i="178"/>
  <c r="BK491" i="178"/>
  <c r="AU896" i="178"/>
  <c r="AT486" i="178"/>
  <c r="BJ486" i="178"/>
  <c r="BK918" i="178"/>
  <c r="AX486" i="178"/>
  <c r="S918" i="178"/>
  <c r="BE918" i="178" s="1"/>
  <c r="AT918" i="178"/>
  <c r="BB918" i="178"/>
  <c r="BJ918" i="178"/>
  <c r="AX417" i="178"/>
  <c r="BF417" i="178"/>
  <c r="BM417" i="178"/>
  <c r="U896" i="178"/>
  <c r="BB486" i="178"/>
  <c r="AW417" i="178"/>
  <c r="AX491" i="178"/>
  <c r="BF491" i="178"/>
  <c r="BM491" i="178"/>
  <c r="BL692" i="178"/>
  <c r="BC692" i="178"/>
  <c r="BH896" i="178"/>
  <c r="AY896" i="178"/>
  <c r="BG896" i="178"/>
  <c r="BM896" i="178"/>
  <c r="BF486" i="178"/>
  <c r="BM366" i="178"/>
  <c r="AT1004" i="178"/>
  <c r="BJ1004" i="178"/>
  <c r="S1028" i="178"/>
  <c r="AW1028" i="178" s="1"/>
  <c r="AX1029" i="178"/>
  <c r="BF1029" i="178"/>
  <c r="BM1029" i="178"/>
  <c r="BK1029" i="178"/>
  <c r="AS1000" i="178"/>
  <c r="S1004" i="178"/>
  <c r="AY1004" i="178" s="1"/>
  <c r="BM1006" i="178"/>
  <c r="V1028" i="178"/>
  <c r="U1028" i="178"/>
  <c r="BL1000" i="178"/>
  <c r="BC1000" i="178"/>
  <c r="AX1000" i="178"/>
  <c r="BN1000" i="178"/>
  <c r="BK1004" i="178"/>
  <c r="BB1004" i="178"/>
  <c r="AT1006" i="178"/>
  <c r="BJ1006" i="178"/>
  <c r="AX1028" i="178"/>
  <c r="BF1028" i="178"/>
  <c r="BM1028" i="178"/>
  <c r="S1029" i="178"/>
  <c r="BG1029" i="178" s="1"/>
  <c r="AT1029" i="178"/>
  <c r="BB1029" i="178"/>
  <c r="AU1030" i="178"/>
  <c r="BH1031" i="178"/>
  <c r="BK1031" i="178"/>
  <c r="AU1031" i="178"/>
  <c r="BM1004" i="178"/>
  <c r="BH1028" i="178"/>
  <c r="BB1028" i="178"/>
  <c r="AT1028" i="178"/>
  <c r="BK1028" i="178"/>
  <c r="V1029" i="178"/>
  <c r="U1029" i="178"/>
  <c r="BJ1029" i="178"/>
  <c r="BC1030" i="178"/>
  <c r="BC1031" i="178"/>
  <c r="BH1030" i="178"/>
  <c r="AX1030" i="178"/>
  <c r="BF1030" i="178"/>
  <c r="BM1030" i="178"/>
  <c r="BK1030" i="178"/>
  <c r="V1080" i="178"/>
  <c r="BK1081" i="178"/>
  <c r="S1082" i="178"/>
  <c r="BL1082" i="178" s="1"/>
  <c r="BF1082" i="178"/>
  <c r="AT1083" i="178"/>
  <c r="BB1083" i="178"/>
  <c r="BJ1083" i="178"/>
  <c r="AX1084" i="178"/>
  <c r="BF1084" i="178"/>
  <c r="BM1084" i="178"/>
  <c r="BK1085" i="178"/>
  <c r="S1086" i="178"/>
  <c r="BG1086" i="178" s="1"/>
  <c r="AT1086" i="178"/>
  <c r="BB1086" i="178"/>
  <c r="BJ1086" i="178"/>
  <c r="BM1086" i="178"/>
  <c r="U952" i="178"/>
  <c r="AX952" i="178"/>
  <c r="BF952" i="178"/>
  <c r="BK1197" i="178"/>
  <c r="S139" i="178"/>
  <c r="BC139" i="178" s="1"/>
  <c r="AT139" i="178"/>
  <c r="BB139" i="178"/>
  <c r="BJ139" i="178"/>
  <c r="BM139" i="178"/>
  <c r="U1196" i="178"/>
  <c r="AX1196" i="178"/>
  <c r="BF1196" i="178"/>
  <c r="S1034" i="178"/>
  <c r="AZ1034" i="178"/>
  <c r="BM1034" i="178"/>
  <c r="BF1096" i="178"/>
  <c r="U1117" i="178"/>
  <c r="AR1119" i="178"/>
  <c r="AZ1119" i="178"/>
  <c r="BH1119" i="178"/>
  <c r="BK952" i="178"/>
  <c r="BK1196" i="178"/>
  <c r="AV1034" i="178"/>
  <c r="BB1034" i="178"/>
  <c r="S1078" i="178"/>
  <c r="BL1078" i="178" s="1"/>
  <c r="BH1079" i="178"/>
  <c r="BM1080" i="178"/>
  <c r="U1082" i="178"/>
  <c r="BK1082" i="178"/>
  <c r="BH1083" i="178"/>
  <c r="AX1083" i="178"/>
  <c r="BM1083" i="178"/>
  <c r="S1084" i="178"/>
  <c r="BN1084" i="178" s="1"/>
  <c r="AT1084" i="178"/>
  <c r="BB1084" i="178"/>
  <c r="BJ1084" i="178"/>
  <c r="U1086" i="178"/>
  <c r="AX1086" i="178"/>
  <c r="BF1086" i="178"/>
  <c r="BK1087" i="178"/>
  <c r="S952" i="178"/>
  <c r="BC952" i="178" s="1"/>
  <c r="AT952" i="178"/>
  <c r="BB952" i="178"/>
  <c r="BJ952" i="178"/>
  <c r="BM952" i="178"/>
  <c r="U139" i="178"/>
  <c r="AX139" i="178"/>
  <c r="BF139" i="178"/>
  <c r="BK1195" i="178"/>
  <c r="S1196" i="178"/>
  <c r="BL1196" i="178" s="1"/>
  <c r="AT1196" i="178"/>
  <c r="BB1196" i="178"/>
  <c r="BJ1196" i="178"/>
  <c r="BM1196" i="178"/>
  <c r="U1034" i="178"/>
  <c r="BF1034" i="178"/>
  <c r="AX1096" i="178"/>
  <c r="U1114" i="178"/>
  <c r="AX1082" i="178"/>
  <c r="BM1082" i="178"/>
  <c r="BK1084" i="178"/>
  <c r="BK1086" i="178"/>
  <c r="BK139" i="178"/>
  <c r="AR1034" i="178"/>
  <c r="BH1034" i="178"/>
  <c r="AT1034" i="178"/>
  <c r="BI1166" i="178"/>
  <c r="BC1166" i="178"/>
  <c r="BN1166" i="178"/>
  <c r="V1180" i="178"/>
  <c r="U1180" i="178"/>
  <c r="BM1167" i="178"/>
  <c r="BJ1167" i="178"/>
  <c r="AT1167" i="178"/>
  <c r="BF1167" i="178"/>
  <c r="BB1167" i="178"/>
  <c r="BK1166" i="178"/>
  <c r="AX1166" i="178"/>
  <c r="BJ1166" i="178"/>
  <c r="BK1167" i="178"/>
  <c r="BM1168" i="178"/>
  <c r="AX1168" i="178"/>
  <c r="AT1169" i="178"/>
  <c r="BF1170" i="178"/>
  <c r="AX1180" i="178"/>
  <c r="BF1180" i="178"/>
  <c r="BM1180" i="178"/>
  <c r="S1189" i="178"/>
  <c r="BA1189" i="178" s="1"/>
  <c r="AT1189" i="178"/>
  <c r="BJ1189" i="178"/>
  <c r="U1091" i="178"/>
  <c r="AY1166" i="178"/>
  <c r="BG1166" i="178"/>
  <c r="BB1166" i="178"/>
  <c r="BM1169" i="178"/>
  <c r="AX1169" i="178"/>
  <c r="AT1170" i="178"/>
  <c r="BJ1170" i="178"/>
  <c r="AT1180" i="178"/>
  <c r="BK1189" i="178"/>
  <c r="AT1166" i="178"/>
  <c r="BK1169" i="178"/>
  <c r="BB1169" i="178"/>
  <c r="AX1170" i="178"/>
  <c r="BB1189" i="178"/>
  <c r="U1093" i="178"/>
  <c r="BK1092" i="178"/>
  <c r="V1243" i="178"/>
  <c r="U1254" i="178"/>
  <c r="AX1254" i="178"/>
  <c r="BF1254" i="178"/>
  <c r="BM1254" i="178"/>
  <c r="BK1255" i="178"/>
  <c r="S1256" i="178"/>
  <c r="BI1256" i="178" s="1"/>
  <c r="BJ1256" i="178"/>
  <c r="BK1259" i="178"/>
  <c r="S1261" i="178"/>
  <c r="BL1261" i="178" s="1"/>
  <c r="AT1261" i="178"/>
  <c r="BB1261" i="178"/>
  <c r="BJ1261" i="178"/>
  <c r="AX1265" i="178"/>
  <c r="BF1265" i="178"/>
  <c r="BM1265" i="178"/>
  <c r="AU1266" i="178"/>
  <c r="BK1267" i="178"/>
  <c r="BM1273" i="178"/>
  <c r="S1274" i="178"/>
  <c r="BN1274" i="178" s="1"/>
  <c r="AT1274" i="178"/>
  <c r="BF1275" i="178"/>
  <c r="BB1244" i="178"/>
  <c r="AX1255" i="178"/>
  <c r="BF1255" i="178"/>
  <c r="BM1255" i="178"/>
  <c r="AT1256" i="178"/>
  <c r="BB1256" i="178"/>
  <c r="AX1257" i="178"/>
  <c r="BF1257" i="178"/>
  <c r="BM1257" i="178"/>
  <c r="BM1260" i="178"/>
  <c r="BK1261" i="178"/>
  <c r="BL1262" i="178"/>
  <c r="BJ1262" i="178"/>
  <c r="BB1265" i="178"/>
  <c r="BB1266" i="178"/>
  <c r="BJ1266" i="178"/>
  <c r="BC1266" i="178"/>
  <c r="AT1267" i="178"/>
  <c r="BB1267" i="178"/>
  <c r="BJ1267" i="178"/>
  <c r="U1268" i="178"/>
  <c r="AX1268" i="178"/>
  <c r="BF1268" i="178"/>
  <c r="BM1268" i="178"/>
  <c r="U1271" i="178"/>
  <c r="BM1271" i="178"/>
  <c r="S1273" i="178"/>
  <c r="BL1273" i="178" s="1"/>
  <c r="BB1274" i="178"/>
  <c r="AT1275" i="178"/>
  <c r="BF1244" i="178"/>
  <c r="S1254" i="178"/>
  <c r="BL1254" i="178" s="1"/>
  <c r="AT1254" i="178"/>
  <c r="BB1254" i="178"/>
  <c r="BJ1254" i="178"/>
  <c r="U1256" i="178"/>
  <c r="BK1256" i="178"/>
  <c r="BK1257" i="178"/>
  <c r="AX1261" i="178"/>
  <c r="BF1261" i="178"/>
  <c r="BM1261" i="178"/>
  <c r="BJ1265" i="178"/>
  <c r="BK1266" i="178"/>
  <c r="BK1268" i="178"/>
  <c r="BJ1271" i="178"/>
  <c r="BK1271" i="178"/>
  <c r="BB1273" i="178"/>
  <c r="U1274" i="178"/>
  <c r="BJ1274" i="178"/>
  <c r="S1275" i="178"/>
  <c r="BG1275" i="178" s="1"/>
  <c r="BB1275" i="178"/>
  <c r="BD1242" i="178"/>
  <c r="BK1254" i="178"/>
  <c r="S1255" i="178"/>
  <c r="BL1255" i="178" s="1"/>
  <c r="AT1255" i="178"/>
  <c r="BB1255" i="178"/>
  <c r="BJ1255" i="178"/>
  <c r="AX1256" i="178"/>
  <c r="BF1256" i="178"/>
  <c r="BM1256" i="178"/>
  <c r="AT1257" i="178"/>
  <c r="BB1257" i="178"/>
  <c r="BJ1257" i="178"/>
  <c r="U1259" i="178"/>
  <c r="S1260" i="178"/>
  <c r="BL1260" i="178" s="1"/>
  <c r="AT1260" i="178"/>
  <c r="BB1260" i="178"/>
  <c r="BJ1260" i="178"/>
  <c r="U1262" i="178"/>
  <c r="BK1265" i="178"/>
  <c r="U1266" i="178"/>
  <c r="BM1266" i="178"/>
  <c r="U1267" i="178"/>
  <c r="BF1267" i="178"/>
  <c r="BM1267" i="178"/>
  <c r="S1268" i="178"/>
  <c r="BN1268" i="178" s="1"/>
  <c r="AT1268" i="178"/>
  <c r="BB1268" i="178"/>
  <c r="BJ1268" i="178"/>
  <c r="AX1274" i="178"/>
  <c r="BF1274" i="178"/>
  <c r="BM1274" i="178"/>
  <c r="BK1274" i="178"/>
  <c r="BK1275" i="178"/>
  <c r="BJ1275" i="178"/>
  <c r="BM3" i="178"/>
  <c r="AV2" i="178"/>
  <c r="BD2" i="178"/>
  <c r="S3" i="178"/>
  <c r="AR3" i="178"/>
  <c r="AZ3" i="178"/>
  <c r="BK3" i="178"/>
  <c r="BJ3" i="178"/>
  <c r="BF3" i="178"/>
  <c r="BB3" i="178"/>
  <c r="AX3" i="178"/>
  <c r="AT3" i="178"/>
  <c r="Q1281" i="178"/>
  <c r="BK2" i="178"/>
  <c r="BJ2" i="178"/>
  <c r="BF2" i="178"/>
  <c r="BB2" i="178"/>
  <c r="AX2" i="178"/>
  <c r="AT2" i="178"/>
  <c r="S2" i="178"/>
  <c r="AR2" i="178"/>
  <c r="AZ2" i="178"/>
  <c r="BH2" i="178"/>
  <c r="AV3" i="178"/>
  <c r="BD3" i="178"/>
  <c r="U140" i="178"/>
  <c r="BK140" i="178"/>
  <c r="U141" i="178"/>
  <c r="BK141" i="178"/>
  <c r="BK153" i="178"/>
  <c r="BK184" i="178"/>
  <c r="BK212" i="178"/>
  <c r="BK168" i="178"/>
  <c r="BK169" i="178"/>
  <c r="AX176" i="178"/>
  <c r="BF176" i="178"/>
  <c r="BN176" i="178"/>
  <c r="AX178" i="178"/>
  <c r="BF178" i="178"/>
  <c r="BN178" i="178"/>
  <c r="AX179" i="178"/>
  <c r="BF179" i="178"/>
  <c r="BN179" i="178"/>
  <c r="AX180" i="178"/>
  <c r="BF180" i="178"/>
  <c r="BN180" i="178"/>
  <c r="AX181" i="178"/>
  <c r="BF181" i="178"/>
  <c r="BN181" i="178"/>
  <c r="AX182" i="178"/>
  <c r="BF182" i="178"/>
  <c r="BN182" i="178"/>
  <c r="AX183" i="178"/>
  <c r="BF183" i="178"/>
  <c r="BN183" i="178"/>
  <c r="AX220" i="178"/>
  <c r="BF220" i="178"/>
  <c r="BN220" i="178"/>
  <c r="AX219" i="178"/>
  <c r="BF219" i="178"/>
  <c r="BN219" i="178"/>
  <c r="AX216" i="178"/>
  <c r="BF216" i="178"/>
  <c r="BN216" i="178"/>
  <c r="AX213" i="178"/>
  <c r="BF213" i="178"/>
  <c r="BN213" i="178"/>
  <c r="AX206" i="178"/>
  <c r="BF206" i="178"/>
  <c r="BN206" i="178"/>
  <c r="AX221" i="178"/>
  <c r="BF221" i="178"/>
  <c r="BN221" i="178"/>
  <c r="AX953" i="178"/>
  <c r="BF953" i="178"/>
  <c r="BN953" i="178"/>
  <c r="AX222" i="178"/>
  <c r="BF222" i="178"/>
  <c r="BN222" i="178"/>
  <c r="AX223" i="178"/>
  <c r="BF223" i="178"/>
  <c r="BN223" i="178"/>
  <c r="AX224" i="178"/>
  <c r="BF224" i="178"/>
  <c r="BN224" i="178"/>
  <c r="AX1121" i="178"/>
  <c r="BF1121" i="178"/>
  <c r="BN1121" i="178"/>
  <c r="AX1122" i="178"/>
  <c r="BF1122" i="178"/>
  <c r="BN1122" i="178"/>
  <c r="AX959" i="178"/>
  <c r="BF959" i="178"/>
  <c r="BN959" i="178"/>
  <c r="AX235" i="178"/>
  <c r="BF235" i="178"/>
  <c r="BN235" i="178"/>
  <c r="AX238" i="178"/>
  <c r="BF238" i="178"/>
  <c r="BN238" i="178"/>
  <c r="AX291" i="178"/>
  <c r="BF291" i="178"/>
  <c r="AX294" i="178"/>
  <c r="BF294" i="178"/>
  <c r="V313" i="178"/>
  <c r="U313" i="178"/>
  <c r="BL314" i="178"/>
  <c r="BG314" i="178"/>
  <c r="BC314" i="178"/>
  <c r="AY314" i="178"/>
  <c r="AU314" i="178"/>
  <c r="BB84" i="178"/>
  <c r="BJ84" i="178"/>
  <c r="AT99" i="178"/>
  <c r="AX99" i="178"/>
  <c r="BB99" i="178"/>
  <c r="BF99" i="178"/>
  <c r="BJ99" i="178"/>
  <c r="AX100" i="178"/>
  <c r="BB100" i="178"/>
  <c r="BF100" i="178"/>
  <c r="BJ100" i="178"/>
  <c r="AT118" i="178"/>
  <c r="AX118" i="178"/>
  <c r="BB118" i="178"/>
  <c r="BF118" i="178"/>
  <c r="BJ118" i="178"/>
  <c r="AR140" i="178"/>
  <c r="AV140" i="178"/>
  <c r="AZ140" i="178"/>
  <c r="BD140" i="178"/>
  <c r="BH140" i="178"/>
  <c r="AR184" i="178"/>
  <c r="AV184" i="178"/>
  <c r="AZ184" i="178"/>
  <c r="BD184" i="178"/>
  <c r="BH184" i="178"/>
  <c r="AR212" i="178"/>
  <c r="AV212" i="178"/>
  <c r="AZ212" i="178"/>
  <c r="BD212" i="178"/>
  <c r="BH212" i="178"/>
  <c r="AR168" i="178"/>
  <c r="AV168" i="178"/>
  <c r="AZ168" i="178"/>
  <c r="BD168" i="178"/>
  <c r="BH168" i="178"/>
  <c r="AR169" i="178"/>
  <c r="AV169" i="178"/>
  <c r="AZ169" i="178"/>
  <c r="BD169" i="178"/>
  <c r="BH169" i="178"/>
  <c r="V314" i="178"/>
  <c r="U314" i="178"/>
  <c r="AT84" i="178"/>
  <c r="AX84" i="178"/>
  <c r="BF84" i="178"/>
  <c r="AT85" i="178"/>
  <c r="AX85" i="178"/>
  <c r="BB85" i="178"/>
  <c r="BF85" i="178"/>
  <c r="BJ85" i="178"/>
  <c r="AT92" i="178"/>
  <c r="AX92" i="178"/>
  <c r="BB92" i="178"/>
  <c r="BF92" i="178"/>
  <c r="BJ92" i="178"/>
  <c r="AT100" i="178"/>
  <c r="AT110" i="178"/>
  <c r="AX110" i="178"/>
  <c r="BB110" i="178"/>
  <c r="BF110" i="178"/>
  <c r="BJ110" i="178"/>
  <c r="AR141" i="178"/>
  <c r="AV141" i="178"/>
  <c r="AZ141" i="178"/>
  <c r="BD141" i="178"/>
  <c r="BH141" i="178"/>
  <c r="AR153" i="178"/>
  <c r="AV153" i="178"/>
  <c r="AZ153" i="178"/>
  <c r="BD153" i="178"/>
  <c r="BH153" i="178"/>
  <c r="BK84" i="178"/>
  <c r="BK85" i="178"/>
  <c r="BK92" i="178"/>
  <c r="BK99" i="178"/>
  <c r="BK100" i="178"/>
  <c r="BK110" i="178"/>
  <c r="BK118" i="178"/>
  <c r="S140" i="178"/>
  <c r="S141" i="178"/>
  <c r="S153" i="178"/>
  <c r="BM153" i="178"/>
  <c r="S184" i="178"/>
  <c r="BM184" i="178"/>
  <c r="S212" i="178"/>
  <c r="BM212" i="178"/>
  <c r="S168" i="178"/>
  <c r="BM168" i="178"/>
  <c r="S169" i="178"/>
  <c r="BM169" i="178"/>
  <c r="AR176" i="178"/>
  <c r="AV176" i="178"/>
  <c r="AZ176" i="178"/>
  <c r="BD176" i="178"/>
  <c r="BL176" i="178"/>
  <c r="AR178" i="178"/>
  <c r="AV178" i="178"/>
  <c r="AZ178" i="178"/>
  <c r="BD178" i="178"/>
  <c r="BL178" i="178"/>
  <c r="AR179" i="178"/>
  <c r="AV179" i="178"/>
  <c r="AZ179" i="178"/>
  <c r="BD179" i="178"/>
  <c r="BL179" i="178"/>
  <c r="AR180" i="178"/>
  <c r="AV180" i="178"/>
  <c r="AZ180" i="178"/>
  <c r="BD180" i="178"/>
  <c r="BL180" i="178"/>
  <c r="AR181" i="178"/>
  <c r="AV181" i="178"/>
  <c r="AZ181" i="178"/>
  <c r="BD181" i="178"/>
  <c r="BL181" i="178"/>
  <c r="AR182" i="178"/>
  <c r="AV182" i="178"/>
  <c r="AZ182" i="178"/>
  <c r="BD182" i="178"/>
  <c r="BL182" i="178"/>
  <c r="AR183" i="178"/>
  <c r="AV183" i="178"/>
  <c r="AZ183" i="178"/>
  <c r="BD183" i="178"/>
  <c r="BL183" i="178"/>
  <c r="AR220" i="178"/>
  <c r="AV220" i="178"/>
  <c r="AZ220" i="178"/>
  <c r="BD220" i="178"/>
  <c r="BL220" i="178"/>
  <c r="AR219" i="178"/>
  <c r="AV219" i="178"/>
  <c r="AZ219" i="178"/>
  <c r="BD219" i="178"/>
  <c r="BL219" i="178"/>
  <c r="AR216" i="178"/>
  <c r="AV216" i="178"/>
  <c r="AZ216" i="178"/>
  <c r="BD216" i="178"/>
  <c r="BL216" i="178"/>
  <c r="AR213" i="178"/>
  <c r="AV213" i="178"/>
  <c r="AZ213" i="178"/>
  <c r="BD213" i="178"/>
  <c r="BL213" i="178"/>
  <c r="AR206" i="178"/>
  <c r="AV206" i="178"/>
  <c r="AZ206" i="178"/>
  <c r="BD206" i="178"/>
  <c r="BL206" i="178"/>
  <c r="AR221" i="178"/>
  <c r="AV221" i="178"/>
  <c r="AZ221" i="178"/>
  <c r="BD221" i="178"/>
  <c r="BL221" i="178"/>
  <c r="AR953" i="178"/>
  <c r="AV953" i="178"/>
  <c r="AZ953" i="178"/>
  <c r="BD953" i="178"/>
  <c r="BL953" i="178"/>
  <c r="AR222" i="178"/>
  <c r="AV222" i="178"/>
  <c r="AZ222" i="178"/>
  <c r="BD222" i="178"/>
  <c r="BL222" i="178"/>
  <c r="AR223" i="178"/>
  <c r="AV223" i="178"/>
  <c r="AZ223" i="178"/>
  <c r="BD223" i="178"/>
  <c r="BL223" i="178"/>
  <c r="AR224" i="178"/>
  <c r="AV224" i="178"/>
  <c r="AZ224" i="178"/>
  <c r="BD224" i="178"/>
  <c r="BL224" i="178"/>
  <c r="AR1121" i="178"/>
  <c r="AV1121" i="178"/>
  <c r="AZ1121" i="178"/>
  <c r="BD1121" i="178"/>
  <c r="BL1121" i="178"/>
  <c r="AR1122" i="178"/>
  <c r="AV1122" i="178"/>
  <c r="AZ1122" i="178"/>
  <c r="BD1122" i="178"/>
  <c r="BL1122" i="178"/>
  <c r="AR959" i="178"/>
  <c r="AV959" i="178"/>
  <c r="AZ959" i="178"/>
  <c r="BD959" i="178"/>
  <c r="BL959" i="178"/>
  <c r="AR235" i="178"/>
  <c r="AV235" i="178"/>
  <c r="AZ235" i="178"/>
  <c r="BD235" i="178"/>
  <c r="BL235" i="178"/>
  <c r="AR238" i="178"/>
  <c r="AV238" i="178"/>
  <c r="AZ238" i="178"/>
  <c r="BD238" i="178"/>
  <c r="BL238" i="178"/>
  <c r="AR291" i="178"/>
  <c r="AV291" i="178"/>
  <c r="AZ291" i="178"/>
  <c r="BD291" i="178"/>
  <c r="AR294" i="178"/>
  <c r="AV294" i="178"/>
  <c r="AZ294" i="178"/>
  <c r="BD294" i="178"/>
  <c r="BN314" i="178"/>
  <c r="S225" i="178"/>
  <c r="BM36" i="178"/>
  <c r="S36" i="178"/>
  <c r="BH36" i="178"/>
  <c r="BD36" i="178"/>
  <c r="AZ36" i="178"/>
  <c r="AV36" i="178"/>
  <c r="AR36" i="178"/>
  <c r="BK36" i="178"/>
  <c r="BJ36" i="178"/>
  <c r="BF36" i="178"/>
  <c r="BB36" i="178"/>
  <c r="AX36" i="178"/>
  <c r="AT36" i="178"/>
  <c r="BJ354" i="178"/>
  <c r="BF354" i="178"/>
  <c r="BB354" i="178"/>
  <c r="AX354" i="178"/>
  <c r="AT354" i="178"/>
  <c r="BM354" i="178"/>
  <c r="S354" i="178"/>
  <c r="BH354" i="178"/>
  <c r="BD354" i="178"/>
  <c r="AZ354" i="178"/>
  <c r="AV354" i="178"/>
  <c r="AR354" i="178"/>
  <c r="BK354" i="178"/>
  <c r="BM393" i="178"/>
  <c r="S393" i="178"/>
  <c r="BH393" i="178"/>
  <c r="BD393" i="178"/>
  <c r="AZ393" i="178"/>
  <c r="AV393" i="178"/>
  <c r="AR393" i="178"/>
  <c r="BK393" i="178"/>
  <c r="BJ393" i="178"/>
  <c r="BF393" i="178"/>
  <c r="BB393" i="178"/>
  <c r="AX393" i="178"/>
  <c r="AT393" i="178"/>
  <c r="BJ45" i="178"/>
  <c r="BF45" i="178"/>
  <c r="BB45" i="178"/>
  <c r="AX45" i="178"/>
  <c r="AT45" i="178"/>
  <c r="BM45" i="178"/>
  <c r="S45" i="178"/>
  <c r="BH45" i="178"/>
  <c r="BD45" i="178"/>
  <c r="AZ45" i="178"/>
  <c r="AV45" i="178"/>
  <c r="AR45" i="178"/>
  <c r="BK45" i="178"/>
  <c r="BJ418" i="178"/>
  <c r="BF418" i="178"/>
  <c r="BB418" i="178"/>
  <c r="AX418" i="178"/>
  <c r="AT418" i="178"/>
  <c r="BM418" i="178"/>
  <c r="S418" i="178"/>
  <c r="BH418" i="178"/>
  <c r="BD418" i="178"/>
  <c r="AZ418" i="178"/>
  <c r="AV418" i="178"/>
  <c r="AR418" i="178"/>
  <c r="BK418" i="178"/>
  <c r="AR84" i="178"/>
  <c r="AV84" i="178"/>
  <c r="AZ84" i="178"/>
  <c r="BD84" i="178"/>
  <c r="AR85" i="178"/>
  <c r="AV85" i="178"/>
  <c r="AZ85" i="178"/>
  <c r="BD85" i="178"/>
  <c r="AR92" i="178"/>
  <c r="AV92" i="178"/>
  <c r="AZ92" i="178"/>
  <c r="BD92" i="178"/>
  <c r="AR99" i="178"/>
  <c r="AV99" i="178"/>
  <c r="AZ99" i="178"/>
  <c r="BD99" i="178"/>
  <c r="AR100" i="178"/>
  <c r="AV100" i="178"/>
  <c r="AZ100" i="178"/>
  <c r="BD100" i="178"/>
  <c r="AR110" i="178"/>
  <c r="AV110" i="178"/>
  <c r="AZ110" i="178"/>
  <c r="BD110" i="178"/>
  <c r="AR118" i="178"/>
  <c r="AV118" i="178"/>
  <c r="AZ118" i="178"/>
  <c r="BD118" i="178"/>
  <c r="AT153" i="178"/>
  <c r="AX153" i="178"/>
  <c r="BB153" i="178"/>
  <c r="BF153" i="178"/>
  <c r="AT184" i="178"/>
  <c r="AX184" i="178"/>
  <c r="BB184" i="178"/>
  <c r="BF184" i="178"/>
  <c r="AT212" i="178"/>
  <c r="AX212" i="178"/>
  <c r="BB212" i="178"/>
  <c r="BF212" i="178"/>
  <c r="AT168" i="178"/>
  <c r="AX168" i="178"/>
  <c r="BB168" i="178"/>
  <c r="BF168" i="178"/>
  <c r="AT169" i="178"/>
  <c r="AX169" i="178"/>
  <c r="BB169" i="178"/>
  <c r="BF169" i="178"/>
  <c r="AS176" i="178"/>
  <c r="AW176" i="178"/>
  <c r="BA176" i="178"/>
  <c r="BE176" i="178"/>
  <c r="AS178" i="178"/>
  <c r="AW178" i="178"/>
  <c r="BA178" i="178"/>
  <c r="BE178" i="178"/>
  <c r="AS179" i="178"/>
  <c r="AW179" i="178"/>
  <c r="BA179" i="178"/>
  <c r="BE179" i="178"/>
  <c r="AS180" i="178"/>
  <c r="AW180" i="178"/>
  <c r="BA180" i="178"/>
  <c r="BE180" i="178"/>
  <c r="AS181" i="178"/>
  <c r="AW181" i="178"/>
  <c r="BA181" i="178"/>
  <c r="BE181" i="178"/>
  <c r="AS182" i="178"/>
  <c r="AW182" i="178"/>
  <c r="BA182" i="178"/>
  <c r="BE182" i="178"/>
  <c r="AS183" i="178"/>
  <c r="AW183" i="178"/>
  <c r="BA183" i="178"/>
  <c r="BE183" i="178"/>
  <c r="AS220" i="178"/>
  <c r="AW220" i="178"/>
  <c r="BA220" i="178"/>
  <c r="BE220" i="178"/>
  <c r="AS219" i="178"/>
  <c r="AW219" i="178"/>
  <c r="BA219" i="178"/>
  <c r="BE219" i="178"/>
  <c r="AS216" i="178"/>
  <c r="AW216" i="178"/>
  <c r="BA216" i="178"/>
  <c r="BE216" i="178"/>
  <c r="AS213" i="178"/>
  <c r="AW213" i="178"/>
  <c r="BA213" i="178"/>
  <c r="BE213" i="178"/>
  <c r="AS206" i="178"/>
  <c r="AW206" i="178"/>
  <c r="BA206" i="178"/>
  <c r="BE206" i="178"/>
  <c r="AS221" i="178"/>
  <c r="AW221" i="178"/>
  <c r="BA221" i="178"/>
  <c r="BE221" i="178"/>
  <c r="AS953" i="178"/>
  <c r="AW953" i="178"/>
  <c r="BA953" i="178"/>
  <c r="BE953" i="178"/>
  <c r="AS222" i="178"/>
  <c r="AW222" i="178"/>
  <c r="BA222" i="178"/>
  <c r="BE222" i="178"/>
  <c r="AS223" i="178"/>
  <c r="AW223" i="178"/>
  <c r="BA223" i="178"/>
  <c r="BE223" i="178"/>
  <c r="AS224" i="178"/>
  <c r="AW224" i="178"/>
  <c r="BA224" i="178"/>
  <c r="BE224" i="178"/>
  <c r="AS1121" i="178"/>
  <c r="AW1121" i="178"/>
  <c r="BA1121" i="178"/>
  <c r="BE1121" i="178"/>
  <c r="AS1122" i="178"/>
  <c r="AW1122" i="178"/>
  <c r="BA1122" i="178"/>
  <c r="BE1122" i="178"/>
  <c r="AS959" i="178"/>
  <c r="AW959" i="178"/>
  <c r="BA959" i="178"/>
  <c r="BE959" i="178"/>
  <c r="AS235" i="178"/>
  <c r="AW235" i="178"/>
  <c r="BA235" i="178"/>
  <c r="BE235" i="178"/>
  <c r="AS238" i="178"/>
  <c r="AW238" i="178"/>
  <c r="BA238" i="178"/>
  <c r="BE238" i="178"/>
  <c r="AS340" i="178"/>
  <c r="AW340" i="178"/>
  <c r="BA340" i="178"/>
  <c r="BE340" i="178"/>
  <c r="BI340" i="178"/>
  <c r="AS341" i="178"/>
  <c r="AW341" i="178"/>
  <c r="BA341" i="178"/>
  <c r="BE341" i="178"/>
  <c r="BI341" i="178"/>
  <c r="AS342" i="178"/>
  <c r="AW342" i="178"/>
  <c r="BA342" i="178"/>
  <c r="BE342" i="178"/>
  <c r="BI342" i="178"/>
  <c r="AS344" i="178"/>
  <c r="AW344" i="178"/>
  <c r="BA344" i="178"/>
  <c r="BE344" i="178"/>
  <c r="BI344" i="178"/>
  <c r="AS350" i="178"/>
  <c r="AW350" i="178"/>
  <c r="BA350" i="178"/>
  <c r="BE350" i="178"/>
  <c r="BI350" i="178"/>
  <c r="AS351" i="178"/>
  <c r="AW351" i="178"/>
  <c r="BA351" i="178"/>
  <c r="BE351" i="178"/>
  <c r="BI351" i="178"/>
  <c r="AR793" i="178"/>
  <c r="AV793" i="178"/>
  <c r="AZ793" i="178"/>
  <c r="BD793" i="178"/>
  <c r="BH793" i="178"/>
  <c r="AR794" i="178"/>
  <c r="AV794" i="178"/>
  <c r="AZ794" i="178"/>
  <c r="BD794" i="178"/>
  <c r="BH794" i="178"/>
  <c r="AR705" i="178"/>
  <c r="AV705" i="178"/>
  <c r="AZ705" i="178"/>
  <c r="BD705" i="178"/>
  <c r="BH705" i="178"/>
  <c r="AR711" i="178"/>
  <c r="AV711" i="178"/>
  <c r="AZ711" i="178"/>
  <c r="BD711" i="178"/>
  <c r="BH711" i="178"/>
  <c r="AR227" i="178"/>
  <c r="AV227" i="178"/>
  <c r="AZ227" i="178"/>
  <c r="BD227" i="178"/>
  <c r="BH227" i="178"/>
  <c r="AR488" i="178"/>
  <c r="AV488" i="178"/>
  <c r="AZ488" i="178"/>
  <c r="BD488" i="178"/>
  <c r="BH488" i="178"/>
  <c r="AR441" i="178"/>
  <c r="AV441" i="178"/>
  <c r="AZ441" i="178"/>
  <c r="BD441" i="178"/>
  <c r="BH441" i="178"/>
  <c r="AR444" i="178"/>
  <c r="AV444" i="178"/>
  <c r="AZ444" i="178"/>
  <c r="BD444" i="178"/>
  <c r="BH444" i="178"/>
  <c r="AR447" i="178"/>
  <c r="AV447" i="178"/>
  <c r="AZ447" i="178"/>
  <c r="BD447" i="178"/>
  <c r="BH447" i="178"/>
  <c r="AR450" i="178"/>
  <c r="AV450" i="178"/>
  <c r="AZ450" i="178"/>
  <c r="BD450" i="178"/>
  <c r="BH450" i="178"/>
  <c r="AR454" i="178"/>
  <c r="AV454" i="178"/>
  <c r="AZ454" i="178"/>
  <c r="BD454" i="178"/>
  <c r="BH454" i="178"/>
  <c r="AR457" i="178"/>
  <c r="AV457" i="178"/>
  <c r="AZ457" i="178"/>
  <c r="BD457" i="178"/>
  <c r="BH457" i="178"/>
  <c r="AR460" i="178"/>
  <c r="AV460" i="178"/>
  <c r="AZ460" i="178"/>
  <c r="BD460" i="178"/>
  <c r="BH460" i="178"/>
  <c r="AR464" i="178"/>
  <c r="AV464" i="178"/>
  <c r="AZ464" i="178"/>
  <c r="BD464" i="178"/>
  <c r="BH464" i="178"/>
  <c r="AR468" i="178"/>
  <c r="AV468" i="178"/>
  <c r="AZ468" i="178"/>
  <c r="BD468" i="178"/>
  <c r="BH468" i="178"/>
  <c r="AR477" i="178"/>
  <c r="AV477" i="178"/>
  <c r="AZ477" i="178"/>
  <c r="BD477" i="178"/>
  <c r="BH477" i="178"/>
  <c r="BM523" i="178"/>
  <c r="S523" i="178"/>
  <c r="AT523" i="178"/>
  <c r="BD523" i="178"/>
  <c r="BJ523" i="178"/>
  <c r="BM541" i="178"/>
  <c r="S541" i="178"/>
  <c r="AT541" i="178"/>
  <c r="BD541" i="178"/>
  <c r="BJ541" i="178"/>
  <c r="BN340" i="178"/>
  <c r="AT341" i="178"/>
  <c r="AX341" i="178"/>
  <c r="BB341" i="178"/>
  <c r="BF341" i="178"/>
  <c r="BJ341" i="178"/>
  <c r="BN341" i="178"/>
  <c r="AT342" i="178"/>
  <c r="AX342" i="178"/>
  <c r="BB342" i="178"/>
  <c r="BF342" i="178"/>
  <c r="BJ342" i="178"/>
  <c r="BN342" i="178"/>
  <c r="AT344" i="178"/>
  <c r="AX344" i="178"/>
  <c r="BB344" i="178"/>
  <c r="BF344" i="178"/>
  <c r="BJ344" i="178"/>
  <c r="BN344" i="178"/>
  <c r="AT348" i="178"/>
  <c r="AX348" i="178"/>
  <c r="BB348" i="178"/>
  <c r="BF348" i="178"/>
  <c r="BJ348" i="178"/>
  <c r="AT349" i="178"/>
  <c r="AX349" i="178"/>
  <c r="BB349" i="178"/>
  <c r="BF349" i="178"/>
  <c r="BJ349" i="178"/>
  <c r="AT350" i="178"/>
  <c r="AX350" i="178"/>
  <c r="BB350" i="178"/>
  <c r="BF350" i="178"/>
  <c r="BJ350" i="178"/>
  <c r="BN350" i="178"/>
  <c r="AT351" i="178"/>
  <c r="AX351" i="178"/>
  <c r="BB351" i="178"/>
  <c r="BF351" i="178"/>
  <c r="BJ351" i="178"/>
  <c r="BN351" i="178"/>
  <c r="AT716" i="178"/>
  <c r="AX716" i="178"/>
  <c r="BB716" i="178"/>
  <c r="BF716" i="178"/>
  <c r="BJ716" i="178"/>
  <c r="AT717" i="178"/>
  <c r="AX717" i="178"/>
  <c r="BB717" i="178"/>
  <c r="BF717" i="178"/>
  <c r="BJ717" i="178"/>
  <c r="AT703" i="178"/>
  <c r="AX703" i="178"/>
  <c r="BB703" i="178"/>
  <c r="BF703" i="178"/>
  <c r="BJ703" i="178"/>
  <c r="AT704" i="178"/>
  <c r="AX704" i="178"/>
  <c r="BB704" i="178"/>
  <c r="BF704" i="178"/>
  <c r="BJ704" i="178"/>
  <c r="S793" i="178"/>
  <c r="BM793" i="178"/>
  <c r="S794" i="178"/>
  <c r="BM794" i="178"/>
  <c r="S705" i="178"/>
  <c r="BM705" i="178"/>
  <c r="S711" i="178"/>
  <c r="BM711" i="178"/>
  <c r="S227" i="178"/>
  <c r="BM227" i="178"/>
  <c r="S488" i="178"/>
  <c r="BM488" i="178"/>
  <c r="AT435" i="178"/>
  <c r="AX435" i="178"/>
  <c r="BB435" i="178"/>
  <c r="BF435" i="178"/>
  <c r="BJ435" i="178"/>
  <c r="S441" i="178"/>
  <c r="BM441" i="178"/>
  <c r="S444" i="178"/>
  <c r="BM444" i="178"/>
  <c r="S447" i="178"/>
  <c r="BM447" i="178"/>
  <c r="S450" i="178"/>
  <c r="BM450" i="178"/>
  <c r="S454" i="178"/>
  <c r="BM454" i="178"/>
  <c r="S457" i="178"/>
  <c r="BM457" i="178"/>
  <c r="S460" i="178"/>
  <c r="BM460" i="178"/>
  <c r="S464" i="178"/>
  <c r="BM464" i="178"/>
  <c r="S468" i="178"/>
  <c r="BM468" i="178"/>
  <c r="S477" i="178"/>
  <c r="BM477" i="178"/>
  <c r="U496" i="178"/>
  <c r="U497" i="178"/>
  <c r="U498" i="178"/>
  <c r="U499" i="178"/>
  <c r="U502" i="178"/>
  <c r="U507" i="178"/>
  <c r="U513" i="178"/>
  <c r="U515" i="178"/>
  <c r="U516" i="178"/>
  <c r="U517" i="178"/>
  <c r="U518" i="178"/>
  <c r="U521" i="178"/>
  <c r="BK521" i="178"/>
  <c r="U522" i="178"/>
  <c r="AV522" i="178"/>
  <c r="BB522" i="178"/>
  <c r="AZ523" i="178"/>
  <c r="BF523" i="178"/>
  <c r="BK523" i="178"/>
  <c r="BM524" i="178"/>
  <c r="S524" i="178"/>
  <c r="AT524" i="178"/>
  <c r="BD524" i="178"/>
  <c r="BJ524" i="178"/>
  <c r="AR525" i="178"/>
  <c r="AX525" i="178"/>
  <c r="AR537" i="178"/>
  <c r="AX537" i="178"/>
  <c r="BM539" i="178"/>
  <c r="S539" i="178"/>
  <c r="AT539" i="178"/>
  <c r="BD539" i="178"/>
  <c r="BJ539" i="178"/>
  <c r="AZ541" i="178"/>
  <c r="BF541" i="178"/>
  <c r="BK541" i="178"/>
  <c r="BM542" i="178"/>
  <c r="S542" i="178"/>
  <c r="AT542" i="178"/>
  <c r="BD542" i="178"/>
  <c r="BJ542" i="178"/>
  <c r="AR543" i="178"/>
  <c r="AX543" i="178"/>
  <c r="U544" i="178"/>
  <c r="AV544" i="178"/>
  <c r="BB544" i="178"/>
  <c r="BB549" i="178"/>
  <c r="BB555" i="178"/>
  <c r="U339" i="178"/>
  <c r="BK339" i="178"/>
  <c r="U340" i="178"/>
  <c r="AU340" i="178"/>
  <c r="AY340" i="178"/>
  <c r="BC340" i="178"/>
  <c r="BG340" i="178"/>
  <c r="BK340" i="178"/>
  <c r="U341" i="178"/>
  <c r="AU341" i="178"/>
  <c r="AY341" i="178"/>
  <c r="BC341" i="178"/>
  <c r="BG341" i="178"/>
  <c r="BK341" i="178"/>
  <c r="U342" i="178"/>
  <c r="AU342" i="178"/>
  <c r="AY342" i="178"/>
  <c r="BC342" i="178"/>
  <c r="BG342" i="178"/>
  <c r="BK342" i="178"/>
  <c r="AU344" i="178"/>
  <c r="AY344" i="178"/>
  <c r="BC344" i="178"/>
  <c r="BG344" i="178"/>
  <c r="BK344" i="178"/>
  <c r="BK348" i="178"/>
  <c r="BK349" i="178"/>
  <c r="AU350" i="178"/>
  <c r="AY350" i="178"/>
  <c r="BC350" i="178"/>
  <c r="BG350" i="178"/>
  <c r="BK350" i="178"/>
  <c r="AU351" i="178"/>
  <c r="AY351" i="178"/>
  <c r="BC351" i="178"/>
  <c r="BG351" i="178"/>
  <c r="BK351" i="178"/>
  <c r="BK716" i="178"/>
  <c r="BK717" i="178"/>
  <c r="BK703" i="178"/>
  <c r="BK704" i="178"/>
  <c r="AT793" i="178"/>
  <c r="AX793" i="178"/>
  <c r="BB793" i="178"/>
  <c r="BF793" i="178"/>
  <c r="BJ793" i="178"/>
  <c r="AT794" i="178"/>
  <c r="AX794" i="178"/>
  <c r="BB794" i="178"/>
  <c r="BF794" i="178"/>
  <c r="BJ794" i="178"/>
  <c r="AT705" i="178"/>
  <c r="AX705" i="178"/>
  <c r="BB705" i="178"/>
  <c r="BF705" i="178"/>
  <c r="BJ705" i="178"/>
  <c r="AT711" i="178"/>
  <c r="AX711" i="178"/>
  <c r="BB711" i="178"/>
  <c r="BF711" i="178"/>
  <c r="BJ711" i="178"/>
  <c r="AT227" i="178"/>
  <c r="AX227" i="178"/>
  <c r="BB227" i="178"/>
  <c r="BF227" i="178"/>
  <c r="BJ227" i="178"/>
  <c r="AT488" i="178"/>
  <c r="AX488" i="178"/>
  <c r="BB488" i="178"/>
  <c r="BF488" i="178"/>
  <c r="BJ488" i="178"/>
  <c r="BK435" i="178"/>
  <c r="AT441" i="178"/>
  <c r="AX441" i="178"/>
  <c r="BB441" i="178"/>
  <c r="BF441" i="178"/>
  <c r="BJ441" i="178"/>
  <c r="AT444" i="178"/>
  <c r="AX444" i="178"/>
  <c r="BB444" i="178"/>
  <c r="BF444" i="178"/>
  <c r="BJ444" i="178"/>
  <c r="AT447" i="178"/>
  <c r="AX447" i="178"/>
  <c r="BB447" i="178"/>
  <c r="BF447" i="178"/>
  <c r="BJ447" i="178"/>
  <c r="AT450" i="178"/>
  <c r="AX450" i="178"/>
  <c r="BB450" i="178"/>
  <c r="BF450" i="178"/>
  <c r="BJ450" i="178"/>
  <c r="AT454" i="178"/>
  <c r="AX454" i="178"/>
  <c r="BB454" i="178"/>
  <c r="BF454" i="178"/>
  <c r="BJ454" i="178"/>
  <c r="AT457" i="178"/>
  <c r="AX457" i="178"/>
  <c r="BB457" i="178"/>
  <c r="BF457" i="178"/>
  <c r="BJ457" i="178"/>
  <c r="AT460" i="178"/>
  <c r="AX460" i="178"/>
  <c r="BB460" i="178"/>
  <c r="BF460" i="178"/>
  <c r="BJ460" i="178"/>
  <c r="AT464" i="178"/>
  <c r="AX464" i="178"/>
  <c r="BB464" i="178"/>
  <c r="BF464" i="178"/>
  <c r="BJ464" i="178"/>
  <c r="AT468" i="178"/>
  <c r="AX468" i="178"/>
  <c r="BB468" i="178"/>
  <c r="BF468" i="178"/>
  <c r="BJ468" i="178"/>
  <c r="AT477" i="178"/>
  <c r="AX477" i="178"/>
  <c r="BB477" i="178"/>
  <c r="BF477" i="178"/>
  <c r="BJ477" i="178"/>
  <c r="AR496" i="178"/>
  <c r="AV496" i="178"/>
  <c r="AZ496" i="178"/>
  <c r="BD496" i="178"/>
  <c r="AR497" i="178"/>
  <c r="AV497" i="178"/>
  <c r="AZ497" i="178"/>
  <c r="BD497" i="178"/>
  <c r="AR498" i="178"/>
  <c r="AV498" i="178"/>
  <c r="AZ498" i="178"/>
  <c r="BD498" i="178"/>
  <c r="AR499" i="178"/>
  <c r="AV499" i="178"/>
  <c r="AZ499" i="178"/>
  <c r="BD499" i="178"/>
  <c r="AR502" i="178"/>
  <c r="AV502" i="178"/>
  <c r="AZ502" i="178"/>
  <c r="BD502" i="178"/>
  <c r="AR507" i="178"/>
  <c r="AV507" i="178"/>
  <c r="AZ507" i="178"/>
  <c r="BD507" i="178"/>
  <c r="AR513" i="178"/>
  <c r="AV513" i="178"/>
  <c r="AZ513" i="178"/>
  <c r="BD513" i="178"/>
  <c r="AR515" i="178"/>
  <c r="AV515" i="178"/>
  <c r="AZ515" i="178"/>
  <c r="BD515" i="178"/>
  <c r="AR516" i="178"/>
  <c r="AV516" i="178"/>
  <c r="AZ516" i="178"/>
  <c r="BD516" i="178"/>
  <c r="AR517" i="178"/>
  <c r="AV517" i="178"/>
  <c r="AZ517" i="178"/>
  <c r="BD517" i="178"/>
  <c r="AR518" i="178"/>
  <c r="AV518" i="178"/>
  <c r="AZ518" i="178"/>
  <c r="BD518" i="178"/>
  <c r="AR521" i="178"/>
  <c r="AV521" i="178"/>
  <c r="AZ521" i="178"/>
  <c r="BD521" i="178"/>
  <c r="AR522" i="178"/>
  <c r="AX522" i="178"/>
  <c r="BH522" i="178"/>
  <c r="AV523" i="178"/>
  <c r="BB523" i="178"/>
  <c r="BM525" i="178"/>
  <c r="S525" i="178"/>
  <c r="AT525" i="178"/>
  <c r="BD525" i="178"/>
  <c r="BJ525" i="178"/>
  <c r="BM537" i="178"/>
  <c r="S537" i="178"/>
  <c r="AT537" i="178"/>
  <c r="BD537" i="178"/>
  <c r="BJ537" i="178"/>
  <c r="AZ539" i="178"/>
  <c r="BF539" i="178"/>
  <c r="BK539" i="178"/>
  <c r="AV541" i="178"/>
  <c r="BB541" i="178"/>
  <c r="AZ542" i="178"/>
  <c r="BF542" i="178"/>
  <c r="BK542" i="178"/>
  <c r="BM543" i="178"/>
  <c r="S543" i="178"/>
  <c r="AT543" i="178"/>
  <c r="BD543" i="178"/>
  <c r="BJ543" i="178"/>
  <c r="AR544" i="178"/>
  <c r="AX544" i="178"/>
  <c r="BJ781" i="178"/>
  <c r="BF781" i="178"/>
  <c r="BB781" i="178"/>
  <c r="AX781" i="178"/>
  <c r="AT781" i="178"/>
  <c r="BM781" i="178"/>
  <c r="S781" i="178"/>
  <c r="BH781" i="178"/>
  <c r="BD781" i="178"/>
  <c r="AZ781" i="178"/>
  <c r="AV781" i="178"/>
  <c r="AR781" i="178"/>
  <c r="BK781" i="178"/>
  <c r="BH782" i="178"/>
  <c r="BD782" i="178"/>
  <c r="AZ782" i="178"/>
  <c r="AV782" i="178"/>
  <c r="AR782" i="178"/>
  <c r="BK782" i="178"/>
  <c r="BJ782" i="178"/>
  <c r="BF782" i="178"/>
  <c r="BB782" i="178"/>
  <c r="AX782" i="178"/>
  <c r="AT782" i="178"/>
  <c r="BM782" i="178"/>
  <c r="S782" i="178"/>
  <c r="AR296" i="178"/>
  <c r="AV296" i="178"/>
  <c r="AZ296" i="178"/>
  <c r="BD296" i="178"/>
  <c r="AR302" i="178"/>
  <c r="AV302" i="178"/>
  <c r="AZ302" i="178"/>
  <c r="BD302" i="178"/>
  <c r="AR307" i="178"/>
  <c r="AV307" i="178"/>
  <c r="AZ307" i="178"/>
  <c r="BD307" i="178"/>
  <c r="AR313" i="178"/>
  <c r="AV313" i="178"/>
  <c r="AZ313" i="178"/>
  <c r="BD313" i="178"/>
  <c r="AR314" i="178"/>
  <c r="AV314" i="178"/>
  <c r="AZ314" i="178"/>
  <c r="BD314" i="178"/>
  <c r="AR339" i="178"/>
  <c r="AV339" i="178"/>
  <c r="AZ339" i="178"/>
  <c r="BD339" i="178"/>
  <c r="AR340" i="178"/>
  <c r="AV340" i="178"/>
  <c r="AZ340" i="178"/>
  <c r="BD340" i="178"/>
  <c r="AR341" i="178"/>
  <c r="AV341" i="178"/>
  <c r="AZ341" i="178"/>
  <c r="BD341" i="178"/>
  <c r="AR342" i="178"/>
  <c r="AV342" i="178"/>
  <c r="AZ342" i="178"/>
  <c r="BD342" i="178"/>
  <c r="AR344" i="178"/>
  <c r="AV344" i="178"/>
  <c r="AZ344" i="178"/>
  <c r="BD344" i="178"/>
  <c r="AR348" i="178"/>
  <c r="AV348" i="178"/>
  <c r="AZ348" i="178"/>
  <c r="BD348" i="178"/>
  <c r="AR349" i="178"/>
  <c r="AV349" i="178"/>
  <c r="AZ349" i="178"/>
  <c r="BD349" i="178"/>
  <c r="AR350" i="178"/>
  <c r="AV350" i="178"/>
  <c r="AZ350" i="178"/>
  <c r="BD350" i="178"/>
  <c r="AR351" i="178"/>
  <c r="AV351" i="178"/>
  <c r="AZ351" i="178"/>
  <c r="BD351" i="178"/>
  <c r="AR716" i="178"/>
  <c r="AV716" i="178"/>
  <c r="AZ716" i="178"/>
  <c r="BD716" i="178"/>
  <c r="AR717" i="178"/>
  <c r="AV717" i="178"/>
  <c r="AZ717" i="178"/>
  <c r="BD717" i="178"/>
  <c r="AR703" i="178"/>
  <c r="AV703" i="178"/>
  <c r="AZ703" i="178"/>
  <c r="BD703" i="178"/>
  <c r="AR704" i="178"/>
  <c r="AV704" i="178"/>
  <c r="AZ704" i="178"/>
  <c r="BD704" i="178"/>
  <c r="AR435" i="178"/>
  <c r="AV435" i="178"/>
  <c r="AZ435" i="178"/>
  <c r="BD435" i="178"/>
  <c r="AR523" i="178"/>
  <c r="AX523" i="178"/>
  <c r="BH523" i="178"/>
  <c r="AR541" i="178"/>
  <c r="AX541" i="178"/>
  <c r="BH541" i="178"/>
  <c r="BM544" i="178"/>
  <c r="S544" i="178"/>
  <c r="AT544" i="178"/>
  <c r="BD544" i="178"/>
  <c r="BJ544" i="178"/>
  <c r="U555" i="178"/>
  <c r="U550" i="178"/>
  <c r="BK260" i="178"/>
  <c r="BJ260" i="178"/>
  <c r="BF260" i="178"/>
  <c r="BB260" i="178"/>
  <c r="AX260" i="178"/>
  <c r="AT260" i="178"/>
  <c r="BM260" i="178"/>
  <c r="S260" i="178"/>
  <c r="BH260" i="178"/>
  <c r="BD260" i="178"/>
  <c r="AZ260" i="178"/>
  <c r="AV260" i="178"/>
  <c r="AR260" i="178"/>
  <c r="BK158" i="178"/>
  <c r="BJ158" i="178"/>
  <c r="BF158" i="178"/>
  <c r="BB158" i="178"/>
  <c r="AX158" i="178"/>
  <c r="AT158" i="178"/>
  <c r="BM158" i="178"/>
  <c r="S158" i="178"/>
  <c r="BH158" i="178"/>
  <c r="BD158" i="178"/>
  <c r="AZ158" i="178"/>
  <c r="AV158" i="178"/>
  <c r="AR158" i="178"/>
  <c r="U565" i="178"/>
  <c r="U571" i="178"/>
  <c r="AU571" i="178"/>
  <c r="AY571" i="178"/>
  <c r="BC571" i="178"/>
  <c r="BG571" i="178"/>
  <c r="U573" i="178"/>
  <c r="U574" i="178"/>
  <c r="S257" i="178"/>
  <c r="BM257" i="178"/>
  <c r="S780" i="178"/>
  <c r="BM780" i="178"/>
  <c r="AT263" i="178"/>
  <c r="AX263" i="178"/>
  <c r="BB263" i="178"/>
  <c r="BF263" i="178"/>
  <c r="BJ263" i="178"/>
  <c r="AT391" i="178"/>
  <c r="AX391" i="178"/>
  <c r="BB391" i="178"/>
  <c r="BF391" i="178"/>
  <c r="BJ391" i="178"/>
  <c r="V642" i="178"/>
  <c r="AR642" i="178"/>
  <c r="AV642" i="178"/>
  <c r="AZ642" i="178"/>
  <c r="BD642" i="178"/>
  <c r="BH642" i="178"/>
  <c r="V643" i="178"/>
  <c r="AR643" i="178"/>
  <c r="AV643" i="178"/>
  <c r="AZ643" i="178"/>
  <c r="BD643" i="178"/>
  <c r="BH643" i="178"/>
  <c r="V644" i="178"/>
  <c r="AR644" i="178"/>
  <c r="AV644" i="178"/>
  <c r="AZ644" i="178"/>
  <c r="BD644" i="178"/>
  <c r="BH644" i="178"/>
  <c r="V645" i="178"/>
  <c r="AR645" i="178"/>
  <c r="AV645" i="178"/>
  <c r="AZ645" i="178"/>
  <c r="BD645" i="178"/>
  <c r="BH645" i="178"/>
  <c r="V646" i="178"/>
  <c r="AR646" i="178"/>
  <c r="AV646" i="178"/>
  <c r="AZ646" i="178"/>
  <c r="BD646" i="178"/>
  <c r="BH646" i="178"/>
  <c r="V647" i="178"/>
  <c r="AR647" i="178"/>
  <c r="AV647" i="178"/>
  <c r="AZ647" i="178"/>
  <c r="BD647" i="178"/>
  <c r="BH647" i="178"/>
  <c r="V648" i="178"/>
  <c r="AR648" i="178"/>
  <c r="AV648" i="178"/>
  <c r="AZ648" i="178"/>
  <c r="BD648" i="178"/>
  <c r="BH648" i="178"/>
  <c r="V649" i="178"/>
  <c r="AR649" i="178"/>
  <c r="AV649" i="178"/>
  <c r="AZ649" i="178"/>
  <c r="BD649" i="178"/>
  <c r="BH649" i="178"/>
  <c r="V650" i="178"/>
  <c r="AR650" i="178"/>
  <c r="AV650" i="178"/>
  <c r="AZ650" i="178"/>
  <c r="BD650" i="178"/>
  <c r="BH650" i="178"/>
  <c r="AR549" i="178"/>
  <c r="AV549" i="178"/>
  <c r="AZ549" i="178"/>
  <c r="BD549" i="178"/>
  <c r="AR555" i="178"/>
  <c r="AV555" i="178"/>
  <c r="AZ555" i="178"/>
  <c r="BD555" i="178"/>
  <c r="AR550" i="178"/>
  <c r="AV550" i="178"/>
  <c r="AZ550" i="178"/>
  <c r="BD550" i="178"/>
  <c r="AR565" i="178"/>
  <c r="AV565" i="178"/>
  <c r="AZ565" i="178"/>
  <c r="BD565" i="178"/>
  <c r="AR571" i="178"/>
  <c r="AV571" i="178"/>
  <c r="AZ571" i="178"/>
  <c r="BD571" i="178"/>
  <c r="BL571" i="178"/>
  <c r="AR573" i="178"/>
  <c r="AV573" i="178"/>
  <c r="AZ573" i="178"/>
  <c r="BD573" i="178"/>
  <c r="AR574" i="178"/>
  <c r="AV574" i="178"/>
  <c r="AZ574" i="178"/>
  <c r="BD574" i="178"/>
  <c r="AT257" i="178"/>
  <c r="AX257" i="178"/>
  <c r="BB257" i="178"/>
  <c r="BF257" i="178"/>
  <c r="BJ257" i="178"/>
  <c r="AT780" i="178"/>
  <c r="AX780" i="178"/>
  <c r="BB780" i="178"/>
  <c r="BF780" i="178"/>
  <c r="BJ780" i="178"/>
  <c r="BK263" i="178"/>
  <c r="BK391" i="178"/>
  <c r="S642" i="178"/>
  <c r="BM642" i="178"/>
  <c r="S643" i="178"/>
  <c r="BM643" i="178"/>
  <c r="S644" i="178"/>
  <c r="BM644" i="178"/>
  <c r="S645" i="178"/>
  <c r="BM645" i="178"/>
  <c r="S646" i="178"/>
  <c r="BM646" i="178"/>
  <c r="S647" i="178"/>
  <c r="BM647" i="178"/>
  <c r="S648" i="178"/>
  <c r="BM648" i="178"/>
  <c r="S649" i="178"/>
  <c r="BM649" i="178"/>
  <c r="S650" i="178"/>
  <c r="BM650" i="178"/>
  <c r="AS571" i="178"/>
  <c r="AW571" i="178"/>
  <c r="BA571" i="178"/>
  <c r="BE571" i="178"/>
  <c r="BI571" i="178"/>
  <c r="AR263" i="178"/>
  <c r="AV263" i="178"/>
  <c r="AZ263" i="178"/>
  <c r="BD263" i="178"/>
  <c r="BH263" i="178"/>
  <c r="AR391" i="178"/>
  <c r="AV391" i="178"/>
  <c r="AZ391" i="178"/>
  <c r="BD391" i="178"/>
  <c r="BH391" i="178"/>
  <c r="U718" i="178"/>
  <c r="AR257" i="178"/>
  <c r="AV257" i="178"/>
  <c r="AZ257" i="178"/>
  <c r="BD257" i="178"/>
  <c r="AR780" i="178"/>
  <c r="AV780" i="178"/>
  <c r="AZ780" i="178"/>
  <c r="BD780" i="178"/>
  <c r="S263" i="178"/>
  <c r="S391" i="178"/>
  <c r="AX957" i="178"/>
  <c r="BF957" i="178"/>
  <c r="V857" i="178"/>
  <c r="U857" i="178"/>
  <c r="U733" i="178"/>
  <c r="U740" i="178"/>
  <c r="U160" i="178"/>
  <c r="U956" i="178"/>
  <c r="U954" i="178"/>
  <c r="BF954" i="178"/>
  <c r="V858" i="178"/>
  <c r="U858" i="178"/>
  <c r="AR668" i="178"/>
  <c r="AV668" i="178"/>
  <c r="AZ668" i="178"/>
  <c r="BD668" i="178"/>
  <c r="AR669" i="178"/>
  <c r="AV669" i="178"/>
  <c r="AZ669" i="178"/>
  <c r="BD669" i="178"/>
  <c r="AR670" i="178"/>
  <c r="AV670" i="178"/>
  <c r="AZ670" i="178"/>
  <c r="BD670" i="178"/>
  <c r="AR672" i="178"/>
  <c r="AV672" i="178"/>
  <c r="AZ672" i="178"/>
  <c r="BD672" i="178"/>
  <c r="AR673" i="178"/>
  <c r="AV673" i="178"/>
  <c r="AZ673" i="178"/>
  <c r="BD673" i="178"/>
  <c r="AR893" i="178"/>
  <c r="AV893" i="178"/>
  <c r="AZ893" i="178"/>
  <c r="BD893" i="178"/>
  <c r="AR935" i="178"/>
  <c r="AV935" i="178"/>
  <c r="AZ935" i="178"/>
  <c r="BD935" i="178"/>
  <c r="AR694" i="178"/>
  <c r="AV694" i="178"/>
  <c r="AZ694" i="178"/>
  <c r="BD694" i="178"/>
  <c r="AR718" i="178"/>
  <c r="AV718" i="178"/>
  <c r="AZ718" i="178"/>
  <c r="BD718" i="178"/>
  <c r="AR733" i="178"/>
  <c r="AV733" i="178"/>
  <c r="AZ733" i="178"/>
  <c r="BD733" i="178"/>
  <c r="AR740" i="178"/>
  <c r="AV740" i="178"/>
  <c r="AZ740" i="178"/>
  <c r="BD740" i="178"/>
  <c r="AX160" i="178"/>
  <c r="BF160" i="178"/>
  <c r="BN160" i="178"/>
  <c r="AX956" i="178"/>
  <c r="BF956" i="178"/>
  <c r="AX954" i="178"/>
  <c r="U957" i="178"/>
  <c r="V955" i="178"/>
  <c r="U955" i="178"/>
  <c r="AS160" i="178"/>
  <c r="AW160" i="178"/>
  <c r="BA160" i="178"/>
  <c r="BE160" i="178"/>
  <c r="BI160" i="178"/>
  <c r="S849" i="178"/>
  <c r="BM849" i="178"/>
  <c r="S850" i="178"/>
  <c r="BM850" i="178"/>
  <c r="S851" i="178"/>
  <c r="BM851" i="178"/>
  <c r="S852" i="178"/>
  <c r="BM852" i="178"/>
  <c r="S853" i="178"/>
  <c r="BM853" i="178"/>
  <c r="S854" i="178"/>
  <c r="BM854" i="178"/>
  <c r="S855" i="178"/>
  <c r="BM855" i="178"/>
  <c r="S856" i="178"/>
  <c r="BM856" i="178"/>
  <c r="AT852" i="178"/>
  <c r="AX852" i="178"/>
  <c r="BB852" i="178"/>
  <c r="BF852" i="178"/>
  <c r="BJ852" i="178"/>
  <c r="AT853" i="178"/>
  <c r="AX853" i="178"/>
  <c r="BB853" i="178"/>
  <c r="BF853" i="178"/>
  <c r="BJ853" i="178"/>
  <c r="AT854" i="178"/>
  <c r="AX854" i="178"/>
  <c r="BB854" i="178"/>
  <c r="BF854" i="178"/>
  <c r="BJ854" i="178"/>
  <c r="AT855" i="178"/>
  <c r="AX855" i="178"/>
  <c r="BB855" i="178"/>
  <c r="BF855" i="178"/>
  <c r="BJ855" i="178"/>
  <c r="AT856" i="178"/>
  <c r="AX856" i="178"/>
  <c r="BB856" i="178"/>
  <c r="BF856" i="178"/>
  <c r="BJ856" i="178"/>
  <c r="U849" i="178"/>
  <c r="BK849" i="178"/>
  <c r="U850" i="178"/>
  <c r="BK850" i="178"/>
  <c r="U851" i="178"/>
  <c r="BK851" i="178"/>
  <c r="U852" i="178"/>
  <c r="BK852" i="178"/>
  <c r="U853" i="178"/>
  <c r="BK853" i="178"/>
  <c r="U854" i="178"/>
  <c r="BK854" i="178"/>
  <c r="BK855" i="178"/>
  <c r="BK856" i="178"/>
  <c r="AR160" i="178"/>
  <c r="AV160" i="178"/>
  <c r="AZ160" i="178"/>
  <c r="BD160" i="178"/>
  <c r="AR956" i="178"/>
  <c r="AV956" i="178"/>
  <c r="AZ956" i="178"/>
  <c r="BD956" i="178"/>
  <c r="AR957" i="178"/>
  <c r="AV957" i="178"/>
  <c r="AZ957" i="178"/>
  <c r="BD957" i="178"/>
  <c r="AR954" i="178"/>
  <c r="AV954" i="178"/>
  <c r="AZ954" i="178"/>
  <c r="BD954" i="178"/>
  <c r="AR955" i="178"/>
  <c r="AV955" i="178"/>
  <c r="AZ955" i="178"/>
  <c r="BD955" i="178"/>
  <c r="AR857" i="178"/>
  <c r="AV857" i="178"/>
  <c r="AZ857" i="178"/>
  <c r="BD857" i="178"/>
  <c r="AR858" i="178"/>
  <c r="AV858" i="178"/>
  <c r="AZ858" i="178"/>
  <c r="BD858" i="178"/>
  <c r="AR849" i="178"/>
  <c r="AV849" i="178"/>
  <c r="AZ849" i="178"/>
  <c r="BD849" i="178"/>
  <c r="AR850" i="178"/>
  <c r="AV850" i="178"/>
  <c r="AZ850" i="178"/>
  <c r="BD850" i="178"/>
  <c r="AR851" i="178"/>
  <c r="AV851" i="178"/>
  <c r="AZ851" i="178"/>
  <c r="BD851" i="178"/>
  <c r="AR852" i="178"/>
  <c r="AV852" i="178"/>
  <c r="AZ852" i="178"/>
  <c r="BD852" i="178"/>
  <c r="AR853" i="178"/>
  <c r="AV853" i="178"/>
  <c r="AZ853" i="178"/>
  <c r="BD853" i="178"/>
  <c r="AR854" i="178"/>
  <c r="AV854" i="178"/>
  <c r="AZ854" i="178"/>
  <c r="BD854" i="178"/>
  <c r="AR855" i="178"/>
  <c r="AV855" i="178"/>
  <c r="AZ855" i="178"/>
  <c r="BD855" i="178"/>
  <c r="AR856" i="178"/>
  <c r="AV856" i="178"/>
  <c r="AZ856" i="178"/>
  <c r="BD856" i="178"/>
  <c r="AU417" i="178"/>
  <c r="BC417" i="178"/>
  <c r="BJ1152" i="178"/>
  <c r="BF1152" i="178"/>
  <c r="BB1152" i="178"/>
  <c r="AX1152" i="178"/>
  <c r="AT1152" i="178"/>
  <c r="BM1152" i="178"/>
  <c r="S1152" i="178"/>
  <c r="BH1152" i="178"/>
  <c r="BD1152" i="178"/>
  <c r="AZ1152" i="178"/>
  <c r="AV1152" i="178"/>
  <c r="AR1152" i="178"/>
  <c r="BK1152" i="178"/>
  <c r="AY417" i="178"/>
  <c r="BL417" i="178"/>
  <c r="BN417" i="178"/>
  <c r="AS417" i="178"/>
  <c r="BA417" i="178"/>
  <c r="BI417" i="178"/>
  <c r="AS692" i="178"/>
  <c r="AW692" i="178"/>
  <c r="BA692" i="178"/>
  <c r="BE692" i="178"/>
  <c r="BI692" i="178"/>
  <c r="AS896" i="178"/>
  <c r="AW896" i="178"/>
  <c r="BA896" i="178"/>
  <c r="BE896" i="178"/>
  <c r="BI896" i="178"/>
  <c r="AR486" i="178"/>
  <c r="AV486" i="178"/>
  <c r="AZ486" i="178"/>
  <c r="BD486" i="178"/>
  <c r="BH486" i="178"/>
  <c r="AT693" i="178"/>
  <c r="AX693" i="178"/>
  <c r="BB693" i="178"/>
  <c r="BF693" i="178"/>
  <c r="BJ693" i="178"/>
  <c r="AT366" i="178"/>
  <c r="AX366" i="178"/>
  <c r="BB366" i="178"/>
  <c r="BF366" i="178"/>
  <c r="BJ366" i="178"/>
  <c r="AW1000" i="178"/>
  <c r="BB1000" i="178"/>
  <c r="BG1000" i="178"/>
  <c r="U1004" i="178"/>
  <c r="U1006" i="178"/>
  <c r="AT692" i="178"/>
  <c r="AX692" i="178"/>
  <c r="BB692" i="178"/>
  <c r="BF692" i="178"/>
  <c r="BJ692" i="178"/>
  <c r="BN692" i="178"/>
  <c r="AT896" i="178"/>
  <c r="AX896" i="178"/>
  <c r="BB896" i="178"/>
  <c r="BF896" i="178"/>
  <c r="BJ896" i="178"/>
  <c r="BN896" i="178"/>
  <c r="S486" i="178"/>
  <c r="BM486" i="178"/>
  <c r="BK693" i="178"/>
  <c r="BK366" i="178"/>
  <c r="AX1004" i="178"/>
  <c r="BF1004" i="178"/>
  <c r="AX1006" i="178"/>
  <c r="BF1006" i="178"/>
  <c r="AR693" i="178"/>
  <c r="AV693" i="178"/>
  <c r="AZ693" i="178"/>
  <c r="BD693" i="178"/>
  <c r="BH693" i="178"/>
  <c r="AR366" i="178"/>
  <c r="AV366" i="178"/>
  <c r="AZ366" i="178"/>
  <c r="BD366" i="178"/>
  <c r="BH366" i="178"/>
  <c r="AR918" i="178"/>
  <c r="AV918" i="178"/>
  <c r="AZ918" i="178"/>
  <c r="BD918" i="178"/>
  <c r="AR417" i="178"/>
  <c r="AV417" i="178"/>
  <c r="AZ417" i="178"/>
  <c r="BD417" i="178"/>
  <c r="AR491" i="178"/>
  <c r="AV491" i="178"/>
  <c r="AZ491" i="178"/>
  <c r="BD491" i="178"/>
  <c r="AR692" i="178"/>
  <c r="AV692" i="178"/>
  <c r="AZ692" i="178"/>
  <c r="BD692" i="178"/>
  <c r="AR896" i="178"/>
  <c r="AV896" i="178"/>
  <c r="AZ896" i="178"/>
  <c r="BD896" i="178"/>
  <c r="S693" i="178"/>
  <c r="S366" i="178"/>
  <c r="AU1000" i="178"/>
  <c r="BA1000" i="178"/>
  <c r="AY1030" i="178"/>
  <c r="BG1030" i="178"/>
  <c r="AY1031" i="178"/>
  <c r="BG1031" i="178"/>
  <c r="AR1000" i="178"/>
  <c r="AV1000" i="178"/>
  <c r="AZ1000" i="178"/>
  <c r="BD1000" i="178"/>
  <c r="AR1004" i="178"/>
  <c r="AV1004" i="178"/>
  <c r="AZ1004" i="178"/>
  <c r="BD1004" i="178"/>
  <c r="AR1006" i="178"/>
  <c r="AV1006" i="178"/>
  <c r="AZ1006" i="178"/>
  <c r="BD1006" i="178"/>
  <c r="AR1028" i="178"/>
  <c r="AV1028" i="178"/>
  <c r="AZ1028" i="178"/>
  <c r="BD1028" i="178"/>
  <c r="AR1029" i="178"/>
  <c r="AV1029" i="178"/>
  <c r="AZ1029" i="178"/>
  <c r="BD1029" i="178"/>
  <c r="AR1030" i="178"/>
  <c r="AV1030" i="178"/>
  <c r="AZ1030" i="178"/>
  <c r="BD1030" i="178"/>
  <c r="BL1030" i="178"/>
  <c r="AR1031" i="178"/>
  <c r="AV1031" i="178"/>
  <c r="AZ1031" i="178"/>
  <c r="BD1031" i="178"/>
  <c r="BL1031" i="178"/>
  <c r="AS1030" i="178"/>
  <c r="AW1030" i="178"/>
  <c r="BA1030" i="178"/>
  <c r="BE1030" i="178"/>
  <c r="BI1030" i="178"/>
  <c r="AS1031" i="178"/>
  <c r="AW1031" i="178"/>
  <c r="BA1031" i="178"/>
  <c r="BE1031" i="178"/>
  <c r="BI1031" i="178"/>
  <c r="BM1078" i="178"/>
  <c r="AS1079" i="178"/>
  <c r="AW1079" i="178"/>
  <c r="BA1079" i="178"/>
  <c r="BE1079" i="178"/>
  <c r="BI1079" i="178"/>
  <c r="BM1079" i="178"/>
  <c r="S1080" i="178"/>
  <c r="BF1080" i="178"/>
  <c r="BK1080" i="178"/>
  <c r="AU1081" i="178"/>
  <c r="BA1081" i="178"/>
  <c r="AT1078" i="178"/>
  <c r="AX1078" i="178"/>
  <c r="BB1078" i="178"/>
  <c r="BF1078" i="178"/>
  <c r="BJ1078" i="178"/>
  <c r="AT1079" i="178"/>
  <c r="AX1079" i="178"/>
  <c r="BB1079" i="178"/>
  <c r="BF1079" i="178"/>
  <c r="BJ1079" i="178"/>
  <c r="BN1079" i="178"/>
  <c r="AT1080" i="178"/>
  <c r="AX1080" i="178"/>
  <c r="BB1080" i="178"/>
  <c r="AW1081" i="178"/>
  <c r="BG1081" i="178"/>
  <c r="U1078" i="178"/>
  <c r="BK1078" i="178"/>
  <c r="U1079" i="178"/>
  <c r="AU1079" i="178"/>
  <c r="AY1079" i="178"/>
  <c r="BC1079" i="178"/>
  <c r="BG1079" i="178"/>
  <c r="BK1079" i="178"/>
  <c r="AS1081" i="178"/>
  <c r="BC1081" i="178"/>
  <c r="BI1081" i="178"/>
  <c r="BN1081" i="178"/>
  <c r="BM1100" i="178"/>
  <c r="S1100" i="178"/>
  <c r="BJ1100" i="178"/>
  <c r="BD1100" i="178"/>
  <c r="AT1100" i="178"/>
  <c r="BH1100" i="178"/>
  <c r="AX1100" i="178"/>
  <c r="AR1100" i="178"/>
  <c r="BB1100" i="178"/>
  <c r="AV1100" i="178"/>
  <c r="BK1100" i="178"/>
  <c r="BF1100" i="178"/>
  <c r="AZ1100" i="178"/>
  <c r="AR1078" i="178"/>
  <c r="AV1078" i="178"/>
  <c r="AZ1078" i="178"/>
  <c r="BD1078" i="178"/>
  <c r="AR1079" i="178"/>
  <c r="AV1079" i="178"/>
  <c r="AZ1079" i="178"/>
  <c r="BD1079" i="178"/>
  <c r="BH1080" i="178"/>
  <c r="BD1080" i="178"/>
  <c r="AR1080" i="178"/>
  <c r="AV1080" i="178"/>
  <c r="AZ1080" i="178"/>
  <c r="BJ1080" i="178"/>
  <c r="AY1081" i="178"/>
  <c r="BE1081" i="178"/>
  <c r="U1084" i="178"/>
  <c r="BM1114" i="178"/>
  <c r="S1114" i="178"/>
  <c r="AT1114" i="178"/>
  <c r="BD1114" i="178"/>
  <c r="BJ1114" i="178"/>
  <c r="BJ1117" i="178"/>
  <c r="BF1117" i="178"/>
  <c r="BB1117" i="178"/>
  <c r="AX1117" i="178"/>
  <c r="AT1117" i="178"/>
  <c r="BM1117" i="178"/>
  <c r="S1117" i="178"/>
  <c r="AV1117" i="178"/>
  <c r="BD1117" i="178"/>
  <c r="AT1096" i="178"/>
  <c r="AZ1096" i="178"/>
  <c r="BJ1096" i="178"/>
  <c r="U1100" i="178"/>
  <c r="AZ1114" i="178"/>
  <c r="BF1114" i="178"/>
  <c r="BK1114" i="178"/>
  <c r="AV1114" i="178"/>
  <c r="BB1114" i="178"/>
  <c r="AR1117" i="178"/>
  <c r="AZ1117" i="178"/>
  <c r="BH1117" i="178"/>
  <c r="AR1081" i="178"/>
  <c r="AV1081" i="178"/>
  <c r="AZ1081" i="178"/>
  <c r="BD1081" i="178"/>
  <c r="AR1082" i="178"/>
  <c r="AV1082" i="178"/>
  <c r="AZ1082" i="178"/>
  <c r="BD1082" i="178"/>
  <c r="AR1083" i="178"/>
  <c r="AV1083" i="178"/>
  <c r="AZ1083" i="178"/>
  <c r="BD1083" i="178"/>
  <c r="AR1084" i="178"/>
  <c r="AV1084" i="178"/>
  <c r="AZ1084" i="178"/>
  <c r="BD1084" i="178"/>
  <c r="AR1085" i="178"/>
  <c r="AV1085" i="178"/>
  <c r="AZ1085" i="178"/>
  <c r="BD1085" i="178"/>
  <c r="AR1086" i="178"/>
  <c r="AV1086" i="178"/>
  <c r="AZ1086" i="178"/>
  <c r="BD1086" i="178"/>
  <c r="AR1087" i="178"/>
  <c r="AV1087" i="178"/>
  <c r="AZ1087" i="178"/>
  <c r="BD1087" i="178"/>
  <c r="AR952" i="178"/>
  <c r="AV952" i="178"/>
  <c r="AZ952" i="178"/>
  <c r="BD952" i="178"/>
  <c r="AR1197" i="178"/>
  <c r="AV1197" i="178"/>
  <c r="AZ1197" i="178"/>
  <c r="BD1197" i="178"/>
  <c r="AR139" i="178"/>
  <c r="AV139" i="178"/>
  <c r="AZ139" i="178"/>
  <c r="BD139" i="178"/>
  <c r="AR1195" i="178"/>
  <c r="AV1195" i="178"/>
  <c r="AZ1195" i="178"/>
  <c r="BD1195" i="178"/>
  <c r="AR1196" i="178"/>
  <c r="AV1196" i="178"/>
  <c r="AZ1196" i="178"/>
  <c r="BD1196" i="178"/>
  <c r="BK1034" i="178"/>
  <c r="AX1034" i="178"/>
  <c r="BD1034" i="178"/>
  <c r="AR1096" i="178"/>
  <c r="BB1096" i="178"/>
  <c r="BH1096" i="178"/>
  <c r="BM1096" i="178"/>
  <c r="AR1114" i="178"/>
  <c r="AX1114" i="178"/>
  <c r="BH1114" i="178"/>
  <c r="BK1117" i="178"/>
  <c r="BK1119" i="178"/>
  <c r="BJ1119" i="178"/>
  <c r="BF1119" i="178"/>
  <c r="BB1119" i="178"/>
  <c r="AX1119" i="178"/>
  <c r="AT1119" i="178"/>
  <c r="BM1119" i="178"/>
  <c r="S1119" i="178"/>
  <c r="BD1119" i="178"/>
  <c r="V1166" i="178"/>
  <c r="U1166" i="178"/>
  <c r="BJ1093" i="178"/>
  <c r="BF1093" i="178"/>
  <c r="BB1093" i="178"/>
  <c r="AX1093" i="178"/>
  <c r="AT1093" i="178"/>
  <c r="BM1093" i="178"/>
  <c r="S1093" i="178"/>
  <c r="BH1093" i="178"/>
  <c r="BD1093" i="178"/>
  <c r="AZ1093" i="178"/>
  <c r="AV1093" i="178"/>
  <c r="AR1093" i="178"/>
  <c r="BK1093" i="178"/>
  <c r="BM1101" i="178"/>
  <c r="S1101" i="178"/>
  <c r="BH1101" i="178"/>
  <c r="BD1101" i="178"/>
  <c r="AZ1101" i="178"/>
  <c r="AV1101" i="178"/>
  <c r="AR1101" i="178"/>
  <c r="BK1101" i="178"/>
  <c r="BJ1101" i="178"/>
  <c r="BF1101" i="178"/>
  <c r="BB1101" i="178"/>
  <c r="AX1101" i="178"/>
  <c r="AT1101" i="178"/>
  <c r="U1167" i="178"/>
  <c r="U1168" i="178"/>
  <c r="U1169" i="178"/>
  <c r="U1170" i="178"/>
  <c r="AR1166" i="178"/>
  <c r="AV1166" i="178"/>
  <c r="AZ1166" i="178"/>
  <c r="BD1166" i="178"/>
  <c r="BH1166" i="178"/>
  <c r="BL1166" i="178"/>
  <c r="AR1167" i="178"/>
  <c r="AV1167" i="178"/>
  <c r="AZ1167" i="178"/>
  <c r="BD1167" i="178"/>
  <c r="BH1167" i="178"/>
  <c r="AR1168" i="178"/>
  <c r="AV1168" i="178"/>
  <c r="AZ1168" i="178"/>
  <c r="BD1168" i="178"/>
  <c r="BH1168" i="178"/>
  <c r="AR1169" i="178"/>
  <c r="AV1169" i="178"/>
  <c r="AZ1169" i="178"/>
  <c r="BD1169" i="178"/>
  <c r="BH1169" i="178"/>
  <c r="AR1170" i="178"/>
  <c r="AV1170" i="178"/>
  <c r="AZ1170" i="178"/>
  <c r="BD1170" i="178"/>
  <c r="BH1170" i="178"/>
  <c r="AS1166" i="178"/>
  <c r="AW1166" i="178"/>
  <c r="BA1166" i="178"/>
  <c r="BE1166" i="178"/>
  <c r="S1167" i="178"/>
  <c r="S1168" i="178"/>
  <c r="S1169" i="178"/>
  <c r="S1170" i="178"/>
  <c r="AR1180" i="178"/>
  <c r="AV1180" i="178"/>
  <c r="AZ1180" i="178"/>
  <c r="BD1180" i="178"/>
  <c r="AR1189" i="178"/>
  <c r="AV1189" i="178"/>
  <c r="AZ1189" i="178"/>
  <c r="BD1189" i="178"/>
  <c r="BH1189" i="178"/>
  <c r="AR1091" i="178"/>
  <c r="AV1091" i="178"/>
  <c r="AZ1091" i="178"/>
  <c r="BD1091" i="178"/>
  <c r="BH1091" i="178"/>
  <c r="AR1092" i="178"/>
  <c r="AV1092" i="178"/>
  <c r="AZ1092" i="178"/>
  <c r="BD1092" i="178"/>
  <c r="BH1092" i="178"/>
  <c r="S1091" i="178"/>
  <c r="BM1091" i="178"/>
  <c r="S1092" i="178"/>
  <c r="BM1092" i="178"/>
  <c r="U1101" i="178"/>
  <c r="AX1189" i="178"/>
  <c r="BF1189" i="178"/>
  <c r="AT1091" i="178"/>
  <c r="AX1091" i="178"/>
  <c r="BB1091" i="178"/>
  <c r="BF1091" i="178"/>
  <c r="BJ1091" i="178"/>
  <c r="AT1092" i="178"/>
  <c r="AX1092" i="178"/>
  <c r="BB1092" i="178"/>
  <c r="BF1092" i="178"/>
  <c r="BJ1092" i="178"/>
  <c r="BK564" i="178"/>
  <c r="BJ564" i="178"/>
  <c r="BF564" i="178"/>
  <c r="BB564" i="178"/>
  <c r="AX564" i="178"/>
  <c r="AT564" i="178"/>
  <c r="BM564" i="178"/>
  <c r="S564" i="178"/>
  <c r="BH564" i="178"/>
  <c r="BD564" i="178"/>
  <c r="AZ564" i="178"/>
  <c r="AV564" i="178"/>
  <c r="AR564" i="178"/>
  <c r="S1113" i="178"/>
  <c r="BM1113" i="178"/>
  <c r="U1242" i="178"/>
  <c r="AR1242" i="178"/>
  <c r="AT1113" i="178"/>
  <c r="AX1113" i="178"/>
  <c r="BB1113" i="178"/>
  <c r="BF1113" i="178"/>
  <c r="BJ1113" i="178"/>
  <c r="BK1242" i="178"/>
  <c r="BJ1242" i="178"/>
  <c r="BF1242" i="178"/>
  <c r="BB1242" i="178"/>
  <c r="AX1242" i="178"/>
  <c r="AT1242" i="178"/>
  <c r="BM1242" i="178"/>
  <c r="AV1242" i="178"/>
  <c r="AT1244" i="178"/>
  <c r="BK1113" i="178"/>
  <c r="S1242" i="178"/>
  <c r="AZ1242" i="178"/>
  <c r="BM1244" i="178"/>
  <c r="S1244" i="178"/>
  <c r="BH1244" i="178"/>
  <c r="BD1244" i="178"/>
  <c r="AZ1244" i="178"/>
  <c r="AV1244" i="178"/>
  <c r="AR1244" i="178"/>
  <c r="BK1244" i="178"/>
  <c r="AX1244" i="178"/>
  <c r="AR1113" i="178"/>
  <c r="AV1113" i="178"/>
  <c r="AZ1113" i="178"/>
  <c r="BD1113" i="178"/>
  <c r="BJ1243" i="178"/>
  <c r="BF1243" i="178"/>
  <c r="BB1243" i="178"/>
  <c r="AX1243" i="178"/>
  <c r="AT1243" i="178"/>
  <c r="BM1243" i="178"/>
  <c r="S1243" i="178"/>
  <c r="BH1243" i="178"/>
  <c r="BD1243" i="178"/>
  <c r="AZ1243" i="178"/>
  <c r="AV1243" i="178"/>
  <c r="AR1243" i="178"/>
  <c r="V1244" i="178"/>
  <c r="U1244" i="178"/>
  <c r="AS1259" i="178"/>
  <c r="AW1259" i="178"/>
  <c r="BA1259" i="178"/>
  <c r="BE1259" i="178"/>
  <c r="BI1259" i="178"/>
  <c r="AY1262" i="178"/>
  <c r="BE1262" i="178"/>
  <c r="U1265" i="178"/>
  <c r="AU1265" i="178"/>
  <c r="BC1265" i="178"/>
  <c r="BN1259" i="178"/>
  <c r="BF1260" i="178"/>
  <c r="AU1262" i="178"/>
  <c r="BA1262" i="178"/>
  <c r="AU1259" i="178"/>
  <c r="AY1259" i="178"/>
  <c r="BC1259" i="178"/>
  <c r="BG1259" i="178"/>
  <c r="AW1262" i="178"/>
  <c r="BG1262" i="178"/>
  <c r="BI1265" i="178"/>
  <c r="BE1265" i="178"/>
  <c r="BA1265" i="178"/>
  <c r="AW1265" i="178"/>
  <c r="AS1265" i="178"/>
  <c r="BL1265" i="178"/>
  <c r="AY1265" i="178"/>
  <c r="BG1265" i="178"/>
  <c r="AR1254" i="178"/>
  <c r="AV1254" i="178"/>
  <c r="AZ1254" i="178"/>
  <c r="BD1254" i="178"/>
  <c r="AR1255" i="178"/>
  <c r="AV1255" i="178"/>
  <c r="AZ1255" i="178"/>
  <c r="BD1255" i="178"/>
  <c r="AR1256" i="178"/>
  <c r="AV1256" i="178"/>
  <c r="AZ1256" i="178"/>
  <c r="BD1256" i="178"/>
  <c r="AR1257" i="178"/>
  <c r="AV1257" i="178"/>
  <c r="AZ1257" i="178"/>
  <c r="BD1257" i="178"/>
  <c r="AR1259" i="178"/>
  <c r="AV1259" i="178"/>
  <c r="AZ1259" i="178"/>
  <c r="BD1259" i="178"/>
  <c r="BH1260" i="178"/>
  <c r="BD1260" i="178"/>
  <c r="AZ1260" i="178"/>
  <c r="AV1260" i="178"/>
  <c r="AR1260" i="178"/>
  <c r="AX1260" i="178"/>
  <c r="AS1262" i="178"/>
  <c r="BC1262" i="178"/>
  <c r="BI1262" i="178"/>
  <c r="BN1262" i="178"/>
  <c r="AX1266" i="178"/>
  <c r="AY1266" i="178"/>
  <c r="BF1266" i="178"/>
  <c r="BG1266" i="178"/>
  <c r="AU1267" i="178"/>
  <c r="AY1267" i="178"/>
  <c r="BC1267" i="178"/>
  <c r="BG1267" i="178"/>
  <c r="AU1271" i="178"/>
  <c r="AY1271" i="178"/>
  <c r="BC1271" i="178"/>
  <c r="BG1271" i="178"/>
  <c r="AR1261" i="178"/>
  <c r="AV1261" i="178"/>
  <c r="AZ1261" i="178"/>
  <c r="BD1261" i="178"/>
  <c r="AR1262" i="178"/>
  <c r="AV1262" i="178"/>
  <c r="AZ1262" i="178"/>
  <c r="BD1262" i="178"/>
  <c r="AR1265" i="178"/>
  <c r="AV1265" i="178"/>
  <c r="AZ1265" i="178"/>
  <c r="BD1265" i="178"/>
  <c r="AR1266" i="178"/>
  <c r="AV1266" i="178"/>
  <c r="AZ1266" i="178"/>
  <c r="BD1266" i="178"/>
  <c r="BL1266" i="178"/>
  <c r="AR1267" i="178"/>
  <c r="AV1267" i="178"/>
  <c r="AZ1267" i="178"/>
  <c r="BD1267" i="178"/>
  <c r="BL1267" i="178"/>
  <c r="AR1268" i="178"/>
  <c r="AV1268" i="178"/>
  <c r="AZ1268" i="178"/>
  <c r="BD1268" i="178"/>
  <c r="AR1271" i="178"/>
  <c r="AV1271" i="178"/>
  <c r="AZ1271" i="178"/>
  <c r="BD1271" i="178"/>
  <c r="BH1271" i="178"/>
  <c r="BL1271" i="178"/>
  <c r="BH1273" i="178"/>
  <c r="BD1273" i="178"/>
  <c r="AZ1273" i="178"/>
  <c r="AR1273" i="178"/>
  <c r="AV1273" i="178"/>
  <c r="BF1273" i="178"/>
  <c r="BK1273" i="178"/>
  <c r="AS1266" i="178"/>
  <c r="AW1266" i="178"/>
  <c r="BA1266" i="178"/>
  <c r="BE1266" i="178"/>
  <c r="BI1266" i="178"/>
  <c r="AS1267" i="178"/>
  <c r="AW1267" i="178"/>
  <c r="BA1267" i="178"/>
  <c r="BE1267" i="178"/>
  <c r="BI1267" i="178"/>
  <c r="AS1271" i="178"/>
  <c r="AW1271" i="178"/>
  <c r="BA1271" i="178"/>
  <c r="BE1271" i="178"/>
  <c r="BI1271" i="178"/>
  <c r="AT1271" i="178"/>
  <c r="AX1271" i="178"/>
  <c r="BB1271" i="178"/>
  <c r="BF1271" i="178"/>
  <c r="AT1273" i="178"/>
  <c r="AX1273" i="178"/>
  <c r="AR1274" i="178"/>
  <c r="AV1274" i="178"/>
  <c r="AZ1274" i="178"/>
  <c r="BD1274" i="178"/>
  <c r="V1275" i="178"/>
  <c r="AR1275" i="178"/>
  <c r="AV1275" i="178"/>
  <c r="AZ1275" i="178"/>
  <c r="BD1275" i="178"/>
  <c r="BH1275" i="178"/>
  <c r="O584" i="55"/>
  <c r="P584" i="55"/>
  <c r="Q584" i="55"/>
  <c r="R584" i="55"/>
  <c r="C614" i="78"/>
  <c r="B82" i="70"/>
  <c r="G82" i="70"/>
  <c r="H82" i="70" s="1"/>
  <c r="J82" i="70"/>
  <c r="L82" i="70"/>
  <c r="O583" i="55"/>
  <c r="P583" i="55"/>
  <c r="Q583" i="55"/>
  <c r="R583" i="55"/>
  <c r="C613" i="78"/>
  <c r="F82" i="70"/>
  <c r="D82" i="70"/>
  <c r="E82" i="70"/>
  <c r="O582" i="55"/>
  <c r="X959" i="178" s="1"/>
  <c r="P582" i="55"/>
  <c r="Y959" i="178" s="1"/>
  <c r="Q582" i="55"/>
  <c r="AA959" i="178" s="1"/>
  <c r="AB959" i="178" s="1"/>
  <c r="R582" i="55"/>
  <c r="C612" i="78"/>
  <c r="O179" i="55"/>
  <c r="X224" i="178" s="1"/>
  <c r="P179" i="55"/>
  <c r="Y224" i="178" s="1"/>
  <c r="Q179" i="55"/>
  <c r="AA224" i="178" s="1"/>
  <c r="AB224" i="178" s="1"/>
  <c r="R179" i="55"/>
  <c r="C198" i="78"/>
  <c r="E58" i="160"/>
  <c r="D58" i="160"/>
  <c r="C169" i="78"/>
  <c r="O619" i="55"/>
  <c r="P619" i="55"/>
  <c r="Q619" i="55"/>
  <c r="R619" i="55"/>
  <c r="O620" i="55"/>
  <c r="P620" i="55"/>
  <c r="Q620" i="55"/>
  <c r="R620" i="55"/>
  <c r="C650" i="78"/>
  <c r="C651" i="78"/>
  <c r="O392" i="55"/>
  <c r="X536" i="178" s="1"/>
  <c r="P392" i="55"/>
  <c r="Y536" i="178" s="1"/>
  <c r="Q392" i="55"/>
  <c r="AA536" i="178" s="1"/>
  <c r="AB536" i="178" s="1"/>
  <c r="R392" i="55"/>
  <c r="C422" i="78"/>
  <c r="J4" i="70"/>
  <c r="L4" i="70"/>
  <c r="O189" i="55"/>
  <c r="O212" i="55"/>
  <c r="P189" i="55"/>
  <c r="P212" i="55"/>
  <c r="Q189" i="55"/>
  <c r="Q212" i="55"/>
  <c r="G4" i="70"/>
  <c r="H4" i="70" s="1"/>
  <c r="F4" i="70"/>
  <c r="D4" i="70"/>
  <c r="E4" i="70"/>
  <c r="O211" i="55"/>
  <c r="P211" i="55"/>
  <c r="Q211" i="55"/>
  <c r="R211" i="55"/>
  <c r="R212" i="55"/>
  <c r="C230" i="78"/>
  <c r="C231" i="78"/>
  <c r="C213" i="78"/>
  <c r="O157" i="55"/>
  <c r="P157" i="55"/>
  <c r="Q157" i="55"/>
  <c r="R157" i="55"/>
  <c r="C176" i="78"/>
  <c r="O156" i="55"/>
  <c r="P156" i="55"/>
  <c r="Q156" i="55"/>
  <c r="R156" i="55"/>
  <c r="O154" i="55"/>
  <c r="P154" i="55"/>
  <c r="Q154" i="55"/>
  <c r="R154" i="55"/>
  <c r="O153" i="55"/>
  <c r="P153" i="55"/>
  <c r="Q153" i="55"/>
  <c r="R153" i="55"/>
  <c r="C175" i="78"/>
  <c r="C172" i="78"/>
  <c r="C173" i="78"/>
  <c r="O130" i="55"/>
  <c r="P130" i="55"/>
  <c r="Q130" i="55"/>
  <c r="O454" i="55"/>
  <c r="P454" i="55"/>
  <c r="Q454" i="55"/>
  <c r="O523" i="55"/>
  <c r="P523" i="55"/>
  <c r="Q523" i="55"/>
  <c r="O561" i="55"/>
  <c r="P561" i="55"/>
  <c r="Q561" i="55"/>
  <c r="O742" i="55"/>
  <c r="P742" i="55"/>
  <c r="Q742" i="55"/>
  <c r="O743" i="55"/>
  <c r="P743" i="55"/>
  <c r="Q743" i="55"/>
  <c r="O744" i="55"/>
  <c r="P744" i="55"/>
  <c r="Q744" i="55"/>
  <c r="O129" i="55"/>
  <c r="P129" i="55"/>
  <c r="Q129" i="55"/>
  <c r="O131" i="55"/>
  <c r="P131" i="55"/>
  <c r="Q131" i="55"/>
  <c r="O273" i="55"/>
  <c r="P273" i="55"/>
  <c r="Q273" i="55"/>
  <c r="O390" i="55"/>
  <c r="P390" i="55"/>
  <c r="Q390" i="55"/>
  <c r="O417" i="55"/>
  <c r="P417" i="55"/>
  <c r="Q417" i="55"/>
  <c r="O458" i="55"/>
  <c r="P458" i="55"/>
  <c r="Q458" i="55"/>
  <c r="O459" i="55"/>
  <c r="P459" i="55"/>
  <c r="Q459" i="55"/>
  <c r="O586" i="55"/>
  <c r="P586" i="55"/>
  <c r="Q586" i="55"/>
  <c r="O735" i="55"/>
  <c r="P735" i="55"/>
  <c r="Q735" i="55"/>
  <c r="O741" i="55"/>
  <c r="P741" i="55"/>
  <c r="Q741" i="55"/>
  <c r="O749" i="55"/>
  <c r="P749" i="55"/>
  <c r="Q749" i="55"/>
  <c r="O23" i="55"/>
  <c r="P23" i="55"/>
  <c r="Q23" i="55"/>
  <c r="O25" i="55"/>
  <c r="P25" i="55"/>
  <c r="Q25" i="55"/>
  <c r="O36" i="55"/>
  <c r="P36" i="55"/>
  <c r="Q36" i="55"/>
  <c r="O49" i="55"/>
  <c r="P49" i="55"/>
  <c r="Q49" i="55"/>
  <c r="O53" i="55"/>
  <c r="X1015" i="178" s="1"/>
  <c r="P53" i="55"/>
  <c r="Y1015" i="178" s="1"/>
  <c r="Q53" i="55"/>
  <c r="AA1015" i="178" s="1"/>
  <c r="AB1015" i="178" s="1"/>
  <c r="O56" i="55"/>
  <c r="X1016" i="178" s="1"/>
  <c r="P56" i="55"/>
  <c r="Y1016" i="178" s="1"/>
  <c r="Q56" i="55"/>
  <c r="AA1016" i="178" s="1"/>
  <c r="AB1016" i="178" s="1"/>
  <c r="O57" i="55"/>
  <c r="X1017" i="178" s="1"/>
  <c r="P57" i="55"/>
  <c r="Y1017" i="178" s="1"/>
  <c r="Q57" i="55"/>
  <c r="AA1017" i="178" s="1"/>
  <c r="AB1017" i="178" s="1"/>
  <c r="O58" i="55"/>
  <c r="P58" i="55"/>
  <c r="Q58" i="55"/>
  <c r="O65" i="55"/>
  <c r="X1059" i="178" s="1"/>
  <c r="P65" i="55"/>
  <c r="Y1059" i="178" s="1"/>
  <c r="Q65" i="55"/>
  <c r="AA1059" i="178" s="1"/>
  <c r="AB1059" i="178" s="1"/>
  <c r="O70" i="55"/>
  <c r="P70" i="55"/>
  <c r="Q70" i="55"/>
  <c r="O71" i="55"/>
  <c r="P71" i="55"/>
  <c r="Q71" i="55"/>
  <c r="O72" i="55"/>
  <c r="P72" i="55"/>
  <c r="Q72" i="55"/>
  <c r="O73" i="55"/>
  <c r="P73" i="55"/>
  <c r="Q73" i="55"/>
  <c r="O94" i="55"/>
  <c r="P94" i="55"/>
  <c r="Q94" i="55"/>
  <c r="O95" i="55"/>
  <c r="P95" i="55"/>
  <c r="Q95" i="55"/>
  <c r="O113" i="55"/>
  <c r="P113" i="55"/>
  <c r="Q113" i="55"/>
  <c r="O114" i="55"/>
  <c r="P114" i="55"/>
  <c r="Q114" i="55"/>
  <c r="O150" i="55"/>
  <c r="P150" i="55"/>
  <c r="Q150" i="55"/>
  <c r="O166" i="55"/>
  <c r="P166" i="55"/>
  <c r="Q166" i="55"/>
  <c r="O181" i="55"/>
  <c r="P181" i="55"/>
  <c r="Q181" i="55"/>
  <c r="O183" i="55"/>
  <c r="P183" i="55"/>
  <c r="Q183" i="55"/>
  <c r="O249" i="55"/>
  <c r="X16" i="178" s="1"/>
  <c r="P249" i="55"/>
  <c r="Y16" i="178" s="1"/>
  <c r="Q249" i="55"/>
  <c r="AA16" i="178" s="1"/>
  <c r="AB16" i="178" s="1"/>
  <c r="O187" i="55"/>
  <c r="P187" i="55"/>
  <c r="Q187" i="55"/>
  <c r="O200" i="55"/>
  <c r="P200" i="55"/>
  <c r="Q200" i="55"/>
  <c r="O204" i="55"/>
  <c r="X830" i="178" s="1"/>
  <c r="P204" i="55"/>
  <c r="Y830" i="178" s="1"/>
  <c r="Q204" i="55"/>
  <c r="AA830" i="178" s="1"/>
  <c r="AB830" i="178" s="1"/>
  <c r="O206" i="55"/>
  <c r="X831" i="178" s="1"/>
  <c r="P206" i="55"/>
  <c r="Y831" i="178" s="1"/>
  <c r="Q206" i="55"/>
  <c r="AA831" i="178" s="1"/>
  <c r="AB831" i="178" s="1"/>
  <c r="O209" i="55"/>
  <c r="P209" i="55"/>
  <c r="Q209" i="55"/>
  <c r="O210" i="55"/>
  <c r="P210" i="55"/>
  <c r="Q210" i="55"/>
  <c r="O216" i="55"/>
  <c r="P216" i="55"/>
  <c r="Q216" i="55"/>
  <c r="O229" i="55"/>
  <c r="P229" i="55"/>
  <c r="Q229" i="55"/>
  <c r="O191" i="55"/>
  <c r="P191" i="55"/>
  <c r="Q191" i="55"/>
  <c r="O192" i="55"/>
  <c r="P192" i="55"/>
  <c r="Q192" i="55"/>
  <c r="O293" i="55"/>
  <c r="P293" i="55"/>
  <c r="Q293" i="55"/>
  <c r="O294" i="55"/>
  <c r="P294" i="55"/>
  <c r="Q294" i="55"/>
  <c r="O316" i="55"/>
  <c r="P316" i="55"/>
  <c r="Q316" i="55"/>
  <c r="O328" i="55"/>
  <c r="P328" i="55"/>
  <c r="Q328" i="55"/>
  <c r="O330" i="55"/>
  <c r="P330" i="55"/>
  <c r="Q330" i="55"/>
  <c r="O331" i="55"/>
  <c r="P331" i="55"/>
  <c r="Q331" i="55"/>
  <c r="O353" i="55"/>
  <c r="P353" i="55"/>
  <c r="Q353" i="55"/>
  <c r="O365" i="55"/>
  <c r="P365" i="55"/>
  <c r="Q365" i="55"/>
  <c r="O367" i="55"/>
  <c r="P367" i="55"/>
  <c r="Q367" i="55"/>
  <c r="O389" i="55"/>
  <c r="P389" i="55"/>
  <c r="Q389" i="55"/>
  <c r="O499" i="55"/>
  <c r="P499" i="55"/>
  <c r="Q499" i="55"/>
  <c r="O515" i="55"/>
  <c r="P515" i="55"/>
  <c r="Q515" i="55"/>
  <c r="O520" i="55"/>
  <c r="X835" i="178" s="1"/>
  <c r="P520" i="55"/>
  <c r="Y835" i="178" s="1"/>
  <c r="Q520" i="55"/>
  <c r="AA835" i="178" s="1"/>
  <c r="AB835" i="178" s="1"/>
  <c r="O534" i="55"/>
  <c r="P534" i="55"/>
  <c r="Q534" i="55"/>
  <c r="O537" i="55"/>
  <c r="P537" i="55"/>
  <c r="Q537" i="55"/>
  <c r="O545" i="55"/>
  <c r="P545" i="55"/>
  <c r="Q545" i="55"/>
  <c r="O574" i="55"/>
  <c r="P574" i="55"/>
  <c r="Q574" i="55"/>
  <c r="O575" i="55"/>
  <c r="P575" i="55"/>
  <c r="Q575" i="55"/>
  <c r="O576" i="55"/>
  <c r="P576" i="55"/>
  <c r="Q576" i="55"/>
  <c r="O601" i="55"/>
  <c r="P601" i="55"/>
  <c r="Q601" i="55"/>
  <c r="O609" i="55"/>
  <c r="X381" i="178" s="1"/>
  <c r="P609" i="55"/>
  <c r="Y381" i="178" s="1"/>
  <c r="Q609" i="55"/>
  <c r="AA381" i="178" s="1"/>
  <c r="AB381" i="178" s="1"/>
  <c r="O616" i="55"/>
  <c r="P616" i="55"/>
  <c r="Q616" i="55"/>
  <c r="O617" i="55"/>
  <c r="P617" i="55"/>
  <c r="Q617" i="55"/>
  <c r="O618" i="55"/>
  <c r="P618" i="55"/>
  <c r="Q618" i="55"/>
  <c r="O626" i="55"/>
  <c r="P626" i="55"/>
  <c r="Q626" i="55"/>
  <c r="O627" i="55"/>
  <c r="X404" i="178" s="1"/>
  <c r="P627" i="55"/>
  <c r="Y404" i="178" s="1"/>
  <c r="Q627" i="55"/>
  <c r="AA404" i="178" s="1"/>
  <c r="AB404" i="178" s="1"/>
  <c r="O631" i="55"/>
  <c r="P631" i="55"/>
  <c r="Q631" i="55"/>
  <c r="O632" i="55"/>
  <c r="P632" i="55"/>
  <c r="Q632" i="55"/>
  <c r="O645" i="55"/>
  <c r="P645" i="55"/>
  <c r="Q645" i="55"/>
  <c r="O647" i="55"/>
  <c r="P647" i="55"/>
  <c r="Q647" i="55"/>
  <c r="O648" i="55"/>
  <c r="P648" i="55"/>
  <c r="Q648" i="55"/>
  <c r="O701" i="55"/>
  <c r="P701" i="55"/>
  <c r="Q701" i="55"/>
  <c r="O718" i="55"/>
  <c r="X614" i="178" s="1"/>
  <c r="P718" i="55"/>
  <c r="Y614" i="178" s="1"/>
  <c r="Q718" i="55"/>
  <c r="AA614" i="178" s="1"/>
  <c r="AB614" i="178" s="1"/>
  <c r="O719" i="55"/>
  <c r="P719" i="55"/>
  <c r="Q719" i="55"/>
  <c r="O725" i="55"/>
  <c r="P725" i="55"/>
  <c r="Q725" i="55"/>
  <c r="O778" i="55"/>
  <c r="P778" i="55"/>
  <c r="Q778" i="55"/>
  <c r="O781" i="55"/>
  <c r="X630" i="178" s="1"/>
  <c r="P781" i="55"/>
  <c r="Y630" i="178" s="1"/>
  <c r="Q781" i="55"/>
  <c r="AA630" i="178" s="1"/>
  <c r="AB630" i="178" s="1"/>
  <c r="O20" i="55"/>
  <c r="P20" i="55"/>
  <c r="Q20" i="55"/>
  <c r="O27" i="55"/>
  <c r="P27" i="55"/>
  <c r="Q27" i="55"/>
  <c r="O28" i="55"/>
  <c r="P28" i="55"/>
  <c r="Q28" i="55"/>
  <c r="O30" i="55"/>
  <c r="P30" i="55"/>
  <c r="Q30" i="55"/>
  <c r="O31" i="55"/>
  <c r="P31" i="55"/>
  <c r="Q31" i="55"/>
  <c r="O32" i="55"/>
  <c r="P32" i="55"/>
  <c r="Q32" i="55"/>
  <c r="O34" i="55"/>
  <c r="P34" i="55"/>
  <c r="Q34" i="55"/>
  <c r="O35" i="55"/>
  <c r="X34" i="178" s="1"/>
  <c r="P35" i="55"/>
  <c r="Y34" i="178" s="1"/>
  <c r="Q35" i="55"/>
  <c r="AA34" i="178" s="1"/>
  <c r="AB34" i="178" s="1"/>
  <c r="O38" i="55"/>
  <c r="P38" i="55"/>
  <c r="Q38" i="55"/>
  <c r="O43" i="55"/>
  <c r="P43" i="55"/>
  <c r="Q43" i="55"/>
  <c r="O46" i="55"/>
  <c r="X43" i="178" s="1"/>
  <c r="P46" i="55"/>
  <c r="Y43" i="178" s="1"/>
  <c r="Q46" i="55"/>
  <c r="AA43" i="178" s="1"/>
  <c r="AB43" i="178" s="1"/>
  <c r="O50" i="55"/>
  <c r="P50" i="55"/>
  <c r="Q50" i="55"/>
  <c r="O54" i="55"/>
  <c r="P54" i="55"/>
  <c r="Q54" i="55"/>
  <c r="O55" i="55"/>
  <c r="P55" i="55"/>
  <c r="Q55" i="55"/>
  <c r="O62" i="55"/>
  <c r="P62" i="55"/>
  <c r="Q62" i="55"/>
  <c r="O63" i="55"/>
  <c r="X64" i="178" s="1"/>
  <c r="P63" i="55"/>
  <c r="Y64" i="178" s="1"/>
  <c r="Q63" i="55"/>
  <c r="AA64" i="178" s="1"/>
  <c r="AB64" i="178" s="1"/>
  <c r="O67" i="55"/>
  <c r="P67" i="55"/>
  <c r="Q67" i="55"/>
  <c r="O68" i="55"/>
  <c r="P68" i="55"/>
  <c r="Q68" i="55"/>
  <c r="O74" i="55"/>
  <c r="P74" i="55"/>
  <c r="Q74" i="55"/>
  <c r="O75" i="55"/>
  <c r="P75" i="55"/>
  <c r="Q75" i="55"/>
  <c r="O76" i="55"/>
  <c r="P76" i="55"/>
  <c r="Q76" i="55"/>
  <c r="O84" i="55"/>
  <c r="P84" i="55"/>
  <c r="Q84" i="55"/>
  <c r="O93" i="55"/>
  <c r="P93" i="55"/>
  <c r="Q93" i="55"/>
  <c r="O159" i="55"/>
  <c r="P159" i="55"/>
  <c r="Q159" i="55"/>
  <c r="O112" i="55"/>
  <c r="P112" i="55"/>
  <c r="Q112" i="55"/>
  <c r="O145" i="55"/>
  <c r="P145" i="55"/>
  <c r="Q145" i="55"/>
  <c r="O162" i="55"/>
  <c r="P162" i="55"/>
  <c r="Q162" i="55"/>
  <c r="O185" i="55"/>
  <c r="P185" i="55"/>
  <c r="Q185" i="55"/>
  <c r="O186" i="55"/>
  <c r="P186" i="55"/>
  <c r="Q186" i="55"/>
  <c r="O188" i="55"/>
  <c r="P188" i="55"/>
  <c r="Q188" i="55"/>
  <c r="O190" i="55"/>
  <c r="P190" i="55"/>
  <c r="Q190" i="55"/>
  <c r="O219" i="55"/>
  <c r="P219" i="55"/>
  <c r="Q219" i="55"/>
  <c r="O220" i="55"/>
  <c r="P220" i="55"/>
  <c r="Q220" i="55"/>
  <c r="O239" i="55"/>
  <c r="P239" i="55"/>
  <c r="Q239" i="55"/>
  <c r="O240" i="55"/>
  <c r="P240" i="55"/>
  <c r="Q240" i="55"/>
  <c r="O245" i="55"/>
  <c r="P245" i="55"/>
  <c r="Q245" i="55"/>
  <c r="O246" i="55"/>
  <c r="P246" i="55"/>
  <c r="Q246" i="55"/>
  <c r="O247" i="55"/>
  <c r="P247" i="55"/>
  <c r="Q247" i="55"/>
  <c r="O248" i="55"/>
  <c r="P248" i="55"/>
  <c r="Q248" i="55"/>
  <c r="O262" i="55"/>
  <c r="X343" i="178" s="1"/>
  <c r="P262" i="55"/>
  <c r="Y343" i="178" s="1"/>
  <c r="Q262" i="55"/>
  <c r="AA343" i="178" s="1"/>
  <c r="AB343" i="178" s="1"/>
  <c r="O318" i="55"/>
  <c r="P318" i="55"/>
  <c r="Q318" i="55"/>
  <c r="O322" i="55"/>
  <c r="P322" i="55"/>
  <c r="Q322" i="55"/>
  <c r="O323" i="55"/>
  <c r="P323" i="55"/>
  <c r="Q323" i="55"/>
  <c r="O324" i="55"/>
  <c r="P324" i="55"/>
  <c r="Q324" i="55"/>
  <c r="O325" i="55"/>
  <c r="P325" i="55"/>
  <c r="Q325" i="55"/>
  <c r="O326" i="55"/>
  <c r="P326" i="55"/>
  <c r="Q326" i="55"/>
  <c r="O327" i="55"/>
  <c r="P327" i="55"/>
  <c r="Q327" i="55"/>
  <c r="O329" i="55"/>
  <c r="P329" i="55"/>
  <c r="Q329" i="55"/>
  <c r="O364" i="55"/>
  <c r="P364" i="55"/>
  <c r="Q364" i="55"/>
  <c r="O368" i="55"/>
  <c r="X512" i="178" s="1"/>
  <c r="P368" i="55"/>
  <c r="Y512" i="178" s="1"/>
  <c r="Q368" i="55"/>
  <c r="AA512" i="178" s="1"/>
  <c r="AB512" i="178" s="1"/>
  <c r="O376" i="55"/>
  <c r="X520" i="178" s="1"/>
  <c r="P376" i="55"/>
  <c r="Y520" i="178" s="1"/>
  <c r="Q376" i="55"/>
  <c r="AA520" i="178" s="1"/>
  <c r="AB520" i="178" s="1"/>
  <c r="O385" i="55"/>
  <c r="P385" i="55"/>
  <c r="Q385" i="55"/>
  <c r="O393" i="55"/>
  <c r="P393" i="55"/>
  <c r="Q393" i="55"/>
  <c r="O394" i="55"/>
  <c r="P394" i="55"/>
  <c r="Q394" i="55"/>
  <c r="O600" i="55"/>
  <c r="P600" i="55"/>
  <c r="Q600" i="55"/>
  <c r="O622" i="55"/>
  <c r="P622" i="55"/>
  <c r="Q622" i="55"/>
  <c r="O625" i="55"/>
  <c r="P625" i="55"/>
  <c r="Q625" i="55"/>
  <c r="O644" i="55"/>
  <c r="P644" i="55"/>
  <c r="Q644" i="55"/>
  <c r="O646" i="55"/>
  <c r="P646" i="55"/>
  <c r="Q646" i="55"/>
  <c r="O694" i="55"/>
  <c r="P694" i="55"/>
  <c r="Q694" i="55"/>
  <c r="O702" i="55"/>
  <c r="P702" i="55"/>
  <c r="Q702" i="55"/>
  <c r="O724" i="55"/>
  <c r="X1179" i="178" s="1"/>
  <c r="P724" i="55"/>
  <c r="Y1179" i="178" s="1"/>
  <c r="Q724" i="55"/>
  <c r="AA1179" i="178" s="1"/>
  <c r="AB1179" i="178" s="1"/>
  <c r="O726" i="55"/>
  <c r="P726" i="55"/>
  <c r="Q726" i="55"/>
  <c r="O774" i="55"/>
  <c r="X1270" i="178" s="1"/>
  <c r="P774" i="55"/>
  <c r="Y1270" i="178" s="1"/>
  <c r="Q774" i="55"/>
  <c r="AA1270" i="178" s="1"/>
  <c r="AB1270" i="178" s="1"/>
  <c r="O779" i="55"/>
  <c r="P779" i="55"/>
  <c r="Q779" i="55"/>
  <c r="O100" i="55"/>
  <c r="X803" i="178" s="1"/>
  <c r="P100" i="55"/>
  <c r="Y803" i="178" s="1"/>
  <c r="Q100" i="55"/>
  <c r="AA803" i="178" s="1"/>
  <c r="AB803" i="178" s="1"/>
  <c r="O139" i="55"/>
  <c r="X487" i="178" s="1"/>
  <c r="P139" i="55"/>
  <c r="Y487" i="178" s="1"/>
  <c r="Q139" i="55"/>
  <c r="AA487" i="178" s="1"/>
  <c r="AB487" i="178" s="1"/>
  <c r="O142" i="55"/>
  <c r="X897" i="178" s="1"/>
  <c r="P142" i="55"/>
  <c r="Y897" i="178" s="1"/>
  <c r="Q142" i="55"/>
  <c r="AA897" i="178" s="1"/>
  <c r="AB897" i="178" s="1"/>
  <c r="O155" i="55"/>
  <c r="P155" i="55"/>
  <c r="Q155" i="55"/>
  <c r="O217" i="55"/>
  <c r="P217" i="55"/>
  <c r="Q217" i="55"/>
  <c r="O272" i="55"/>
  <c r="P272" i="55"/>
  <c r="O11" i="70" s="1"/>
  <c r="Q272" i="55"/>
  <c r="O356" i="55"/>
  <c r="P356" i="55"/>
  <c r="Q356" i="55"/>
  <c r="O359" i="55"/>
  <c r="P359" i="55"/>
  <c r="Q359" i="55"/>
  <c r="O407" i="55"/>
  <c r="P407" i="55"/>
  <c r="Q407" i="55"/>
  <c r="O438" i="55"/>
  <c r="P438" i="55"/>
  <c r="Q438" i="55"/>
  <c r="O524" i="55"/>
  <c r="P524" i="55"/>
  <c r="Q524" i="55"/>
  <c r="O525" i="55"/>
  <c r="P525" i="55"/>
  <c r="Q525" i="55"/>
  <c r="O531" i="55"/>
  <c r="P531" i="55"/>
  <c r="Q531" i="55"/>
  <c r="O532" i="55"/>
  <c r="P532" i="55"/>
  <c r="Q532" i="55"/>
  <c r="O533" i="55"/>
  <c r="P533" i="55"/>
  <c r="Q533" i="55"/>
  <c r="O544" i="55"/>
  <c r="P544" i="55"/>
  <c r="Q544" i="55"/>
  <c r="O554" i="55"/>
  <c r="P554" i="55"/>
  <c r="Q554" i="55"/>
  <c r="O555" i="55"/>
  <c r="P555" i="55"/>
  <c r="Q555" i="55"/>
  <c r="O557" i="55"/>
  <c r="P557" i="55"/>
  <c r="Q557" i="55"/>
  <c r="O558" i="55"/>
  <c r="P558" i="55"/>
  <c r="Q558" i="55"/>
  <c r="O559" i="55"/>
  <c r="P559" i="55"/>
  <c r="Q559" i="55"/>
  <c r="O560" i="55"/>
  <c r="P560" i="55"/>
  <c r="Q560" i="55"/>
  <c r="O562" i="55"/>
  <c r="P562" i="55"/>
  <c r="Q562" i="55"/>
  <c r="O563" i="55"/>
  <c r="P563" i="55"/>
  <c r="Q563" i="55"/>
  <c r="O565" i="55"/>
  <c r="P565" i="55"/>
  <c r="Q565" i="55"/>
  <c r="O566" i="55"/>
  <c r="P566" i="55"/>
  <c r="O74" i="70" s="1"/>
  <c r="Q566" i="55"/>
  <c r="O697" i="55"/>
  <c r="P697" i="55"/>
  <c r="Q697" i="55"/>
  <c r="O700" i="55"/>
  <c r="P700" i="55"/>
  <c r="Q700" i="55"/>
  <c r="O134" i="55"/>
  <c r="P134" i="55"/>
  <c r="Q134" i="55"/>
  <c r="O275" i="55"/>
  <c r="P275" i="55"/>
  <c r="Q275" i="55"/>
  <c r="O287" i="55"/>
  <c r="P287" i="55"/>
  <c r="Q287" i="55"/>
  <c r="O289" i="55"/>
  <c r="P289" i="55"/>
  <c r="Q289" i="55"/>
  <c r="O295" i="55"/>
  <c r="P295" i="55"/>
  <c r="Q295" i="55"/>
  <c r="O360" i="55"/>
  <c r="P360" i="55"/>
  <c r="Q360" i="55"/>
  <c r="O403" i="55"/>
  <c r="X546" i="178" s="1"/>
  <c r="P403" i="55"/>
  <c r="Y546" i="178" s="1"/>
  <c r="Q403" i="55"/>
  <c r="AA546" i="178" s="1"/>
  <c r="AB546" i="178" s="1"/>
  <c r="O404" i="55"/>
  <c r="P404" i="55"/>
  <c r="Q404" i="55"/>
  <c r="O449" i="55"/>
  <c r="P449" i="55"/>
  <c r="Q449" i="55"/>
  <c r="O467" i="55"/>
  <c r="X572" i="178" s="1"/>
  <c r="P467" i="55"/>
  <c r="Y572" i="178" s="1"/>
  <c r="Q467" i="55"/>
  <c r="AA572" i="178" s="1"/>
  <c r="AB572" i="178" s="1"/>
  <c r="O535" i="55"/>
  <c r="P535" i="55"/>
  <c r="Q535" i="55"/>
  <c r="O536" i="55"/>
  <c r="P536" i="55"/>
  <c r="Q536" i="55"/>
  <c r="O540" i="55"/>
  <c r="P540" i="55"/>
  <c r="Q540" i="55"/>
  <c r="O543" i="55"/>
  <c r="P543" i="55"/>
  <c r="Q543" i="55"/>
  <c r="O564" i="55"/>
  <c r="X901" i="178" s="1"/>
  <c r="P564" i="55"/>
  <c r="Y901" i="178" s="1"/>
  <c r="Q564" i="55"/>
  <c r="AA901" i="178" s="1"/>
  <c r="AB901" i="178" s="1"/>
  <c r="O567" i="55"/>
  <c r="P567" i="55"/>
  <c r="Q567" i="55"/>
  <c r="O570" i="55"/>
  <c r="P570" i="55"/>
  <c r="Q570" i="55"/>
  <c r="O571" i="55"/>
  <c r="P571" i="55"/>
  <c r="Q571" i="55"/>
  <c r="O780" i="55"/>
  <c r="P780" i="55"/>
  <c r="Q780" i="55"/>
  <c r="O777" i="55"/>
  <c r="X1273" i="178" s="1"/>
  <c r="P777" i="55"/>
  <c r="Y1273" i="178" s="1"/>
  <c r="Q777" i="55"/>
  <c r="AA1273" i="178" s="1"/>
  <c r="AB1273" i="178" s="1"/>
  <c r="O775" i="55"/>
  <c r="X1271" i="178" s="1"/>
  <c r="P775" i="55"/>
  <c r="Y1271" i="178" s="1"/>
  <c r="Q775" i="55"/>
  <c r="AA1271" i="178" s="1"/>
  <c r="AB1271" i="178" s="1"/>
  <c r="O772" i="55"/>
  <c r="X1268" i="178" s="1"/>
  <c r="P772" i="55"/>
  <c r="Y1268" i="178" s="1"/>
  <c r="Q772" i="55"/>
  <c r="AA1268" i="178" s="1"/>
  <c r="AB1268" i="178" s="1"/>
  <c r="O771" i="55"/>
  <c r="X1267" i="178" s="1"/>
  <c r="P771" i="55"/>
  <c r="Y1267" i="178" s="1"/>
  <c r="Q771" i="55"/>
  <c r="AA1267" i="178" s="1"/>
  <c r="AB1267" i="178" s="1"/>
  <c r="O770" i="55"/>
  <c r="X1266" i="178" s="1"/>
  <c r="P770" i="55"/>
  <c r="Y1266" i="178" s="1"/>
  <c r="Q770" i="55"/>
  <c r="AA1266" i="178" s="1"/>
  <c r="AB1266" i="178" s="1"/>
  <c r="O769" i="55"/>
  <c r="P769" i="55"/>
  <c r="Q769" i="55"/>
  <c r="O767" i="55"/>
  <c r="P767" i="55"/>
  <c r="Q767" i="55"/>
  <c r="O765" i="55"/>
  <c r="X1260" i="178" s="1"/>
  <c r="P765" i="55"/>
  <c r="Y1260" i="178" s="1"/>
  <c r="Q765" i="55"/>
  <c r="AA1260" i="178" s="1"/>
  <c r="AB1260" i="178" s="1"/>
  <c r="O764" i="55"/>
  <c r="X1259" i="178" s="1"/>
  <c r="P764" i="55"/>
  <c r="Y1259" i="178" s="1"/>
  <c r="Q764" i="55"/>
  <c r="AA1259" i="178" s="1"/>
  <c r="AB1259" i="178" s="1"/>
  <c r="O776" i="55"/>
  <c r="X743" i="178" s="1"/>
  <c r="P776" i="55"/>
  <c r="Y743" i="178" s="1"/>
  <c r="Q776" i="55"/>
  <c r="AA743" i="178" s="1"/>
  <c r="AB743" i="178" s="1"/>
  <c r="O763" i="55"/>
  <c r="X1258" i="178" s="1"/>
  <c r="P763" i="55"/>
  <c r="Y1258" i="178" s="1"/>
  <c r="Q763" i="55"/>
  <c r="AA1258" i="178" s="1"/>
  <c r="AB1258" i="178" s="1"/>
  <c r="O762" i="55"/>
  <c r="X1257" i="178" s="1"/>
  <c r="P762" i="55"/>
  <c r="Y1257" i="178" s="1"/>
  <c r="Q762" i="55"/>
  <c r="AA1257" i="178" s="1"/>
  <c r="AB1257" i="178" s="1"/>
  <c r="O756" i="55"/>
  <c r="P756" i="55"/>
  <c r="Q756" i="55"/>
  <c r="O752" i="55"/>
  <c r="X1254" i="178" s="1"/>
  <c r="P752" i="55"/>
  <c r="Y1254" i="178" s="1"/>
  <c r="Q752" i="55"/>
  <c r="AA1254" i="178" s="1"/>
  <c r="AB1254" i="178" s="1"/>
  <c r="O751" i="55"/>
  <c r="P751" i="55"/>
  <c r="Q751" i="55"/>
  <c r="O750" i="55"/>
  <c r="P750" i="55"/>
  <c r="Q750" i="55"/>
  <c r="O748" i="55"/>
  <c r="P748" i="55"/>
  <c r="Q748" i="55"/>
  <c r="O747" i="55"/>
  <c r="X1243" i="178" s="1"/>
  <c r="P747" i="55"/>
  <c r="Y1243" i="178" s="1"/>
  <c r="Q747" i="55"/>
  <c r="AA1243" i="178" s="1"/>
  <c r="AB1243" i="178" s="1"/>
  <c r="O746" i="55"/>
  <c r="X1242" i="178" s="1"/>
  <c r="P746" i="55"/>
  <c r="Y1242" i="178" s="1"/>
  <c r="Q746" i="55"/>
  <c r="AA1242" i="178" s="1"/>
  <c r="AB1242" i="178" s="1"/>
  <c r="O745" i="55"/>
  <c r="P745" i="55"/>
  <c r="Q745" i="55"/>
  <c r="O734" i="55"/>
  <c r="P734" i="55"/>
  <c r="Q734" i="55"/>
  <c r="O731" i="55"/>
  <c r="P731" i="55"/>
  <c r="Q731" i="55"/>
  <c r="O730" i="55"/>
  <c r="P730" i="55"/>
  <c r="Q730" i="55"/>
  <c r="O723" i="55"/>
  <c r="X1169" i="178" s="1"/>
  <c r="P723" i="55"/>
  <c r="Y1169" i="178" s="1"/>
  <c r="Q723" i="55"/>
  <c r="AA1169" i="178" s="1"/>
  <c r="AB1169" i="178" s="1"/>
  <c r="O722" i="55"/>
  <c r="X1168" i="178" s="1"/>
  <c r="P722" i="55"/>
  <c r="Y1168" i="178" s="1"/>
  <c r="Q722" i="55"/>
  <c r="AA1168" i="178" s="1"/>
  <c r="AB1168" i="178" s="1"/>
  <c r="O721" i="55"/>
  <c r="X1167" i="178" s="1"/>
  <c r="P721" i="55"/>
  <c r="Y1167" i="178" s="1"/>
  <c r="Q721" i="55"/>
  <c r="AA1167" i="178" s="1"/>
  <c r="AB1167" i="178" s="1"/>
  <c r="O720" i="55"/>
  <c r="X1166" i="178" s="1"/>
  <c r="P720" i="55"/>
  <c r="Y1166" i="178" s="1"/>
  <c r="Q720" i="55"/>
  <c r="AA1166" i="178" s="1"/>
  <c r="AB1166" i="178" s="1"/>
  <c r="O708" i="55"/>
  <c r="P708" i="55"/>
  <c r="Q708" i="55"/>
  <c r="O707" i="55"/>
  <c r="P707" i="55"/>
  <c r="Q707" i="55"/>
  <c r="O704" i="55"/>
  <c r="P704" i="55"/>
  <c r="Q704" i="55"/>
  <c r="O703" i="55"/>
  <c r="P703" i="55"/>
  <c r="Q703" i="55"/>
  <c r="O699" i="55"/>
  <c r="X699" i="178" s="1"/>
  <c r="P699" i="55"/>
  <c r="Y699" i="178" s="1"/>
  <c r="Q699" i="55"/>
  <c r="AA699" i="178" s="1"/>
  <c r="AB699" i="178" s="1"/>
  <c r="O698" i="55"/>
  <c r="X1151" i="178" s="1"/>
  <c r="P698" i="55"/>
  <c r="Y1151" i="178" s="1"/>
  <c r="Q698" i="55"/>
  <c r="AA1151" i="178" s="1"/>
  <c r="AB1151" i="178" s="1"/>
  <c r="O696" i="55"/>
  <c r="P696" i="55"/>
  <c r="Q696" i="55"/>
  <c r="O695" i="55"/>
  <c r="X1146" i="178" s="1"/>
  <c r="P695" i="55"/>
  <c r="Y1146" i="178" s="1"/>
  <c r="Q695" i="55"/>
  <c r="AA1146" i="178" s="1"/>
  <c r="AB1146" i="178" s="1"/>
  <c r="O690" i="55"/>
  <c r="P690" i="55"/>
  <c r="Q690" i="55"/>
  <c r="O689" i="55"/>
  <c r="P689" i="55"/>
  <c r="Q689" i="55"/>
  <c r="O640" i="55"/>
  <c r="X963" i="178" s="1"/>
  <c r="P640" i="55"/>
  <c r="Y963" i="178" s="1"/>
  <c r="Q640" i="55"/>
  <c r="AA963" i="178" s="1"/>
  <c r="AB963" i="178" s="1"/>
  <c r="O687" i="55"/>
  <c r="X1129" i="178" s="1"/>
  <c r="P687" i="55"/>
  <c r="Y1129" i="178" s="1"/>
  <c r="Q687" i="55"/>
  <c r="AA1129" i="178" s="1"/>
  <c r="AB1129" i="178" s="1"/>
  <c r="O581" i="55"/>
  <c r="X1098" i="178" s="1"/>
  <c r="P581" i="55"/>
  <c r="Y1098" i="178" s="1"/>
  <c r="Q581" i="55"/>
  <c r="AA1098" i="178" s="1"/>
  <c r="AB1098" i="178" s="1"/>
  <c r="O639" i="55"/>
  <c r="P639" i="55"/>
  <c r="Q639" i="55"/>
  <c r="O688" i="55"/>
  <c r="P688" i="55"/>
  <c r="Q688" i="55"/>
  <c r="O686" i="55"/>
  <c r="P686" i="55"/>
  <c r="Q686" i="55"/>
  <c r="O685" i="55"/>
  <c r="P685" i="55"/>
  <c r="Q685" i="55"/>
  <c r="O683" i="55"/>
  <c r="P683" i="55"/>
  <c r="Q683" i="55"/>
  <c r="O682" i="55"/>
  <c r="P682" i="55"/>
  <c r="Q682" i="55"/>
  <c r="O681" i="55"/>
  <c r="P681" i="55"/>
  <c r="Q681" i="55"/>
  <c r="O680" i="55"/>
  <c r="P680" i="55"/>
  <c r="Q680" i="55"/>
  <c r="O679" i="55"/>
  <c r="P679" i="55"/>
  <c r="Q679" i="55"/>
  <c r="O678" i="55"/>
  <c r="P678" i="55"/>
  <c r="Q678" i="55"/>
  <c r="O101" i="55"/>
  <c r="X139" i="178" s="1"/>
  <c r="P101" i="55"/>
  <c r="Y139" i="178" s="1"/>
  <c r="Q101" i="55"/>
  <c r="AA139" i="178" s="1"/>
  <c r="AB139" i="178" s="1"/>
  <c r="O729" i="55"/>
  <c r="X1197" i="178" s="1"/>
  <c r="P729" i="55"/>
  <c r="Y1197" i="178" s="1"/>
  <c r="Q729" i="55"/>
  <c r="AA1197" i="178" s="1"/>
  <c r="AB1197" i="178" s="1"/>
  <c r="O577" i="55"/>
  <c r="X952" i="178" s="1"/>
  <c r="P577" i="55"/>
  <c r="Y952" i="178" s="1"/>
  <c r="Q577" i="55"/>
  <c r="AA952" i="178" s="1"/>
  <c r="AB952" i="178" s="1"/>
  <c r="O674" i="55"/>
  <c r="X1087" i="178" s="1"/>
  <c r="P674" i="55"/>
  <c r="Y1087" i="178" s="1"/>
  <c r="Q674" i="55"/>
  <c r="AA1087" i="178" s="1"/>
  <c r="AB1087" i="178" s="1"/>
  <c r="O673" i="55"/>
  <c r="X1086" i="178" s="1"/>
  <c r="P673" i="55"/>
  <c r="Y1086" i="178" s="1"/>
  <c r="Q673" i="55"/>
  <c r="AA1086" i="178" s="1"/>
  <c r="AB1086" i="178" s="1"/>
  <c r="O665" i="55"/>
  <c r="X1085" i="178" s="1"/>
  <c r="P665" i="55"/>
  <c r="Y1085" i="178" s="1"/>
  <c r="Q665" i="55"/>
  <c r="AA1085" i="178" s="1"/>
  <c r="AB1085" i="178" s="1"/>
  <c r="O664" i="55"/>
  <c r="X1084" i="178" s="1"/>
  <c r="P664" i="55"/>
  <c r="Y1084" i="178" s="1"/>
  <c r="Q664" i="55"/>
  <c r="AA1084" i="178" s="1"/>
  <c r="AB1084" i="178" s="1"/>
  <c r="O663" i="55"/>
  <c r="X1083" i="178" s="1"/>
  <c r="P663" i="55"/>
  <c r="Y1083" i="178" s="1"/>
  <c r="Q663" i="55"/>
  <c r="AA1083" i="178" s="1"/>
  <c r="AB1083" i="178" s="1"/>
  <c r="O662" i="55"/>
  <c r="P662" i="55"/>
  <c r="Q662" i="55"/>
  <c r="O661" i="55"/>
  <c r="X1080" i="178" s="1"/>
  <c r="P661" i="55"/>
  <c r="Y1080" i="178" s="1"/>
  <c r="Q661" i="55"/>
  <c r="AA1080" i="178" s="1"/>
  <c r="AB1080" i="178" s="1"/>
  <c r="O660" i="55"/>
  <c r="X1079" i="178" s="1"/>
  <c r="P660" i="55"/>
  <c r="Y1079" i="178" s="1"/>
  <c r="Q660" i="55"/>
  <c r="AA1079" i="178" s="1"/>
  <c r="AB1079" i="178" s="1"/>
  <c r="O659" i="55"/>
  <c r="X1078" i="178" s="1"/>
  <c r="P659" i="55"/>
  <c r="Y1078" i="178" s="1"/>
  <c r="Q659" i="55"/>
  <c r="AA1078" i="178" s="1"/>
  <c r="AB1078" i="178" s="1"/>
  <c r="O658" i="55"/>
  <c r="P658" i="55"/>
  <c r="Q658" i="55"/>
  <c r="O657" i="55"/>
  <c r="P657" i="55"/>
  <c r="Q657" i="55"/>
  <c r="O643" i="55"/>
  <c r="P643" i="55"/>
  <c r="Q643" i="55"/>
  <c r="O638" i="55"/>
  <c r="P638" i="55"/>
  <c r="Q638" i="55"/>
  <c r="O637" i="55"/>
  <c r="X1031" i="178" s="1"/>
  <c r="P637" i="55"/>
  <c r="Y1031" i="178" s="1"/>
  <c r="Q637" i="55"/>
  <c r="AA1031" i="178" s="1"/>
  <c r="AB1031" i="178" s="1"/>
  <c r="O636" i="55"/>
  <c r="X1030" i="178" s="1"/>
  <c r="P636" i="55"/>
  <c r="Y1030" i="178" s="1"/>
  <c r="Q636" i="55"/>
  <c r="AA1030" i="178" s="1"/>
  <c r="AB1030" i="178" s="1"/>
  <c r="O634" i="55"/>
  <c r="X1029" i="178" s="1"/>
  <c r="P634" i="55"/>
  <c r="Y1029" i="178" s="1"/>
  <c r="Q634" i="55"/>
  <c r="AA1029" i="178" s="1"/>
  <c r="AB1029" i="178" s="1"/>
  <c r="O633" i="55"/>
  <c r="X1028" i="178" s="1"/>
  <c r="P633" i="55"/>
  <c r="Y1028" i="178" s="1"/>
  <c r="Q633" i="55"/>
  <c r="AA1028" i="178" s="1"/>
  <c r="AB1028" i="178" s="1"/>
  <c r="O602" i="55"/>
  <c r="P602" i="55"/>
  <c r="Q602" i="55"/>
  <c r="O573" i="55"/>
  <c r="P573" i="55"/>
  <c r="Q573" i="55"/>
  <c r="O572" i="55"/>
  <c r="X1097" i="178" s="1"/>
  <c r="P572" i="55"/>
  <c r="Y1097" i="178" s="1"/>
  <c r="Q572" i="55"/>
  <c r="AA1097" i="178" s="1"/>
  <c r="AB1097" i="178" s="1"/>
  <c r="O569" i="55"/>
  <c r="P569" i="55"/>
  <c r="Q569" i="55"/>
  <c r="O568" i="55"/>
  <c r="X918" i="178" s="1"/>
  <c r="P568" i="55"/>
  <c r="Y918" i="178" s="1"/>
  <c r="Q568" i="55"/>
  <c r="AA918" i="178" s="1"/>
  <c r="AB918" i="178" s="1"/>
  <c r="O556" i="55"/>
  <c r="P556" i="55"/>
  <c r="Q556" i="55"/>
  <c r="O551" i="55"/>
  <c r="X856" i="178" s="1"/>
  <c r="P551" i="55"/>
  <c r="Y856" i="178" s="1"/>
  <c r="Q551" i="55"/>
  <c r="AA856" i="178" s="1"/>
  <c r="AB856" i="178" s="1"/>
  <c r="O550" i="55"/>
  <c r="X855" i="178" s="1"/>
  <c r="P550" i="55"/>
  <c r="Y855" i="178" s="1"/>
  <c r="Q550" i="55"/>
  <c r="AA855" i="178" s="1"/>
  <c r="AB855" i="178" s="1"/>
  <c r="O549" i="55"/>
  <c r="X854" i="178" s="1"/>
  <c r="P549" i="55"/>
  <c r="Y854" i="178" s="1"/>
  <c r="Q549" i="55"/>
  <c r="AA854" i="178" s="1"/>
  <c r="AB854" i="178" s="1"/>
  <c r="O548" i="55"/>
  <c r="X853" i="178" s="1"/>
  <c r="P548" i="55"/>
  <c r="Y853" i="178" s="1"/>
  <c r="Q548" i="55"/>
  <c r="AA853" i="178" s="1"/>
  <c r="AB853" i="178" s="1"/>
  <c r="O547" i="55"/>
  <c r="P547" i="55"/>
  <c r="Q547" i="55"/>
  <c r="O546" i="55"/>
  <c r="X849" i="178" s="1"/>
  <c r="P546" i="55"/>
  <c r="Y849" i="178" s="1"/>
  <c r="Q546" i="55"/>
  <c r="AA849" i="178" s="1"/>
  <c r="AB849" i="178" s="1"/>
  <c r="O542" i="55"/>
  <c r="X808" i="178" s="1"/>
  <c r="P542" i="55"/>
  <c r="Y808" i="178" s="1"/>
  <c r="Q542" i="55"/>
  <c r="AA808" i="178" s="1"/>
  <c r="AB808" i="178" s="1"/>
  <c r="O541" i="55"/>
  <c r="X707" i="178" s="1"/>
  <c r="P541" i="55"/>
  <c r="Y707" i="178" s="1"/>
  <c r="Q541" i="55"/>
  <c r="AA707" i="178" s="1"/>
  <c r="AB707" i="178" s="1"/>
  <c r="O553" i="55"/>
  <c r="X858" i="178" s="1"/>
  <c r="P553" i="55"/>
  <c r="Y858" i="178" s="1"/>
  <c r="Q553" i="55"/>
  <c r="AA858" i="178" s="1"/>
  <c r="AB858" i="178" s="1"/>
  <c r="O552" i="55"/>
  <c r="X857" i="178" s="1"/>
  <c r="P552" i="55"/>
  <c r="Y857" i="178" s="1"/>
  <c r="Q552" i="55"/>
  <c r="AA857" i="178" s="1"/>
  <c r="AB857" i="178" s="1"/>
  <c r="O579" i="55"/>
  <c r="P579" i="55"/>
  <c r="Q579" i="55"/>
  <c r="O580" i="55"/>
  <c r="P580" i="55"/>
  <c r="Q580" i="55"/>
  <c r="O539" i="55"/>
  <c r="P539" i="55"/>
  <c r="Q539" i="55"/>
  <c r="O538" i="55"/>
  <c r="P538" i="55"/>
  <c r="Q538" i="55"/>
  <c r="O530" i="55"/>
  <c r="P530" i="55"/>
  <c r="Q530" i="55"/>
  <c r="O529" i="55"/>
  <c r="P529" i="55"/>
  <c r="Q529" i="55"/>
  <c r="O528" i="55"/>
  <c r="P528" i="55"/>
  <c r="Q528" i="55"/>
  <c r="O526" i="55"/>
  <c r="X721" i="178" s="1"/>
  <c r="P526" i="55"/>
  <c r="Y721" i="178" s="1"/>
  <c r="Q526" i="55"/>
  <c r="AA721" i="178" s="1"/>
  <c r="AB721" i="178" s="1"/>
  <c r="O522" i="55"/>
  <c r="P522" i="55"/>
  <c r="Q522" i="55"/>
  <c r="O521" i="55"/>
  <c r="P521" i="55"/>
  <c r="Q521" i="55"/>
  <c r="O519" i="55"/>
  <c r="P519" i="55"/>
  <c r="Q519" i="55"/>
  <c r="O517" i="55"/>
  <c r="X493" i="178" s="1"/>
  <c r="P517" i="55"/>
  <c r="Y493" i="178" s="1"/>
  <c r="Q517" i="55"/>
  <c r="AA493" i="178" s="1"/>
  <c r="AB493" i="178" s="1"/>
  <c r="O516" i="55"/>
  <c r="P516" i="55"/>
  <c r="Q516" i="55"/>
  <c r="O514" i="55"/>
  <c r="P514" i="55"/>
  <c r="Q514" i="55"/>
  <c r="O513" i="55"/>
  <c r="P513" i="55"/>
  <c r="Q513" i="55"/>
  <c r="O512" i="55"/>
  <c r="P512" i="55"/>
  <c r="Q512" i="55"/>
  <c r="O511" i="55"/>
  <c r="X650" i="178" s="1"/>
  <c r="P511" i="55"/>
  <c r="Y650" i="178" s="1"/>
  <c r="Q511" i="55"/>
  <c r="AA650" i="178" s="1"/>
  <c r="AB650" i="178" s="1"/>
  <c r="O510" i="55"/>
  <c r="P510" i="55"/>
  <c r="Q510" i="55"/>
  <c r="O509" i="55"/>
  <c r="P509" i="55"/>
  <c r="Q509" i="55"/>
  <c r="O508" i="55"/>
  <c r="P508" i="55"/>
  <c r="Q508" i="55"/>
  <c r="O504" i="55"/>
  <c r="P504" i="55"/>
  <c r="Q504" i="55"/>
  <c r="O503" i="55"/>
  <c r="P503" i="55"/>
  <c r="Q503" i="55"/>
  <c r="O502" i="55"/>
  <c r="P502" i="55"/>
  <c r="Q502" i="55"/>
  <c r="O501" i="55"/>
  <c r="X874" i="178" s="1"/>
  <c r="P501" i="55"/>
  <c r="Y874" i="178" s="1"/>
  <c r="Q501" i="55"/>
  <c r="AA874" i="178" s="1"/>
  <c r="AB874" i="178" s="1"/>
  <c r="O500" i="55"/>
  <c r="P500" i="55"/>
  <c r="Q500" i="55"/>
  <c r="O461" i="55"/>
  <c r="X571" i="178" s="1"/>
  <c r="P461" i="55"/>
  <c r="Y571" i="178" s="1"/>
  <c r="Q461" i="55"/>
  <c r="AA571" i="178" s="1"/>
  <c r="AB571" i="178" s="1"/>
  <c r="O457" i="55"/>
  <c r="X565" i="178" s="1"/>
  <c r="P457" i="55"/>
  <c r="Y565" i="178" s="1"/>
  <c r="Q457" i="55"/>
  <c r="AA565" i="178" s="1"/>
  <c r="AB565" i="178" s="1"/>
  <c r="O442" i="55"/>
  <c r="P442" i="55"/>
  <c r="Q442" i="55"/>
  <c r="O439" i="55"/>
  <c r="P439" i="55"/>
  <c r="Q439" i="55"/>
  <c r="O406" i="55"/>
  <c r="X550" i="178" s="1"/>
  <c r="P406" i="55"/>
  <c r="Y550" i="178" s="1"/>
  <c r="Q406" i="55"/>
  <c r="AA550" i="178" s="1"/>
  <c r="AB550" i="178" s="1"/>
  <c r="O405" i="55"/>
  <c r="P405" i="55"/>
  <c r="Q405" i="55"/>
  <c r="O402" i="55"/>
  <c r="P402" i="55"/>
  <c r="Q402" i="55"/>
  <c r="O399" i="55"/>
  <c r="P399" i="55"/>
  <c r="Q399" i="55"/>
  <c r="O397" i="55"/>
  <c r="P397" i="55"/>
  <c r="Q397" i="55"/>
  <c r="O384" i="55"/>
  <c r="P384" i="55"/>
  <c r="Q384" i="55"/>
  <c r="O382" i="55"/>
  <c r="X525" i="178" s="1"/>
  <c r="P382" i="55"/>
  <c r="Y525" i="178" s="1"/>
  <c r="Q382" i="55"/>
  <c r="AA525" i="178" s="1"/>
  <c r="AB525" i="178" s="1"/>
  <c r="O381" i="55"/>
  <c r="X524" i="178" s="1"/>
  <c r="P381" i="55"/>
  <c r="Y524" i="178" s="1"/>
  <c r="Q381" i="55"/>
  <c r="AA524" i="178" s="1"/>
  <c r="AB524" i="178" s="1"/>
  <c r="O379" i="55"/>
  <c r="X523" i="178" s="1"/>
  <c r="P379" i="55"/>
  <c r="Y523" i="178" s="1"/>
  <c r="Q379" i="55"/>
  <c r="AA523" i="178" s="1"/>
  <c r="AB523" i="178" s="1"/>
  <c r="O378" i="55"/>
  <c r="X522" i="178" s="1"/>
  <c r="P378" i="55"/>
  <c r="Y522" i="178" s="1"/>
  <c r="Q378" i="55"/>
  <c r="AA522" i="178" s="1"/>
  <c r="AB522" i="178" s="1"/>
  <c r="O377" i="55"/>
  <c r="X521" i="178" s="1"/>
  <c r="P377" i="55"/>
  <c r="Y521" i="178" s="1"/>
  <c r="Q377" i="55"/>
  <c r="AA521" i="178" s="1"/>
  <c r="AB521" i="178" s="1"/>
  <c r="O375" i="55"/>
  <c r="X753" i="178" s="1"/>
  <c r="P375" i="55"/>
  <c r="Y753" i="178" s="1"/>
  <c r="Q375" i="55"/>
  <c r="AA753" i="178" s="1"/>
  <c r="AB753" i="178" s="1"/>
  <c r="O374" i="55"/>
  <c r="X519" i="178" s="1"/>
  <c r="P374" i="55"/>
  <c r="Y519" i="178" s="1"/>
  <c r="Q374" i="55"/>
  <c r="AA519" i="178" s="1"/>
  <c r="AB519" i="178" s="1"/>
  <c r="O373" i="55"/>
  <c r="X518" i="178" s="1"/>
  <c r="P373" i="55"/>
  <c r="Y518" i="178" s="1"/>
  <c r="Q373" i="55"/>
  <c r="AA518" i="178" s="1"/>
  <c r="AB518" i="178" s="1"/>
  <c r="O372" i="55"/>
  <c r="X517" i="178" s="1"/>
  <c r="P372" i="55"/>
  <c r="Y517" i="178" s="1"/>
  <c r="Q372" i="55"/>
  <c r="AA517" i="178" s="1"/>
  <c r="AB517" i="178" s="1"/>
  <c r="O371" i="55"/>
  <c r="P371" i="55"/>
  <c r="Q371" i="55"/>
  <c r="O366" i="55"/>
  <c r="P366" i="55"/>
  <c r="Q366" i="55"/>
  <c r="O363" i="55"/>
  <c r="X498" i="178" s="1"/>
  <c r="P363" i="55"/>
  <c r="Y498" i="178" s="1"/>
  <c r="Q363" i="55"/>
  <c r="AA498" i="178" s="1"/>
  <c r="AB498" i="178" s="1"/>
  <c r="O362" i="55"/>
  <c r="X497" i="178" s="1"/>
  <c r="P362" i="55"/>
  <c r="Y497" i="178" s="1"/>
  <c r="Q362" i="55"/>
  <c r="AA497" i="178" s="1"/>
  <c r="AB497" i="178" s="1"/>
  <c r="O361" i="55"/>
  <c r="X496" i="178" s="1"/>
  <c r="P361" i="55"/>
  <c r="Y496" i="178" s="1"/>
  <c r="Q361" i="55"/>
  <c r="AA496" i="178" s="1"/>
  <c r="AB496" i="178" s="1"/>
  <c r="O358" i="55"/>
  <c r="P358" i="55"/>
  <c r="Q358" i="55"/>
  <c r="O357" i="55"/>
  <c r="P357" i="55"/>
  <c r="Q357" i="55"/>
  <c r="O355" i="55"/>
  <c r="P355" i="55"/>
  <c r="Q355" i="55"/>
  <c r="O354" i="55"/>
  <c r="X484" i="178" s="1"/>
  <c r="P354" i="55"/>
  <c r="Y484" i="178" s="1"/>
  <c r="Q354" i="55"/>
  <c r="AA484" i="178" s="1"/>
  <c r="AB484" i="178" s="1"/>
  <c r="O333" i="55"/>
  <c r="P333" i="55"/>
  <c r="Q333" i="55"/>
  <c r="O332" i="55"/>
  <c r="P332" i="55"/>
  <c r="Q332" i="55"/>
  <c r="O320" i="55"/>
  <c r="X440" i="178" s="1"/>
  <c r="P320" i="55"/>
  <c r="Y440" i="178" s="1"/>
  <c r="Q320" i="55"/>
  <c r="AA440" i="178" s="1"/>
  <c r="AB440" i="178" s="1"/>
  <c r="O319" i="55"/>
  <c r="P319" i="55"/>
  <c r="Q319" i="55"/>
  <c r="O313" i="55"/>
  <c r="P313" i="55"/>
  <c r="Q313" i="55"/>
  <c r="O312" i="55"/>
  <c r="P312" i="55"/>
  <c r="Q312" i="55"/>
  <c r="O303" i="55"/>
  <c r="P303" i="55"/>
  <c r="Q303" i="55"/>
  <c r="O302" i="55"/>
  <c r="P302" i="55"/>
  <c r="Q302" i="55"/>
  <c r="O296" i="55"/>
  <c r="P296" i="55"/>
  <c r="Q296" i="55"/>
  <c r="O277" i="55"/>
  <c r="P277" i="55"/>
  <c r="Q277" i="55"/>
  <c r="O276" i="55"/>
  <c r="P276" i="55"/>
  <c r="O18" i="70" s="1"/>
  <c r="Q276" i="55"/>
  <c r="O274" i="55"/>
  <c r="P274" i="55"/>
  <c r="Q274" i="55"/>
  <c r="P14" i="70" s="1"/>
  <c r="O270" i="55"/>
  <c r="P270" i="55"/>
  <c r="Q270" i="55"/>
  <c r="O269" i="55"/>
  <c r="X349" i="178" s="1"/>
  <c r="P269" i="55"/>
  <c r="Y349" i="178" s="1"/>
  <c r="Q269" i="55"/>
  <c r="AA349" i="178" s="1"/>
  <c r="AB349" i="178" s="1"/>
  <c r="O268" i="55"/>
  <c r="P268" i="55"/>
  <c r="Q268" i="55"/>
  <c r="O260" i="55"/>
  <c r="X342" i="178" s="1"/>
  <c r="P260" i="55"/>
  <c r="Y342" i="178" s="1"/>
  <c r="Q260" i="55"/>
  <c r="AA342" i="178" s="1"/>
  <c r="AB342" i="178" s="1"/>
  <c r="O259" i="55"/>
  <c r="P259" i="55"/>
  <c r="Q259" i="55"/>
  <c r="O255" i="55"/>
  <c r="X339" i="178" s="1"/>
  <c r="P255" i="55"/>
  <c r="Y339" i="178" s="1"/>
  <c r="Q255" i="55"/>
  <c r="AA339" i="178" s="1"/>
  <c r="AB339" i="178" s="1"/>
  <c r="O263" i="55"/>
  <c r="X344" i="178" s="1"/>
  <c r="P263" i="55"/>
  <c r="Y344" i="178" s="1"/>
  <c r="Q263" i="55"/>
  <c r="AA344" i="178" s="1"/>
  <c r="AB344" i="178" s="1"/>
  <c r="O241" i="55"/>
  <c r="P241" i="55"/>
  <c r="Q241" i="55"/>
  <c r="O242" i="55"/>
  <c r="P242" i="55"/>
  <c r="Q242" i="55"/>
  <c r="O238" i="55"/>
  <c r="P238" i="55"/>
  <c r="Q238" i="55"/>
  <c r="O233" i="55"/>
  <c r="X314" i="178" s="1"/>
  <c r="P233" i="55"/>
  <c r="Y314" i="178" s="1"/>
  <c r="Q233" i="55"/>
  <c r="AA314" i="178" s="1"/>
  <c r="AB314" i="178" s="1"/>
  <c r="O232" i="55"/>
  <c r="X313" i="178" s="1"/>
  <c r="P232" i="55"/>
  <c r="Y313" i="178" s="1"/>
  <c r="Q232" i="55"/>
  <c r="AA313" i="178" s="1"/>
  <c r="AB313" i="178" s="1"/>
  <c r="O218" i="55"/>
  <c r="P218" i="55"/>
  <c r="Q218" i="55"/>
  <c r="O201" i="55"/>
  <c r="P201" i="55"/>
  <c r="Q201" i="55"/>
  <c r="O199" i="55"/>
  <c r="P199" i="55"/>
  <c r="Q199" i="55"/>
  <c r="O184" i="55"/>
  <c r="P184" i="55"/>
  <c r="Q184" i="55"/>
  <c r="O684" i="55"/>
  <c r="P684" i="55"/>
  <c r="Q684" i="55"/>
  <c r="O178" i="55"/>
  <c r="X223" i="178" s="1"/>
  <c r="P178" i="55"/>
  <c r="Y223" i="178" s="1"/>
  <c r="Q178" i="55"/>
  <c r="AA223" i="178" s="1"/>
  <c r="AB223" i="178" s="1"/>
  <c r="O177" i="55"/>
  <c r="X222" i="178" s="1"/>
  <c r="P177" i="55"/>
  <c r="Y222" i="178" s="1"/>
  <c r="Q177" i="55"/>
  <c r="AA222" i="178" s="1"/>
  <c r="AB222" i="178" s="1"/>
  <c r="O578" i="55"/>
  <c r="X953" i="178" s="1"/>
  <c r="P578" i="55"/>
  <c r="Y953" i="178" s="1"/>
  <c r="Q578" i="55"/>
  <c r="AA953" i="178" s="1"/>
  <c r="AB953" i="178" s="1"/>
  <c r="O176" i="55"/>
  <c r="X221" i="178" s="1"/>
  <c r="P176" i="55"/>
  <c r="Y221" i="178" s="1"/>
  <c r="Q176" i="55"/>
  <c r="AA221" i="178" s="1"/>
  <c r="AB221" i="178" s="1"/>
  <c r="O158" i="55"/>
  <c r="X206" i="178" s="1"/>
  <c r="P158" i="55"/>
  <c r="Y206" i="178" s="1"/>
  <c r="Q158" i="55"/>
  <c r="AA206" i="178" s="1"/>
  <c r="AB206" i="178" s="1"/>
  <c r="O161" i="55"/>
  <c r="X213" i="178" s="1"/>
  <c r="P161" i="55"/>
  <c r="Y213" i="178" s="1"/>
  <c r="Q161" i="55"/>
  <c r="AA213" i="178" s="1"/>
  <c r="AB213" i="178" s="1"/>
  <c r="O163" i="55"/>
  <c r="X216" i="178" s="1"/>
  <c r="P163" i="55"/>
  <c r="Y216" i="178" s="1"/>
  <c r="Q163" i="55"/>
  <c r="AA216" i="178" s="1"/>
  <c r="AB216" i="178" s="1"/>
  <c r="O173" i="55"/>
  <c r="P173" i="55"/>
  <c r="Q173" i="55"/>
  <c r="O172" i="55"/>
  <c r="P172" i="55"/>
  <c r="Q172" i="55"/>
  <c r="O171" i="55"/>
  <c r="X219" i="178" s="1"/>
  <c r="P171" i="55"/>
  <c r="Y219" i="178" s="1"/>
  <c r="Q171" i="55"/>
  <c r="AA219" i="178" s="1"/>
  <c r="AB219" i="178" s="1"/>
  <c r="O174" i="55"/>
  <c r="X220" i="178" s="1"/>
  <c r="P174" i="55"/>
  <c r="Y220" i="178" s="1"/>
  <c r="Q174" i="55"/>
  <c r="AA220" i="178" s="1"/>
  <c r="AB220" i="178" s="1"/>
  <c r="O151" i="55"/>
  <c r="X183" i="178" s="1"/>
  <c r="P151" i="55"/>
  <c r="Y183" i="178" s="1"/>
  <c r="Q151" i="55"/>
  <c r="AA183" i="178" s="1"/>
  <c r="AB183" i="178" s="1"/>
  <c r="O149" i="55"/>
  <c r="X182" i="178" s="1"/>
  <c r="P149" i="55"/>
  <c r="Y182" i="178" s="1"/>
  <c r="Q149" i="55"/>
  <c r="AA182" i="178" s="1"/>
  <c r="AB182" i="178" s="1"/>
  <c r="O148" i="55"/>
  <c r="P148" i="55"/>
  <c r="Q148" i="55"/>
  <c r="O147" i="55"/>
  <c r="X181" i="178" s="1"/>
  <c r="P147" i="55"/>
  <c r="Y181" i="178" s="1"/>
  <c r="Q147" i="55"/>
  <c r="AA181" i="178" s="1"/>
  <c r="AB181" i="178" s="1"/>
  <c r="O146" i="55"/>
  <c r="X180" i="178" s="1"/>
  <c r="P146" i="55"/>
  <c r="Y180" i="178" s="1"/>
  <c r="Q146" i="55"/>
  <c r="AA180" i="178" s="1"/>
  <c r="AB180" i="178" s="1"/>
  <c r="O144" i="55"/>
  <c r="P144" i="55"/>
  <c r="Q144" i="55"/>
  <c r="O141" i="55"/>
  <c r="X176" i="178" s="1"/>
  <c r="P141" i="55"/>
  <c r="Y176" i="178" s="1"/>
  <c r="Q141" i="55"/>
  <c r="AA176" i="178" s="1"/>
  <c r="AB176" i="178" s="1"/>
  <c r="O138" i="55"/>
  <c r="P138" i="55"/>
  <c r="Q138" i="55"/>
  <c r="O137" i="55"/>
  <c r="X352" i="178" s="1"/>
  <c r="P137" i="55"/>
  <c r="Y352" i="178" s="1"/>
  <c r="Q137" i="55"/>
  <c r="AA352" i="178" s="1"/>
  <c r="AB352" i="178" s="1"/>
  <c r="O133" i="55"/>
  <c r="X169" i="178" s="1"/>
  <c r="P133" i="55"/>
  <c r="Y169" i="178" s="1"/>
  <c r="Q133" i="55"/>
  <c r="AA169" i="178" s="1"/>
  <c r="AB169" i="178" s="1"/>
  <c r="O132" i="55"/>
  <c r="X168" i="178" s="1"/>
  <c r="P132" i="55"/>
  <c r="Y168" i="178" s="1"/>
  <c r="Q132" i="55"/>
  <c r="AA168" i="178" s="1"/>
  <c r="AB168" i="178" s="1"/>
  <c r="O160" i="55"/>
  <c r="X212" i="178" s="1"/>
  <c r="P160" i="55"/>
  <c r="Y212" i="178" s="1"/>
  <c r="Q160" i="55"/>
  <c r="AA212" i="178" s="1"/>
  <c r="AB212" i="178" s="1"/>
  <c r="O152" i="55"/>
  <c r="X184" i="178" s="1"/>
  <c r="P152" i="55"/>
  <c r="Y184" i="178" s="1"/>
  <c r="Q152" i="55"/>
  <c r="AA184" i="178" s="1"/>
  <c r="AB184" i="178" s="1"/>
  <c r="O124" i="55"/>
  <c r="X153" i="178" s="1"/>
  <c r="P124" i="55"/>
  <c r="Y153" i="178" s="1"/>
  <c r="Q124" i="55"/>
  <c r="AA153" i="178" s="1"/>
  <c r="AB153" i="178" s="1"/>
  <c r="O116" i="55"/>
  <c r="P116" i="55"/>
  <c r="Q116" i="55"/>
  <c r="O111" i="55"/>
  <c r="P111" i="55"/>
  <c r="Q111" i="55"/>
  <c r="O110" i="55"/>
  <c r="P110" i="55"/>
  <c r="Q110" i="55"/>
  <c r="O107" i="55"/>
  <c r="P107" i="55"/>
  <c r="Q107" i="55"/>
  <c r="O99" i="55"/>
  <c r="X945" i="178" s="1"/>
  <c r="P99" i="55"/>
  <c r="Y945" i="178" s="1"/>
  <c r="Q99" i="55"/>
  <c r="AA945" i="178" s="1"/>
  <c r="AB945" i="178" s="1"/>
  <c r="O98" i="55"/>
  <c r="P98" i="55"/>
  <c r="Q98" i="55"/>
  <c r="O97" i="55"/>
  <c r="X135" i="178" s="1"/>
  <c r="P97" i="55"/>
  <c r="Y135" i="178" s="1"/>
  <c r="Q97" i="55"/>
  <c r="AA135" i="178" s="1"/>
  <c r="AB135" i="178" s="1"/>
  <c r="O96" i="55"/>
  <c r="X134" i="178" s="1"/>
  <c r="P96" i="55"/>
  <c r="Y134" i="178" s="1"/>
  <c r="Q96" i="55"/>
  <c r="AA134" i="178" s="1"/>
  <c r="AB134" i="178" s="1"/>
  <c r="O81" i="55"/>
  <c r="X99" i="178" s="1"/>
  <c r="P81" i="55"/>
  <c r="Y99" i="178" s="1"/>
  <c r="Q81" i="55"/>
  <c r="AA99" i="178" s="1"/>
  <c r="AB99" i="178" s="1"/>
  <c r="O26" i="55"/>
  <c r="P26" i="55"/>
  <c r="Q26" i="55"/>
  <c r="O15" i="55"/>
  <c r="X3" i="178" s="1"/>
  <c r="P15" i="55"/>
  <c r="Y3" i="178" s="1"/>
  <c r="Q15" i="55"/>
  <c r="AA3" i="178" s="1"/>
  <c r="AB3" i="178" s="1"/>
  <c r="O14" i="55"/>
  <c r="X2" i="178" s="1"/>
  <c r="P14" i="55"/>
  <c r="Y2" i="178" s="1"/>
  <c r="Q14" i="55"/>
  <c r="AA2" i="178" s="1"/>
  <c r="AB2" i="178" s="1"/>
  <c r="C718" i="78"/>
  <c r="R686" i="55"/>
  <c r="R688" i="55"/>
  <c r="R639" i="55"/>
  <c r="R581" i="55"/>
  <c r="R687" i="55"/>
  <c r="R640" i="55"/>
  <c r="O38" i="95"/>
  <c r="C38" i="95"/>
  <c r="D38" i="95"/>
  <c r="E38" i="95"/>
  <c r="F38" i="95"/>
  <c r="G38" i="95"/>
  <c r="H38" i="95"/>
  <c r="I38" i="95"/>
  <c r="J38" i="95"/>
  <c r="K38" i="95"/>
  <c r="L38" i="95"/>
  <c r="M38" i="95"/>
  <c r="N38" i="95"/>
  <c r="C608" i="78"/>
  <c r="R578" i="55"/>
  <c r="C197" i="78"/>
  <c r="C717" i="78"/>
  <c r="R178" i="55"/>
  <c r="R684" i="55"/>
  <c r="C667" i="78"/>
  <c r="C668" i="78"/>
  <c r="R636" i="55"/>
  <c r="R637" i="55"/>
  <c r="R149" i="55"/>
  <c r="C168" i="78"/>
  <c r="R161" i="55"/>
  <c r="R158" i="55"/>
  <c r="C182" i="78"/>
  <c r="C180" i="78"/>
  <c r="C762" i="78"/>
  <c r="R726" i="55"/>
  <c r="R720" i="55"/>
  <c r="R721" i="55"/>
  <c r="R722" i="55"/>
  <c r="R723" i="55"/>
  <c r="R724" i="55"/>
  <c r="R725" i="55"/>
  <c r="C758" i="78"/>
  <c r="C759" i="78"/>
  <c r="C760" i="78"/>
  <c r="C761" i="78"/>
  <c r="R368" i="55"/>
  <c r="C399" i="78"/>
  <c r="R332" i="55"/>
  <c r="C362" i="78"/>
  <c r="C359" i="78"/>
  <c r="R329" i="55"/>
  <c r="R81" i="55"/>
  <c r="C98" i="78"/>
  <c r="C99" i="78"/>
  <c r="C16" i="78"/>
  <c r="R14" i="55"/>
  <c r="C15" i="78"/>
  <c r="R15" i="55"/>
  <c r="R729" i="55"/>
  <c r="R101" i="55"/>
  <c r="R577" i="55"/>
  <c r="R674" i="55"/>
  <c r="C607" i="78"/>
  <c r="C120" i="78"/>
  <c r="C706" i="78"/>
  <c r="C705" i="78"/>
  <c r="C117" i="78"/>
  <c r="C118" i="78"/>
  <c r="C119" i="78"/>
  <c r="R98" i="55"/>
  <c r="R99" i="55"/>
  <c r="R100" i="55"/>
  <c r="J28" i="70"/>
  <c r="K28" i="70" s="1"/>
  <c r="L28" i="70"/>
  <c r="M28" i="70" s="1"/>
  <c r="G28" i="70"/>
  <c r="H28" i="70" s="1"/>
  <c r="F28" i="70"/>
  <c r="D28" i="70"/>
  <c r="E28" i="70"/>
  <c r="B28" i="70"/>
  <c r="C82" i="78"/>
  <c r="C365" i="78"/>
  <c r="C258" i="78"/>
  <c r="R241" i="55"/>
  <c r="R242" i="55"/>
  <c r="R249" i="55"/>
  <c r="C86" i="78"/>
  <c r="C181" i="78"/>
  <c r="R162" i="55"/>
  <c r="R328" i="55"/>
  <c r="R245" i="55"/>
  <c r="R190" i="55"/>
  <c r="R248" i="55"/>
  <c r="C266" i="78"/>
  <c r="C209" i="78"/>
  <c r="C271" i="78"/>
  <c r="C210" i="78"/>
  <c r="C272" i="78"/>
  <c r="J11" i="70"/>
  <c r="K11" i="70" s="1"/>
  <c r="L11" i="70"/>
  <c r="M11" i="70" s="1"/>
  <c r="G11" i="70"/>
  <c r="I11" i="70" s="1"/>
  <c r="D11" i="70"/>
  <c r="E11" i="70"/>
  <c r="B11" i="70"/>
  <c r="C301" i="78"/>
  <c r="R272" i="55"/>
  <c r="P11" i="70"/>
  <c r="N11" i="70"/>
  <c r="R617" i="55"/>
  <c r="C648" i="78"/>
  <c r="R576" i="55"/>
  <c r="R575" i="55"/>
  <c r="C605" i="78"/>
  <c r="R353" i="55"/>
  <c r="C384" i="78"/>
  <c r="R331" i="55"/>
  <c r="C361" i="78"/>
  <c r="R327" i="55"/>
  <c r="C357" i="78"/>
  <c r="R326" i="55"/>
  <c r="C356" i="78"/>
  <c r="C355" i="78"/>
  <c r="R325" i="55"/>
  <c r="R209" i="55"/>
  <c r="C228" i="78"/>
  <c r="R71" i="55"/>
  <c r="C88" i="78"/>
  <c r="C75" i="78"/>
  <c r="R63" i="55"/>
  <c r="C61" i="78"/>
  <c r="R50" i="55"/>
  <c r="R618" i="55"/>
  <c r="R72" i="55"/>
  <c r="R365" i="55"/>
  <c r="R367" i="55"/>
  <c r="R210" i="55"/>
  <c r="R73" i="55"/>
  <c r="C649" i="78"/>
  <c r="C89" i="78"/>
  <c r="C358" i="78"/>
  <c r="C396" i="78"/>
  <c r="C398" i="78"/>
  <c r="C229" i="78"/>
  <c r="C232" i="78"/>
  <c r="C90" i="78"/>
  <c r="C91" i="78"/>
  <c r="R364" i="55"/>
  <c r="C395" i="78"/>
  <c r="C721" i="78"/>
  <c r="C670" i="78"/>
  <c r="C611" i="78"/>
  <c r="C720" i="78"/>
  <c r="C671" i="78"/>
  <c r="C719" i="78"/>
  <c r="J96" i="70"/>
  <c r="L96" i="70"/>
  <c r="J97" i="70"/>
  <c r="L97" i="70"/>
  <c r="J98" i="70"/>
  <c r="L98" i="70"/>
  <c r="G98" i="70"/>
  <c r="H98" i="70" s="1"/>
  <c r="F98" i="70"/>
  <c r="D98" i="70"/>
  <c r="E98" i="70"/>
  <c r="G96" i="70"/>
  <c r="H96" i="70" s="1"/>
  <c r="G97" i="70"/>
  <c r="F97" i="70"/>
  <c r="F96" i="70"/>
  <c r="D96" i="70"/>
  <c r="E96" i="70"/>
  <c r="D97" i="70"/>
  <c r="E97" i="70"/>
  <c r="B96" i="70"/>
  <c r="B97" i="70"/>
  <c r="B98" i="70"/>
  <c r="C713" i="78"/>
  <c r="R679" i="55"/>
  <c r="N98" i="70"/>
  <c r="O98" i="70"/>
  <c r="R680" i="55"/>
  <c r="J94" i="70"/>
  <c r="L94" i="70"/>
  <c r="M94" i="70" s="1"/>
  <c r="J95" i="70"/>
  <c r="L95" i="70"/>
  <c r="G94" i="70"/>
  <c r="G95" i="70"/>
  <c r="I95" i="70" s="1"/>
  <c r="F95" i="70"/>
  <c r="F94" i="70"/>
  <c r="D94" i="70"/>
  <c r="E94" i="70"/>
  <c r="D95" i="70"/>
  <c r="E95" i="70"/>
  <c r="B94" i="70"/>
  <c r="B95" i="70"/>
  <c r="B100" i="70"/>
  <c r="N95" i="70"/>
  <c r="O94" i="70"/>
  <c r="P94" i="70"/>
  <c r="R678" i="55"/>
  <c r="P97" i="70"/>
  <c r="O97" i="70"/>
  <c r="N96" i="70"/>
  <c r="N97" i="70"/>
  <c r="O96" i="70"/>
  <c r="P96" i="70"/>
  <c r="P95" i="70"/>
  <c r="O95" i="70"/>
  <c r="N94" i="70"/>
  <c r="J74" i="70"/>
  <c r="K74" i="70" s="1"/>
  <c r="L74" i="70"/>
  <c r="J75" i="70"/>
  <c r="L75" i="70"/>
  <c r="G74" i="70"/>
  <c r="I74" i="70" s="1"/>
  <c r="G75" i="70"/>
  <c r="I75" i="70" s="1"/>
  <c r="F75" i="70"/>
  <c r="F74" i="70"/>
  <c r="D74" i="70"/>
  <c r="E74" i="70"/>
  <c r="D75" i="70"/>
  <c r="E75" i="70"/>
  <c r="B74" i="70"/>
  <c r="B75" i="70"/>
  <c r="J37" i="70"/>
  <c r="L37" i="70"/>
  <c r="G37" i="70"/>
  <c r="I37" i="70" s="1"/>
  <c r="F37" i="70"/>
  <c r="D37" i="70"/>
  <c r="E37" i="70"/>
  <c r="B37" i="70"/>
  <c r="C552" i="78"/>
  <c r="J72" i="70"/>
  <c r="L72" i="70"/>
  <c r="J73" i="70"/>
  <c r="L73" i="70"/>
  <c r="G72" i="70"/>
  <c r="H72" i="70" s="1"/>
  <c r="G73" i="70"/>
  <c r="F73" i="70"/>
  <c r="F72" i="70"/>
  <c r="D72" i="70"/>
  <c r="E72" i="70"/>
  <c r="D73" i="70"/>
  <c r="E73" i="70"/>
  <c r="B72" i="70"/>
  <c r="B73" i="70"/>
  <c r="R53" i="55"/>
  <c r="C417" i="78"/>
  <c r="O387" i="55"/>
  <c r="P387" i="55"/>
  <c r="Q387" i="55"/>
  <c r="R387" i="55"/>
  <c r="R330" i="55"/>
  <c r="C360" i="78"/>
  <c r="C602" i="78"/>
  <c r="R572" i="55"/>
  <c r="R173" i="55"/>
  <c r="C191" i="78"/>
  <c r="C192" i="78"/>
  <c r="J7" i="70"/>
  <c r="L7" i="70"/>
  <c r="G7" i="70"/>
  <c r="H7" i="70" s="1"/>
  <c r="F7" i="70"/>
  <c r="D7" i="70"/>
  <c r="E7" i="70"/>
  <c r="B7" i="70"/>
  <c r="J9" i="70"/>
  <c r="K9" i="70" s="1"/>
  <c r="L9" i="70"/>
  <c r="M9" i="70" s="1"/>
  <c r="G9" i="70"/>
  <c r="H9" i="70" s="1"/>
  <c r="D9" i="70"/>
  <c r="E9" i="70"/>
  <c r="B9" i="70"/>
  <c r="C597" i="78"/>
  <c r="R567" i="55"/>
  <c r="C596" i="78"/>
  <c r="R566" i="55"/>
  <c r="C354" i="78"/>
  <c r="R324" i="55"/>
  <c r="C353" i="78"/>
  <c r="R323" i="55"/>
  <c r="C352" i="78"/>
  <c r="R322" i="55"/>
  <c r="R188" i="55"/>
  <c r="C211" i="78"/>
  <c r="R183" i="55"/>
  <c r="C204" i="78"/>
  <c r="O182" i="55"/>
  <c r="P182" i="55"/>
  <c r="Q182" i="55"/>
  <c r="R182" i="55"/>
  <c r="C203" i="78"/>
  <c r="R145" i="55"/>
  <c r="C164" i="78"/>
  <c r="R150" i="55"/>
  <c r="R62" i="55"/>
  <c r="C74" i="78"/>
  <c r="C69" i="78"/>
  <c r="R57" i="55"/>
  <c r="R56" i="55"/>
  <c r="C68" i="78"/>
  <c r="P75" i="70"/>
  <c r="N74" i="70"/>
  <c r="O75" i="70"/>
  <c r="N75" i="70"/>
  <c r="P74" i="70"/>
  <c r="R269" i="55"/>
  <c r="R270" i="55"/>
  <c r="C298" i="78"/>
  <c r="C299" i="78"/>
  <c r="R146" i="55"/>
  <c r="R163" i="55"/>
  <c r="C165" i="78"/>
  <c r="C177" i="78"/>
  <c r="R138" i="55"/>
  <c r="R405" i="55"/>
  <c r="C435" i="78"/>
  <c r="R176" i="55"/>
  <c r="C195" i="78"/>
  <c r="R568" i="55"/>
  <c r="C598" i="78"/>
  <c r="R177" i="55"/>
  <c r="C196" i="78"/>
  <c r="O463" i="55"/>
  <c r="P463" i="55"/>
  <c r="Q463" i="55"/>
  <c r="R463" i="55"/>
  <c r="C493" i="78"/>
  <c r="O462" i="55"/>
  <c r="P462" i="55"/>
  <c r="Q462" i="55"/>
  <c r="R462" i="55"/>
  <c r="C492" i="78"/>
  <c r="R406" i="55"/>
  <c r="C436" i="78"/>
  <c r="O667" i="55"/>
  <c r="P667" i="55"/>
  <c r="Q667" i="55"/>
  <c r="R667" i="55"/>
  <c r="R775" i="55"/>
  <c r="R147" i="55"/>
  <c r="R148" i="55"/>
  <c r="R151" i="55"/>
  <c r="C698" i="78"/>
  <c r="C811" i="78"/>
  <c r="C166" i="78"/>
  <c r="C167" i="78"/>
  <c r="C170" i="78"/>
  <c r="F92" i="70"/>
  <c r="D92" i="70"/>
  <c r="E92" i="70"/>
  <c r="F91" i="70"/>
  <c r="F90" i="70"/>
  <c r="G89" i="70"/>
  <c r="J89" i="70"/>
  <c r="L89" i="70"/>
  <c r="G90" i="70"/>
  <c r="I90" i="70" s="1"/>
  <c r="J90" i="70"/>
  <c r="L90" i="70"/>
  <c r="G91" i="70"/>
  <c r="H91" i="70" s="1"/>
  <c r="J91" i="70"/>
  <c r="L91" i="70"/>
  <c r="M91" i="70" s="1"/>
  <c r="G92" i="70"/>
  <c r="H92" i="70" s="1"/>
  <c r="J92" i="70"/>
  <c r="L92" i="70"/>
  <c r="M92" i="70" s="1"/>
  <c r="G93" i="70"/>
  <c r="H93" i="70" s="1"/>
  <c r="J93" i="70"/>
  <c r="L93" i="70"/>
  <c r="F89" i="70"/>
  <c r="F88" i="70"/>
  <c r="D89" i="70"/>
  <c r="E89" i="70"/>
  <c r="G87" i="70"/>
  <c r="H87" i="70" s="1"/>
  <c r="J87" i="70"/>
  <c r="L87" i="70"/>
  <c r="D87" i="70"/>
  <c r="E87" i="70"/>
  <c r="F87" i="70"/>
  <c r="F86" i="70"/>
  <c r="F85" i="70"/>
  <c r="B87" i="70"/>
  <c r="B88" i="70"/>
  <c r="B89" i="70"/>
  <c r="B90" i="70"/>
  <c r="B91" i="70"/>
  <c r="B92" i="70"/>
  <c r="O717" i="55"/>
  <c r="P717" i="55"/>
  <c r="Q717" i="55"/>
  <c r="R717" i="55"/>
  <c r="C753" i="78"/>
  <c r="O715" i="55"/>
  <c r="P715" i="55"/>
  <c r="Q715" i="55"/>
  <c r="R715" i="55"/>
  <c r="C751" i="78"/>
  <c r="O710" i="55"/>
  <c r="P710" i="55"/>
  <c r="Q710" i="55"/>
  <c r="R710" i="55"/>
  <c r="C746" i="78"/>
  <c r="R634" i="55"/>
  <c r="C665" i="78"/>
  <c r="R220" i="55"/>
  <c r="C240" i="78"/>
  <c r="C163" i="78"/>
  <c r="R144" i="55"/>
  <c r="R192" i="55"/>
  <c r="R187" i="55"/>
  <c r="R189" i="55"/>
  <c r="R191" i="55"/>
  <c r="G10" i="70"/>
  <c r="I10" i="70" s="1"/>
  <c r="J10" i="70"/>
  <c r="K10" i="70" s="1"/>
  <c r="L10" i="70"/>
  <c r="M10" i="70" s="1"/>
  <c r="D10" i="70"/>
  <c r="E10" i="70"/>
  <c r="B10" i="70"/>
  <c r="C270" i="78"/>
  <c r="C212" i="78"/>
  <c r="C269" i="78"/>
  <c r="C94" i="78"/>
  <c r="C268" i="78"/>
  <c r="C267" i="78"/>
  <c r="R247" i="55"/>
  <c r="R246" i="55"/>
  <c r="R781" i="55"/>
  <c r="C817" i="78"/>
  <c r="R718" i="55"/>
  <c r="C754" i="78"/>
  <c r="R627" i="55"/>
  <c r="C658" i="78"/>
  <c r="R616" i="55"/>
  <c r="C647" i="78"/>
  <c r="C423" i="78"/>
  <c r="C424" i="78"/>
  <c r="O391" i="55"/>
  <c r="X757" i="178" s="1"/>
  <c r="P391" i="55"/>
  <c r="Y757" i="178" s="1"/>
  <c r="Q391" i="55"/>
  <c r="AA757" i="178" s="1"/>
  <c r="AB757" i="178" s="1"/>
  <c r="R391" i="55"/>
  <c r="R393" i="55"/>
  <c r="R394" i="55"/>
  <c r="C421" i="78"/>
  <c r="O202" i="55"/>
  <c r="P202" i="55"/>
  <c r="Q202" i="55"/>
  <c r="R202" i="55"/>
  <c r="C208" i="78"/>
  <c r="R166" i="55"/>
  <c r="C186" i="78"/>
  <c r="C604" i="78"/>
  <c r="R574" i="55"/>
  <c r="C62" i="78"/>
  <c r="R43" i="55"/>
  <c r="C47" i="78"/>
  <c r="R38" i="55"/>
  <c r="R774" i="55"/>
  <c r="C810" i="78"/>
  <c r="C697" i="78"/>
  <c r="O666" i="55"/>
  <c r="P666" i="55"/>
  <c r="Q666" i="55"/>
  <c r="R666" i="55"/>
  <c r="O175" i="55"/>
  <c r="P175" i="55"/>
  <c r="Q175" i="55"/>
  <c r="R175" i="55"/>
  <c r="C194" i="78"/>
  <c r="C590" i="78"/>
  <c r="R560" i="55"/>
  <c r="R564" i="55"/>
  <c r="C594" i="78"/>
  <c r="C701" i="78"/>
  <c r="C702" i="78"/>
  <c r="C703" i="78"/>
  <c r="O670" i="55"/>
  <c r="P670" i="55"/>
  <c r="Q670" i="55"/>
  <c r="R670" i="55"/>
  <c r="O671" i="55"/>
  <c r="P671" i="55"/>
  <c r="Q671" i="55"/>
  <c r="R671" i="55"/>
  <c r="O672" i="55"/>
  <c r="P672" i="55"/>
  <c r="Q672" i="55"/>
  <c r="R672" i="55"/>
  <c r="O433" i="55"/>
  <c r="P433" i="55"/>
  <c r="Q433" i="55"/>
  <c r="R433" i="55"/>
  <c r="J66" i="70"/>
  <c r="L66" i="70"/>
  <c r="J67" i="70"/>
  <c r="L67" i="70"/>
  <c r="J68" i="70"/>
  <c r="L68" i="70"/>
  <c r="G66" i="70"/>
  <c r="H66" i="70" s="1"/>
  <c r="G67" i="70"/>
  <c r="H67" i="70" s="1"/>
  <c r="G68" i="70"/>
  <c r="H68" i="70" s="1"/>
  <c r="F68" i="70"/>
  <c r="F67" i="70"/>
  <c r="F66" i="70"/>
  <c r="D66" i="70"/>
  <c r="E66" i="70"/>
  <c r="D67" i="70"/>
  <c r="E67" i="70"/>
  <c r="D68" i="70"/>
  <c r="E68" i="70"/>
  <c r="B67" i="70"/>
  <c r="B66" i="70"/>
  <c r="B68" i="70"/>
  <c r="R561" i="55"/>
  <c r="C591" i="78"/>
  <c r="R556" i="55"/>
  <c r="C586" i="78"/>
  <c r="O434" i="55"/>
  <c r="P434" i="55"/>
  <c r="Q434" i="55"/>
  <c r="R434" i="55"/>
  <c r="O435" i="55"/>
  <c r="P435" i="55"/>
  <c r="Q435" i="55"/>
  <c r="R435" i="55"/>
  <c r="O436" i="55"/>
  <c r="P436" i="55"/>
  <c r="Q436" i="55"/>
  <c r="R436" i="55"/>
  <c r="C466" i="78"/>
  <c r="C463" i="78"/>
  <c r="O143" i="55"/>
  <c r="P143" i="55"/>
  <c r="Q143" i="55"/>
  <c r="R143" i="55"/>
  <c r="O165" i="55"/>
  <c r="P165" i="55"/>
  <c r="Q165" i="55"/>
  <c r="R165" i="55"/>
  <c r="C162" i="78"/>
  <c r="J69" i="70"/>
  <c r="L69" i="70"/>
  <c r="J70" i="70"/>
  <c r="L70" i="70"/>
  <c r="M70" i="70" s="1"/>
  <c r="D69" i="70"/>
  <c r="E69" i="70"/>
  <c r="D70" i="70"/>
  <c r="E70" i="70"/>
  <c r="G69" i="70"/>
  <c r="H69" i="70" s="1"/>
  <c r="G70" i="70"/>
  <c r="H70" i="70" s="1"/>
  <c r="F70" i="70"/>
  <c r="F69" i="70"/>
  <c r="B70" i="70"/>
  <c r="B69" i="70"/>
  <c r="C592" i="78"/>
  <c r="R562" i="55"/>
  <c r="J71" i="70"/>
  <c r="L71" i="70"/>
  <c r="G71" i="70"/>
  <c r="I71" i="70" s="1"/>
  <c r="F71" i="70"/>
  <c r="D71" i="70"/>
  <c r="E71" i="70"/>
  <c r="B71" i="70"/>
  <c r="R563" i="55"/>
  <c r="C593" i="78"/>
  <c r="R626" i="55"/>
  <c r="C657" i="78"/>
  <c r="R625" i="55"/>
  <c r="C656" i="78"/>
  <c r="R94" i="55"/>
  <c r="C113" i="78"/>
  <c r="R93" i="55"/>
  <c r="C112" i="78"/>
  <c r="R181" i="55"/>
  <c r="C202" i="78"/>
  <c r="C59" i="78"/>
  <c r="O48" i="55"/>
  <c r="P48" i="55"/>
  <c r="Q48" i="55"/>
  <c r="R48" i="55"/>
  <c r="R554" i="55"/>
  <c r="R142" i="55"/>
  <c r="C584" i="78"/>
  <c r="C161" i="78"/>
  <c r="J45" i="70"/>
  <c r="L45" i="70"/>
  <c r="G45" i="70"/>
  <c r="H45" i="70" s="1"/>
  <c r="F45" i="70"/>
  <c r="F44" i="70"/>
  <c r="D45" i="70"/>
  <c r="E45" i="70"/>
  <c r="B45" i="70"/>
  <c r="R139" i="55"/>
  <c r="J57" i="70"/>
  <c r="L57" i="70"/>
  <c r="G57" i="70"/>
  <c r="F57" i="70"/>
  <c r="D57" i="70"/>
  <c r="E57" i="70"/>
  <c r="B57" i="70"/>
  <c r="J23" i="70"/>
  <c r="L23" i="70"/>
  <c r="G23" i="70"/>
  <c r="I23" i="70" s="1"/>
  <c r="F23" i="70"/>
  <c r="D23" i="70"/>
  <c r="E23" i="70"/>
  <c r="B23" i="70"/>
  <c r="F61" i="70"/>
  <c r="J63" i="70"/>
  <c r="L63" i="70"/>
  <c r="J64" i="70"/>
  <c r="L64" i="70"/>
  <c r="J65" i="70"/>
  <c r="L65" i="70"/>
  <c r="G63" i="70"/>
  <c r="H63" i="70" s="1"/>
  <c r="G64" i="70"/>
  <c r="H64" i="70" s="1"/>
  <c r="G65" i="70"/>
  <c r="H65" i="70" s="1"/>
  <c r="B63" i="70"/>
  <c r="B64" i="70"/>
  <c r="B65" i="70"/>
  <c r="R545" i="55"/>
  <c r="C575" i="78"/>
  <c r="F65" i="70"/>
  <c r="F63" i="70"/>
  <c r="F64" i="70"/>
  <c r="D63" i="70"/>
  <c r="E63" i="70"/>
  <c r="D64" i="70"/>
  <c r="E64" i="70"/>
  <c r="D65" i="70"/>
  <c r="E65" i="70"/>
  <c r="J3" i="70"/>
  <c r="L3" i="70"/>
  <c r="J5" i="70"/>
  <c r="K5" i="70" s="1"/>
  <c r="L5" i="70"/>
  <c r="M5" i="70" s="1"/>
  <c r="J6" i="70"/>
  <c r="K6" i="70" s="1"/>
  <c r="L6" i="70"/>
  <c r="M6" i="70" s="1"/>
  <c r="J8" i="70"/>
  <c r="K8" i="70" s="1"/>
  <c r="L8" i="70"/>
  <c r="M8" i="70" s="1"/>
  <c r="J12" i="70"/>
  <c r="K12" i="70" s="1"/>
  <c r="L12" i="70"/>
  <c r="M12" i="70" s="1"/>
  <c r="J13" i="70"/>
  <c r="K13" i="70" s="1"/>
  <c r="L13" i="70"/>
  <c r="M13" i="70" s="1"/>
  <c r="J14" i="70"/>
  <c r="K14" i="70" s="1"/>
  <c r="L14" i="70"/>
  <c r="M14" i="70" s="1"/>
  <c r="J15" i="70"/>
  <c r="L15" i="70"/>
  <c r="M15" i="70" s="1"/>
  <c r="J16" i="70"/>
  <c r="K16" i="70" s="1"/>
  <c r="L16" i="70"/>
  <c r="M16" i="70" s="1"/>
  <c r="J17" i="70"/>
  <c r="L17" i="70"/>
  <c r="J18" i="70"/>
  <c r="L18" i="70"/>
  <c r="J19" i="70"/>
  <c r="L19" i="70"/>
  <c r="J20" i="70"/>
  <c r="K20" i="70" s="1"/>
  <c r="L20" i="70"/>
  <c r="J21" i="70"/>
  <c r="L21" i="70"/>
  <c r="J22" i="70"/>
  <c r="L22" i="70"/>
  <c r="J24" i="70"/>
  <c r="L24" i="70"/>
  <c r="J25" i="70"/>
  <c r="L25" i="70"/>
  <c r="J26" i="70"/>
  <c r="L26" i="70"/>
  <c r="M26" i="70" s="1"/>
  <c r="J27" i="70"/>
  <c r="L27" i="70"/>
  <c r="J29" i="70"/>
  <c r="K29" i="70" s="1"/>
  <c r="L29" i="70"/>
  <c r="M29" i="70" s="1"/>
  <c r="J30" i="70"/>
  <c r="L30" i="70"/>
  <c r="J31" i="70"/>
  <c r="L31" i="70"/>
  <c r="J32" i="70"/>
  <c r="L32" i="70"/>
  <c r="J78" i="70"/>
  <c r="L78" i="70"/>
  <c r="M78" i="70" s="1"/>
  <c r="J79" i="70"/>
  <c r="L79" i="70"/>
  <c r="J33" i="70"/>
  <c r="L33" i="70"/>
  <c r="M33" i="70" s="1"/>
  <c r="J34" i="70"/>
  <c r="L34" i="70"/>
  <c r="J35" i="70"/>
  <c r="L35" i="70"/>
  <c r="M35" i="70" s="1"/>
  <c r="J76" i="70"/>
  <c r="L76" i="70"/>
  <c r="J77" i="70"/>
  <c r="K77" i="70" s="1"/>
  <c r="L77" i="70"/>
  <c r="M77" i="70" s="1"/>
  <c r="J80" i="70"/>
  <c r="L80" i="70"/>
  <c r="J81" i="70"/>
  <c r="L81" i="70"/>
  <c r="M81" i="70" s="1"/>
  <c r="J36" i="70"/>
  <c r="L36" i="70"/>
  <c r="J38" i="70"/>
  <c r="L38" i="70"/>
  <c r="J39" i="70"/>
  <c r="L39" i="70"/>
  <c r="J40" i="70"/>
  <c r="L40" i="70"/>
  <c r="J41" i="70"/>
  <c r="L41" i="70"/>
  <c r="J42" i="70"/>
  <c r="L42" i="70"/>
  <c r="J43" i="70"/>
  <c r="L43" i="70"/>
  <c r="J44" i="70"/>
  <c r="K44" i="70" s="1"/>
  <c r="L44" i="70"/>
  <c r="M44" i="70" s="1"/>
  <c r="J46" i="70"/>
  <c r="L46" i="70"/>
  <c r="J47" i="70"/>
  <c r="L47" i="70"/>
  <c r="J48" i="70"/>
  <c r="L48" i="70"/>
  <c r="J49" i="70"/>
  <c r="L49" i="70"/>
  <c r="J50" i="70"/>
  <c r="L50" i="70"/>
  <c r="J51" i="70"/>
  <c r="L51" i="70"/>
  <c r="J52" i="70"/>
  <c r="L52" i="70"/>
  <c r="J53" i="70"/>
  <c r="L53" i="70"/>
  <c r="J54" i="70"/>
  <c r="L54" i="70"/>
  <c r="J55" i="70"/>
  <c r="L55" i="70"/>
  <c r="J56" i="70"/>
  <c r="L56" i="70"/>
  <c r="J58" i="70"/>
  <c r="L58" i="70"/>
  <c r="J59" i="70"/>
  <c r="L59" i="70"/>
  <c r="J60" i="70"/>
  <c r="L60" i="70"/>
  <c r="J61" i="70"/>
  <c r="K61" i="70" s="1"/>
  <c r="L61" i="70"/>
  <c r="J62" i="70"/>
  <c r="L62" i="70"/>
  <c r="J83" i="70"/>
  <c r="L83" i="70"/>
  <c r="J84" i="70"/>
  <c r="L84" i="70"/>
  <c r="J85" i="70"/>
  <c r="K85" i="70" s="1"/>
  <c r="L85" i="70"/>
  <c r="J86" i="70"/>
  <c r="K86" i="70" s="1"/>
  <c r="L86" i="70"/>
  <c r="M86" i="70" s="1"/>
  <c r="J88" i="70"/>
  <c r="K88" i="70" s="1"/>
  <c r="L88" i="70"/>
  <c r="J99" i="70"/>
  <c r="K99" i="70" s="1"/>
  <c r="L99" i="70"/>
  <c r="M99" i="70" s="1"/>
  <c r="J100" i="70"/>
  <c r="K100" i="70" s="1"/>
  <c r="L100" i="70"/>
  <c r="M100" i="70" s="1"/>
  <c r="J101" i="70"/>
  <c r="K101" i="70" s="1"/>
  <c r="L101" i="70"/>
  <c r="M101" i="70" s="1"/>
  <c r="J102" i="70"/>
  <c r="K102" i="70" s="1"/>
  <c r="L102" i="70"/>
  <c r="M102" i="70" s="1"/>
  <c r="J103" i="70"/>
  <c r="L103" i="70"/>
  <c r="J104" i="70"/>
  <c r="L104" i="70"/>
  <c r="J105" i="70"/>
  <c r="L105" i="70"/>
  <c r="L2" i="70"/>
  <c r="J2" i="70"/>
  <c r="G48" i="70"/>
  <c r="G49" i="70"/>
  <c r="H49" i="70" s="1"/>
  <c r="F49" i="70"/>
  <c r="F48" i="70"/>
  <c r="D48" i="70"/>
  <c r="E48" i="70"/>
  <c r="D49" i="70"/>
  <c r="E49" i="70"/>
  <c r="B49" i="70"/>
  <c r="B48" i="70"/>
  <c r="G54" i="70"/>
  <c r="G55" i="70"/>
  <c r="H55" i="70" s="1"/>
  <c r="F55" i="70"/>
  <c r="F54" i="70"/>
  <c r="D54" i="70"/>
  <c r="E54" i="70"/>
  <c r="D55" i="70"/>
  <c r="E55" i="70"/>
  <c r="B54" i="70"/>
  <c r="B55" i="70"/>
  <c r="C567" i="78"/>
  <c r="R537" i="55"/>
  <c r="O635" i="55"/>
  <c r="P635" i="55"/>
  <c r="Q635" i="55"/>
  <c r="R635" i="55"/>
  <c r="C666" i="78"/>
  <c r="O716" i="55"/>
  <c r="P716" i="55"/>
  <c r="Q716" i="55"/>
  <c r="R716" i="55"/>
  <c r="C752" i="78"/>
  <c r="O714" i="55"/>
  <c r="P714" i="55"/>
  <c r="Q714" i="55"/>
  <c r="R714" i="55"/>
  <c r="C750" i="78"/>
  <c r="R534" i="55"/>
  <c r="C564" i="78"/>
  <c r="R362" i="55"/>
  <c r="C393" i="78"/>
  <c r="R361" i="55"/>
  <c r="C392" i="78"/>
  <c r="O401" i="55"/>
  <c r="P401" i="55"/>
  <c r="Q401" i="55"/>
  <c r="R401" i="55"/>
  <c r="C431" i="78"/>
  <c r="C432" i="78"/>
  <c r="R363" i="55"/>
  <c r="C394" i="78"/>
  <c r="R663" i="55"/>
  <c r="R664" i="55"/>
  <c r="C695" i="78"/>
  <c r="C694" i="78"/>
  <c r="C157" i="78"/>
  <c r="C159" i="78"/>
  <c r="O140" i="55"/>
  <c r="P140" i="55"/>
  <c r="Q140" i="55"/>
  <c r="R140" i="55"/>
  <c r="R133" i="55"/>
  <c r="C152" i="78"/>
  <c r="R552" i="55"/>
  <c r="R579" i="55"/>
  <c r="R580" i="55"/>
  <c r="R553" i="55"/>
  <c r="R546" i="55"/>
  <c r="R233" i="55"/>
  <c r="R232" i="55"/>
  <c r="R551" i="55"/>
  <c r="R550" i="55"/>
  <c r="C582" i="78"/>
  <c r="C609" i="78"/>
  <c r="C610" i="78"/>
  <c r="C583" i="78"/>
  <c r="C576" i="78"/>
  <c r="C253" i="78"/>
  <c r="C252" i="78"/>
  <c r="C581" i="78"/>
  <c r="C580" i="78"/>
  <c r="R673" i="55"/>
  <c r="C704" i="78"/>
  <c r="C297" i="78"/>
  <c r="C577" i="78"/>
  <c r="R547" i="55"/>
  <c r="C646" i="78"/>
  <c r="C642" i="78"/>
  <c r="C643" i="78"/>
  <c r="C644" i="78"/>
  <c r="C645" i="78"/>
  <c r="O615" i="55"/>
  <c r="P615" i="55"/>
  <c r="Q615" i="55"/>
  <c r="R615" i="55"/>
  <c r="O611" i="55"/>
  <c r="P611" i="55"/>
  <c r="Q611" i="55"/>
  <c r="R611" i="55"/>
  <c r="O612" i="55"/>
  <c r="P612" i="55"/>
  <c r="Q612" i="55"/>
  <c r="R612" i="55"/>
  <c r="O613" i="55"/>
  <c r="P613" i="55"/>
  <c r="Q613" i="55"/>
  <c r="R613" i="55"/>
  <c r="O614" i="55"/>
  <c r="P614" i="55"/>
  <c r="Q614" i="55"/>
  <c r="R614" i="55"/>
  <c r="R770" i="55"/>
  <c r="O386" i="55"/>
  <c r="P386" i="55"/>
  <c r="Q386" i="55"/>
  <c r="R386" i="55"/>
  <c r="R769" i="55"/>
  <c r="R662" i="55"/>
  <c r="R141" i="55"/>
  <c r="R772" i="55"/>
  <c r="R771" i="55"/>
  <c r="C806" i="78"/>
  <c r="C416" i="78"/>
  <c r="C805" i="78"/>
  <c r="C693" i="78"/>
  <c r="C160" i="78"/>
  <c r="C808" i="78"/>
  <c r="C807" i="78"/>
  <c r="C179" i="78"/>
  <c r="R665" i="55"/>
  <c r="C696" i="78"/>
  <c r="G56" i="70"/>
  <c r="H56" i="70" s="1"/>
  <c r="F56" i="70"/>
  <c r="D56" i="70"/>
  <c r="E56" i="70"/>
  <c r="B56" i="70"/>
  <c r="C568" i="78"/>
  <c r="R538" i="55"/>
  <c r="G41" i="70"/>
  <c r="F41" i="70"/>
  <c r="D41" i="70"/>
  <c r="E41" i="70"/>
  <c r="B41" i="70"/>
  <c r="R530" i="55"/>
  <c r="C560" i="78"/>
  <c r="G40" i="70"/>
  <c r="H40" i="70" s="1"/>
  <c r="D40" i="70"/>
  <c r="E40" i="70"/>
  <c r="F40" i="70"/>
  <c r="B40" i="70"/>
  <c r="C559" i="78"/>
  <c r="R529" i="55"/>
  <c r="G105" i="70"/>
  <c r="H105" i="70" s="1"/>
  <c r="F105" i="70"/>
  <c r="D105" i="70"/>
  <c r="E105" i="70"/>
  <c r="B105" i="70"/>
  <c r="C787" i="78"/>
  <c r="R751" i="55"/>
  <c r="G26" i="70"/>
  <c r="I26" i="70" s="1"/>
  <c r="G25" i="70"/>
  <c r="I25" i="70" s="1"/>
  <c r="F26" i="70"/>
  <c r="D26" i="70"/>
  <c r="E26" i="70"/>
  <c r="B26" i="70"/>
  <c r="G24" i="70"/>
  <c r="I24" i="70" s="1"/>
  <c r="F24" i="70"/>
  <c r="D24" i="70"/>
  <c r="E24" i="70"/>
  <c r="B24" i="70"/>
  <c r="G52" i="70"/>
  <c r="H52" i="70" s="1"/>
  <c r="G53" i="70"/>
  <c r="H53" i="70" s="1"/>
  <c r="F53" i="70"/>
  <c r="F52" i="70"/>
  <c r="D52" i="70"/>
  <c r="E52" i="70"/>
  <c r="D53" i="70"/>
  <c r="E53" i="70"/>
  <c r="B52" i="70"/>
  <c r="B53" i="70"/>
  <c r="G46" i="70"/>
  <c r="G47" i="70"/>
  <c r="H47" i="70" s="1"/>
  <c r="F47" i="70"/>
  <c r="F46" i="70"/>
  <c r="D46" i="70"/>
  <c r="E46" i="70"/>
  <c r="D47" i="70"/>
  <c r="E47" i="70"/>
  <c r="B46" i="70"/>
  <c r="B47" i="70"/>
  <c r="G50" i="70"/>
  <c r="I50" i="70" s="1"/>
  <c r="G51" i="70"/>
  <c r="H51" i="70" s="1"/>
  <c r="F51" i="70"/>
  <c r="F50" i="70"/>
  <c r="D50" i="70"/>
  <c r="E50" i="70"/>
  <c r="D51" i="70"/>
  <c r="E51" i="70"/>
  <c r="B50" i="70"/>
  <c r="B51" i="70"/>
  <c r="G44" i="70"/>
  <c r="H44" i="70" s="1"/>
  <c r="D44" i="70"/>
  <c r="E44" i="70"/>
  <c r="B44" i="70"/>
  <c r="G42" i="70"/>
  <c r="I42" i="70" s="1"/>
  <c r="G43" i="70"/>
  <c r="H43" i="70" s="1"/>
  <c r="F43" i="70"/>
  <c r="F42" i="70"/>
  <c r="D42" i="70"/>
  <c r="E42" i="70"/>
  <c r="D43" i="70"/>
  <c r="E43" i="70"/>
  <c r="B42" i="70"/>
  <c r="B43" i="70"/>
  <c r="G2" i="70"/>
  <c r="H2" i="70" s="1"/>
  <c r="G3" i="70"/>
  <c r="H3" i="70" s="1"/>
  <c r="F3" i="70"/>
  <c r="F2" i="70"/>
  <c r="D2" i="70"/>
  <c r="E2" i="70"/>
  <c r="D3" i="70"/>
  <c r="E3" i="70"/>
  <c r="B3" i="70"/>
  <c r="B2" i="70"/>
  <c r="G27" i="70"/>
  <c r="I27" i="70" s="1"/>
  <c r="F27" i="70"/>
  <c r="D27" i="70"/>
  <c r="E27" i="70"/>
  <c r="B27" i="70"/>
  <c r="G22" i="70"/>
  <c r="H22" i="70" s="1"/>
  <c r="F22" i="70"/>
  <c r="D22" i="70"/>
  <c r="E22" i="70"/>
  <c r="B22" i="70"/>
  <c r="G61" i="70"/>
  <c r="G62" i="70"/>
  <c r="H62" i="70" s="1"/>
  <c r="F62" i="70"/>
  <c r="D61" i="70"/>
  <c r="E61" i="70"/>
  <c r="D62" i="70"/>
  <c r="E62" i="70"/>
  <c r="B61" i="70"/>
  <c r="B62" i="70"/>
  <c r="C574" i="78"/>
  <c r="R544" i="55"/>
  <c r="G58" i="70"/>
  <c r="I58" i="70" s="1"/>
  <c r="G59" i="70"/>
  <c r="H59" i="70" s="1"/>
  <c r="G60" i="70"/>
  <c r="I60" i="70" s="1"/>
  <c r="F60" i="70"/>
  <c r="F59" i="70"/>
  <c r="F58" i="70"/>
  <c r="D58" i="70"/>
  <c r="E58" i="70"/>
  <c r="D59" i="70"/>
  <c r="E59" i="70"/>
  <c r="D60" i="70"/>
  <c r="E60" i="70"/>
  <c r="B58" i="70"/>
  <c r="B59" i="70"/>
  <c r="B60" i="70"/>
  <c r="R536" i="55"/>
  <c r="C566" i="78"/>
  <c r="C565" i="78"/>
  <c r="R535" i="55"/>
  <c r="R531" i="55"/>
  <c r="R532" i="55"/>
  <c r="C562" i="78"/>
  <c r="C561" i="78"/>
  <c r="R404" i="55"/>
  <c r="C434" i="78"/>
  <c r="R403" i="55"/>
  <c r="C433" i="78"/>
  <c r="R402" i="55"/>
  <c r="R385" i="55"/>
  <c r="C415" i="78"/>
  <c r="C414" i="78"/>
  <c r="R384" i="55"/>
  <c r="O321" i="55"/>
  <c r="P321" i="55"/>
  <c r="Q321" i="55"/>
  <c r="R321" i="55"/>
  <c r="C351" i="78"/>
  <c r="C77" i="78"/>
  <c r="R65" i="55"/>
  <c r="C64" i="78"/>
  <c r="R49" i="55"/>
  <c r="C60" i="78"/>
  <c r="C45" i="78"/>
  <c r="R36" i="55"/>
  <c r="C38" i="78"/>
  <c r="R28" i="55"/>
  <c r="C34" i="78"/>
  <c r="O24" i="55"/>
  <c r="P24" i="55"/>
  <c r="Q24" i="55"/>
  <c r="R24" i="55"/>
  <c r="C33" i="78"/>
  <c r="R23" i="55"/>
  <c r="R609" i="55"/>
  <c r="C640" i="78"/>
  <c r="R389" i="55"/>
  <c r="R26" i="55"/>
  <c r="C36" i="78"/>
  <c r="R25" i="55"/>
  <c r="C35" i="78"/>
  <c r="G84" i="70"/>
  <c r="F84" i="70"/>
  <c r="D84" i="70"/>
  <c r="E84" i="70"/>
  <c r="B84" i="70"/>
  <c r="C236" i="78"/>
  <c r="R216" i="55"/>
  <c r="C542" i="78"/>
  <c r="C543" i="78"/>
  <c r="C544" i="78"/>
  <c r="R512" i="55"/>
  <c r="R513" i="55"/>
  <c r="R514" i="55"/>
  <c r="G39" i="70"/>
  <c r="H39" i="70" s="1"/>
  <c r="F39" i="70"/>
  <c r="D39" i="70"/>
  <c r="E39" i="70"/>
  <c r="G38" i="70"/>
  <c r="F38" i="70"/>
  <c r="D38" i="70"/>
  <c r="E38" i="70"/>
  <c r="B38" i="70"/>
  <c r="B39" i="70"/>
  <c r="R528" i="55"/>
  <c r="C558" i="78"/>
  <c r="C571" i="78"/>
  <c r="C572" i="78"/>
  <c r="R541" i="55"/>
  <c r="R542" i="55"/>
  <c r="C700" i="78"/>
  <c r="O669" i="55"/>
  <c r="P669" i="55"/>
  <c r="Q669" i="55"/>
  <c r="R669" i="55"/>
  <c r="R204" i="55"/>
  <c r="C223" i="78"/>
  <c r="C79" i="78"/>
  <c r="C80" i="78"/>
  <c r="O59" i="55"/>
  <c r="P59" i="55"/>
  <c r="Q59" i="55"/>
  <c r="R59" i="55"/>
  <c r="O61" i="55"/>
  <c r="P61" i="55"/>
  <c r="Q61" i="55"/>
  <c r="R61" i="55"/>
  <c r="R67" i="55"/>
  <c r="R68" i="55"/>
  <c r="C332" i="78"/>
  <c r="R302" i="55"/>
  <c r="C699" i="78"/>
  <c r="O668" i="55"/>
  <c r="P668" i="55"/>
  <c r="Q668" i="55"/>
  <c r="R668" i="55"/>
  <c r="E62" i="160"/>
  <c r="D62" i="160"/>
  <c r="E60" i="160"/>
  <c r="D60" i="160"/>
  <c r="E56" i="160"/>
  <c r="D56" i="160"/>
  <c r="T55" i="160"/>
  <c r="E54" i="160"/>
  <c r="D54" i="160"/>
  <c r="L54" i="160" s="1"/>
  <c r="L55" i="160" s="1"/>
  <c r="T54" i="160"/>
  <c r="T52" i="160"/>
  <c r="E52" i="160"/>
  <c r="D52" i="160"/>
  <c r="L52" i="160" s="1"/>
  <c r="L53" i="160" s="1"/>
  <c r="T50" i="160"/>
  <c r="E50" i="160"/>
  <c r="D50" i="160"/>
  <c r="L50" i="160" s="1"/>
  <c r="L51" i="160" s="1"/>
  <c r="C50" i="160"/>
  <c r="T49" i="160"/>
  <c r="T48" i="160"/>
  <c r="E48" i="160"/>
  <c r="D48" i="160"/>
  <c r="L48" i="160" s="1"/>
  <c r="L49" i="160" s="1"/>
  <c r="E44" i="160"/>
  <c r="L44" i="160" s="1"/>
  <c r="L45" i="160" s="1"/>
  <c r="D44" i="160"/>
  <c r="C44" i="160"/>
  <c r="T43" i="160"/>
  <c r="T42" i="160"/>
  <c r="E42" i="160"/>
  <c r="D42" i="160"/>
  <c r="E36" i="160"/>
  <c r="D36" i="160"/>
  <c r="E34" i="160"/>
  <c r="D34" i="160"/>
  <c r="L34" i="160" s="1"/>
  <c r="L35" i="160" s="1"/>
  <c r="E32" i="160"/>
  <c r="D32" i="160"/>
  <c r="E30" i="160"/>
  <c r="D30" i="160"/>
  <c r="L30" i="160" s="1"/>
  <c r="L31" i="160" s="1"/>
  <c r="E28" i="160"/>
  <c r="D28" i="160"/>
  <c r="L28" i="160" s="1"/>
  <c r="L29" i="160" s="1"/>
  <c r="T26" i="160"/>
  <c r="E26" i="160"/>
  <c r="D26" i="160"/>
  <c r="L26" i="160" s="1"/>
  <c r="L27" i="160" s="1"/>
  <c r="T25" i="160"/>
  <c r="T24" i="160"/>
  <c r="E24" i="160"/>
  <c r="D24" i="160"/>
  <c r="L24" i="160" s="1"/>
  <c r="L25" i="160" s="1"/>
  <c r="T23" i="160"/>
  <c r="T22" i="160"/>
  <c r="E22" i="160"/>
  <c r="D22" i="160"/>
  <c r="L22" i="160" s="1"/>
  <c r="L23" i="160" s="1"/>
  <c r="T21" i="160"/>
  <c r="E20" i="160"/>
  <c r="D20" i="160"/>
  <c r="L20" i="160"/>
  <c r="L21" i="160" s="1"/>
  <c r="T19" i="160"/>
  <c r="T18" i="160"/>
  <c r="E18" i="160"/>
  <c r="E38" i="160" s="1"/>
  <c r="L38" i="160" s="1"/>
  <c r="L39" i="160" s="1"/>
  <c r="D18" i="160"/>
  <c r="L18" i="160"/>
  <c r="L19" i="160" s="1"/>
  <c r="T17" i="160"/>
  <c r="T16" i="160"/>
  <c r="E16" i="160"/>
  <c r="D16" i="160"/>
  <c r="L16" i="160"/>
  <c r="L17" i="160" s="1"/>
  <c r="E12" i="160"/>
  <c r="D12" i="160"/>
  <c r="L12" i="160" s="1"/>
  <c r="L13" i="160" s="1"/>
  <c r="E10" i="160"/>
  <c r="L10" i="160" s="1"/>
  <c r="L11" i="160" s="1"/>
  <c r="D10" i="160"/>
  <c r="T9" i="160"/>
  <c r="T8" i="160"/>
  <c r="E8" i="160"/>
  <c r="L8" i="160" s="1"/>
  <c r="L9" i="160" s="1"/>
  <c r="D8" i="160"/>
  <c r="T7" i="160"/>
  <c r="T6" i="160"/>
  <c r="E6" i="160"/>
  <c r="D6" i="160"/>
  <c r="L36" i="160"/>
  <c r="L37" i="160" s="1"/>
  <c r="L32" i="160"/>
  <c r="L33" i="160" s="1"/>
  <c r="C227" i="78"/>
  <c r="C557" i="78"/>
  <c r="O527" i="55"/>
  <c r="P527" i="55"/>
  <c r="Q527" i="55"/>
  <c r="R527" i="55"/>
  <c r="L33" i="95"/>
  <c r="M33" i="95"/>
  <c r="N33" i="95"/>
  <c r="O33" i="95"/>
  <c r="L34" i="95"/>
  <c r="M34" i="95"/>
  <c r="N34" i="95"/>
  <c r="O34" i="95"/>
  <c r="L35" i="95"/>
  <c r="M35" i="95"/>
  <c r="N35" i="95"/>
  <c r="O35" i="95"/>
  <c r="L36" i="95"/>
  <c r="M36" i="95"/>
  <c r="N36" i="95"/>
  <c r="O36" i="95"/>
  <c r="L37" i="95"/>
  <c r="M37" i="95"/>
  <c r="N37" i="95"/>
  <c r="O37" i="95"/>
  <c r="L39" i="95"/>
  <c r="M39" i="95"/>
  <c r="N39" i="95"/>
  <c r="O39" i="95"/>
  <c r="H34" i="95"/>
  <c r="I34" i="95"/>
  <c r="J34" i="95"/>
  <c r="K34" i="95"/>
  <c r="H35" i="95"/>
  <c r="I35" i="95"/>
  <c r="J35" i="95"/>
  <c r="K35" i="95"/>
  <c r="H36" i="95"/>
  <c r="I36" i="95"/>
  <c r="J36" i="95"/>
  <c r="K36" i="95"/>
  <c r="H37" i="95"/>
  <c r="I37" i="95"/>
  <c r="J37" i="95"/>
  <c r="K37" i="95"/>
  <c r="H39" i="95"/>
  <c r="I39" i="95"/>
  <c r="J39" i="95"/>
  <c r="K39" i="95"/>
  <c r="H40" i="95"/>
  <c r="I40" i="95"/>
  <c r="J40" i="95"/>
  <c r="K40" i="95"/>
  <c r="L14" i="95"/>
  <c r="M14" i="95"/>
  <c r="N14" i="95"/>
  <c r="O14" i="95"/>
  <c r="L15" i="95"/>
  <c r="M15" i="95"/>
  <c r="N15" i="95"/>
  <c r="O15" i="95"/>
  <c r="L16" i="95"/>
  <c r="M16" i="95"/>
  <c r="N16" i="95"/>
  <c r="O16" i="95"/>
  <c r="L17" i="95"/>
  <c r="M17" i="95"/>
  <c r="N17" i="95"/>
  <c r="O17" i="95"/>
  <c r="L18" i="95"/>
  <c r="M18" i="95"/>
  <c r="N18" i="95"/>
  <c r="O18" i="95"/>
  <c r="L19" i="95"/>
  <c r="M19" i="95"/>
  <c r="N19" i="95"/>
  <c r="O19" i="95"/>
  <c r="L20" i="95"/>
  <c r="M20" i="95"/>
  <c r="N20" i="95"/>
  <c r="O20" i="95"/>
  <c r="L21" i="95"/>
  <c r="M21" i="95"/>
  <c r="N21" i="95"/>
  <c r="O21" i="95"/>
  <c r="L22" i="95"/>
  <c r="M22" i="95"/>
  <c r="N22" i="95"/>
  <c r="O22" i="95"/>
  <c r="D14" i="95"/>
  <c r="E14" i="95"/>
  <c r="F14" i="95"/>
  <c r="G14" i="95"/>
  <c r="D15" i="95"/>
  <c r="E15" i="95"/>
  <c r="F15" i="95"/>
  <c r="G15" i="95"/>
  <c r="D16" i="95"/>
  <c r="E16" i="95"/>
  <c r="F16" i="95"/>
  <c r="G16" i="95"/>
  <c r="D17" i="95"/>
  <c r="E17" i="95"/>
  <c r="F17" i="95"/>
  <c r="G17" i="95"/>
  <c r="D18" i="95"/>
  <c r="E18" i="95"/>
  <c r="F18" i="95"/>
  <c r="G18" i="95"/>
  <c r="D19" i="95"/>
  <c r="E19" i="95"/>
  <c r="F19" i="95"/>
  <c r="G19" i="95"/>
  <c r="D20" i="95"/>
  <c r="E20" i="95"/>
  <c r="F20" i="95"/>
  <c r="G20" i="95"/>
  <c r="D21" i="95"/>
  <c r="E21" i="95"/>
  <c r="F21" i="95"/>
  <c r="G21" i="95"/>
  <c r="D22" i="95"/>
  <c r="E22" i="95"/>
  <c r="F22" i="95"/>
  <c r="G22" i="95"/>
  <c r="L6" i="95"/>
  <c r="M6" i="95"/>
  <c r="N6" i="95"/>
  <c r="O6" i="95"/>
  <c r="L7" i="95"/>
  <c r="M7" i="95"/>
  <c r="N7" i="95"/>
  <c r="O7" i="95"/>
  <c r="R30" i="55"/>
  <c r="C43" i="78"/>
  <c r="R34" i="55"/>
  <c r="C551" i="78"/>
  <c r="C553" i="78"/>
  <c r="R521" i="55"/>
  <c r="C549" i="78"/>
  <c r="R520" i="55"/>
  <c r="O5" i="55"/>
  <c r="P5" i="55"/>
  <c r="Q5" i="55"/>
  <c r="R5" i="55"/>
  <c r="O6" i="55"/>
  <c r="P6" i="55"/>
  <c r="Q6" i="55"/>
  <c r="R6" i="55"/>
  <c r="O7" i="55"/>
  <c r="P7" i="55"/>
  <c r="Q7" i="55"/>
  <c r="R7" i="55"/>
  <c r="O8" i="55"/>
  <c r="P8" i="55"/>
  <c r="Q8" i="55"/>
  <c r="R8" i="55"/>
  <c r="O9" i="55"/>
  <c r="P9" i="55"/>
  <c r="Q9" i="55"/>
  <c r="R9" i="55"/>
  <c r="O10" i="55"/>
  <c r="P10" i="55"/>
  <c r="Q10" i="55"/>
  <c r="R10" i="55"/>
  <c r="O11" i="55"/>
  <c r="P11" i="55"/>
  <c r="Q11" i="55"/>
  <c r="R11" i="55"/>
  <c r="O12" i="55"/>
  <c r="P12" i="55"/>
  <c r="Q12" i="55"/>
  <c r="R12" i="55"/>
  <c r="O13" i="55"/>
  <c r="P13" i="55"/>
  <c r="Q13" i="55"/>
  <c r="R13" i="55"/>
  <c r="O16" i="55"/>
  <c r="P16" i="55"/>
  <c r="Q16" i="55"/>
  <c r="R16" i="55"/>
  <c r="C5" i="78"/>
  <c r="C6" i="78"/>
  <c r="C7" i="78"/>
  <c r="C8" i="78"/>
  <c r="C9" i="78"/>
  <c r="C10" i="78"/>
  <c r="C11" i="78"/>
  <c r="C12" i="78"/>
  <c r="C13" i="78"/>
  <c r="C14" i="78"/>
  <c r="C17" i="78"/>
  <c r="C18" i="78"/>
  <c r="C19" i="78"/>
  <c r="C20" i="78"/>
  <c r="C21" i="78"/>
  <c r="C22" i="78"/>
  <c r="C23" i="78"/>
  <c r="C95" i="78"/>
  <c r="C260" i="78"/>
  <c r="O237" i="55"/>
  <c r="X1044" i="178" s="1"/>
  <c r="P237" i="55"/>
  <c r="Y1044" i="178" s="1"/>
  <c r="Q237" i="55"/>
  <c r="AA1044" i="178" s="1"/>
  <c r="AB1044" i="178" s="1"/>
  <c r="R237" i="55"/>
  <c r="C201" i="78"/>
  <c r="O180" i="55"/>
  <c r="P180" i="55"/>
  <c r="Q180" i="55"/>
  <c r="R180" i="55"/>
  <c r="C87" i="78"/>
  <c r="R70" i="55"/>
  <c r="R519" i="55"/>
  <c r="C550" i="78"/>
  <c r="C554" i="78"/>
  <c r="C555" i="78"/>
  <c r="R524" i="55"/>
  <c r="R525" i="55"/>
  <c r="R217" i="55"/>
  <c r="C237" i="78"/>
  <c r="R523" i="55"/>
  <c r="C296" i="78"/>
  <c r="O267" i="55"/>
  <c r="P267" i="55"/>
  <c r="Q267" i="55"/>
  <c r="R267" i="55"/>
  <c r="R206" i="55"/>
  <c r="C225" i="78"/>
  <c r="R526" i="55"/>
  <c r="C556" i="78"/>
  <c r="C238" i="78"/>
  <c r="R218" i="55"/>
  <c r="O135" i="55"/>
  <c r="P135" i="55"/>
  <c r="Q135" i="55"/>
  <c r="R135" i="55"/>
  <c r="O136" i="55"/>
  <c r="P136" i="55"/>
  <c r="Q136" i="55"/>
  <c r="R136" i="55"/>
  <c r="R137" i="55"/>
  <c r="C154" i="78"/>
  <c r="C155" i="78"/>
  <c r="C156" i="78"/>
  <c r="C390" i="78"/>
  <c r="R359" i="55"/>
  <c r="F25" i="70"/>
  <c r="D25" i="70"/>
  <c r="E25" i="70"/>
  <c r="B25" i="70"/>
  <c r="C389" i="78"/>
  <c r="R358" i="55"/>
  <c r="R357" i="55"/>
  <c r="C388" i="78"/>
  <c r="R356" i="55"/>
  <c r="C387" i="78"/>
  <c r="C386" i="78"/>
  <c r="R355" i="55"/>
  <c r="R319" i="55"/>
  <c r="C349" i="78"/>
  <c r="C350" i="78"/>
  <c r="G80" i="70"/>
  <c r="I80" i="70" s="1"/>
  <c r="G81" i="70"/>
  <c r="H81" i="70" s="1"/>
  <c r="F81" i="70"/>
  <c r="F80" i="70"/>
  <c r="D80" i="70"/>
  <c r="E80" i="70"/>
  <c r="D81" i="70"/>
  <c r="E81" i="70"/>
  <c r="B81" i="70"/>
  <c r="B80" i="70"/>
  <c r="O610" i="55"/>
  <c r="P610" i="55"/>
  <c r="Q610" i="55"/>
  <c r="R610" i="55"/>
  <c r="C641" i="78"/>
  <c r="C547" i="78"/>
  <c r="R515" i="55"/>
  <c r="C545" i="78"/>
  <c r="R3" i="55"/>
  <c r="R4" i="55"/>
  <c r="R55" i="55"/>
  <c r="R17" i="55"/>
  <c r="R18" i="55"/>
  <c r="R19" i="55"/>
  <c r="R20" i="55"/>
  <c r="R27" i="55"/>
  <c r="R21" i="55"/>
  <c r="R22" i="55"/>
  <c r="R31" i="55"/>
  <c r="R32" i="55"/>
  <c r="R33" i="55"/>
  <c r="R35" i="55"/>
  <c r="R37" i="55"/>
  <c r="R39" i="55"/>
  <c r="R40" i="55"/>
  <c r="R41" i="55"/>
  <c r="R42" i="55"/>
  <c r="R44" i="55"/>
  <c r="R45" i="55"/>
  <c r="R46" i="55"/>
  <c r="R47" i="55"/>
  <c r="R54" i="55"/>
  <c r="R58" i="55"/>
  <c r="R69" i="55"/>
  <c r="R77" i="55"/>
  <c r="R78" i="55"/>
  <c r="R79" i="55"/>
  <c r="R80" i="55"/>
  <c r="R75" i="55"/>
  <c r="R76" i="55"/>
  <c r="R74" i="55"/>
  <c r="R185" i="55"/>
  <c r="R186" i="55"/>
  <c r="R184" i="55"/>
  <c r="R239" i="55"/>
  <c r="R240" i="55"/>
  <c r="R238" i="55"/>
  <c r="R82" i="55"/>
  <c r="R83" i="55"/>
  <c r="R84" i="55"/>
  <c r="R85" i="55"/>
  <c r="R96" i="55"/>
  <c r="R86" i="55"/>
  <c r="R97" i="55"/>
  <c r="R87" i="55"/>
  <c r="R88" i="55"/>
  <c r="R89" i="55"/>
  <c r="R90" i="55"/>
  <c r="R95" i="55"/>
  <c r="R91" i="55"/>
  <c r="R92" i="55"/>
  <c r="R102" i="55"/>
  <c r="R103" i="55"/>
  <c r="R104" i="55"/>
  <c r="R105" i="55"/>
  <c r="R106" i="55"/>
  <c r="R107" i="55"/>
  <c r="R108" i="55"/>
  <c r="R109" i="55"/>
  <c r="R159" i="55"/>
  <c r="R110" i="55"/>
  <c r="R111" i="55"/>
  <c r="R112" i="55"/>
  <c r="R113" i="55"/>
  <c r="R114" i="55"/>
  <c r="R115" i="55"/>
  <c r="R116" i="55"/>
  <c r="R117" i="55"/>
  <c r="R118" i="55"/>
  <c r="R119" i="55"/>
  <c r="R120" i="55"/>
  <c r="R121" i="55"/>
  <c r="R122" i="55"/>
  <c r="R123" i="55"/>
  <c r="R124" i="55"/>
  <c r="R152" i="55"/>
  <c r="R125" i="55"/>
  <c r="R126" i="55"/>
  <c r="R127" i="55"/>
  <c r="R128" i="55"/>
  <c r="R129" i="55"/>
  <c r="R130" i="55"/>
  <c r="R131" i="55"/>
  <c r="R167" i="55"/>
  <c r="R168" i="55"/>
  <c r="R169" i="55"/>
  <c r="R170" i="55"/>
  <c r="R174" i="55"/>
  <c r="R171" i="55"/>
  <c r="R172" i="55"/>
  <c r="R160" i="55"/>
  <c r="R132" i="55"/>
  <c r="R268" i="55"/>
  <c r="R780" i="55"/>
  <c r="R271" i="55"/>
  <c r="R195" i="55"/>
  <c r="R196" i="55"/>
  <c r="R197" i="55"/>
  <c r="R198" i="55"/>
  <c r="R199" i="55"/>
  <c r="R200" i="55"/>
  <c r="R201" i="55"/>
  <c r="R208" i="55"/>
  <c r="R203" i="55"/>
  <c r="R205" i="55"/>
  <c r="R207" i="55"/>
  <c r="R213" i="55"/>
  <c r="R214" i="55"/>
  <c r="R215" i="55"/>
  <c r="R219" i="55"/>
  <c r="R221" i="55"/>
  <c r="R222" i="55"/>
  <c r="R223" i="55"/>
  <c r="R224" i="55"/>
  <c r="R225" i="55"/>
  <c r="R226" i="55"/>
  <c r="R227" i="55"/>
  <c r="R228" i="55"/>
  <c r="R229" i="55"/>
  <c r="R230" i="55"/>
  <c r="R231" i="55"/>
  <c r="R234" i="55"/>
  <c r="R235" i="55"/>
  <c r="R236" i="55"/>
  <c r="R243" i="55"/>
  <c r="R244" i="55"/>
  <c r="R250" i="55"/>
  <c r="R251" i="55"/>
  <c r="R252" i="55"/>
  <c r="R262" i="55"/>
  <c r="R253" i="55"/>
  <c r="R263" i="55"/>
  <c r="R254" i="55"/>
  <c r="R255" i="55"/>
  <c r="R256" i="55"/>
  <c r="R257" i="55"/>
  <c r="R258" i="55"/>
  <c r="R259" i="55"/>
  <c r="R260" i="55"/>
  <c r="R261" i="55"/>
  <c r="R264" i="55"/>
  <c r="R638" i="55"/>
  <c r="R265" i="55"/>
  <c r="R266" i="55"/>
  <c r="R273" i="55"/>
  <c r="R274" i="55"/>
  <c r="R275" i="55"/>
  <c r="R276" i="55"/>
  <c r="R277" i="55"/>
  <c r="R278" i="55"/>
  <c r="R279" i="55"/>
  <c r="R280" i="55"/>
  <c r="R281" i="55"/>
  <c r="R282" i="55"/>
  <c r="R283" i="55"/>
  <c r="R284" i="55"/>
  <c r="R285" i="55"/>
  <c r="R286" i="55"/>
  <c r="R287" i="55"/>
  <c r="R288" i="55"/>
  <c r="R289" i="55"/>
  <c r="R290" i="55"/>
  <c r="R291" i="55"/>
  <c r="R292" i="55"/>
  <c r="R293" i="55"/>
  <c r="R294" i="55"/>
  <c r="R297" i="55"/>
  <c r="R298" i="55"/>
  <c r="R299" i="55"/>
  <c r="R300" i="55"/>
  <c r="R301" i="55"/>
  <c r="R303" i="55"/>
  <c r="R304" i="55"/>
  <c r="R305" i="55"/>
  <c r="R306" i="55"/>
  <c r="R307" i="55"/>
  <c r="R308" i="55"/>
  <c r="R309" i="55"/>
  <c r="R310" i="55"/>
  <c r="R311" i="55"/>
  <c r="R312" i="55"/>
  <c r="R313" i="55"/>
  <c r="R314" i="55"/>
  <c r="R315" i="55"/>
  <c r="R316" i="55"/>
  <c r="R317" i="55"/>
  <c r="R318" i="55"/>
  <c r="R320" i="55"/>
  <c r="R333" i="55"/>
  <c r="R334" i="55"/>
  <c r="R335" i="55"/>
  <c r="R336" i="55"/>
  <c r="R337" i="55"/>
  <c r="R338" i="55"/>
  <c r="R339" i="55"/>
  <c r="R340" i="55"/>
  <c r="R341" i="55"/>
  <c r="R342" i="55"/>
  <c r="R343" i="55"/>
  <c r="R344" i="55"/>
  <c r="R345" i="55"/>
  <c r="R346" i="55"/>
  <c r="R347" i="55"/>
  <c r="R348" i="55"/>
  <c r="R349" i="55"/>
  <c r="R350" i="55"/>
  <c r="R351" i="55"/>
  <c r="R352" i="55"/>
  <c r="R354" i="55"/>
  <c r="R366" i="55"/>
  <c r="R369" i="55"/>
  <c r="R370" i="55"/>
  <c r="R371" i="55"/>
  <c r="R372" i="55"/>
  <c r="R373" i="55"/>
  <c r="R374" i="55"/>
  <c r="R375" i="55"/>
  <c r="R376" i="55"/>
  <c r="R377" i="55"/>
  <c r="R378" i="55"/>
  <c r="R379" i="55"/>
  <c r="R380" i="55"/>
  <c r="R381" i="55"/>
  <c r="R382" i="55"/>
  <c r="R383" i="55"/>
  <c r="R390" i="55"/>
  <c r="R395" i="55"/>
  <c r="R396" i="55"/>
  <c r="R397" i="55"/>
  <c r="R398" i="55"/>
  <c r="R399" i="55"/>
  <c r="R400" i="55"/>
  <c r="R409" i="55"/>
  <c r="R410" i="55"/>
  <c r="R411" i="55"/>
  <c r="R412" i="55"/>
  <c r="R413" i="55"/>
  <c r="R414" i="55"/>
  <c r="R415" i="55"/>
  <c r="R416" i="55"/>
  <c r="R417" i="55"/>
  <c r="R418" i="55"/>
  <c r="R419" i="55"/>
  <c r="R420" i="55"/>
  <c r="R421" i="55"/>
  <c r="R422" i="55"/>
  <c r="R423" i="55"/>
  <c r="R424" i="55"/>
  <c r="R425" i="55"/>
  <c r="R426" i="55"/>
  <c r="R518" i="55"/>
  <c r="R427" i="55"/>
  <c r="R428" i="55"/>
  <c r="R429" i="55"/>
  <c r="R430" i="55"/>
  <c r="R431" i="55"/>
  <c r="R432" i="55"/>
  <c r="R558" i="55"/>
  <c r="R559" i="55"/>
  <c r="R437" i="55"/>
  <c r="R438" i="55"/>
  <c r="R439" i="55"/>
  <c r="R440" i="55"/>
  <c r="R441" i="55"/>
  <c r="R442" i="55"/>
  <c r="R443" i="55"/>
  <c r="R444" i="55"/>
  <c r="R445" i="55"/>
  <c r="R446" i="55"/>
  <c r="R447" i="55"/>
  <c r="R448" i="55"/>
  <c r="R449" i="55"/>
  <c r="R450" i="55"/>
  <c r="R451" i="55"/>
  <c r="R452" i="55"/>
  <c r="R453" i="55"/>
  <c r="R454" i="55"/>
  <c r="R455" i="55"/>
  <c r="R456" i="55"/>
  <c r="R457" i="55"/>
  <c r="R458" i="55"/>
  <c r="R459" i="55"/>
  <c r="R460" i="55"/>
  <c r="R461" i="55"/>
  <c r="R548" i="55"/>
  <c r="R549" i="55"/>
  <c r="R464" i="55"/>
  <c r="R465" i="55"/>
  <c r="R466" i="55"/>
  <c r="R467" i="55"/>
  <c r="R468" i="55"/>
  <c r="R469" i="55"/>
  <c r="R470" i="55"/>
  <c r="R471" i="55"/>
  <c r="R472" i="55"/>
  <c r="R473" i="55"/>
  <c r="R474" i="55"/>
  <c r="R475" i="55"/>
  <c r="R476" i="55"/>
  <c r="R477" i="55"/>
  <c r="R570" i="55"/>
  <c r="R571" i="55"/>
  <c r="R478" i="55"/>
  <c r="R479" i="55"/>
  <c r="R480" i="55"/>
  <c r="R481" i="55"/>
  <c r="R482" i="55"/>
  <c r="R483" i="55"/>
  <c r="R484" i="55"/>
  <c r="R485" i="55"/>
  <c r="R486" i="55"/>
  <c r="R487" i="55"/>
  <c r="R488" i="55"/>
  <c r="R489" i="55"/>
  <c r="R490" i="55"/>
  <c r="R522" i="55"/>
  <c r="R491" i="55"/>
  <c r="R492" i="55"/>
  <c r="R493" i="55"/>
  <c r="R494" i="55"/>
  <c r="R495" i="55"/>
  <c r="R496" i="55"/>
  <c r="R497" i="55"/>
  <c r="R498" i="55"/>
  <c r="R499" i="55"/>
  <c r="R500" i="55"/>
  <c r="R501" i="55"/>
  <c r="R502" i="55"/>
  <c r="R503" i="55"/>
  <c r="R504" i="55"/>
  <c r="R505" i="55"/>
  <c r="R569" i="55"/>
  <c r="R506" i="55"/>
  <c r="R507" i="55"/>
  <c r="R508" i="55"/>
  <c r="R509" i="55"/>
  <c r="R510" i="55"/>
  <c r="R511" i="55"/>
  <c r="R573" i="55"/>
  <c r="R585" i="55"/>
  <c r="R586" i="55"/>
  <c r="R587" i="55"/>
  <c r="R588" i="55"/>
  <c r="R589" i="55"/>
  <c r="R590" i="55"/>
  <c r="R591" i="55"/>
  <c r="R592" i="55"/>
  <c r="R593" i="55"/>
  <c r="R594" i="55"/>
  <c r="R595" i="55"/>
  <c r="R596" i="55"/>
  <c r="R597" i="55"/>
  <c r="R598" i="55"/>
  <c r="R599" i="55"/>
  <c r="R600" i="55"/>
  <c r="R601" i="55"/>
  <c r="R602" i="55"/>
  <c r="R603" i="55"/>
  <c r="R604" i="55"/>
  <c r="R605" i="55"/>
  <c r="R606" i="55"/>
  <c r="R607" i="55"/>
  <c r="R608" i="55"/>
  <c r="R622" i="55"/>
  <c r="R623" i="55"/>
  <c r="R624" i="55"/>
  <c r="R629" i="55"/>
  <c r="R630" i="55"/>
  <c r="R631" i="55"/>
  <c r="R632" i="55"/>
  <c r="R633" i="55"/>
  <c r="R641" i="55"/>
  <c r="R642" i="55"/>
  <c r="R643" i="55"/>
  <c r="R644" i="55"/>
  <c r="R645" i="55"/>
  <c r="R646" i="55"/>
  <c r="R647" i="55"/>
  <c r="R648" i="55"/>
  <c r="R649" i="55"/>
  <c r="R650" i="55"/>
  <c r="R651" i="55"/>
  <c r="R652" i="55"/>
  <c r="R653" i="55"/>
  <c r="R654" i="55"/>
  <c r="R655" i="55"/>
  <c r="R656" i="55"/>
  <c r="R657" i="55"/>
  <c r="R658" i="55"/>
  <c r="R659" i="55"/>
  <c r="R660" i="55"/>
  <c r="R661" i="55"/>
  <c r="R685" i="55"/>
  <c r="R675" i="55"/>
  <c r="R681" i="55"/>
  <c r="R676" i="55"/>
  <c r="R677" i="55"/>
  <c r="R683" i="55"/>
  <c r="R682" i="55"/>
  <c r="R689" i="55"/>
  <c r="R690" i="55"/>
  <c r="R691" i="55"/>
  <c r="R692" i="55"/>
  <c r="R693" i="55"/>
  <c r="R694" i="55"/>
  <c r="R695" i="55"/>
  <c r="R696" i="55"/>
  <c r="R697" i="55"/>
  <c r="R698" i="55"/>
  <c r="R699" i="55"/>
  <c r="R700" i="55"/>
  <c r="R701" i="55"/>
  <c r="R702" i="55"/>
  <c r="R703" i="55"/>
  <c r="R704" i="55"/>
  <c r="R705" i="55"/>
  <c r="R719" i="55"/>
  <c r="R706" i="55"/>
  <c r="R707" i="55"/>
  <c r="R708" i="55"/>
  <c r="R709" i="55"/>
  <c r="R711" i="55"/>
  <c r="R712" i="55"/>
  <c r="R713" i="55"/>
  <c r="R730" i="55"/>
  <c r="R731" i="55"/>
  <c r="R732" i="55"/>
  <c r="R733" i="55"/>
  <c r="R734" i="55"/>
  <c r="R735" i="55"/>
  <c r="R736" i="55"/>
  <c r="R737" i="55"/>
  <c r="R738" i="55"/>
  <c r="R739" i="55"/>
  <c r="R740" i="55"/>
  <c r="R741" i="55"/>
  <c r="R742" i="55"/>
  <c r="R743" i="55"/>
  <c r="R744" i="55"/>
  <c r="R745" i="55"/>
  <c r="R746" i="55"/>
  <c r="R747" i="55"/>
  <c r="R748" i="55"/>
  <c r="R749" i="55"/>
  <c r="R750" i="55"/>
  <c r="R752" i="55"/>
  <c r="R753" i="55"/>
  <c r="R754" i="55"/>
  <c r="R755" i="55"/>
  <c r="R756" i="55"/>
  <c r="R757" i="55"/>
  <c r="R758" i="55"/>
  <c r="R759" i="55"/>
  <c r="R760" i="55"/>
  <c r="R761" i="55"/>
  <c r="R762" i="55"/>
  <c r="R763" i="55"/>
  <c r="R776" i="55"/>
  <c r="R764" i="55"/>
  <c r="R765" i="55"/>
  <c r="R766" i="55"/>
  <c r="R767" i="55"/>
  <c r="R777" i="55"/>
  <c r="R778" i="55"/>
  <c r="R779" i="55"/>
  <c r="R516" i="55"/>
  <c r="R517" i="55"/>
  <c r="R295" i="55"/>
  <c r="R360" i="55"/>
  <c r="R134" i="55"/>
  <c r="R557" i="55"/>
  <c r="R407" i="55"/>
  <c r="R565" i="55"/>
  <c r="R155" i="55"/>
  <c r="R539" i="55"/>
  <c r="R783" i="55"/>
  <c r="R296" i="55"/>
  <c r="R784" i="55"/>
  <c r="R785" i="55"/>
  <c r="R786" i="55"/>
  <c r="R543" i="55"/>
  <c r="R540" i="55"/>
  <c r="R787" i="55"/>
  <c r="R533" i="55"/>
  <c r="R555" i="55"/>
  <c r="R788" i="55"/>
  <c r="R789" i="55"/>
  <c r="R790" i="55"/>
  <c r="R791" i="55"/>
  <c r="R792" i="55"/>
  <c r="R2" i="55"/>
  <c r="G103" i="70"/>
  <c r="H103" i="70" s="1"/>
  <c r="G104" i="70"/>
  <c r="I104" i="70" s="1"/>
  <c r="G36" i="70"/>
  <c r="I36" i="70" s="1"/>
  <c r="D36" i="70"/>
  <c r="E36" i="70"/>
  <c r="F36" i="70"/>
  <c r="B36" i="70"/>
  <c r="N28" i="70"/>
  <c r="O28" i="70"/>
  <c r="P28" i="70"/>
  <c r="O783" i="55"/>
  <c r="P783" i="55"/>
  <c r="Q783" i="55"/>
  <c r="O784" i="55"/>
  <c r="P784" i="55"/>
  <c r="Q784" i="55"/>
  <c r="O785" i="55"/>
  <c r="P785" i="55"/>
  <c r="Q785" i="55"/>
  <c r="O786" i="55"/>
  <c r="P786" i="55"/>
  <c r="Q786" i="55"/>
  <c r="O787" i="55"/>
  <c r="P787" i="55"/>
  <c r="Q787" i="55"/>
  <c r="C825" i="78"/>
  <c r="C563" i="78"/>
  <c r="C585" i="78"/>
  <c r="C822" i="78"/>
  <c r="C823" i="78"/>
  <c r="C824" i="78"/>
  <c r="C573" i="78"/>
  <c r="C570" i="78"/>
  <c r="C158" i="78"/>
  <c r="C437" i="78"/>
  <c r="C595" i="78"/>
  <c r="C174" i="78"/>
  <c r="C569" i="78"/>
  <c r="C819" i="78"/>
  <c r="C326" i="78"/>
  <c r="C820" i="78"/>
  <c r="C821" i="78"/>
  <c r="C546" i="78"/>
  <c r="C325" i="78"/>
  <c r="C391" i="78"/>
  <c r="C153" i="78"/>
  <c r="C587" i="78"/>
  <c r="F93" i="70"/>
  <c r="D93" i="70"/>
  <c r="E93" i="70"/>
  <c r="B93" i="70"/>
  <c r="C523" i="78"/>
  <c r="C524" i="78"/>
  <c r="C525" i="78"/>
  <c r="C526" i="78"/>
  <c r="C527" i="78"/>
  <c r="C528" i="78"/>
  <c r="C96" i="78"/>
  <c r="C97" i="78"/>
  <c r="C2" i="78"/>
  <c r="C3" i="78"/>
  <c r="C4" i="78"/>
  <c r="O498" i="55"/>
  <c r="P498" i="55"/>
  <c r="Q498" i="55"/>
  <c r="O493" i="55"/>
  <c r="P493" i="55"/>
  <c r="Q493" i="55"/>
  <c r="O494" i="55"/>
  <c r="P494" i="55"/>
  <c r="Q494" i="55"/>
  <c r="O495" i="55"/>
  <c r="P495" i="55"/>
  <c r="Q495" i="55"/>
  <c r="O496" i="55"/>
  <c r="P496" i="55"/>
  <c r="Q496" i="55"/>
  <c r="O497" i="55"/>
  <c r="P497" i="55"/>
  <c r="Q497" i="55"/>
  <c r="O77" i="55"/>
  <c r="P77" i="55"/>
  <c r="Q77" i="55"/>
  <c r="O78" i="55"/>
  <c r="P78" i="55"/>
  <c r="Q78" i="55"/>
  <c r="O79" i="55"/>
  <c r="P79" i="55"/>
  <c r="Q79" i="55"/>
  <c r="O80" i="55"/>
  <c r="P80" i="55"/>
  <c r="Q80" i="55"/>
  <c r="L40" i="95"/>
  <c r="M40" i="95"/>
  <c r="N40" i="95"/>
  <c r="O40" i="95"/>
  <c r="K33" i="95"/>
  <c r="J33" i="95"/>
  <c r="I33" i="95"/>
  <c r="H33" i="95"/>
  <c r="D34" i="95"/>
  <c r="E34" i="95"/>
  <c r="F34" i="95"/>
  <c r="G34" i="95"/>
  <c r="D35" i="95"/>
  <c r="E35" i="95"/>
  <c r="F35" i="95"/>
  <c r="G35" i="95"/>
  <c r="D36" i="95"/>
  <c r="E36" i="95"/>
  <c r="F36" i="95"/>
  <c r="G36" i="95"/>
  <c r="D37" i="95"/>
  <c r="E37" i="95"/>
  <c r="F37" i="95"/>
  <c r="G37" i="95"/>
  <c r="D39" i="95"/>
  <c r="E39" i="95"/>
  <c r="F39" i="95"/>
  <c r="G39" i="95"/>
  <c r="D40" i="95"/>
  <c r="E40" i="95"/>
  <c r="F40" i="95"/>
  <c r="G40" i="95"/>
  <c r="G33" i="95"/>
  <c r="F33" i="95"/>
  <c r="E33" i="95"/>
  <c r="D33" i="95"/>
  <c r="L28" i="95"/>
  <c r="M28" i="95"/>
  <c r="N28" i="95"/>
  <c r="O28" i="95"/>
  <c r="O27" i="95"/>
  <c r="O30" i="95" s="1"/>
  <c r="N27" i="95"/>
  <c r="N30" i="95" s="1"/>
  <c r="M27" i="95"/>
  <c r="M30" i="95" s="1"/>
  <c r="L27" i="95"/>
  <c r="L30" i="95" s="1"/>
  <c r="H28" i="95"/>
  <c r="I28" i="95"/>
  <c r="J28" i="95"/>
  <c r="K28" i="95"/>
  <c r="K27" i="95"/>
  <c r="J27" i="95"/>
  <c r="I27" i="95"/>
  <c r="H27" i="95"/>
  <c r="D28" i="95"/>
  <c r="E28" i="95"/>
  <c r="Q28" i="95" s="1"/>
  <c r="F28" i="95"/>
  <c r="R28" i="95" s="1"/>
  <c r="G28" i="95"/>
  <c r="G27" i="95"/>
  <c r="G30" i="95" s="1"/>
  <c r="F27" i="95"/>
  <c r="F30" i="95" s="1"/>
  <c r="E27" i="95"/>
  <c r="E30" i="95" s="1"/>
  <c r="D27" i="95"/>
  <c r="D30" i="95" s="1"/>
  <c r="L5" i="95"/>
  <c r="M5" i="95"/>
  <c r="N5" i="95"/>
  <c r="O5" i="95"/>
  <c r="O4" i="95"/>
  <c r="N4" i="95"/>
  <c r="M4" i="95"/>
  <c r="C13" i="3" s="1"/>
  <c r="L4" i="95"/>
  <c r="O13" i="95"/>
  <c r="O12" i="95"/>
  <c r="N13" i="95"/>
  <c r="N12" i="95"/>
  <c r="M13" i="95"/>
  <c r="M12" i="95"/>
  <c r="L13" i="95"/>
  <c r="L12" i="95"/>
  <c r="H5" i="95"/>
  <c r="I5" i="95"/>
  <c r="J5" i="95"/>
  <c r="K5" i="95"/>
  <c r="H6" i="95"/>
  <c r="I6" i="95"/>
  <c r="J6" i="95"/>
  <c r="K6" i="95"/>
  <c r="H7" i="95"/>
  <c r="I7" i="95"/>
  <c r="J7" i="95"/>
  <c r="K7" i="95"/>
  <c r="K4" i="95"/>
  <c r="J4" i="95"/>
  <c r="I4" i="95"/>
  <c r="C12" i="3" s="1"/>
  <c r="H4" i="95"/>
  <c r="K22" i="95"/>
  <c r="K13" i="95"/>
  <c r="K14" i="95"/>
  <c r="K15" i="95"/>
  <c r="K16" i="95"/>
  <c r="K17" i="95"/>
  <c r="K18" i="95"/>
  <c r="K19" i="95"/>
  <c r="K20" i="95"/>
  <c r="K21" i="95"/>
  <c r="K12" i="95"/>
  <c r="J13" i="95"/>
  <c r="J14" i="95"/>
  <c r="J15" i="95"/>
  <c r="J16" i="95"/>
  <c r="J17" i="95"/>
  <c r="J18" i="95"/>
  <c r="J19" i="95"/>
  <c r="J20" i="95"/>
  <c r="J21" i="95"/>
  <c r="J22" i="95"/>
  <c r="J12" i="95"/>
  <c r="I13" i="95"/>
  <c r="I14" i="95"/>
  <c r="I15" i="95"/>
  <c r="I16" i="95"/>
  <c r="I17" i="95"/>
  <c r="I18" i="95"/>
  <c r="I19" i="95"/>
  <c r="I20" i="95"/>
  <c r="I21" i="95"/>
  <c r="I22" i="95"/>
  <c r="H22" i="95"/>
  <c r="H13" i="95"/>
  <c r="H14" i="95"/>
  <c r="H15" i="95"/>
  <c r="H16" i="95"/>
  <c r="H17" i="95"/>
  <c r="H18" i="95"/>
  <c r="H19" i="95"/>
  <c r="H20" i="95"/>
  <c r="H21" i="95"/>
  <c r="I12" i="95"/>
  <c r="H12" i="95"/>
  <c r="D5" i="95"/>
  <c r="E5" i="95"/>
  <c r="F5" i="95"/>
  <c r="G5" i="95"/>
  <c r="D6" i="95"/>
  <c r="E6" i="95"/>
  <c r="F6" i="95"/>
  <c r="G6" i="95"/>
  <c r="D7" i="95"/>
  <c r="E7" i="95"/>
  <c r="F7" i="95"/>
  <c r="G7" i="95"/>
  <c r="G4" i="95"/>
  <c r="F4" i="95"/>
  <c r="E4" i="95"/>
  <c r="D4" i="95"/>
  <c r="G13" i="95"/>
  <c r="F13" i="95"/>
  <c r="G12" i="95"/>
  <c r="F12" i="95"/>
  <c r="E13" i="95"/>
  <c r="E12" i="95"/>
  <c r="D12" i="95"/>
  <c r="D13" i="95"/>
  <c r="C603" i="78"/>
  <c r="O167" i="55"/>
  <c r="P167" i="55"/>
  <c r="Q167" i="55"/>
  <c r="C148" i="78"/>
  <c r="C149" i="78"/>
  <c r="C150" i="78"/>
  <c r="C538" i="78"/>
  <c r="C539" i="78"/>
  <c r="C540" i="78"/>
  <c r="C541" i="78"/>
  <c r="C385" i="78"/>
  <c r="C111" i="78"/>
  <c r="P92" i="55"/>
  <c r="C769" i="78"/>
  <c r="P733" i="55"/>
  <c r="P709" i="55"/>
  <c r="C745" i="78"/>
  <c r="C189" i="78"/>
  <c r="C142" i="78"/>
  <c r="C300" i="78"/>
  <c r="C747" i="78"/>
  <c r="C748" i="78"/>
  <c r="C749" i="78"/>
  <c r="P712" i="55"/>
  <c r="P713" i="55"/>
  <c r="P711" i="55"/>
  <c r="C412" i="78"/>
  <c r="C413" i="78"/>
  <c r="C151" i="78"/>
  <c r="C664" i="78"/>
  <c r="C816" i="78"/>
  <c r="P383" i="55"/>
  <c r="P271" i="55"/>
  <c r="C536" i="78"/>
  <c r="C537" i="78"/>
  <c r="P506" i="55"/>
  <c r="P507" i="55"/>
  <c r="C513" i="78"/>
  <c r="C514" i="78"/>
  <c r="C515" i="78"/>
  <c r="C516" i="78"/>
  <c r="P483" i="55"/>
  <c r="P484" i="55"/>
  <c r="P485" i="55"/>
  <c r="P486" i="55"/>
  <c r="C508" i="78"/>
  <c r="C509" i="78"/>
  <c r="C510" i="78"/>
  <c r="C511" i="78"/>
  <c r="C512" i="78"/>
  <c r="P478" i="55"/>
  <c r="P479" i="55"/>
  <c r="P480" i="55"/>
  <c r="P481" i="55"/>
  <c r="P482" i="55"/>
  <c r="C410" i="78"/>
  <c r="C411" i="78"/>
  <c r="P380" i="55"/>
  <c r="P281" i="55"/>
  <c r="C311" i="78"/>
  <c r="C310" i="78"/>
  <c r="P280" i="55"/>
  <c r="C289" i="78"/>
  <c r="P264" i="55"/>
  <c r="C283" i="78"/>
  <c r="C255" i="78"/>
  <c r="C256" i="78"/>
  <c r="P235" i="55"/>
  <c r="P236" i="55"/>
  <c r="C343" i="78"/>
  <c r="D5" i="70"/>
  <c r="E5" i="70"/>
  <c r="D6" i="70"/>
  <c r="E6" i="70"/>
  <c r="D8" i="70"/>
  <c r="E8" i="70"/>
  <c r="D12" i="70"/>
  <c r="E12" i="70"/>
  <c r="D13" i="70"/>
  <c r="E13" i="70"/>
  <c r="D14" i="70"/>
  <c r="E14" i="70"/>
  <c r="D15" i="70"/>
  <c r="E15" i="70"/>
  <c r="D16" i="70"/>
  <c r="E16" i="70"/>
  <c r="D17" i="70"/>
  <c r="E17" i="70"/>
  <c r="D18" i="70"/>
  <c r="E18" i="70"/>
  <c r="D19" i="70"/>
  <c r="E19" i="70"/>
  <c r="D20" i="70"/>
  <c r="E20" i="70"/>
  <c r="D21" i="70"/>
  <c r="E21" i="70"/>
  <c r="D29" i="70"/>
  <c r="E29" i="70"/>
  <c r="D30" i="70"/>
  <c r="E30" i="70"/>
  <c r="D31" i="70"/>
  <c r="E31" i="70"/>
  <c r="D32" i="70"/>
  <c r="E32" i="70"/>
  <c r="D78" i="70"/>
  <c r="E78" i="70"/>
  <c r="D79" i="70"/>
  <c r="E79" i="70"/>
  <c r="D33" i="70"/>
  <c r="E33" i="70"/>
  <c r="D34" i="70"/>
  <c r="E34" i="70"/>
  <c r="D35" i="70"/>
  <c r="E35" i="70"/>
  <c r="D76" i="70"/>
  <c r="E76" i="70"/>
  <c r="D77" i="70"/>
  <c r="E77" i="70"/>
  <c r="D83" i="70"/>
  <c r="E83" i="70"/>
  <c r="D85" i="70"/>
  <c r="E85" i="70"/>
  <c r="D86" i="70"/>
  <c r="E86" i="70"/>
  <c r="D88" i="70"/>
  <c r="E88" i="70"/>
  <c r="D90" i="70"/>
  <c r="E90" i="70"/>
  <c r="D91" i="70"/>
  <c r="E91" i="70"/>
  <c r="D99" i="70"/>
  <c r="E99" i="70"/>
  <c r="D100" i="70"/>
  <c r="E100" i="70"/>
  <c r="D101" i="70"/>
  <c r="E101" i="70"/>
  <c r="D102" i="70"/>
  <c r="E102" i="70"/>
  <c r="D103" i="70"/>
  <c r="E103" i="70"/>
  <c r="D104" i="70"/>
  <c r="E104" i="70"/>
  <c r="B5" i="70"/>
  <c r="B6" i="70"/>
  <c r="B8" i="70"/>
  <c r="B12" i="70"/>
  <c r="B13" i="70"/>
  <c r="B14" i="70"/>
  <c r="B15" i="70"/>
  <c r="B16" i="70"/>
  <c r="B17" i="70"/>
  <c r="B18" i="70"/>
  <c r="B19" i="70"/>
  <c r="B20" i="70"/>
  <c r="B21" i="70"/>
  <c r="B29" i="70"/>
  <c r="B30" i="70"/>
  <c r="B31" i="70"/>
  <c r="B32" i="70"/>
  <c r="B78" i="70"/>
  <c r="B79" i="70"/>
  <c r="B33" i="70"/>
  <c r="B34" i="70"/>
  <c r="B35" i="70"/>
  <c r="B76" i="70"/>
  <c r="B77" i="70"/>
  <c r="B83" i="70"/>
  <c r="B85" i="70"/>
  <c r="B86" i="70"/>
  <c r="B99" i="70"/>
  <c r="B101" i="70"/>
  <c r="B102" i="70"/>
  <c r="B103" i="70"/>
  <c r="B104" i="70"/>
  <c r="G83" i="70"/>
  <c r="I83" i="70" s="1"/>
  <c r="F83" i="70"/>
  <c r="G31" i="70"/>
  <c r="H31" i="70" s="1"/>
  <c r="F31" i="70"/>
  <c r="C663" i="78"/>
  <c r="C533" i="78"/>
  <c r="G34" i="70"/>
  <c r="I34" i="70" s="1"/>
  <c r="F34" i="70"/>
  <c r="C532" i="78"/>
  <c r="C535" i="78"/>
  <c r="P505" i="55"/>
  <c r="G76" i="70"/>
  <c r="I76" i="70" s="1"/>
  <c r="G77" i="70"/>
  <c r="H77" i="70" s="1"/>
  <c r="C599" i="78"/>
  <c r="G35" i="70"/>
  <c r="I35" i="70" s="1"/>
  <c r="F35" i="70"/>
  <c r="C534" i="78"/>
  <c r="C710" i="78"/>
  <c r="P677" i="55"/>
  <c r="C716" i="78"/>
  <c r="C715" i="78"/>
  <c r="C136" i="78"/>
  <c r="C137" i="78"/>
  <c r="C185" i="78"/>
  <c r="C27" i="78"/>
  <c r="C67" i="78"/>
  <c r="C83" i="78"/>
  <c r="C84" i="78"/>
  <c r="C259" i="78"/>
  <c r="C147" i="78"/>
  <c r="C121" i="78"/>
  <c r="C662" i="78"/>
  <c r="C637" i="78"/>
  <c r="C636" i="78"/>
  <c r="C507" i="78"/>
  <c r="C364" i="78"/>
  <c r="C221" i="78"/>
  <c r="C134" i="78"/>
  <c r="P605" i="55"/>
  <c r="P606" i="55"/>
  <c r="P477" i="55"/>
  <c r="P334" i="55"/>
  <c r="P208" i="55"/>
  <c r="P128" i="55"/>
  <c r="P115" i="55"/>
  <c r="P102" i="55"/>
  <c r="P18" i="55"/>
  <c r="P45" i="55"/>
  <c r="C56" i="78"/>
  <c r="C308" i="78"/>
  <c r="F15" i="70"/>
  <c r="G29" i="70"/>
  <c r="H29" i="70" s="1"/>
  <c r="G30" i="70"/>
  <c r="H30" i="70" s="1"/>
  <c r="G32" i="70"/>
  <c r="H32" i="70" s="1"/>
  <c r="G78" i="70"/>
  <c r="H78" i="70" s="1"/>
  <c r="G79" i="70"/>
  <c r="H79" i="70" s="1"/>
  <c r="G85" i="70"/>
  <c r="H85" i="70" s="1"/>
  <c r="G86" i="70"/>
  <c r="H86" i="70" s="1"/>
  <c r="G88" i="70"/>
  <c r="H88" i="70" s="1"/>
  <c r="G99" i="70"/>
  <c r="I99" i="70" s="1"/>
  <c r="G100" i="70"/>
  <c r="H100" i="70" s="1"/>
  <c r="G101" i="70"/>
  <c r="I101" i="70" s="1"/>
  <c r="G102" i="70"/>
  <c r="H102" i="70" s="1"/>
  <c r="G33" i="70"/>
  <c r="I33" i="70" s="1"/>
  <c r="G17" i="70"/>
  <c r="H17" i="70" s="1"/>
  <c r="G18" i="70"/>
  <c r="H18" i="70" s="1"/>
  <c r="G19" i="70"/>
  <c r="H19" i="70" s="1"/>
  <c r="C52" i="78"/>
  <c r="P47" i="55"/>
  <c r="P41" i="55"/>
  <c r="C41" i="78"/>
  <c r="C42" i="78"/>
  <c r="C44" i="78"/>
  <c r="C46" i="78"/>
  <c r="C48" i="78"/>
  <c r="C49" i="78"/>
  <c r="C50" i="78"/>
  <c r="C51" i="78"/>
  <c r="C54" i="78"/>
  <c r="C55" i="78"/>
  <c r="C57" i="78"/>
  <c r="C58" i="78"/>
  <c r="C128" i="78"/>
  <c r="F19" i="70"/>
  <c r="F18" i="70"/>
  <c r="F17" i="70"/>
  <c r="F33" i="70"/>
  <c r="C530" i="78"/>
  <c r="C531" i="78"/>
  <c r="C306" i="78"/>
  <c r="C307" i="78"/>
  <c r="P214" i="55"/>
  <c r="P215" i="55"/>
  <c r="C725" i="78"/>
  <c r="C726" i="78"/>
  <c r="C724" i="78"/>
  <c r="C521" i="78"/>
  <c r="C92" i="78"/>
  <c r="C93" i="78"/>
  <c r="C206" i="78"/>
  <c r="C207" i="78"/>
  <c r="C262" i="78"/>
  <c r="C263" i="78"/>
  <c r="P491" i="55"/>
  <c r="C261" i="78"/>
  <c r="C205" i="78"/>
  <c r="C381" i="78"/>
  <c r="C382" i="78"/>
  <c r="C383" i="78"/>
  <c r="P352" i="55"/>
  <c r="P350" i="55"/>
  <c r="P351" i="55"/>
  <c r="P314" i="55"/>
  <c r="C345" i="78"/>
  <c r="F79" i="70"/>
  <c r="F78" i="70"/>
  <c r="C309" i="78"/>
  <c r="P279" i="55"/>
  <c r="C497" i="78"/>
  <c r="P292" i="55"/>
  <c r="C322" i="78"/>
  <c r="P492" i="55"/>
  <c r="C522" i="78"/>
  <c r="C518" i="78"/>
  <c r="P487" i="55"/>
  <c r="P489" i="55"/>
  <c r="P490" i="55"/>
  <c r="C519" i="78"/>
  <c r="C520" i="78"/>
  <c r="C517" i="78"/>
  <c r="C344" i="78"/>
  <c r="C36" i="95"/>
  <c r="C282" i="78"/>
  <c r="C281" i="78"/>
  <c r="P258" i="55"/>
  <c r="C491" i="78"/>
  <c r="C743" i="78"/>
  <c r="C692" i="78"/>
  <c r="C803" i="78"/>
  <c r="C409" i="78"/>
  <c r="C529" i="78"/>
  <c r="C680" i="78"/>
  <c r="P649" i="55"/>
  <c r="C295" i="78"/>
  <c r="P266" i="55"/>
  <c r="P44" i="55"/>
  <c r="C744" i="78"/>
  <c r="C601" i="78"/>
  <c r="C600" i="78"/>
  <c r="P450" i="55"/>
  <c r="C287" i="78"/>
  <c r="C815" i="78"/>
  <c r="P759" i="55"/>
  <c r="C795" i="78"/>
  <c r="C757" i="78"/>
  <c r="C756" i="78"/>
  <c r="C324" i="78"/>
  <c r="P705" i="55"/>
  <c r="C741" i="78"/>
  <c r="C480" i="78"/>
  <c r="C678" i="78"/>
  <c r="C679" i="78"/>
  <c r="P624" i="55"/>
  <c r="C655" i="78"/>
  <c r="C635" i="78"/>
  <c r="P604" i="55"/>
  <c r="C500" i="78"/>
  <c r="P470" i="55"/>
  <c r="C499" i="78"/>
  <c r="P469" i="55"/>
  <c r="P418" i="55"/>
  <c r="C448" i="78"/>
  <c r="C442" i="78"/>
  <c r="P412" i="55"/>
  <c r="P411" i="55"/>
  <c r="C441" i="78"/>
  <c r="C346" i="78"/>
  <c r="P315" i="55"/>
  <c r="C363" i="78"/>
  <c r="C285" i="78"/>
  <c r="P261" i="55"/>
  <c r="C284" i="78"/>
  <c r="P226" i="55"/>
  <c r="C246" i="78"/>
  <c r="C244" i="78"/>
  <c r="C245" i="78"/>
  <c r="P225" i="55"/>
  <c r="P224" i="55"/>
  <c r="C224" i="78"/>
  <c r="P205" i="55"/>
  <c r="C200" i="78"/>
  <c r="P122" i="55"/>
  <c r="C141" i="78"/>
  <c r="P121" i="55"/>
  <c r="C140" i="78"/>
  <c r="C133" i="78"/>
  <c r="C132" i="78"/>
  <c r="C323" i="78"/>
  <c r="P69" i="55"/>
  <c r="C81" i="78"/>
  <c r="C70" i="78"/>
  <c r="C65" i="78"/>
  <c r="P42" i="55"/>
  <c r="P40" i="55"/>
  <c r="P39" i="55"/>
  <c r="P33" i="55"/>
  <c r="C40" i="78"/>
  <c r="C24" i="78"/>
  <c r="C25" i="78"/>
  <c r="C28" i="78"/>
  <c r="C73" i="78"/>
  <c r="C26" i="78"/>
  <c r="C29" i="78"/>
  <c r="C30" i="78"/>
  <c r="P4" i="55"/>
  <c r="P2" i="55"/>
  <c r="P3" i="55"/>
  <c r="P17" i="55"/>
  <c r="C222" i="78"/>
  <c r="P203" i="55"/>
  <c r="P488" i="55"/>
  <c r="C290" i="78"/>
  <c r="C291" i="78"/>
  <c r="C503" i="78"/>
  <c r="C504" i="78"/>
  <c r="C505" i="78"/>
  <c r="C506" i="78"/>
  <c r="P230" i="55"/>
  <c r="P231" i="55"/>
  <c r="C250" i="78"/>
  <c r="C251" i="78"/>
  <c r="C785" i="78"/>
  <c r="C214" i="78"/>
  <c r="P608" i="55"/>
  <c r="C639" i="78"/>
  <c r="P207" i="55"/>
  <c r="C578" i="78"/>
  <c r="C579" i="78"/>
  <c r="C487" i="78"/>
  <c r="C495" i="78"/>
  <c r="C494" i="78"/>
  <c r="C254" i="78"/>
  <c r="P234" i="55"/>
  <c r="C288" i="78"/>
  <c r="C37" i="78"/>
  <c r="C31" i="78"/>
  <c r="C32" i="78"/>
  <c r="C66" i="78"/>
  <c r="C71" i="78"/>
  <c r="P19" i="55"/>
  <c r="P21" i="55"/>
  <c r="P22" i="55"/>
  <c r="C265" i="78"/>
  <c r="P244" i="55"/>
  <c r="F32" i="70"/>
  <c r="C735" i="78"/>
  <c r="C728" i="78"/>
  <c r="C683" i="78"/>
  <c r="C630" i="78"/>
  <c r="C490" i="78"/>
  <c r="C401" i="78"/>
  <c r="C440" i="78"/>
  <c r="C742" i="78"/>
  <c r="P706" i="55"/>
  <c r="C789" i="78"/>
  <c r="P753" i="55"/>
  <c r="C660" i="78"/>
  <c r="C661" i="78"/>
  <c r="F104" i="70"/>
  <c r="F103" i="70"/>
  <c r="C782" i="78"/>
  <c r="C783" i="78"/>
  <c r="C784" i="78"/>
  <c r="C502" i="78"/>
  <c r="C501" i="78"/>
  <c r="P472" i="55"/>
  <c r="P474" i="55"/>
  <c r="P471" i="55"/>
  <c r="P476" i="55"/>
  <c r="P473" i="55"/>
  <c r="P475" i="55"/>
  <c r="C483" i="78"/>
  <c r="C341" i="78"/>
  <c r="P311" i="55"/>
  <c r="C313" i="78"/>
  <c r="C314" i="78"/>
  <c r="G17" i="3"/>
  <c r="G16" i="3"/>
  <c r="G15" i="3"/>
  <c r="G12" i="3"/>
  <c r="G11" i="3"/>
  <c r="I9" i="3"/>
  <c r="H9" i="3"/>
  <c r="C33" i="95"/>
  <c r="C496" i="78"/>
  <c r="P466" i="55"/>
  <c r="C35" i="95"/>
  <c r="C18" i="95"/>
  <c r="C199" i="78"/>
  <c r="C790" i="78"/>
  <c r="C791" i="78"/>
  <c r="C455" i="78"/>
  <c r="C488" i="78"/>
  <c r="C489" i="78"/>
  <c r="C444" i="78"/>
  <c r="C427" i="78"/>
  <c r="C425" i="78"/>
  <c r="C426" i="78"/>
  <c r="C428" i="78"/>
  <c r="C429" i="78"/>
  <c r="C430" i="78"/>
  <c r="C380" i="78"/>
  <c r="P349" i="55"/>
  <c r="P400" i="55"/>
  <c r="C673" i="78"/>
  <c r="C778" i="78"/>
  <c r="C779" i="78"/>
  <c r="C780" i="78"/>
  <c r="C777" i="78"/>
  <c r="C781" i="78"/>
  <c r="P120" i="55"/>
  <c r="G15" i="70"/>
  <c r="I15" i="70" s="1"/>
  <c r="G16" i="70"/>
  <c r="H16" i="70" s="1"/>
  <c r="C257" i="78"/>
  <c r="C193" i="78"/>
  <c r="C190" i="78"/>
  <c r="C342" i="78"/>
  <c r="C275" i="78"/>
  <c r="C727" i="78"/>
  <c r="C478" i="78"/>
  <c r="C479" i="78"/>
  <c r="C467" i="78"/>
  <c r="C468" i="78"/>
  <c r="C469" i="78"/>
  <c r="C589" i="78"/>
  <c r="C465" i="78"/>
  <c r="C624" i="78"/>
  <c r="C439" i="78"/>
  <c r="C248" i="78"/>
  <c r="C247" i="78"/>
  <c r="C406" i="78"/>
  <c r="C139" i="78"/>
  <c r="C638" i="78"/>
  <c r="C305" i="78"/>
  <c r="C217" i="78"/>
  <c r="C813" i="78"/>
  <c r="C814" i="78"/>
  <c r="C740" i="78"/>
  <c r="C739" i="78"/>
  <c r="C321" i="78"/>
  <c r="C320" i="78"/>
  <c r="C653" i="78"/>
  <c r="C654" i="78"/>
  <c r="C187" i="78"/>
  <c r="P460" i="55"/>
  <c r="P755" i="55"/>
  <c r="P691" i="55"/>
  <c r="P291" i="55"/>
  <c r="P290" i="55"/>
  <c r="P464" i="55"/>
  <c r="P465" i="55"/>
  <c r="P623" i="55"/>
  <c r="P607" i="55"/>
  <c r="P448" i="55"/>
  <c r="P437" i="55"/>
  <c r="P409" i="55"/>
  <c r="P398" i="55"/>
  <c r="P252" i="55"/>
  <c r="P228" i="55"/>
  <c r="P227" i="55"/>
  <c r="P198" i="55"/>
  <c r="P168" i="55"/>
  <c r="C138" i="78"/>
  <c r="P119" i="55"/>
  <c r="C19" i="95"/>
  <c r="C20" i="95"/>
  <c r="C17" i="95"/>
  <c r="C16" i="95"/>
  <c r="C618" i="78"/>
  <c r="C619" i="78"/>
  <c r="C620" i="78"/>
  <c r="C621" i="78"/>
  <c r="C622" i="78"/>
  <c r="C623" i="78"/>
  <c r="P588" i="55"/>
  <c r="P589" i="55"/>
  <c r="P590" i="55"/>
  <c r="P591" i="55"/>
  <c r="P592" i="55"/>
  <c r="P593" i="55"/>
  <c r="C776" i="78"/>
  <c r="C802" i="78"/>
  <c r="P766" i="55"/>
  <c r="P288" i="55"/>
  <c r="C829" i="78"/>
  <c r="C617" i="78"/>
  <c r="C318" i="78"/>
  <c r="C316" i="78"/>
  <c r="C279" i="78"/>
  <c r="C234" i="78"/>
  <c r="C235" i="78"/>
  <c r="P256" i="55"/>
  <c r="P117" i="55"/>
  <c r="P118" i="55"/>
  <c r="F30" i="70"/>
  <c r="C484" i="78"/>
  <c r="P286" i="55"/>
  <c r="P587" i="55"/>
  <c r="G20" i="70"/>
  <c r="H20" i="70" s="1"/>
  <c r="G21" i="70"/>
  <c r="H21" i="70" s="1"/>
  <c r="F21" i="70"/>
  <c r="F20" i="70"/>
  <c r="C485" i="78"/>
  <c r="C486" i="78"/>
  <c r="P455" i="55"/>
  <c r="P456" i="55"/>
  <c r="G8" i="70"/>
  <c r="H8" i="70" s="1"/>
  <c r="C28" i="95"/>
  <c r="C27" i="95"/>
  <c r="P37" i="55"/>
  <c r="P82" i="55"/>
  <c r="P83" i="55"/>
  <c r="P85" i="55"/>
  <c r="P86" i="55"/>
  <c r="P87" i="55"/>
  <c r="P88" i="55"/>
  <c r="P89" i="55"/>
  <c r="P90" i="55"/>
  <c r="P91" i="55"/>
  <c r="P103" i="55"/>
  <c r="P104" i="55"/>
  <c r="P105" i="55"/>
  <c r="P106" i="55"/>
  <c r="P108" i="55"/>
  <c r="P109" i="55"/>
  <c r="P123" i="55"/>
  <c r="P125" i="55"/>
  <c r="P126" i="55"/>
  <c r="P127" i="55"/>
  <c r="P169" i="55"/>
  <c r="P170" i="55"/>
  <c r="P195" i="55"/>
  <c r="P196" i="55"/>
  <c r="P197" i="55"/>
  <c r="P213" i="55"/>
  <c r="P221" i="55"/>
  <c r="P222" i="55"/>
  <c r="P223" i="55"/>
  <c r="P243" i="55"/>
  <c r="P250" i="55"/>
  <c r="P251" i="55"/>
  <c r="P253" i="55"/>
  <c r="P254" i="55"/>
  <c r="P257" i="55"/>
  <c r="P265" i="55"/>
  <c r="P468" i="55"/>
  <c r="P278" i="55"/>
  <c r="P282" i="55"/>
  <c r="P283" i="55"/>
  <c r="P284" i="55"/>
  <c r="P285" i="55"/>
  <c r="P297" i="55"/>
  <c r="P298" i="55"/>
  <c r="P299" i="55"/>
  <c r="P300" i="55"/>
  <c r="P301" i="55"/>
  <c r="P304" i="55"/>
  <c r="P305" i="55"/>
  <c r="P306" i="55"/>
  <c r="P307" i="55"/>
  <c r="P308" i="55"/>
  <c r="P309" i="55"/>
  <c r="P310" i="55"/>
  <c r="P317" i="55"/>
  <c r="P335" i="55"/>
  <c r="P336" i="55"/>
  <c r="P337" i="55"/>
  <c r="P338" i="55"/>
  <c r="P339" i="55"/>
  <c r="P340" i="55"/>
  <c r="P341" i="55"/>
  <c r="P342" i="55"/>
  <c r="P343" i="55"/>
  <c r="P344" i="55"/>
  <c r="P345" i="55"/>
  <c r="P346" i="55"/>
  <c r="P347" i="55"/>
  <c r="P348" i="55"/>
  <c r="P369" i="55"/>
  <c r="P370" i="55"/>
  <c r="P395" i="55"/>
  <c r="P396" i="55"/>
  <c r="P410" i="55"/>
  <c r="P413" i="55"/>
  <c r="P414" i="55"/>
  <c r="P415" i="55"/>
  <c r="P416" i="55"/>
  <c r="P740" i="55"/>
  <c r="P419" i="55"/>
  <c r="P420" i="55"/>
  <c r="P421" i="55"/>
  <c r="P422" i="55"/>
  <c r="P423" i="55"/>
  <c r="P424" i="55"/>
  <c r="P425" i="55"/>
  <c r="P426" i="55"/>
  <c r="P518" i="55"/>
  <c r="P427" i="55"/>
  <c r="P428" i="55"/>
  <c r="P429" i="55"/>
  <c r="P430" i="55"/>
  <c r="P431" i="55"/>
  <c r="P432" i="55"/>
  <c r="P440" i="55"/>
  <c r="P441" i="55"/>
  <c r="P443" i="55"/>
  <c r="P444" i="55"/>
  <c r="P445" i="55"/>
  <c r="P446" i="55"/>
  <c r="P447" i="55"/>
  <c r="P451" i="55"/>
  <c r="P452" i="55"/>
  <c r="P453" i="55"/>
  <c r="P585" i="55"/>
  <c r="P594" i="55"/>
  <c r="P595" i="55"/>
  <c r="P596" i="55"/>
  <c r="P597" i="55"/>
  <c r="P598" i="55"/>
  <c r="P599" i="55"/>
  <c r="P603" i="55"/>
  <c r="P629" i="55"/>
  <c r="P630" i="55"/>
  <c r="P641" i="55"/>
  <c r="P642" i="55"/>
  <c r="P650" i="55"/>
  <c r="P651" i="55"/>
  <c r="P652" i="55"/>
  <c r="P653" i="55"/>
  <c r="P654" i="55"/>
  <c r="P655" i="55"/>
  <c r="P656" i="55"/>
  <c r="P675" i="55"/>
  <c r="O99" i="70"/>
  <c r="P676" i="55"/>
  <c r="P692" i="55"/>
  <c r="P693" i="55"/>
  <c r="P732" i="55"/>
  <c r="P736" i="55"/>
  <c r="P737" i="55"/>
  <c r="P738" i="55"/>
  <c r="P739" i="55"/>
  <c r="P754" i="55"/>
  <c r="P757" i="55"/>
  <c r="P758" i="55"/>
  <c r="P760" i="55"/>
  <c r="P761" i="55"/>
  <c r="P788" i="55"/>
  <c r="P789" i="55"/>
  <c r="P790" i="55"/>
  <c r="P791" i="55"/>
  <c r="P792" i="55"/>
  <c r="N4" i="51"/>
  <c r="N6" i="51"/>
  <c r="K4" i="51"/>
  <c r="K6" i="51"/>
  <c r="J4" i="51"/>
  <c r="J6" i="51"/>
  <c r="M4" i="51"/>
  <c r="M6" i="51"/>
  <c r="I4" i="51"/>
  <c r="I6" i="51"/>
  <c r="H4" i="51"/>
  <c r="H6" i="51"/>
  <c r="G4" i="51"/>
  <c r="G6" i="51"/>
  <c r="F4" i="51"/>
  <c r="F6" i="51"/>
  <c r="E4" i="51"/>
  <c r="E6" i="51"/>
  <c r="D4" i="51"/>
  <c r="D6" i="51"/>
  <c r="Q709" i="55"/>
  <c r="Q92" i="55"/>
  <c r="Q733" i="55"/>
  <c r="Q712" i="55"/>
  <c r="Q713" i="55"/>
  <c r="Q711" i="55"/>
  <c r="Q480" i="55"/>
  <c r="Q383" i="55"/>
  <c r="Q507" i="55"/>
  <c r="Q486" i="55"/>
  <c r="Q478" i="55"/>
  <c r="Q264" i="55"/>
  <c r="Q481" i="55"/>
  <c r="Q380" i="55"/>
  <c r="Q482" i="55"/>
  <c r="Q280" i="55"/>
  <c r="Q506" i="55"/>
  <c r="Q485" i="55"/>
  <c r="Q483" i="55"/>
  <c r="Q281" i="55"/>
  <c r="Q484" i="55"/>
  <c r="Q479" i="55"/>
  <c r="Q271" i="55"/>
  <c r="Q235" i="55"/>
  <c r="Q236" i="55"/>
  <c r="Q505" i="55"/>
  <c r="Q677" i="55"/>
  <c r="Q18" i="55"/>
  <c r="Q606" i="55"/>
  <c r="Q102" i="55"/>
  <c r="Q128" i="55"/>
  <c r="Q115" i="55"/>
  <c r="Q334" i="55"/>
  <c r="Q477" i="55"/>
  <c r="Q208" i="55"/>
  <c r="Q605" i="55"/>
  <c r="Q45" i="55"/>
  <c r="Q47" i="55"/>
  <c r="Q41" i="55"/>
  <c r="Q214" i="55"/>
  <c r="Q215" i="55"/>
  <c r="Q491" i="55"/>
  <c r="Q352" i="55"/>
  <c r="Q350" i="55"/>
  <c r="Q351" i="55"/>
  <c r="Q314" i="55"/>
  <c r="Q279" i="55"/>
  <c r="Q292" i="55"/>
  <c r="Q492" i="55"/>
  <c r="Q489" i="55"/>
  <c r="Q487" i="55"/>
  <c r="Q490" i="55"/>
  <c r="Q258" i="55"/>
  <c r="Q44" i="55"/>
  <c r="Q266" i="55"/>
  <c r="Q649" i="55"/>
  <c r="Q450" i="55"/>
  <c r="Q705" i="55"/>
  <c r="Q759" i="55"/>
  <c r="Q226" i="55"/>
  <c r="Q624" i="55"/>
  <c r="Q412" i="55"/>
  <c r="Q604" i="55"/>
  <c r="Q418" i="55"/>
  <c r="Q224" i="55"/>
  <c r="Q470" i="55"/>
  <c r="Q469" i="55"/>
  <c r="Q411" i="55"/>
  <c r="Q315" i="55"/>
  <c r="Q261" i="55"/>
  <c r="Q225" i="55"/>
  <c r="Q205" i="55"/>
  <c r="Q122" i="55"/>
  <c r="Q121" i="55"/>
  <c r="Q40" i="55"/>
  <c r="Q2" i="55"/>
  <c r="Q3" i="55"/>
  <c r="Q17" i="55"/>
  <c r="Q69" i="55"/>
  <c r="Q39" i="55"/>
  <c r="Q42" i="55"/>
  <c r="Q33" i="55"/>
  <c r="Q4" i="55"/>
  <c r="Q203" i="55"/>
  <c r="Q488" i="55"/>
  <c r="Q230" i="55"/>
  <c r="Q231" i="55"/>
  <c r="Q608" i="55"/>
  <c r="Q207" i="55"/>
  <c r="Q234" i="55"/>
  <c r="Q19" i="55"/>
  <c r="Q21" i="55"/>
  <c r="Q22" i="55"/>
  <c r="Q244" i="55"/>
  <c r="Q706" i="55"/>
  <c r="Q753" i="55"/>
  <c r="Q472" i="55"/>
  <c r="Q476" i="55"/>
  <c r="Q471" i="55"/>
  <c r="Q473" i="55"/>
  <c r="Q474" i="55"/>
  <c r="Q475" i="55"/>
  <c r="Q311" i="55"/>
  <c r="Q466" i="55"/>
  <c r="Q400" i="55"/>
  <c r="Q349" i="55"/>
  <c r="Q120" i="55"/>
  <c r="Q460" i="55"/>
  <c r="Q755" i="55"/>
  <c r="Q252" i="55"/>
  <c r="Q119" i="55"/>
  <c r="Q398" i="55"/>
  <c r="Q227" i="55"/>
  <c r="Q290" i="55"/>
  <c r="Q691" i="55"/>
  <c r="Q464" i="55"/>
  <c r="Q623" i="55"/>
  <c r="Q291" i="55"/>
  <c r="Q448" i="55"/>
  <c r="Q198" i="55"/>
  <c r="Q168" i="55"/>
  <c r="Q465" i="55"/>
  <c r="Q437" i="55"/>
  <c r="Q607" i="55"/>
  <c r="Q409" i="55"/>
  <c r="Q228" i="55"/>
  <c r="Q590" i="55"/>
  <c r="Q588" i="55"/>
  <c r="Q591" i="55"/>
  <c r="Q589" i="55"/>
  <c r="Q592" i="55"/>
  <c r="Q593" i="55"/>
  <c r="Q766" i="55"/>
  <c r="Q118" i="55"/>
  <c r="Q288" i="55"/>
  <c r="Q256" i="55"/>
  <c r="Q117" i="55"/>
  <c r="Q286" i="55"/>
  <c r="Q587" i="55"/>
  <c r="Q455" i="55"/>
  <c r="Q456" i="55"/>
  <c r="Q86" i="55"/>
  <c r="Q109" i="55"/>
  <c r="Q123" i="55"/>
  <c r="Q169" i="55"/>
  <c r="Q195" i="55"/>
  <c r="Q278" i="55"/>
  <c r="Q305" i="55"/>
  <c r="Q340" i="55"/>
  <c r="Q348" i="55"/>
  <c r="Q423" i="55"/>
  <c r="Q430" i="55"/>
  <c r="Q441" i="55"/>
  <c r="Q452" i="55"/>
  <c r="Q597" i="55"/>
  <c r="Q88" i="55"/>
  <c r="Q125" i="55"/>
  <c r="Q221" i="55"/>
  <c r="Q297" i="55"/>
  <c r="Q308" i="55"/>
  <c r="Q336" i="55"/>
  <c r="Q343" i="55"/>
  <c r="Q410" i="55"/>
  <c r="Q416" i="55"/>
  <c r="Q426" i="55"/>
  <c r="Q431" i="55"/>
  <c r="Q444" i="55"/>
  <c r="Q599" i="55"/>
  <c r="Q650" i="55"/>
  <c r="Q37" i="55"/>
  <c r="Q82" i="55"/>
  <c r="Q85" i="55"/>
  <c r="Q104" i="55"/>
  <c r="Q468" i="55"/>
  <c r="Q300" i="55"/>
  <c r="Q338" i="55"/>
  <c r="Q346" i="55"/>
  <c r="Q370" i="55"/>
  <c r="Q395" i="55"/>
  <c r="Q413" i="55"/>
  <c r="Q419" i="55"/>
  <c r="Q421" i="55"/>
  <c r="Q428" i="55"/>
  <c r="Q447" i="55"/>
  <c r="Q595" i="55"/>
  <c r="Q630" i="55"/>
  <c r="Q83" i="55"/>
  <c r="Q91" i="55"/>
  <c r="Q105" i="55"/>
  <c r="Q108" i="55"/>
  <c r="Q223" i="55"/>
  <c r="Q253" i="55"/>
  <c r="Q304" i="55"/>
  <c r="Q317" i="55"/>
  <c r="Q339" i="55"/>
  <c r="Q347" i="55"/>
  <c r="Q396" i="55"/>
  <c r="Q414" i="55"/>
  <c r="Q422" i="55"/>
  <c r="Q429" i="55"/>
  <c r="Q440" i="55"/>
  <c r="Q451" i="55"/>
  <c r="Q596" i="55"/>
  <c r="Q603" i="55"/>
  <c r="Q641" i="55"/>
  <c r="Q653" i="55"/>
  <c r="Q654" i="55"/>
  <c r="Q676" i="55"/>
  <c r="Q87" i="55"/>
  <c r="Q197" i="55"/>
  <c r="Q243" i="55"/>
  <c r="Q254" i="55"/>
  <c r="Q282" i="55"/>
  <c r="Q285" i="55"/>
  <c r="Q307" i="55"/>
  <c r="Q335" i="55"/>
  <c r="Q342" i="55"/>
  <c r="Q425" i="55"/>
  <c r="Q443" i="55"/>
  <c r="Q585" i="55"/>
  <c r="Q655" i="55"/>
  <c r="Q738" i="55"/>
  <c r="Q761" i="55"/>
  <c r="Q792" i="55"/>
  <c r="Q693" i="55"/>
  <c r="Q790" i="55"/>
  <c r="Q89" i="55"/>
  <c r="Q126" i="55"/>
  <c r="Q222" i="55"/>
  <c r="Q250" i="55"/>
  <c r="Q283" i="55"/>
  <c r="Q298" i="55"/>
  <c r="Q301" i="55"/>
  <c r="Q309" i="55"/>
  <c r="Q337" i="55"/>
  <c r="Q344" i="55"/>
  <c r="Q369" i="55"/>
  <c r="Q518" i="55"/>
  <c r="Q432" i="55"/>
  <c r="Q445" i="55"/>
  <c r="Q692" i="55"/>
  <c r="Q739" i="55"/>
  <c r="Q757" i="55"/>
  <c r="Q791" i="55"/>
  <c r="Q170" i="55"/>
  <c r="Q196" i="55"/>
  <c r="Q310" i="55"/>
  <c r="Q629" i="55"/>
  <c r="Q424" i="55"/>
  <c r="Q788" i="55"/>
  <c r="Q453" i="55"/>
  <c r="Q737" i="55"/>
  <c r="Q103" i="55"/>
  <c r="Q257" i="55"/>
  <c r="Q345" i="55"/>
  <c r="Q427" i="55"/>
  <c r="Q652" i="55"/>
  <c r="Q341" i="55"/>
  <c r="Q732" i="55"/>
  <c r="Q758" i="55"/>
  <c r="Q598" i="55"/>
  <c r="Q651" i="55"/>
  <c r="Q299" i="55"/>
  <c r="Q306" i="55"/>
  <c r="Q594" i="55"/>
  <c r="Q106" i="55"/>
  <c r="Q740" i="55"/>
  <c r="Q736" i="55"/>
  <c r="Q284" i="55"/>
  <c r="Q446" i="55"/>
  <c r="Q754" i="55"/>
  <c r="Q213" i="55"/>
  <c r="Q415" i="55"/>
  <c r="Q642" i="55"/>
  <c r="Q656" i="55"/>
  <c r="Q675" i="55"/>
  <c r="P99" i="70"/>
  <c r="Q789" i="55"/>
  <c r="Q251" i="55"/>
  <c r="Q265" i="55"/>
  <c r="Q420" i="55"/>
  <c r="Q90" i="55"/>
  <c r="Q127" i="55"/>
  <c r="Q760" i="55"/>
  <c r="C4" i="51"/>
  <c r="C6" i="51"/>
  <c r="L4" i="51"/>
  <c r="L6" i="51"/>
  <c r="O709" i="55"/>
  <c r="O92" i="55"/>
  <c r="O733" i="55"/>
  <c r="O712" i="55"/>
  <c r="O713" i="55"/>
  <c r="O711" i="55"/>
  <c r="O383" i="55"/>
  <c r="O507" i="55"/>
  <c r="O486" i="55"/>
  <c r="O478" i="55"/>
  <c r="O484" i="55"/>
  <c r="O479" i="55"/>
  <c r="O280" i="55"/>
  <c r="O480" i="55"/>
  <c r="O483" i="55"/>
  <c r="O281" i="55"/>
  <c r="O264" i="55"/>
  <c r="O481" i="55"/>
  <c r="O380" i="55"/>
  <c r="O271" i="55"/>
  <c r="O482" i="55"/>
  <c r="O506" i="55"/>
  <c r="O485" i="55"/>
  <c r="O235" i="55"/>
  <c r="O236" i="55"/>
  <c r="O505" i="55"/>
  <c r="O677" i="55"/>
  <c r="O606" i="55"/>
  <c r="O128" i="55"/>
  <c r="O477" i="55"/>
  <c r="O208" i="55"/>
  <c r="O605" i="55"/>
  <c r="O115" i="55"/>
  <c r="O334" i="55"/>
  <c r="O18" i="55"/>
  <c r="O102" i="55"/>
  <c r="O45" i="55"/>
  <c r="O47" i="55"/>
  <c r="O41" i="55"/>
  <c r="O642" i="55"/>
  <c r="O426" i="55"/>
  <c r="O599" i="55"/>
  <c r="O117" i="55"/>
  <c r="O755" i="55"/>
  <c r="O465" i="55"/>
  <c r="O474" i="55"/>
  <c r="O753" i="55"/>
  <c r="O19" i="55"/>
  <c r="O207" i="55"/>
  <c r="O3" i="55"/>
  <c r="O121" i="55"/>
  <c r="O224" i="55"/>
  <c r="O487" i="55"/>
  <c r="O351" i="55"/>
  <c r="O596" i="55"/>
  <c r="O198" i="55"/>
  <c r="O460" i="55"/>
  <c r="O349" i="55"/>
  <c r="O476" i="55"/>
  <c r="O706" i="55"/>
  <c r="O2" i="55"/>
  <c r="O649" i="55"/>
  <c r="O490" i="55"/>
  <c r="O215" i="55"/>
  <c r="O431" i="55"/>
  <c r="O429" i="55"/>
  <c r="O344" i="55"/>
  <c r="O593" i="55"/>
  <c r="O228" i="55"/>
  <c r="O291" i="55"/>
  <c r="O472" i="55"/>
  <c r="O244" i="55"/>
  <c r="O230" i="55"/>
  <c r="O33" i="55"/>
  <c r="O17" i="55"/>
  <c r="O205" i="55"/>
  <c r="O226" i="55"/>
  <c r="O315" i="55"/>
  <c r="O266" i="55"/>
  <c r="O492" i="55"/>
  <c r="O350" i="55"/>
  <c r="O214" i="55"/>
  <c r="O590" i="55"/>
  <c r="O409" i="55"/>
  <c r="O475" i="55"/>
  <c r="O21" i="55"/>
  <c r="O234" i="55"/>
  <c r="O231" i="55"/>
  <c r="O122" i="55"/>
  <c r="O261" i="55"/>
  <c r="O470" i="55"/>
  <c r="O314" i="55"/>
  <c r="O297" i="55"/>
  <c r="O396" i="55"/>
  <c r="O298" i="55"/>
  <c r="O427" i="55"/>
  <c r="O455" i="55"/>
  <c r="O592" i="55"/>
  <c r="O607" i="55"/>
  <c r="O227" i="55"/>
  <c r="O471" i="55"/>
  <c r="O488" i="55"/>
  <c r="O40" i="55"/>
  <c r="O39" i="55"/>
  <c r="O411" i="55"/>
  <c r="O705" i="55"/>
  <c r="O44" i="55"/>
  <c r="O258" i="55"/>
  <c r="O738" i="55"/>
  <c r="O278" i="55"/>
  <c r="O299" i="55"/>
  <c r="O456" i="55"/>
  <c r="O398" i="55"/>
  <c r="O4" i="55"/>
  <c r="O412" i="55"/>
  <c r="O418" i="55"/>
  <c r="O292" i="55"/>
  <c r="O169" i="55"/>
  <c r="O692" i="55"/>
  <c r="O257" i="55"/>
  <c r="O85" i="55"/>
  <c r="O311" i="55"/>
  <c r="O69" i="55"/>
  <c r="O469" i="55"/>
  <c r="O624" i="55"/>
  <c r="O759" i="55"/>
  <c r="O450" i="55"/>
  <c r="O352" i="55"/>
  <c r="O491" i="55"/>
  <c r="O788" i="55"/>
  <c r="O597" i="55"/>
  <c r="O256" i="55"/>
  <c r="O437" i="55"/>
  <c r="O473" i="55"/>
  <c r="O22" i="55"/>
  <c r="O608" i="55"/>
  <c r="O42" i="55"/>
  <c r="O203" i="55"/>
  <c r="O604" i="55"/>
  <c r="O225" i="55"/>
  <c r="O489" i="55"/>
  <c r="O279" i="55"/>
  <c r="O347" i="55"/>
  <c r="O306" i="55"/>
  <c r="O286" i="55"/>
  <c r="O589" i="55"/>
  <c r="O464" i="55"/>
  <c r="O400" i="55"/>
  <c r="O443" i="55"/>
  <c r="O641" i="55"/>
  <c r="O732" i="55"/>
  <c r="O594" i="55"/>
  <c r="O370" i="55"/>
  <c r="O587" i="55"/>
  <c r="O288" i="55"/>
  <c r="O588" i="55"/>
  <c r="O168" i="55"/>
  <c r="O123" i="55"/>
  <c r="O736" i="55"/>
  <c r="O170" i="55"/>
  <c r="O468" i="55"/>
  <c r="O766" i="55"/>
  <c r="O691" i="55"/>
  <c r="O290" i="55"/>
  <c r="O119" i="55"/>
  <c r="O254" i="55"/>
  <c r="O452" i="55"/>
  <c r="O83" i="55"/>
  <c r="O676" i="55"/>
  <c r="O345" i="55"/>
  <c r="O518" i="55"/>
  <c r="O118" i="55"/>
  <c r="O591" i="55"/>
  <c r="O252" i="55"/>
  <c r="O448" i="55"/>
  <c r="O623" i="55"/>
  <c r="O120" i="55"/>
  <c r="O466" i="55"/>
  <c r="O655" i="55"/>
  <c r="O335" i="55"/>
  <c r="O761" i="55"/>
  <c r="O656" i="55"/>
  <c r="O308" i="55"/>
  <c r="O221" i="55"/>
  <c r="O88" i="55"/>
  <c r="O451" i="55"/>
  <c r="O446" i="55"/>
  <c r="O284" i="55"/>
  <c r="O445" i="55"/>
  <c r="O283" i="55"/>
  <c r="O598" i="55"/>
  <c r="O595" i="55"/>
  <c r="O395" i="55"/>
  <c r="O300" i="55"/>
  <c r="O82" i="55"/>
  <c r="O342" i="55"/>
  <c r="O791" i="55"/>
  <c r="O243" i="55"/>
  <c r="O789" i="55"/>
  <c r="O430" i="55"/>
  <c r="O195" i="55"/>
  <c r="O444" i="55"/>
  <c r="O440" i="55"/>
  <c r="O650" i="55"/>
  <c r="O127" i="55"/>
  <c r="O432" i="55"/>
  <c r="O369" i="55"/>
  <c r="O126" i="55"/>
  <c r="O453" i="55"/>
  <c r="O196" i="55"/>
  <c r="O447" i="55"/>
  <c r="O585" i="55"/>
  <c r="O675" i="55"/>
  <c r="O86" i="55"/>
  <c r="O423" i="55"/>
  <c r="O410" i="55"/>
  <c r="O422" i="55"/>
  <c r="O339" i="55"/>
  <c r="O253" i="55"/>
  <c r="O108" i="55"/>
  <c r="O441" i="55"/>
  <c r="O109" i="55"/>
  <c r="O693" i="55"/>
  <c r="O630" i="55"/>
  <c r="O420" i="55"/>
  <c r="O251" i="55"/>
  <c r="O106" i="55"/>
  <c r="O337" i="55"/>
  <c r="O250" i="55"/>
  <c r="O265" i="55"/>
  <c r="O428" i="55"/>
  <c r="O346" i="55"/>
  <c r="O757" i="55"/>
  <c r="O760" i="55"/>
  <c r="O307" i="55"/>
  <c r="O282" i="55"/>
  <c r="O653" i="55"/>
  <c r="O348" i="55"/>
  <c r="O125" i="55"/>
  <c r="O654" i="55"/>
  <c r="O105" i="55"/>
  <c r="O416" i="55"/>
  <c r="O790" i="55"/>
  <c r="O740" i="55"/>
  <c r="O103" i="55"/>
  <c r="O424" i="55"/>
  <c r="O341" i="55"/>
  <c r="O421" i="55"/>
  <c r="O338" i="55"/>
  <c r="O37" i="55"/>
  <c r="O739" i="55"/>
  <c r="O754" i="55"/>
  <c r="O285" i="55"/>
  <c r="O652" i="55"/>
  <c r="O343" i="55"/>
  <c r="O340" i="55"/>
  <c r="O414" i="55"/>
  <c r="O317" i="55"/>
  <c r="O223" i="55"/>
  <c r="O91" i="55"/>
  <c r="O629" i="55"/>
  <c r="O310" i="55"/>
  <c r="O90" i="55"/>
  <c r="O309" i="55"/>
  <c r="O222" i="55"/>
  <c r="O89" i="55"/>
  <c r="O419" i="55"/>
  <c r="O104" i="55"/>
  <c r="O197" i="55"/>
  <c r="O737" i="55"/>
  <c r="O87" i="55"/>
  <c r="O425" i="55"/>
  <c r="O792" i="55"/>
  <c r="O305" i="55"/>
  <c r="O336" i="55"/>
  <c r="O651" i="55"/>
  <c r="O758" i="55"/>
  <c r="O603" i="55"/>
  <c r="O304" i="55"/>
  <c r="O213" i="55"/>
  <c r="O301" i="55"/>
  <c r="O415" i="55"/>
  <c r="O413" i="55"/>
  <c r="C329" i="78"/>
  <c r="C327" i="78"/>
  <c r="C277" i="78"/>
  <c r="C264" i="78"/>
  <c r="C233" i="78"/>
  <c r="C220" i="78"/>
  <c r="C294" i="78"/>
  <c r="G12" i="70"/>
  <c r="H12" i="70" s="1"/>
  <c r="C616" i="78"/>
  <c r="C955" i="78"/>
  <c r="C970" i="78"/>
  <c r="C914" i="78"/>
  <c r="C911" i="78"/>
  <c r="C910" i="78"/>
  <c r="C909" i="78"/>
  <c r="C907" i="78"/>
  <c r="C1010" i="78"/>
  <c r="C1009" i="78"/>
  <c r="C1008" i="78"/>
  <c r="C1007" i="78"/>
  <c r="C1006" i="78"/>
  <c r="C1005" i="78"/>
  <c r="C1004" i="78"/>
  <c r="C1003" i="78"/>
  <c r="C1002" i="78"/>
  <c r="C1001" i="78"/>
  <c r="C1000" i="78"/>
  <c r="C999" i="78"/>
  <c r="C998" i="78"/>
  <c r="C997" i="78"/>
  <c r="C996" i="78"/>
  <c r="C995" i="78"/>
  <c r="C994" i="78"/>
  <c r="C993" i="78"/>
  <c r="C992" i="78"/>
  <c r="C991" i="78"/>
  <c r="C990" i="78"/>
  <c r="C989" i="78"/>
  <c r="C988" i="78"/>
  <c r="C987" i="78"/>
  <c r="C419" i="78"/>
  <c r="C684" i="78"/>
  <c r="C171" i="78"/>
  <c r="C143" i="78"/>
  <c r="C376" i="78"/>
  <c r="C915" i="78"/>
  <c r="C457" i="78"/>
  <c r="C770" i="78"/>
  <c r="C786" i="78"/>
  <c r="C672" i="78"/>
  <c r="C378" i="78"/>
  <c r="C887" i="78"/>
  <c r="C886" i="78"/>
  <c r="C877" i="78"/>
  <c r="C876" i="78"/>
  <c r="C874" i="78"/>
  <c r="C853" i="78"/>
  <c r="C847" i="78"/>
  <c r="C482" i="78"/>
  <c r="C481" i="78"/>
  <c r="C445" i="78"/>
  <c r="C242" i="78"/>
  <c r="C216" i="78"/>
  <c r="C215" i="78"/>
  <c r="C677" i="78"/>
  <c r="C625" i="78"/>
  <c r="C675" i="78"/>
  <c r="C375" i="78"/>
  <c r="C606" i="78"/>
  <c r="C278" i="78"/>
  <c r="C276" i="78"/>
  <c r="C456" i="78"/>
  <c r="C241" i="78"/>
  <c r="C145" i="78"/>
  <c r="C986" i="78"/>
  <c r="C985" i="78"/>
  <c r="C984" i="78"/>
  <c r="C983" i="78"/>
  <c r="C977" i="78"/>
  <c r="C974" i="78"/>
  <c r="C966" i="78"/>
  <c r="C767" i="78"/>
  <c r="C766" i="78"/>
  <c r="C286" i="78"/>
  <c r="C957" i="78"/>
  <c r="C373" i="78"/>
  <c r="C685" i="78"/>
  <c r="C334" i="78"/>
  <c r="C916" i="78"/>
  <c r="C965" i="78"/>
  <c r="C964" i="78"/>
  <c r="C963" i="78"/>
  <c r="C962" i="78"/>
  <c r="C961" i="78"/>
  <c r="C960" i="78"/>
  <c r="C959" i="78"/>
  <c r="C958" i="78"/>
  <c r="C956" i="78"/>
  <c r="C954" i="78"/>
  <c r="C953" i="78"/>
  <c r="C952" i="78"/>
  <c r="C951" i="78"/>
  <c r="C950" i="78"/>
  <c r="C866" i="78"/>
  <c r="C865" i="78"/>
  <c r="C864" i="78"/>
  <c r="C863" i="78"/>
  <c r="C862" i="78"/>
  <c r="C861" i="78"/>
  <c r="C860" i="78"/>
  <c r="C859" i="78"/>
  <c r="C858" i="78"/>
  <c r="C857" i="78"/>
  <c r="C856" i="78"/>
  <c r="C855" i="78"/>
  <c r="C854" i="78"/>
  <c r="C470" i="78"/>
  <c r="C905" i="78"/>
  <c r="C738" i="78"/>
  <c r="C924" i="78"/>
  <c r="C923" i="78"/>
  <c r="C922" i="78"/>
  <c r="C921" i="78"/>
  <c r="C908" i="78"/>
  <c r="C925" i="78"/>
  <c r="C105" i="78"/>
  <c r="C115" i="78"/>
  <c r="C104" i="78"/>
  <c r="C400" i="78"/>
  <c r="C146" i="78"/>
  <c r="C131" i="78"/>
  <c r="C302" i="78"/>
  <c r="C634" i="78"/>
  <c r="C633" i="78"/>
  <c r="C631" i="78"/>
  <c r="C103" i="78"/>
  <c r="C102" i="78"/>
  <c r="C926" i="78"/>
  <c r="C407" i="78"/>
  <c r="C628" i="78"/>
  <c r="C627" i="78"/>
  <c r="C304" i="78"/>
  <c r="C303" i="78"/>
  <c r="C979" i="78"/>
  <c r="C127" i="78"/>
  <c r="C788" i="78"/>
  <c r="C948" i="78"/>
  <c r="C947" i="78"/>
  <c r="C946" i="78"/>
  <c r="C337" i="78"/>
  <c r="C929" i="78"/>
  <c r="C928" i="78"/>
  <c r="C884" i="78"/>
  <c r="C889" i="78"/>
  <c r="C689" i="78"/>
  <c r="C681" i="78"/>
  <c r="C408" i="78"/>
  <c r="C418" i="78"/>
  <c r="C405" i="78"/>
  <c r="C330" i="78"/>
  <c r="C328" i="78"/>
  <c r="C768" i="78"/>
  <c r="C709" i="78"/>
  <c r="C682" i="78"/>
  <c r="C801" i="78"/>
  <c r="C125" i="78"/>
  <c r="C371" i="78"/>
  <c r="C737" i="78"/>
  <c r="C736" i="78"/>
  <c r="C101" i="78"/>
  <c r="C249" i="78"/>
  <c r="C243" i="78"/>
  <c r="C775" i="78"/>
  <c r="C774" i="78"/>
  <c r="C773" i="78"/>
  <c r="C771" i="78"/>
  <c r="C903" i="78"/>
  <c r="C902" i="78"/>
  <c r="C875" i="78"/>
  <c r="C873" i="78"/>
  <c r="C872" i="78"/>
  <c r="C871" i="78"/>
  <c r="C870" i="78"/>
  <c r="C869" i="78"/>
  <c r="C868" i="78"/>
  <c r="C867" i="78"/>
  <c r="C374" i="78"/>
  <c r="C722" i="78"/>
  <c r="C827" i="78"/>
  <c r="C799" i="78"/>
  <c r="C797" i="78"/>
  <c r="C690" i="78"/>
  <c r="C626" i="78"/>
  <c r="C379" i="78"/>
  <c r="C377" i="78"/>
  <c r="C335" i="78"/>
  <c r="C333" i="78"/>
  <c r="C464" i="78"/>
  <c r="C372" i="78"/>
  <c r="C370" i="78"/>
  <c r="C369" i="78"/>
  <c r="C447" i="78"/>
  <c r="C446" i="78"/>
  <c r="C838" i="78"/>
  <c r="C837" i="78"/>
  <c r="C836" i="78"/>
  <c r="C835" i="78"/>
  <c r="C834" i="78"/>
  <c r="C833" i="78"/>
  <c r="C832" i="78"/>
  <c r="C831" i="78"/>
  <c r="C686" i="78"/>
  <c r="C828" i="78"/>
  <c r="C452" i="78"/>
  <c r="C723" i="78"/>
  <c r="C100" i="78"/>
  <c r="C239" i="78"/>
  <c r="C826" i="78"/>
  <c r="C842" i="78"/>
  <c r="C978" i="78"/>
  <c r="C976" i="78"/>
  <c r="C973" i="78"/>
  <c r="C882" i="78"/>
  <c r="C881" i="78"/>
  <c r="C880" i="78"/>
  <c r="C879" i="78"/>
  <c r="C878" i="78"/>
  <c r="C135" i="78"/>
  <c r="C632" i="78"/>
  <c r="C812" i="78"/>
  <c r="C676" i="78"/>
  <c r="C471" i="78"/>
  <c r="C315" i="78"/>
  <c r="C273" i="78"/>
  <c r="C936" i="78"/>
  <c r="C934" i="78"/>
  <c r="C888" i="78"/>
  <c r="C885" i="78"/>
  <c r="C883" i="78"/>
  <c r="C846" i="78"/>
  <c r="C845" i="78"/>
  <c r="C548" i="78"/>
  <c r="C454" i="78"/>
  <c r="C453" i="78"/>
  <c r="C443" i="78"/>
  <c r="C830" i="78"/>
  <c r="C184" i="78"/>
  <c r="C732" i="78"/>
  <c r="C130" i="78"/>
  <c r="C312" i="78"/>
  <c r="C982" i="78"/>
  <c r="C980" i="78"/>
  <c r="C975" i="78"/>
  <c r="C734" i="78"/>
  <c r="C949" i="78"/>
  <c r="C144" i="78"/>
  <c r="C796" i="78"/>
  <c r="C794" i="78"/>
  <c r="C793" i="78"/>
  <c r="C472" i="78"/>
  <c r="C708" i="78"/>
  <c r="C707" i="78"/>
  <c r="C477" i="78"/>
  <c r="C476" i="78"/>
  <c r="C475" i="78"/>
  <c r="C474" i="78"/>
  <c r="C473" i="78"/>
  <c r="C129" i="78"/>
  <c r="C178" i="78"/>
  <c r="C901" i="78"/>
  <c r="C900" i="78"/>
  <c r="C899" i="78"/>
  <c r="C898" i="78"/>
  <c r="C897" i="78"/>
  <c r="C896" i="78"/>
  <c r="C852" i="78"/>
  <c r="C851" i="78"/>
  <c r="C850" i="78"/>
  <c r="C849" i="78"/>
  <c r="C848" i="78"/>
  <c r="C844" i="78"/>
  <c r="C843" i="78"/>
  <c r="C792" i="78"/>
  <c r="C124" i="78"/>
  <c r="C317" i="78"/>
  <c r="C319" i="78"/>
  <c r="C755" i="78"/>
  <c r="C348" i="78"/>
  <c r="C280" i="78"/>
  <c r="C772" i="78"/>
  <c r="C913" i="78"/>
  <c r="C912" i="78"/>
  <c r="C906" i="78"/>
  <c r="C904" i="78"/>
  <c r="C895" i="78"/>
  <c r="C894" i="78"/>
  <c r="C893" i="78"/>
  <c r="C892" i="78"/>
  <c r="C891" i="78"/>
  <c r="C890" i="78"/>
  <c r="C841" i="78"/>
  <c r="C840" i="78"/>
  <c r="C839" i="78"/>
  <c r="C674" i="78"/>
  <c r="C588" i="78"/>
  <c r="C462" i="78"/>
  <c r="C219" i="78"/>
  <c r="C218" i="78"/>
  <c r="C106" i="78"/>
  <c r="C116" i="78"/>
  <c r="C85" i="78"/>
  <c r="C688" i="78"/>
  <c r="C687" i="78"/>
  <c r="C404" i="78"/>
  <c r="C942" i="78"/>
  <c r="C941" i="78"/>
  <c r="C940" i="78"/>
  <c r="C939" i="78"/>
  <c r="C938" i="78"/>
  <c r="C937" i="78"/>
  <c r="C935" i="78"/>
  <c r="C933" i="78"/>
  <c r="C932" i="78"/>
  <c r="C931" i="78"/>
  <c r="C930" i="78"/>
  <c r="C730" i="78"/>
  <c r="C366" i="78"/>
  <c r="C498" i="78"/>
  <c r="C972" i="78"/>
  <c r="C971" i="78"/>
  <c r="C969" i="78"/>
  <c r="C968" i="78"/>
  <c r="C967" i="78"/>
  <c r="C927" i="78"/>
  <c r="C920" i="78"/>
  <c r="C274" i="78"/>
  <c r="C420" i="78"/>
  <c r="C691" i="78"/>
  <c r="C669" i="78"/>
  <c r="C798" i="78"/>
  <c r="C123" i="78"/>
  <c r="C397" i="78"/>
  <c r="C711" i="78"/>
  <c r="C714" i="78"/>
  <c r="C712" i="78"/>
  <c r="C451" i="78"/>
  <c r="C450" i="78"/>
  <c r="C126" i="78"/>
  <c r="C226" i="78"/>
  <c r="C460" i="78"/>
  <c r="C459" i="78"/>
  <c r="C615" i="78"/>
  <c r="C449" i="78"/>
  <c r="C729" i="78"/>
  <c r="C800" i="78"/>
  <c r="C981" i="78"/>
  <c r="C458" i="78"/>
  <c r="C945" i="78"/>
  <c r="C944" i="78"/>
  <c r="C943" i="78"/>
  <c r="C336" i="78"/>
  <c r="C347" i="78"/>
  <c r="C340" i="78"/>
  <c r="C403" i="78"/>
  <c r="C402" i="78"/>
  <c r="C919" i="78"/>
  <c r="C918" i="78"/>
  <c r="C917" i="78"/>
  <c r="C733" i="78"/>
  <c r="C629" i="78"/>
  <c r="C368" i="78"/>
  <c r="C367" i="78"/>
  <c r="C461" i="78"/>
  <c r="C331" i="78"/>
  <c r="C122" i="78"/>
  <c r="C339" i="78"/>
  <c r="C338" i="78"/>
  <c r="C731" i="78"/>
  <c r="C188" i="78"/>
  <c r="C110" i="78"/>
  <c r="C114" i="78"/>
  <c r="C109" i="78"/>
  <c r="C108" i="78"/>
  <c r="C107" i="78"/>
  <c r="C7" i="3"/>
  <c r="Z594" i="55"/>
  <c r="C15" i="95"/>
  <c r="C5" i="95"/>
  <c r="C6" i="95"/>
  <c r="C7" i="95"/>
  <c r="C37" i="95"/>
  <c r="C39" i="95"/>
  <c r="C40" i="95"/>
  <c r="C13" i="95"/>
  <c r="C14" i="95"/>
  <c r="C21" i="95"/>
  <c r="C22" i="95"/>
  <c r="C12" i="95"/>
  <c r="C4" i="95"/>
  <c r="G5" i="70"/>
  <c r="I5" i="70" s="1"/>
  <c r="G6" i="70"/>
  <c r="H6" i="70" s="1"/>
  <c r="G13" i="70"/>
  <c r="H13" i="70" s="1"/>
  <c r="G14" i="70"/>
  <c r="B9" i="3"/>
  <c r="O37" i="70"/>
  <c r="N37" i="70"/>
  <c r="P37" i="70"/>
  <c r="P10" i="70"/>
  <c r="O10" i="70"/>
  <c r="P72" i="70"/>
  <c r="P73" i="70"/>
  <c r="O73" i="70"/>
  <c r="O72" i="70"/>
  <c r="N73" i="70"/>
  <c r="N72" i="70"/>
  <c r="N10" i="70"/>
  <c r="P84" i="70"/>
  <c r="O53" i="70"/>
  <c r="O105" i="70"/>
  <c r="N40" i="70"/>
  <c r="P69" i="70"/>
  <c r="P7" i="70"/>
  <c r="P60" i="70"/>
  <c r="N93" i="70"/>
  <c r="N18" i="70"/>
  <c r="O87" i="70"/>
  <c r="N24" i="70"/>
  <c r="N53" i="70"/>
  <c r="P64" i="70"/>
  <c r="P71" i="70"/>
  <c r="P67" i="70"/>
  <c r="P9" i="70"/>
  <c r="O39" i="70"/>
  <c r="O44" i="70"/>
  <c r="O41" i="70"/>
  <c r="O65" i="70"/>
  <c r="O71" i="70"/>
  <c r="O66" i="70"/>
  <c r="O9" i="70"/>
  <c r="P30" i="70"/>
  <c r="P93" i="70"/>
  <c r="O22" i="70"/>
  <c r="N34" i="70"/>
  <c r="P88" i="70"/>
  <c r="P90" i="70"/>
  <c r="P91" i="70"/>
  <c r="O102" i="70"/>
  <c r="O91" i="70"/>
  <c r="N47" i="70"/>
  <c r="P24" i="70"/>
  <c r="N105" i="70"/>
  <c r="N41" i="70"/>
  <c r="O56" i="70"/>
  <c r="N9" i="70"/>
  <c r="P104" i="70"/>
  <c r="M90" i="70"/>
  <c r="N84" i="70"/>
  <c r="O7" i="70"/>
  <c r="P103" i="70"/>
  <c r="N7" i="70"/>
  <c r="P8" i="70"/>
  <c r="K65" i="70"/>
  <c r="N48" i="70"/>
  <c r="P34" i="70"/>
  <c r="O49" i="70"/>
  <c r="L56" i="160"/>
  <c r="L57" i="160" s="1"/>
  <c r="K45" i="70"/>
  <c r="K71" i="70"/>
  <c r="N102" i="70"/>
  <c r="P85" i="70"/>
  <c r="P77" i="70"/>
  <c r="P33" i="70"/>
  <c r="N16" i="70"/>
  <c r="N33" i="70"/>
  <c r="N20" i="70"/>
  <c r="N79" i="70"/>
  <c r="N15" i="70"/>
  <c r="N19" i="70"/>
  <c r="N78" i="70"/>
  <c r="P78" i="70"/>
  <c r="N104" i="70"/>
  <c r="N103" i="70"/>
  <c r="N12" i="70"/>
  <c r="O100" i="70"/>
  <c r="N29" i="70"/>
  <c r="N100" i="70"/>
  <c r="N31" i="70"/>
  <c r="N30" i="70"/>
  <c r="N101" i="70"/>
  <c r="N77" i="70"/>
  <c r="N76" i="70"/>
  <c r="P17" i="70"/>
  <c r="N6" i="70"/>
  <c r="N90" i="70"/>
  <c r="N21" i="70"/>
  <c r="N32" i="70"/>
  <c r="N17" i="70"/>
  <c r="N35" i="70"/>
  <c r="P12" i="70"/>
  <c r="P83" i="70"/>
  <c r="N5" i="70"/>
  <c r="P15" i="70"/>
  <c r="P79" i="70"/>
  <c r="P31" i="70"/>
  <c r="O46" i="70"/>
  <c r="P16" i="70"/>
  <c r="P100" i="70"/>
  <c r="P101" i="70"/>
  <c r="O85" i="70"/>
  <c r="N99" i="70"/>
  <c r="O12" i="70"/>
  <c r="N23" i="70"/>
  <c r="P76" i="70"/>
  <c r="O83" i="70"/>
  <c r="N13" i="70"/>
  <c r="N83" i="70"/>
  <c r="P5" i="70"/>
  <c r="P19" i="70"/>
  <c r="N8" i="70"/>
  <c r="N85" i="70"/>
  <c r="N86" i="70"/>
  <c r="N14" i="70"/>
  <c r="N88" i="70"/>
  <c r="O6" i="70"/>
  <c r="P20" i="70"/>
  <c r="O20" i="70"/>
  <c r="P13" i="70"/>
  <c r="P21" i="70"/>
  <c r="O17" i="70"/>
  <c r="P6" i="70"/>
  <c r="P35" i="70"/>
  <c r="O29" i="70"/>
  <c r="N56" i="70"/>
  <c r="O5" i="70"/>
  <c r="O101" i="70"/>
  <c r="O27" i="70"/>
  <c r="O15" i="70"/>
  <c r="O60" i="70"/>
  <c r="N22" i="70"/>
  <c r="P18" i="70"/>
  <c r="N68" i="70"/>
  <c r="N44" i="70"/>
  <c r="P59" i="70"/>
  <c r="N39" i="70"/>
  <c r="N67" i="70"/>
  <c r="O86" i="70"/>
  <c r="O8" i="70"/>
  <c r="P36" i="70"/>
  <c r="P3" i="70"/>
  <c r="P23" i="70"/>
  <c r="P52" i="70"/>
  <c r="P48" i="70"/>
  <c r="N55" i="70"/>
  <c r="N89" i="70"/>
  <c r="P102" i="70"/>
  <c r="P29" i="70"/>
  <c r="P86" i="70"/>
  <c r="P32" i="70"/>
  <c r="P89" i="70"/>
  <c r="O88" i="70"/>
  <c r="O13" i="70"/>
  <c r="O14" i="70"/>
  <c r="O21" i="70"/>
  <c r="O78" i="70"/>
  <c r="O58" i="70"/>
  <c r="O47" i="70"/>
  <c r="P22" i="70"/>
  <c r="O57" i="70"/>
  <c r="N25" i="70"/>
  <c r="P39" i="70"/>
  <c r="N51" i="70"/>
  <c r="O40" i="70"/>
  <c r="O16" i="70"/>
  <c r="P81" i="70"/>
  <c r="P58" i="70"/>
  <c r="N50" i="70"/>
  <c r="P41" i="70"/>
  <c r="O36" i="70"/>
  <c r="O59" i="70"/>
  <c r="N46" i="70"/>
  <c r="N87" i="70"/>
  <c r="O93" i="70"/>
  <c r="O80" i="70"/>
  <c r="P38" i="70"/>
  <c r="N62" i="70"/>
  <c r="P70" i="70"/>
  <c r="N66" i="70"/>
  <c r="O76" i="70"/>
  <c r="P2" i="70"/>
  <c r="P57" i="70"/>
  <c r="O26" i="70"/>
  <c r="P51" i="70"/>
  <c r="P53" i="70"/>
  <c r="N61" i="70"/>
  <c r="P49" i="70"/>
  <c r="N54" i="70"/>
  <c r="O19" i="70"/>
  <c r="P25" i="70"/>
  <c r="O89" i="70"/>
  <c r="N60" i="70"/>
  <c r="O43" i="70"/>
  <c r="O50" i="70"/>
  <c r="N43" i="70"/>
  <c r="O62" i="70"/>
  <c r="O77" i="70"/>
  <c r="O51" i="70"/>
  <c r="N42" i="70"/>
  <c r="N45" i="70"/>
  <c r="P56" i="70"/>
  <c r="O33" i="70"/>
  <c r="O81" i="70"/>
  <c r="N58" i="70"/>
  <c r="O25" i="70"/>
  <c r="P26" i="70"/>
  <c r="O45" i="70"/>
  <c r="P63" i="70"/>
  <c r="N91" i="70"/>
  <c r="N92" i="70"/>
  <c r="O32" i="70"/>
  <c r="O84" i="70"/>
  <c r="P87" i="70"/>
  <c r="N2" i="70"/>
  <c r="N3" i="70"/>
  <c r="O24" i="70"/>
  <c r="O42" i="70"/>
  <c r="P65" i="70"/>
  <c r="N70" i="70"/>
  <c r="N26" i="70"/>
  <c r="O38" i="70"/>
  <c r="N52" i="70"/>
  <c r="O61" i="70"/>
  <c r="N49" i="70"/>
  <c r="P54" i="70"/>
  <c r="O63" i="70"/>
  <c r="N69" i="70"/>
  <c r="P66" i="70"/>
  <c r="O67" i="70"/>
  <c r="P43" i="70"/>
  <c r="P105" i="70"/>
  <c r="O48" i="70"/>
  <c r="P55" i="70"/>
  <c r="P68" i="70"/>
  <c r="O3" i="70"/>
  <c r="N27" i="70"/>
  <c r="N36" i="70"/>
  <c r="O90" i="70"/>
  <c r="O31" i="70"/>
  <c r="O103" i="70"/>
  <c r="N80" i="70"/>
  <c r="P46" i="70"/>
  <c r="O2" i="70"/>
  <c r="O23" i="70"/>
  <c r="P92" i="70"/>
  <c r="O30" i="70"/>
  <c r="O104" i="70"/>
  <c r="O79" i="70"/>
  <c r="P80" i="70"/>
  <c r="N81" i="70"/>
  <c r="P27" i="70"/>
  <c r="N57" i="70"/>
  <c r="O92" i="70"/>
  <c r="O35" i="70"/>
  <c r="O34" i="70"/>
  <c r="P47" i="70"/>
  <c r="N59" i="70"/>
  <c r="N38" i="70"/>
  <c r="P50" i="70"/>
  <c r="P42" i="70"/>
  <c r="P44" i="70"/>
  <c r="P45" i="70"/>
  <c r="P61" i="70"/>
  <c r="O55" i="70"/>
  <c r="N65" i="70"/>
  <c r="N63" i="70"/>
  <c r="N71" i="70"/>
  <c r="O70" i="70"/>
  <c r="O69" i="70"/>
  <c r="P62" i="70"/>
  <c r="O54" i="70"/>
  <c r="N64" i="70"/>
  <c r="O52" i="70"/>
  <c r="P40" i="70"/>
  <c r="O64" i="70"/>
  <c r="O68" i="70"/>
  <c r="M18" i="70"/>
  <c r="P4" i="70"/>
  <c r="N4" i="70"/>
  <c r="O4" i="70"/>
  <c r="I72" i="70"/>
  <c r="L60" i="160"/>
  <c r="L61" i="160" s="1"/>
  <c r="L42" i="160"/>
  <c r="L43" i="160" s="1"/>
  <c r="L6" i="160"/>
  <c r="L7" i="160" s="1"/>
  <c r="C11" i="3"/>
  <c r="M25" i="70"/>
  <c r="K94" i="70"/>
  <c r="M4" i="70"/>
  <c r="K95" i="70"/>
  <c r="M96" i="70"/>
  <c r="AU676" i="178" l="1"/>
  <c r="BG1193" i="178"/>
  <c r="BL768" i="178"/>
  <c r="K19" i="70"/>
  <c r="T19" i="70" s="1"/>
  <c r="BG440" i="178"/>
  <c r="BN739" i="178"/>
  <c r="Z963" i="178"/>
  <c r="AC963" i="178" s="1"/>
  <c r="AU420" i="178"/>
  <c r="BA738" i="178"/>
  <c r="Z874" i="178"/>
  <c r="Z493" i="178"/>
  <c r="AC493" i="178" s="1"/>
  <c r="Z721" i="178"/>
  <c r="AC721" i="178" s="1"/>
  <c r="Z743" i="178"/>
  <c r="Z803" i="178"/>
  <c r="AC803" i="178" s="1"/>
  <c r="AS652" i="178"/>
  <c r="BL738" i="178"/>
  <c r="BL652" i="178"/>
  <c r="AU738" i="178"/>
  <c r="AU652" i="178"/>
  <c r="Z1017" i="178"/>
  <c r="AC1017" i="178" s="1"/>
  <c r="AC874" i="178"/>
  <c r="Z1044" i="178"/>
  <c r="AC1044" i="178" s="1"/>
  <c r="P98" i="70"/>
  <c r="Z699" i="178"/>
  <c r="Z897" i="178"/>
  <c r="Z757" i="178"/>
  <c r="AC757" i="178" s="1"/>
  <c r="Y489" i="178"/>
  <c r="Y639" i="178"/>
  <c r="Z945" i="178"/>
  <c r="AC945" i="178" s="1"/>
  <c r="AA898" i="178"/>
  <c r="AB898" i="178" s="1"/>
  <c r="X225" i="178"/>
  <c r="X36" i="178"/>
  <c r="X887" i="178"/>
  <c r="X354" i="178"/>
  <c r="X393" i="178"/>
  <c r="Y640" i="178"/>
  <c r="Y923" i="178"/>
  <c r="Z753" i="178"/>
  <c r="AC753" i="178" s="1"/>
  <c r="X869" i="178"/>
  <c r="AA257" i="178"/>
  <c r="AB257" i="178" s="1"/>
  <c r="AA780" i="178"/>
  <c r="AB780" i="178" s="1"/>
  <c r="Y260" i="178"/>
  <c r="Y781" i="178"/>
  <c r="X263" i="178"/>
  <c r="X391" i="178"/>
  <c r="X782" i="178"/>
  <c r="X171" i="178"/>
  <c r="X158" i="178"/>
  <c r="X427" i="178"/>
  <c r="Y416" i="178"/>
  <c r="Y439" i="178"/>
  <c r="AA938" i="178"/>
  <c r="AB938" i="178" s="1"/>
  <c r="Y872" i="178"/>
  <c r="Y663" i="178"/>
  <c r="Y1152" i="178"/>
  <c r="Y693" i="178"/>
  <c r="Y486" i="178"/>
  <c r="AA1035" i="178"/>
  <c r="AB1035" i="178" s="1"/>
  <c r="X1127" i="178"/>
  <c r="X1128" i="178"/>
  <c r="X1126" i="178"/>
  <c r="AA958" i="178"/>
  <c r="AB958" i="178" s="1"/>
  <c r="AA962" i="178"/>
  <c r="AB962" i="178" s="1"/>
  <c r="Z1129" i="178"/>
  <c r="AC1129" i="178" s="1"/>
  <c r="AA1102" i="178"/>
  <c r="AB1102" i="178" s="1"/>
  <c r="AA1103" i="178"/>
  <c r="AB1103" i="178" s="1"/>
  <c r="AA1109" i="178"/>
  <c r="AB1109" i="178" s="1"/>
  <c r="AA1244" i="178"/>
  <c r="AB1244" i="178" s="1"/>
  <c r="Y764" i="178"/>
  <c r="X170" i="178"/>
  <c r="X552" i="178"/>
  <c r="AA700" i="178"/>
  <c r="AB700" i="178" s="1"/>
  <c r="AA701" i="178"/>
  <c r="AB701" i="178" s="1"/>
  <c r="Y924" i="178"/>
  <c r="Y641" i="178"/>
  <c r="X390" i="178"/>
  <c r="X941" i="178"/>
  <c r="X415" i="178"/>
  <c r="X637" i="178"/>
  <c r="X920" i="178"/>
  <c r="AA691" i="178"/>
  <c r="AB691" i="178" s="1"/>
  <c r="AA356" i="178"/>
  <c r="AB356" i="178" s="1"/>
  <c r="AA364" i="178"/>
  <c r="AB364" i="178" s="1"/>
  <c r="Y1153" i="178"/>
  <c r="Y137" i="178"/>
  <c r="Y490" i="178"/>
  <c r="X671" i="178"/>
  <c r="X414" i="178"/>
  <c r="X861" i="178"/>
  <c r="X389" i="178"/>
  <c r="AA860" i="178"/>
  <c r="AB860" i="178" s="1"/>
  <c r="AA292" i="178"/>
  <c r="AB292" i="178" s="1"/>
  <c r="AA734" i="178"/>
  <c r="AB734" i="178" s="1"/>
  <c r="Y866" i="178"/>
  <c r="Y177" i="178"/>
  <c r="Y859" i="178"/>
  <c r="Y862" i="178"/>
  <c r="Y665" i="178"/>
  <c r="Y175" i="178"/>
  <c r="X942" i="178"/>
  <c r="X1147" i="178"/>
  <c r="AA825" i="178"/>
  <c r="AB825" i="178" s="1"/>
  <c r="AA727" i="178"/>
  <c r="AB727" i="178" s="1"/>
  <c r="AA827" i="178"/>
  <c r="AB827" i="178" s="1"/>
  <c r="AA876" i="178"/>
  <c r="AB876" i="178" s="1"/>
  <c r="AA731" i="178"/>
  <c r="AB731" i="178" s="1"/>
  <c r="AA871" i="178"/>
  <c r="AB871" i="178" s="1"/>
  <c r="AA908" i="178"/>
  <c r="AB908" i="178" s="1"/>
  <c r="AA732" i="178"/>
  <c r="AB732" i="178" s="1"/>
  <c r="AA726" i="178"/>
  <c r="AB726" i="178" s="1"/>
  <c r="AA826" i="178"/>
  <c r="AB826" i="178" s="1"/>
  <c r="Y485" i="178"/>
  <c r="X883" i="178"/>
  <c r="X201" i="178"/>
  <c r="X890" i="178"/>
  <c r="X554" i="178"/>
  <c r="X907" i="178"/>
  <c r="X200" i="178"/>
  <c r="X915" i="178"/>
  <c r="AA159" i="178"/>
  <c r="AB159" i="178" s="1"/>
  <c r="AA892" i="178"/>
  <c r="AB892" i="178" s="1"/>
  <c r="Y157" i="178"/>
  <c r="Y492" i="178"/>
  <c r="Y138" i="178"/>
  <c r="Y689" i="178"/>
  <c r="Y900" i="178"/>
  <c r="X922" i="178"/>
  <c r="X943" i="178"/>
  <c r="X1150" i="178"/>
  <c r="AA551" i="178"/>
  <c r="AB551" i="178" s="1"/>
  <c r="AA819" i="178"/>
  <c r="AB819" i="178" s="1"/>
  <c r="AA880" i="178"/>
  <c r="AB880" i="178" s="1"/>
  <c r="Z487" i="178"/>
  <c r="AC487" i="178" s="1"/>
  <c r="AA615" i="178"/>
  <c r="AB615" i="178" s="1"/>
  <c r="AA616" i="178"/>
  <c r="AB616" i="178" s="1"/>
  <c r="X604" i="178"/>
  <c r="X605" i="178"/>
  <c r="X612" i="178"/>
  <c r="X610" i="178"/>
  <c r="X606" i="178"/>
  <c r="X607" i="178"/>
  <c r="X608" i="178"/>
  <c r="X609" i="178"/>
  <c r="X613" i="178"/>
  <c r="X611" i="178"/>
  <c r="AA598" i="178"/>
  <c r="AB598" i="178" s="1"/>
  <c r="AA599" i="178"/>
  <c r="AB599" i="178" s="1"/>
  <c r="AA603" i="178"/>
  <c r="AB603" i="178" s="1"/>
  <c r="Y595" i="178"/>
  <c r="Y592" i="178"/>
  <c r="Y596" i="178"/>
  <c r="Y593" i="178"/>
  <c r="Y597" i="178"/>
  <c r="Y594" i="178"/>
  <c r="X589" i="178"/>
  <c r="X590" i="178"/>
  <c r="X591" i="178"/>
  <c r="X398" i="178"/>
  <c r="X403" i="178"/>
  <c r="X399" i="178"/>
  <c r="X402" i="178"/>
  <c r="X400" i="178"/>
  <c r="X386" i="178"/>
  <c r="X401" i="178"/>
  <c r="AA382" i="178"/>
  <c r="AB382" i="178" s="1"/>
  <c r="AA383" i="178"/>
  <c r="AB383" i="178" s="1"/>
  <c r="X379" i="178"/>
  <c r="X380" i="178"/>
  <c r="AA375" i="178"/>
  <c r="AB375" i="178" s="1"/>
  <c r="AA376" i="178"/>
  <c r="AB376" i="178" s="1"/>
  <c r="Y374" i="178"/>
  <c r="Y373" i="178"/>
  <c r="X482" i="178"/>
  <c r="X530" i="178"/>
  <c r="X575" i="178"/>
  <c r="X619" i="178"/>
  <c r="X788" i="178"/>
  <c r="X790" i="178"/>
  <c r="X847" i="178"/>
  <c r="X1011" i="178"/>
  <c r="X1188" i="178"/>
  <c r="X601" i="178"/>
  <c r="X759" i="178"/>
  <c r="X983" i="178"/>
  <c r="X791" i="178"/>
  <c r="X848" i="178"/>
  <c r="X1046" i="178"/>
  <c r="X267" i="178"/>
  <c r="X602" i="178"/>
  <c r="X760" i="178"/>
  <c r="X762" i="178"/>
  <c r="X845" i="178"/>
  <c r="X947" i="178"/>
  <c r="X1158" i="178"/>
  <c r="X618" i="178"/>
  <c r="X761" i="178"/>
  <c r="X789" i="178"/>
  <c r="X846" i="178"/>
  <c r="X982" i="178"/>
  <c r="X1159" i="178"/>
  <c r="AA289" i="178"/>
  <c r="AB289" i="178" s="1"/>
  <c r="AA308" i="178"/>
  <c r="AB308" i="178" s="1"/>
  <c r="AA424" i="178"/>
  <c r="AB424" i="178" s="1"/>
  <c r="AA837" i="178"/>
  <c r="AB837" i="178" s="1"/>
  <c r="AA841" i="178"/>
  <c r="AB841" i="178" s="1"/>
  <c r="AA1278" i="178"/>
  <c r="AB1278" i="178" s="1"/>
  <c r="AA976" i="178"/>
  <c r="AB976" i="178" s="1"/>
  <c r="AA1165" i="178"/>
  <c r="AB1165" i="178" s="1"/>
  <c r="AA29" i="178"/>
  <c r="AB29" i="178" s="1"/>
  <c r="AA128" i="178"/>
  <c r="AB128" i="178" s="1"/>
  <c r="AA838" i="178"/>
  <c r="AB838" i="178" s="1"/>
  <c r="AA842" i="178"/>
  <c r="AB842" i="178" s="1"/>
  <c r="AA844" i="178"/>
  <c r="AB844" i="178" s="1"/>
  <c r="AA981" i="178"/>
  <c r="AB981" i="178" s="1"/>
  <c r="AA1187" i="178"/>
  <c r="AB1187" i="178" s="1"/>
  <c r="AA37" i="178"/>
  <c r="AB37" i="178" s="1"/>
  <c r="AA839" i="178"/>
  <c r="AB839" i="178" s="1"/>
  <c r="AA843" i="178"/>
  <c r="AB843" i="178" s="1"/>
  <c r="AA949" i="178"/>
  <c r="AB949" i="178" s="1"/>
  <c r="AA1007" i="178"/>
  <c r="AB1007" i="178" s="1"/>
  <c r="AA1277" i="178"/>
  <c r="AB1277" i="178" s="1"/>
  <c r="AA79" i="178"/>
  <c r="AB79" i="178" s="1"/>
  <c r="AA836" i="178"/>
  <c r="AB836" i="178" s="1"/>
  <c r="AA840" i="178"/>
  <c r="AB840" i="178" s="1"/>
  <c r="AA946" i="178"/>
  <c r="AB946" i="178" s="1"/>
  <c r="AA951" i="178"/>
  <c r="AB951" i="178" s="1"/>
  <c r="AA1045" i="178"/>
  <c r="AB1045" i="178" s="1"/>
  <c r="AA17" i="178"/>
  <c r="AB17" i="178" s="1"/>
  <c r="AA83" i="178"/>
  <c r="AB83" i="178" s="1"/>
  <c r="X655" i="178"/>
  <c r="X785" i="178"/>
  <c r="X786" i="178"/>
  <c r="X783" i="178"/>
  <c r="X787" i="178"/>
  <c r="X784" i="178"/>
  <c r="X834" i="178"/>
  <c r="AA754" i="178"/>
  <c r="AB754" i="178" s="1"/>
  <c r="AA755" i="178"/>
  <c r="AB755" i="178" s="1"/>
  <c r="AA756" i="178"/>
  <c r="AB756" i="178" s="1"/>
  <c r="Y751" i="178"/>
  <c r="Y752" i="178"/>
  <c r="Y750" i="178"/>
  <c r="X748" i="178"/>
  <c r="X749" i="178"/>
  <c r="X660" i="178"/>
  <c r="AA475" i="178"/>
  <c r="AB475" i="178" s="1"/>
  <c r="AA478" i="178"/>
  <c r="AB478" i="178" s="1"/>
  <c r="AA504" i="178"/>
  <c r="AB504" i="178" s="1"/>
  <c r="AA509" i="178"/>
  <c r="AB509" i="178" s="1"/>
  <c r="Y395" i="178"/>
  <c r="Y462" i="178"/>
  <c r="Y470" i="178"/>
  <c r="X311" i="178"/>
  <c r="X315" i="178"/>
  <c r="X370" i="178"/>
  <c r="AA132" i="178"/>
  <c r="AB132" i="178" s="1"/>
  <c r="AA204" i="178"/>
  <c r="AB204" i="178" s="1"/>
  <c r="Y76" i="178"/>
  <c r="Y127" i="178"/>
  <c r="Y131" i="178"/>
  <c r="Y74" i="178"/>
  <c r="X1184" i="178"/>
  <c r="X1183" i="178"/>
  <c r="X1185" i="178"/>
  <c r="X1186" i="178"/>
  <c r="AA1042" i="178"/>
  <c r="AB1042" i="178" s="1"/>
  <c r="AA1018" i="178"/>
  <c r="AB1018" i="178" s="1"/>
  <c r="AA1043" i="178"/>
  <c r="AB1043" i="178" s="1"/>
  <c r="AA1019" i="178"/>
  <c r="AB1019" i="178" s="1"/>
  <c r="AA1041" i="178"/>
  <c r="AB1041" i="178" s="1"/>
  <c r="Y202" i="178"/>
  <c r="Y977" i="178"/>
  <c r="Y978" i="178"/>
  <c r="Y979" i="178"/>
  <c r="Y975" i="178"/>
  <c r="Y980" i="178"/>
  <c r="X950" i="178"/>
  <c r="X948" i="178"/>
  <c r="X967" i="178"/>
  <c r="X968" i="178"/>
  <c r="X776" i="178"/>
  <c r="Y659" i="178"/>
  <c r="X531" i="178"/>
  <c r="X483" i="178"/>
  <c r="X535" i="178"/>
  <c r="X503" i="178"/>
  <c r="X508" i="178"/>
  <c r="X576" i="178"/>
  <c r="Y256" i="178"/>
  <c r="Y264" i="178"/>
  <c r="Y265" i="178"/>
  <c r="Y255" i="178"/>
  <c r="X249" i="178"/>
  <c r="X250" i="178"/>
  <c r="X241" i="178"/>
  <c r="X242" i="178"/>
  <c r="AA81" i="178"/>
  <c r="AB81" i="178" s="1"/>
  <c r="AA122" i="178"/>
  <c r="AB122" i="178" s="1"/>
  <c r="AA126" i="178"/>
  <c r="AB126" i="178" s="1"/>
  <c r="AA82" i="178"/>
  <c r="AB82" i="178" s="1"/>
  <c r="AA123" i="178"/>
  <c r="AB123" i="178" s="1"/>
  <c r="AA130" i="178"/>
  <c r="AB130" i="178" s="1"/>
  <c r="AA120" i="178"/>
  <c r="AB120" i="178" s="1"/>
  <c r="AA124" i="178"/>
  <c r="AB124" i="178" s="1"/>
  <c r="AA187" i="178"/>
  <c r="AB187" i="178" s="1"/>
  <c r="AA125" i="178"/>
  <c r="AB125" i="178" s="1"/>
  <c r="AA121" i="178"/>
  <c r="AB121" i="178" s="1"/>
  <c r="AA188" i="178"/>
  <c r="AB188" i="178" s="1"/>
  <c r="Y75" i="178"/>
  <c r="Y78" i="178"/>
  <c r="Y80" i="178"/>
  <c r="Y73" i="178"/>
  <c r="X55" i="178"/>
  <c r="X59" i="178"/>
  <c r="X54" i="178"/>
  <c r="AA1182" i="178"/>
  <c r="AB1182" i="178" s="1"/>
  <c r="AA13" i="178"/>
  <c r="AB13" i="178" s="1"/>
  <c r="AA14" i="178"/>
  <c r="AB14" i="178" s="1"/>
  <c r="X1009" i="178"/>
  <c r="X1010" i="178"/>
  <c r="AA829" i="178"/>
  <c r="AB829" i="178" s="1"/>
  <c r="AA771" i="178"/>
  <c r="AB771" i="178" s="1"/>
  <c r="AA772" i="178"/>
  <c r="AB772" i="178" s="1"/>
  <c r="Y678" i="178"/>
  <c r="Y363" i="178"/>
  <c r="Y367" i="178"/>
  <c r="Y679" i="178"/>
  <c r="X675" i="178"/>
  <c r="X677" i="178"/>
  <c r="AA894" i="178"/>
  <c r="AB894" i="178" s="1"/>
  <c r="AA144" i="178"/>
  <c r="AB144" i="178" s="1"/>
  <c r="AA148" i="178"/>
  <c r="AB148" i="178" s="1"/>
  <c r="AA309" i="178"/>
  <c r="AB309" i="178" s="1"/>
  <c r="AA310" i="178"/>
  <c r="AB310" i="178" s="1"/>
  <c r="AA330" i="178"/>
  <c r="AB330" i="178" s="1"/>
  <c r="AA333" i="178"/>
  <c r="AB333" i="178" s="1"/>
  <c r="AA480" i="178"/>
  <c r="AB480" i="178" s="1"/>
  <c r="AA334" i="178"/>
  <c r="AB334" i="178" s="1"/>
  <c r="AA1051" i="178"/>
  <c r="AB1051" i="178" s="1"/>
  <c r="AA331" i="178"/>
  <c r="AB331" i="178" s="1"/>
  <c r="AA461" i="178"/>
  <c r="AB461" i="178" s="1"/>
  <c r="AA426" i="178"/>
  <c r="AB426" i="178" s="1"/>
  <c r="AA434" i="178"/>
  <c r="AB434" i="178" s="1"/>
  <c r="X1107" i="178"/>
  <c r="X1108" i="178"/>
  <c r="AA469" i="178"/>
  <c r="AB469" i="178" s="1"/>
  <c r="AA474" i="178"/>
  <c r="AB474" i="178" s="1"/>
  <c r="X639" i="178"/>
  <c r="Z639" i="178" s="1"/>
  <c r="X489" i="178"/>
  <c r="Y898" i="178"/>
  <c r="AA45" i="178"/>
  <c r="AB45" i="178" s="1"/>
  <c r="AA227" i="178"/>
  <c r="AB227" i="178" s="1"/>
  <c r="AA488" i="178"/>
  <c r="AB488" i="178" s="1"/>
  <c r="AA418" i="178"/>
  <c r="AB418" i="178" s="1"/>
  <c r="X640" i="178"/>
  <c r="X923" i="178"/>
  <c r="Z923" i="178" s="1"/>
  <c r="AA477" i="178"/>
  <c r="AB477" i="178" s="1"/>
  <c r="AA532" i="178"/>
  <c r="AB532" i="178" s="1"/>
  <c r="AA944" i="178"/>
  <c r="AB944" i="178" s="1"/>
  <c r="AA899" i="178"/>
  <c r="AB899" i="178" s="1"/>
  <c r="AA136" i="178"/>
  <c r="AB136" i="178" s="1"/>
  <c r="AA1149" i="178"/>
  <c r="AB1149" i="178" s="1"/>
  <c r="Y780" i="178"/>
  <c r="Y257" i="178"/>
  <c r="X781" i="178"/>
  <c r="X260" i="178"/>
  <c r="X439" i="178"/>
  <c r="Z439" i="178" s="1"/>
  <c r="X416" i="178"/>
  <c r="Z416" i="178" s="1"/>
  <c r="Y938" i="178"/>
  <c r="AA1130" i="178"/>
  <c r="AB1130" i="178" s="1"/>
  <c r="Z707" i="178"/>
  <c r="AC707" i="178" s="1"/>
  <c r="X872" i="178"/>
  <c r="Z872" i="178" s="1"/>
  <c r="X663" i="178"/>
  <c r="Z663" i="178" s="1"/>
  <c r="AA392" i="178"/>
  <c r="AB392" i="178" s="1"/>
  <c r="AA491" i="178"/>
  <c r="AB491" i="178" s="1"/>
  <c r="AA417" i="178"/>
  <c r="AB417" i="178" s="1"/>
  <c r="AA692" i="178"/>
  <c r="AB692" i="178" s="1"/>
  <c r="X693" i="178"/>
  <c r="X486" i="178"/>
  <c r="X1152" i="178"/>
  <c r="Z1152" i="178" s="1"/>
  <c r="Y1035" i="178"/>
  <c r="AA1132" i="178"/>
  <c r="AB1132" i="178" s="1"/>
  <c r="AA1090" i="178"/>
  <c r="AB1090" i="178" s="1"/>
  <c r="AA1089" i="178"/>
  <c r="AB1089" i="178" s="1"/>
  <c r="Y962" i="178"/>
  <c r="Y958" i="178"/>
  <c r="Z1098" i="178"/>
  <c r="AC1098" i="178" s="1"/>
  <c r="AA394" i="178"/>
  <c r="AB394" i="178" s="1"/>
  <c r="AA419" i="178"/>
  <c r="AB419" i="178" s="1"/>
  <c r="AC699" i="178"/>
  <c r="Y1103" i="178"/>
  <c r="Y1109" i="178"/>
  <c r="Y1102" i="178"/>
  <c r="Y1244" i="178"/>
  <c r="AC743" i="178"/>
  <c r="X764" i="178"/>
  <c r="AA912" i="178"/>
  <c r="AB912" i="178" s="1"/>
  <c r="AA904" i="178"/>
  <c r="AB904" i="178" s="1"/>
  <c r="AA632" i="178"/>
  <c r="AB632" i="178" s="1"/>
  <c r="AA633" i="178"/>
  <c r="AB633" i="178" s="1"/>
  <c r="AA197" i="178"/>
  <c r="AB197" i="178" s="1"/>
  <c r="Y700" i="178"/>
  <c r="Y701" i="178"/>
  <c r="X641" i="178"/>
  <c r="Z641" i="178" s="1"/>
  <c r="X924" i="178"/>
  <c r="Z924" i="178" s="1"/>
  <c r="AA919" i="178"/>
  <c r="AB919" i="178" s="1"/>
  <c r="AA940" i="178"/>
  <c r="AB940" i="178" s="1"/>
  <c r="AA636" i="178"/>
  <c r="AB636" i="178" s="1"/>
  <c r="Y356" i="178"/>
  <c r="Y364" i="178"/>
  <c r="Y691" i="178"/>
  <c r="X1153" i="178"/>
  <c r="X137" i="178"/>
  <c r="X490" i="178"/>
  <c r="Z490" i="178" s="1"/>
  <c r="AA295" i="178"/>
  <c r="AB295" i="178" s="1"/>
  <c r="AA863" i="178"/>
  <c r="AB863" i="178" s="1"/>
  <c r="AA559" i="178"/>
  <c r="AB559" i="178" s="1"/>
  <c r="AA174" i="178"/>
  <c r="AB174" i="178" s="1"/>
  <c r="AA293" i="178"/>
  <c r="AB293" i="178" s="1"/>
  <c r="Y292" i="178"/>
  <c r="Y734" i="178"/>
  <c r="Y860" i="178"/>
  <c r="X859" i="178"/>
  <c r="X862" i="178"/>
  <c r="Z862" i="178" s="1"/>
  <c r="X665" i="178"/>
  <c r="Z665" i="178" s="1"/>
  <c r="X175" i="178"/>
  <c r="Z175" i="178" s="1"/>
  <c r="X866" i="178"/>
  <c r="Z866" i="178" s="1"/>
  <c r="X177" i="178"/>
  <c r="Z177" i="178" s="1"/>
  <c r="AA638" i="178"/>
  <c r="AB638" i="178" s="1"/>
  <c r="AA921" i="178"/>
  <c r="AB921" i="178" s="1"/>
  <c r="Y876" i="178"/>
  <c r="Y731" i="178"/>
  <c r="Y871" i="178"/>
  <c r="Y908" i="178"/>
  <c r="Y732" i="178"/>
  <c r="Y726" i="178"/>
  <c r="Y826" i="178"/>
  <c r="Y825" i="178"/>
  <c r="Y727" i="178"/>
  <c r="Y827" i="178"/>
  <c r="X485" i="178"/>
  <c r="AA412" i="178"/>
  <c r="AB412" i="178" s="1"/>
  <c r="AA662" i="178"/>
  <c r="AB662" i="178" s="1"/>
  <c r="AA579" i="178"/>
  <c r="AB579" i="178" s="1"/>
  <c r="AA865" i="178"/>
  <c r="AB865" i="178" s="1"/>
  <c r="AA581" i="178"/>
  <c r="AB581" i="178" s="1"/>
  <c r="AA387" i="178"/>
  <c r="AB387" i="178" s="1"/>
  <c r="AA634" i="178"/>
  <c r="AB634" i="178" s="1"/>
  <c r="Y892" i="178"/>
  <c r="Y159" i="178"/>
  <c r="X492" i="178"/>
  <c r="Z492" i="178" s="1"/>
  <c r="X138" i="178"/>
  <c r="Z138" i="178" s="1"/>
  <c r="X157" i="178"/>
  <c r="AA724" i="178"/>
  <c r="AB724" i="178" s="1"/>
  <c r="AA730" i="178"/>
  <c r="AB730" i="178" s="1"/>
  <c r="AA821" i="178"/>
  <c r="AB821" i="178" s="1"/>
  <c r="AA822" i="178"/>
  <c r="AB822" i="178" s="1"/>
  <c r="X689" i="178"/>
  <c r="X900" i="178"/>
  <c r="Z900" i="178" s="1"/>
  <c r="AA685" i="178"/>
  <c r="AB685" i="178" s="1"/>
  <c r="AA1148" i="178"/>
  <c r="AB1148" i="178" s="1"/>
  <c r="AA353" i="178"/>
  <c r="AB353" i="178" s="1"/>
  <c r="Y819" i="178"/>
  <c r="Y880" i="178"/>
  <c r="Y551" i="178"/>
  <c r="AC897" i="178"/>
  <c r="Z630" i="178"/>
  <c r="AC630" i="178" s="1"/>
  <c r="AA620" i="178"/>
  <c r="AB620" i="178" s="1"/>
  <c r="AA623" i="178"/>
  <c r="AB623" i="178" s="1"/>
  <c r="AA628" i="178"/>
  <c r="AB628" i="178" s="1"/>
  <c r="AA621" i="178"/>
  <c r="AB621" i="178" s="1"/>
  <c r="AA625" i="178"/>
  <c r="AB625" i="178" s="1"/>
  <c r="AA629" i="178"/>
  <c r="AB629" i="178" s="1"/>
  <c r="AA624" i="178"/>
  <c r="AB624" i="178" s="1"/>
  <c r="AA626" i="178"/>
  <c r="AB626" i="178" s="1"/>
  <c r="AA622" i="178"/>
  <c r="AB622" i="178" s="1"/>
  <c r="AA627" i="178"/>
  <c r="AB627" i="178" s="1"/>
  <c r="Y615" i="178"/>
  <c r="Y616" i="178"/>
  <c r="Z614" i="178"/>
  <c r="AC614" i="178" s="1"/>
  <c r="AA1060" i="178"/>
  <c r="AB1060" i="178" s="1"/>
  <c r="AA658" i="178"/>
  <c r="AB658" i="178" s="1"/>
  <c r="AA667" i="178"/>
  <c r="AB667" i="178" s="1"/>
  <c r="AA742" i="178"/>
  <c r="AB742" i="178" s="1"/>
  <c r="Y599" i="178"/>
  <c r="Y603" i="178"/>
  <c r="Y598" i="178"/>
  <c r="X592" i="178"/>
  <c r="Z592" i="178" s="1"/>
  <c r="X596" i="178"/>
  <c r="Z596" i="178" s="1"/>
  <c r="X593" i="178"/>
  <c r="Z593" i="178" s="1"/>
  <c r="X597" i="178"/>
  <c r="Z597" i="178" s="1"/>
  <c r="X594" i="178"/>
  <c r="Z594" i="178" s="1"/>
  <c r="X595" i="178"/>
  <c r="Z595" i="178" s="1"/>
  <c r="AA586" i="178"/>
  <c r="AB586" i="178" s="1"/>
  <c r="AA409" i="178"/>
  <c r="AB409" i="178" s="1"/>
  <c r="AA587" i="178"/>
  <c r="AB587" i="178" s="1"/>
  <c r="AA410" i="178"/>
  <c r="AB410" i="178" s="1"/>
  <c r="AA588" i="178"/>
  <c r="AB588" i="178" s="1"/>
  <c r="AA411" i="178"/>
  <c r="AB411" i="178" s="1"/>
  <c r="AA385" i="178"/>
  <c r="AB385" i="178" s="1"/>
  <c r="AA384" i="178"/>
  <c r="AB384" i="178" s="1"/>
  <c r="Y382" i="178"/>
  <c r="Y383" i="178"/>
  <c r="Z381" i="178"/>
  <c r="AC381" i="178" s="1"/>
  <c r="AA377" i="178"/>
  <c r="AB377" i="178" s="1"/>
  <c r="AA378" i="178"/>
  <c r="AB378" i="178" s="1"/>
  <c r="Y375" i="178"/>
  <c r="Y376" i="178"/>
  <c r="X373" i="178"/>
  <c r="Z373" i="178" s="1"/>
  <c r="X374" i="178"/>
  <c r="Z374" i="178" s="1"/>
  <c r="AA425" i="178"/>
  <c r="AB425" i="178" s="1"/>
  <c r="AA433" i="178"/>
  <c r="AB433" i="178" s="1"/>
  <c r="AA473" i="178"/>
  <c r="AB473" i="178" s="1"/>
  <c r="AA194" i="178"/>
  <c r="AB194" i="178" s="1"/>
  <c r="AA251" i="178"/>
  <c r="AB251" i="178" s="1"/>
  <c r="AA312" i="178"/>
  <c r="AB312" i="178" s="1"/>
  <c r="AA372" i="178"/>
  <c r="AB372" i="178" s="1"/>
  <c r="AA471" i="178"/>
  <c r="AB471" i="178" s="1"/>
  <c r="AA578" i="178"/>
  <c r="AB578" i="178" s="1"/>
  <c r="AA129" i="178"/>
  <c r="AB129" i="178" s="1"/>
  <c r="AA231" i="178"/>
  <c r="AB231" i="178" s="1"/>
  <c r="AA266" i="178"/>
  <c r="AB266" i="178" s="1"/>
  <c r="AA332" i="178"/>
  <c r="AB332" i="178" s="1"/>
  <c r="AA396" i="178"/>
  <c r="AB396" i="178" s="1"/>
  <c r="AA505" i="178"/>
  <c r="AB505" i="178" s="1"/>
  <c r="AA584" i="178"/>
  <c r="AB584" i="178" s="1"/>
  <c r="AA133" i="178"/>
  <c r="AB133" i="178" s="1"/>
  <c r="AA232" i="178"/>
  <c r="AB232" i="178" s="1"/>
  <c r="AA476" i="178"/>
  <c r="AB476" i="178" s="1"/>
  <c r="AA335" i="178"/>
  <c r="AB335" i="178" s="1"/>
  <c r="AA397" i="178"/>
  <c r="AB397" i="178" s="1"/>
  <c r="AA510" i="178"/>
  <c r="AB510" i="178" s="1"/>
  <c r="AA585" i="178"/>
  <c r="AB585" i="178" s="1"/>
  <c r="AA189" i="178"/>
  <c r="AB189" i="178" s="1"/>
  <c r="AA243" i="178"/>
  <c r="AB243" i="178" s="1"/>
  <c r="AA262" i="178"/>
  <c r="AB262" i="178" s="1"/>
  <c r="AA371" i="178"/>
  <c r="AB371" i="178" s="1"/>
  <c r="AA463" i="178"/>
  <c r="AB463" i="178" s="1"/>
  <c r="AA529" i="178"/>
  <c r="AB529" i="178" s="1"/>
  <c r="Y289" i="178"/>
  <c r="Y308" i="178"/>
  <c r="Y424" i="178"/>
  <c r="Y838" i="178"/>
  <c r="Y842" i="178"/>
  <c r="Y844" i="178"/>
  <c r="Y981" i="178"/>
  <c r="Y1187" i="178"/>
  <c r="Y37" i="178"/>
  <c r="Y839" i="178"/>
  <c r="Y843" i="178"/>
  <c r="Y949" i="178"/>
  <c r="Y1007" i="178"/>
  <c r="Y1277" i="178"/>
  <c r="Y79" i="178"/>
  <c r="Y836" i="178"/>
  <c r="Y840" i="178"/>
  <c r="Y946" i="178"/>
  <c r="Y951" i="178"/>
  <c r="Y1045" i="178"/>
  <c r="Y17" i="178"/>
  <c r="Y83" i="178"/>
  <c r="Y837" i="178"/>
  <c r="Y841" i="178"/>
  <c r="Y1278" i="178"/>
  <c r="Y976" i="178"/>
  <c r="Y1165" i="178"/>
  <c r="Y29" i="178"/>
  <c r="Y128" i="178"/>
  <c r="Z835" i="178"/>
  <c r="AC835" i="178" s="1"/>
  <c r="AA758" i="178"/>
  <c r="AB758" i="178" s="1"/>
  <c r="AA777" i="178"/>
  <c r="AB777" i="178" s="1"/>
  <c r="AA778" i="178"/>
  <c r="AB778" i="178" s="1"/>
  <c r="AA779" i="178"/>
  <c r="AB779" i="178" s="1"/>
  <c r="Y755" i="178"/>
  <c r="Y756" i="178"/>
  <c r="Y754" i="178"/>
  <c r="X752" i="178"/>
  <c r="X750" i="178"/>
  <c r="Z750" i="178" s="1"/>
  <c r="X751" i="178"/>
  <c r="AA228" i="178"/>
  <c r="AB228" i="178" s="1"/>
  <c r="AA617" i="178"/>
  <c r="AB617" i="178" s="1"/>
  <c r="AA577" i="178"/>
  <c r="AB577" i="178" s="1"/>
  <c r="AA583" i="178"/>
  <c r="AB583" i="178" s="1"/>
  <c r="AA600" i="178"/>
  <c r="AB600" i="178" s="1"/>
  <c r="Y478" i="178"/>
  <c r="Y504" i="178"/>
  <c r="Y509" i="178"/>
  <c r="Y475" i="178"/>
  <c r="X462" i="178"/>
  <c r="Z462" i="178" s="1"/>
  <c r="X470" i="178"/>
  <c r="Z470" i="178" s="1"/>
  <c r="X395" i="178"/>
  <c r="Z395" i="178" s="1"/>
  <c r="AA431" i="178"/>
  <c r="AB431" i="178" s="1"/>
  <c r="AA261" i="178"/>
  <c r="AB261" i="178" s="1"/>
  <c r="AA290" i="178"/>
  <c r="AB290" i="178" s="1"/>
  <c r="AA230" i="178"/>
  <c r="AB230" i="178" s="1"/>
  <c r="AA234" i="178"/>
  <c r="AB234" i="178" s="1"/>
  <c r="Y204" i="178"/>
  <c r="Y132" i="178"/>
  <c r="X127" i="178"/>
  <c r="X131" i="178"/>
  <c r="X74" i="178"/>
  <c r="X76" i="178"/>
  <c r="Z76" i="178" s="1"/>
  <c r="AA1156" i="178"/>
  <c r="AB1156" i="178" s="1"/>
  <c r="AA1157" i="178"/>
  <c r="AB1157" i="178" s="1"/>
  <c r="AA1155" i="178"/>
  <c r="AB1155" i="178" s="1"/>
  <c r="AA1154" i="178"/>
  <c r="AB1154" i="178" s="1"/>
  <c r="Y1018" i="178"/>
  <c r="Y1043" i="178"/>
  <c r="Y1019" i="178"/>
  <c r="Y1041" i="178"/>
  <c r="Y1042" i="178"/>
  <c r="X202" i="178"/>
  <c r="X978" i="178"/>
  <c r="X979" i="178"/>
  <c r="X975" i="178"/>
  <c r="X980" i="178"/>
  <c r="X977" i="178"/>
  <c r="AA833" i="178"/>
  <c r="AB833" i="178" s="1"/>
  <c r="AA832" i="178"/>
  <c r="AB832" i="178" s="1"/>
  <c r="Z830" i="178"/>
  <c r="AC830" i="178" s="1"/>
  <c r="AA745" i="178"/>
  <c r="AB745" i="178" s="1"/>
  <c r="AA746" i="178"/>
  <c r="AB746" i="178" s="1"/>
  <c r="AA744" i="178"/>
  <c r="AB744" i="178" s="1"/>
  <c r="X659" i="178"/>
  <c r="Z659" i="178" s="1"/>
  <c r="X264" i="178"/>
  <c r="Z264" i="178" s="1"/>
  <c r="X265" i="178"/>
  <c r="Z265" i="178" s="1"/>
  <c r="X255" i="178"/>
  <c r="Z255" i="178" s="1"/>
  <c r="X256" i="178"/>
  <c r="Z256" i="178" s="1"/>
  <c r="AA192" i="178"/>
  <c r="AB192" i="178" s="1"/>
  <c r="AA193" i="178"/>
  <c r="AB193" i="178" s="1"/>
  <c r="AA203" i="178"/>
  <c r="AB203" i="178" s="1"/>
  <c r="AA229" i="178"/>
  <c r="AB229" i="178" s="1"/>
  <c r="Y82" i="178"/>
  <c r="Y123" i="178"/>
  <c r="Y130" i="178"/>
  <c r="Y120" i="178"/>
  <c r="Y124" i="178"/>
  <c r="Y187" i="178"/>
  <c r="Y121" i="178"/>
  <c r="Y125" i="178"/>
  <c r="Y188" i="178"/>
  <c r="Y122" i="178"/>
  <c r="Y81" i="178"/>
  <c r="Y126" i="178"/>
  <c r="X78" i="178"/>
  <c r="Z78" i="178" s="1"/>
  <c r="X80" i="178"/>
  <c r="Z80" i="178" s="1"/>
  <c r="X73" i="178"/>
  <c r="Z73" i="178" s="1"/>
  <c r="X75" i="178"/>
  <c r="Z75" i="178" s="1"/>
  <c r="AA49" i="178"/>
  <c r="AB49" i="178" s="1"/>
  <c r="AA15" i="178"/>
  <c r="AB15" i="178" s="1"/>
  <c r="Y13" i="178"/>
  <c r="Y14" i="178"/>
  <c r="Y1182" i="178"/>
  <c r="Z1059" i="178"/>
  <c r="AC1059" i="178" s="1"/>
  <c r="Z1015" i="178"/>
  <c r="AC1015" i="178" s="1"/>
  <c r="AA974" i="178"/>
  <c r="AB974" i="178" s="1"/>
  <c r="AA1008" i="178"/>
  <c r="AB1008" i="178" s="1"/>
  <c r="AA972" i="178"/>
  <c r="AB972" i="178" s="1"/>
  <c r="Y829" i="178"/>
  <c r="Y771" i="178"/>
  <c r="Y772" i="178"/>
  <c r="X363" i="178"/>
  <c r="X367" i="178"/>
  <c r="X679" i="178"/>
  <c r="Z679" i="178" s="1"/>
  <c r="X678" i="178"/>
  <c r="AA1111" i="178"/>
  <c r="AB1111" i="178" s="1"/>
  <c r="AA1095" i="178"/>
  <c r="AB1095" i="178" s="1"/>
  <c r="AA1094" i="178"/>
  <c r="AB1094" i="178" s="1"/>
  <c r="AA1105" i="178"/>
  <c r="AB1105" i="178" s="1"/>
  <c r="AA1104" i="178"/>
  <c r="AB1104" i="178" s="1"/>
  <c r="AA1110" i="178"/>
  <c r="AB1110" i="178" s="1"/>
  <c r="AA1112" i="178"/>
  <c r="AB1112" i="178" s="1"/>
  <c r="Y894" i="178"/>
  <c r="AA809" i="178"/>
  <c r="AB809" i="178" s="1"/>
  <c r="AA695" i="178"/>
  <c r="AB695" i="178" s="1"/>
  <c r="AA696" i="178"/>
  <c r="AB696" i="178" s="1"/>
  <c r="AA709" i="178"/>
  <c r="AB709" i="178" s="1"/>
  <c r="AA697" i="178"/>
  <c r="AB697" i="178" s="1"/>
  <c r="AA715" i="178"/>
  <c r="AB715" i="178" s="1"/>
  <c r="Y148" i="178"/>
  <c r="Y310" i="178"/>
  <c r="Y330" i="178"/>
  <c r="Y144" i="178"/>
  <c r="Y309" i="178"/>
  <c r="Y480" i="178"/>
  <c r="Y334" i="178"/>
  <c r="Y1051" i="178"/>
  <c r="Y331" i="178"/>
  <c r="Y333" i="178"/>
  <c r="Y426" i="178"/>
  <c r="Y434" i="178"/>
  <c r="Y461" i="178"/>
  <c r="AA1063" i="178"/>
  <c r="AB1063" i="178" s="1"/>
  <c r="AA1064" i="178"/>
  <c r="AB1064" i="178" s="1"/>
  <c r="AA280" i="178"/>
  <c r="AB280" i="178" s="1"/>
  <c r="AA774" i="178"/>
  <c r="AB774" i="178" s="1"/>
  <c r="AA775" i="178"/>
  <c r="AB775" i="178" s="1"/>
  <c r="AA773" i="178"/>
  <c r="AB773" i="178" s="1"/>
  <c r="AA747" i="178"/>
  <c r="AB747" i="178" s="1"/>
  <c r="X747" i="178"/>
  <c r="X773" i="178"/>
  <c r="X774" i="178"/>
  <c r="X775" i="178"/>
  <c r="P82" i="70"/>
  <c r="AA1099" i="178"/>
  <c r="AB1099" i="178" s="1"/>
  <c r="AA1106" i="178"/>
  <c r="AB1106" i="178" s="1"/>
  <c r="Z693" i="178"/>
  <c r="Y469" i="178"/>
  <c r="Y474" i="178"/>
  <c r="Z352" i="178"/>
  <c r="AC352" i="178" s="1"/>
  <c r="X898" i="178"/>
  <c r="AA887" i="178"/>
  <c r="AB887" i="178" s="1"/>
  <c r="AA354" i="178"/>
  <c r="AB354" i="178" s="1"/>
  <c r="AA393" i="178"/>
  <c r="AB393" i="178" s="1"/>
  <c r="AA225" i="178"/>
  <c r="AB225" i="178" s="1"/>
  <c r="AA36" i="178"/>
  <c r="AB36" i="178" s="1"/>
  <c r="Y488" i="178"/>
  <c r="Y45" i="178"/>
  <c r="Y418" i="178"/>
  <c r="Y227" i="178"/>
  <c r="Y477" i="178"/>
  <c r="Y532" i="178"/>
  <c r="Y899" i="178"/>
  <c r="Y944" i="178"/>
  <c r="Y1149" i="178"/>
  <c r="Y136" i="178"/>
  <c r="AA869" i="178"/>
  <c r="AB869" i="178" s="1"/>
  <c r="X780" i="178"/>
  <c r="Z780" i="178" s="1"/>
  <c r="X257" i="178"/>
  <c r="AA158" i="178"/>
  <c r="AB158" i="178" s="1"/>
  <c r="AA782" i="178"/>
  <c r="AB782" i="178" s="1"/>
  <c r="AA263" i="178"/>
  <c r="AB263" i="178" s="1"/>
  <c r="AA391" i="178"/>
  <c r="AB391" i="178" s="1"/>
  <c r="AA171" i="178"/>
  <c r="AB171" i="178" s="1"/>
  <c r="AA427" i="178"/>
  <c r="AB427" i="178" s="1"/>
  <c r="X938" i="178"/>
  <c r="Z938" i="178" s="1"/>
  <c r="Y1130" i="178"/>
  <c r="Y392" i="178"/>
  <c r="Y692" i="178"/>
  <c r="Y491" i="178"/>
  <c r="Y417" i="178"/>
  <c r="Z1097" i="178"/>
  <c r="AC1097" i="178" s="1"/>
  <c r="X1035" i="178"/>
  <c r="AA1126" i="178"/>
  <c r="AB1126" i="178" s="1"/>
  <c r="AA1128" i="178"/>
  <c r="AB1128" i="178" s="1"/>
  <c r="AA1127" i="178"/>
  <c r="AB1127" i="178" s="1"/>
  <c r="Y1132" i="178"/>
  <c r="Y1089" i="178"/>
  <c r="Y1090" i="178"/>
  <c r="X962" i="178"/>
  <c r="X958" i="178"/>
  <c r="Y394" i="178"/>
  <c r="Y419" i="178"/>
  <c r="X1109" i="178"/>
  <c r="X1102" i="178"/>
  <c r="Z1102" i="178" s="1"/>
  <c r="AC1102" i="178" s="1"/>
  <c r="X1103" i="178"/>
  <c r="X1244" i="178"/>
  <c r="AA170" i="178"/>
  <c r="AB170" i="178" s="1"/>
  <c r="AA552" i="178"/>
  <c r="AB552" i="178" s="1"/>
  <c r="Y904" i="178"/>
  <c r="Y912" i="178"/>
  <c r="Y632" i="178"/>
  <c r="Y633" i="178"/>
  <c r="Y197" i="178"/>
  <c r="X700" i="178"/>
  <c r="X701" i="178"/>
  <c r="AA637" i="178"/>
  <c r="AB637" i="178" s="1"/>
  <c r="AA920" i="178"/>
  <c r="AB920" i="178" s="1"/>
  <c r="AA390" i="178"/>
  <c r="AB390" i="178" s="1"/>
  <c r="AA941" i="178"/>
  <c r="AB941" i="178" s="1"/>
  <c r="AA415" i="178"/>
  <c r="AB415" i="178" s="1"/>
  <c r="Y940" i="178"/>
  <c r="Y636" i="178"/>
  <c r="Y919" i="178"/>
  <c r="X356" i="178"/>
  <c r="X364" i="178"/>
  <c r="X691" i="178"/>
  <c r="AA389" i="178"/>
  <c r="AB389" i="178" s="1"/>
  <c r="AA671" i="178"/>
  <c r="AB671" i="178" s="1"/>
  <c r="AA414" i="178"/>
  <c r="AB414" i="178" s="1"/>
  <c r="AA861" i="178"/>
  <c r="AB861" i="178" s="1"/>
  <c r="Y863" i="178"/>
  <c r="Y559" i="178"/>
  <c r="Y174" i="178"/>
  <c r="Y293" i="178"/>
  <c r="Y295" i="178"/>
  <c r="X292" i="178"/>
  <c r="X734" i="178"/>
  <c r="X860" i="178"/>
  <c r="AA942" i="178"/>
  <c r="AB942" i="178" s="1"/>
  <c r="AA1147" i="178"/>
  <c r="AB1147" i="178" s="1"/>
  <c r="Y921" i="178"/>
  <c r="Y638" i="178"/>
  <c r="X908" i="178"/>
  <c r="Z908" i="178" s="1"/>
  <c r="AC908" i="178" s="1"/>
  <c r="X732" i="178"/>
  <c r="Z732" i="178" s="1"/>
  <c r="AC732" i="178" s="1"/>
  <c r="X726" i="178"/>
  <c r="X826" i="178"/>
  <c r="Z826" i="178" s="1"/>
  <c r="AC826" i="178" s="1"/>
  <c r="X825" i="178"/>
  <c r="Z825" i="178" s="1"/>
  <c r="AC825" i="178" s="1"/>
  <c r="X727" i="178"/>
  <c r="Z727" i="178" s="1"/>
  <c r="AC727" i="178" s="1"/>
  <c r="X827" i="178"/>
  <c r="X876" i="178"/>
  <c r="X731" i="178"/>
  <c r="X871" i="178"/>
  <c r="AA907" i="178"/>
  <c r="AB907" i="178" s="1"/>
  <c r="AA200" i="178"/>
  <c r="AB200" i="178" s="1"/>
  <c r="AA915" i="178"/>
  <c r="AB915" i="178" s="1"/>
  <c r="AA883" i="178"/>
  <c r="AB883" i="178" s="1"/>
  <c r="AA201" i="178"/>
  <c r="AB201" i="178" s="1"/>
  <c r="AA890" i="178"/>
  <c r="AB890" i="178" s="1"/>
  <c r="AA554" i="178"/>
  <c r="AB554" i="178" s="1"/>
  <c r="Y579" i="178"/>
  <c r="Y865" i="178"/>
  <c r="Y581" i="178"/>
  <c r="Y387" i="178"/>
  <c r="Y634" i="178"/>
  <c r="Y412" i="178"/>
  <c r="Y662" i="178"/>
  <c r="X159" i="178"/>
  <c r="Z159" i="178" s="1"/>
  <c r="AC159" i="178" s="1"/>
  <c r="X892" i="178"/>
  <c r="Y730" i="178"/>
  <c r="Y821" i="178"/>
  <c r="Y822" i="178"/>
  <c r="Y724" i="178"/>
  <c r="AA943" i="178"/>
  <c r="AB943" i="178" s="1"/>
  <c r="AA1150" i="178"/>
  <c r="AB1150" i="178" s="1"/>
  <c r="AA922" i="178"/>
  <c r="AB922" i="178" s="1"/>
  <c r="Y1148" i="178"/>
  <c r="Y353" i="178"/>
  <c r="Y685" i="178"/>
  <c r="X880" i="178"/>
  <c r="X551" i="178"/>
  <c r="X819" i="178"/>
  <c r="Y621" i="178"/>
  <c r="Y625" i="178"/>
  <c r="Y629" i="178"/>
  <c r="Y624" i="178"/>
  <c r="Y626" i="178"/>
  <c r="Y622" i="178"/>
  <c r="Y627" i="178"/>
  <c r="Y620" i="178"/>
  <c r="Y623" i="178"/>
  <c r="Y628" i="178"/>
  <c r="X615" i="178"/>
  <c r="X616" i="178"/>
  <c r="AA605" i="178"/>
  <c r="AB605" i="178" s="1"/>
  <c r="AA607" i="178"/>
  <c r="AB607" i="178" s="1"/>
  <c r="AA604" i="178"/>
  <c r="AB604" i="178" s="1"/>
  <c r="AA609" i="178"/>
  <c r="AB609" i="178" s="1"/>
  <c r="AA613" i="178"/>
  <c r="AB613" i="178" s="1"/>
  <c r="AA611" i="178"/>
  <c r="AB611" i="178" s="1"/>
  <c r="AA612" i="178"/>
  <c r="AB612" i="178" s="1"/>
  <c r="AA606" i="178"/>
  <c r="AB606" i="178" s="1"/>
  <c r="AA608" i="178"/>
  <c r="AB608" i="178" s="1"/>
  <c r="AA610" i="178"/>
  <c r="AB610" i="178" s="1"/>
  <c r="Y1060" i="178"/>
  <c r="Y658" i="178"/>
  <c r="Y667" i="178"/>
  <c r="Y742" i="178"/>
  <c r="X603" i="178"/>
  <c r="X598" i="178"/>
  <c r="X599" i="178"/>
  <c r="AA590" i="178"/>
  <c r="AB590" i="178" s="1"/>
  <c r="AA591" i="178"/>
  <c r="AB591" i="178" s="1"/>
  <c r="AA589" i="178"/>
  <c r="AB589" i="178" s="1"/>
  <c r="Y409" i="178"/>
  <c r="Y587" i="178"/>
  <c r="Y410" i="178"/>
  <c r="Y588" i="178"/>
  <c r="Y411" i="178"/>
  <c r="Y586" i="178"/>
  <c r="Z404" i="178"/>
  <c r="AC404" i="178" s="1"/>
  <c r="AA400" i="178"/>
  <c r="AB400" i="178" s="1"/>
  <c r="AA386" i="178"/>
  <c r="AB386" i="178" s="1"/>
  <c r="AA401" i="178"/>
  <c r="AB401" i="178" s="1"/>
  <c r="AA398" i="178"/>
  <c r="AB398" i="178" s="1"/>
  <c r="AA403" i="178"/>
  <c r="AB403" i="178" s="1"/>
  <c r="AA399" i="178"/>
  <c r="AB399" i="178" s="1"/>
  <c r="AA402" i="178"/>
  <c r="AB402" i="178" s="1"/>
  <c r="Y384" i="178"/>
  <c r="Y385" i="178"/>
  <c r="X383" i="178"/>
  <c r="X382" i="178"/>
  <c r="AA379" i="178"/>
  <c r="AB379" i="178" s="1"/>
  <c r="AA380" i="178"/>
  <c r="AB380" i="178" s="1"/>
  <c r="Y378" i="178"/>
  <c r="Y377" i="178"/>
  <c r="X375" i="178"/>
  <c r="X376" i="178"/>
  <c r="AA575" i="178"/>
  <c r="AB575" i="178" s="1"/>
  <c r="AA482" i="178"/>
  <c r="AB482" i="178" s="1"/>
  <c r="AA602" i="178"/>
  <c r="AB602" i="178" s="1"/>
  <c r="AA760" i="178"/>
  <c r="AB760" i="178" s="1"/>
  <c r="AA762" i="178"/>
  <c r="AB762" i="178" s="1"/>
  <c r="AA845" i="178"/>
  <c r="AB845" i="178" s="1"/>
  <c r="AA947" i="178"/>
  <c r="AB947" i="178" s="1"/>
  <c r="AA1158" i="178"/>
  <c r="AB1158" i="178" s="1"/>
  <c r="AA618" i="178"/>
  <c r="AB618" i="178" s="1"/>
  <c r="AA761" i="178"/>
  <c r="AB761" i="178" s="1"/>
  <c r="AA789" i="178"/>
  <c r="AB789" i="178" s="1"/>
  <c r="AA846" i="178"/>
  <c r="AB846" i="178" s="1"/>
  <c r="AA982" i="178"/>
  <c r="AB982" i="178" s="1"/>
  <c r="AA1159" i="178"/>
  <c r="AB1159" i="178" s="1"/>
  <c r="AA619" i="178"/>
  <c r="AB619" i="178" s="1"/>
  <c r="AA788" i="178"/>
  <c r="AB788" i="178" s="1"/>
  <c r="AA790" i="178"/>
  <c r="AB790" i="178" s="1"/>
  <c r="AA847" i="178"/>
  <c r="AB847" i="178" s="1"/>
  <c r="AA1011" i="178"/>
  <c r="AB1011" i="178" s="1"/>
  <c r="AA1188" i="178"/>
  <c r="AB1188" i="178" s="1"/>
  <c r="AA530" i="178"/>
  <c r="AB530" i="178" s="1"/>
  <c r="AA601" i="178"/>
  <c r="AB601" i="178" s="1"/>
  <c r="AA759" i="178"/>
  <c r="AB759" i="178" s="1"/>
  <c r="AA983" i="178"/>
  <c r="AB983" i="178" s="1"/>
  <c r="AA791" i="178"/>
  <c r="AB791" i="178" s="1"/>
  <c r="AA848" i="178"/>
  <c r="AB848" i="178" s="1"/>
  <c r="AA1046" i="178"/>
  <c r="AB1046" i="178" s="1"/>
  <c r="AA267" i="178"/>
  <c r="AB267" i="178" s="1"/>
  <c r="Y433" i="178"/>
  <c r="Y473" i="178"/>
  <c r="Y425" i="178"/>
  <c r="Y129" i="178"/>
  <c r="Y231" i="178"/>
  <c r="Y266" i="178"/>
  <c r="Y332" i="178"/>
  <c r="Y396" i="178"/>
  <c r="Y505" i="178"/>
  <c r="Y584" i="178"/>
  <c r="Y133" i="178"/>
  <c r="Y232" i="178"/>
  <c r="Y476" i="178"/>
  <c r="Y335" i="178"/>
  <c r="Y397" i="178"/>
  <c r="Y510" i="178"/>
  <c r="Y585" i="178"/>
  <c r="Y189" i="178"/>
  <c r="Y243" i="178"/>
  <c r="Y262" i="178"/>
  <c r="Y371" i="178"/>
  <c r="Y463" i="178"/>
  <c r="Y529" i="178"/>
  <c r="Y194" i="178"/>
  <c r="Y251" i="178"/>
  <c r="Y312" i="178"/>
  <c r="Y372" i="178"/>
  <c r="Y471" i="178"/>
  <c r="Y578" i="178"/>
  <c r="X308" i="178"/>
  <c r="X424" i="178"/>
  <c r="X289" i="178"/>
  <c r="X839" i="178"/>
  <c r="X843" i="178"/>
  <c r="X949" i="178"/>
  <c r="X1007" i="178"/>
  <c r="X1277" i="178"/>
  <c r="X79" i="178"/>
  <c r="X836" i="178"/>
  <c r="X840" i="178"/>
  <c r="X946" i="178"/>
  <c r="X951" i="178"/>
  <c r="X1045" i="178"/>
  <c r="X17" i="178"/>
  <c r="X83" i="178"/>
  <c r="X837" i="178"/>
  <c r="X841" i="178"/>
  <c r="X1278" i="178"/>
  <c r="X976" i="178"/>
  <c r="X1165" i="178"/>
  <c r="X29" i="178"/>
  <c r="X128" i="178"/>
  <c r="X838" i="178"/>
  <c r="X842" i="178"/>
  <c r="X844" i="178"/>
  <c r="X981" i="178"/>
  <c r="X1187" i="178"/>
  <c r="X37" i="178"/>
  <c r="AA655" i="178"/>
  <c r="AB655" i="178" s="1"/>
  <c r="AA783" i="178"/>
  <c r="AB783" i="178" s="1"/>
  <c r="AA787" i="178"/>
  <c r="AB787" i="178" s="1"/>
  <c r="AA784" i="178"/>
  <c r="AB784" i="178" s="1"/>
  <c r="AA834" i="178"/>
  <c r="AB834" i="178" s="1"/>
  <c r="AA785" i="178"/>
  <c r="AB785" i="178" s="1"/>
  <c r="AA786" i="178"/>
  <c r="AB786" i="178" s="1"/>
  <c r="Y777" i="178"/>
  <c r="Y778" i="178"/>
  <c r="Y779" i="178"/>
  <c r="Y758" i="178"/>
  <c r="X756" i="178"/>
  <c r="Z756" i="178" s="1"/>
  <c r="AC756" i="178" s="1"/>
  <c r="X754" i="178"/>
  <c r="Z754" i="178" s="1"/>
  <c r="X755" i="178"/>
  <c r="AA660" i="178"/>
  <c r="AB660" i="178" s="1"/>
  <c r="AA748" i="178"/>
  <c r="AB748" i="178" s="1"/>
  <c r="AA749" i="178"/>
  <c r="AB749" i="178" s="1"/>
  <c r="Y228" i="178"/>
  <c r="Y577" i="178"/>
  <c r="Y583" i="178"/>
  <c r="Y600" i="178"/>
  <c r="Y617" i="178"/>
  <c r="X504" i="178"/>
  <c r="X509" i="178"/>
  <c r="Z509" i="178" s="1"/>
  <c r="AC509" i="178" s="1"/>
  <c r="X475" i="178"/>
  <c r="Z475" i="178" s="1"/>
  <c r="AC475" i="178" s="1"/>
  <c r="X478" i="178"/>
  <c r="Z478" i="178" s="1"/>
  <c r="AC478" i="178" s="1"/>
  <c r="AA370" i="178"/>
  <c r="AB370" i="178" s="1"/>
  <c r="AA311" i="178"/>
  <c r="AB311" i="178" s="1"/>
  <c r="AA315" i="178"/>
  <c r="AB315" i="178" s="1"/>
  <c r="Y431" i="178"/>
  <c r="Y290" i="178"/>
  <c r="Y230" i="178"/>
  <c r="Y234" i="178"/>
  <c r="Y261" i="178"/>
  <c r="X132" i="178"/>
  <c r="X204" i="178"/>
  <c r="AA1185" i="178"/>
  <c r="AB1185" i="178" s="1"/>
  <c r="AA1186" i="178"/>
  <c r="AB1186" i="178" s="1"/>
  <c r="AA1184" i="178"/>
  <c r="AB1184" i="178" s="1"/>
  <c r="AA1183" i="178"/>
  <c r="AB1183" i="178" s="1"/>
  <c r="Y1157" i="178"/>
  <c r="Y1155" i="178"/>
  <c r="Y1154" i="178"/>
  <c r="Y1156" i="178"/>
  <c r="X1019" i="178"/>
  <c r="X1041" i="178"/>
  <c r="X1042" i="178"/>
  <c r="X1018" i="178"/>
  <c r="Z1018" i="178" s="1"/>
  <c r="AC1018" i="178" s="1"/>
  <c r="X1043" i="178"/>
  <c r="Z1043" i="178" s="1"/>
  <c r="AC1043" i="178" s="1"/>
  <c r="AA948" i="178"/>
  <c r="AB948" i="178" s="1"/>
  <c r="AA950" i="178"/>
  <c r="AB950" i="178" s="1"/>
  <c r="AA967" i="178"/>
  <c r="AB967" i="178" s="1"/>
  <c r="AA968" i="178"/>
  <c r="AB968" i="178" s="1"/>
  <c r="Y832" i="178"/>
  <c r="Y833" i="178"/>
  <c r="Z831" i="178"/>
  <c r="AC831" i="178" s="1"/>
  <c r="AA776" i="178"/>
  <c r="AB776" i="178" s="1"/>
  <c r="Y746" i="178"/>
  <c r="Y744" i="178"/>
  <c r="Y745" i="178"/>
  <c r="Z16" i="178"/>
  <c r="AC16" i="178" s="1"/>
  <c r="AA503" i="178"/>
  <c r="AB503" i="178" s="1"/>
  <c r="AA576" i="178"/>
  <c r="AB576" i="178" s="1"/>
  <c r="AA508" i="178"/>
  <c r="AB508" i="178" s="1"/>
  <c r="AA483" i="178"/>
  <c r="AB483" i="178" s="1"/>
  <c r="AA531" i="178"/>
  <c r="AB531" i="178" s="1"/>
  <c r="AA535" i="178"/>
  <c r="AB535" i="178" s="1"/>
  <c r="AA241" i="178"/>
  <c r="AB241" i="178" s="1"/>
  <c r="AA242" i="178"/>
  <c r="AB242" i="178" s="1"/>
  <c r="AA249" i="178"/>
  <c r="AB249" i="178" s="1"/>
  <c r="AA250" i="178"/>
  <c r="AB250" i="178" s="1"/>
  <c r="Y193" i="178"/>
  <c r="Y203" i="178"/>
  <c r="Y229" i="178"/>
  <c r="Y192" i="178"/>
  <c r="X120" i="178"/>
  <c r="X124" i="178"/>
  <c r="X187" i="178"/>
  <c r="X121" i="178"/>
  <c r="X125" i="178"/>
  <c r="X188" i="178"/>
  <c r="X81" i="178"/>
  <c r="X122" i="178"/>
  <c r="Z122" i="178" s="1"/>
  <c r="AC122" i="178" s="1"/>
  <c r="X126" i="178"/>
  <c r="X82" i="178"/>
  <c r="X130" i="178"/>
  <c r="X123" i="178"/>
  <c r="Z123" i="178" s="1"/>
  <c r="AC123" i="178" s="1"/>
  <c r="AA54" i="178"/>
  <c r="AB54" i="178" s="1"/>
  <c r="AA55" i="178"/>
  <c r="AB55" i="178" s="1"/>
  <c r="AA59" i="178"/>
  <c r="AB59" i="178" s="1"/>
  <c r="Y15" i="178"/>
  <c r="Y49" i="178"/>
  <c r="X14" i="178"/>
  <c r="X1182" i="178"/>
  <c r="Z1182" i="178" s="1"/>
  <c r="AC1182" i="178" s="1"/>
  <c r="X13" i="178"/>
  <c r="Z1016" i="178"/>
  <c r="AC1016" i="178" s="1"/>
  <c r="AA1009" i="178"/>
  <c r="AB1009" i="178" s="1"/>
  <c r="AA1010" i="178"/>
  <c r="AB1010" i="178" s="1"/>
  <c r="Y1008" i="178"/>
  <c r="Y972" i="178"/>
  <c r="Y974" i="178"/>
  <c r="X771" i="178"/>
  <c r="Z771" i="178" s="1"/>
  <c r="AC771" i="178" s="1"/>
  <c r="X772" i="178"/>
  <c r="Z772" i="178" s="1"/>
  <c r="AC772" i="178" s="1"/>
  <c r="X829" i="178"/>
  <c r="AA677" i="178"/>
  <c r="AB677" i="178" s="1"/>
  <c r="AA675" i="178"/>
  <c r="AB675" i="178" s="1"/>
  <c r="Y1094" i="178"/>
  <c r="Y1105" i="178"/>
  <c r="Y1104" i="178"/>
  <c r="Y1110" i="178"/>
  <c r="Y1112" i="178"/>
  <c r="Y1111" i="178"/>
  <c r="Y1095" i="178"/>
  <c r="X894" i="178"/>
  <c r="Y809" i="178"/>
  <c r="Y709" i="178"/>
  <c r="Y697" i="178"/>
  <c r="Y695" i="178"/>
  <c r="Y715" i="178"/>
  <c r="Y696" i="178"/>
  <c r="X330" i="178"/>
  <c r="X144" i="178"/>
  <c r="X148" i="178"/>
  <c r="X309" i="178"/>
  <c r="X310" i="178"/>
  <c r="X480" i="178"/>
  <c r="Z480" i="178" s="1"/>
  <c r="AC480" i="178" s="1"/>
  <c r="X1051" i="178"/>
  <c r="X331" i="178"/>
  <c r="X333" i="178"/>
  <c r="X334" i="178"/>
  <c r="X426" i="178"/>
  <c r="Z426" i="178" s="1"/>
  <c r="AC426" i="178" s="1"/>
  <c r="X434" i="178"/>
  <c r="Z434" i="178" s="1"/>
  <c r="AC434" i="178" s="1"/>
  <c r="X461" i="178"/>
  <c r="Z461" i="178" s="1"/>
  <c r="Y1064" i="178"/>
  <c r="Y280" i="178"/>
  <c r="Y1063" i="178"/>
  <c r="Y1099" i="178"/>
  <c r="Y1106" i="178"/>
  <c r="AA1108" i="178"/>
  <c r="AB1108" i="178" s="1"/>
  <c r="AA1107" i="178"/>
  <c r="AB1107" i="178" s="1"/>
  <c r="X474" i="178"/>
  <c r="X469" i="178"/>
  <c r="AA489" i="178"/>
  <c r="AB489" i="178" s="1"/>
  <c r="AA639" i="178"/>
  <c r="AB639" i="178" s="1"/>
  <c r="AC639" i="178" s="1"/>
  <c r="Y393" i="178"/>
  <c r="Z393" i="178" s="1"/>
  <c r="Y225" i="178"/>
  <c r="Z225" i="178" s="1"/>
  <c r="AC225" i="178" s="1"/>
  <c r="Y887" i="178"/>
  <c r="Y36" i="178"/>
  <c r="Z36" i="178" s="1"/>
  <c r="AC36" i="178" s="1"/>
  <c r="Y354" i="178"/>
  <c r="Z354" i="178" s="1"/>
  <c r="X418" i="178"/>
  <c r="X227" i="178"/>
  <c r="X488" i="178"/>
  <c r="X45" i="178"/>
  <c r="Z45" i="178" s="1"/>
  <c r="AC45" i="178" s="1"/>
  <c r="AA640" i="178"/>
  <c r="AB640" i="178" s="1"/>
  <c r="AA923" i="178"/>
  <c r="AB923" i="178" s="1"/>
  <c r="X477" i="178"/>
  <c r="X532" i="178"/>
  <c r="X944" i="178"/>
  <c r="X899" i="178"/>
  <c r="Z899" i="178" s="1"/>
  <c r="AC899" i="178" s="1"/>
  <c r="X1149" i="178"/>
  <c r="Z1149" i="178" s="1"/>
  <c r="AC1149" i="178" s="1"/>
  <c r="X136" i="178"/>
  <c r="Y869" i="178"/>
  <c r="AA260" i="178"/>
  <c r="AB260" i="178" s="1"/>
  <c r="AA781" i="178"/>
  <c r="AB781" i="178" s="1"/>
  <c r="Y263" i="178"/>
  <c r="Z263" i="178" s="1"/>
  <c r="Y391" i="178"/>
  <c r="Z391" i="178" s="1"/>
  <c r="AC391" i="178" s="1"/>
  <c r="Y782" i="178"/>
  <c r="Z782" i="178" s="1"/>
  <c r="Y171" i="178"/>
  <c r="Y158" i="178"/>
  <c r="Z158" i="178" s="1"/>
  <c r="AC158" i="178" s="1"/>
  <c r="Y427" i="178"/>
  <c r="AA416" i="178"/>
  <c r="AB416" i="178" s="1"/>
  <c r="AA439" i="178"/>
  <c r="AB439" i="178" s="1"/>
  <c r="X1130" i="178"/>
  <c r="AA872" i="178"/>
  <c r="AB872" i="178" s="1"/>
  <c r="AA663" i="178"/>
  <c r="AB663" i="178" s="1"/>
  <c r="X392" i="178"/>
  <c r="X692" i="178"/>
  <c r="X417" i="178"/>
  <c r="X491" i="178"/>
  <c r="AA486" i="178"/>
  <c r="AB486" i="178" s="1"/>
  <c r="AA1152" i="178"/>
  <c r="AB1152" i="178" s="1"/>
  <c r="AA693" i="178"/>
  <c r="AB693" i="178" s="1"/>
  <c r="Y1127" i="178"/>
  <c r="Y1126" i="178"/>
  <c r="Y1128" i="178"/>
  <c r="X1089" i="178"/>
  <c r="X1132" i="178"/>
  <c r="X1090" i="178"/>
  <c r="X419" i="178"/>
  <c r="X394" i="178"/>
  <c r="AA764" i="178"/>
  <c r="AB764" i="178" s="1"/>
  <c r="Y170" i="178"/>
  <c r="Y552" i="178"/>
  <c r="X904" i="178"/>
  <c r="X912" i="178"/>
  <c r="X633" i="178"/>
  <c r="X197" i="178"/>
  <c r="X632" i="178"/>
  <c r="AA924" i="178"/>
  <c r="AB924" i="178" s="1"/>
  <c r="AC924" i="178" s="1"/>
  <c r="AA641" i="178"/>
  <c r="AB641" i="178" s="1"/>
  <c r="Y920" i="178"/>
  <c r="Y390" i="178"/>
  <c r="Y941" i="178"/>
  <c r="Y415" i="178"/>
  <c r="Y637" i="178"/>
  <c r="X636" i="178"/>
  <c r="X919" i="178"/>
  <c r="X940" i="178"/>
  <c r="AA137" i="178"/>
  <c r="AB137" i="178" s="1"/>
  <c r="AA490" i="178"/>
  <c r="AB490" i="178" s="1"/>
  <c r="AC490" i="178" s="1"/>
  <c r="AA1153" i="178"/>
  <c r="AB1153" i="178" s="1"/>
  <c r="Y389" i="178"/>
  <c r="Y671" i="178"/>
  <c r="Y414" i="178"/>
  <c r="Y861" i="178"/>
  <c r="X174" i="178"/>
  <c r="X293" i="178"/>
  <c r="X295" i="178"/>
  <c r="Z295" i="178" s="1"/>
  <c r="AC295" i="178" s="1"/>
  <c r="X863" i="178"/>
  <c r="X559" i="178"/>
  <c r="AA665" i="178"/>
  <c r="AB665" i="178" s="1"/>
  <c r="AA175" i="178"/>
  <c r="AB175" i="178" s="1"/>
  <c r="AA866" i="178"/>
  <c r="AB866" i="178" s="1"/>
  <c r="AA177" i="178"/>
  <c r="AB177" i="178" s="1"/>
  <c r="AA859" i="178"/>
  <c r="AB859" i="178" s="1"/>
  <c r="AA862" i="178"/>
  <c r="AB862" i="178" s="1"/>
  <c r="Y942" i="178"/>
  <c r="Y1147" i="178"/>
  <c r="X638" i="178"/>
  <c r="X921" i="178"/>
  <c r="AA485" i="178"/>
  <c r="AB485" i="178" s="1"/>
  <c r="Y200" i="178"/>
  <c r="Y915" i="178"/>
  <c r="Y883" i="178"/>
  <c r="Y201" i="178"/>
  <c r="Y890" i="178"/>
  <c r="Y554" i="178"/>
  <c r="Y907" i="178"/>
  <c r="X865" i="178"/>
  <c r="X581" i="178"/>
  <c r="X387" i="178"/>
  <c r="X634" i="178"/>
  <c r="X412" i="178"/>
  <c r="X662" i="178"/>
  <c r="X579" i="178"/>
  <c r="AA138" i="178"/>
  <c r="AB138" i="178" s="1"/>
  <c r="AA157" i="178"/>
  <c r="AB157" i="178" s="1"/>
  <c r="AA492" i="178"/>
  <c r="AB492" i="178" s="1"/>
  <c r="X724" i="178"/>
  <c r="X821" i="178"/>
  <c r="X822" i="178"/>
  <c r="X730" i="178"/>
  <c r="AA689" i="178"/>
  <c r="AB689" i="178" s="1"/>
  <c r="AA900" i="178"/>
  <c r="AB900" i="178" s="1"/>
  <c r="Y1150" i="178"/>
  <c r="Y922" i="178"/>
  <c r="Y943" i="178"/>
  <c r="X1148" i="178"/>
  <c r="X353" i="178"/>
  <c r="X685" i="178"/>
  <c r="X624" i="178"/>
  <c r="X626" i="178"/>
  <c r="X622" i="178"/>
  <c r="X627" i="178"/>
  <c r="X620" i="178"/>
  <c r="X623" i="178"/>
  <c r="X628" i="178"/>
  <c r="X621" i="178"/>
  <c r="X625" i="178"/>
  <c r="Z625" i="178" s="1"/>
  <c r="AC625" i="178" s="1"/>
  <c r="X629" i="178"/>
  <c r="Y606" i="178"/>
  <c r="Y604" i="178"/>
  <c r="Y608" i="178"/>
  <c r="Y611" i="178"/>
  <c r="Y612" i="178"/>
  <c r="Y610" i="178"/>
  <c r="Y605" i="178"/>
  <c r="Y607" i="178"/>
  <c r="Y609" i="178"/>
  <c r="Y613" i="178"/>
  <c r="X1060" i="178"/>
  <c r="X667" i="178"/>
  <c r="X742" i="178"/>
  <c r="X658" i="178"/>
  <c r="AA594" i="178"/>
  <c r="AB594" i="178" s="1"/>
  <c r="AA595" i="178"/>
  <c r="AB595" i="178" s="1"/>
  <c r="AA592" i="178"/>
  <c r="AB592" i="178" s="1"/>
  <c r="AA596" i="178"/>
  <c r="AB596" i="178" s="1"/>
  <c r="AA597" i="178"/>
  <c r="AB597" i="178" s="1"/>
  <c r="AA593" i="178"/>
  <c r="AB593" i="178" s="1"/>
  <c r="Y591" i="178"/>
  <c r="Y589" i="178"/>
  <c r="Y590" i="178"/>
  <c r="X410" i="178"/>
  <c r="X588" i="178"/>
  <c r="X411" i="178"/>
  <c r="X586" i="178"/>
  <c r="X587" i="178"/>
  <c r="X409" i="178"/>
  <c r="Y386" i="178"/>
  <c r="Y401" i="178"/>
  <c r="Y398" i="178"/>
  <c r="Y403" i="178"/>
  <c r="Y399" i="178"/>
  <c r="Y402" i="178"/>
  <c r="Y400" i="178"/>
  <c r="X384" i="178"/>
  <c r="X385" i="178"/>
  <c r="Y379" i="178"/>
  <c r="Y380" i="178"/>
  <c r="X377" i="178"/>
  <c r="X378" i="178"/>
  <c r="AA373" i="178"/>
  <c r="AB373" i="178" s="1"/>
  <c r="AA374" i="178"/>
  <c r="AB374" i="178" s="1"/>
  <c r="Y482" i="178"/>
  <c r="Y530" i="178"/>
  <c r="Y618" i="178"/>
  <c r="Y761" i="178"/>
  <c r="Y789" i="178"/>
  <c r="Y846" i="178"/>
  <c r="Y982" i="178"/>
  <c r="Y1159" i="178"/>
  <c r="Y619" i="178"/>
  <c r="Y788" i="178"/>
  <c r="Y790" i="178"/>
  <c r="Y847" i="178"/>
  <c r="Y1011" i="178"/>
  <c r="Y1188" i="178"/>
  <c r="Y575" i="178"/>
  <c r="Y601" i="178"/>
  <c r="Y759" i="178"/>
  <c r="Y983" i="178"/>
  <c r="Y791" i="178"/>
  <c r="Y848" i="178"/>
  <c r="Y1046" i="178"/>
  <c r="Y267" i="178"/>
  <c r="Y602" i="178"/>
  <c r="Y760" i="178"/>
  <c r="Y762" i="178"/>
  <c r="Y845" i="178"/>
  <c r="Y947" i="178"/>
  <c r="Y1158" i="178"/>
  <c r="X473" i="178"/>
  <c r="Z473" i="178" s="1"/>
  <c r="AC473" i="178" s="1"/>
  <c r="X425" i="178"/>
  <c r="X433" i="178"/>
  <c r="X133" i="178"/>
  <c r="X232" i="178"/>
  <c r="X476" i="178"/>
  <c r="X335" i="178"/>
  <c r="X397" i="178"/>
  <c r="X510" i="178"/>
  <c r="X585" i="178"/>
  <c r="X189" i="178"/>
  <c r="X243" i="178"/>
  <c r="X262" i="178"/>
  <c r="X371" i="178"/>
  <c r="X463" i="178"/>
  <c r="X529" i="178"/>
  <c r="X194" i="178"/>
  <c r="X251" i="178"/>
  <c r="X312" i="178"/>
  <c r="X372" i="178"/>
  <c r="X471" i="178"/>
  <c r="X578" i="178"/>
  <c r="X129" i="178"/>
  <c r="X231" i="178"/>
  <c r="X266" i="178"/>
  <c r="Z266" i="178" s="1"/>
  <c r="AC266" i="178" s="1"/>
  <c r="X332" i="178"/>
  <c r="X396" i="178"/>
  <c r="X505" i="178"/>
  <c r="X584" i="178"/>
  <c r="Z584" i="178" s="1"/>
  <c r="AC584" i="178" s="1"/>
  <c r="Y655" i="178"/>
  <c r="Z655" i="178" s="1"/>
  <c r="Y784" i="178"/>
  <c r="Y834" i="178"/>
  <c r="Y785" i="178"/>
  <c r="Y786" i="178"/>
  <c r="Y783" i="178"/>
  <c r="Y787" i="178"/>
  <c r="X778" i="178"/>
  <c r="X779" i="178"/>
  <c r="X758" i="178"/>
  <c r="X777" i="178"/>
  <c r="AA750" i="178"/>
  <c r="AB750" i="178" s="1"/>
  <c r="AA751" i="178"/>
  <c r="AB751" i="178" s="1"/>
  <c r="AA752" i="178"/>
  <c r="AB752" i="178" s="1"/>
  <c r="Y660" i="178"/>
  <c r="Y748" i="178"/>
  <c r="Y749" i="178"/>
  <c r="X228" i="178"/>
  <c r="X583" i="178"/>
  <c r="X600" i="178"/>
  <c r="X617" i="178"/>
  <c r="X577" i="178"/>
  <c r="AA395" i="178"/>
  <c r="AB395" i="178" s="1"/>
  <c r="AA462" i="178"/>
  <c r="AB462" i="178" s="1"/>
  <c r="AA470" i="178"/>
  <c r="AB470" i="178" s="1"/>
  <c r="Y311" i="178"/>
  <c r="Y315" i="178"/>
  <c r="Y370" i="178"/>
  <c r="X431" i="178"/>
  <c r="X230" i="178"/>
  <c r="X234" i="178"/>
  <c r="X261" i="178"/>
  <c r="Z261" i="178" s="1"/>
  <c r="AC261" i="178" s="1"/>
  <c r="X290" i="178"/>
  <c r="AA74" i="178"/>
  <c r="AB74" i="178" s="1"/>
  <c r="AA76" i="178"/>
  <c r="AB76" i="178" s="1"/>
  <c r="AA127" i="178"/>
  <c r="AB127" i="178" s="1"/>
  <c r="AA131" i="178"/>
  <c r="AB131" i="178" s="1"/>
  <c r="Y1186" i="178"/>
  <c r="Y1184" i="178"/>
  <c r="Y1183" i="178"/>
  <c r="Y1185" i="178"/>
  <c r="X1155" i="178"/>
  <c r="X1154" i="178"/>
  <c r="X1156" i="178"/>
  <c r="X1157" i="178"/>
  <c r="AA202" i="178"/>
  <c r="AB202" i="178" s="1"/>
  <c r="AA975" i="178"/>
  <c r="AB975" i="178" s="1"/>
  <c r="AA980" i="178"/>
  <c r="AB980" i="178" s="1"/>
  <c r="AA977" i="178"/>
  <c r="AB977" i="178" s="1"/>
  <c r="AA978" i="178"/>
  <c r="AB978" i="178" s="1"/>
  <c r="AA979" i="178"/>
  <c r="AB979" i="178" s="1"/>
  <c r="Y948" i="178"/>
  <c r="Y950" i="178"/>
  <c r="Y967" i="178"/>
  <c r="Y968" i="178"/>
  <c r="X833" i="178"/>
  <c r="X832" i="178"/>
  <c r="Y776" i="178"/>
  <c r="X744" i="178"/>
  <c r="X745" i="178"/>
  <c r="X746" i="178"/>
  <c r="AA659" i="178"/>
  <c r="AB659" i="178" s="1"/>
  <c r="Y508" i="178"/>
  <c r="Y531" i="178"/>
  <c r="Y483" i="178"/>
  <c r="Y503" i="178"/>
  <c r="Y535" i="178"/>
  <c r="Y576" i="178"/>
  <c r="AA255" i="178"/>
  <c r="AB255" i="178" s="1"/>
  <c r="AA256" i="178"/>
  <c r="AB256" i="178" s="1"/>
  <c r="AA264" i="178"/>
  <c r="AB264" i="178" s="1"/>
  <c r="AA265" i="178"/>
  <c r="AB265" i="178" s="1"/>
  <c r="Y242" i="178"/>
  <c r="Y249" i="178"/>
  <c r="Y250" i="178"/>
  <c r="Y241" i="178"/>
  <c r="X203" i="178"/>
  <c r="X229" i="178"/>
  <c r="X192" i="178"/>
  <c r="X193" i="178"/>
  <c r="AA73" i="178"/>
  <c r="AB73" i="178" s="1"/>
  <c r="AA75" i="178"/>
  <c r="AB75" i="178" s="1"/>
  <c r="AA78" i="178"/>
  <c r="AB78" i="178" s="1"/>
  <c r="AA80" i="178"/>
  <c r="AB80" i="178" s="1"/>
  <c r="Y54" i="178"/>
  <c r="Y55" i="178"/>
  <c r="Y59" i="178"/>
  <c r="X15" i="178"/>
  <c r="X49" i="178"/>
  <c r="Y1009" i="178"/>
  <c r="Y1010" i="178"/>
  <c r="X972" i="178"/>
  <c r="X974" i="178"/>
  <c r="X1008" i="178"/>
  <c r="AA679" i="178"/>
  <c r="AB679" i="178" s="1"/>
  <c r="AA678" i="178"/>
  <c r="AB678" i="178" s="1"/>
  <c r="AA363" i="178"/>
  <c r="AB363" i="178" s="1"/>
  <c r="AA367" i="178"/>
  <c r="AB367" i="178" s="1"/>
  <c r="Y675" i="178"/>
  <c r="Y677" i="178"/>
  <c r="X1104" i="178"/>
  <c r="X1110" i="178"/>
  <c r="X1112" i="178"/>
  <c r="X1111" i="178"/>
  <c r="X1095" i="178"/>
  <c r="X1094" i="178"/>
  <c r="X1105" i="178"/>
  <c r="X809" i="178"/>
  <c r="X715" i="178"/>
  <c r="X697" i="178"/>
  <c r="X696" i="178"/>
  <c r="X709" i="178"/>
  <c r="X695" i="178"/>
  <c r="X280" i="178"/>
  <c r="X1063" i="178"/>
  <c r="X1064" i="178"/>
  <c r="Y775" i="178"/>
  <c r="Y747" i="178"/>
  <c r="Y773" i="178"/>
  <c r="Y774" i="178"/>
  <c r="N82" i="70"/>
  <c r="X1106" i="178"/>
  <c r="X1099" i="178"/>
  <c r="Y1107" i="178"/>
  <c r="Y1108" i="178"/>
  <c r="Z486" i="178"/>
  <c r="Z260" i="178"/>
  <c r="H27" i="3"/>
  <c r="S40" i="95"/>
  <c r="S39" i="95"/>
  <c r="S37" i="95"/>
  <c r="S36" i="95"/>
  <c r="S35" i="95"/>
  <c r="S34" i="95"/>
  <c r="S19" i="95"/>
  <c r="R20" i="95"/>
  <c r="S15" i="95"/>
  <c r="I96" i="70"/>
  <c r="K83" i="70"/>
  <c r="T83" i="70" s="1"/>
  <c r="K56" i="70"/>
  <c r="T56" i="70" s="1"/>
  <c r="K54" i="70"/>
  <c r="T54" i="70" s="1"/>
  <c r="K50" i="70"/>
  <c r="T50" i="70" s="1"/>
  <c r="K48" i="70"/>
  <c r="T48" i="70" s="1"/>
  <c r="K46" i="70"/>
  <c r="T46" i="70" s="1"/>
  <c r="K41" i="70"/>
  <c r="T41" i="70" s="1"/>
  <c r="K32" i="70"/>
  <c r="T32" i="70" s="1"/>
  <c r="K30" i="70"/>
  <c r="T30" i="70" s="1"/>
  <c r="M64" i="70"/>
  <c r="M67" i="70"/>
  <c r="M75" i="70"/>
  <c r="M42" i="70"/>
  <c r="K64" i="70"/>
  <c r="T64" i="70" s="1"/>
  <c r="M57" i="70"/>
  <c r="K70" i="70"/>
  <c r="Q70" i="70" s="1"/>
  <c r="R70" i="70" s="1"/>
  <c r="S70" i="70" s="1"/>
  <c r="K67" i="70"/>
  <c r="K35" i="70"/>
  <c r="T35" i="70" s="1"/>
  <c r="K26" i="70"/>
  <c r="Q26" i="70" s="1"/>
  <c r="K57" i="70"/>
  <c r="T57" i="70" s="1"/>
  <c r="K7" i="70"/>
  <c r="T7" i="70" s="1"/>
  <c r="M20" i="70"/>
  <c r="Q20" i="70" s="1"/>
  <c r="R20" i="70" s="1"/>
  <c r="K73" i="70"/>
  <c r="T73" i="70" s="1"/>
  <c r="M97" i="70"/>
  <c r="P22" i="95"/>
  <c r="P40" i="95"/>
  <c r="P39" i="95"/>
  <c r="P37" i="95"/>
  <c r="P36" i="95"/>
  <c r="P34" i="95"/>
  <c r="Z512" i="178"/>
  <c r="AC512" i="178" s="1"/>
  <c r="BL225" i="178"/>
  <c r="AS225" i="178"/>
  <c r="AW225" i="178"/>
  <c r="BA225" i="178"/>
  <c r="BE225" i="178"/>
  <c r="BI225" i="178"/>
  <c r="BN225" i="178"/>
  <c r="AY225" i="178"/>
  <c r="BC225" i="178"/>
  <c r="BG225" i="178"/>
  <c r="AU225" i="178"/>
  <c r="H26" i="70"/>
  <c r="BA1193" i="178"/>
  <c r="BE420" i="178"/>
  <c r="AW738" i="178"/>
  <c r="BG738" i="178"/>
  <c r="BN738" i="178"/>
  <c r="BA676" i="178"/>
  <c r="AW674" i="178"/>
  <c r="BA420" i="178"/>
  <c r="BI738" i="178"/>
  <c r="BC738" i="178"/>
  <c r="AY420" i="178"/>
  <c r="BE738" i="178"/>
  <c r="AS738" i="178"/>
  <c r="BE652" i="178"/>
  <c r="BG652" i="178"/>
  <c r="BN652" i="178"/>
  <c r="BN440" i="178"/>
  <c r="BA652" i="178"/>
  <c r="BC652" i="178"/>
  <c r="AW440" i="178"/>
  <c r="BI652" i="178"/>
  <c r="AW652" i="178"/>
  <c r="AW739" i="178"/>
  <c r="AU768" i="178"/>
  <c r="BC739" i="178"/>
  <c r="BA768" i="178"/>
  <c r="AU817" i="178"/>
  <c r="BG1191" i="178"/>
  <c r="AU653" i="178"/>
  <c r="BN653" i="178"/>
  <c r="AW653" i="178"/>
  <c r="BC440" i="178"/>
  <c r="BI440" i="178"/>
  <c r="AS440" i="178"/>
  <c r="BC362" i="178"/>
  <c r="BI362" i="178"/>
  <c r="AS362" i="178"/>
  <c r="AS674" i="178"/>
  <c r="BL674" i="178"/>
  <c r="AU674" i="178"/>
  <c r="BG653" i="178"/>
  <c r="BI653" i="178"/>
  <c r="AS653" i="178"/>
  <c r="AY440" i="178"/>
  <c r="BE440" i="178"/>
  <c r="AY362" i="178"/>
  <c r="BE362" i="178"/>
  <c r="BE674" i="178"/>
  <c r="BG674" i="178"/>
  <c r="BN674" i="178"/>
  <c r="BC653" i="178"/>
  <c r="BE653" i="178"/>
  <c r="BL440" i="178"/>
  <c r="AU440" i="178"/>
  <c r="BL362" i="178"/>
  <c r="AU362" i="178"/>
  <c r="BA674" i="178"/>
  <c r="BI739" i="178"/>
  <c r="AS739" i="178"/>
  <c r="AY739" i="178"/>
  <c r="BG768" i="178"/>
  <c r="BN768" i="178"/>
  <c r="AW768" i="178"/>
  <c r="BE739" i="178"/>
  <c r="BL739" i="178"/>
  <c r="AU739" i="178"/>
  <c r="BC768" i="178"/>
  <c r="BI768" i="178"/>
  <c r="AS768" i="178"/>
  <c r="BA739" i="178"/>
  <c r="AY768" i="178"/>
  <c r="L42" i="95"/>
  <c r="Q38" i="95"/>
  <c r="P35" i="95"/>
  <c r="O42" i="95"/>
  <c r="I7" i="70"/>
  <c r="H80" i="70"/>
  <c r="H37" i="70"/>
  <c r="T74" i="70"/>
  <c r="I39" i="70"/>
  <c r="H75" i="70"/>
  <c r="I2" i="70"/>
  <c r="K15" i="70"/>
  <c r="Q15" i="70" s="1"/>
  <c r="R15" i="70" s="1"/>
  <c r="S15" i="70" s="1"/>
  <c r="I28" i="70"/>
  <c r="K17" i="70"/>
  <c r="T17" i="70" s="1"/>
  <c r="T95" i="70"/>
  <c r="T94" i="70"/>
  <c r="I66" i="70"/>
  <c r="H24" i="70"/>
  <c r="M2" i="70"/>
  <c r="K59" i="70"/>
  <c r="T59" i="70" s="1"/>
  <c r="K52" i="70"/>
  <c r="T52" i="70" s="1"/>
  <c r="K39" i="70"/>
  <c r="T39" i="70" s="1"/>
  <c r="K81" i="70"/>
  <c r="T81" i="70" s="1"/>
  <c r="K33" i="70"/>
  <c r="T33" i="70" s="1"/>
  <c r="K90" i="70"/>
  <c r="Q90" i="70" s="1"/>
  <c r="R90" i="70" s="1"/>
  <c r="S90" i="70" s="1"/>
  <c r="M73" i="70"/>
  <c r="M17" i="70"/>
  <c r="K105" i="70"/>
  <c r="T105" i="70" s="1"/>
  <c r="K103" i="70"/>
  <c r="T103" i="70" s="1"/>
  <c r="K84" i="70"/>
  <c r="T84" i="70" s="1"/>
  <c r="K42" i="70"/>
  <c r="T42" i="70" s="1"/>
  <c r="K40" i="70"/>
  <c r="T40" i="70" s="1"/>
  <c r="K36" i="70"/>
  <c r="K34" i="70"/>
  <c r="T34" i="70" s="1"/>
  <c r="K79" i="70"/>
  <c r="T79" i="70" s="1"/>
  <c r="K31" i="70"/>
  <c r="T31" i="70" s="1"/>
  <c r="K27" i="70"/>
  <c r="T27" i="70" s="1"/>
  <c r="K18" i="70"/>
  <c r="Q18" i="70" s="1"/>
  <c r="R18" i="70" s="1"/>
  <c r="S18" i="70" s="1"/>
  <c r="M65" i="70"/>
  <c r="Q65" i="70" s="1"/>
  <c r="R65" i="70" s="1"/>
  <c r="S65" i="70" s="1"/>
  <c r="M63" i="70"/>
  <c r="M66" i="70"/>
  <c r="K92" i="70"/>
  <c r="Q92" i="70" s="1"/>
  <c r="R92" i="70" s="1"/>
  <c r="S92" i="70" s="1"/>
  <c r="M89" i="70"/>
  <c r="M72" i="70"/>
  <c r="M37" i="70"/>
  <c r="K97" i="70"/>
  <c r="T97" i="70" s="1"/>
  <c r="K4" i="70"/>
  <c r="T4" i="70" s="1"/>
  <c r="M3" i="70"/>
  <c r="K23" i="70"/>
  <c r="T23" i="70" s="1"/>
  <c r="K69" i="70"/>
  <c r="T69" i="70" s="1"/>
  <c r="K75" i="70"/>
  <c r="T75" i="70" s="1"/>
  <c r="BN1270" i="178"/>
  <c r="AU1270" i="178"/>
  <c r="AY1270" i="178"/>
  <c r="BC1270" i="178"/>
  <c r="BG1270" i="178"/>
  <c r="BL1270" i="178"/>
  <c r="AS1270" i="178"/>
  <c r="AW1270" i="178"/>
  <c r="BA1270" i="178"/>
  <c r="BE1270" i="178"/>
  <c r="BI1270" i="178"/>
  <c r="I87" i="70"/>
  <c r="I43" i="70"/>
  <c r="I22" i="70"/>
  <c r="X1265" i="178"/>
  <c r="X1264" i="178"/>
  <c r="AA1265" i="178"/>
  <c r="AB1265" i="178" s="1"/>
  <c r="AA1264" i="178"/>
  <c r="AB1264" i="178" s="1"/>
  <c r="Y1265" i="178"/>
  <c r="Y1264" i="178"/>
  <c r="AA348" i="178"/>
  <c r="AB348" i="178" s="1"/>
  <c r="AA347" i="178"/>
  <c r="AB347" i="178" s="1"/>
  <c r="Y348" i="178"/>
  <c r="Y347" i="178"/>
  <c r="X348" i="178"/>
  <c r="X347" i="178"/>
  <c r="AY716" i="178"/>
  <c r="AU918" i="178"/>
  <c r="AS716" i="178"/>
  <c r="AY307" i="178"/>
  <c r="Z1179" i="178"/>
  <c r="AC1179" i="178" s="1"/>
  <c r="AW676" i="178"/>
  <c r="BG676" i="178"/>
  <c r="BN676" i="178"/>
  <c r="BI676" i="178"/>
  <c r="BC676" i="178"/>
  <c r="BE676" i="178"/>
  <c r="AS676" i="178"/>
  <c r="I4" i="70"/>
  <c r="H101" i="70"/>
  <c r="I65" i="70"/>
  <c r="I98" i="70"/>
  <c r="H42" i="70"/>
  <c r="I56" i="70"/>
  <c r="I3" i="70"/>
  <c r="I70" i="70"/>
  <c r="I91" i="70"/>
  <c r="M93" i="70"/>
  <c r="K80" i="70"/>
  <c r="T80" i="70" s="1"/>
  <c r="X713" i="178"/>
  <c r="X720" i="178"/>
  <c r="X795" i="178"/>
  <c r="X933" i="178"/>
  <c r="X719" i="178"/>
  <c r="X712" i="178"/>
  <c r="AA939" i="178"/>
  <c r="AB939" i="178" s="1"/>
  <c r="AA365" i="178"/>
  <c r="AB365" i="178" s="1"/>
  <c r="AA702" i="178"/>
  <c r="AB702" i="178" s="1"/>
  <c r="Y710" i="178"/>
  <c r="Y796" i="178"/>
  <c r="X161" i="178"/>
  <c r="X960" i="178"/>
  <c r="X936" i="178"/>
  <c r="AA934" i="178"/>
  <c r="AB934" i="178" s="1"/>
  <c r="AA797" i="178"/>
  <c r="AB797" i="178" s="1"/>
  <c r="AA799" i="178"/>
  <c r="AB799" i="178" s="1"/>
  <c r="AA357" i="178"/>
  <c r="AB357" i="178" s="1"/>
  <c r="AA937" i="178"/>
  <c r="AB937" i="178" s="1"/>
  <c r="AA798" i="178"/>
  <c r="AB798" i="178" s="1"/>
  <c r="Y365" i="178"/>
  <c r="Y939" i="178"/>
  <c r="Y702" i="178"/>
  <c r="X710" i="178"/>
  <c r="X796" i="178"/>
  <c r="AA1131" i="178"/>
  <c r="AB1131" i="178" s="1"/>
  <c r="AA359" i="178"/>
  <c r="AB359" i="178" s="1"/>
  <c r="AA1088" i="178"/>
  <c r="AB1088" i="178" s="1"/>
  <c r="AA895" i="178"/>
  <c r="AB895" i="178" s="1"/>
  <c r="AA961" i="178"/>
  <c r="AB961" i="178" s="1"/>
  <c r="AA1125" i="178"/>
  <c r="AB1125" i="178" s="1"/>
  <c r="AA795" i="178"/>
  <c r="AB795" i="178" s="1"/>
  <c r="AA933" i="178"/>
  <c r="AB933" i="178" s="1"/>
  <c r="AA719" i="178"/>
  <c r="AB719" i="178" s="1"/>
  <c r="AA713" i="178"/>
  <c r="AB713" i="178" s="1"/>
  <c r="AA712" i="178"/>
  <c r="AB712" i="178" s="1"/>
  <c r="AA720" i="178"/>
  <c r="AB720" i="178" s="1"/>
  <c r="Y357" i="178"/>
  <c r="Y937" i="178"/>
  <c r="Y798" i="178"/>
  <c r="Y799" i="178"/>
  <c r="Y934" i="178"/>
  <c r="Y797" i="178"/>
  <c r="X365" i="178"/>
  <c r="X939" i="178"/>
  <c r="X702" i="178"/>
  <c r="AA936" i="178"/>
  <c r="AB936" i="178" s="1"/>
  <c r="AA161" i="178"/>
  <c r="AB161" i="178" s="1"/>
  <c r="AA960" i="178"/>
  <c r="AB960" i="178" s="1"/>
  <c r="Y359" i="178"/>
  <c r="Y1088" i="178"/>
  <c r="Y895" i="178"/>
  <c r="Y961" i="178"/>
  <c r="Y1125" i="178"/>
  <c r="Y1131" i="178"/>
  <c r="Y795" i="178"/>
  <c r="Y933" i="178"/>
  <c r="Y719" i="178"/>
  <c r="Y713" i="178"/>
  <c r="Y712" i="178"/>
  <c r="Y720" i="178"/>
  <c r="X799" i="178"/>
  <c r="X797" i="178"/>
  <c r="X798" i="178"/>
  <c r="X934" i="178"/>
  <c r="X357" i="178"/>
  <c r="X937" i="178"/>
  <c r="AA710" i="178"/>
  <c r="AB710" i="178" s="1"/>
  <c r="AA796" i="178"/>
  <c r="AB796" i="178" s="1"/>
  <c r="Y161" i="178"/>
  <c r="Y960" i="178"/>
  <c r="Y936" i="178"/>
  <c r="X895" i="178"/>
  <c r="X961" i="178"/>
  <c r="X1125" i="178"/>
  <c r="X1131" i="178"/>
  <c r="X359" i="178"/>
  <c r="X1088" i="178"/>
  <c r="BL1083" i="178"/>
  <c r="AS918" i="178"/>
  <c r="AW918" i="178"/>
  <c r="BI716" i="178"/>
  <c r="BC1191" i="178"/>
  <c r="BN817" i="178"/>
  <c r="BI1191" i="178"/>
  <c r="BN1191" i="178"/>
  <c r="BA816" i="178"/>
  <c r="BA966" i="178"/>
  <c r="AS1191" i="178"/>
  <c r="BL816" i="178"/>
  <c r="AW966" i="178"/>
  <c r="P33" i="95"/>
  <c r="H42" i="95"/>
  <c r="S16" i="95"/>
  <c r="R38" i="95"/>
  <c r="S33" i="95"/>
  <c r="S18" i="95"/>
  <c r="S14" i="95"/>
  <c r="S21" i="95"/>
  <c r="S17" i="95"/>
  <c r="G9" i="95"/>
  <c r="S20" i="95"/>
  <c r="S22" i="95"/>
  <c r="M74" i="70"/>
  <c r="Q74" i="70" s="1"/>
  <c r="R74" i="70" s="1"/>
  <c r="S74" i="70" s="1"/>
  <c r="I86" i="70"/>
  <c r="BL1084" i="178"/>
  <c r="BI1029" i="178"/>
  <c r="BG1256" i="178"/>
  <c r="H76" i="70"/>
  <c r="AW313" i="178"/>
  <c r="Z343" i="178"/>
  <c r="AC343" i="178" s="1"/>
  <c r="AA666" i="178"/>
  <c r="AB666" i="178" s="1"/>
  <c r="X479" i="178"/>
  <c r="AA279" i="178"/>
  <c r="AB279" i="178" s="1"/>
  <c r="Y666" i="178"/>
  <c r="Y279" i="178"/>
  <c r="Z808" i="178"/>
  <c r="AC808" i="178" s="1"/>
  <c r="X666" i="178"/>
  <c r="AA479" i="178"/>
  <c r="AB479" i="178" s="1"/>
  <c r="X279" i="178"/>
  <c r="Y479" i="178"/>
  <c r="I29" i="70"/>
  <c r="H99" i="70"/>
  <c r="I18" i="70"/>
  <c r="BA1191" i="178"/>
  <c r="BE1191" i="178"/>
  <c r="AY1191" i="178"/>
  <c r="BG816" i="178"/>
  <c r="BG966" i="178"/>
  <c r="AW1191" i="178"/>
  <c r="BL1191" i="178"/>
  <c r="BE816" i="178"/>
  <c r="BN966" i="178"/>
  <c r="T20" i="70"/>
  <c r="AY1195" i="178"/>
  <c r="BG669" i="178"/>
  <c r="Z64" i="178"/>
  <c r="AC64" i="178" s="1"/>
  <c r="L62" i="160"/>
  <c r="L63" i="160" s="1"/>
  <c r="J9" i="95"/>
  <c r="I30" i="95"/>
  <c r="O24" i="95"/>
  <c r="R13" i="95"/>
  <c r="E42" i="95"/>
  <c r="R4" i="95"/>
  <c r="H9" i="95"/>
  <c r="K42" i="95"/>
  <c r="P20" i="95"/>
  <c r="P19" i="95"/>
  <c r="P16" i="95"/>
  <c r="P15" i="95"/>
  <c r="P14" i="95"/>
  <c r="Q7" i="95"/>
  <c r="E50" i="95" s="1"/>
  <c r="Q5" i="95"/>
  <c r="S13" i="95"/>
  <c r="P7" i="95"/>
  <c r="D50" i="95" s="1"/>
  <c r="P6" i="95"/>
  <c r="N9" i="95"/>
  <c r="R22" i="95"/>
  <c r="R21" i="95"/>
  <c r="R18" i="95"/>
  <c r="R17" i="95"/>
  <c r="R14" i="95"/>
  <c r="K47" i="70"/>
  <c r="T47" i="70" s="1"/>
  <c r="T65" i="70"/>
  <c r="T44" i="70"/>
  <c r="T12" i="70"/>
  <c r="T45" i="70"/>
  <c r="T92" i="70"/>
  <c r="T5" i="70"/>
  <c r="M95" i="70"/>
  <c r="Q95" i="70" s="1"/>
  <c r="R95" i="70" s="1"/>
  <c r="K66" i="70"/>
  <c r="T66" i="70" s="1"/>
  <c r="K72" i="70"/>
  <c r="K37" i="70"/>
  <c r="T37" i="70" s="1"/>
  <c r="K63" i="70"/>
  <c r="T63" i="70" s="1"/>
  <c r="M98" i="70"/>
  <c r="H14" i="70"/>
  <c r="I14" i="70"/>
  <c r="H38" i="70"/>
  <c r="I38" i="70"/>
  <c r="H61" i="70"/>
  <c r="I61" i="70"/>
  <c r="I54" i="70"/>
  <c r="H54" i="70"/>
  <c r="K104" i="70"/>
  <c r="K43" i="70"/>
  <c r="T43" i="70" s="1"/>
  <c r="K78" i="70"/>
  <c r="T78" i="70" s="1"/>
  <c r="K24" i="70"/>
  <c r="T24" i="70" s="1"/>
  <c r="K3" i="70"/>
  <c r="H57" i="70"/>
  <c r="I57" i="70"/>
  <c r="M68" i="70"/>
  <c r="M87" i="70"/>
  <c r="K87" i="70"/>
  <c r="T87" i="70" s="1"/>
  <c r="H89" i="70"/>
  <c r="I89" i="70"/>
  <c r="H73" i="70"/>
  <c r="I73" i="70"/>
  <c r="H94" i="70"/>
  <c r="I94" i="70"/>
  <c r="H97" i="70"/>
  <c r="I97" i="70"/>
  <c r="H11" i="70"/>
  <c r="M21" i="70"/>
  <c r="K21" i="70"/>
  <c r="T21" i="70" s="1"/>
  <c r="H84" i="70"/>
  <c r="I84" i="70"/>
  <c r="I46" i="70"/>
  <c r="H46" i="70"/>
  <c r="H41" i="70"/>
  <c r="I41" i="70"/>
  <c r="H48" i="70"/>
  <c r="I48" i="70"/>
  <c r="K62" i="70"/>
  <c r="T62" i="70" s="1"/>
  <c r="K60" i="70"/>
  <c r="T60" i="70" s="1"/>
  <c r="K58" i="70"/>
  <c r="T58" i="70" s="1"/>
  <c r="K55" i="70"/>
  <c r="T55" i="70" s="1"/>
  <c r="K53" i="70"/>
  <c r="T53" i="70" s="1"/>
  <c r="K51" i="70"/>
  <c r="T51" i="70" s="1"/>
  <c r="K49" i="70"/>
  <c r="T49" i="70" s="1"/>
  <c r="K38" i="70"/>
  <c r="K76" i="70"/>
  <c r="T76" i="70" s="1"/>
  <c r="K25" i="70"/>
  <c r="T25" i="70" s="1"/>
  <c r="K22" i="70"/>
  <c r="T22" i="70" s="1"/>
  <c r="M23" i="70"/>
  <c r="M45" i="70"/>
  <c r="Q45" i="70" s="1"/>
  <c r="R45" i="70" s="1"/>
  <c r="S45" i="70" s="1"/>
  <c r="M71" i="70"/>
  <c r="Q71" i="70" s="1"/>
  <c r="R71" i="70" s="1"/>
  <c r="S71" i="70" s="1"/>
  <c r="M69" i="70"/>
  <c r="M7" i="70"/>
  <c r="E12" i="3"/>
  <c r="K2" i="70"/>
  <c r="T2" i="70" s="1"/>
  <c r="M104" i="70"/>
  <c r="M88" i="70"/>
  <c r="Q88" i="70" s="1"/>
  <c r="R88" i="70" s="1"/>
  <c r="S88" i="70" s="1"/>
  <c r="M85" i="70"/>
  <c r="Q85" i="70" s="1"/>
  <c r="R85" i="70" s="1"/>
  <c r="S85" i="70" s="1"/>
  <c r="M83" i="70"/>
  <c r="M61" i="70"/>
  <c r="Q61" i="70" s="1"/>
  <c r="R61" i="70" s="1"/>
  <c r="S61" i="70" s="1"/>
  <c r="M59" i="70"/>
  <c r="M56" i="70"/>
  <c r="M54" i="70"/>
  <c r="M52" i="70"/>
  <c r="Q52" i="70" s="1"/>
  <c r="R52" i="70" s="1"/>
  <c r="M50" i="70"/>
  <c r="M48" i="70"/>
  <c r="M46" i="70"/>
  <c r="M43" i="70"/>
  <c r="M41" i="70"/>
  <c r="M39" i="70"/>
  <c r="M32" i="70"/>
  <c r="M30" i="70"/>
  <c r="M24" i="70"/>
  <c r="M19" i="70"/>
  <c r="K93" i="70"/>
  <c r="T93" i="70" s="1"/>
  <c r="K89" i="70"/>
  <c r="T89" i="70" s="1"/>
  <c r="K98" i="70"/>
  <c r="T98" i="70" s="1"/>
  <c r="K96" i="70"/>
  <c r="T96" i="70" s="1"/>
  <c r="M82" i="70"/>
  <c r="K82" i="70"/>
  <c r="T82" i="70" s="1"/>
  <c r="M105" i="70"/>
  <c r="M103" i="70"/>
  <c r="M84" i="70"/>
  <c r="M62" i="70"/>
  <c r="M60" i="70"/>
  <c r="M58" i="70"/>
  <c r="M55" i="70"/>
  <c r="M53" i="70"/>
  <c r="M51" i="70"/>
  <c r="M49" i="70"/>
  <c r="M47" i="70"/>
  <c r="M40" i="70"/>
  <c r="M38" i="70"/>
  <c r="M36" i="70"/>
  <c r="M80" i="70"/>
  <c r="M76" i="70"/>
  <c r="M34" i="70"/>
  <c r="M79" i="70"/>
  <c r="M31" i="70"/>
  <c r="M27" i="70"/>
  <c r="Q27" i="70" s="1"/>
  <c r="R27" i="70" s="1"/>
  <c r="S27" i="70" s="1"/>
  <c r="M22" i="70"/>
  <c r="K68" i="70"/>
  <c r="T68" i="70" s="1"/>
  <c r="K91" i="70"/>
  <c r="T91" i="70" s="1"/>
  <c r="Q33" i="95"/>
  <c r="F42" i="95"/>
  <c r="Q12" i="95"/>
  <c r="P18" i="95"/>
  <c r="S12" i="95"/>
  <c r="S4" i="95"/>
  <c r="S27" i="95"/>
  <c r="R40" i="95"/>
  <c r="R39" i="95"/>
  <c r="R37" i="95"/>
  <c r="R36" i="95"/>
  <c r="R35" i="95"/>
  <c r="R34" i="95"/>
  <c r="P21" i="95"/>
  <c r="P17" i="95"/>
  <c r="O9" i="95"/>
  <c r="J42" i="95"/>
  <c r="N42" i="95"/>
  <c r="P28" i="95"/>
  <c r="R16" i="95"/>
  <c r="S38" i="95"/>
  <c r="J24" i="95"/>
  <c r="H30" i="95"/>
  <c r="K30" i="95"/>
  <c r="R6" i="95"/>
  <c r="R33" i="95"/>
  <c r="Q13" i="95"/>
  <c r="P5" i="95"/>
  <c r="M9" i="95"/>
  <c r="G24" i="95"/>
  <c r="D9" i="95"/>
  <c r="Q39" i="95"/>
  <c r="Q37" i="95"/>
  <c r="Q36" i="95"/>
  <c r="Q35" i="95"/>
  <c r="Q34" i="95"/>
  <c r="S7" i="95"/>
  <c r="S6" i="95"/>
  <c r="Q27" i="95"/>
  <c r="Q30" i="95" s="1"/>
  <c r="E9" i="95"/>
  <c r="R19" i="95"/>
  <c r="R15" i="95"/>
  <c r="R7" i="95"/>
  <c r="D13" i="3"/>
  <c r="N24" i="95"/>
  <c r="Q6" i="95"/>
  <c r="Q22" i="95"/>
  <c r="Q21" i="95"/>
  <c r="Q19" i="95"/>
  <c r="Q18" i="95"/>
  <c r="Q17" i="95"/>
  <c r="Q15" i="95"/>
  <c r="Q14" i="95"/>
  <c r="Q40" i="95"/>
  <c r="P12" i="95"/>
  <c r="P4" i="95"/>
  <c r="C18" i="3" s="1"/>
  <c r="I28" i="3" s="1"/>
  <c r="H24" i="95"/>
  <c r="I24" i="95"/>
  <c r="D12" i="3"/>
  <c r="I6" i="70"/>
  <c r="D11" i="3"/>
  <c r="H60" i="70"/>
  <c r="H23" i="70"/>
  <c r="I62" i="70"/>
  <c r="E11" i="3"/>
  <c r="E13" i="3"/>
  <c r="H27" i="70"/>
  <c r="H25" i="70"/>
  <c r="H58" i="70"/>
  <c r="I63" i="70"/>
  <c r="L58" i="160"/>
  <c r="L59" i="160" s="1"/>
  <c r="E66" i="160"/>
  <c r="D66" i="160"/>
  <c r="M24" i="95"/>
  <c r="J30" i="95"/>
  <c r="K9" i="95"/>
  <c r="M42" i="95"/>
  <c r="K24" i="95"/>
  <c r="I42" i="95"/>
  <c r="L9" i="95"/>
  <c r="S28" i="95"/>
  <c r="I9" i="95"/>
  <c r="P13" i="95"/>
  <c r="Q20" i="95"/>
  <c r="L24" i="95"/>
  <c r="Q4" i="95"/>
  <c r="Q16" i="95"/>
  <c r="P38" i="95"/>
  <c r="S5" i="95"/>
  <c r="R5" i="95"/>
  <c r="F24" i="95"/>
  <c r="R27" i="95"/>
  <c r="R30" i="95" s="1"/>
  <c r="E24" i="95"/>
  <c r="G42" i="95"/>
  <c r="D42" i="95"/>
  <c r="F9" i="95"/>
  <c r="D24" i="95"/>
  <c r="P27" i="95"/>
  <c r="R12" i="95"/>
  <c r="T77" i="70"/>
  <c r="Q77" i="70"/>
  <c r="R77" i="70" s="1"/>
  <c r="S77" i="70" s="1"/>
  <c r="Q5" i="70"/>
  <c r="R5" i="70" s="1"/>
  <c r="S5" i="70" s="1"/>
  <c r="T6" i="70"/>
  <c r="T9" i="70"/>
  <c r="Q6" i="70"/>
  <c r="R6" i="70" s="1"/>
  <c r="S6" i="70" s="1"/>
  <c r="T85" i="70"/>
  <c r="Q11" i="70"/>
  <c r="R11" i="70" s="1"/>
  <c r="S11" i="70" s="1"/>
  <c r="T11" i="70"/>
  <c r="Q86" i="70"/>
  <c r="R86" i="70" s="1"/>
  <c r="T86" i="70"/>
  <c r="T36" i="70"/>
  <c r="Q8" i="70"/>
  <c r="R8" i="70" s="1"/>
  <c r="S8" i="70" s="1"/>
  <c r="T8" i="70"/>
  <c r="T13" i="70"/>
  <c r="T71" i="70"/>
  <c r="T70" i="70"/>
  <c r="Q16" i="70"/>
  <c r="R16" i="70" s="1"/>
  <c r="S16" i="70" s="1"/>
  <c r="Q12" i="70"/>
  <c r="R12" i="70" s="1"/>
  <c r="Q9" i="70"/>
  <c r="R9" i="70" s="1"/>
  <c r="S9" i="70" s="1"/>
  <c r="Q44" i="70"/>
  <c r="R44" i="70" s="1"/>
  <c r="S44" i="70" s="1"/>
  <c r="Q13" i="70"/>
  <c r="R13" i="70" s="1"/>
  <c r="Q10" i="70"/>
  <c r="R10" i="70" s="1"/>
  <c r="T10" i="70"/>
  <c r="T28" i="70"/>
  <c r="Q28" i="70"/>
  <c r="R28" i="70" s="1"/>
  <c r="S28" i="70" s="1"/>
  <c r="Q102" i="70"/>
  <c r="R102" i="70" s="1"/>
  <c r="S102" i="70" s="1"/>
  <c r="T102" i="70"/>
  <c r="T100" i="70"/>
  <c r="Q100" i="70"/>
  <c r="R100" i="70" s="1"/>
  <c r="T88" i="70"/>
  <c r="Q14" i="70"/>
  <c r="R14" i="70" s="1"/>
  <c r="S14" i="70" s="1"/>
  <c r="T14" i="70"/>
  <c r="T101" i="70"/>
  <c r="Q101" i="70"/>
  <c r="R101" i="70" s="1"/>
  <c r="S101" i="70" s="1"/>
  <c r="T99" i="70"/>
  <c r="Q99" i="70"/>
  <c r="R99" i="70" s="1"/>
  <c r="S99" i="70" s="1"/>
  <c r="Q29" i="70"/>
  <c r="R29" i="70" s="1"/>
  <c r="S29" i="70" s="1"/>
  <c r="T29" i="70"/>
  <c r="Q94" i="70"/>
  <c r="R94" i="70" s="1"/>
  <c r="T61" i="70"/>
  <c r="T16" i="70"/>
  <c r="T18" i="70"/>
  <c r="BC491" i="178"/>
  <c r="AY291" i="178"/>
  <c r="Z43" i="178"/>
  <c r="AC43" i="178" s="1"/>
  <c r="Z181" i="178"/>
  <c r="AC181" i="178" s="1"/>
  <c r="Z220" i="178"/>
  <c r="AC220" i="178" s="1"/>
  <c r="Z216" i="178"/>
  <c r="Z953" i="178"/>
  <c r="Z342" i="178"/>
  <c r="Z571" i="178"/>
  <c r="Z1030" i="178"/>
  <c r="Z1259" i="178"/>
  <c r="Z1266" i="178"/>
  <c r="Z764" i="178"/>
  <c r="Z134" i="178"/>
  <c r="Z182" i="178"/>
  <c r="Z206" i="178"/>
  <c r="Z223" i="178"/>
  <c r="Z1146" i="178"/>
  <c r="Z1166" i="178"/>
  <c r="Z1258" i="178"/>
  <c r="Z901" i="178"/>
  <c r="Z520" i="178"/>
  <c r="AC520" i="178" s="1"/>
  <c r="I92" i="70"/>
  <c r="I85" i="70"/>
  <c r="I105" i="70"/>
  <c r="I93" i="70"/>
  <c r="I44" i="70"/>
  <c r="I59" i="70"/>
  <c r="H71" i="70"/>
  <c r="I64" i="70"/>
  <c r="I100" i="70"/>
  <c r="H15" i="70"/>
  <c r="I69" i="70"/>
  <c r="I77" i="70"/>
  <c r="I9" i="70"/>
  <c r="I68" i="70"/>
  <c r="I52" i="70"/>
  <c r="I88" i="70"/>
  <c r="I12" i="70"/>
  <c r="I19" i="70"/>
  <c r="I102" i="70"/>
  <c r="I32" i="70"/>
  <c r="H50" i="70"/>
  <c r="H36" i="70"/>
  <c r="I78" i="70"/>
  <c r="Z176" i="178"/>
  <c r="Z219" i="178"/>
  <c r="Z213" i="178"/>
  <c r="Z222" i="178"/>
  <c r="Z314" i="178"/>
  <c r="Z344" i="178"/>
  <c r="Z484" i="178"/>
  <c r="AC484" i="178" s="1"/>
  <c r="Z854" i="178"/>
  <c r="Z1031" i="178"/>
  <c r="Z1267" i="178"/>
  <c r="Z1270" i="178"/>
  <c r="AC1270" i="178" s="1"/>
  <c r="Z180" i="178"/>
  <c r="Z183" i="178"/>
  <c r="Z221" i="178"/>
  <c r="Z1079" i="178"/>
  <c r="AC1079" i="178" s="1"/>
  <c r="Z1271" i="178"/>
  <c r="Z224" i="178"/>
  <c r="Z959" i="178"/>
  <c r="AA140" i="178"/>
  <c r="AB140" i="178" s="1"/>
  <c r="AA141" i="178"/>
  <c r="AB141" i="178" s="1"/>
  <c r="AA178" i="178"/>
  <c r="AB178" i="178" s="1"/>
  <c r="AA179" i="178"/>
  <c r="AB179" i="178" s="1"/>
  <c r="Y1121" i="178"/>
  <c r="Y1122" i="178"/>
  <c r="Y294" i="178"/>
  <c r="Y340" i="178"/>
  <c r="Y341" i="178"/>
  <c r="Y351" i="178"/>
  <c r="Y350" i="178"/>
  <c r="X794" i="178"/>
  <c r="X705" i="178"/>
  <c r="X711" i="178"/>
  <c r="X793" i="178"/>
  <c r="AA413" i="178"/>
  <c r="AB413" i="178" s="1"/>
  <c r="Y430" i="178"/>
  <c r="Z519" i="178"/>
  <c r="X542" i="178"/>
  <c r="X541" i="178"/>
  <c r="AA545" i="178"/>
  <c r="AB545" i="178" s="1"/>
  <c r="Y549" i="178"/>
  <c r="Y555" i="178"/>
  <c r="AA582" i="178"/>
  <c r="AB582" i="178" s="1"/>
  <c r="AA644" i="178"/>
  <c r="AB644" i="178" s="1"/>
  <c r="AA643" i="178"/>
  <c r="AB643" i="178" s="1"/>
  <c r="AA642" i="178"/>
  <c r="AB642" i="178" s="1"/>
  <c r="Y646" i="178"/>
  <c r="Y645" i="178"/>
  <c r="X649" i="178"/>
  <c r="X647" i="178"/>
  <c r="X648" i="178"/>
  <c r="AA652" i="178"/>
  <c r="AB652" i="178" s="1"/>
  <c r="AA651" i="178"/>
  <c r="AB651" i="178" s="1"/>
  <c r="Y653" i="178"/>
  <c r="X654" i="178"/>
  <c r="AA664" i="178"/>
  <c r="AB664" i="178" s="1"/>
  <c r="Y668" i="178"/>
  <c r="Y669" i="178"/>
  <c r="Y670" i="178"/>
  <c r="AA690" i="178"/>
  <c r="AB690" i="178" s="1"/>
  <c r="AA893" i="178"/>
  <c r="AB893" i="178" s="1"/>
  <c r="Y698" i="178"/>
  <c r="Y935" i="178"/>
  <c r="X706" i="178"/>
  <c r="X694" i="178"/>
  <c r="AA792" i="178"/>
  <c r="AB792" i="178" s="1"/>
  <c r="AA160" i="178"/>
  <c r="AB160" i="178" s="1"/>
  <c r="Y800" i="178"/>
  <c r="Y801" i="178"/>
  <c r="X956" i="178"/>
  <c r="X957" i="178"/>
  <c r="X806" i="178"/>
  <c r="X805" i="178"/>
  <c r="X804" i="178"/>
  <c r="X807" i="178"/>
  <c r="Y850" i="178"/>
  <c r="Y851" i="178"/>
  <c r="Y852" i="178"/>
  <c r="X864" i="178"/>
  <c r="Y932" i="178"/>
  <c r="Y896" i="178"/>
  <c r="AA1033" i="178"/>
  <c r="AB1033" i="178" s="1"/>
  <c r="AA1032" i="178"/>
  <c r="AB1032" i="178" s="1"/>
  <c r="AA1195" i="178"/>
  <c r="AB1195" i="178" s="1"/>
  <c r="AA1196" i="178"/>
  <c r="AB1196" i="178" s="1"/>
  <c r="Y1034" i="178"/>
  <c r="X1096" i="178"/>
  <c r="AA1116" i="178"/>
  <c r="AB1116" i="178" s="1"/>
  <c r="AA1115" i="178"/>
  <c r="AB1115" i="178" s="1"/>
  <c r="AA1114" i="178"/>
  <c r="AB1114" i="178" s="1"/>
  <c r="Y1118" i="178"/>
  <c r="Y1117" i="178"/>
  <c r="X1120" i="178"/>
  <c r="X1119" i="178"/>
  <c r="X1133" i="178"/>
  <c r="X1134" i="178"/>
  <c r="X1135" i="178"/>
  <c r="Z1151" i="178"/>
  <c r="AA1092" i="178"/>
  <c r="AB1092" i="178" s="1"/>
  <c r="AA1091" i="178"/>
  <c r="AB1091" i="178" s="1"/>
  <c r="Y1093" i="178"/>
  <c r="Y1101" i="178"/>
  <c r="X1255" i="178"/>
  <c r="X1256" i="178"/>
  <c r="AA1261" i="178"/>
  <c r="AB1261" i="178" s="1"/>
  <c r="AA1262" i="178"/>
  <c r="AB1262" i="178" s="1"/>
  <c r="AA927" i="178"/>
  <c r="AB927" i="178" s="1"/>
  <c r="AA926" i="178"/>
  <c r="AB926" i="178" s="1"/>
  <c r="AA925" i="178"/>
  <c r="AB925" i="178" s="1"/>
  <c r="X925" i="178"/>
  <c r="X927" i="178"/>
  <c r="X926" i="178"/>
  <c r="AA814" i="178"/>
  <c r="AB814" i="178" s="1"/>
  <c r="AA815" i="178"/>
  <c r="AB815" i="178" s="1"/>
  <c r="AA817" i="178"/>
  <c r="AB817" i="178" s="1"/>
  <c r="AA816" i="178"/>
  <c r="AB816" i="178" s="1"/>
  <c r="X815" i="178"/>
  <c r="X814" i="178"/>
  <c r="X817" i="178"/>
  <c r="X816" i="178"/>
  <c r="AA802" i="178"/>
  <c r="AB802" i="178" s="1"/>
  <c r="X802" i="178"/>
  <c r="AA766" i="178"/>
  <c r="AB766" i="178" s="1"/>
  <c r="AA765" i="178"/>
  <c r="AB765" i="178" s="1"/>
  <c r="AA769" i="178"/>
  <c r="AB769" i="178" s="1"/>
  <c r="AA768" i="178"/>
  <c r="AB768" i="178" s="1"/>
  <c r="AA767" i="178"/>
  <c r="AB767" i="178" s="1"/>
  <c r="X766" i="178"/>
  <c r="X765" i="178"/>
  <c r="X767" i="178"/>
  <c r="X769" i="178"/>
  <c r="X768" i="178"/>
  <c r="Z572" i="178"/>
  <c r="AC572" i="178" s="1"/>
  <c r="Y562" i="178"/>
  <c r="Y563" i="178"/>
  <c r="Y560" i="178"/>
  <c r="Y561" i="178"/>
  <c r="Y495" i="178"/>
  <c r="Y494" i="178"/>
  <c r="Y428" i="178"/>
  <c r="Y429" i="178"/>
  <c r="Y421" i="178"/>
  <c r="Y420" i="178"/>
  <c r="Y368" i="178"/>
  <c r="Y369" i="178"/>
  <c r="Y913" i="178"/>
  <c r="Y911" i="178"/>
  <c r="Y909" i="178"/>
  <c r="Y910" i="178"/>
  <c r="Y914" i="178"/>
  <c r="AA903" i="178"/>
  <c r="AB903" i="178" s="1"/>
  <c r="AA902" i="178"/>
  <c r="AB902" i="178" s="1"/>
  <c r="AA906" i="178"/>
  <c r="AB906" i="178" s="1"/>
  <c r="AA905" i="178"/>
  <c r="AB905" i="178" s="1"/>
  <c r="X902" i="178"/>
  <c r="X906" i="178"/>
  <c r="X905" i="178"/>
  <c r="X903" i="178"/>
  <c r="AA885" i="178"/>
  <c r="AB885" i="178" s="1"/>
  <c r="AA891" i="178"/>
  <c r="AB891" i="178" s="1"/>
  <c r="AA889" i="178"/>
  <c r="AB889" i="178" s="1"/>
  <c r="AA888" i="178"/>
  <c r="AB888" i="178" s="1"/>
  <c r="AA886" i="178"/>
  <c r="AB886" i="178" s="1"/>
  <c r="X888" i="178"/>
  <c r="X886" i="178"/>
  <c r="X885" i="178"/>
  <c r="X891" i="178"/>
  <c r="X889" i="178"/>
  <c r="AA877" i="178"/>
  <c r="AB877" i="178" s="1"/>
  <c r="AA878" i="178"/>
  <c r="AB878" i="178" s="1"/>
  <c r="AA884" i="178"/>
  <c r="AB884" i="178" s="1"/>
  <c r="AA882" i="178"/>
  <c r="AB882" i="178" s="1"/>
  <c r="AA881" i="178"/>
  <c r="AB881" i="178" s="1"/>
  <c r="AA879" i="178"/>
  <c r="AB879" i="178" s="1"/>
  <c r="X881" i="178"/>
  <c r="X879" i="178"/>
  <c r="X877" i="178"/>
  <c r="X878" i="178"/>
  <c r="X884" i="178"/>
  <c r="X882" i="178"/>
  <c r="Y875" i="178"/>
  <c r="Y873" i="178"/>
  <c r="AA870" i="178"/>
  <c r="AB870" i="178" s="1"/>
  <c r="AA868" i="178"/>
  <c r="AB868" i="178" s="1"/>
  <c r="AA867" i="178"/>
  <c r="AB867" i="178" s="1"/>
  <c r="X867" i="178"/>
  <c r="X870" i="178"/>
  <c r="X868" i="178"/>
  <c r="Y1276" i="178"/>
  <c r="Y1275" i="178"/>
  <c r="Y1191" i="178"/>
  <c r="Y1194" i="178"/>
  <c r="Y1190" i="178"/>
  <c r="Y1193" i="178"/>
  <c r="Y1192" i="178"/>
  <c r="Y1189" i="178"/>
  <c r="AA1171" i="178"/>
  <c r="AB1171" i="178" s="1"/>
  <c r="AA1177" i="178"/>
  <c r="AB1177" i="178" s="1"/>
  <c r="AA1172" i="178"/>
  <c r="AB1172" i="178" s="1"/>
  <c r="AA1174" i="178"/>
  <c r="AB1174" i="178" s="1"/>
  <c r="AA1176" i="178"/>
  <c r="AB1176" i="178" s="1"/>
  <c r="AA1178" i="178"/>
  <c r="AB1178" i="178" s="1"/>
  <c r="AA1173" i="178"/>
  <c r="AB1173" i="178" s="1"/>
  <c r="AA1175" i="178"/>
  <c r="AB1175" i="178" s="1"/>
  <c r="AA1170" i="178"/>
  <c r="AB1170" i="178" s="1"/>
  <c r="X1176" i="178"/>
  <c r="X1178" i="178"/>
  <c r="X1173" i="178"/>
  <c r="X1175" i="178"/>
  <c r="X1171" i="178"/>
  <c r="X1177" i="178"/>
  <c r="X1172" i="178"/>
  <c r="X1174" i="178"/>
  <c r="X1170" i="178"/>
  <c r="Y1160" i="178"/>
  <c r="Y1163" i="178"/>
  <c r="Y1162" i="178"/>
  <c r="Y1161" i="178"/>
  <c r="AA1138" i="178"/>
  <c r="AB1138" i="178" s="1"/>
  <c r="AA1141" i="178"/>
  <c r="AB1141" i="178" s="1"/>
  <c r="AA1145" i="178"/>
  <c r="AB1145" i="178" s="1"/>
  <c r="AA1140" i="178"/>
  <c r="AB1140" i="178" s="1"/>
  <c r="AA1139" i="178"/>
  <c r="AB1139" i="178" s="1"/>
  <c r="AA1143" i="178"/>
  <c r="AB1143" i="178" s="1"/>
  <c r="AA1144" i="178"/>
  <c r="AB1144" i="178" s="1"/>
  <c r="AA1142" i="178"/>
  <c r="AB1142" i="178" s="1"/>
  <c r="X1139" i="178"/>
  <c r="X1143" i="178"/>
  <c r="X1144" i="178"/>
  <c r="X1142" i="178"/>
  <c r="X1138" i="178"/>
  <c r="X1141" i="178"/>
  <c r="X1145" i="178"/>
  <c r="X1140" i="178"/>
  <c r="AA1049" i="178"/>
  <c r="AB1049" i="178" s="1"/>
  <c r="AA1048" i="178"/>
  <c r="AB1048" i="178" s="1"/>
  <c r="AA1050" i="178"/>
  <c r="AB1050" i="178" s="1"/>
  <c r="AA1047" i="178"/>
  <c r="AB1047" i="178" s="1"/>
  <c r="X1050" i="178"/>
  <c r="X1047" i="178"/>
  <c r="X1049" i="178"/>
  <c r="X1048" i="178"/>
  <c r="Y1038" i="178"/>
  <c r="Y1037" i="178"/>
  <c r="Y1039" i="178"/>
  <c r="Y1036" i="178"/>
  <c r="Y1040" i="178"/>
  <c r="Y1005" i="178"/>
  <c r="Y1004" i="178"/>
  <c r="AA1003" i="178"/>
  <c r="AB1003" i="178" s="1"/>
  <c r="AA1001" i="178"/>
  <c r="AB1001" i="178" s="1"/>
  <c r="AA1002" i="178"/>
  <c r="AB1002" i="178" s="1"/>
  <c r="AA1000" i="178"/>
  <c r="AB1000" i="178" s="1"/>
  <c r="X1002" i="178"/>
  <c r="X1003" i="178"/>
  <c r="X1001" i="178"/>
  <c r="X1000" i="178"/>
  <c r="AA540" i="178"/>
  <c r="AB540" i="178" s="1"/>
  <c r="AA539" i="178"/>
  <c r="AB539" i="178" s="1"/>
  <c r="Y528" i="178"/>
  <c r="Y527" i="178"/>
  <c r="Y526" i="178"/>
  <c r="Y514" i="178"/>
  <c r="Y513" i="178"/>
  <c r="AA501" i="178"/>
  <c r="AB501" i="178" s="1"/>
  <c r="AA500" i="178"/>
  <c r="AB500" i="178" s="1"/>
  <c r="AA499" i="178"/>
  <c r="AB499" i="178" s="1"/>
  <c r="AA465" i="178"/>
  <c r="AB465" i="178" s="1"/>
  <c r="AA467" i="178"/>
  <c r="AB467" i="178" s="1"/>
  <c r="AA466" i="178"/>
  <c r="AB466" i="178" s="1"/>
  <c r="AA464" i="178"/>
  <c r="AB464" i="178" s="1"/>
  <c r="X467" i="178"/>
  <c r="X466" i="178"/>
  <c r="X465" i="178"/>
  <c r="X464" i="178"/>
  <c r="Y458" i="178"/>
  <c r="Y459" i="178"/>
  <c r="Y457" i="178"/>
  <c r="Y336" i="178"/>
  <c r="Y338" i="178"/>
  <c r="Y337" i="178"/>
  <c r="AA328" i="178"/>
  <c r="AB328" i="178" s="1"/>
  <c r="AA327" i="178"/>
  <c r="AB327" i="178" s="1"/>
  <c r="AA329" i="178"/>
  <c r="AB329" i="178" s="1"/>
  <c r="X329" i="178"/>
  <c r="X328" i="178"/>
  <c r="X327" i="178"/>
  <c r="Y326" i="178"/>
  <c r="Y325" i="178"/>
  <c r="Y324" i="178"/>
  <c r="AA323" i="178"/>
  <c r="AB323" i="178" s="1"/>
  <c r="AA322" i="178"/>
  <c r="AB322" i="178" s="1"/>
  <c r="AA321" i="178"/>
  <c r="AB321" i="178" s="1"/>
  <c r="X322" i="178"/>
  <c r="X321" i="178"/>
  <c r="X323" i="178"/>
  <c r="Y320" i="178"/>
  <c r="Y319" i="178"/>
  <c r="AA316" i="178"/>
  <c r="AB316" i="178" s="1"/>
  <c r="AA318" i="178"/>
  <c r="AB318" i="178" s="1"/>
  <c r="AA317" i="178"/>
  <c r="AB317" i="178" s="1"/>
  <c r="X317" i="178"/>
  <c r="X316" i="178"/>
  <c r="X318" i="178"/>
  <c r="Y304" i="178"/>
  <c r="Y306" i="178"/>
  <c r="Y303" i="178"/>
  <c r="Y305" i="178"/>
  <c r="Y302" i="178"/>
  <c r="AA298" i="178"/>
  <c r="AB298" i="178" s="1"/>
  <c r="AA299" i="178"/>
  <c r="AB299" i="178" s="1"/>
  <c r="AA297" i="178"/>
  <c r="AB297" i="178" s="1"/>
  <c r="AA301" i="178"/>
  <c r="AB301" i="178" s="1"/>
  <c r="AA300" i="178"/>
  <c r="AB300" i="178" s="1"/>
  <c r="AA296" i="178"/>
  <c r="AB296" i="178" s="1"/>
  <c r="X301" i="178"/>
  <c r="X300" i="178"/>
  <c r="X298" i="178"/>
  <c r="X299" i="178"/>
  <c r="X297" i="178"/>
  <c r="X296" i="178"/>
  <c r="AA253" i="178"/>
  <c r="AB253" i="178" s="1"/>
  <c r="AA252" i="178"/>
  <c r="AB252" i="178" s="1"/>
  <c r="AA254" i="178"/>
  <c r="AB254" i="178" s="1"/>
  <c r="X254" i="178"/>
  <c r="X253" i="178"/>
  <c r="X252" i="178"/>
  <c r="Y247" i="178"/>
  <c r="Y246" i="178"/>
  <c r="Y245" i="178"/>
  <c r="Y244" i="178"/>
  <c r="AA240" i="178"/>
  <c r="AB240" i="178" s="1"/>
  <c r="AA239" i="178"/>
  <c r="AB239" i="178" s="1"/>
  <c r="AA238" i="178"/>
  <c r="AB238" i="178" s="1"/>
  <c r="X240" i="178"/>
  <c r="X239" i="178"/>
  <c r="X238" i="178"/>
  <c r="Y236" i="178"/>
  <c r="Y237" i="178"/>
  <c r="Y235" i="178"/>
  <c r="AA215" i="178"/>
  <c r="AB215" i="178" s="1"/>
  <c r="AA214" i="178"/>
  <c r="AB214" i="178" s="1"/>
  <c r="X215" i="178"/>
  <c r="X214" i="178"/>
  <c r="AA278" i="178"/>
  <c r="AB278" i="178" s="1"/>
  <c r="AA283" i="178"/>
  <c r="AB283" i="178" s="1"/>
  <c r="AA287" i="178"/>
  <c r="AB287" i="178" s="1"/>
  <c r="AA286" i="178"/>
  <c r="AB286" i="178" s="1"/>
  <c r="AA285" i="178"/>
  <c r="AB285" i="178" s="1"/>
  <c r="AA284" i="178"/>
  <c r="AB284" i="178" s="1"/>
  <c r="AA281" i="178"/>
  <c r="AB281" i="178" s="1"/>
  <c r="AA288" i="178"/>
  <c r="AB288" i="178" s="1"/>
  <c r="X278" i="178"/>
  <c r="X284" i="178"/>
  <c r="X281" i="178"/>
  <c r="X288" i="178"/>
  <c r="X283" i="178"/>
  <c r="X287" i="178"/>
  <c r="X286" i="178"/>
  <c r="X285" i="178"/>
  <c r="AA258" i="178"/>
  <c r="AB258" i="178" s="1"/>
  <c r="AA259" i="178"/>
  <c r="AB259" i="178" s="1"/>
  <c r="X259" i="178"/>
  <c r="X258" i="178"/>
  <c r="Y71" i="178"/>
  <c r="Y70" i="178"/>
  <c r="Y1246" i="178"/>
  <c r="Y1248" i="178"/>
  <c r="Y1247" i="178"/>
  <c r="Y1245" i="178"/>
  <c r="AA1219" i="178"/>
  <c r="AB1219" i="178" s="1"/>
  <c r="AA1221" i="178"/>
  <c r="AB1221" i="178" s="1"/>
  <c r="AA1215" i="178"/>
  <c r="AB1215" i="178" s="1"/>
  <c r="AA1217" i="178"/>
  <c r="AB1217" i="178" s="1"/>
  <c r="AA1218" i="178"/>
  <c r="AB1218" i="178" s="1"/>
  <c r="AA1216" i="178"/>
  <c r="AB1216" i="178" s="1"/>
  <c r="AA1220" i="178"/>
  <c r="AB1220" i="178" s="1"/>
  <c r="AA1222" i="178"/>
  <c r="AB1222" i="178" s="1"/>
  <c r="X1218" i="178"/>
  <c r="X1216" i="178"/>
  <c r="X1220" i="178"/>
  <c r="X1222" i="178"/>
  <c r="X1219" i="178"/>
  <c r="X1221" i="178"/>
  <c r="X1215" i="178"/>
  <c r="X1217" i="178"/>
  <c r="Y1207" i="178"/>
  <c r="Y1213" i="178"/>
  <c r="Y1210" i="178"/>
  <c r="Y1212" i="178"/>
  <c r="Y1206" i="178"/>
  <c r="Y1211" i="178"/>
  <c r="Y1214" i="178"/>
  <c r="Y1208" i="178"/>
  <c r="Y1209" i="178"/>
  <c r="AA965" i="178"/>
  <c r="AB965" i="178" s="1"/>
  <c r="AA964" i="178"/>
  <c r="AB964" i="178" s="1"/>
  <c r="AA366" i="178"/>
  <c r="AB366" i="178" s="1"/>
  <c r="AA966" i="178"/>
  <c r="AB966" i="178" s="1"/>
  <c r="X965" i="178"/>
  <c r="X964" i="178"/>
  <c r="X366" i="178"/>
  <c r="X966" i="178"/>
  <c r="Y570" i="178"/>
  <c r="AA566" i="178"/>
  <c r="AB566" i="178" s="1"/>
  <c r="AA568" i="178"/>
  <c r="AB568" i="178" s="1"/>
  <c r="AA569" i="178"/>
  <c r="AB569" i="178" s="1"/>
  <c r="AA567" i="178"/>
  <c r="AB567" i="178" s="1"/>
  <c r="X569" i="178"/>
  <c r="X567" i="178"/>
  <c r="X566" i="178"/>
  <c r="X568" i="178"/>
  <c r="Y557" i="178"/>
  <c r="Y556" i="178"/>
  <c r="Y558" i="178"/>
  <c r="AA533" i="178"/>
  <c r="AB533" i="178" s="1"/>
  <c r="AA534" i="178"/>
  <c r="AB534" i="178" s="1"/>
  <c r="X533" i="178"/>
  <c r="X534" i="178"/>
  <c r="Y355" i="178"/>
  <c r="Y358" i="178"/>
  <c r="Y362" i="178"/>
  <c r="Y360" i="178"/>
  <c r="Y361" i="178"/>
  <c r="Y704" i="178"/>
  <c r="Y716" i="178"/>
  <c r="Y717" i="178"/>
  <c r="Y703" i="178"/>
  <c r="AA165" i="178"/>
  <c r="AB165" i="178" s="1"/>
  <c r="AA164" i="178"/>
  <c r="AB164" i="178" s="1"/>
  <c r="AA163" i="178"/>
  <c r="AB163" i="178" s="1"/>
  <c r="AA167" i="178"/>
  <c r="AB167" i="178" s="1"/>
  <c r="AA162" i="178"/>
  <c r="AB162" i="178" s="1"/>
  <c r="AA166" i="178"/>
  <c r="AB166" i="178" s="1"/>
  <c r="X163" i="178"/>
  <c r="X167" i="178"/>
  <c r="X162" i="178"/>
  <c r="X166" i="178"/>
  <c r="X165" i="178"/>
  <c r="X164" i="178"/>
  <c r="Y156" i="178"/>
  <c r="Y155" i="178"/>
  <c r="Y154" i="178"/>
  <c r="AA273" i="178"/>
  <c r="AB273" i="178" s="1"/>
  <c r="AA277" i="178"/>
  <c r="AB277" i="178" s="1"/>
  <c r="AA276" i="178"/>
  <c r="AB276" i="178" s="1"/>
  <c r="AA275" i="178"/>
  <c r="AB275" i="178" s="1"/>
  <c r="AA272" i="178"/>
  <c r="AB272" i="178" s="1"/>
  <c r="AA274" i="178"/>
  <c r="AB274" i="178" s="1"/>
  <c r="X276" i="178"/>
  <c r="X275" i="178"/>
  <c r="X272" i="178"/>
  <c r="X274" i="178"/>
  <c r="X273" i="178"/>
  <c r="X277" i="178"/>
  <c r="Z536" i="178"/>
  <c r="AA991" i="178"/>
  <c r="AB991" i="178" s="1"/>
  <c r="AA994" i="178"/>
  <c r="AB994" i="178" s="1"/>
  <c r="AA992" i="178"/>
  <c r="AB992" i="178" s="1"/>
  <c r="AA993" i="178"/>
  <c r="AB993" i="178" s="1"/>
  <c r="AA984" i="178"/>
  <c r="AB984" i="178" s="1"/>
  <c r="AA989" i="178"/>
  <c r="AB989" i="178" s="1"/>
  <c r="AA987" i="178"/>
  <c r="AB987" i="178" s="1"/>
  <c r="AA986" i="178"/>
  <c r="AB986" i="178" s="1"/>
  <c r="AA990" i="178"/>
  <c r="AB990" i="178" s="1"/>
  <c r="AA985" i="178"/>
  <c r="AB985" i="178" s="1"/>
  <c r="AA988" i="178"/>
  <c r="AB988" i="178" s="1"/>
  <c r="Z1169" i="178"/>
  <c r="AC1169" i="178" s="1"/>
  <c r="Z525" i="178"/>
  <c r="Z3" i="178"/>
  <c r="AC3" i="178" s="1"/>
  <c r="Z518" i="178"/>
  <c r="Z135" i="178"/>
  <c r="AC135" i="178" s="1"/>
  <c r="Y140" i="178"/>
  <c r="Y141" i="178"/>
  <c r="Y178" i="178"/>
  <c r="Y179" i="178"/>
  <c r="X1121" i="178"/>
  <c r="Z1121" i="178" s="1"/>
  <c r="X1122" i="178"/>
  <c r="Z1122" i="178" s="1"/>
  <c r="X294" i="178"/>
  <c r="X340" i="178"/>
  <c r="Z340" i="178" s="1"/>
  <c r="X341" i="178"/>
  <c r="Z341" i="178" s="1"/>
  <c r="X350" i="178"/>
  <c r="X351" i="178"/>
  <c r="AA388" i="178"/>
  <c r="AB388" i="178" s="1"/>
  <c r="Y413" i="178"/>
  <c r="X430" i="178"/>
  <c r="AA515" i="178"/>
  <c r="AB515" i="178" s="1"/>
  <c r="AA516" i="178"/>
  <c r="AB516" i="178" s="1"/>
  <c r="AA544" i="178"/>
  <c r="AB544" i="178" s="1"/>
  <c r="AA543" i="178"/>
  <c r="AB543" i="178" s="1"/>
  <c r="Y545" i="178"/>
  <c r="X555" i="178"/>
  <c r="X549" i="178"/>
  <c r="AA580" i="178"/>
  <c r="AB580" i="178" s="1"/>
  <c r="Y582" i="178"/>
  <c r="AA635" i="178"/>
  <c r="AB635" i="178" s="1"/>
  <c r="Y643" i="178"/>
  <c r="Y644" i="178"/>
  <c r="Y642" i="178"/>
  <c r="X646" i="178"/>
  <c r="X645" i="178"/>
  <c r="Y652" i="178"/>
  <c r="Y651" i="178"/>
  <c r="X653" i="178"/>
  <c r="AA661" i="178"/>
  <c r="AB661" i="178" s="1"/>
  <c r="Y664" i="178"/>
  <c r="X670" i="178"/>
  <c r="X668" i="178"/>
  <c r="X669" i="178"/>
  <c r="AA673" i="178"/>
  <c r="AB673" i="178" s="1"/>
  <c r="AA672" i="178"/>
  <c r="AB672" i="178" s="1"/>
  <c r="Y690" i="178"/>
  <c r="Y893" i="178"/>
  <c r="X698" i="178"/>
  <c r="X935" i="178"/>
  <c r="AA714" i="178"/>
  <c r="AB714" i="178" s="1"/>
  <c r="AA718" i="178"/>
  <c r="AB718" i="178" s="1"/>
  <c r="Y792" i="178"/>
  <c r="Y160" i="178"/>
  <c r="X801" i="178"/>
  <c r="X800" i="178"/>
  <c r="AA954" i="178"/>
  <c r="AB954" i="178" s="1"/>
  <c r="AA955" i="178"/>
  <c r="AB955" i="178" s="1"/>
  <c r="AA708" i="178"/>
  <c r="AB708" i="178" s="1"/>
  <c r="AA813" i="178"/>
  <c r="AB813" i="178" s="1"/>
  <c r="AA812" i="178"/>
  <c r="AB812" i="178" s="1"/>
  <c r="AA811" i="178"/>
  <c r="AB811" i="178" s="1"/>
  <c r="AA810" i="178"/>
  <c r="AB810" i="178" s="1"/>
  <c r="X850" i="178"/>
  <c r="X851" i="178"/>
  <c r="X852" i="178"/>
  <c r="X932" i="178"/>
  <c r="X896" i="178"/>
  <c r="Y1033" i="178"/>
  <c r="Y1032" i="178"/>
  <c r="AA1081" i="178"/>
  <c r="AB1081" i="178" s="1"/>
  <c r="AA1082" i="178"/>
  <c r="AB1082" i="178" s="1"/>
  <c r="Y1195" i="178"/>
  <c r="Y1196" i="178"/>
  <c r="X1034" i="178"/>
  <c r="AA1100" i="178"/>
  <c r="AB1100" i="178" s="1"/>
  <c r="Y1116" i="178"/>
  <c r="Y1115" i="178"/>
  <c r="Y1114" i="178"/>
  <c r="X1118" i="178"/>
  <c r="X1117" i="178"/>
  <c r="AA1124" i="178"/>
  <c r="AB1124" i="178" s="1"/>
  <c r="AA1123" i="178"/>
  <c r="AB1123" i="178" s="1"/>
  <c r="AA1136" i="178"/>
  <c r="AB1136" i="178" s="1"/>
  <c r="AA1137" i="178"/>
  <c r="AB1137" i="178" s="1"/>
  <c r="Y1091" i="178"/>
  <c r="Y1092" i="178"/>
  <c r="X1101" i="178"/>
  <c r="X1093" i="178"/>
  <c r="AA1241" i="178"/>
  <c r="AB1241" i="178" s="1"/>
  <c r="AA1240" i="178"/>
  <c r="AB1240" i="178" s="1"/>
  <c r="Y1261" i="178"/>
  <c r="Y1262" i="178"/>
  <c r="Y928" i="178"/>
  <c r="Y931" i="178"/>
  <c r="Y930" i="178"/>
  <c r="Y929" i="178"/>
  <c r="Y916" i="178"/>
  <c r="Y917" i="178"/>
  <c r="Y548" i="178"/>
  <c r="Y547" i="178"/>
  <c r="Y173" i="178"/>
  <c r="Y172" i="178"/>
  <c r="Y823" i="178"/>
  <c r="Y820" i="178"/>
  <c r="Y824" i="178"/>
  <c r="Y818" i="178"/>
  <c r="AA736" i="178"/>
  <c r="AB736" i="178" s="1"/>
  <c r="AA735" i="178"/>
  <c r="AB735" i="178" s="1"/>
  <c r="AA738" i="178"/>
  <c r="AB738" i="178" s="1"/>
  <c r="AA737" i="178"/>
  <c r="AB737" i="178" s="1"/>
  <c r="AA733" i="178"/>
  <c r="AB733" i="178" s="1"/>
  <c r="AA739" i="178"/>
  <c r="AB739" i="178" s="1"/>
  <c r="X736" i="178"/>
  <c r="X735" i="178"/>
  <c r="X739" i="178"/>
  <c r="X738" i="178"/>
  <c r="X737" i="178"/>
  <c r="X733" i="178"/>
  <c r="Y728" i="178"/>
  <c r="Y729" i="178"/>
  <c r="AA723" i="178"/>
  <c r="AB723" i="178" s="1"/>
  <c r="AA722" i="178"/>
  <c r="AB722" i="178" s="1"/>
  <c r="AA725" i="178"/>
  <c r="AB725" i="178" s="1"/>
  <c r="X725" i="178"/>
  <c r="X723" i="178"/>
  <c r="X722" i="178"/>
  <c r="AA687" i="178"/>
  <c r="AB687" i="178" s="1"/>
  <c r="AA686" i="178"/>
  <c r="AB686" i="178" s="1"/>
  <c r="AA688" i="178"/>
  <c r="AB688" i="178" s="1"/>
  <c r="X686" i="178"/>
  <c r="X688" i="178"/>
  <c r="X687" i="178"/>
  <c r="AA682" i="178"/>
  <c r="AB682" i="178" s="1"/>
  <c r="AA680" i="178"/>
  <c r="AB680" i="178" s="1"/>
  <c r="AA684" i="178"/>
  <c r="AB684" i="178" s="1"/>
  <c r="AA683" i="178"/>
  <c r="AB683" i="178" s="1"/>
  <c r="AA681" i="178"/>
  <c r="AB681" i="178" s="1"/>
  <c r="X683" i="178"/>
  <c r="X681" i="178"/>
  <c r="X682" i="178"/>
  <c r="X680" i="178"/>
  <c r="X684" i="178"/>
  <c r="Y553" i="178"/>
  <c r="AA291" i="178"/>
  <c r="AB291" i="178" s="1"/>
  <c r="X291" i="178"/>
  <c r="Y196" i="178"/>
  <c r="Y195" i="178"/>
  <c r="Y199" i="178"/>
  <c r="Y198" i="178"/>
  <c r="X1037" i="178"/>
  <c r="X1039" i="178"/>
  <c r="X1036" i="178"/>
  <c r="X1040" i="178"/>
  <c r="X1038" i="178"/>
  <c r="AA538" i="178"/>
  <c r="AB538" i="178" s="1"/>
  <c r="AA537" i="178"/>
  <c r="AB537" i="178" s="1"/>
  <c r="X538" i="178"/>
  <c r="X537" i="178"/>
  <c r="AA456" i="178"/>
  <c r="AB456" i="178" s="1"/>
  <c r="AA455" i="178"/>
  <c r="AB455" i="178" s="1"/>
  <c r="AA454" i="178"/>
  <c r="AB454" i="178" s="1"/>
  <c r="X456" i="178"/>
  <c r="X455" i="178"/>
  <c r="X454" i="178"/>
  <c r="Y451" i="178"/>
  <c r="Y452" i="178"/>
  <c r="Y453" i="178"/>
  <c r="Y450" i="178"/>
  <c r="AA448" i="178"/>
  <c r="AB448" i="178" s="1"/>
  <c r="AA449" i="178"/>
  <c r="AB449" i="178" s="1"/>
  <c r="AA447" i="178"/>
  <c r="AB447" i="178" s="1"/>
  <c r="X449" i="178"/>
  <c r="X448" i="178"/>
  <c r="X447" i="178"/>
  <c r="Y446" i="178"/>
  <c r="Y445" i="178"/>
  <c r="Y444" i="178"/>
  <c r="AA442" i="178"/>
  <c r="AB442" i="178" s="1"/>
  <c r="AA443" i="178"/>
  <c r="AB443" i="178" s="1"/>
  <c r="AA441" i="178"/>
  <c r="AB441" i="178" s="1"/>
  <c r="X443" i="178"/>
  <c r="X442" i="178"/>
  <c r="X441" i="178"/>
  <c r="Y438" i="178"/>
  <c r="Y437" i="178"/>
  <c r="Y436" i="178"/>
  <c r="Y435" i="178"/>
  <c r="AA142" i="178"/>
  <c r="AB142" i="178" s="1"/>
  <c r="AA143" i="178"/>
  <c r="AB143" i="178" s="1"/>
  <c r="X143" i="178"/>
  <c r="X142" i="178"/>
  <c r="Y207" i="178"/>
  <c r="Y208" i="178"/>
  <c r="Y210" i="178"/>
  <c r="Y209" i="178"/>
  <c r="Y211" i="178"/>
  <c r="AA112" i="178"/>
  <c r="AB112" i="178" s="1"/>
  <c r="AA117" i="178"/>
  <c r="AB117" i="178" s="1"/>
  <c r="AA115" i="178"/>
  <c r="AB115" i="178" s="1"/>
  <c r="AA116" i="178"/>
  <c r="AB116" i="178" s="1"/>
  <c r="AA114" i="178"/>
  <c r="AB114" i="178" s="1"/>
  <c r="AA111" i="178"/>
  <c r="AB111" i="178" s="1"/>
  <c r="AA113" i="178"/>
  <c r="AB113" i="178" s="1"/>
  <c r="AA110" i="178"/>
  <c r="AB110" i="178" s="1"/>
  <c r="X116" i="178"/>
  <c r="X114" i="178"/>
  <c r="X111" i="178"/>
  <c r="X113" i="178"/>
  <c r="X112" i="178"/>
  <c r="X117" i="178"/>
  <c r="X115" i="178"/>
  <c r="X110" i="178"/>
  <c r="Y102" i="178"/>
  <c r="Y109" i="178"/>
  <c r="Y108" i="178"/>
  <c r="Y105" i="178"/>
  <c r="Y107" i="178"/>
  <c r="Y104" i="178"/>
  <c r="Y101" i="178"/>
  <c r="Y103" i="178"/>
  <c r="Y106" i="178"/>
  <c r="Y100" i="178"/>
  <c r="AA93" i="178"/>
  <c r="AB93" i="178" s="1"/>
  <c r="AA98" i="178"/>
  <c r="AB98" i="178" s="1"/>
  <c r="AA96" i="178"/>
  <c r="AB96" i="178" s="1"/>
  <c r="AA97" i="178"/>
  <c r="AB97" i="178" s="1"/>
  <c r="AA95" i="178"/>
  <c r="AB95" i="178" s="1"/>
  <c r="AA94" i="178"/>
  <c r="AB94" i="178" s="1"/>
  <c r="AA92" i="178"/>
  <c r="AB92" i="178" s="1"/>
  <c r="X97" i="178"/>
  <c r="X95" i="178"/>
  <c r="X94" i="178"/>
  <c r="X93" i="178"/>
  <c r="X98" i="178"/>
  <c r="X96" i="178"/>
  <c r="X92" i="178"/>
  <c r="Y87" i="178"/>
  <c r="Y86" i="178"/>
  <c r="Y91" i="178"/>
  <c r="Y89" i="178"/>
  <c r="Y90" i="178"/>
  <c r="Y88" i="178"/>
  <c r="Y85" i="178"/>
  <c r="AA84" i="178"/>
  <c r="AB84" i="178" s="1"/>
  <c r="X84" i="178"/>
  <c r="Y61" i="178"/>
  <c r="Y63" i="178"/>
  <c r="Y60" i="178"/>
  <c r="Y62" i="178"/>
  <c r="Y52" i="178"/>
  <c r="Y53" i="178"/>
  <c r="AA50" i="178"/>
  <c r="AB50" i="178" s="1"/>
  <c r="AA51" i="178"/>
  <c r="AB51" i="178" s="1"/>
  <c r="X51" i="178"/>
  <c r="X50" i="178"/>
  <c r="Y46" i="178"/>
  <c r="Y47" i="178"/>
  <c r="Y42" i="178"/>
  <c r="Y41" i="178"/>
  <c r="AA40" i="178"/>
  <c r="AB40" i="178" s="1"/>
  <c r="AA39" i="178"/>
  <c r="AB39" i="178" s="1"/>
  <c r="AA38" i="178"/>
  <c r="AB38" i="178" s="1"/>
  <c r="X39" i="178"/>
  <c r="X38" i="178"/>
  <c r="X40" i="178"/>
  <c r="AA33" i="178"/>
  <c r="AB33" i="178" s="1"/>
  <c r="X33" i="178"/>
  <c r="Y32" i="178"/>
  <c r="AA31" i="178"/>
  <c r="AB31" i="178" s="1"/>
  <c r="X31" i="178"/>
  <c r="Y30" i="178"/>
  <c r="AA24" i="178"/>
  <c r="AB24" i="178" s="1"/>
  <c r="AA26" i="178"/>
  <c r="AB26" i="178" s="1"/>
  <c r="AA28" i="178"/>
  <c r="AB28" i="178" s="1"/>
  <c r="AA23" i="178"/>
  <c r="AB23" i="178" s="1"/>
  <c r="AA27" i="178"/>
  <c r="AB27" i="178" s="1"/>
  <c r="AA25" i="178"/>
  <c r="AB25" i="178" s="1"/>
  <c r="X23" i="178"/>
  <c r="X27" i="178"/>
  <c r="X25" i="178"/>
  <c r="X24" i="178"/>
  <c r="X26" i="178"/>
  <c r="X28" i="178"/>
  <c r="Y19" i="178"/>
  <c r="Y21" i="178"/>
  <c r="Y22" i="178"/>
  <c r="Y20" i="178"/>
  <c r="Y18" i="178"/>
  <c r="AA10" i="178"/>
  <c r="AB10" i="178" s="1"/>
  <c r="AA6" i="178"/>
  <c r="AB6" i="178" s="1"/>
  <c r="AA8" i="178"/>
  <c r="AB8" i="178" s="1"/>
  <c r="AA9" i="178"/>
  <c r="AB9" i="178" s="1"/>
  <c r="AA5" i="178"/>
  <c r="AB5" i="178" s="1"/>
  <c r="AA7" i="178"/>
  <c r="AB7" i="178" s="1"/>
  <c r="AA4" i="178"/>
  <c r="AB4" i="178" s="1"/>
  <c r="AA11" i="178"/>
  <c r="AB11" i="178" s="1"/>
  <c r="X5" i="178"/>
  <c r="X7" i="178"/>
  <c r="X4" i="178"/>
  <c r="X11" i="178"/>
  <c r="X10" i="178"/>
  <c r="X6" i="178"/>
  <c r="X9" i="178"/>
  <c r="X8" i="178"/>
  <c r="AA1274" i="178"/>
  <c r="AB1274" i="178" s="1"/>
  <c r="X1274" i="178"/>
  <c r="AA1180" i="178"/>
  <c r="AB1180" i="178" s="1"/>
  <c r="X1180" i="178"/>
  <c r="Y1062" i="178"/>
  <c r="Y1061" i="178"/>
  <c r="Y1068" i="178"/>
  <c r="Y1074" i="178"/>
  <c r="Y1076" i="178"/>
  <c r="Y1070" i="178"/>
  <c r="Y1077" i="178"/>
  <c r="Y1073" i="178"/>
  <c r="Y1069" i="178"/>
  <c r="Y1066" i="178"/>
  <c r="Y1071" i="178"/>
  <c r="Y1075" i="178"/>
  <c r="Y1067" i="178"/>
  <c r="Y1072" i="178"/>
  <c r="AA1056" i="178"/>
  <c r="AB1056" i="178" s="1"/>
  <c r="AA1053" i="178"/>
  <c r="AB1053" i="178" s="1"/>
  <c r="AA1052" i="178"/>
  <c r="AB1052" i="178" s="1"/>
  <c r="AA1055" i="178"/>
  <c r="AB1055" i="178" s="1"/>
  <c r="AA1054" i="178"/>
  <c r="AB1054" i="178" s="1"/>
  <c r="X1055" i="178"/>
  <c r="X1054" i="178"/>
  <c r="X1053" i="178"/>
  <c r="X1052" i="178"/>
  <c r="X1056" i="178"/>
  <c r="AA1021" i="178"/>
  <c r="AB1021" i="178" s="1"/>
  <c r="AA1023" i="178"/>
  <c r="AB1023" i="178" s="1"/>
  <c r="AA1020" i="178"/>
  <c r="AB1020" i="178" s="1"/>
  <c r="AA1022" i="178"/>
  <c r="AB1022" i="178" s="1"/>
  <c r="AA1027" i="178"/>
  <c r="AB1027" i="178" s="1"/>
  <c r="X1020" i="178"/>
  <c r="X1022" i="178"/>
  <c r="X1027" i="178"/>
  <c r="X1021" i="178"/>
  <c r="X1023" i="178"/>
  <c r="Y1012" i="178"/>
  <c r="Y1014" i="178"/>
  <c r="Y1013" i="178"/>
  <c r="AA1006" i="178"/>
  <c r="AB1006" i="178" s="1"/>
  <c r="X1006" i="178"/>
  <c r="AA969" i="178"/>
  <c r="AB969" i="178" s="1"/>
  <c r="AA971" i="178"/>
  <c r="AB971" i="178" s="1"/>
  <c r="AA970" i="178"/>
  <c r="AB970" i="178" s="1"/>
  <c r="X970" i="178"/>
  <c r="X969" i="178"/>
  <c r="X971" i="178"/>
  <c r="Y740" i="178"/>
  <c r="Y574" i="178"/>
  <c r="Y573" i="178"/>
  <c r="Y507" i="178"/>
  <c r="Y502" i="178"/>
  <c r="AA468" i="178"/>
  <c r="AB468" i="178" s="1"/>
  <c r="X468" i="178"/>
  <c r="AA460" i="178"/>
  <c r="AB460" i="178" s="1"/>
  <c r="X460" i="178"/>
  <c r="AA307" i="178"/>
  <c r="AB307" i="178" s="1"/>
  <c r="X307" i="178"/>
  <c r="AA147" i="178"/>
  <c r="AB147" i="178" s="1"/>
  <c r="AA150" i="178"/>
  <c r="AB150" i="178" s="1"/>
  <c r="AA149" i="178"/>
  <c r="AB149" i="178" s="1"/>
  <c r="X147" i="178"/>
  <c r="X150" i="178"/>
  <c r="X149" i="178"/>
  <c r="AA118" i="178"/>
  <c r="AB118" i="178" s="1"/>
  <c r="X118" i="178"/>
  <c r="Y564" i="178"/>
  <c r="AA1113" i="178"/>
  <c r="AB1113" i="178" s="1"/>
  <c r="X1113" i="178"/>
  <c r="AA676" i="178"/>
  <c r="AB676" i="178" s="1"/>
  <c r="AA674" i="178"/>
  <c r="AB674" i="178" s="1"/>
  <c r="X676" i="178"/>
  <c r="X674" i="178"/>
  <c r="AA270" i="178"/>
  <c r="AB270" i="178" s="1"/>
  <c r="AA269" i="178"/>
  <c r="AB269" i="178" s="1"/>
  <c r="AA271" i="178"/>
  <c r="AB271" i="178" s="1"/>
  <c r="AA268" i="178"/>
  <c r="AB268" i="178" s="1"/>
  <c r="Y994" i="178"/>
  <c r="Y992" i="178"/>
  <c r="Y993" i="178"/>
  <c r="Y991" i="178"/>
  <c r="Y987" i="178"/>
  <c r="Y986" i="178"/>
  <c r="Y990" i="178"/>
  <c r="Y985" i="178"/>
  <c r="Y988" i="178"/>
  <c r="Y984" i="178"/>
  <c r="Y989" i="178"/>
  <c r="Z1244" i="178"/>
  <c r="AC1244" i="178" s="1"/>
  <c r="Z1168" i="178"/>
  <c r="AC1168" i="178" s="1"/>
  <c r="Z856" i="178"/>
  <c r="Z523" i="178"/>
  <c r="AC523" i="178" s="1"/>
  <c r="Z169" i="178"/>
  <c r="Z212" i="178"/>
  <c r="AC212" i="178" s="1"/>
  <c r="Z1028" i="178"/>
  <c r="Z521" i="178"/>
  <c r="X140" i="178"/>
  <c r="X141" i="178"/>
  <c r="X179" i="178"/>
  <c r="X178" i="178"/>
  <c r="AA711" i="178"/>
  <c r="AB711" i="178" s="1"/>
  <c r="AA793" i="178"/>
  <c r="AB793" i="178" s="1"/>
  <c r="AA794" i="178"/>
  <c r="AB794" i="178" s="1"/>
  <c r="AA705" i="178"/>
  <c r="AB705" i="178" s="1"/>
  <c r="Y388" i="178"/>
  <c r="X413" i="178"/>
  <c r="Y516" i="178"/>
  <c r="Y515" i="178"/>
  <c r="AA541" i="178"/>
  <c r="AB541" i="178" s="1"/>
  <c r="AA542" i="178"/>
  <c r="AB542" i="178" s="1"/>
  <c r="Y543" i="178"/>
  <c r="Y544" i="178"/>
  <c r="X545" i="178"/>
  <c r="Y580" i="178"/>
  <c r="X582" i="178"/>
  <c r="Y635" i="178"/>
  <c r="X643" i="178"/>
  <c r="X644" i="178"/>
  <c r="X642" i="178"/>
  <c r="AA647" i="178"/>
  <c r="AB647" i="178" s="1"/>
  <c r="AA648" i="178"/>
  <c r="AB648" i="178" s="1"/>
  <c r="AA649" i="178"/>
  <c r="AB649" i="178" s="1"/>
  <c r="X651" i="178"/>
  <c r="X652" i="178"/>
  <c r="AA654" i="178"/>
  <c r="AB654" i="178" s="1"/>
  <c r="Y661" i="178"/>
  <c r="X664" i="178"/>
  <c r="Y672" i="178"/>
  <c r="Y673" i="178"/>
  <c r="X690" i="178"/>
  <c r="X893" i="178"/>
  <c r="AA706" i="178"/>
  <c r="AB706" i="178" s="1"/>
  <c r="AA694" i="178"/>
  <c r="AB694" i="178" s="1"/>
  <c r="Y714" i="178"/>
  <c r="Y718" i="178"/>
  <c r="X792" i="178"/>
  <c r="X160" i="178"/>
  <c r="AA956" i="178"/>
  <c r="AB956" i="178" s="1"/>
  <c r="AA957" i="178"/>
  <c r="AB957" i="178" s="1"/>
  <c r="Y955" i="178"/>
  <c r="Y954" i="178"/>
  <c r="AA804" i="178"/>
  <c r="AB804" i="178" s="1"/>
  <c r="AA807" i="178"/>
  <c r="AB807" i="178" s="1"/>
  <c r="AA806" i="178"/>
  <c r="AB806" i="178" s="1"/>
  <c r="AA805" i="178"/>
  <c r="AB805" i="178" s="1"/>
  <c r="Y812" i="178"/>
  <c r="Y811" i="178"/>
  <c r="Y810" i="178"/>
  <c r="Y708" i="178"/>
  <c r="Y813" i="178"/>
  <c r="AA864" i="178"/>
  <c r="AB864" i="178" s="1"/>
  <c r="X1032" i="178"/>
  <c r="X1033" i="178"/>
  <c r="Y1082" i="178"/>
  <c r="Y1081" i="178"/>
  <c r="X1195" i="178"/>
  <c r="X1196" i="178"/>
  <c r="AA1096" i="178"/>
  <c r="AB1096" i="178" s="1"/>
  <c r="Y1100" i="178"/>
  <c r="X1115" i="178"/>
  <c r="X1116" i="178"/>
  <c r="X1114" i="178"/>
  <c r="AA1120" i="178"/>
  <c r="AB1120" i="178" s="1"/>
  <c r="AA1119" i="178"/>
  <c r="AB1119" i="178" s="1"/>
  <c r="Y1124" i="178"/>
  <c r="Y1123" i="178"/>
  <c r="AA1135" i="178"/>
  <c r="AB1135" i="178" s="1"/>
  <c r="AA1133" i="178"/>
  <c r="AB1133" i="178" s="1"/>
  <c r="AA1134" i="178"/>
  <c r="AB1134" i="178" s="1"/>
  <c r="Y1137" i="178"/>
  <c r="Y1136" i="178"/>
  <c r="X1091" i="178"/>
  <c r="X1092" i="178"/>
  <c r="Y1241" i="178"/>
  <c r="Y1240" i="178"/>
  <c r="AA1255" i="178"/>
  <c r="AB1255" i="178" s="1"/>
  <c r="AA1256" i="178"/>
  <c r="AB1256" i="178" s="1"/>
  <c r="X1262" i="178"/>
  <c r="X1261" i="178"/>
  <c r="Y926" i="178"/>
  <c r="Y925" i="178"/>
  <c r="Y927" i="178"/>
  <c r="Y814" i="178"/>
  <c r="Y815" i="178"/>
  <c r="Y817" i="178"/>
  <c r="Y816" i="178"/>
  <c r="Y802" i="178"/>
  <c r="Y765" i="178"/>
  <c r="Y766" i="178"/>
  <c r="Y768" i="178"/>
  <c r="Y767" i="178"/>
  <c r="Z767" i="178" s="1"/>
  <c r="AC767" i="178" s="1"/>
  <c r="Y769" i="178"/>
  <c r="AA563" i="178"/>
  <c r="AB563" i="178" s="1"/>
  <c r="AA561" i="178"/>
  <c r="AB561" i="178" s="1"/>
  <c r="AA560" i="178"/>
  <c r="AB560" i="178" s="1"/>
  <c r="AA562" i="178"/>
  <c r="AB562" i="178" s="1"/>
  <c r="X561" i="178"/>
  <c r="Z561" i="178" s="1"/>
  <c r="X560" i="178"/>
  <c r="X562" i="178"/>
  <c r="Z562" i="178" s="1"/>
  <c r="X563" i="178"/>
  <c r="Z546" i="178"/>
  <c r="AC546" i="178" s="1"/>
  <c r="AA494" i="178"/>
  <c r="AB494" i="178" s="1"/>
  <c r="AA495" i="178"/>
  <c r="AB495" i="178" s="1"/>
  <c r="X495" i="178"/>
  <c r="X494" i="178"/>
  <c r="AA429" i="178"/>
  <c r="AB429" i="178" s="1"/>
  <c r="AA428" i="178"/>
  <c r="AB428" i="178" s="1"/>
  <c r="X429" i="178"/>
  <c r="Z429" i="178" s="1"/>
  <c r="X428" i="178"/>
  <c r="AA421" i="178"/>
  <c r="AB421" i="178" s="1"/>
  <c r="X421" i="178"/>
  <c r="Z421" i="178" s="1"/>
  <c r="AA420" i="178"/>
  <c r="AB420" i="178" s="1"/>
  <c r="X420" i="178"/>
  <c r="AA369" i="178"/>
  <c r="AB369" i="178" s="1"/>
  <c r="AA368" i="178"/>
  <c r="AB368" i="178" s="1"/>
  <c r="X369" i="178"/>
  <c r="Z369" i="178" s="1"/>
  <c r="X368" i="178"/>
  <c r="AA914" i="178"/>
  <c r="AB914" i="178" s="1"/>
  <c r="AA913" i="178"/>
  <c r="AB913" i="178" s="1"/>
  <c r="AA911" i="178"/>
  <c r="AB911" i="178" s="1"/>
  <c r="AA909" i="178"/>
  <c r="AB909" i="178" s="1"/>
  <c r="AA910" i="178"/>
  <c r="AB910" i="178" s="1"/>
  <c r="X911" i="178"/>
  <c r="X909" i="178"/>
  <c r="X910" i="178"/>
  <c r="Z910" i="178" s="1"/>
  <c r="X914" i="178"/>
  <c r="Z914" i="178" s="1"/>
  <c r="X913" i="178"/>
  <c r="Z913" i="178" s="1"/>
  <c r="AC913" i="178" s="1"/>
  <c r="Y902" i="178"/>
  <c r="Y906" i="178"/>
  <c r="Y905" i="178"/>
  <c r="Y903" i="178"/>
  <c r="Y889" i="178"/>
  <c r="Y888" i="178"/>
  <c r="Y886" i="178"/>
  <c r="Y885" i="178"/>
  <c r="Y891" i="178"/>
  <c r="Y882" i="178"/>
  <c r="Y881" i="178"/>
  <c r="Y879" i="178"/>
  <c r="Y877" i="178"/>
  <c r="Y878" i="178"/>
  <c r="Y884" i="178"/>
  <c r="AA873" i="178"/>
  <c r="AB873" i="178" s="1"/>
  <c r="AA875" i="178"/>
  <c r="AB875" i="178" s="1"/>
  <c r="X873" i="178"/>
  <c r="Z873" i="178" s="1"/>
  <c r="X875" i="178"/>
  <c r="Z875" i="178" s="1"/>
  <c r="Y868" i="178"/>
  <c r="Y867" i="178"/>
  <c r="Y870" i="178"/>
  <c r="AA1276" i="178"/>
  <c r="AB1276" i="178" s="1"/>
  <c r="AA1275" i="178"/>
  <c r="AB1275" i="178" s="1"/>
  <c r="X1276" i="178"/>
  <c r="Z1276" i="178" s="1"/>
  <c r="X1275" i="178"/>
  <c r="Z1275" i="178" s="1"/>
  <c r="AA1192" i="178"/>
  <c r="AB1192" i="178" s="1"/>
  <c r="AA1191" i="178"/>
  <c r="AB1191" i="178" s="1"/>
  <c r="AA1194" i="178"/>
  <c r="AB1194" i="178" s="1"/>
  <c r="AA1190" i="178"/>
  <c r="AB1190" i="178" s="1"/>
  <c r="AA1193" i="178"/>
  <c r="AB1193" i="178" s="1"/>
  <c r="AA1189" i="178"/>
  <c r="AB1189" i="178" s="1"/>
  <c r="X1194" i="178"/>
  <c r="X1190" i="178"/>
  <c r="Z1190" i="178" s="1"/>
  <c r="AC1190" i="178" s="1"/>
  <c r="X1193" i="178"/>
  <c r="Z1193" i="178" s="1"/>
  <c r="AC1193" i="178" s="1"/>
  <c r="X1192" i="178"/>
  <c r="X1191" i="178"/>
  <c r="Z1191" i="178" s="1"/>
  <c r="X1189" i="178"/>
  <c r="Y1172" i="178"/>
  <c r="Y1174" i="178"/>
  <c r="Y1176" i="178"/>
  <c r="Y1178" i="178"/>
  <c r="Y1173" i="178"/>
  <c r="Y1175" i="178"/>
  <c r="Y1171" i="178"/>
  <c r="Y1177" i="178"/>
  <c r="Y1170" i="178"/>
  <c r="Z1170" i="178" s="1"/>
  <c r="AC1170" i="178" s="1"/>
  <c r="AA1161" i="178"/>
  <c r="AB1161" i="178" s="1"/>
  <c r="AA1160" i="178"/>
  <c r="AB1160" i="178" s="1"/>
  <c r="AA1163" i="178"/>
  <c r="AB1163" i="178" s="1"/>
  <c r="AA1162" i="178"/>
  <c r="AB1162" i="178" s="1"/>
  <c r="X1162" i="178"/>
  <c r="Z1162" i="178" s="1"/>
  <c r="X1161" i="178"/>
  <c r="X1160" i="178"/>
  <c r="X1163" i="178"/>
  <c r="Y1140" i="178"/>
  <c r="Y1139" i="178"/>
  <c r="Y1143" i="178"/>
  <c r="Y1144" i="178"/>
  <c r="Y1142" i="178"/>
  <c r="Y1138" i="178"/>
  <c r="Y1141" i="178"/>
  <c r="Y1145" i="178"/>
  <c r="Y1048" i="178"/>
  <c r="Y1050" i="178"/>
  <c r="Y1047" i="178"/>
  <c r="Y1049" i="178"/>
  <c r="AA1036" i="178"/>
  <c r="AB1036" i="178" s="1"/>
  <c r="AA1040" i="178"/>
  <c r="AB1040" i="178" s="1"/>
  <c r="AA1038" i="178"/>
  <c r="AB1038" i="178" s="1"/>
  <c r="AA1037" i="178"/>
  <c r="AB1037" i="178" s="1"/>
  <c r="AA1039" i="178"/>
  <c r="AB1039" i="178" s="1"/>
  <c r="AA1005" i="178"/>
  <c r="AB1005" i="178" s="1"/>
  <c r="AA1004" i="178"/>
  <c r="AB1004" i="178" s="1"/>
  <c r="X1005" i="178"/>
  <c r="X1004" i="178"/>
  <c r="Z1004" i="178" s="1"/>
  <c r="Y1001" i="178"/>
  <c r="Y1002" i="178"/>
  <c r="Y1003" i="178"/>
  <c r="Y1000" i="178"/>
  <c r="Y540" i="178"/>
  <c r="Y539" i="178"/>
  <c r="AA528" i="178"/>
  <c r="AB528" i="178" s="1"/>
  <c r="AA527" i="178"/>
  <c r="AB527" i="178" s="1"/>
  <c r="AA526" i="178"/>
  <c r="AB526" i="178" s="1"/>
  <c r="X527" i="178"/>
  <c r="Z527" i="178" s="1"/>
  <c r="X526" i="178"/>
  <c r="Z526" i="178" s="1"/>
  <c r="X528" i="178"/>
  <c r="Z528" i="178" s="1"/>
  <c r="AA514" i="178"/>
  <c r="AB514" i="178" s="1"/>
  <c r="AA513" i="178"/>
  <c r="AB513" i="178" s="1"/>
  <c r="X514" i="178"/>
  <c r="X513" i="178"/>
  <c r="Z513" i="178" s="1"/>
  <c r="Y500" i="178"/>
  <c r="Y501" i="178"/>
  <c r="Y499" i="178"/>
  <c r="Y467" i="178"/>
  <c r="Y466" i="178"/>
  <c r="Y465" i="178"/>
  <c r="Y464" i="178"/>
  <c r="Z464" i="178" s="1"/>
  <c r="AC464" i="178" s="1"/>
  <c r="AA458" i="178"/>
  <c r="AB458" i="178" s="1"/>
  <c r="AA459" i="178"/>
  <c r="AB459" i="178" s="1"/>
  <c r="AA457" i="178"/>
  <c r="AB457" i="178" s="1"/>
  <c r="X459" i="178"/>
  <c r="Z459" i="178" s="1"/>
  <c r="X458" i="178"/>
  <c r="Z458" i="178" s="1"/>
  <c r="AC458" i="178" s="1"/>
  <c r="X457" i="178"/>
  <c r="Z457" i="178" s="1"/>
  <c r="AA337" i="178"/>
  <c r="AB337" i="178" s="1"/>
  <c r="AA336" i="178"/>
  <c r="AB336" i="178" s="1"/>
  <c r="AA338" i="178"/>
  <c r="AB338" i="178" s="1"/>
  <c r="X338" i="178"/>
  <c r="X337" i="178"/>
  <c r="Z337" i="178" s="1"/>
  <c r="X336" i="178"/>
  <c r="Y327" i="178"/>
  <c r="Y329" i="178"/>
  <c r="Y328" i="178"/>
  <c r="AA324" i="178"/>
  <c r="AB324" i="178" s="1"/>
  <c r="AA326" i="178"/>
  <c r="AB326" i="178" s="1"/>
  <c r="AA325" i="178"/>
  <c r="AB325" i="178" s="1"/>
  <c r="X325" i="178"/>
  <c r="Z325" i="178" s="1"/>
  <c r="X324" i="178"/>
  <c r="Z324" i="178" s="1"/>
  <c r="X326" i="178"/>
  <c r="Z326" i="178" s="1"/>
  <c r="Y322" i="178"/>
  <c r="Y321" i="178"/>
  <c r="Y323" i="178"/>
  <c r="AA320" i="178"/>
  <c r="AB320" i="178" s="1"/>
  <c r="AA319" i="178"/>
  <c r="AB319" i="178" s="1"/>
  <c r="X319" i="178"/>
  <c r="Z319" i="178" s="1"/>
  <c r="X320" i="178"/>
  <c r="Z320" i="178" s="1"/>
  <c r="Y318" i="178"/>
  <c r="Y317" i="178"/>
  <c r="Y316" i="178"/>
  <c r="AA305" i="178"/>
  <c r="AB305" i="178" s="1"/>
  <c r="AA304" i="178"/>
  <c r="AB304" i="178" s="1"/>
  <c r="AA306" i="178"/>
  <c r="AB306" i="178" s="1"/>
  <c r="AA303" i="178"/>
  <c r="AB303" i="178" s="1"/>
  <c r="AA302" i="178"/>
  <c r="AB302" i="178" s="1"/>
  <c r="X306" i="178"/>
  <c r="Z306" i="178" s="1"/>
  <c r="X303" i="178"/>
  <c r="Z303" i="178" s="1"/>
  <c r="X305" i="178"/>
  <c r="X304" i="178"/>
  <c r="Z304" i="178" s="1"/>
  <c r="X302" i="178"/>
  <c r="Z302" i="178" s="1"/>
  <c r="Y297" i="178"/>
  <c r="Y301" i="178"/>
  <c r="Y300" i="178"/>
  <c r="Y298" i="178"/>
  <c r="Y299" i="178"/>
  <c r="Y296" i="178"/>
  <c r="Z296" i="178" s="1"/>
  <c r="Y252" i="178"/>
  <c r="Y254" i="178"/>
  <c r="Y253" i="178"/>
  <c r="AA244" i="178"/>
  <c r="AB244" i="178" s="1"/>
  <c r="AA247" i="178"/>
  <c r="AB247" i="178" s="1"/>
  <c r="AA246" i="178"/>
  <c r="AB246" i="178" s="1"/>
  <c r="AA245" i="178"/>
  <c r="AB245" i="178" s="1"/>
  <c r="X246" i="178"/>
  <c r="Z246" i="178" s="1"/>
  <c r="X245" i="178"/>
  <c r="Z245" i="178" s="1"/>
  <c r="X244" i="178"/>
  <c r="X247" i="178"/>
  <c r="Y240" i="178"/>
  <c r="Y239" i="178"/>
  <c r="Y238" i="178"/>
  <c r="AA237" i="178"/>
  <c r="AB237" i="178" s="1"/>
  <c r="AA236" i="178"/>
  <c r="AB236" i="178" s="1"/>
  <c r="AA235" i="178"/>
  <c r="AB235" i="178" s="1"/>
  <c r="X237" i="178"/>
  <c r="X236" i="178"/>
  <c r="Z236" i="178" s="1"/>
  <c r="X235" i="178"/>
  <c r="Y214" i="178"/>
  <c r="Y215" i="178"/>
  <c r="Y278" i="178"/>
  <c r="Y286" i="178"/>
  <c r="Y285" i="178"/>
  <c r="Y284" i="178"/>
  <c r="Y281" i="178"/>
  <c r="Y288" i="178"/>
  <c r="Y283" i="178"/>
  <c r="Y287" i="178"/>
  <c r="Y259" i="178"/>
  <c r="Y258" i="178"/>
  <c r="AA70" i="178"/>
  <c r="AB70" i="178" s="1"/>
  <c r="AA71" i="178"/>
  <c r="AB71" i="178" s="1"/>
  <c r="X70" i="178"/>
  <c r="Z70" i="178" s="1"/>
  <c r="X71" i="178"/>
  <c r="Z71" i="178" s="1"/>
  <c r="AA1245" i="178"/>
  <c r="AB1245" i="178" s="1"/>
  <c r="AA1246" i="178"/>
  <c r="AB1246" i="178" s="1"/>
  <c r="AA1248" i="178"/>
  <c r="AB1248" i="178" s="1"/>
  <c r="AA1247" i="178"/>
  <c r="AB1247" i="178" s="1"/>
  <c r="X1248" i="178"/>
  <c r="X1247" i="178"/>
  <c r="Z1247" i="178" s="1"/>
  <c r="X1245" i="178"/>
  <c r="Z1245" i="178" s="1"/>
  <c r="X1246" i="178"/>
  <c r="Y1215" i="178"/>
  <c r="Y1217" i="178"/>
  <c r="Y1218" i="178"/>
  <c r="Y1216" i="178"/>
  <c r="Y1220" i="178"/>
  <c r="Y1222" i="178"/>
  <c r="Y1219" i="178"/>
  <c r="Y1221" i="178"/>
  <c r="AA1208" i="178"/>
  <c r="AB1208" i="178" s="1"/>
  <c r="AA1209" i="178"/>
  <c r="AB1209" i="178" s="1"/>
  <c r="AA1207" i="178"/>
  <c r="AB1207" i="178" s="1"/>
  <c r="AA1213" i="178"/>
  <c r="AB1213" i="178" s="1"/>
  <c r="AA1210" i="178"/>
  <c r="AB1210" i="178" s="1"/>
  <c r="AA1212" i="178"/>
  <c r="AB1212" i="178" s="1"/>
  <c r="AA1206" i="178"/>
  <c r="AB1206" i="178" s="1"/>
  <c r="AA1211" i="178"/>
  <c r="AB1211" i="178" s="1"/>
  <c r="AA1214" i="178"/>
  <c r="AB1214" i="178" s="1"/>
  <c r="X1210" i="178"/>
  <c r="Z1210" i="178" s="1"/>
  <c r="X1212" i="178"/>
  <c r="Z1212" i="178" s="1"/>
  <c r="X1206" i="178"/>
  <c r="X1211" i="178"/>
  <c r="X1214" i="178"/>
  <c r="Z1214" i="178" s="1"/>
  <c r="X1208" i="178"/>
  <c r="Z1208" i="178" s="1"/>
  <c r="X1209" i="178"/>
  <c r="X1207" i="178"/>
  <c r="Z1207" i="178" s="1"/>
  <c r="X1213" i="178"/>
  <c r="Y965" i="178"/>
  <c r="Y964" i="178"/>
  <c r="Y966" i="178"/>
  <c r="Y366" i="178"/>
  <c r="Z366" i="178" s="1"/>
  <c r="AC366" i="178" s="1"/>
  <c r="AA570" i="178"/>
  <c r="AB570" i="178" s="1"/>
  <c r="X570" i="178"/>
  <c r="Y568" i="178"/>
  <c r="Y569" i="178"/>
  <c r="Y567" i="178"/>
  <c r="Y566" i="178"/>
  <c r="AA556" i="178"/>
  <c r="AB556" i="178" s="1"/>
  <c r="AA558" i="178"/>
  <c r="AB558" i="178" s="1"/>
  <c r="AA557" i="178"/>
  <c r="AB557" i="178" s="1"/>
  <c r="X556" i="178"/>
  <c r="Z556" i="178" s="1"/>
  <c r="X558" i="178"/>
  <c r="Z558" i="178" s="1"/>
  <c r="X557" i="178"/>
  <c r="Z557" i="178" s="1"/>
  <c r="Y534" i="178"/>
  <c r="Y533" i="178"/>
  <c r="AA355" i="178"/>
  <c r="AB355" i="178" s="1"/>
  <c r="AA358" i="178"/>
  <c r="AB358" i="178" s="1"/>
  <c r="AA362" i="178"/>
  <c r="AB362" i="178" s="1"/>
  <c r="AA360" i="178"/>
  <c r="AB360" i="178" s="1"/>
  <c r="AA361" i="178"/>
  <c r="AB361" i="178" s="1"/>
  <c r="AA716" i="178"/>
  <c r="AB716" i="178" s="1"/>
  <c r="AA717" i="178"/>
  <c r="AB717" i="178" s="1"/>
  <c r="AA703" i="178"/>
  <c r="AB703" i="178" s="1"/>
  <c r="AA704" i="178"/>
  <c r="AB704" i="178" s="1"/>
  <c r="X358" i="178"/>
  <c r="X355" i="178"/>
  <c r="X360" i="178"/>
  <c r="Z360" i="178" s="1"/>
  <c r="X361" i="178"/>
  <c r="Z361" i="178" s="1"/>
  <c r="X362" i="178"/>
  <c r="X703" i="178"/>
  <c r="Z703" i="178" s="1"/>
  <c r="X704" i="178"/>
  <c r="X716" i="178"/>
  <c r="X717" i="178"/>
  <c r="Y164" i="178"/>
  <c r="Y163" i="178"/>
  <c r="Y167" i="178"/>
  <c r="Y162" i="178"/>
  <c r="Y166" i="178"/>
  <c r="Y165" i="178"/>
  <c r="AA154" i="178"/>
  <c r="AB154" i="178" s="1"/>
  <c r="AA156" i="178"/>
  <c r="AB156" i="178" s="1"/>
  <c r="AA155" i="178"/>
  <c r="AB155" i="178" s="1"/>
  <c r="X155" i="178"/>
  <c r="Z155" i="178" s="1"/>
  <c r="X154" i="178"/>
  <c r="X156" i="178"/>
  <c r="Z156" i="178" s="1"/>
  <c r="Y269" i="178"/>
  <c r="Y271" i="178"/>
  <c r="Y268" i="178"/>
  <c r="Y270" i="178"/>
  <c r="Y277" i="178"/>
  <c r="Y276" i="178"/>
  <c r="Y275" i="178"/>
  <c r="Y272" i="178"/>
  <c r="Y274" i="178"/>
  <c r="Y273" i="178"/>
  <c r="X992" i="178"/>
  <c r="X993" i="178"/>
  <c r="X991" i="178"/>
  <c r="X994" i="178"/>
  <c r="X986" i="178"/>
  <c r="X990" i="178"/>
  <c r="X985" i="178"/>
  <c r="X988" i="178"/>
  <c r="X984" i="178"/>
  <c r="X989" i="178"/>
  <c r="X987" i="178"/>
  <c r="Z1243" i="178"/>
  <c r="AC1243" i="178" s="1"/>
  <c r="Z1242" i="178"/>
  <c r="AC1242" i="178" s="1"/>
  <c r="Z1080" i="178"/>
  <c r="AC1080" i="178" s="1"/>
  <c r="Z650" i="178"/>
  <c r="AC650" i="178" s="1"/>
  <c r="AA1122" i="178"/>
  <c r="AB1122" i="178" s="1"/>
  <c r="AA1121" i="178"/>
  <c r="AB1121" i="178" s="1"/>
  <c r="AA294" i="178"/>
  <c r="AB294" i="178" s="1"/>
  <c r="AA340" i="178"/>
  <c r="AB340" i="178" s="1"/>
  <c r="AA341" i="178"/>
  <c r="AB341" i="178" s="1"/>
  <c r="AC341" i="178" s="1"/>
  <c r="AA350" i="178"/>
  <c r="AB350" i="178" s="1"/>
  <c r="AA351" i="178"/>
  <c r="AB351" i="178" s="1"/>
  <c r="Y705" i="178"/>
  <c r="Z705" i="178" s="1"/>
  <c r="Y711" i="178"/>
  <c r="Z711" i="178" s="1"/>
  <c r="Y793" i="178"/>
  <c r="Z793" i="178" s="1"/>
  <c r="Y794" i="178"/>
  <c r="Z794" i="178" s="1"/>
  <c r="X388" i="178"/>
  <c r="AA430" i="178"/>
  <c r="AB430" i="178" s="1"/>
  <c r="X515" i="178"/>
  <c r="X516" i="178"/>
  <c r="Y541" i="178"/>
  <c r="Z541" i="178" s="1"/>
  <c r="Y542" i="178"/>
  <c r="Z542" i="178" s="1"/>
  <c r="X543" i="178"/>
  <c r="X544" i="178"/>
  <c r="AA549" i="178"/>
  <c r="AB549" i="178" s="1"/>
  <c r="AA555" i="178"/>
  <c r="AB555" i="178" s="1"/>
  <c r="X580" i="178"/>
  <c r="X635" i="178"/>
  <c r="AA645" i="178"/>
  <c r="AB645" i="178" s="1"/>
  <c r="AA646" i="178"/>
  <c r="AB646" i="178" s="1"/>
  <c r="Y647" i="178"/>
  <c r="Z647" i="178" s="1"/>
  <c r="Y648" i="178"/>
  <c r="Z648" i="178" s="1"/>
  <c r="AC648" i="178" s="1"/>
  <c r="Y649" i="178"/>
  <c r="Z649" i="178" s="1"/>
  <c r="AA653" i="178"/>
  <c r="AB653" i="178" s="1"/>
  <c r="Y654" i="178"/>
  <c r="X661" i="178"/>
  <c r="AA668" i="178"/>
  <c r="AB668" i="178" s="1"/>
  <c r="AA669" i="178"/>
  <c r="AB669" i="178" s="1"/>
  <c r="AA670" i="178"/>
  <c r="AB670" i="178" s="1"/>
  <c r="X672" i="178"/>
  <c r="X673" i="178"/>
  <c r="AA698" i="178"/>
  <c r="AB698" i="178" s="1"/>
  <c r="AA935" i="178"/>
  <c r="AB935" i="178" s="1"/>
  <c r="Y706" i="178"/>
  <c r="Y694" i="178"/>
  <c r="Z694" i="178" s="1"/>
  <c r="X714" i="178"/>
  <c r="X718" i="178"/>
  <c r="AA801" i="178"/>
  <c r="AB801" i="178" s="1"/>
  <c r="AA800" i="178"/>
  <c r="AB800" i="178" s="1"/>
  <c r="Y956" i="178"/>
  <c r="Y957" i="178"/>
  <c r="Z957" i="178" s="1"/>
  <c r="X954" i="178"/>
  <c r="X955" i="178"/>
  <c r="Y807" i="178"/>
  <c r="Y806" i="178"/>
  <c r="Y805" i="178"/>
  <c r="Y804" i="178"/>
  <c r="X811" i="178"/>
  <c r="X810" i="178"/>
  <c r="X708" i="178"/>
  <c r="X813" i="178"/>
  <c r="X812" i="178"/>
  <c r="AA851" i="178"/>
  <c r="AB851" i="178" s="1"/>
  <c r="AA852" i="178"/>
  <c r="AB852" i="178" s="1"/>
  <c r="AA850" i="178"/>
  <c r="AB850" i="178" s="1"/>
  <c r="Y864" i="178"/>
  <c r="AA932" i="178"/>
  <c r="AB932" i="178" s="1"/>
  <c r="AA896" i="178"/>
  <c r="AB896" i="178" s="1"/>
  <c r="X1081" i="178"/>
  <c r="X1082" i="178"/>
  <c r="AA1034" i="178"/>
  <c r="AB1034" i="178" s="1"/>
  <c r="Y1096" i="178"/>
  <c r="Z1096" i="178" s="1"/>
  <c r="X1100" i="178"/>
  <c r="AA1118" i="178"/>
  <c r="AB1118" i="178" s="1"/>
  <c r="AA1117" i="178"/>
  <c r="AB1117" i="178" s="1"/>
  <c r="Y1120" i="178"/>
  <c r="Y1119" i="178"/>
  <c r="Z1119" i="178" s="1"/>
  <c r="X1123" i="178"/>
  <c r="X1124" i="178"/>
  <c r="Y1135" i="178"/>
  <c r="Y1133" i="178"/>
  <c r="Y1134" i="178"/>
  <c r="X1137" i="178"/>
  <c r="X1136" i="178"/>
  <c r="AA1093" i="178"/>
  <c r="AB1093" i="178" s="1"/>
  <c r="AA1101" i="178"/>
  <c r="AB1101" i="178" s="1"/>
  <c r="X1241" i="178"/>
  <c r="X1240" i="178"/>
  <c r="Y1255" i="178"/>
  <c r="Z1255" i="178" s="1"/>
  <c r="Y1256" i="178"/>
  <c r="Z1256" i="178" s="1"/>
  <c r="AA929" i="178"/>
  <c r="AB929" i="178" s="1"/>
  <c r="AA928" i="178"/>
  <c r="AB928" i="178" s="1"/>
  <c r="AA931" i="178"/>
  <c r="AB931" i="178" s="1"/>
  <c r="AA930" i="178"/>
  <c r="AB930" i="178" s="1"/>
  <c r="X930" i="178"/>
  <c r="Z930" i="178" s="1"/>
  <c r="X929" i="178"/>
  <c r="Z929" i="178" s="1"/>
  <c r="X928" i="178"/>
  <c r="Z928" i="178" s="1"/>
  <c r="X931" i="178"/>
  <c r="AA917" i="178"/>
  <c r="AB917" i="178" s="1"/>
  <c r="AA916" i="178"/>
  <c r="AB916" i="178" s="1"/>
  <c r="X917" i="178"/>
  <c r="X916" i="178"/>
  <c r="AA547" i="178"/>
  <c r="AB547" i="178" s="1"/>
  <c r="AA548" i="178"/>
  <c r="AB548" i="178" s="1"/>
  <c r="X548" i="178"/>
  <c r="Z548" i="178" s="1"/>
  <c r="X547" i="178"/>
  <c r="AA173" i="178"/>
  <c r="AB173" i="178" s="1"/>
  <c r="AA172" i="178"/>
  <c r="AB172" i="178" s="1"/>
  <c r="X172" i="178"/>
  <c r="X173" i="178"/>
  <c r="AA824" i="178"/>
  <c r="AB824" i="178" s="1"/>
  <c r="AA823" i="178"/>
  <c r="AB823" i="178" s="1"/>
  <c r="AA820" i="178"/>
  <c r="AB820" i="178" s="1"/>
  <c r="AA818" i="178"/>
  <c r="AB818" i="178" s="1"/>
  <c r="X820" i="178"/>
  <c r="X824" i="178"/>
  <c r="X823" i="178"/>
  <c r="Z823" i="178" s="1"/>
  <c r="X818" i="178"/>
  <c r="Y736" i="178"/>
  <c r="Y735" i="178"/>
  <c r="Y737" i="178"/>
  <c r="Y739" i="178"/>
  <c r="Z739" i="178" s="1"/>
  <c r="Y733" i="178"/>
  <c r="Y738" i="178"/>
  <c r="Z738" i="178" s="1"/>
  <c r="AA729" i="178"/>
  <c r="AB729" i="178" s="1"/>
  <c r="AA728" i="178"/>
  <c r="AB728" i="178" s="1"/>
  <c r="X729" i="178"/>
  <c r="X728" i="178"/>
  <c r="Z728" i="178" s="1"/>
  <c r="Y722" i="178"/>
  <c r="Y725" i="178"/>
  <c r="Y723" i="178"/>
  <c r="Y687" i="178"/>
  <c r="Y686" i="178"/>
  <c r="Y688" i="178"/>
  <c r="Y680" i="178"/>
  <c r="Y684" i="178"/>
  <c r="Y683" i="178"/>
  <c r="Y681" i="178"/>
  <c r="Y682" i="178"/>
  <c r="AA553" i="178"/>
  <c r="AB553" i="178" s="1"/>
  <c r="X553" i="178"/>
  <c r="Z553" i="178" s="1"/>
  <c r="Y291" i="178"/>
  <c r="AA198" i="178"/>
  <c r="AB198" i="178" s="1"/>
  <c r="AA196" i="178"/>
  <c r="AB196" i="178" s="1"/>
  <c r="AA195" i="178"/>
  <c r="AB195" i="178" s="1"/>
  <c r="AA199" i="178"/>
  <c r="AB199" i="178" s="1"/>
  <c r="X195" i="178"/>
  <c r="Z195" i="178" s="1"/>
  <c r="X199" i="178"/>
  <c r="Z199" i="178" s="1"/>
  <c r="X198" i="178"/>
  <c r="Z198" i="178" s="1"/>
  <c r="X196" i="178"/>
  <c r="X540" i="178"/>
  <c r="X539" i="178"/>
  <c r="Y538" i="178"/>
  <c r="Y537" i="178"/>
  <c r="Z537" i="178" s="1"/>
  <c r="X501" i="178"/>
  <c r="X500" i="178"/>
  <c r="X499" i="178"/>
  <c r="Y456" i="178"/>
  <c r="Y455" i="178"/>
  <c r="Y454" i="178"/>
  <c r="Z454" i="178" s="1"/>
  <c r="AA453" i="178"/>
  <c r="AB453" i="178" s="1"/>
  <c r="AA451" i="178"/>
  <c r="AB451" i="178" s="1"/>
  <c r="AA452" i="178"/>
  <c r="AB452" i="178" s="1"/>
  <c r="AA450" i="178"/>
  <c r="AB450" i="178" s="1"/>
  <c r="X452" i="178"/>
  <c r="X453" i="178"/>
  <c r="Z453" i="178" s="1"/>
  <c r="X451" i="178"/>
  <c r="X450" i="178"/>
  <c r="Z450" i="178" s="1"/>
  <c r="Y449" i="178"/>
  <c r="Y448" i="178"/>
  <c r="Y447" i="178"/>
  <c r="AA446" i="178"/>
  <c r="AB446" i="178" s="1"/>
  <c r="AA445" i="178"/>
  <c r="AB445" i="178" s="1"/>
  <c r="AA444" i="178"/>
  <c r="AB444" i="178" s="1"/>
  <c r="X445" i="178"/>
  <c r="X446" i="178"/>
  <c r="Z446" i="178" s="1"/>
  <c r="AC446" i="178" s="1"/>
  <c r="X444" i="178"/>
  <c r="Z444" i="178" s="1"/>
  <c r="Y443" i="178"/>
  <c r="Y442" i="178"/>
  <c r="Y441" i="178"/>
  <c r="Z441" i="178" s="1"/>
  <c r="AC441" i="178" s="1"/>
  <c r="AA438" i="178"/>
  <c r="AB438" i="178" s="1"/>
  <c r="AA437" i="178"/>
  <c r="AB437" i="178" s="1"/>
  <c r="AA436" i="178"/>
  <c r="AB436" i="178" s="1"/>
  <c r="AA435" i="178"/>
  <c r="AB435" i="178" s="1"/>
  <c r="X437" i="178"/>
  <c r="Z437" i="178" s="1"/>
  <c r="X436" i="178"/>
  <c r="Z436" i="178" s="1"/>
  <c r="X438" i="178"/>
  <c r="X435" i="178"/>
  <c r="Z435" i="178" s="1"/>
  <c r="Y142" i="178"/>
  <c r="Y143" i="178"/>
  <c r="AA208" i="178"/>
  <c r="AB208" i="178" s="1"/>
  <c r="AA207" i="178"/>
  <c r="AB207" i="178" s="1"/>
  <c r="AA211" i="178"/>
  <c r="AB211" i="178" s="1"/>
  <c r="AA210" i="178"/>
  <c r="AB210" i="178" s="1"/>
  <c r="AA209" i="178"/>
  <c r="AB209" i="178" s="1"/>
  <c r="X208" i="178"/>
  <c r="X207" i="178"/>
  <c r="X210" i="178"/>
  <c r="Z210" i="178" s="1"/>
  <c r="X209" i="178"/>
  <c r="X211" i="178"/>
  <c r="Z211" i="178" s="1"/>
  <c r="Y117" i="178"/>
  <c r="Y115" i="178"/>
  <c r="Y116" i="178"/>
  <c r="Y114" i="178"/>
  <c r="Y111" i="178"/>
  <c r="Y113" i="178"/>
  <c r="Y112" i="178"/>
  <c r="Y110" i="178"/>
  <c r="Z110" i="178" s="1"/>
  <c r="AC110" i="178" s="1"/>
  <c r="AA101" i="178"/>
  <c r="AB101" i="178" s="1"/>
  <c r="AA103" i="178"/>
  <c r="AB103" i="178" s="1"/>
  <c r="AA106" i="178"/>
  <c r="AB106" i="178" s="1"/>
  <c r="AA102" i="178"/>
  <c r="AB102" i="178" s="1"/>
  <c r="AA109" i="178"/>
  <c r="AB109" i="178" s="1"/>
  <c r="AA108" i="178"/>
  <c r="AB108" i="178" s="1"/>
  <c r="AA105" i="178"/>
  <c r="AB105" i="178" s="1"/>
  <c r="AA107" i="178"/>
  <c r="AB107" i="178" s="1"/>
  <c r="AA104" i="178"/>
  <c r="AB104" i="178" s="1"/>
  <c r="AA100" i="178"/>
  <c r="AB100" i="178" s="1"/>
  <c r="X108" i="178"/>
  <c r="X105" i="178"/>
  <c r="Z105" i="178" s="1"/>
  <c r="X107" i="178"/>
  <c r="Z107" i="178" s="1"/>
  <c r="X104" i="178"/>
  <c r="Z104" i="178" s="1"/>
  <c r="X101" i="178"/>
  <c r="X103" i="178"/>
  <c r="Z103" i="178" s="1"/>
  <c r="X106" i="178"/>
  <c r="Z106" i="178" s="1"/>
  <c r="X102" i="178"/>
  <c r="X109" i="178"/>
  <c r="X100" i="178"/>
  <c r="Z100" i="178" s="1"/>
  <c r="Y98" i="178"/>
  <c r="Y96" i="178"/>
  <c r="Y97" i="178"/>
  <c r="Y95" i="178"/>
  <c r="Y94" i="178"/>
  <c r="Y93" i="178"/>
  <c r="Y92" i="178"/>
  <c r="AA90" i="178"/>
  <c r="AB90" i="178" s="1"/>
  <c r="AA88" i="178"/>
  <c r="AB88" i="178" s="1"/>
  <c r="AA87" i="178"/>
  <c r="AB87" i="178" s="1"/>
  <c r="AA86" i="178"/>
  <c r="AB86" i="178" s="1"/>
  <c r="AA91" i="178"/>
  <c r="AB91" i="178" s="1"/>
  <c r="AA89" i="178"/>
  <c r="AB89" i="178" s="1"/>
  <c r="AA85" i="178"/>
  <c r="AB85" i="178" s="1"/>
  <c r="X86" i="178"/>
  <c r="X91" i="178"/>
  <c r="Z91" i="178" s="1"/>
  <c r="X89" i="178"/>
  <c r="X90" i="178"/>
  <c r="X88" i="178"/>
  <c r="X87" i="178"/>
  <c r="X85" i="178"/>
  <c r="Y84" i="178"/>
  <c r="AA62" i="178"/>
  <c r="AB62" i="178" s="1"/>
  <c r="AA61" i="178"/>
  <c r="AB61" i="178" s="1"/>
  <c r="AA63" i="178"/>
  <c r="AB63" i="178" s="1"/>
  <c r="AA60" i="178"/>
  <c r="AB60" i="178" s="1"/>
  <c r="X63" i="178"/>
  <c r="X60" i="178"/>
  <c r="Z60" i="178" s="1"/>
  <c r="X62" i="178"/>
  <c r="Z62" i="178" s="1"/>
  <c r="X61" i="178"/>
  <c r="Z61" i="178" s="1"/>
  <c r="AA53" i="178"/>
  <c r="AB53" i="178" s="1"/>
  <c r="AA52" i="178"/>
  <c r="AB52" i="178" s="1"/>
  <c r="X52" i="178"/>
  <c r="X53" i="178"/>
  <c r="Z53" i="178" s="1"/>
  <c r="Y50" i="178"/>
  <c r="Y51" i="178"/>
  <c r="AA47" i="178"/>
  <c r="AB47" i="178" s="1"/>
  <c r="AA46" i="178"/>
  <c r="AB46" i="178" s="1"/>
  <c r="X47" i="178"/>
  <c r="X46" i="178"/>
  <c r="AA41" i="178"/>
  <c r="AB41" i="178" s="1"/>
  <c r="AA42" i="178"/>
  <c r="AB42" i="178" s="1"/>
  <c r="X42" i="178"/>
  <c r="X41" i="178"/>
  <c r="Z41" i="178" s="1"/>
  <c r="Y40" i="178"/>
  <c r="Y39" i="178"/>
  <c r="Y38" i="178"/>
  <c r="Z34" i="178"/>
  <c r="AC34" i="178" s="1"/>
  <c r="Y33" i="178"/>
  <c r="AA32" i="178"/>
  <c r="AB32" i="178" s="1"/>
  <c r="X32" i="178"/>
  <c r="Y31" i="178"/>
  <c r="AA30" i="178"/>
  <c r="AB30" i="178" s="1"/>
  <c r="X30" i="178"/>
  <c r="Z30" i="178" s="1"/>
  <c r="Y26" i="178"/>
  <c r="Y28" i="178"/>
  <c r="Y23" i="178"/>
  <c r="Y27" i="178"/>
  <c r="Y25" i="178"/>
  <c r="Y24" i="178"/>
  <c r="AA18" i="178"/>
  <c r="AB18" i="178" s="1"/>
  <c r="AA21" i="178"/>
  <c r="AB21" i="178" s="1"/>
  <c r="AA22" i="178"/>
  <c r="AB22" i="178" s="1"/>
  <c r="AA20" i="178"/>
  <c r="AB20" i="178" s="1"/>
  <c r="AA19" i="178"/>
  <c r="AB19" i="178" s="1"/>
  <c r="X22" i="178"/>
  <c r="Z22" i="178" s="1"/>
  <c r="X20" i="178"/>
  <c r="X19" i="178"/>
  <c r="Z19" i="178" s="1"/>
  <c r="X18" i="178"/>
  <c r="X21" i="178"/>
  <c r="Y8" i="178"/>
  <c r="Y9" i="178"/>
  <c r="Y5" i="178"/>
  <c r="Y7" i="178"/>
  <c r="Y4" i="178"/>
  <c r="Y11" i="178"/>
  <c r="Y6" i="178"/>
  <c r="Y10" i="178"/>
  <c r="Y1274" i="178"/>
  <c r="Y1180" i="178"/>
  <c r="Z1180" i="178" s="1"/>
  <c r="AC1180" i="178" s="1"/>
  <c r="AA1062" i="178"/>
  <c r="AB1062" i="178" s="1"/>
  <c r="AA1061" i="178"/>
  <c r="AB1061" i="178" s="1"/>
  <c r="AA1067" i="178"/>
  <c r="AB1067" i="178" s="1"/>
  <c r="AA1072" i="178"/>
  <c r="AB1072" i="178" s="1"/>
  <c r="AA1068" i="178"/>
  <c r="AB1068" i="178" s="1"/>
  <c r="AA1074" i="178"/>
  <c r="AB1074" i="178" s="1"/>
  <c r="AA1076" i="178"/>
  <c r="AB1076" i="178" s="1"/>
  <c r="AA1070" i="178"/>
  <c r="AB1070" i="178" s="1"/>
  <c r="AA1077" i="178"/>
  <c r="AB1077" i="178" s="1"/>
  <c r="AA1073" i="178"/>
  <c r="AB1073" i="178" s="1"/>
  <c r="AA1069" i="178"/>
  <c r="AB1069" i="178" s="1"/>
  <c r="AA1066" i="178"/>
  <c r="AB1066" i="178" s="1"/>
  <c r="AA1071" i="178"/>
  <c r="AB1071" i="178" s="1"/>
  <c r="AA1075" i="178"/>
  <c r="AB1075" i="178" s="1"/>
  <c r="X1062" i="178"/>
  <c r="X1061" i="178"/>
  <c r="Z1061" i="178" s="1"/>
  <c r="X1070" i="178"/>
  <c r="X1077" i="178"/>
  <c r="Z1077" i="178" s="1"/>
  <c r="X1073" i="178"/>
  <c r="X1069" i="178"/>
  <c r="X1066" i="178"/>
  <c r="X1071" i="178"/>
  <c r="Z1071" i="178" s="1"/>
  <c r="X1075" i="178"/>
  <c r="X1067" i="178"/>
  <c r="X1072" i="178"/>
  <c r="X1068" i="178"/>
  <c r="X1074" i="178"/>
  <c r="X1076" i="178"/>
  <c r="Y1053" i="178"/>
  <c r="Y1052" i="178"/>
  <c r="Y1055" i="178"/>
  <c r="Y1054" i="178"/>
  <c r="Y1056" i="178"/>
  <c r="Y1021" i="178"/>
  <c r="Y1023" i="178"/>
  <c r="Y1020" i="178"/>
  <c r="Y1022" i="178"/>
  <c r="Y1027" i="178"/>
  <c r="AA1012" i="178"/>
  <c r="AB1012" i="178" s="1"/>
  <c r="AA1014" i="178"/>
  <c r="AB1014" i="178" s="1"/>
  <c r="AA1013" i="178"/>
  <c r="AB1013" i="178" s="1"/>
  <c r="X1014" i="178"/>
  <c r="X1013" i="178"/>
  <c r="Z1013" i="178" s="1"/>
  <c r="X1012" i="178"/>
  <c r="Z1012" i="178" s="1"/>
  <c r="Y1006" i="178"/>
  <c r="Z1006" i="178" s="1"/>
  <c r="Y971" i="178"/>
  <c r="Y970" i="178"/>
  <c r="Y969" i="178"/>
  <c r="AA740" i="178"/>
  <c r="AB740" i="178" s="1"/>
  <c r="X740" i="178"/>
  <c r="Z740" i="178" s="1"/>
  <c r="AA573" i="178"/>
  <c r="AB573" i="178" s="1"/>
  <c r="AA574" i="178"/>
  <c r="AB574" i="178" s="1"/>
  <c r="X573" i="178"/>
  <c r="X574" i="178"/>
  <c r="Z574" i="178" s="1"/>
  <c r="AA507" i="178"/>
  <c r="AB507" i="178" s="1"/>
  <c r="X507" i="178"/>
  <c r="AA502" i="178"/>
  <c r="AB502" i="178" s="1"/>
  <c r="X502" i="178"/>
  <c r="Z502" i="178" s="1"/>
  <c r="Y468" i="178"/>
  <c r="Y460" i="178"/>
  <c r="Z460" i="178" s="1"/>
  <c r="Y307" i="178"/>
  <c r="Y147" i="178"/>
  <c r="Y149" i="178"/>
  <c r="Y150" i="178"/>
  <c r="Y118" i="178"/>
  <c r="AA564" i="178"/>
  <c r="AB564" i="178" s="1"/>
  <c r="X564" i="178"/>
  <c r="Y1113" i="178"/>
  <c r="Z1113" i="178" s="1"/>
  <c r="AC1113" i="178" s="1"/>
  <c r="Y676" i="178"/>
  <c r="Z676" i="178" s="1"/>
  <c r="Y674" i="178"/>
  <c r="Z674" i="178" s="1"/>
  <c r="X271" i="178"/>
  <c r="X268" i="178"/>
  <c r="X270" i="178"/>
  <c r="X269" i="178"/>
  <c r="O82" i="70"/>
  <c r="Z855" i="178"/>
  <c r="AC855" i="178" s="1"/>
  <c r="Z853" i="178"/>
  <c r="AC853" i="178" s="1"/>
  <c r="Z851" i="178"/>
  <c r="Z168" i="178"/>
  <c r="AC168" i="178" s="1"/>
  <c r="Z184" i="178"/>
  <c r="AC184" i="178" s="1"/>
  <c r="Z420" i="178"/>
  <c r="AC420" i="178" s="1"/>
  <c r="Z816" i="178"/>
  <c r="AC816" i="178" s="1"/>
  <c r="Z653" i="178"/>
  <c r="Z440" i="178"/>
  <c r="AC440" i="178" s="1"/>
  <c r="Z909" i="178"/>
  <c r="I13" i="70"/>
  <c r="H34" i="70"/>
  <c r="H90" i="70"/>
  <c r="I103" i="70"/>
  <c r="I30" i="70"/>
  <c r="I45" i="70"/>
  <c r="I17" i="70"/>
  <c r="H5" i="70"/>
  <c r="I79" i="70"/>
  <c r="I47" i="70"/>
  <c r="I51" i="70"/>
  <c r="I53" i="70"/>
  <c r="I8" i="70"/>
  <c r="I21" i="70"/>
  <c r="I16" i="70"/>
  <c r="H33" i="70"/>
  <c r="H35" i="70"/>
  <c r="I20" i="70"/>
  <c r="I49" i="70"/>
  <c r="H95" i="70"/>
  <c r="I81" i="70"/>
  <c r="H74" i="70"/>
  <c r="H104" i="70"/>
  <c r="H10" i="70"/>
  <c r="I55" i="70"/>
  <c r="I67" i="70"/>
  <c r="I40" i="70"/>
  <c r="I31" i="70"/>
  <c r="H83" i="70"/>
  <c r="I82" i="70"/>
  <c r="BG1255" i="178"/>
  <c r="AS1084" i="178"/>
  <c r="BE1029" i="178"/>
  <c r="BE497" i="178"/>
  <c r="AS1029" i="178"/>
  <c r="BL1029" i="178"/>
  <c r="BE1275" i="178"/>
  <c r="AY1029" i="178"/>
  <c r="BE1083" i="178"/>
  <c r="BI1083" i="178"/>
  <c r="AU1078" i="178"/>
  <c r="BA1078" i="178"/>
  <c r="BI1028" i="178"/>
  <c r="AS1028" i="178"/>
  <c r="BG1028" i="178"/>
  <c r="Z918" i="178"/>
  <c r="AC918" i="178" s="1"/>
  <c r="BG918" i="178"/>
  <c r="BI491" i="178"/>
  <c r="AU716" i="178"/>
  <c r="BN716" i="178"/>
  <c r="BE716" i="178"/>
  <c r="AY1180" i="178"/>
  <c r="AY1196" i="178"/>
  <c r="BA1029" i="178"/>
  <c r="BE1028" i="178"/>
  <c r="AS1004" i="178"/>
  <c r="BL1028" i="178"/>
  <c r="AY1028" i="178"/>
  <c r="BI918" i="178"/>
  <c r="BN918" i="178"/>
  <c r="AY918" i="178"/>
  <c r="BN672" i="178"/>
  <c r="BG716" i="178"/>
  <c r="BA716" i="178"/>
  <c r="BG420" i="178"/>
  <c r="BN420" i="178"/>
  <c r="AW420" i="178"/>
  <c r="BN816" i="178"/>
  <c r="AW816" i="178"/>
  <c r="BC816" i="178"/>
  <c r="BI966" i="178"/>
  <c r="AS966" i="178"/>
  <c r="AY966" i="178"/>
  <c r="BA1255" i="178"/>
  <c r="BI1255" i="178"/>
  <c r="AW1180" i="178"/>
  <c r="BA1196" i="178"/>
  <c r="BE1195" i="178"/>
  <c r="AW1029" i="178"/>
  <c r="BA1028" i="178"/>
  <c r="BC918" i="178"/>
  <c r="BA918" i="178"/>
  <c r="BL918" i="178"/>
  <c r="AU672" i="178"/>
  <c r="AS522" i="178"/>
  <c r="AY703" i="178"/>
  <c r="BC716" i="178"/>
  <c r="AW716" i="178"/>
  <c r="BI339" i="178"/>
  <c r="BC420" i="178"/>
  <c r="BI420" i="178"/>
  <c r="AS420" i="178"/>
  <c r="BI816" i="178"/>
  <c r="AS816" i="178"/>
  <c r="AY816" i="178"/>
  <c r="BE966" i="178"/>
  <c r="BL966" i="178"/>
  <c r="AU966" i="178"/>
  <c r="BI909" i="178"/>
  <c r="AY909" i="178"/>
  <c r="BL913" i="178"/>
  <c r="BA913" i="178"/>
  <c r="BA369" i="178"/>
  <c r="BC369" i="178"/>
  <c r="BG817" i="178"/>
  <c r="BI817" i="178"/>
  <c r="AS817" i="178"/>
  <c r="BE909" i="178"/>
  <c r="AU909" i="178"/>
  <c r="AY913" i="178"/>
  <c r="BI369" i="178"/>
  <c r="AW369" i="178"/>
  <c r="AY369" i="178"/>
  <c r="BC817" i="178"/>
  <c r="BE817" i="178"/>
  <c r="BL817" i="178"/>
  <c r="AS909" i="178"/>
  <c r="AU913" i="178"/>
  <c r="AS369" i="178"/>
  <c r="BL369" i="178"/>
  <c r="AU369" i="178"/>
  <c r="AY817" i="178"/>
  <c r="BA817" i="178"/>
  <c r="AU567" i="178"/>
  <c r="BE567" i="178"/>
  <c r="BL567" i="178"/>
  <c r="BA567" i="178"/>
  <c r="BG567" i="178"/>
  <c r="BN567" i="178"/>
  <c r="AW567" i="178"/>
  <c r="BC567" i="178"/>
  <c r="BI567" i="178"/>
  <c r="AS567" i="178"/>
  <c r="AY567" i="178"/>
  <c r="AC764" i="178"/>
  <c r="AC1258" i="178"/>
  <c r="BI565" i="178"/>
  <c r="AW769" i="178"/>
  <c r="AY767" i="178"/>
  <c r="AY769" i="178"/>
  <c r="BE767" i="178"/>
  <c r="AU767" i="178"/>
  <c r="BA767" i="178"/>
  <c r="AS769" i="178"/>
  <c r="BL769" i="178"/>
  <c r="AU769" i="178"/>
  <c r="BG767" i="178"/>
  <c r="BN767" i="178"/>
  <c r="AW767" i="178"/>
  <c r="BE769" i="178"/>
  <c r="BG769" i="178"/>
  <c r="BN769" i="178"/>
  <c r="BC767" i="178"/>
  <c r="BI767" i="178"/>
  <c r="AS767" i="178"/>
  <c r="BA769" i="178"/>
  <c r="BC769" i="178"/>
  <c r="BC1087" i="178"/>
  <c r="AW1257" i="178"/>
  <c r="BI1260" i="178"/>
  <c r="AS717" i="178"/>
  <c r="AS1197" i="178"/>
  <c r="BA1260" i="178"/>
  <c r="BG1096" i="178"/>
  <c r="BN1096" i="178"/>
  <c r="Z1197" i="178"/>
  <c r="AC1197" i="178" s="1"/>
  <c r="BL498" i="178"/>
  <c r="BG1257" i="178"/>
  <c r="BC1197" i="178"/>
  <c r="BG717" i="178"/>
  <c r="BE435" i="178"/>
  <c r="AW1256" i="178"/>
  <c r="Z1085" i="178"/>
  <c r="AC1085" i="178" s="1"/>
  <c r="AU704" i="178"/>
  <c r="BL1256" i="178"/>
  <c r="BC1085" i="178"/>
  <c r="AU139" i="178"/>
  <c r="BE740" i="178"/>
  <c r="BC669" i="178"/>
  <c r="AU1084" i="178"/>
  <c r="BG1084" i="178"/>
  <c r="BL565" i="178"/>
  <c r="BN704" i="178"/>
  <c r="BE911" i="178"/>
  <c r="BI910" i="178"/>
  <c r="BL911" i="178"/>
  <c r="AS910" i="178"/>
  <c r="AY910" i="178"/>
  <c r="AY911" i="178"/>
  <c r="BA911" i="178"/>
  <c r="BE910" i="178"/>
  <c r="BL910" i="178"/>
  <c r="AU910" i="178"/>
  <c r="BA909" i="178"/>
  <c r="BG909" i="178"/>
  <c r="AU911" i="178"/>
  <c r="BN911" i="178"/>
  <c r="AW911" i="178"/>
  <c r="BA910" i="178"/>
  <c r="BG910" i="178"/>
  <c r="BG913" i="178"/>
  <c r="BN913" i="178"/>
  <c r="AW913" i="178"/>
  <c r="BN909" i="178"/>
  <c r="AW909" i="178"/>
  <c r="BC909" i="178"/>
  <c r="BG911" i="178"/>
  <c r="BI911" i="178"/>
  <c r="AS911" i="178"/>
  <c r="BN910" i="178"/>
  <c r="AW910" i="178"/>
  <c r="BC910" i="178"/>
  <c r="BC913" i="178"/>
  <c r="BI913" i="178"/>
  <c r="AS913" i="178"/>
  <c r="BA1180" i="178"/>
  <c r="AW1082" i="178"/>
  <c r="BA497" i="178"/>
  <c r="AC525" i="178"/>
  <c r="BA703" i="178"/>
  <c r="BN302" i="178"/>
  <c r="AY1254" i="178"/>
  <c r="BL1180" i="178"/>
  <c r="BE1180" i="178"/>
  <c r="BC1180" i="178"/>
  <c r="AS955" i="178"/>
  <c r="AS499" i="178"/>
  <c r="AW497" i="178"/>
  <c r="BN703" i="178"/>
  <c r="BA100" i="178"/>
  <c r="AY497" i="178"/>
  <c r="BG1180" i="178"/>
  <c r="AS1180" i="178"/>
  <c r="BI1180" i="178"/>
  <c r="AU1180" i="178"/>
  <c r="BA1006" i="178"/>
  <c r="BA957" i="178"/>
  <c r="BG672" i="178"/>
  <c r="AS498" i="178"/>
  <c r="AS497" i="178"/>
  <c r="AW307" i="178"/>
  <c r="BG100" i="178"/>
  <c r="AC1030" i="178"/>
  <c r="AC1151" i="178"/>
  <c r="AC995" i="178"/>
  <c r="BC1257" i="178"/>
  <c r="BN1257" i="178"/>
  <c r="BI1257" i="178"/>
  <c r="AS1257" i="178"/>
  <c r="Z1257" i="178"/>
  <c r="AC1257" i="178" s="1"/>
  <c r="AY1256" i="178"/>
  <c r="BA1256" i="178"/>
  <c r="BE1197" i="178"/>
  <c r="AY1084" i="178"/>
  <c r="BG139" i="178"/>
  <c r="BN1197" i="178"/>
  <c r="BG1197" i="178"/>
  <c r="BI858" i="178"/>
  <c r="BE574" i="178"/>
  <c r="AS669" i="178"/>
  <c r="AW669" i="178"/>
  <c r="AW513" i="178"/>
  <c r="Z348" i="178"/>
  <c r="AC348" i="178" s="1"/>
  <c r="BC717" i="178"/>
  <c r="AY348" i="178"/>
  <c r="AC519" i="178"/>
  <c r="AY1257" i="178"/>
  <c r="AC1266" i="178"/>
  <c r="BE1257" i="178"/>
  <c r="BN1256" i="178"/>
  <c r="BC1256" i="178"/>
  <c r="BE1256" i="178"/>
  <c r="BA1096" i="178"/>
  <c r="BI1084" i="178"/>
  <c r="Z1084" i="178"/>
  <c r="AC1084" i="178" s="1"/>
  <c r="BL139" i="178"/>
  <c r="AU1197" i="178"/>
  <c r="BL1197" i="178"/>
  <c r="BA669" i="178"/>
  <c r="AS574" i="178"/>
  <c r="BN669" i="178"/>
  <c r="Z669" i="178"/>
  <c r="AY717" i="178"/>
  <c r="BG518" i="178"/>
  <c r="BI717" i="178"/>
  <c r="AY296" i="178"/>
  <c r="AU1257" i="178"/>
  <c r="BA1257" i="178"/>
  <c r="AU1256" i="178"/>
  <c r="AS1256" i="178"/>
  <c r="AW1189" i="178"/>
  <c r="AW1096" i="178"/>
  <c r="AY1096" i="178"/>
  <c r="BI1197" i="178"/>
  <c r="BC1084" i="178"/>
  <c r="BA1084" i="178"/>
  <c r="BA1197" i="178"/>
  <c r="BN139" i="178"/>
  <c r="AW1197" i="178"/>
  <c r="Z1087" i="178"/>
  <c r="AC1087" i="178" s="1"/>
  <c r="AS954" i="178"/>
  <c r="AU669" i="178"/>
  <c r="AU717" i="178"/>
  <c r="BN717" i="178"/>
  <c r="AW717" i="178"/>
  <c r="BN1085" i="178"/>
  <c r="BG1085" i="178"/>
  <c r="BA952" i="178"/>
  <c r="AW740" i="178"/>
  <c r="AS565" i="178"/>
  <c r="AW893" i="178"/>
  <c r="BL502" i="178"/>
  <c r="BG521" i="178"/>
  <c r="AS1273" i="178"/>
  <c r="Z1254" i="178"/>
  <c r="AC1254" i="178" s="1"/>
  <c r="BI1085" i="178"/>
  <c r="AU1085" i="178"/>
  <c r="BL1085" i="178"/>
  <c r="BE952" i="178"/>
  <c r="AS740" i="178"/>
  <c r="BL740" i="178"/>
  <c r="BE573" i="178"/>
  <c r="AS893" i="178"/>
  <c r="BC565" i="178"/>
  <c r="BE515" i="178"/>
  <c r="AW704" i="178"/>
  <c r="AW85" i="178"/>
  <c r="BC740" i="178"/>
  <c r="AC1146" i="178"/>
  <c r="BC1273" i="178"/>
  <c r="AS1085" i="178"/>
  <c r="AY1085" i="178"/>
  <c r="BE733" i="178"/>
  <c r="BA893" i="178"/>
  <c r="BC573" i="178"/>
  <c r="BC85" i="178"/>
  <c r="AU740" i="178"/>
  <c r="BL717" i="178"/>
  <c r="AW502" i="178"/>
  <c r="AY515" i="178"/>
  <c r="BG502" i="178"/>
  <c r="BE717" i="178"/>
  <c r="AU296" i="178"/>
  <c r="AW521" i="178"/>
  <c r="BC296" i="178"/>
  <c r="AW296" i="178"/>
  <c r="BC1193" i="178"/>
  <c r="BN1193" i="178"/>
  <c r="AW1193" i="178"/>
  <c r="AY1193" i="178"/>
  <c r="BI1193" i="178"/>
  <c r="AS1193" i="178"/>
  <c r="AU1193" i="178"/>
  <c r="BE1193" i="178"/>
  <c r="AC134" i="178"/>
  <c r="AC536" i="178"/>
  <c r="BC1275" i="178"/>
  <c r="BA1275" i="178"/>
  <c r="AU1255" i="178"/>
  <c r="BC1255" i="178"/>
  <c r="AW1255" i="178"/>
  <c r="AU1196" i="178"/>
  <c r="AW1196" i="178"/>
  <c r="BG1078" i="178"/>
  <c r="AW1078" i="178"/>
  <c r="AY1275" i="178"/>
  <c r="AW1275" i="178"/>
  <c r="BL1275" i="178"/>
  <c r="BA1261" i="178"/>
  <c r="BE1255" i="178"/>
  <c r="AS1255" i="178"/>
  <c r="BG1196" i="178"/>
  <c r="BN1196" i="178"/>
  <c r="BI1196" i="178"/>
  <c r="AS1196" i="178"/>
  <c r="BC1078" i="178"/>
  <c r="BI1078" i="178"/>
  <c r="AS1078" i="178"/>
  <c r="AU1275" i="178"/>
  <c r="BI1275" i="178"/>
  <c r="AS1275" i="178"/>
  <c r="BC1261" i="178"/>
  <c r="BG1261" i="178"/>
  <c r="AY1255" i="178"/>
  <c r="BN1255" i="178"/>
  <c r="BC1196" i="178"/>
  <c r="BE1196" i="178"/>
  <c r="AY1078" i="178"/>
  <c r="BN1078" i="178"/>
  <c r="BE1078" i="178"/>
  <c r="BI955" i="178"/>
  <c r="AC901" i="178"/>
  <c r="AC1031" i="178"/>
  <c r="AC222" i="178"/>
  <c r="AC1166" i="178"/>
  <c r="AC571" i="178"/>
  <c r="AC176" i="178"/>
  <c r="AC314" i="178"/>
  <c r="AC219" i="178"/>
  <c r="AC206" i="178"/>
  <c r="AC1028" i="178"/>
  <c r="BG1274" i="178"/>
  <c r="BG1260" i="178"/>
  <c r="BE1260" i="178"/>
  <c r="AS1034" i="178"/>
  <c r="BA1034" i="178"/>
  <c r="AY1034" i="178"/>
  <c r="AY1086" i="178"/>
  <c r="BE502" i="178"/>
  <c r="BL497" i="178"/>
  <c r="BG703" i="178"/>
  <c r="BG516" i="178"/>
  <c r="AY502" i="178"/>
  <c r="BI703" i="178"/>
  <c r="AS703" i="178"/>
  <c r="AY302" i="178"/>
  <c r="Z99" i="178"/>
  <c r="AC99" i="178" s="1"/>
  <c r="AY100" i="178"/>
  <c r="AW100" i="178"/>
  <c r="BA307" i="178"/>
  <c r="AW302" i="178"/>
  <c r="BN100" i="178"/>
  <c r="BA99" i="178"/>
  <c r="BI100" i="178"/>
  <c r="AY1006" i="178"/>
  <c r="BN1260" i="178"/>
  <c r="AS1260" i="178"/>
  <c r="AW1260" i="178"/>
  <c r="AY1260" i="178"/>
  <c r="BN1034" i="178"/>
  <c r="AW516" i="178"/>
  <c r="BA502" i="178"/>
  <c r="BC703" i="178"/>
  <c r="AU502" i="178"/>
  <c r="BN339" i="178"/>
  <c r="BE703" i="178"/>
  <c r="BA349" i="178"/>
  <c r="BE307" i="178"/>
  <c r="AU100" i="178"/>
  <c r="AU307" i="178"/>
  <c r="BE100" i="178"/>
  <c r="BC1260" i="178"/>
  <c r="AU1260" i="178"/>
  <c r="AW1086" i="178"/>
  <c r="AS502" i="178"/>
  <c r="AU703" i="178"/>
  <c r="AW703" i="178"/>
  <c r="BE302" i="178"/>
  <c r="BI302" i="178"/>
  <c r="BC100" i="178"/>
  <c r="BC99" i="178"/>
  <c r="BI307" i="178"/>
  <c r="AS100" i="178"/>
  <c r="BN1006" i="178"/>
  <c r="BG957" i="178"/>
  <c r="BC497" i="178"/>
  <c r="AY1273" i="178"/>
  <c r="BE1087" i="178"/>
  <c r="BA1087" i="178"/>
  <c r="BN1087" i="178"/>
  <c r="BG1087" i="178"/>
  <c r="BE955" i="178"/>
  <c r="AW957" i="178"/>
  <c r="BA573" i="178"/>
  <c r="BI694" i="178"/>
  <c r="BI672" i="178"/>
  <c r="AW672" i="178"/>
  <c r="AY573" i="178"/>
  <c r="BE518" i="178"/>
  <c r="BL518" i="178"/>
  <c r="BG704" i="178"/>
  <c r="BI704" i="178"/>
  <c r="AS704" i="178"/>
  <c r="BA294" i="178"/>
  <c r="AS296" i="178"/>
  <c r="BE85" i="178"/>
  <c r="BN85" i="178"/>
  <c r="BG85" i="178"/>
  <c r="AS85" i="178"/>
  <c r="BA1268" i="178"/>
  <c r="BL1268" i="178"/>
  <c r="AY1268" i="178"/>
  <c r="BI1087" i="178"/>
  <c r="AS1082" i="178"/>
  <c r="BG952" i="178"/>
  <c r="AU1087" i="178"/>
  <c r="BL1087" i="178"/>
  <c r="BA955" i="178"/>
  <c r="BI957" i="178"/>
  <c r="AS957" i="178"/>
  <c r="AW573" i="178"/>
  <c r="BC672" i="178"/>
  <c r="AU573" i="178"/>
  <c r="BC704" i="178"/>
  <c r="BG550" i="178"/>
  <c r="BE704" i="178"/>
  <c r="BA291" i="178"/>
  <c r="BN296" i="178"/>
  <c r="BL291" i="178"/>
  <c r="BA85" i="178"/>
  <c r="AU85" i="178"/>
  <c r="BL85" i="178"/>
  <c r="BL296" i="178"/>
  <c r="BN1254" i="178"/>
  <c r="AS1087" i="178"/>
  <c r="AW1087" i="178"/>
  <c r="AW955" i="178"/>
  <c r="BE957" i="178"/>
  <c r="BA672" i="178"/>
  <c r="BI573" i="178"/>
  <c r="AS573" i="178"/>
  <c r="AS672" i="178"/>
  <c r="BL573" i="178"/>
  <c r="BG573" i="178"/>
  <c r="AY704" i="178"/>
  <c r="AU513" i="178"/>
  <c r="BA704" i="178"/>
  <c r="BE296" i="178"/>
  <c r="BI296" i="178"/>
  <c r="BG296" i="178"/>
  <c r="AY85" i="178"/>
  <c r="BG955" i="178"/>
  <c r="BL1096" i="178"/>
  <c r="BC1096" i="178"/>
  <c r="BL1034" i="178"/>
  <c r="AU1034" i="178"/>
  <c r="AU1086" i="178"/>
  <c r="BL1086" i="178"/>
  <c r="BI954" i="178"/>
  <c r="AS733" i="178"/>
  <c r="BL733" i="178"/>
  <c r="AU670" i="178"/>
  <c r="BC893" i="178"/>
  <c r="AS670" i="178"/>
  <c r="BG893" i="178"/>
  <c r="BA521" i="178"/>
  <c r="AS515" i="178"/>
  <c r="AU521" i="178"/>
  <c r="BC515" i="178"/>
  <c r="BE294" i="178"/>
  <c r="BE291" i="178"/>
  <c r="BL294" i="178"/>
  <c r="BN294" i="178"/>
  <c r="BA92" i="178"/>
  <c r="BI1096" i="178"/>
  <c r="AY956" i="178"/>
  <c r="BN954" i="178"/>
  <c r="BE893" i="178"/>
  <c r="AY893" i="178"/>
  <c r="BC733" i="178"/>
  <c r="BN733" i="178"/>
  <c r="AS1274" i="178"/>
  <c r="BI1034" i="178"/>
  <c r="AU1096" i="178"/>
  <c r="AW1034" i="178"/>
  <c r="BC1034" i="178"/>
  <c r="BI1086" i="178"/>
  <c r="BE1086" i="178"/>
  <c r="Z1086" i="178"/>
  <c r="AC1086" i="178" s="1"/>
  <c r="BC1086" i="178"/>
  <c r="AW857" i="178"/>
  <c r="BA740" i="178"/>
  <c r="BA733" i="178"/>
  <c r="AU893" i="178"/>
  <c r="BN893" i="178"/>
  <c r="AS521" i="178"/>
  <c r="BA515" i="178"/>
  <c r="BL515" i="178"/>
  <c r="BC521" i="178"/>
  <c r="AU515" i="178"/>
  <c r="BE348" i="178"/>
  <c r="AW294" i="178"/>
  <c r="AW291" i="178"/>
  <c r="BN92" i="178"/>
  <c r="BE1085" i="178"/>
  <c r="AW1085" i="178"/>
  <c r="AS1096" i="178"/>
  <c r="BN497" i="178"/>
  <c r="BI1274" i="178"/>
  <c r="BE1034" i="178"/>
  <c r="BG1034" i="178"/>
  <c r="AS1086" i="178"/>
  <c r="BA1086" i="178"/>
  <c r="BN1086" i="178"/>
  <c r="BA956" i="178"/>
  <c r="AW733" i="178"/>
  <c r="BI893" i="178"/>
  <c r="BE521" i="178"/>
  <c r="AW515" i="178"/>
  <c r="BL521" i="178"/>
  <c r="AU349" i="178"/>
  <c r="AW549" i="178"/>
  <c r="AY521" i="178"/>
  <c r="BG515" i="178"/>
  <c r="AS294" i="178"/>
  <c r="AS291" i="178"/>
  <c r="BN291" i="178"/>
  <c r="BG92" i="178"/>
  <c r="AU733" i="178"/>
  <c r="BN740" i="178"/>
  <c r="AC1267" i="178"/>
  <c r="AW1268" i="178"/>
  <c r="AU1273" i="178"/>
  <c r="AU1268" i="178"/>
  <c r="AS1261" i="178"/>
  <c r="AW1261" i="178"/>
  <c r="AU1261" i="178"/>
  <c r="BE1261" i="178"/>
  <c r="BI1254" i="178"/>
  <c r="BE1082" i="178"/>
  <c r="BN1082" i="178"/>
  <c r="AS1195" i="178"/>
  <c r="BI1195" i="178"/>
  <c r="BC1195" i="178"/>
  <c r="BA1082" i="178"/>
  <c r="AW1006" i="178"/>
  <c r="AY491" i="178"/>
  <c r="AW491" i="178"/>
  <c r="BN491" i="178"/>
  <c r="BE954" i="178"/>
  <c r="AW956" i="178"/>
  <c r="BE565" i="178"/>
  <c r="BG673" i="178"/>
  <c r="AY565" i="178"/>
  <c r="BE498" i="178"/>
  <c r="BG435" i="178"/>
  <c r="BG349" i="178"/>
  <c r="AU348" i="178"/>
  <c r="BG555" i="178"/>
  <c r="BL555" i="178"/>
  <c r="Z549" i="178"/>
  <c r="BN349" i="178"/>
  <c r="AS435" i="178"/>
  <c r="AW349" i="178"/>
  <c r="BA348" i="178"/>
  <c r="BE339" i="178"/>
  <c r="AY313" i="178"/>
  <c r="AU92" i="178"/>
  <c r="BL92" i="178"/>
  <c r="AU1006" i="178"/>
  <c r="BC1006" i="178"/>
  <c r="AU954" i="178"/>
  <c r="AC959" i="178"/>
  <c r="BN1273" i="178"/>
  <c r="BG1273" i="178"/>
  <c r="BI1268" i="178"/>
  <c r="AS1268" i="178"/>
  <c r="Z1273" i="178"/>
  <c r="AC1273" i="178" s="1"/>
  <c r="BG1268" i="178"/>
  <c r="BN1261" i="178"/>
  <c r="AY1261" i="178"/>
  <c r="BA1254" i="178"/>
  <c r="BC1254" i="178"/>
  <c r="BG1254" i="178"/>
  <c r="AY1082" i="178"/>
  <c r="BI1082" i="178"/>
  <c r="AW1195" i="178"/>
  <c r="BN1195" i="178"/>
  <c r="BG1195" i="178"/>
  <c r="AU1082" i="178"/>
  <c r="AS1006" i="178"/>
  <c r="BL1006" i="178"/>
  <c r="AU491" i="178"/>
  <c r="BG491" i="178"/>
  <c r="BA491" i="178"/>
  <c r="BL491" i="178"/>
  <c r="BA954" i="178"/>
  <c r="BI956" i="178"/>
  <c r="AS956" i="178"/>
  <c r="BN956" i="178"/>
  <c r="AU718" i="178"/>
  <c r="BA565" i="178"/>
  <c r="BN673" i="178"/>
  <c r="AU565" i="178"/>
  <c r="BA498" i="178"/>
  <c r="AU435" i="178"/>
  <c r="BC349" i="178"/>
  <c r="BG348" i="178"/>
  <c r="AY339" i="178"/>
  <c r="BG549" i="178"/>
  <c r="BL549" i="178"/>
  <c r="BI349" i="178"/>
  <c r="AS349" i="178"/>
  <c r="AW348" i="178"/>
  <c r="AS339" i="178"/>
  <c r="AY92" i="178"/>
  <c r="BE92" i="178"/>
  <c r="BL954" i="178"/>
  <c r="Z565" i="178"/>
  <c r="AC565" i="178" s="1"/>
  <c r="BI1273" i="178"/>
  <c r="AW1273" i="178"/>
  <c r="BE1268" i="178"/>
  <c r="BA1273" i="178"/>
  <c r="BE1273" i="178"/>
  <c r="BC1268" i="178"/>
  <c r="BI1261" i="178"/>
  <c r="AU1254" i="178"/>
  <c r="BE1254" i="178"/>
  <c r="AS1254" i="178"/>
  <c r="AW1254" i="178"/>
  <c r="BC1082" i="178"/>
  <c r="BG1082" i="178"/>
  <c r="BA1195" i="178"/>
  <c r="AU1195" i="178"/>
  <c r="BE1006" i="178"/>
  <c r="AS491" i="178"/>
  <c r="AW954" i="178"/>
  <c r="BE956" i="178"/>
  <c r="AW565" i="178"/>
  <c r="BG694" i="178"/>
  <c r="BG565" i="178"/>
  <c r="AW499" i="178"/>
  <c r="AW498" i="178"/>
  <c r="Z349" i="178"/>
  <c r="AC349" i="178" s="1"/>
  <c r="BL499" i="178"/>
  <c r="AY349" i="178"/>
  <c r="BC348" i="178"/>
  <c r="AW555" i="178"/>
  <c r="BN435" i="178"/>
  <c r="BN348" i="178"/>
  <c r="BE349" i="178"/>
  <c r="BI348" i="178"/>
  <c r="AS348" i="178"/>
  <c r="AW92" i="178"/>
  <c r="BC92" i="178"/>
  <c r="AS92" i="178"/>
  <c r="BG1006" i="178"/>
  <c r="AC224" i="178"/>
  <c r="AC213" i="178"/>
  <c r="BE550" i="178"/>
  <c r="AU549" i="178"/>
  <c r="BG294" i="178"/>
  <c r="BG740" i="178"/>
  <c r="Z1268" i="178"/>
  <c r="AC1268" i="178" s="1"/>
  <c r="AU957" i="178"/>
  <c r="BE555" i="178"/>
  <c r="AY294" i="178"/>
  <c r="AY740" i="178"/>
  <c r="AY1274" i="178"/>
  <c r="AW1274" i="178"/>
  <c r="BI1189" i="178"/>
  <c r="AS1189" i="178"/>
  <c r="BL1189" i="178"/>
  <c r="BL952" i="178"/>
  <c r="BE694" i="178"/>
  <c r="BC694" i="178"/>
  <c r="BI673" i="178"/>
  <c r="AW694" i="178"/>
  <c r="AW673" i="178"/>
  <c r="BA518" i="178"/>
  <c r="AS513" i="178"/>
  <c r="AW550" i="178"/>
  <c r="BC518" i="178"/>
  <c r="BG513" i="178"/>
  <c r="BC302" i="178"/>
  <c r="AY99" i="178"/>
  <c r="AW99" i="178"/>
  <c r="BA302" i="178"/>
  <c r="BL957" i="178"/>
  <c r="AY957" i="178"/>
  <c r="AY555" i="178"/>
  <c r="BI555" i="178"/>
  <c r="BN549" i="178"/>
  <c r="BC555" i="178"/>
  <c r="BC549" i="178"/>
  <c r="BA1274" i="178"/>
  <c r="BC1274" i="178"/>
  <c r="BE1189" i="178"/>
  <c r="BN952" i="178"/>
  <c r="BA694" i="178"/>
  <c r="BA673" i="178"/>
  <c r="AY694" i="178"/>
  <c r="AS694" i="178"/>
  <c r="BC673" i="178"/>
  <c r="AW518" i="178"/>
  <c r="BE513" i="178"/>
  <c r="Z550" i="178"/>
  <c r="AC550" i="178" s="1"/>
  <c r="AY518" i="178"/>
  <c r="BC513" i="178"/>
  <c r="AS302" i="178"/>
  <c r="AU99" i="178"/>
  <c r="BN99" i="178"/>
  <c r="BI99" i="178"/>
  <c r="AS99" i="178"/>
  <c r="AU302" i="178"/>
  <c r="BE672" i="178"/>
  <c r="AY549" i="178"/>
  <c r="BI549" i="178"/>
  <c r="BA555" i="178"/>
  <c r="AC953" i="178"/>
  <c r="AC216" i="178"/>
  <c r="AC183" i="178"/>
  <c r="BL1274" i="178"/>
  <c r="BE1274" i="178"/>
  <c r="AU1274" i="178"/>
  <c r="AU952" i="178"/>
  <c r="AU694" i="178"/>
  <c r="AU673" i="178"/>
  <c r="BN694" i="178"/>
  <c r="AS518" i="178"/>
  <c r="BA513" i="178"/>
  <c r="BL513" i="178"/>
  <c r="AU518" i="178"/>
  <c r="BG99" i="178"/>
  <c r="BG302" i="178"/>
  <c r="BE99" i="178"/>
  <c r="BN957" i="178"/>
  <c r="BL672" i="178"/>
  <c r="AU555" i="178"/>
  <c r="AS555" i="178"/>
  <c r="BC858" i="178"/>
  <c r="Z858" i="178"/>
  <c r="AC858" i="178" s="1"/>
  <c r="AU858" i="178"/>
  <c r="AY858" i="178"/>
  <c r="BN858" i="178"/>
  <c r="AW858" i="178"/>
  <c r="BL858" i="178"/>
  <c r="BA858" i="178"/>
  <c r="BL935" i="178"/>
  <c r="BG935" i="178"/>
  <c r="BI935" i="178"/>
  <c r="AY935" i="178"/>
  <c r="BA935" i="178"/>
  <c r="AW935" i="178"/>
  <c r="BN935" i="178"/>
  <c r="BE935" i="178"/>
  <c r="BL110" i="178"/>
  <c r="BA110" i="178"/>
  <c r="AY110" i="178"/>
  <c r="BE110" i="178"/>
  <c r="BN110" i="178"/>
  <c r="BC110" i="178"/>
  <c r="AS110" i="178"/>
  <c r="AU110" i="178"/>
  <c r="BI84" i="178"/>
  <c r="AY84" i="178"/>
  <c r="BL84" i="178"/>
  <c r="AU84" i="178"/>
  <c r="BA84" i="178"/>
  <c r="AS84" i="178"/>
  <c r="BC84" i="178"/>
  <c r="BE84" i="178"/>
  <c r="BN84" i="178"/>
  <c r="AU857" i="178"/>
  <c r="BN857" i="178"/>
  <c r="BC857" i="178"/>
  <c r="Z857" i="178"/>
  <c r="AC857" i="178" s="1"/>
  <c r="BA857" i="178"/>
  <c r="BE857" i="178"/>
  <c r="AY1083" i="178"/>
  <c r="BC1083" i="178"/>
  <c r="BG1083" i="178"/>
  <c r="BE1004" i="178"/>
  <c r="BL1004" i="178"/>
  <c r="BE858" i="178"/>
  <c r="AS857" i="178"/>
  <c r="BL857" i="178"/>
  <c r="BC935" i="178"/>
  <c r="BI110" i="178"/>
  <c r="AW84" i="178"/>
  <c r="BG1004" i="178"/>
  <c r="BL718" i="178"/>
  <c r="BG718" i="178"/>
  <c r="BI718" i="178"/>
  <c r="BA718" i="178"/>
  <c r="BN718" i="178"/>
  <c r="AY718" i="178"/>
  <c r="AY668" i="178"/>
  <c r="BL668" i="178"/>
  <c r="BG668" i="178"/>
  <c r="BE668" i="178"/>
  <c r="BI668" i="178"/>
  <c r="BA668" i="178"/>
  <c r="AW668" i="178"/>
  <c r="BN668" i="178"/>
  <c r="AY857" i="178"/>
  <c r="BN574" i="178"/>
  <c r="BG574" i="178"/>
  <c r="AU574" i="178"/>
  <c r="AW574" i="178"/>
  <c r="AY574" i="178"/>
  <c r="BL574" i="178"/>
  <c r="BA574" i="178"/>
  <c r="BI139" i="178"/>
  <c r="BI952" i="178"/>
  <c r="AS1083" i="178"/>
  <c r="AW1083" i="178"/>
  <c r="AW139" i="178"/>
  <c r="AY139" i="178"/>
  <c r="AW952" i="178"/>
  <c r="AY952" i="178"/>
  <c r="AU1083" i="178"/>
  <c r="BA1004" i="178"/>
  <c r="AS858" i="178"/>
  <c r="AU935" i="178"/>
  <c r="AU668" i="178"/>
  <c r="AS718" i="178"/>
  <c r="AS935" i="178"/>
  <c r="AS668" i="178"/>
  <c r="BG110" i="178"/>
  <c r="AW110" i="178"/>
  <c r="BG84" i="178"/>
  <c r="Z522" i="178"/>
  <c r="AC522" i="178" s="1"/>
  <c r="BA522" i="178"/>
  <c r="BC522" i="178"/>
  <c r="AW522" i="178"/>
  <c r="BG522" i="178"/>
  <c r="AY522" i="178"/>
  <c r="BL522" i="178"/>
  <c r="BI522" i="178"/>
  <c r="AY516" i="178"/>
  <c r="BA516" i="178"/>
  <c r="BC516" i="178"/>
  <c r="BE516" i="178"/>
  <c r="AU516" i="178"/>
  <c r="AS516" i="178"/>
  <c r="Z496" i="178"/>
  <c r="AC496" i="178" s="1"/>
  <c r="AY496" i="178"/>
  <c r="BA496" i="178"/>
  <c r="BG496" i="178"/>
  <c r="BE496" i="178"/>
  <c r="BL496" i="178"/>
  <c r="AW496" i="178"/>
  <c r="BE313" i="178"/>
  <c r="BA313" i="178"/>
  <c r="BL313" i="178"/>
  <c r="AU313" i="178"/>
  <c r="BG313" i="178"/>
  <c r="Z313" i="178"/>
  <c r="AC313" i="178" s="1"/>
  <c r="AS313" i="178"/>
  <c r="BL118" i="178"/>
  <c r="AW118" i="178"/>
  <c r="AU118" i="178"/>
  <c r="BA118" i="178"/>
  <c r="AY118" i="178"/>
  <c r="AS118" i="178"/>
  <c r="BC118" i="178"/>
  <c r="BE118" i="178"/>
  <c r="BN118" i="178"/>
  <c r="BG118" i="178"/>
  <c r="AS139" i="178"/>
  <c r="AS952" i="178"/>
  <c r="BE139" i="178"/>
  <c r="BN1083" i="178"/>
  <c r="BA139" i="178"/>
  <c r="Z1083" i="178"/>
  <c r="AC1083" i="178" s="1"/>
  <c r="Z139" i="178"/>
  <c r="AC139" i="178" s="1"/>
  <c r="Z952" i="178"/>
  <c r="AC952" i="178" s="1"/>
  <c r="AW1004" i="178"/>
  <c r="BI857" i="178"/>
  <c r="BE718" i="178"/>
  <c r="BI574" i="178"/>
  <c r="AW718" i="178"/>
  <c r="AY1189" i="178"/>
  <c r="BG1189" i="178"/>
  <c r="Z670" i="178"/>
  <c r="AW670" i="178"/>
  <c r="BI670" i="178"/>
  <c r="BA670" i="178"/>
  <c r="BG670" i="178"/>
  <c r="BN670" i="178"/>
  <c r="Z517" i="178"/>
  <c r="AC517" i="178" s="1"/>
  <c r="AU517" i="178"/>
  <c r="BL517" i="178"/>
  <c r="BA517" i="178"/>
  <c r="AY517" i="178"/>
  <c r="BE517" i="178"/>
  <c r="BC517" i="178"/>
  <c r="AW517" i="178"/>
  <c r="BG517" i="178"/>
  <c r="AU507" i="178"/>
  <c r="BL507" i="178"/>
  <c r="BA507" i="178"/>
  <c r="AY507" i="178"/>
  <c r="BE507" i="178"/>
  <c r="BC507" i="178"/>
  <c r="AW507" i="178"/>
  <c r="BG507" i="178"/>
  <c r="AC856" i="178"/>
  <c r="AC1271" i="178"/>
  <c r="BN307" i="178"/>
  <c r="BG307" i="178"/>
  <c r="BC307" i="178"/>
  <c r="AS307" i="178"/>
  <c r="AC854" i="178"/>
  <c r="BL435" i="178"/>
  <c r="AW435" i="178"/>
  <c r="AY435" i="178"/>
  <c r="BA435" i="178"/>
  <c r="BC435" i="178"/>
  <c r="BL339" i="178"/>
  <c r="AW339" i="178"/>
  <c r="BC339" i="178"/>
  <c r="BA339" i="178"/>
  <c r="BG339" i="178"/>
  <c r="BG499" i="178"/>
  <c r="BA499" i="178"/>
  <c r="BE499" i="178"/>
  <c r="AC221" i="178"/>
  <c r="AC182" i="178"/>
  <c r="AC1259" i="178"/>
  <c r="AU497" i="178"/>
  <c r="BE549" i="178"/>
  <c r="AC518" i="178"/>
  <c r="AC344" i="178"/>
  <c r="AS549" i="178"/>
  <c r="AC521" i="178"/>
  <c r="Z497" i="178"/>
  <c r="AC497" i="178" s="1"/>
  <c r="BG497" i="178"/>
  <c r="AC223" i="178"/>
  <c r="AC180" i="178"/>
  <c r="Z1260" i="178"/>
  <c r="AC1260" i="178" s="1"/>
  <c r="BG954" i="178"/>
  <c r="BG733" i="178"/>
  <c r="AY954" i="178"/>
  <c r="AY733" i="178"/>
  <c r="BN1275" i="178"/>
  <c r="BE1084" i="178"/>
  <c r="AW1084" i="178"/>
  <c r="BL955" i="178"/>
  <c r="BN955" i="178"/>
  <c r="AU955" i="178"/>
  <c r="BC955" i="178"/>
  <c r="BI516" i="178"/>
  <c r="BN516" i="178"/>
  <c r="BI513" i="178"/>
  <c r="BN513" i="178"/>
  <c r="AC342" i="178"/>
  <c r="BI291" i="178"/>
  <c r="BC291" i="178"/>
  <c r="AU291" i="178"/>
  <c r="BL669" i="178"/>
  <c r="BE669" i="178"/>
  <c r="AY669" i="178"/>
  <c r="Z339" i="178"/>
  <c r="AC339" i="178" s="1"/>
  <c r="BI517" i="178"/>
  <c r="BN517" i="178"/>
  <c r="BI507" i="178"/>
  <c r="BN507" i="178"/>
  <c r="BI294" i="178"/>
  <c r="BC294" i="178"/>
  <c r="AU294" i="178"/>
  <c r="BM1280" i="178"/>
  <c r="BN1189" i="178"/>
  <c r="BC1189" i="178"/>
  <c r="AU1189" i="178"/>
  <c r="Z1078" i="178"/>
  <c r="AC1078" i="178" s="1"/>
  <c r="BN1029" i="178"/>
  <c r="BC1029" i="178"/>
  <c r="AU1029" i="178"/>
  <c r="Z1029" i="178"/>
  <c r="AC1029" i="178" s="1"/>
  <c r="BI1004" i="178"/>
  <c r="BC1004" i="178"/>
  <c r="BN1004" i="178"/>
  <c r="AU1004" i="178"/>
  <c r="BI498" i="178"/>
  <c r="AU498" i="178"/>
  <c r="BC498" i="178"/>
  <c r="BN498" i="178"/>
  <c r="Z498" i="178"/>
  <c r="AC498" i="178" s="1"/>
  <c r="BI521" i="178"/>
  <c r="BN521" i="178"/>
  <c r="BI518" i="178"/>
  <c r="BN518" i="178"/>
  <c r="AY498" i="178"/>
  <c r="BI502" i="178"/>
  <c r="BN502" i="178"/>
  <c r="BN1028" i="178"/>
  <c r="BC1028" i="178"/>
  <c r="AU1028" i="178"/>
  <c r="BL956" i="178"/>
  <c r="BC956" i="178"/>
  <c r="AU956" i="178"/>
  <c r="BL673" i="178"/>
  <c r="BE673" i="178"/>
  <c r="AY673" i="178"/>
  <c r="BL670" i="178"/>
  <c r="AY670" i="178"/>
  <c r="BE670" i="178"/>
  <c r="BC550" i="178"/>
  <c r="AU550" i="178"/>
  <c r="BN550" i="178"/>
  <c r="BA550" i="178"/>
  <c r="AS550" i="178"/>
  <c r="BI550" i="178"/>
  <c r="AY550" i="178"/>
  <c r="BN522" i="178"/>
  <c r="AU522" i="178"/>
  <c r="BI515" i="178"/>
  <c r="BN515" i="178"/>
  <c r="BI496" i="178"/>
  <c r="BN496" i="178"/>
  <c r="AU496" i="178"/>
  <c r="BC496" i="178"/>
  <c r="BI499" i="178"/>
  <c r="BC499" i="178"/>
  <c r="BN499" i="178"/>
  <c r="AU499" i="178"/>
  <c r="BI313" i="178"/>
  <c r="BN313" i="178"/>
  <c r="BL1113" i="178"/>
  <c r="BG1113" i="178"/>
  <c r="BC1113" i="178"/>
  <c r="AY1113" i="178"/>
  <c r="AU1113" i="178"/>
  <c r="BN1113" i="178"/>
  <c r="BI1113" i="178"/>
  <c r="BE1113" i="178"/>
  <c r="BA1113" i="178"/>
  <c r="AW1113" i="178"/>
  <c r="AS1113" i="178"/>
  <c r="BG564" i="178"/>
  <c r="BC564" i="178"/>
  <c r="AY564" i="178"/>
  <c r="AU564" i="178"/>
  <c r="BN564" i="178"/>
  <c r="BI564" i="178"/>
  <c r="BE564" i="178"/>
  <c r="BA564" i="178"/>
  <c r="AW564" i="178"/>
  <c r="AS564" i="178"/>
  <c r="BL564" i="178"/>
  <c r="BG1091" i="178"/>
  <c r="BC1091" i="178"/>
  <c r="AY1091" i="178"/>
  <c r="AU1091" i="178"/>
  <c r="BN1091" i="178"/>
  <c r="BI1091" i="178"/>
  <c r="BE1091" i="178"/>
  <c r="BA1091" i="178"/>
  <c r="AW1091" i="178"/>
  <c r="AS1091" i="178"/>
  <c r="BL1091" i="178"/>
  <c r="Z1091" i="178"/>
  <c r="AC1091" i="178" s="1"/>
  <c r="BI1170" i="178"/>
  <c r="BE1170" i="178"/>
  <c r="BA1170" i="178"/>
  <c r="AW1170" i="178"/>
  <c r="AS1170" i="178"/>
  <c r="BL1170" i="178"/>
  <c r="BG1170" i="178"/>
  <c r="BC1170" i="178"/>
  <c r="AY1170" i="178"/>
  <c r="AU1170" i="178"/>
  <c r="BN1170" i="178"/>
  <c r="BI1101" i="178"/>
  <c r="BE1101" i="178"/>
  <c r="BA1101" i="178"/>
  <c r="AW1101" i="178"/>
  <c r="AS1101" i="178"/>
  <c r="BL1101" i="178"/>
  <c r="BG1101" i="178"/>
  <c r="BC1101" i="178"/>
  <c r="AY1101" i="178"/>
  <c r="AU1101" i="178"/>
  <c r="BN1101" i="178"/>
  <c r="BI366" i="178"/>
  <c r="BE366" i="178"/>
  <c r="BA366" i="178"/>
  <c r="AW366" i="178"/>
  <c r="AS366" i="178"/>
  <c r="BL366" i="178"/>
  <c r="BG366" i="178"/>
  <c r="BC366" i="178"/>
  <c r="AY366" i="178"/>
  <c r="AU366" i="178"/>
  <c r="BN366" i="178"/>
  <c r="BG486" i="178"/>
  <c r="BC486" i="178"/>
  <c r="AY486" i="178"/>
  <c r="AU486" i="178"/>
  <c r="BN486" i="178"/>
  <c r="BI486" i="178"/>
  <c r="BE486" i="178"/>
  <c r="BA486" i="178"/>
  <c r="AW486" i="178"/>
  <c r="AS486" i="178"/>
  <c r="BL486" i="178"/>
  <c r="BN1152" i="178"/>
  <c r="BI1152" i="178"/>
  <c r="BE1152" i="178"/>
  <c r="BA1152" i="178"/>
  <c r="AW1152" i="178"/>
  <c r="AS1152" i="178"/>
  <c r="BL1152" i="178"/>
  <c r="BG1152" i="178"/>
  <c r="BC1152" i="178"/>
  <c r="AY1152" i="178"/>
  <c r="AU1152" i="178"/>
  <c r="BL856" i="178"/>
  <c r="BG856" i="178"/>
  <c r="BC856" i="178"/>
  <c r="AY856" i="178"/>
  <c r="AU856" i="178"/>
  <c r="BN856" i="178"/>
  <c r="BI856" i="178"/>
  <c r="BE856" i="178"/>
  <c r="BA856" i="178"/>
  <c r="AW856" i="178"/>
  <c r="AS856" i="178"/>
  <c r="BL854" i="178"/>
  <c r="BG854" i="178"/>
  <c r="BC854" i="178"/>
  <c r="AY854" i="178"/>
  <c r="AU854" i="178"/>
  <c r="BN854" i="178"/>
  <c r="BI854" i="178"/>
  <c r="BE854" i="178"/>
  <c r="BA854" i="178"/>
  <c r="AW854" i="178"/>
  <c r="AS854" i="178"/>
  <c r="BL852" i="178"/>
  <c r="BG852" i="178"/>
  <c r="BC852" i="178"/>
  <c r="AY852" i="178"/>
  <c r="AU852" i="178"/>
  <c r="BN852" i="178"/>
  <c r="BI852" i="178"/>
  <c r="BE852" i="178"/>
  <c r="BA852" i="178"/>
  <c r="AW852" i="178"/>
  <c r="AS852" i="178"/>
  <c r="BL850" i="178"/>
  <c r="BG850" i="178"/>
  <c r="BC850" i="178"/>
  <c r="AY850" i="178"/>
  <c r="AU850" i="178"/>
  <c r="BN850" i="178"/>
  <c r="BI850" i="178"/>
  <c r="BE850" i="178"/>
  <c r="BA850" i="178"/>
  <c r="AW850" i="178"/>
  <c r="AS850" i="178"/>
  <c r="BI263" i="178"/>
  <c r="BE263" i="178"/>
  <c r="BA263" i="178"/>
  <c r="AW263" i="178"/>
  <c r="AS263" i="178"/>
  <c r="BL263" i="178"/>
  <c r="BG263" i="178"/>
  <c r="BC263" i="178"/>
  <c r="AY263" i="178"/>
  <c r="AU263" i="178"/>
  <c r="BN263" i="178"/>
  <c r="BG649" i="178"/>
  <c r="BC649" i="178"/>
  <c r="AY649" i="178"/>
  <c r="AU649" i="178"/>
  <c r="BN649" i="178"/>
  <c r="BI649" i="178"/>
  <c r="BE649" i="178"/>
  <c r="BA649" i="178"/>
  <c r="AW649" i="178"/>
  <c r="AS649" i="178"/>
  <c r="BL649" i="178"/>
  <c r="BG647" i="178"/>
  <c r="BC647" i="178"/>
  <c r="AY647" i="178"/>
  <c r="AU647" i="178"/>
  <c r="BN647" i="178"/>
  <c r="BI647" i="178"/>
  <c r="BE647" i="178"/>
  <c r="BA647" i="178"/>
  <c r="AW647" i="178"/>
  <c r="AS647" i="178"/>
  <c r="BL647" i="178"/>
  <c r="BG645" i="178"/>
  <c r="BC645" i="178"/>
  <c r="AY645" i="178"/>
  <c r="AU645" i="178"/>
  <c r="BN645" i="178"/>
  <c r="BI645" i="178"/>
  <c r="BE645" i="178"/>
  <c r="BA645" i="178"/>
  <c r="AW645" i="178"/>
  <c r="AS645" i="178"/>
  <c r="BL645" i="178"/>
  <c r="BG643" i="178"/>
  <c r="BC643" i="178"/>
  <c r="AY643" i="178"/>
  <c r="AU643" i="178"/>
  <c r="BN643" i="178"/>
  <c r="BI643" i="178"/>
  <c r="BE643" i="178"/>
  <c r="BA643" i="178"/>
  <c r="AW643" i="178"/>
  <c r="AS643" i="178"/>
  <c r="BL643" i="178"/>
  <c r="BI544" i="178"/>
  <c r="BE544" i="178"/>
  <c r="BA544" i="178"/>
  <c r="AW544" i="178"/>
  <c r="AS544" i="178"/>
  <c r="AY544" i="178"/>
  <c r="BN544" i="178"/>
  <c r="BC544" i="178"/>
  <c r="BL544" i="178"/>
  <c r="BG544" i="178"/>
  <c r="AU544" i="178"/>
  <c r="BI539" i="178"/>
  <c r="BE539" i="178"/>
  <c r="BA539" i="178"/>
  <c r="AW539" i="178"/>
  <c r="AS539" i="178"/>
  <c r="BL539" i="178"/>
  <c r="BG539" i="178"/>
  <c r="AU539" i="178"/>
  <c r="AY539" i="178"/>
  <c r="BN539" i="178"/>
  <c r="BC539" i="178"/>
  <c r="BG227" i="178"/>
  <c r="BC227" i="178"/>
  <c r="AY227" i="178"/>
  <c r="AU227" i="178"/>
  <c r="BN227" i="178"/>
  <c r="BI227" i="178"/>
  <c r="BE227" i="178"/>
  <c r="BA227" i="178"/>
  <c r="AW227" i="178"/>
  <c r="AS227" i="178"/>
  <c r="BL227" i="178"/>
  <c r="BG711" i="178"/>
  <c r="BC711" i="178"/>
  <c r="AY711" i="178"/>
  <c r="AU711" i="178"/>
  <c r="BN711" i="178"/>
  <c r="BI711" i="178"/>
  <c r="BE711" i="178"/>
  <c r="BA711" i="178"/>
  <c r="AW711" i="178"/>
  <c r="AS711" i="178"/>
  <c r="BL711" i="178"/>
  <c r="BG794" i="178"/>
  <c r="BC794" i="178"/>
  <c r="AY794" i="178"/>
  <c r="AU794" i="178"/>
  <c r="BN794" i="178"/>
  <c r="BI794" i="178"/>
  <c r="BE794" i="178"/>
  <c r="BA794" i="178"/>
  <c r="AW794" i="178"/>
  <c r="AS794" i="178"/>
  <c r="BL794" i="178"/>
  <c r="Z645" i="178"/>
  <c r="BN418" i="178"/>
  <c r="BI418" i="178"/>
  <c r="BE418" i="178"/>
  <c r="BA418" i="178"/>
  <c r="AW418" i="178"/>
  <c r="AS418" i="178"/>
  <c r="BL418" i="178"/>
  <c r="BG418" i="178"/>
  <c r="BC418" i="178"/>
  <c r="AY418" i="178"/>
  <c r="AU418" i="178"/>
  <c r="BN141" i="178"/>
  <c r="BI141" i="178"/>
  <c r="BE141" i="178"/>
  <c r="BA141" i="178"/>
  <c r="AW141" i="178"/>
  <c r="AS141" i="178"/>
  <c r="BL141" i="178"/>
  <c r="BG141" i="178"/>
  <c r="BC141" i="178"/>
  <c r="AY141" i="178"/>
  <c r="AU141" i="178"/>
  <c r="AR1280" i="178"/>
  <c r="AR1282" i="178" s="1"/>
  <c r="I11" i="3" s="1"/>
  <c r="AT1280" i="178"/>
  <c r="BJ1280" i="178"/>
  <c r="BD1280" i="178"/>
  <c r="BI1169" i="178"/>
  <c r="BE1169" i="178"/>
  <c r="BA1169" i="178"/>
  <c r="AW1169" i="178"/>
  <c r="AS1169" i="178"/>
  <c r="BL1169" i="178"/>
  <c r="BG1169" i="178"/>
  <c r="BC1169" i="178"/>
  <c r="AY1169" i="178"/>
  <c r="AU1169" i="178"/>
  <c r="BN1169" i="178"/>
  <c r="BN1093" i="178"/>
  <c r="BI1093" i="178"/>
  <c r="BE1093" i="178"/>
  <c r="BA1093" i="178"/>
  <c r="AW1093" i="178"/>
  <c r="AS1093" i="178"/>
  <c r="BL1093" i="178"/>
  <c r="BG1093" i="178"/>
  <c r="BC1093" i="178"/>
  <c r="AY1093" i="178"/>
  <c r="AU1093" i="178"/>
  <c r="BI1100" i="178"/>
  <c r="BE1100" i="178"/>
  <c r="BA1100" i="178"/>
  <c r="AW1100" i="178"/>
  <c r="AS1100" i="178"/>
  <c r="AY1100" i="178"/>
  <c r="BN1100" i="178"/>
  <c r="BC1100" i="178"/>
  <c r="BL1100" i="178"/>
  <c r="BG1100" i="178"/>
  <c r="AU1100" i="178"/>
  <c r="BL1080" i="178"/>
  <c r="BE1080" i="178"/>
  <c r="BN1080" i="178"/>
  <c r="BI1080" i="178"/>
  <c r="BC1080" i="178"/>
  <c r="AY1080" i="178"/>
  <c r="AU1080" i="178"/>
  <c r="BG1080" i="178"/>
  <c r="BA1080" i="178"/>
  <c r="AW1080" i="178"/>
  <c r="AS1080" i="178"/>
  <c r="BI693" i="178"/>
  <c r="BE693" i="178"/>
  <c r="BA693" i="178"/>
  <c r="AW693" i="178"/>
  <c r="AS693" i="178"/>
  <c r="BL693" i="178"/>
  <c r="BG693" i="178"/>
  <c r="BC693" i="178"/>
  <c r="AY693" i="178"/>
  <c r="AU693" i="178"/>
  <c r="BN693" i="178"/>
  <c r="BL780" i="178"/>
  <c r="BG780" i="178"/>
  <c r="BC780" i="178"/>
  <c r="AY780" i="178"/>
  <c r="AU780" i="178"/>
  <c r="BN780" i="178"/>
  <c r="BI780" i="178"/>
  <c r="BE780" i="178"/>
  <c r="BA780" i="178"/>
  <c r="AW780" i="178"/>
  <c r="AS780" i="178"/>
  <c r="BL782" i="178"/>
  <c r="BG782" i="178"/>
  <c r="BC782" i="178"/>
  <c r="AY782" i="178"/>
  <c r="AU782" i="178"/>
  <c r="BN782" i="178"/>
  <c r="BI782" i="178"/>
  <c r="BE782" i="178"/>
  <c r="BA782" i="178"/>
  <c r="AW782" i="178"/>
  <c r="AS782" i="178"/>
  <c r="BN781" i="178"/>
  <c r="BI781" i="178"/>
  <c r="BE781" i="178"/>
  <c r="BA781" i="178"/>
  <c r="AW781" i="178"/>
  <c r="AS781" i="178"/>
  <c r="BL781" i="178"/>
  <c r="BG781" i="178"/>
  <c r="BC781" i="178"/>
  <c r="AY781" i="178"/>
  <c r="AU781" i="178"/>
  <c r="BI537" i="178"/>
  <c r="BE537" i="178"/>
  <c r="BA537" i="178"/>
  <c r="AW537" i="178"/>
  <c r="AS537" i="178"/>
  <c r="AU537" i="178"/>
  <c r="AY537" i="178"/>
  <c r="BN537" i="178"/>
  <c r="BC537" i="178"/>
  <c r="BL537" i="178"/>
  <c r="BG537" i="178"/>
  <c r="BG464" i="178"/>
  <c r="BC464" i="178"/>
  <c r="AY464" i="178"/>
  <c r="AU464" i="178"/>
  <c r="BN464" i="178"/>
  <c r="BI464" i="178"/>
  <c r="BE464" i="178"/>
  <c r="BA464" i="178"/>
  <c r="AW464" i="178"/>
  <c r="AS464" i="178"/>
  <c r="BL464" i="178"/>
  <c r="BG457" i="178"/>
  <c r="BC457" i="178"/>
  <c r="AY457" i="178"/>
  <c r="AU457" i="178"/>
  <c r="BN457" i="178"/>
  <c r="BI457" i="178"/>
  <c r="BE457" i="178"/>
  <c r="BA457" i="178"/>
  <c r="AW457" i="178"/>
  <c r="AS457" i="178"/>
  <c r="BL457" i="178"/>
  <c r="BG450" i="178"/>
  <c r="BC450" i="178"/>
  <c r="AY450" i="178"/>
  <c r="AU450" i="178"/>
  <c r="BN450" i="178"/>
  <c r="BI450" i="178"/>
  <c r="BE450" i="178"/>
  <c r="BA450" i="178"/>
  <c r="AW450" i="178"/>
  <c r="AS450" i="178"/>
  <c r="BL450" i="178"/>
  <c r="BG447" i="178"/>
  <c r="BC447" i="178"/>
  <c r="AY447" i="178"/>
  <c r="AU447" i="178"/>
  <c r="BN447" i="178"/>
  <c r="BI447" i="178"/>
  <c r="BE447" i="178"/>
  <c r="BA447" i="178"/>
  <c r="AW447" i="178"/>
  <c r="AS447" i="178"/>
  <c r="BL447" i="178"/>
  <c r="BG444" i="178"/>
  <c r="BC444" i="178"/>
  <c r="AY444" i="178"/>
  <c r="AU444" i="178"/>
  <c r="BN444" i="178"/>
  <c r="BI444" i="178"/>
  <c r="BE444" i="178"/>
  <c r="BA444" i="178"/>
  <c r="AW444" i="178"/>
  <c r="AS444" i="178"/>
  <c r="BL444" i="178"/>
  <c r="BG441" i="178"/>
  <c r="BC441" i="178"/>
  <c r="AY441" i="178"/>
  <c r="AU441" i="178"/>
  <c r="BN441" i="178"/>
  <c r="BI441" i="178"/>
  <c r="BE441" i="178"/>
  <c r="BA441" i="178"/>
  <c r="AW441" i="178"/>
  <c r="AS441" i="178"/>
  <c r="BL441" i="178"/>
  <c r="BN45" i="178"/>
  <c r="BI45" i="178"/>
  <c r="BE45" i="178"/>
  <c r="BA45" i="178"/>
  <c r="AW45" i="178"/>
  <c r="AS45" i="178"/>
  <c r="BL45" i="178"/>
  <c r="BG45" i="178"/>
  <c r="BC45" i="178"/>
  <c r="AY45" i="178"/>
  <c r="AU45" i="178"/>
  <c r="BI393" i="178"/>
  <c r="BE393" i="178"/>
  <c r="BA393" i="178"/>
  <c r="AW393" i="178"/>
  <c r="AS393" i="178"/>
  <c r="BL393" i="178"/>
  <c r="BG393" i="178"/>
  <c r="BC393" i="178"/>
  <c r="AY393" i="178"/>
  <c r="AU393" i="178"/>
  <c r="BN393" i="178"/>
  <c r="BN168" i="178"/>
  <c r="BI168" i="178"/>
  <c r="BE168" i="178"/>
  <c r="BA168" i="178"/>
  <c r="AW168" i="178"/>
  <c r="AS168" i="178"/>
  <c r="BL168" i="178"/>
  <c r="BG168" i="178"/>
  <c r="BC168" i="178"/>
  <c r="AY168" i="178"/>
  <c r="AU168" i="178"/>
  <c r="BN153" i="178"/>
  <c r="BI153" i="178"/>
  <c r="BE153" i="178"/>
  <c r="BA153" i="178"/>
  <c r="AW153" i="178"/>
  <c r="AS153" i="178"/>
  <c r="BL153" i="178"/>
  <c r="BG153" i="178"/>
  <c r="BC153" i="178"/>
  <c r="AY153" i="178"/>
  <c r="AU153" i="178"/>
  <c r="BN140" i="178"/>
  <c r="BI140" i="178"/>
  <c r="BE140" i="178"/>
  <c r="BA140" i="178"/>
  <c r="AW140" i="178"/>
  <c r="AS140" i="178"/>
  <c r="BL140" i="178"/>
  <c r="BG140" i="178"/>
  <c r="BC140" i="178"/>
  <c r="AY140" i="178"/>
  <c r="AU140" i="178"/>
  <c r="S1281" i="178"/>
  <c r="BG2" i="178"/>
  <c r="BC2" i="178"/>
  <c r="AY2" i="178"/>
  <c r="AU2" i="178"/>
  <c r="BN2" i="178"/>
  <c r="BE2" i="178"/>
  <c r="AW2" i="178"/>
  <c r="BI2" i="178"/>
  <c r="BA2" i="178"/>
  <c r="AS2" i="178"/>
  <c r="BL2" i="178"/>
  <c r="AX1280" i="178"/>
  <c r="BK1280" i="178"/>
  <c r="AV1280" i="178"/>
  <c r="BI1244" i="178"/>
  <c r="BE1244" i="178"/>
  <c r="BA1244" i="178"/>
  <c r="AW1244" i="178"/>
  <c r="AS1244" i="178"/>
  <c r="BL1244" i="178"/>
  <c r="BG1244" i="178"/>
  <c r="BC1244" i="178"/>
  <c r="AY1244" i="178"/>
  <c r="AU1244" i="178"/>
  <c r="BN1244" i="178"/>
  <c r="BG1092" i="178"/>
  <c r="BC1092" i="178"/>
  <c r="AY1092" i="178"/>
  <c r="AU1092" i="178"/>
  <c r="BN1092" i="178"/>
  <c r="BI1092" i="178"/>
  <c r="BE1092" i="178"/>
  <c r="BA1092" i="178"/>
  <c r="AW1092" i="178"/>
  <c r="AS1092" i="178"/>
  <c r="BL1092" i="178"/>
  <c r="BI1168" i="178"/>
  <c r="BE1168" i="178"/>
  <c r="BA1168" i="178"/>
  <c r="AW1168" i="178"/>
  <c r="AS1168" i="178"/>
  <c r="BL1168" i="178"/>
  <c r="BG1168" i="178"/>
  <c r="BC1168" i="178"/>
  <c r="AY1168" i="178"/>
  <c r="AU1168" i="178"/>
  <c r="BN1168" i="178"/>
  <c r="BG1119" i="178"/>
  <c r="BC1119" i="178"/>
  <c r="AY1119" i="178"/>
  <c r="AU1119" i="178"/>
  <c r="BN1119" i="178"/>
  <c r="BI1119" i="178"/>
  <c r="BE1119" i="178"/>
  <c r="BA1119" i="178"/>
  <c r="AW1119" i="178"/>
  <c r="AS1119" i="178"/>
  <c r="BL1119" i="178"/>
  <c r="BI1114" i="178"/>
  <c r="BE1114" i="178"/>
  <c r="BA1114" i="178"/>
  <c r="AW1114" i="178"/>
  <c r="AS1114" i="178"/>
  <c r="BN1114" i="178"/>
  <c r="BC1114" i="178"/>
  <c r="BL1114" i="178"/>
  <c r="BG1114" i="178"/>
  <c r="AU1114" i="178"/>
  <c r="AY1114" i="178"/>
  <c r="BL855" i="178"/>
  <c r="BG855" i="178"/>
  <c r="BC855" i="178"/>
  <c r="AY855" i="178"/>
  <c r="AU855" i="178"/>
  <c r="BN855" i="178"/>
  <c r="BI855" i="178"/>
  <c r="BE855" i="178"/>
  <c r="BA855" i="178"/>
  <c r="AW855" i="178"/>
  <c r="AS855" i="178"/>
  <c r="BL853" i="178"/>
  <c r="BG853" i="178"/>
  <c r="BC853" i="178"/>
  <c r="AY853" i="178"/>
  <c r="AU853" i="178"/>
  <c r="BN853" i="178"/>
  <c r="BI853" i="178"/>
  <c r="BE853" i="178"/>
  <c r="BA853" i="178"/>
  <c r="AW853" i="178"/>
  <c r="AS853" i="178"/>
  <c r="BL851" i="178"/>
  <c r="BG851" i="178"/>
  <c r="BC851" i="178"/>
  <c r="AY851" i="178"/>
  <c r="AU851" i="178"/>
  <c r="BN851" i="178"/>
  <c r="BI851" i="178"/>
  <c r="BE851" i="178"/>
  <c r="BA851" i="178"/>
  <c r="AW851" i="178"/>
  <c r="AS851" i="178"/>
  <c r="BL849" i="178"/>
  <c r="BG849" i="178"/>
  <c r="BC849" i="178"/>
  <c r="AY849" i="178"/>
  <c r="AU849" i="178"/>
  <c r="BN849" i="178"/>
  <c r="BI849" i="178"/>
  <c r="BE849" i="178"/>
  <c r="BA849" i="178"/>
  <c r="AW849" i="178"/>
  <c r="AS849" i="178"/>
  <c r="Z849" i="178"/>
  <c r="AC849" i="178" s="1"/>
  <c r="BG650" i="178"/>
  <c r="BC650" i="178"/>
  <c r="AY650" i="178"/>
  <c r="AU650" i="178"/>
  <c r="BN650" i="178"/>
  <c r="BI650" i="178"/>
  <c r="BE650" i="178"/>
  <c r="BA650" i="178"/>
  <c r="AW650" i="178"/>
  <c r="AS650" i="178"/>
  <c r="BL650" i="178"/>
  <c r="BG648" i="178"/>
  <c r="BC648" i="178"/>
  <c r="AY648" i="178"/>
  <c r="AU648" i="178"/>
  <c r="BN648" i="178"/>
  <c r="BI648" i="178"/>
  <c r="BE648" i="178"/>
  <c r="BA648" i="178"/>
  <c r="AW648" i="178"/>
  <c r="AS648" i="178"/>
  <c r="BL648" i="178"/>
  <c r="BG646" i="178"/>
  <c r="BC646" i="178"/>
  <c r="AY646" i="178"/>
  <c r="AU646" i="178"/>
  <c r="BN646" i="178"/>
  <c r="BI646" i="178"/>
  <c r="BE646" i="178"/>
  <c r="BA646" i="178"/>
  <c r="AW646" i="178"/>
  <c r="AS646" i="178"/>
  <c r="BL646" i="178"/>
  <c r="BG644" i="178"/>
  <c r="BC644" i="178"/>
  <c r="AY644" i="178"/>
  <c r="AU644" i="178"/>
  <c r="BN644" i="178"/>
  <c r="BI644" i="178"/>
  <c r="BE644" i="178"/>
  <c r="BA644" i="178"/>
  <c r="AW644" i="178"/>
  <c r="AS644" i="178"/>
  <c r="BL644" i="178"/>
  <c r="BG642" i="178"/>
  <c r="BC642" i="178"/>
  <c r="AY642" i="178"/>
  <c r="AU642" i="178"/>
  <c r="BN642" i="178"/>
  <c r="BI642" i="178"/>
  <c r="BE642" i="178"/>
  <c r="BA642" i="178"/>
  <c r="AW642" i="178"/>
  <c r="AS642" i="178"/>
  <c r="BL642" i="178"/>
  <c r="BG158" i="178"/>
  <c r="BC158" i="178"/>
  <c r="AY158" i="178"/>
  <c r="AU158" i="178"/>
  <c r="BN158" i="178"/>
  <c r="BI158" i="178"/>
  <c r="BE158" i="178"/>
  <c r="BA158" i="178"/>
  <c r="AW158" i="178"/>
  <c r="AS158" i="178"/>
  <c r="BL158" i="178"/>
  <c r="BG260" i="178"/>
  <c r="BC260" i="178"/>
  <c r="AY260" i="178"/>
  <c r="AU260" i="178"/>
  <c r="BN260" i="178"/>
  <c r="BI260" i="178"/>
  <c r="BE260" i="178"/>
  <c r="BA260" i="178"/>
  <c r="AW260" i="178"/>
  <c r="AS260" i="178"/>
  <c r="BL260" i="178"/>
  <c r="BI525" i="178"/>
  <c r="BE525" i="178"/>
  <c r="BA525" i="178"/>
  <c r="AW525" i="178"/>
  <c r="AS525" i="178"/>
  <c r="AU525" i="178"/>
  <c r="AY525" i="178"/>
  <c r="BN525" i="178"/>
  <c r="BC525" i="178"/>
  <c r="BL525" i="178"/>
  <c r="BG525" i="178"/>
  <c r="Z646" i="178"/>
  <c r="BI542" i="178"/>
  <c r="BE542" i="178"/>
  <c r="BA542" i="178"/>
  <c r="AW542" i="178"/>
  <c r="AS542" i="178"/>
  <c r="BL542" i="178"/>
  <c r="BG542" i="178"/>
  <c r="AU542" i="178"/>
  <c r="AY542" i="178"/>
  <c r="BN542" i="178"/>
  <c r="BC542" i="178"/>
  <c r="BI524" i="178"/>
  <c r="BE524" i="178"/>
  <c r="BA524" i="178"/>
  <c r="AW524" i="178"/>
  <c r="AS524" i="178"/>
  <c r="BL524" i="178"/>
  <c r="BG524" i="178"/>
  <c r="AU524" i="178"/>
  <c r="AY524" i="178"/>
  <c r="BN524" i="178"/>
  <c r="BC524" i="178"/>
  <c r="Z524" i="178"/>
  <c r="AC524" i="178" s="1"/>
  <c r="BG705" i="178"/>
  <c r="BC705" i="178"/>
  <c r="AY705" i="178"/>
  <c r="AU705" i="178"/>
  <c r="BN705" i="178"/>
  <c r="BI705" i="178"/>
  <c r="BE705" i="178"/>
  <c r="BA705" i="178"/>
  <c r="AW705" i="178"/>
  <c r="AS705" i="178"/>
  <c r="BL705" i="178"/>
  <c r="BG793" i="178"/>
  <c r="BC793" i="178"/>
  <c r="AY793" i="178"/>
  <c r="AU793" i="178"/>
  <c r="BN793" i="178"/>
  <c r="BI793" i="178"/>
  <c r="BE793" i="178"/>
  <c r="BA793" i="178"/>
  <c r="AW793" i="178"/>
  <c r="AS793" i="178"/>
  <c r="BL793" i="178"/>
  <c r="BI541" i="178"/>
  <c r="BE541" i="178"/>
  <c r="BA541" i="178"/>
  <c r="AW541" i="178"/>
  <c r="AS541" i="178"/>
  <c r="BN541" i="178"/>
  <c r="BC541" i="178"/>
  <c r="BL541" i="178"/>
  <c r="BG541" i="178"/>
  <c r="AU541" i="178"/>
  <c r="AY541" i="178"/>
  <c r="BI523" i="178"/>
  <c r="BE523" i="178"/>
  <c r="BA523" i="178"/>
  <c r="AW523" i="178"/>
  <c r="AS523" i="178"/>
  <c r="BN523" i="178"/>
  <c r="BC523" i="178"/>
  <c r="BL523" i="178"/>
  <c r="BG523" i="178"/>
  <c r="AU523" i="178"/>
  <c r="AY523" i="178"/>
  <c r="BN354" i="178"/>
  <c r="BI354" i="178"/>
  <c r="BE354" i="178"/>
  <c r="BA354" i="178"/>
  <c r="AW354" i="178"/>
  <c r="AS354" i="178"/>
  <c r="BL354" i="178"/>
  <c r="BG354" i="178"/>
  <c r="BC354" i="178"/>
  <c r="AY354" i="178"/>
  <c r="AU354" i="178"/>
  <c r="BI36" i="178"/>
  <c r="BE36" i="178"/>
  <c r="BA36" i="178"/>
  <c r="AW36" i="178"/>
  <c r="AS36" i="178"/>
  <c r="BL36" i="178"/>
  <c r="BG36" i="178"/>
  <c r="BC36" i="178"/>
  <c r="AY36" i="178"/>
  <c r="AU36" i="178"/>
  <c r="BN36" i="178"/>
  <c r="AC169" i="178"/>
  <c r="BH1280" i="178"/>
  <c r="BB1280" i="178"/>
  <c r="Z2" i="178"/>
  <c r="AC2" i="178" s="1"/>
  <c r="BN1243" i="178"/>
  <c r="BI1243" i="178"/>
  <c r="BE1243" i="178"/>
  <c r="BA1243" i="178"/>
  <c r="AW1243" i="178"/>
  <c r="AS1243" i="178"/>
  <c r="BL1243" i="178"/>
  <c r="BG1243" i="178"/>
  <c r="BC1243" i="178"/>
  <c r="AY1243" i="178"/>
  <c r="AU1243" i="178"/>
  <c r="BG1242" i="178"/>
  <c r="BC1242" i="178"/>
  <c r="AY1242" i="178"/>
  <c r="AU1242" i="178"/>
  <c r="BN1242" i="178"/>
  <c r="BI1242" i="178"/>
  <c r="BE1242" i="178"/>
  <c r="BA1242" i="178"/>
  <c r="AW1242" i="178"/>
  <c r="AS1242" i="178"/>
  <c r="BL1242" i="178"/>
  <c r="BI1167" i="178"/>
  <c r="BE1167" i="178"/>
  <c r="BA1167" i="178"/>
  <c r="AW1167" i="178"/>
  <c r="AS1167" i="178"/>
  <c r="BL1167" i="178"/>
  <c r="BG1167" i="178"/>
  <c r="BC1167" i="178"/>
  <c r="AY1167" i="178"/>
  <c r="AU1167" i="178"/>
  <c r="BN1167" i="178"/>
  <c r="Z1167" i="178"/>
  <c r="AC1167" i="178" s="1"/>
  <c r="BN1117" i="178"/>
  <c r="BI1117" i="178"/>
  <c r="BE1117" i="178"/>
  <c r="BA1117" i="178"/>
  <c r="AW1117" i="178"/>
  <c r="AS1117" i="178"/>
  <c r="BC1117" i="178"/>
  <c r="AU1117" i="178"/>
  <c r="BG1117" i="178"/>
  <c r="AY1117" i="178"/>
  <c r="BL1117" i="178"/>
  <c r="BI391" i="178"/>
  <c r="BE391" i="178"/>
  <c r="BA391" i="178"/>
  <c r="AW391" i="178"/>
  <c r="AS391" i="178"/>
  <c r="BL391" i="178"/>
  <c r="BG391" i="178"/>
  <c r="BC391" i="178"/>
  <c r="AY391" i="178"/>
  <c r="AU391" i="178"/>
  <c r="BN391" i="178"/>
  <c r="BL257" i="178"/>
  <c r="BG257" i="178"/>
  <c r="BC257" i="178"/>
  <c r="AY257" i="178"/>
  <c r="AU257" i="178"/>
  <c r="BN257" i="178"/>
  <c r="BI257" i="178"/>
  <c r="BE257" i="178"/>
  <c r="BA257" i="178"/>
  <c r="AW257" i="178"/>
  <c r="AS257" i="178"/>
  <c r="BI543" i="178"/>
  <c r="BE543" i="178"/>
  <c r="BA543" i="178"/>
  <c r="AW543" i="178"/>
  <c r="AS543" i="178"/>
  <c r="AU543" i="178"/>
  <c r="AY543" i="178"/>
  <c r="BN543" i="178"/>
  <c r="BC543" i="178"/>
  <c r="BL543" i="178"/>
  <c r="BG543" i="178"/>
  <c r="Z642" i="178"/>
  <c r="AC642" i="178" s="1"/>
  <c r="BG477" i="178"/>
  <c r="BC477" i="178"/>
  <c r="AY477" i="178"/>
  <c r="AU477" i="178"/>
  <c r="BN477" i="178"/>
  <c r="BI477" i="178"/>
  <c r="BE477" i="178"/>
  <c r="BA477" i="178"/>
  <c r="AW477" i="178"/>
  <c r="AS477" i="178"/>
  <c r="BL477" i="178"/>
  <c r="BG468" i="178"/>
  <c r="BC468" i="178"/>
  <c r="AY468" i="178"/>
  <c r="AU468" i="178"/>
  <c r="BN468" i="178"/>
  <c r="BI468" i="178"/>
  <c r="BE468" i="178"/>
  <c r="BA468" i="178"/>
  <c r="AW468" i="178"/>
  <c r="AS468" i="178"/>
  <c r="BL468" i="178"/>
  <c r="BG460" i="178"/>
  <c r="BC460" i="178"/>
  <c r="AY460" i="178"/>
  <c r="AU460" i="178"/>
  <c r="BN460" i="178"/>
  <c r="BI460" i="178"/>
  <c r="BE460" i="178"/>
  <c r="BA460" i="178"/>
  <c r="AW460" i="178"/>
  <c r="AS460" i="178"/>
  <c r="BL460" i="178"/>
  <c r="BG454" i="178"/>
  <c r="BC454" i="178"/>
  <c r="AY454" i="178"/>
  <c r="AU454" i="178"/>
  <c r="BN454" i="178"/>
  <c r="BI454" i="178"/>
  <c r="BE454" i="178"/>
  <c r="BA454" i="178"/>
  <c r="AW454" i="178"/>
  <c r="AS454" i="178"/>
  <c r="BL454" i="178"/>
  <c r="BG488" i="178"/>
  <c r="BC488" i="178"/>
  <c r="AY488" i="178"/>
  <c r="AU488" i="178"/>
  <c r="BN488" i="178"/>
  <c r="BI488" i="178"/>
  <c r="BE488" i="178"/>
  <c r="BA488" i="178"/>
  <c r="AW488" i="178"/>
  <c r="AS488" i="178"/>
  <c r="BL488" i="178"/>
  <c r="Z477" i="178"/>
  <c r="AC477" i="178" s="1"/>
  <c r="BN169" i="178"/>
  <c r="BI169" i="178"/>
  <c r="BE169" i="178"/>
  <c r="BA169" i="178"/>
  <c r="AW169" i="178"/>
  <c r="AS169" i="178"/>
  <c r="BL169" i="178"/>
  <c r="BG169" i="178"/>
  <c r="BC169" i="178"/>
  <c r="AY169" i="178"/>
  <c r="AU169" i="178"/>
  <c r="BN212" i="178"/>
  <c r="BI212" i="178"/>
  <c r="BE212" i="178"/>
  <c r="BA212" i="178"/>
  <c r="AW212" i="178"/>
  <c r="AS212" i="178"/>
  <c r="BL212" i="178"/>
  <c r="BG212" i="178"/>
  <c r="BC212" i="178"/>
  <c r="AY212" i="178"/>
  <c r="AU212" i="178"/>
  <c r="BN184" i="178"/>
  <c r="BI184" i="178"/>
  <c r="BE184" i="178"/>
  <c r="BA184" i="178"/>
  <c r="AW184" i="178"/>
  <c r="AS184" i="178"/>
  <c r="BL184" i="178"/>
  <c r="BG184" i="178"/>
  <c r="BC184" i="178"/>
  <c r="AY184" i="178"/>
  <c r="AU184" i="178"/>
  <c r="Z153" i="178"/>
  <c r="AC153" i="178" s="1"/>
  <c r="AZ1280" i="178"/>
  <c r="AZ1282" i="178" s="1"/>
  <c r="H11" i="3" s="1"/>
  <c r="BF1280" i="178"/>
  <c r="BG3" i="178"/>
  <c r="BC3" i="178"/>
  <c r="AY3" i="178"/>
  <c r="AU3" i="178"/>
  <c r="BN3" i="178"/>
  <c r="BL3" i="178"/>
  <c r="BI3" i="178"/>
  <c r="BA3" i="178"/>
  <c r="AS3" i="178"/>
  <c r="BE3" i="178"/>
  <c r="AW3" i="178"/>
  <c r="Q19" i="70" l="1"/>
  <c r="R19" i="70" s="1"/>
  <c r="S19" i="70" s="1"/>
  <c r="AC780" i="178"/>
  <c r="AC754" i="178"/>
  <c r="AC914" i="178"/>
  <c r="Z1101" i="178"/>
  <c r="AC1101" i="178" s="1"/>
  <c r="Z1195" i="178"/>
  <c r="Z652" i="178"/>
  <c r="AC652" i="178" s="1"/>
  <c r="Z555" i="178"/>
  <c r="AC555" i="178" s="1"/>
  <c r="Z294" i="178"/>
  <c r="Z1125" i="178"/>
  <c r="Z961" i="178"/>
  <c r="AC961" i="178" s="1"/>
  <c r="Z895" i="178"/>
  <c r="AC895" i="178" s="1"/>
  <c r="Z796" i="178"/>
  <c r="AC796" i="178" s="1"/>
  <c r="Z1131" i="178"/>
  <c r="Z710" i="178"/>
  <c r="AC710" i="178" s="1"/>
  <c r="Z822" i="178"/>
  <c r="AC822" i="178" s="1"/>
  <c r="Z1109" i="178"/>
  <c r="AC1109" i="178" s="1"/>
  <c r="Z1153" i="178"/>
  <c r="Z715" i="178"/>
  <c r="AC715" i="178" s="1"/>
  <c r="Z383" i="178"/>
  <c r="AC383" i="178" s="1"/>
  <c r="Z616" i="178"/>
  <c r="AC616" i="178" s="1"/>
  <c r="Z827" i="178"/>
  <c r="AC827" i="178" s="1"/>
  <c r="Z726" i="178"/>
  <c r="AC726" i="178" s="1"/>
  <c r="Z698" i="178"/>
  <c r="AC698" i="178" s="1"/>
  <c r="AC938" i="178"/>
  <c r="Z935" i="178"/>
  <c r="AC935" i="178" s="1"/>
  <c r="Z49" i="178"/>
  <c r="AC49" i="178" s="1"/>
  <c r="Z695" i="178"/>
  <c r="AC695" i="178" s="1"/>
  <c r="AC450" i="178"/>
  <c r="AC326" i="178"/>
  <c r="AC794" i="178"/>
  <c r="Z1008" i="178"/>
  <c r="AC1008" i="178" s="1"/>
  <c r="Z744" i="178"/>
  <c r="AC744" i="178" s="1"/>
  <c r="Z600" i="178"/>
  <c r="AC600" i="178" s="1"/>
  <c r="Z778" i="178"/>
  <c r="AC778" i="178" s="1"/>
  <c r="AC210" i="178"/>
  <c r="AC337" i="178"/>
  <c r="Q83" i="70"/>
  <c r="R83" i="70" s="1"/>
  <c r="S83" i="70" s="1"/>
  <c r="Q69" i="70"/>
  <c r="R69" i="70" s="1"/>
  <c r="S69" i="70" s="1"/>
  <c r="T90" i="70"/>
  <c r="Q64" i="70"/>
  <c r="R64" i="70" s="1"/>
  <c r="S64" i="70" s="1"/>
  <c r="Q56" i="70"/>
  <c r="R56" i="70" s="1"/>
  <c r="S56" i="70" s="1"/>
  <c r="Q67" i="70"/>
  <c r="R67" i="70" s="1"/>
  <c r="Q35" i="70"/>
  <c r="R35" i="70" s="1"/>
  <c r="S35" i="70" s="1"/>
  <c r="Q34" i="70"/>
  <c r="R34" i="70" s="1"/>
  <c r="S34" i="70" s="1"/>
  <c r="Q50" i="70"/>
  <c r="R50" i="70" s="1"/>
  <c r="S50" i="70" s="1"/>
  <c r="Q84" i="70"/>
  <c r="R84" i="70" s="1"/>
  <c r="S84" i="70" s="1"/>
  <c r="Q32" i="70"/>
  <c r="R32" i="70" s="1"/>
  <c r="S32" i="70" s="1"/>
  <c r="Q46" i="70"/>
  <c r="R46" i="70" s="1"/>
  <c r="S46" i="70" s="1"/>
  <c r="Q42" i="70"/>
  <c r="R42" i="70" s="1"/>
  <c r="Q48" i="70"/>
  <c r="R48" i="70" s="1"/>
  <c r="S48" i="70" s="1"/>
  <c r="Q4" i="70"/>
  <c r="R4" i="70" s="1"/>
  <c r="S4" i="70" s="1"/>
  <c r="Q7" i="70"/>
  <c r="R7" i="70" s="1"/>
  <c r="S7" i="70" s="1"/>
  <c r="T67" i="70"/>
  <c r="Q30" i="70"/>
  <c r="R30" i="70" s="1"/>
  <c r="S30" i="70" s="1"/>
  <c r="Q57" i="70"/>
  <c r="R57" i="70" s="1"/>
  <c r="Z1106" i="178"/>
  <c r="AC1106" i="178" s="1"/>
  <c r="Z809" i="178"/>
  <c r="AC809" i="178" s="1"/>
  <c r="Z14" i="178"/>
  <c r="AC14" i="178" s="1"/>
  <c r="Z132" i="178"/>
  <c r="AC132" i="178" s="1"/>
  <c r="Z504" i="178"/>
  <c r="AC504" i="178" s="1"/>
  <c r="Z599" i="178"/>
  <c r="AC599" i="178" s="1"/>
  <c r="Z615" i="178"/>
  <c r="AC615" i="178" s="1"/>
  <c r="Z1073" i="178"/>
  <c r="AC1073" i="178" s="1"/>
  <c r="Z92" i="178"/>
  <c r="AC92" i="178" s="1"/>
  <c r="Z438" i="178"/>
  <c r="AC438" i="178" s="1"/>
  <c r="Z445" i="178"/>
  <c r="AC445" i="178" s="1"/>
  <c r="Z729" i="178"/>
  <c r="AC729" i="178" s="1"/>
  <c r="Z820" i="178"/>
  <c r="AC820" i="178" s="1"/>
  <c r="Z468" i="178"/>
  <c r="AC468" i="178" s="1"/>
  <c r="Z1075" i="178"/>
  <c r="AC1075" i="178" s="1"/>
  <c r="Z32" i="178"/>
  <c r="AC32" i="178" s="1"/>
  <c r="Z1014" i="178"/>
  <c r="AC1014" i="178" s="1"/>
  <c r="AC537" i="178"/>
  <c r="AC739" i="178"/>
  <c r="Z547" i="178"/>
  <c r="AC547" i="178" s="1"/>
  <c r="AC676" i="178"/>
  <c r="Z118" i="178"/>
  <c r="AC118" i="178" s="1"/>
  <c r="Z307" i="178"/>
  <c r="AC307" i="178" s="1"/>
  <c r="Z573" i="178"/>
  <c r="AC573" i="178" s="1"/>
  <c r="Z18" i="178"/>
  <c r="AC18" i="178" s="1"/>
  <c r="Z89" i="178"/>
  <c r="Z207" i="178"/>
  <c r="AC207" i="178" s="1"/>
  <c r="AC340" i="178"/>
  <c r="Z491" i="178"/>
  <c r="AC491" i="178" s="1"/>
  <c r="AC324" i="178"/>
  <c r="AC460" i="178"/>
  <c r="Z507" i="178"/>
  <c r="AC507" i="178" s="1"/>
  <c r="Z1076" i="178"/>
  <c r="AC1076" i="178" s="1"/>
  <c r="Z1067" i="178"/>
  <c r="AC1067" i="178" s="1"/>
  <c r="Z1069" i="178"/>
  <c r="AC1069" i="178" s="1"/>
  <c r="Z87" i="178"/>
  <c r="AC87" i="178" s="1"/>
  <c r="Z208" i="178"/>
  <c r="AC208" i="178" s="1"/>
  <c r="AC454" i="178"/>
  <c r="AC738" i="178"/>
  <c r="Z824" i="178"/>
  <c r="AC824" i="178" s="1"/>
  <c r="Z1211" i="178"/>
  <c r="AC1211" i="178" s="1"/>
  <c r="Z1248" i="178"/>
  <c r="AC1248" i="178" s="1"/>
  <c r="Z1005" i="178"/>
  <c r="AC1005" i="178" s="1"/>
  <c r="Z560" i="178"/>
  <c r="AC560" i="178" s="1"/>
  <c r="Z768" i="178"/>
  <c r="AC768" i="178" s="1"/>
  <c r="AC461" i="178"/>
  <c r="Z333" i="178"/>
  <c r="AC333" i="178" s="1"/>
  <c r="Z310" i="178"/>
  <c r="AC310" i="178" s="1"/>
  <c r="Z187" i="178"/>
  <c r="AC187" i="178" s="1"/>
  <c r="Z1042" i="178"/>
  <c r="AC1042" i="178" s="1"/>
  <c r="Z37" i="178"/>
  <c r="AC37" i="178" s="1"/>
  <c r="Z842" i="178"/>
  <c r="AC842" i="178" s="1"/>
  <c r="Z734" i="178"/>
  <c r="AC734" i="178" s="1"/>
  <c r="Z691" i="178"/>
  <c r="AC691" i="178" s="1"/>
  <c r="Z700" i="178"/>
  <c r="AC700" i="178" s="1"/>
  <c r="Z1103" i="178"/>
  <c r="AC1103" i="178" s="1"/>
  <c r="Z363" i="178"/>
  <c r="AC363" i="178" s="1"/>
  <c r="Z1062" i="178"/>
  <c r="AC1062" i="178" s="1"/>
  <c r="Z47" i="178"/>
  <c r="AC47" i="178" s="1"/>
  <c r="Z451" i="178"/>
  <c r="AC451" i="178" s="1"/>
  <c r="Z355" i="178"/>
  <c r="AC355" i="178" s="1"/>
  <c r="Z570" i="178"/>
  <c r="AC570" i="178" s="1"/>
  <c r="Z368" i="178"/>
  <c r="AC368" i="178" s="1"/>
  <c r="Z428" i="178"/>
  <c r="AC428" i="178" s="1"/>
  <c r="AC265" i="178"/>
  <c r="Z376" i="178"/>
  <c r="AC376" i="178" s="1"/>
  <c r="Z876" i="178"/>
  <c r="AC876" i="178" s="1"/>
  <c r="Z978" i="178"/>
  <c r="AC978" i="178" s="1"/>
  <c r="Z17" i="178"/>
  <c r="AC17" i="178" s="1"/>
  <c r="Z840" i="178"/>
  <c r="AC840" i="178" s="1"/>
  <c r="Z1007" i="178"/>
  <c r="AC1007" i="178" s="1"/>
  <c r="Z289" i="178"/>
  <c r="AC289" i="178" s="1"/>
  <c r="Z598" i="178"/>
  <c r="AC598" i="178" s="1"/>
  <c r="Z1261" i="178"/>
  <c r="AC1261" i="178" s="1"/>
  <c r="Z140" i="178"/>
  <c r="AC140" i="178" s="1"/>
  <c r="Z234" i="178"/>
  <c r="AC234" i="178" s="1"/>
  <c r="Z505" i="178"/>
  <c r="AC505" i="178" s="1"/>
  <c r="Z231" i="178"/>
  <c r="AC231" i="178" s="1"/>
  <c r="Z377" i="178"/>
  <c r="AC377" i="178" s="1"/>
  <c r="Z621" i="178"/>
  <c r="AC621" i="178" s="1"/>
  <c r="Z638" i="178"/>
  <c r="AC638" i="178" s="1"/>
  <c r="Z293" i="178"/>
  <c r="AC293" i="178" s="1"/>
  <c r="Z419" i="178"/>
  <c r="AC419" i="178" s="1"/>
  <c r="Z1189" i="178"/>
  <c r="AC1189" i="178" s="1"/>
  <c r="Z15" i="178"/>
  <c r="AC15" i="178" s="1"/>
  <c r="Z433" i="178"/>
  <c r="Z587" i="178"/>
  <c r="AC587" i="178" s="1"/>
  <c r="Z634" i="178"/>
  <c r="AC634" i="178" s="1"/>
  <c r="Z1090" i="178"/>
  <c r="AC1090" i="178" s="1"/>
  <c r="Z1099" i="178"/>
  <c r="AC1099" i="178" s="1"/>
  <c r="Z1110" i="178"/>
  <c r="AC1110" i="178" s="1"/>
  <c r="Z192" i="178"/>
  <c r="AC192" i="178" s="1"/>
  <c r="Z1157" i="178"/>
  <c r="AC1157" i="178" s="1"/>
  <c r="AC655" i="178"/>
  <c r="Z578" i="178"/>
  <c r="AC578" i="178" s="1"/>
  <c r="Z251" i="178"/>
  <c r="AC251" i="178" s="1"/>
  <c r="Z371" i="178"/>
  <c r="AC371" i="178" s="1"/>
  <c r="Z585" i="178"/>
  <c r="AC585" i="178" s="1"/>
  <c r="Z476" i="178"/>
  <c r="AC476" i="178" s="1"/>
  <c r="Z586" i="178"/>
  <c r="AC586" i="178" s="1"/>
  <c r="Z623" i="178"/>
  <c r="AC623" i="178" s="1"/>
  <c r="Z626" i="178"/>
  <c r="AC626" i="178" s="1"/>
  <c r="Z579" i="178"/>
  <c r="AC579" i="178" s="1"/>
  <c r="Z488" i="178"/>
  <c r="AC488" i="178" s="1"/>
  <c r="Z128" i="178"/>
  <c r="AC128" i="178" s="1"/>
  <c r="Z1278" i="178"/>
  <c r="AC1278" i="178" s="1"/>
  <c r="Z21" i="178"/>
  <c r="AC21" i="178" s="1"/>
  <c r="Z84" i="178"/>
  <c r="AC84" i="178" s="1"/>
  <c r="Z90" i="178"/>
  <c r="AC90" i="178" s="1"/>
  <c r="Z102" i="178"/>
  <c r="Z291" i="178"/>
  <c r="AC291" i="178" s="1"/>
  <c r="Z173" i="178"/>
  <c r="AC173" i="178" s="1"/>
  <c r="Z916" i="178"/>
  <c r="AC916" i="178" s="1"/>
  <c r="Z154" i="178"/>
  <c r="AC154" i="178" s="1"/>
  <c r="Z247" i="178"/>
  <c r="AC247" i="178" s="1"/>
  <c r="Z338" i="178"/>
  <c r="AC338" i="178" s="1"/>
  <c r="Z1064" i="178"/>
  <c r="AC1064" i="178" s="1"/>
  <c r="Z746" i="178"/>
  <c r="AC746" i="178" s="1"/>
  <c r="Z230" i="178"/>
  <c r="AC230" i="178" s="1"/>
  <c r="Z396" i="178"/>
  <c r="AC396" i="178" s="1"/>
  <c r="Z129" i="178"/>
  <c r="AC129" i="178" s="1"/>
  <c r="Z174" i="178"/>
  <c r="AC174" i="178" s="1"/>
  <c r="Z919" i="178"/>
  <c r="AC919" i="178" s="1"/>
  <c r="Z633" i="178"/>
  <c r="AC633" i="178" s="1"/>
  <c r="Z532" i="178"/>
  <c r="AC532" i="178" s="1"/>
  <c r="Z893" i="178"/>
  <c r="AC893" i="178" s="1"/>
  <c r="Z1161" i="178"/>
  <c r="AC1161" i="178" s="1"/>
  <c r="Z495" i="178"/>
  <c r="AC495" i="178" s="1"/>
  <c r="Z1092" i="178"/>
  <c r="AC1092" i="178" s="1"/>
  <c r="Z832" i="178"/>
  <c r="AC832" i="178" s="1"/>
  <c r="Z290" i="178"/>
  <c r="AC290" i="178" s="1"/>
  <c r="Z332" i="178"/>
  <c r="AC332" i="178" s="1"/>
  <c r="Z425" i="178"/>
  <c r="AC425" i="178" s="1"/>
  <c r="Z629" i="178"/>
  <c r="AC629" i="178" s="1"/>
  <c r="Z730" i="178"/>
  <c r="AC730" i="178" s="1"/>
  <c r="Z636" i="178"/>
  <c r="AC636" i="178" s="1"/>
  <c r="Z1132" i="178"/>
  <c r="AC1132" i="178" s="1"/>
  <c r="Z384" i="178"/>
  <c r="AC384" i="178" s="1"/>
  <c r="Z412" i="178"/>
  <c r="AC412" i="178" s="1"/>
  <c r="Z865" i="178"/>
  <c r="AC865" i="178" s="1"/>
  <c r="Z940" i="178"/>
  <c r="AC940" i="178" s="1"/>
  <c r="Z944" i="178"/>
  <c r="AC944" i="178" s="1"/>
  <c r="Z334" i="178"/>
  <c r="AC334" i="178" s="1"/>
  <c r="Z894" i="178"/>
  <c r="AC894" i="178" s="1"/>
  <c r="Z13" i="178"/>
  <c r="AC13" i="178" s="1"/>
  <c r="Z121" i="178"/>
  <c r="AC121" i="178" s="1"/>
  <c r="Z844" i="178"/>
  <c r="AC844" i="178" s="1"/>
  <c r="Z860" i="178"/>
  <c r="AC860" i="178" s="1"/>
  <c r="Z701" i="178"/>
  <c r="AC701" i="178" s="1"/>
  <c r="Z689" i="178"/>
  <c r="AC689" i="178" s="1"/>
  <c r="Z485" i="178"/>
  <c r="AC485" i="178" s="1"/>
  <c r="Z137" i="178"/>
  <c r="AC137" i="178" s="1"/>
  <c r="Z781" i="178"/>
  <c r="AC781" i="178" s="1"/>
  <c r="AC647" i="178"/>
  <c r="Z515" i="178"/>
  <c r="AC515" i="178" s="1"/>
  <c r="Z1112" i="178"/>
  <c r="AC1112" i="178" s="1"/>
  <c r="Z1155" i="178"/>
  <c r="AC1155" i="178" s="1"/>
  <c r="Z228" i="178"/>
  <c r="AC228" i="178" s="1"/>
  <c r="Z312" i="178"/>
  <c r="AC312" i="178" s="1"/>
  <c r="Z463" i="178"/>
  <c r="AC463" i="178" s="1"/>
  <c r="Z189" i="178"/>
  <c r="AC189" i="178" s="1"/>
  <c r="Z335" i="178"/>
  <c r="AC335" i="178" s="1"/>
  <c r="Z410" i="178"/>
  <c r="AC410" i="178" s="1"/>
  <c r="Z628" i="178"/>
  <c r="AC628" i="178" s="1"/>
  <c r="Z622" i="178"/>
  <c r="AC622" i="178" s="1"/>
  <c r="Z330" i="178"/>
  <c r="AC330" i="178" s="1"/>
  <c r="Z130" i="178"/>
  <c r="AC130" i="178" s="1"/>
  <c r="Z81" i="178"/>
  <c r="AC81" i="178" s="1"/>
  <c r="Z204" i="178"/>
  <c r="AC204" i="178" s="1"/>
  <c r="Z308" i="178"/>
  <c r="AC308" i="178" s="1"/>
  <c r="Z731" i="178"/>
  <c r="AC731" i="178" s="1"/>
  <c r="Z1035" i="178"/>
  <c r="AC1035" i="178" s="1"/>
  <c r="Z979" i="178"/>
  <c r="AC979" i="178" s="1"/>
  <c r="Z127" i="178"/>
  <c r="AC127" i="178" s="1"/>
  <c r="Z932" i="178"/>
  <c r="AC932" i="178" s="1"/>
  <c r="AC260" i="178"/>
  <c r="Z280" i="178"/>
  <c r="AC280" i="178" s="1"/>
  <c r="Z1094" i="178"/>
  <c r="AC1094" i="178" s="1"/>
  <c r="Z745" i="178"/>
  <c r="AC745" i="178" s="1"/>
  <c r="Z431" i="178"/>
  <c r="AC431" i="178" s="1"/>
  <c r="Z617" i="178"/>
  <c r="AC617" i="178" s="1"/>
  <c r="Z779" i="178"/>
  <c r="AC779" i="178" s="1"/>
  <c r="Z658" i="178"/>
  <c r="AC658" i="178" s="1"/>
  <c r="Z1148" i="178"/>
  <c r="AC1148" i="178" s="1"/>
  <c r="Z724" i="178"/>
  <c r="AC724" i="178" s="1"/>
  <c r="Z863" i="178"/>
  <c r="AC863" i="178" s="1"/>
  <c r="Z904" i="178"/>
  <c r="AC904" i="178" s="1"/>
  <c r="Z417" i="178"/>
  <c r="AC417" i="178" s="1"/>
  <c r="AC782" i="178"/>
  <c r="Z136" i="178"/>
  <c r="AC136" i="178" s="1"/>
  <c r="Z976" i="178"/>
  <c r="AC976" i="178" s="1"/>
  <c r="Z83" i="178"/>
  <c r="AC83" i="178" s="1"/>
  <c r="Z946" i="178"/>
  <c r="AC946" i="178" s="1"/>
  <c r="Z1277" i="178"/>
  <c r="AC1277" i="178" s="1"/>
  <c r="Z839" i="178"/>
  <c r="AC839" i="178" s="1"/>
  <c r="Z819" i="178"/>
  <c r="AC819" i="178" s="1"/>
  <c r="Z157" i="178"/>
  <c r="AC157" i="178" s="1"/>
  <c r="Z859" i="178"/>
  <c r="AC859" i="178" s="1"/>
  <c r="Z640" i="178"/>
  <c r="AC640" i="178" s="1"/>
  <c r="Z489" i="178"/>
  <c r="AC489" i="178" s="1"/>
  <c r="Z717" i="178"/>
  <c r="AC717" i="178" s="1"/>
  <c r="Z716" i="178"/>
  <c r="AC716" i="178" s="1"/>
  <c r="Z635" i="178"/>
  <c r="AC635" i="178" s="1"/>
  <c r="Z350" i="178"/>
  <c r="AC350" i="178" s="1"/>
  <c r="Z896" i="178"/>
  <c r="AC896" i="178" s="1"/>
  <c r="Z160" i="178"/>
  <c r="AC160" i="178" s="1"/>
  <c r="Z801" i="178"/>
  <c r="AC801" i="178" s="1"/>
  <c r="Z668" i="178"/>
  <c r="AC668" i="178" s="1"/>
  <c r="Z972" i="178"/>
  <c r="AC972" i="178" s="1"/>
  <c r="Z193" i="178"/>
  <c r="AC193" i="178" s="1"/>
  <c r="AC1195" i="178"/>
  <c r="Z1039" i="178"/>
  <c r="AC1039" i="178" s="1"/>
  <c r="Z1034" i="178"/>
  <c r="AC1034" i="178" s="1"/>
  <c r="Z1114" i="178"/>
  <c r="AC1114" i="178" s="1"/>
  <c r="Z141" i="178"/>
  <c r="AC141" i="178" s="1"/>
  <c r="Z714" i="178"/>
  <c r="AC714" i="178" s="1"/>
  <c r="Z1095" i="178"/>
  <c r="AC1095" i="178" s="1"/>
  <c r="Z1104" i="178"/>
  <c r="AC1104" i="178" s="1"/>
  <c r="Z229" i="178"/>
  <c r="AC229" i="178" s="1"/>
  <c r="Z833" i="178"/>
  <c r="AC833" i="178" s="1"/>
  <c r="Z1156" i="178"/>
  <c r="AC1156" i="178" s="1"/>
  <c r="Z471" i="178"/>
  <c r="AC471" i="178" s="1"/>
  <c r="Z194" i="178"/>
  <c r="AC194" i="178" s="1"/>
  <c r="Z262" i="178"/>
  <c r="AC262" i="178" s="1"/>
  <c r="Z510" i="178"/>
  <c r="AC510" i="178" s="1"/>
  <c r="Z232" i="178"/>
  <c r="AC232" i="178" s="1"/>
  <c r="Z378" i="178"/>
  <c r="AC378" i="178" s="1"/>
  <c r="Z411" i="178"/>
  <c r="AC411" i="178" s="1"/>
  <c r="Z742" i="178"/>
  <c r="AC742" i="178" s="1"/>
  <c r="Z620" i="178"/>
  <c r="AC620" i="178" s="1"/>
  <c r="Z624" i="178"/>
  <c r="AC624" i="178" s="1"/>
  <c r="Z921" i="178"/>
  <c r="AC921" i="178" s="1"/>
  <c r="Z394" i="178"/>
  <c r="AC394" i="178" s="1"/>
  <c r="Z1089" i="178"/>
  <c r="AC1089" i="178" s="1"/>
  <c r="Z692" i="178"/>
  <c r="AC692" i="178" s="1"/>
  <c r="Z148" i="178"/>
  <c r="AC148" i="178" s="1"/>
  <c r="Z375" i="178"/>
  <c r="AC375" i="178" s="1"/>
  <c r="Z551" i="178"/>
  <c r="AC551" i="178" s="1"/>
  <c r="Z980" i="178"/>
  <c r="AC980" i="178" s="1"/>
  <c r="Z74" i="178"/>
  <c r="AC74" i="178" s="1"/>
  <c r="Z752" i="178"/>
  <c r="AC752" i="178" s="1"/>
  <c r="Z583" i="178"/>
  <c r="AC583" i="178" s="1"/>
  <c r="Z777" i="178"/>
  <c r="AC777" i="178" s="1"/>
  <c r="Z409" i="178"/>
  <c r="AC409" i="178" s="1"/>
  <c r="Z685" i="178"/>
  <c r="AC685" i="178" s="1"/>
  <c r="Z821" i="178"/>
  <c r="AC821" i="178" s="1"/>
  <c r="AC263" i="178"/>
  <c r="Z227" i="178"/>
  <c r="AC227" i="178" s="1"/>
  <c r="AC393" i="178"/>
  <c r="Z29" i="178"/>
  <c r="AC29" i="178" s="1"/>
  <c r="Z841" i="178"/>
  <c r="AC841" i="178" s="1"/>
  <c r="Z1045" i="178"/>
  <c r="AC1045" i="178" s="1"/>
  <c r="Z836" i="178"/>
  <c r="AC836" i="178" s="1"/>
  <c r="Z949" i="178"/>
  <c r="AC949" i="178" s="1"/>
  <c r="Z603" i="178"/>
  <c r="AC603" i="178" s="1"/>
  <c r="Z697" i="178"/>
  <c r="AC697" i="178" s="1"/>
  <c r="Z1060" i="178"/>
  <c r="AC1060" i="178" s="1"/>
  <c r="Z387" i="178"/>
  <c r="AC387" i="178" s="1"/>
  <c r="Z474" i="178"/>
  <c r="AC474" i="178" s="1"/>
  <c r="Z331" i="178"/>
  <c r="AC331" i="178" s="1"/>
  <c r="Z309" i="178"/>
  <c r="AC309" i="178" s="1"/>
  <c r="Z82" i="178"/>
  <c r="AC82" i="178" s="1"/>
  <c r="Z188" i="178"/>
  <c r="AC188" i="178" s="1"/>
  <c r="Z124" i="178"/>
  <c r="AC124" i="178" s="1"/>
  <c r="Z1041" i="178"/>
  <c r="AC1041" i="178" s="1"/>
  <c r="Z1187" i="178"/>
  <c r="AC1187" i="178" s="1"/>
  <c r="Z838" i="178"/>
  <c r="AC838" i="178" s="1"/>
  <c r="Z292" i="178"/>
  <c r="AC292" i="178" s="1"/>
  <c r="Z364" i="178"/>
  <c r="AC364" i="178" s="1"/>
  <c r="Z958" i="178"/>
  <c r="AC958" i="178" s="1"/>
  <c r="Z257" i="178"/>
  <c r="AC257" i="178" s="1"/>
  <c r="Z898" i="178"/>
  <c r="AC898" i="178" s="1"/>
  <c r="Z977" i="178"/>
  <c r="AC977" i="178" s="1"/>
  <c r="Z1117" i="178"/>
  <c r="AC1117" i="178" s="1"/>
  <c r="AC486" i="178"/>
  <c r="Z385" i="178"/>
  <c r="AC385" i="178" s="1"/>
  <c r="Z662" i="178"/>
  <c r="AC662" i="178" s="1"/>
  <c r="Z581" i="178"/>
  <c r="AC581" i="178" s="1"/>
  <c r="AC354" i="178"/>
  <c r="Z1051" i="178"/>
  <c r="AC1051" i="178" s="1"/>
  <c r="Z126" i="178"/>
  <c r="AC126" i="178" s="1"/>
  <c r="Z125" i="178"/>
  <c r="AC125" i="178" s="1"/>
  <c r="Z120" i="178"/>
  <c r="AC120" i="178" s="1"/>
  <c r="Z1019" i="178"/>
  <c r="AC1019" i="178" s="1"/>
  <c r="Z755" i="178"/>
  <c r="AC755" i="178" s="1"/>
  <c r="Z981" i="178"/>
  <c r="AC981" i="178" s="1"/>
  <c r="Z356" i="178"/>
  <c r="AC356" i="178" s="1"/>
  <c r="Z962" i="178"/>
  <c r="AC962" i="178" s="1"/>
  <c r="Z367" i="178"/>
  <c r="AC367" i="178" s="1"/>
  <c r="Z202" i="178"/>
  <c r="AC202" i="178" s="1"/>
  <c r="Z1240" i="178"/>
  <c r="AC1240" i="178" s="1"/>
  <c r="Z709" i="178"/>
  <c r="AC709" i="178" s="1"/>
  <c r="Z1111" i="178"/>
  <c r="AC1111" i="178" s="1"/>
  <c r="Z974" i="178"/>
  <c r="AC974" i="178" s="1"/>
  <c r="Z203" i="178"/>
  <c r="AC203" i="178" s="1"/>
  <c r="Z1154" i="178"/>
  <c r="AC1154" i="178" s="1"/>
  <c r="Z372" i="178"/>
  <c r="AC372" i="178" s="1"/>
  <c r="Z529" i="178"/>
  <c r="AC529" i="178" s="1"/>
  <c r="Z243" i="178"/>
  <c r="AC243" i="178" s="1"/>
  <c r="Z397" i="178"/>
  <c r="AC397" i="178" s="1"/>
  <c r="Z133" i="178"/>
  <c r="AC133" i="178" s="1"/>
  <c r="Z588" i="178"/>
  <c r="AC588" i="178" s="1"/>
  <c r="Z667" i="178"/>
  <c r="AC667" i="178" s="1"/>
  <c r="Z627" i="178"/>
  <c r="AC627" i="178" s="1"/>
  <c r="Z197" i="178"/>
  <c r="AC197" i="178" s="1"/>
  <c r="Z392" i="178"/>
  <c r="AC392" i="178" s="1"/>
  <c r="Z144" i="178"/>
  <c r="AC144" i="178" s="1"/>
  <c r="Z424" i="178"/>
  <c r="AC424" i="178" s="1"/>
  <c r="Z382" i="178"/>
  <c r="AC382" i="178" s="1"/>
  <c r="Z880" i="178"/>
  <c r="AC880" i="178" s="1"/>
  <c r="Z892" i="178"/>
  <c r="AC892" i="178" s="1"/>
  <c r="Z871" i="178"/>
  <c r="AC871" i="178" s="1"/>
  <c r="Z678" i="178"/>
  <c r="AC678" i="178" s="1"/>
  <c r="Z975" i="178"/>
  <c r="AC975" i="178" s="1"/>
  <c r="Z131" i="178"/>
  <c r="AC131" i="178" s="1"/>
  <c r="AC793" i="178"/>
  <c r="Z1063" i="178"/>
  <c r="AC1063" i="178" s="1"/>
  <c r="Z696" i="178"/>
  <c r="AC696" i="178" s="1"/>
  <c r="Z1105" i="178"/>
  <c r="AC1105" i="178" s="1"/>
  <c r="Z577" i="178"/>
  <c r="AC577" i="178" s="1"/>
  <c r="Z758" i="178"/>
  <c r="AC758" i="178" s="1"/>
  <c r="Z353" i="178"/>
  <c r="AC353" i="178" s="1"/>
  <c r="Z559" i="178"/>
  <c r="AC559" i="178" s="1"/>
  <c r="Z632" i="178"/>
  <c r="AC632" i="178" s="1"/>
  <c r="Z912" i="178"/>
  <c r="AC912" i="178" s="1"/>
  <c r="Z1130" i="178"/>
  <c r="AC1130" i="178" s="1"/>
  <c r="Z418" i="178"/>
  <c r="AC418" i="178" s="1"/>
  <c r="Z469" i="178"/>
  <c r="AC469" i="178" s="1"/>
  <c r="Z829" i="178"/>
  <c r="AC829" i="178" s="1"/>
  <c r="Z1165" i="178"/>
  <c r="AC1165" i="178" s="1"/>
  <c r="Z837" i="178"/>
  <c r="AC837" i="178" s="1"/>
  <c r="Z951" i="178"/>
  <c r="AC951" i="178" s="1"/>
  <c r="Z79" i="178"/>
  <c r="AC79" i="178" s="1"/>
  <c r="Z843" i="178"/>
  <c r="AC843" i="178" s="1"/>
  <c r="Z751" i="178"/>
  <c r="AC751" i="178" s="1"/>
  <c r="Z501" i="178"/>
  <c r="AC501" i="178" s="1"/>
  <c r="Z775" i="178"/>
  <c r="AC775" i="178" s="1"/>
  <c r="Z747" i="178"/>
  <c r="AC747" i="178" s="1"/>
  <c r="AC80" i="178"/>
  <c r="AC595" i="178"/>
  <c r="AC596" i="178"/>
  <c r="AC492" i="178"/>
  <c r="AC665" i="178"/>
  <c r="AC663" i="178"/>
  <c r="Z1108" i="178"/>
  <c r="AC1108" i="178" s="1"/>
  <c r="Z1009" i="178"/>
  <c r="AC1009" i="178" s="1"/>
  <c r="Z54" i="178"/>
  <c r="AC54" i="178" s="1"/>
  <c r="Z241" i="178"/>
  <c r="AC241" i="178" s="1"/>
  <c r="Z508" i="178"/>
  <c r="AC508" i="178" s="1"/>
  <c r="Z531" i="178"/>
  <c r="AC531" i="178" s="1"/>
  <c r="Z776" i="178"/>
  <c r="AC776" i="178" s="1"/>
  <c r="Z950" i="178"/>
  <c r="AC950" i="178" s="1"/>
  <c r="Z1184" i="178"/>
  <c r="AC1184" i="178" s="1"/>
  <c r="Z315" i="178"/>
  <c r="AC315" i="178" s="1"/>
  <c r="Z787" i="178"/>
  <c r="AC787" i="178" s="1"/>
  <c r="Z1159" i="178"/>
  <c r="AC1159" i="178" s="1"/>
  <c r="Z761" i="178"/>
  <c r="AC761" i="178" s="1"/>
  <c r="Z845" i="178"/>
  <c r="AC845" i="178" s="1"/>
  <c r="Z267" i="178"/>
  <c r="AC267" i="178" s="1"/>
  <c r="Z983" i="178"/>
  <c r="AC983" i="178" s="1"/>
  <c r="Z1011" i="178"/>
  <c r="AC1011" i="178" s="1"/>
  <c r="Z619" i="178"/>
  <c r="AC619" i="178" s="1"/>
  <c r="Z379" i="178"/>
  <c r="AC379" i="178" s="1"/>
  <c r="Z386" i="178"/>
  <c r="AC386" i="178" s="1"/>
  <c r="Z403" i="178"/>
  <c r="AC403" i="178" s="1"/>
  <c r="Z589" i="178"/>
  <c r="AC589" i="178" s="1"/>
  <c r="Z611" i="178"/>
  <c r="AC611" i="178" s="1"/>
  <c r="Z607" i="178"/>
  <c r="AC607" i="178" s="1"/>
  <c r="Z605" i="178"/>
  <c r="AC605" i="178" s="1"/>
  <c r="Z922" i="178"/>
  <c r="AC922" i="178" s="1"/>
  <c r="Z907" i="178"/>
  <c r="AC907" i="178" s="1"/>
  <c r="Z883" i="178"/>
  <c r="AC883" i="178" s="1"/>
  <c r="Z414" i="178"/>
  <c r="AC414" i="178" s="1"/>
  <c r="Z637" i="178"/>
  <c r="AC637" i="178" s="1"/>
  <c r="Z170" i="178"/>
  <c r="AC170" i="178" s="1"/>
  <c r="Z1126" i="178"/>
  <c r="AC1126" i="178" s="1"/>
  <c r="Z869" i="178"/>
  <c r="AC869" i="178" s="1"/>
  <c r="Z774" i="178"/>
  <c r="AC774" i="178" s="1"/>
  <c r="AC679" i="178"/>
  <c r="AC78" i="178"/>
  <c r="AC264" i="178"/>
  <c r="AC395" i="178"/>
  <c r="AC594" i="178"/>
  <c r="AC592" i="178"/>
  <c r="AC177" i="178"/>
  <c r="AC862" i="178"/>
  <c r="AC1153" i="178"/>
  <c r="AC872" i="178"/>
  <c r="Z1107" i="178"/>
  <c r="AC1107" i="178" s="1"/>
  <c r="Z59" i="178"/>
  <c r="AC59" i="178" s="1"/>
  <c r="Z250" i="178"/>
  <c r="AC250" i="178" s="1"/>
  <c r="Z503" i="178"/>
  <c r="AC503" i="178" s="1"/>
  <c r="Z968" i="178"/>
  <c r="AC968" i="178" s="1"/>
  <c r="Z1186" i="178"/>
  <c r="AC1186" i="178" s="1"/>
  <c r="Z311" i="178"/>
  <c r="AC311" i="178" s="1"/>
  <c r="Z660" i="178"/>
  <c r="AC660" i="178" s="1"/>
  <c r="Z783" i="178"/>
  <c r="AC783" i="178" s="1"/>
  <c r="Z982" i="178"/>
  <c r="AC982" i="178" s="1"/>
  <c r="Z618" i="178"/>
  <c r="AC618" i="178" s="1"/>
  <c r="Z762" i="178"/>
  <c r="AC762" i="178" s="1"/>
  <c r="Z1046" i="178"/>
  <c r="AC1046" i="178" s="1"/>
  <c r="Z759" i="178"/>
  <c r="AC759" i="178" s="1"/>
  <c r="Z847" i="178"/>
  <c r="AC847" i="178" s="1"/>
  <c r="Z575" i="178"/>
  <c r="AC575" i="178" s="1"/>
  <c r="Z400" i="178"/>
  <c r="AC400" i="178" s="1"/>
  <c r="Z398" i="178"/>
  <c r="AC398" i="178" s="1"/>
  <c r="Z613" i="178"/>
  <c r="AC613" i="178" s="1"/>
  <c r="Z606" i="178"/>
  <c r="AC606" i="178" s="1"/>
  <c r="Z604" i="178"/>
  <c r="AC604" i="178" s="1"/>
  <c r="Z554" i="178"/>
  <c r="AC554" i="178" s="1"/>
  <c r="Z389" i="178"/>
  <c r="AC389" i="178" s="1"/>
  <c r="Z671" i="178"/>
  <c r="AC671" i="178" s="1"/>
  <c r="Z415" i="178"/>
  <c r="AC415" i="178" s="1"/>
  <c r="Z1127" i="178"/>
  <c r="AC1127" i="178" s="1"/>
  <c r="AC693" i="178"/>
  <c r="AC75" i="178"/>
  <c r="AC256" i="178"/>
  <c r="AC659" i="178"/>
  <c r="AC76" i="178"/>
  <c r="AC470" i="178"/>
  <c r="AC750" i="178"/>
  <c r="AC433" i="178"/>
  <c r="AC374" i="178"/>
  <c r="AC597" i="178"/>
  <c r="AC866" i="178"/>
  <c r="AC641" i="178"/>
  <c r="AC416" i="178"/>
  <c r="AC923" i="178"/>
  <c r="Z55" i="178"/>
  <c r="AC55" i="178" s="1"/>
  <c r="Z249" i="178"/>
  <c r="AC249" i="178" s="1"/>
  <c r="Z535" i="178"/>
  <c r="AC535" i="178" s="1"/>
  <c r="Z967" i="178"/>
  <c r="AC967" i="178" s="1"/>
  <c r="Z1185" i="178"/>
  <c r="AC1185" i="178" s="1"/>
  <c r="Z749" i="178"/>
  <c r="AC749" i="178" s="1"/>
  <c r="Z834" i="178"/>
  <c r="AC834" i="178" s="1"/>
  <c r="Z786" i="178"/>
  <c r="AC786" i="178" s="1"/>
  <c r="Z846" i="178"/>
  <c r="AC846" i="178" s="1"/>
  <c r="Z1158" i="178"/>
  <c r="AC1158" i="178" s="1"/>
  <c r="Z760" i="178"/>
  <c r="AC760" i="178" s="1"/>
  <c r="Z848" i="178"/>
  <c r="AC848" i="178" s="1"/>
  <c r="Z601" i="178"/>
  <c r="AC601" i="178" s="1"/>
  <c r="Z790" i="178"/>
  <c r="AC790" i="178" s="1"/>
  <c r="Z530" i="178"/>
  <c r="AC530" i="178" s="1"/>
  <c r="Z402" i="178"/>
  <c r="AC402" i="178" s="1"/>
  <c r="Z591" i="178"/>
  <c r="AC591" i="178" s="1"/>
  <c r="Z609" i="178"/>
  <c r="AC609" i="178" s="1"/>
  <c r="Z610" i="178"/>
  <c r="AC610" i="178" s="1"/>
  <c r="Z1150" i="178"/>
  <c r="AC1150" i="178" s="1"/>
  <c r="Z915" i="178"/>
  <c r="AC915" i="178" s="1"/>
  <c r="Z890" i="178"/>
  <c r="AC890" i="178" s="1"/>
  <c r="Z1147" i="178"/>
  <c r="AC1147" i="178" s="1"/>
  <c r="Z941" i="178"/>
  <c r="AC941" i="178" s="1"/>
  <c r="Z427" i="178"/>
  <c r="AC427" i="178" s="1"/>
  <c r="Z171" i="178"/>
  <c r="AC171" i="178" s="1"/>
  <c r="Z887" i="178"/>
  <c r="AC887" i="178" s="1"/>
  <c r="AC1152" i="178"/>
  <c r="Z773" i="178"/>
  <c r="AC773" i="178" s="1"/>
  <c r="AC73" i="178"/>
  <c r="AC255" i="178"/>
  <c r="AC462" i="178"/>
  <c r="AC373" i="178"/>
  <c r="AC593" i="178"/>
  <c r="AC900" i="178"/>
  <c r="AC138" i="178"/>
  <c r="AC175" i="178"/>
  <c r="AC439" i="178"/>
  <c r="Z677" i="178"/>
  <c r="AC677" i="178" s="1"/>
  <c r="Z675" i="178"/>
  <c r="AC675" i="178" s="1"/>
  <c r="Z1010" i="178"/>
  <c r="AC1010" i="178" s="1"/>
  <c r="Z242" i="178"/>
  <c r="AC242" i="178" s="1"/>
  <c r="Z576" i="178"/>
  <c r="AC576" i="178" s="1"/>
  <c r="Z483" i="178"/>
  <c r="AC483" i="178" s="1"/>
  <c r="Z948" i="178"/>
  <c r="AC948" i="178" s="1"/>
  <c r="Z1183" i="178"/>
  <c r="AC1183" i="178" s="1"/>
  <c r="Z370" i="178"/>
  <c r="AC370" i="178" s="1"/>
  <c r="Z748" i="178"/>
  <c r="AC748" i="178" s="1"/>
  <c r="Z784" i="178"/>
  <c r="AC784" i="178" s="1"/>
  <c r="Z785" i="178"/>
  <c r="AC785" i="178" s="1"/>
  <c r="Z789" i="178"/>
  <c r="AC789" i="178" s="1"/>
  <c r="Z947" i="178"/>
  <c r="AC947" i="178" s="1"/>
  <c r="Z602" i="178"/>
  <c r="AC602" i="178" s="1"/>
  <c r="Z791" i="178"/>
  <c r="AC791" i="178" s="1"/>
  <c r="Z1188" i="178"/>
  <c r="AC1188" i="178" s="1"/>
  <c r="Z788" i="178"/>
  <c r="AC788" i="178" s="1"/>
  <c r="Z482" i="178"/>
  <c r="AC482" i="178" s="1"/>
  <c r="Z380" i="178"/>
  <c r="AC380" i="178" s="1"/>
  <c r="Z401" i="178"/>
  <c r="AC401" i="178" s="1"/>
  <c r="Z399" i="178"/>
  <c r="AC399" i="178" s="1"/>
  <c r="Z590" i="178"/>
  <c r="AC590" i="178" s="1"/>
  <c r="Z608" i="178"/>
  <c r="AC608" i="178" s="1"/>
  <c r="Z612" i="178"/>
  <c r="AC612" i="178" s="1"/>
  <c r="Z943" i="178"/>
  <c r="AC943" i="178" s="1"/>
  <c r="Z200" i="178"/>
  <c r="AC200" i="178" s="1"/>
  <c r="Z201" i="178"/>
  <c r="AC201" i="178" s="1"/>
  <c r="Z942" i="178"/>
  <c r="AC942" i="178" s="1"/>
  <c r="Z861" i="178"/>
  <c r="AC861" i="178" s="1"/>
  <c r="Z920" i="178"/>
  <c r="AC920" i="178" s="1"/>
  <c r="Z390" i="178"/>
  <c r="AC390" i="178" s="1"/>
  <c r="Z552" i="178"/>
  <c r="AC552" i="178" s="1"/>
  <c r="Z1128" i="178"/>
  <c r="AC1128" i="178" s="1"/>
  <c r="Q54" i="70"/>
  <c r="R54" i="70" s="1"/>
  <c r="S54" i="70" s="1"/>
  <c r="T15" i="70"/>
  <c r="T26" i="70"/>
  <c r="Q33" i="70"/>
  <c r="R33" i="70" s="1"/>
  <c r="S33" i="70" s="1"/>
  <c r="Q73" i="70"/>
  <c r="R73" i="70" s="1"/>
  <c r="S73" i="70" s="1"/>
  <c r="Q41" i="70"/>
  <c r="R41" i="70" s="1"/>
  <c r="S41" i="70" s="1"/>
  <c r="Q59" i="70"/>
  <c r="R59" i="70" s="1"/>
  <c r="S59" i="70" s="1"/>
  <c r="Q97" i="70"/>
  <c r="R97" i="70" s="1"/>
  <c r="S97" i="70" s="1"/>
  <c r="Q89" i="70"/>
  <c r="R89" i="70" s="1"/>
  <c r="AC429" i="178"/>
  <c r="Q75" i="70"/>
  <c r="R75" i="70" s="1"/>
  <c r="S75" i="70" s="1"/>
  <c r="Q17" i="70"/>
  <c r="R17" i="70" s="1"/>
  <c r="S17" i="70" s="1"/>
  <c r="Q79" i="70"/>
  <c r="R79" i="70" s="1"/>
  <c r="S79" i="70" s="1"/>
  <c r="Q36" i="70"/>
  <c r="R36" i="70" s="1"/>
  <c r="S36" i="70" s="1"/>
  <c r="Q103" i="70"/>
  <c r="R103" i="70" s="1"/>
  <c r="Q23" i="70"/>
  <c r="R23" i="70" s="1"/>
  <c r="S23" i="70" s="1"/>
  <c r="Q81" i="70"/>
  <c r="R81" i="70" s="1"/>
  <c r="AC1191" i="178"/>
  <c r="Z1274" i="178"/>
  <c r="AC1274" i="178" s="1"/>
  <c r="Z42" i="178"/>
  <c r="AC42" i="178" s="1"/>
  <c r="Z88" i="178"/>
  <c r="AC88" i="178" s="1"/>
  <c r="Z86" i="178"/>
  <c r="AC86" i="178" s="1"/>
  <c r="Z109" i="178"/>
  <c r="AC109" i="178" s="1"/>
  <c r="Z447" i="178"/>
  <c r="AC447" i="178" s="1"/>
  <c r="Z733" i="178"/>
  <c r="AC733" i="178" s="1"/>
  <c r="Z1137" i="178"/>
  <c r="AC1137" i="178" s="1"/>
  <c r="AC957" i="178"/>
  <c r="Z718" i="178"/>
  <c r="AC718" i="178" s="1"/>
  <c r="Z704" i="178"/>
  <c r="AC704" i="178" s="1"/>
  <c r="Z237" i="178"/>
  <c r="AC237" i="178" s="1"/>
  <c r="Z244" i="178"/>
  <c r="AC244" i="178" s="1"/>
  <c r="Z1192" i="178"/>
  <c r="AC1192" i="178" s="1"/>
  <c r="Z911" i="178"/>
  <c r="AC911" i="178" s="1"/>
  <c r="Z430" i="178"/>
  <c r="AC430" i="178" s="1"/>
  <c r="AC1006" i="178"/>
  <c r="Z1072" i="178"/>
  <c r="AC1072" i="178" s="1"/>
  <c r="Z1066" i="178"/>
  <c r="AC1066" i="178" s="1"/>
  <c r="Z1070" i="178"/>
  <c r="AC1070" i="178" s="1"/>
  <c r="Z52" i="178"/>
  <c r="AC52" i="178" s="1"/>
  <c r="Z452" i="178"/>
  <c r="AC452" i="178" s="1"/>
  <c r="Z172" i="178"/>
  <c r="AC172" i="178" s="1"/>
  <c r="Z917" i="178"/>
  <c r="AC917" i="178" s="1"/>
  <c r="Z388" i="178"/>
  <c r="AC388" i="178" s="1"/>
  <c r="Z358" i="178"/>
  <c r="AC358" i="178" s="1"/>
  <c r="Z1209" i="178"/>
  <c r="AC1209" i="178" s="1"/>
  <c r="Z1206" i="178"/>
  <c r="AC1206" i="178" s="1"/>
  <c r="Z1246" i="178"/>
  <c r="AC1246" i="178" s="1"/>
  <c r="AC296" i="178"/>
  <c r="Z1160" i="178"/>
  <c r="AC1160" i="178" s="1"/>
  <c r="Z494" i="178"/>
  <c r="AC494" i="178" s="1"/>
  <c r="Z817" i="178"/>
  <c r="AC817" i="178" s="1"/>
  <c r="Z850" i="178"/>
  <c r="AC850" i="178" s="1"/>
  <c r="Z800" i="178"/>
  <c r="AC800" i="178" s="1"/>
  <c r="AC320" i="178"/>
  <c r="Z351" i="178"/>
  <c r="AC351" i="178" s="1"/>
  <c r="AC910" i="178"/>
  <c r="AC561" i="178"/>
  <c r="AC909" i="178"/>
  <c r="AC457" i="178"/>
  <c r="AC549" i="178"/>
  <c r="Z643" i="178"/>
  <c r="AC643" i="178" s="1"/>
  <c r="AC302" i="178"/>
  <c r="AC694" i="178"/>
  <c r="Z673" i="178"/>
  <c r="AC673" i="178" s="1"/>
  <c r="Z516" i="178"/>
  <c r="AC516" i="178" s="1"/>
  <c r="Z984" i="178"/>
  <c r="AC984" i="178" s="1"/>
  <c r="Z986" i="178"/>
  <c r="AC986" i="178" s="1"/>
  <c r="Z1116" i="178"/>
  <c r="AC1116" i="178" s="1"/>
  <c r="Z178" i="178"/>
  <c r="AC178" i="178" s="1"/>
  <c r="Z1123" i="178"/>
  <c r="AC1123" i="178" s="1"/>
  <c r="Z813" i="178"/>
  <c r="AC813" i="178" s="1"/>
  <c r="Z543" i="178"/>
  <c r="AC543" i="178" s="1"/>
  <c r="Z852" i="178"/>
  <c r="AC852" i="178" s="1"/>
  <c r="Z1196" i="178"/>
  <c r="AC1196" i="178" s="1"/>
  <c r="Z664" i="178"/>
  <c r="AC664" i="178" s="1"/>
  <c r="Z20" i="178"/>
  <c r="AC20" i="178" s="1"/>
  <c r="Z63" i="178"/>
  <c r="AC63" i="178" s="1"/>
  <c r="Z101" i="178"/>
  <c r="AC101" i="178" s="1"/>
  <c r="Z108" i="178"/>
  <c r="AC108" i="178" s="1"/>
  <c r="Z209" i="178"/>
  <c r="AC209" i="178" s="1"/>
  <c r="Z362" i="178"/>
  <c r="AC362" i="178" s="1"/>
  <c r="Z567" i="178"/>
  <c r="AC567" i="178" s="1"/>
  <c r="Z235" i="178"/>
  <c r="AC235" i="178" s="1"/>
  <c r="Z305" i="178"/>
  <c r="AC305" i="178" s="1"/>
  <c r="Z563" i="178"/>
  <c r="AC563" i="178" s="1"/>
  <c r="Z769" i="178"/>
  <c r="AC769" i="178" s="1"/>
  <c r="Z1032" i="178"/>
  <c r="AC1032" i="178" s="1"/>
  <c r="Z644" i="178"/>
  <c r="AC644" i="178" s="1"/>
  <c r="Z1093" i="178"/>
  <c r="AC1093" i="178" s="1"/>
  <c r="AC645" i="178"/>
  <c r="Z564" i="178"/>
  <c r="AC564" i="178" s="1"/>
  <c r="Z1074" i="178"/>
  <c r="AC1074" i="178" s="1"/>
  <c r="Z1068" i="178"/>
  <c r="AC1068" i="178" s="1"/>
  <c r="Z85" i="178"/>
  <c r="AC85" i="178" s="1"/>
  <c r="Z196" i="178"/>
  <c r="AC196" i="178" s="1"/>
  <c r="Z818" i="178"/>
  <c r="AC818" i="178" s="1"/>
  <c r="Z931" i="178"/>
  <c r="AC931" i="178" s="1"/>
  <c r="Z708" i="178"/>
  <c r="AC708" i="178" s="1"/>
  <c r="Z966" i="178"/>
  <c r="AC966" i="178" s="1"/>
  <c r="Z1213" i="178"/>
  <c r="AC1213" i="178" s="1"/>
  <c r="Z336" i="178"/>
  <c r="AC336" i="178" s="1"/>
  <c r="Z514" i="178"/>
  <c r="AC514" i="178" s="1"/>
  <c r="Z1163" i="178"/>
  <c r="AC1163" i="178" s="1"/>
  <c r="Z1194" i="178"/>
  <c r="AC1194" i="178" s="1"/>
  <c r="Z792" i="178"/>
  <c r="AC792" i="178" s="1"/>
  <c r="Z1136" i="178"/>
  <c r="AC1136" i="178" s="1"/>
  <c r="AC369" i="178"/>
  <c r="Z270" i="178"/>
  <c r="AC270" i="178" s="1"/>
  <c r="Z1082" i="178"/>
  <c r="AC1082" i="178" s="1"/>
  <c r="Z1262" i="178"/>
  <c r="AC1262" i="178" s="1"/>
  <c r="AC236" i="178"/>
  <c r="AC873" i="178"/>
  <c r="AC562" i="178"/>
  <c r="AC670" i="178"/>
  <c r="AC1255" i="178"/>
  <c r="AC728" i="178"/>
  <c r="AC1207" i="178"/>
  <c r="AC646" i="178"/>
  <c r="Z544" i="178"/>
  <c r="AC544" i="178" s="1"/>
  <c r="AC199" i="178"/>
  <c r="AC303" i="178"/>
  <c r="AC198" i="178"/>
  <c r="Z500" i="178"/>
  <c r="AC500" i="178" s="1"/>
  <c r="Z179" i="178"/>
  <c r="AC179" i="178" s="1"/>
  <c r="Z1040" i="178"/>
  <c r="AC1040" i="178" s="1"/>
  <c r="AC653" i="178"/>
  <c r="Z268" i="178"/>
  <c r="AC268" i="178" s="1"/>
  <c r="Z1033" i="178"/>
  <c r="AC1033" i="178" s="1"/>
  <c r="AC711" i="178"/>
  <c r="Z413" i="178"/>
  <c r="AC413" i="178" s="1"/>
  <c r="Z1038" i="178"/>
  <c r="AC1038" i="178" s="1"/>
  <c r="AC195" i="178"/>
  <c r="Z991" i="178"/>
  <c r="AC991" i="178" s="1"/>
  <c r="AC361" i="178"/>
  <c r="AC557" i="178"/>
  <c r="AC1212" i="178"/>
  <c r="AC306" i="178"/>
  <c r="AC528" i="178"/>
  <c r="AC436" i="178"/>
  <c r="AC929" i="178"/>
  <c r="AC1214" i="178"/>
  <c r="AC1210" i="178"/>
  <c r="Z1265" i="178"/>
  <c r="AC1265" i="178" s="1"/>
  <c r="AC548" i="178"/>
  <c r="AC1208" i="178"/>
  <c r="AC70" i="178"/>
  <c r="AC1004" i="178"/>
  <c r="AC1162" i="178"/>
  <c r="Z994" i="178"/>
  <c r="AC994" i="178" s="1"/>
  <c r="AC558" i="178"/>
  <c r="AC71" i="178"/>
  <c r="AC246" i="178"/>
  <c r="Z1036" i="178"/>
  <c r="AC1036" i="178" s="1"/>
  <c r="AC1256" i="178"/>
  <c r="Z1100" i="178"/>
  <c r="AC1100" i="178" s="1"/>
  <c r="AC1096" i="178"/>
  <c r="Z672" i="178"/>
  <c r="AC672" i="178" s="1"/>
  <c r="Z1118" i="178"/>
  <c r="AC1118" i="178" s="1"/>
  <c r="Z271" i="178"/>
  <c r="AC271" i="178" s="1"/>
  <c r="Z989" i="178"/>
  <c r="AC989" i="178" s="1"/>
  <c r="Z990" i="178"/>
  <c r="AC990" i="178" s="1"/>
  <c r="AC703" i="178"/>
  <c r="AC1119" i="178"/>
  <c r="Z810" i="178"/>
  <c r="AC810" i="178" s="1"/>
  <c r="Z954" i="178"/>
  <c r="AC954" i="178" s="1"/>
  <c r="AC542" i="178"/>
  <c r="Z269" i="178"/>
  <c r="AC269" i="178" s="1"/>
  <c r="AC649" i="178"/>
  <c r="Z987" i="178"/>
  <c r="AC987" i="178" s="1"/>
  <c r="Z993" i="178"/>
  <c r="AC993" i="178" s="1"/>
  <c r="Z1081" i="178"/>
  <c r="AC1081" i="178" s="1"/>
  <c r="AC669" i="178"/>
  <c r="Z1241" i="178"/>
  <c r="AC1241" i="178" s="1"/>
  <c r="Z580" i="178"/>
  <c r="AC580" i="178" s="1"/>
  <c r="AC435" i="178"/>
  <c r="AC851" i="178"/>
  <c r="Z955" i="178"/>
  <c r="AC955" i="178" s="1"/>
  <c r="AC705" i="178"/>
  <c r="Z992" i="178"/>
  <c r="AC992" i="178" s="1"/>
  <c r="AC1071" i="178"/>
  <c r="AC1012" i="178"/>
  <c r="AC553" i="178"/>
  <c r="Z1037" i="178"/>
  <c r="AC1037" i="178" s="1"/>
  <c r="AC421" i="178"/>
  <c r="Z46" i="178"/>
  <c r="AC46" i="178" s="1"/>
  <c r="AC19" i="178"/>
  <c r="S42" i="95"/>
  <c r="P42" i="95"/>
  <c r="Q105" i="70"/>
  <c r="R105" i="70" s="1"/>
  <c r="S105" i="70" s="1"/>
  <c r="Q39" i="70"/>
  <c r="R39" i="70" s="1"/>
  <c r="S39" i="70" s="1"/>
  <c r="Q40" i="70"/>
  <c r="R40" i="70" s="1"/>
  <c r="S40" i="70" s="1"/>
  <c r="Q3" i="70"/>
  <c r="R3" i="70" s="1"/>
  <c r="S3" i="70" s="1"/>
  <c r="Q31" i="70"/>
  <c r="R31" i="70" s="1"/>
  <c r="S31" i="70" s="1"/>
  <c r="O44" i="95"/>
  <c r="Q91" i="70"/>
  <c r="R91" i="70" s="1"/>
  <c r="S91" i="70" s="1"/>
  <c r="Q24" i="70"/>
  <c r="R24" i="70" s="1"/>
  <c r="S24" i="70" s="1"/>
  <c r="Q93" i="70"/>
  <c r="R93" i="70" s="1"/>
  <c r="Q25" i="70"/>
  <c r="R25" i="70" s="1"/>
  <c r="S25" i="70" s="1"/>
  <c r="Q49" i="70"/>
  <c r="R49" i="70" s="1"/>
  <c r="S49" i="70" s="1"/>
  <c r="Q58" i="70"/>
  <c r="R58" i="70" s="1"/>
  <c r="S58" i="70" s="1"/>
  <c r="Q2" i="70"/>
  <c r="R2" i="70" s="1"/>
  <c r="Q68" i="70"/>
  <c r="R68" i="70" s="1"/>
  <c r="Z347" i="178"/>
  <c r="AC347" i="178" s="1"/>
  <c r="Z1264" i="178"/>
  <c r="AC1264" i="178" s="1"/>
  <c r="Z956" i="178"/>
  <c r="AC956" i="178" s="1"/>
  <c r="AC61" i="178"/>
  <c r="AC1125" i="178"/>
  <c r="Z937" i="178"/>
  <c r="AC937" i="178" s="1"/>
  <c r="Z797" i="178"/>
  <c r="AC797" i="178" s="1"/>
  <c r="Z365" i="178"/>
  <c r="AC365" i="178" s="1"/>
  <c r="AC674" i="178"/>
  <c r="AC1131" i="178"/>
  <c r="Z357" i="178"/>
  <c r="AC357" i="178" s="1"/>
  <c r="Z934" i="178"/>
  <c r="AC934" i="178" s="1"/>
  <c r="Z702" i="178"/>
  <c r="AC702" i="178" s="1"/>
  <c r="Z1088" i="178"/>
  <c r="AC1088" i="178" s="1"/>
  <c r="Q96" i="70"/>
  <c r="R96" i="70" s="1"/>
  <c r="Q43" i="70"/>
  <c r="R43" i="70" s="1"/>
  <c r="S43" i="70" s="1"/>
  <c r="Q21" i="70"/>
  <c r="R21" i="70" s="1"/>
  <c r="S21" i="70" s="1"/>
  <c r="Q51" i="70"/>
  <c r="R51" i="70" s="1"/>
  <c r="S51" i="70" s="1"/>
  <c r="Q60" i="70"/>
  <c r="R60" i="70" s="1"/>
  <c r="S60" i="70" s="1"/>
  <c r="Q80" i="70"/>
  <c r="Q47" i="70"/>
  <c r="R47" i="70" s="1"/>
  <c r="S47" i="70" s="1"/>
  <c r="Q66" i="70"/>
  <c r="R66" i="70" s="1"/>
  <c r="S66" i="70" s="1"/>
  <c r="Z359" i="178"/>
  <c r="AC359" i="178" s="1"/>
  <c r="Z798" i="178"/>
  <c r="AC798" i="178" s="1"/>
  <c r="Z939" i="178"/>
  <c r="AC939" i="178" s="1"/>
  <c r="Z799" i="178"/>
  <c r="AC799" i="178" s="1"/>
  <c r="Z161" i="178"/>
  <c r="AC161" i="178" s="1"/>
  <c r="Z933" i="178"/>
  <c r="AC933" i="178" s="1"/>
  <c r="Z795" i="178"/>
  <c r="AC795" i="178" s="1"/>
  <c r="Z936" i="178"/>
  <c r="AC936" i="178" s="1"/>
  <c r="Z712" i="178"/>
  <c r="AC712" i="178" s="1"/>
  <c r="Z720" i="178"/>
  <c r="AC720" i="178" s="1"/>
  <c r="Z960" i="178"/>
  <c r="AC960" i="178" s="1"/>
  <c r="Z719" i="178"/>
  <c r="AC719" i="178" s="1"/>
  <c r="Z713" i="178"/>
  <c r="AC713" i="178" s="1"/>
  <c r="AC41" i="178"/>
  <c r="AC100" i="178"/>
  <c r="AC928" i="178"/>
  <c r="N44" i="95"/>
  <c r="G44" i="95"/>
  <c r="S10" i="70"/>
  <c r="S67" i="70"/>
  <c r="Q104" i="70"/>
  <c r="R104" i="70" s="1"/>
  <c r="S104" i="70" s="1"/>
  <c r="Z499" i="178"/>
  <c r="AC499" i="178" s="1"/>
  <c r="Z540" i="178"/>
  <c r="AC540" i="178" s="1"/>
  <c r="Z812" i="178"/>
  <c r="AC812" i="178" s="1"/>
  <c r="Z661" i="178"/>
  <c r="AC661" i="178" s="1"/>
  <c r="AC541" i="178"/>
  <c r="Z985" i="178"/>
  <c r="AC985" i="178" s="1"/>
  <c r="AC1061" i="178"/>
  <c r="M44" i="95"/>
  <c r="J44" i="95"/>
  <c r="F44" i="95"/>
  <c r="S24" i="95"/>
  <c r="S42" i="70"/>
  <c r="T104" i="70"/>
  <c r="S100" i="70"/>
  <c r="Q98" i="70"/>
  <c r="R98" i="70" s="1"/>
  <c r="S98" i="70" s="1"/>
  <c r="Q63" i="70"/>
  <c r="R63" i="70" s="1"/>
  <c r="Q76" i="70"/>
  <c r="R76" i="70" s="1"/>
  <c r="Q53" i="70"/>
  <c r="R53" i="70" s="1"/>
  <c r="S53" i="70" s="1"/>
  <c r="Q62" i="70"/>
  <c r="R62" i="70" s="1"/>
  <c r="S62" i="70" s="1"/>
  <c r="Q87" i="70"/>
  <c r="R87" i="70" s="1"/>
  <c r="S87" i="70" s="1"/>
  <c r="AC62" i="178"/>
  <c r="AC444" i="178"/>
  <c r="AC574" i="178"/>
  <c r="AC1122" i="178"/>
  <c r="AC1121" i="178"/>
  <c r="AC437" i="178"/>
  <c r="AC104" i="178"/>
  <c r="AC453" i="178"/>
  <c r="AC930" i="178"/>
  <c r="AC106" i="178"/>
  <c r="Z666" i="178"/>
  <c r="AC666" i="178" s="1"/>
  <c r="AC304" i="178"/>
  <c r="AC513" i="178"/>
  <c r="AC527" i="178"/>
  <c r="AC105" i="178"/>
  <c r="AC211" i="178"/>
  <c r="Z279" i="178"/>
  <c r="AC279" i="178" s="1"/>
  <c r="AC53" i="178"/>
  <c r="AC360" i="178"/>
  <c r="AC325" i="178"/>
  <c r="S12" i="70"/>
  <c r="Z479" i="178"/>
  <c r="AC479" i="178" s="1"/>
  <c r="AC1247" i="178"/>
  <c r="AC556" i="178"/>
  <c r="Z539" i="178"/>
  <c r="AC539" i="178" s="1"/>
  <c r="Z1115" i="178"/>
  <c r="AC1115" i="178" s="1"/>
  <c r="Z545" i="178"/>
  <c r="AC545" i="178" s="1"/>
  <c r="AC1275" i="178"/>
  <c r="Z1124" i="178"/>
  <c r="AC1124" i="178" s="1"/>
  <c r="Z690" i="178"/>
  <c r="AC690" i="178" s="1"/>
  <c r="Z651" i="178"/>
  <c r="AC651" i="178" s="1"/>
  <c r="Z582" i="178"/>
  <c r="AC582" i="178" s="1"/>
  <c r="Z811" i="178"/>
  <c r="AC811" i="178" s="1"/>
  <c r="Z988" i="178"/>
  <c r="AC988" i="178" s="1"/>
  <c r="AC740" i="178"/>
  <c r="Q42" i="95"/>
  <c r="P9" i="95"/>
  <c r="R9" i="95"/>
  <c r="Q9" i="95"/>
  <c r="H44" i="95"/>
  <c r="P30" i="95"/>
  <c r="S30" i="95"/>
  <c r="L44" i="95"/>
  <c r="K44" i="95"/>
  <c r="Q22" i="70"/>
  <c r="R22" i="70" s="1"/>
  <c r="S22" i="70" s="1"/>
  <c r="Q38" i="70"/>
  <c r="R38" i="70" s="1"/>
  <c r="S38" i="70" s="1"/>
  <c r="Q82" i="70"/>
  <c r="R82" i="70" s="1"/>
  <c r="S82" i="70" s="1"/>
  <c r="T3" i="70"/>
  <c r="T38" i="70"/>
  <c r="S95" i="70"/>
  <c r="Q78" i="70"/>
  <c r="R78" i="70" s="1"/>
  <c r="S78" i="70" s="1"/>
  <c r="Q37" i="70"/>
  <c r="Q55" i="70"/>
  <c r="R55" i="70" s="1"/>
  <c r="S55" i="70" s="1"/>
  <c r="T72" i="70"/>
  <c r="Q72" i="70"/>
  <c r="R72" i="70" s="1"/>
  <c r="S72" i="70" s="1"/>
  <c r="E16" i="3"/>
  <c r="R42" i="95"/>
  <c r="D16" i="3"/>
  <c r="E44" i="95"/>
  <c r="Q24" i="95"/>
  <c r="P24" i="95"/>
  <c r="S9" i="95"/>
  <c r="R24" i="95"/>
  <c r="D44" i="95"/>
  <c r="S89" i="70"/>
  <c r="S52" i="70"/>
  <c r="S86" i="70"/>
  <c r="S13" i="70"/>
  <c r="S94" i="70"/>
  <c r="S20" i="70"/>
  <c r="I44" i="95"/>
  <c r="R26" i="70"/>
  <c r="S26" i="70" s="1"/>
  <c r="AC1245" i="178"/>
  <c r="AC875" i="178"/>
  <c r="AC502" i="178"/>
  <c r="AC155" i="178"/>
  <c r="AC823" i="178"/>
  <c r="AC156" i="178"/>
  <c r="AC294" i="178"/>
  <c r="AC30" i="178"/>
  <c r="AC60" i="178"/>
  <c r="AC91" i="178"/>
  <c r="AC103" i="178"/>
  <c r="AC107" i="178"/>
  <c r="AC102" i="178"/>
  <c r="AC319" i="178"/>
  <c r="AC526" i="178"/>
  <c r="AC1276" i="178"/>
  <c r="Z149" i="178"/>
  <c r="AC149" i="178" s="1"/>
  <c r="Z969" i="178"/>
  <c r="AC969" i="178" s="1"/>
  <c r="Z1027" i="178"/>
  <c r="AC1027" i="178" s="1"/>
  <c r="Z1052" i="178"/>
  <c r="AC1052" i="178" s="1"/>
  <c r="Z1055" i="178"/>
  <c r="AC1055" i="178" s="1"/>
  <c r="Z10" i="178"/>
  <c r="AC10" i="178" s="1"/>
  <c r="Z5" i="178"/>
  <c r="AC5" i="178" s="1"/>
  <c r="Z26" i="178"/>
  <c r="AC26" i="178" s="1"/>
  <c r="Z31" i="178"/>
  <c r="AC31" i="178" s="1"/>
  <c r="Z38" i="178"/>
  <c r="AC38" i="178" s="1"/>
  <c r="Z98" i="178"/>
  <c r="AC98" i="178" s="1"/>
  <c r="Z97" i="178"/>
  <c r="AC97" i="178" s="1"/>
  <c r="Z117" i="178"/>
  <c r="AC117" i="178" s="1"/>
  <c r="Z114" i="178"/>
  <c r="AC114" i="178" s="1"/>
  <c r="Z143" i="178"/>
  <c r="AC143" i="178" s="1"/>
  <c r="Z455" i="178"/>
  <c r="AC455" i="178" s="1"/>
  <c r="Z684" i="178"/>
  <c r="AC684" i="178" s="1"/>
  <c r="Z681" i="178"/>
  <c r="AC681" i="178" s="1"/>
  <c r="Z687" i="178"/>
  <c r="AC687" i="178" s="1"/>
  <c r="Z686" i="178"/>
  <c r="AC686" i="178" s="1"/>
  <c r="Z725" i="178"/>
  <c r="AC725" i="178" s="1"/>
  <c r="Z735" i="178"/>
  <c r="AC735" i="178" s="1"/>
  <c r="Z277" i="178"/>
  <c r="AC277" i="178" s="1"/>
  <c r="Z275" i="178"/>
  <c r="AC275" i="178" s="1"/>
  <c r="Z166" i="178"/>
  <c r="AC166" i="178" s="1"/>
  <c r="Z568" i="178"/>
  <c r="AC568" i="178" s="1"/>
  <c r="Z1219" i="178"/>
  <c r="AC1219" i="178" s="1"/>
  <c r="Z1218" i="178"/>
  <c r="AC1218" i="178" s="1"/>
  <c r="Z258" i="178"/>
  <c r="AC258" i="178" s="1"/>
  <c r="Z285" i="178"/>
  <c r="AC285" i="178" s="1"/>
  <c r="Z288" i="178"/>
  <c r="AC288" i="178" s="1"/>
  <c r="Z278" i="178"/>
  <c r="AC278" i="178" s="1"/>
  <c r="Z238" i="178"/>
  <c r="AC238" i="178" s="1"/>
  <c r="Z254" i="178"/>
  <c r="AC254" i="178" s="1"/>
  <c r="Z300" i="178"/>
  <c r="AC300" i="178" s="1"/>
  <c r="Z317" i="178"/>
  <c r="AC317" i="178" s="1"/>
  <c r="Z323" i="178"/>
  <c r="AC323" i="178" s="1"/>
  <c r="Z466" i="178"/>
  <c r="AC466" i="178" s="1"/>
  <c r="Z1001" i="178"/>
  <c r="AC1001" i="178" s="1"/>
  <c r="Z1047" i="178"/>
  <c r="AC1047" i="178" s="1"/>
  <c r="Z1145" i="178"/>
  <c r="AC1145" i="178" s="1"/>
  <c r="Z1174" i="178"/>
  <c r="AC1174" i="178" s="1"/>
  <c r="Z1175" i="178"/>
  <c r="AC1175" i="178" s="1"/>
  <c r="Z868" i="178"/>
  <c r="AC868" i="178" s="1"/>
  <c r="Z867" i="178"/>
  <c r="AC867" i="178" s="1"/>
  <c r="Z885" i="178"/>
  <c r="AC885" i="178" s="1"/>
  <c r="Z906" i="178"/>
  <c r="AC906" i="178" s="1"/>
  <c r="Z815" i="178"/>
  <c r="AC815" i="178" s="1"/>
  <c r="Z805" i="178"/>
  <c r="AC805" i="178" s="1"/>
  <c r="AC1013" i="178"/>
  <c r="AC22" i="178"/>
  <c r="AC245" i="178"/>
  <c r="AC459" i="178"/>
  <c r="Z150" i="178"/>
  <c r="AC150" i="178" s="1"/>
  <c r="Z147" i="178"/>
  <c r="AC147" i="178" s="1"/>
  <c r="Z970" i="178"/>
  <c r="AC970" i="178" s="1"/>
  <c r="Z1023" i="178"/>
  <c r="AC1023" i="178" s="1"/>
  <c r="Z1022" i="178"/>
  <c r="AC1022" i="178" s="1"/>
  <c r="Z1053" i="178"/>
  <c r="AC1053" i="178" s="1"/>
  <c r="Z8" i="178"/>
  <c r="AC8" i="178" s="1"/>
  <c r="Z11" i="178"/>
  <c r="AC11" i="178" s="1"/>
  <c r="Z24" i="178"/>
  <c r="AC24" i="178" s="1"/>
  <c r="Z23" i="178"/>
  <c r="AC23" i="178" s="1"/>
  <c r="Z39" i="178"/>
  <c r="AC39" i="178" s="1"/>
  <c r="Z50" i="178"/>
  <c r="AC50" i="178" s="1"/>
  <c r="Z93" i="178"/>
  <c r="AC93" i="178" s="1"/>
  <c r="Z112" i="178"/>
  <c r="AC112" i="178" s="1"/>
  <c r="Z116" i="178"/>
  <c r="AC116" i="178" s="1"/>
  <c r="Z442" i="178"/>
  <c r="AC442" i="178" s="1"/>
  <c r="Z456" i="178"/>
  <c r="AC456" i="178" s="1"/>
  <c r="Z680" i="178"/>
  <c r="AC680" i="178" s="1"/>
  <c r="Z683" i="178"/>
  <c r="AC683" i="178" s="1"/>
  <c r="Z723" i="178"/>
  <c r="AC723" i="178" s="1"/>
  <c r="Z736" i="178"/>
  <c r="AC736" i="178" s="1"/>
  <c r="Z273" i="178"/>
  <c r="AC273" i="178" s="1"/>
  <c r="Z276" i="178"/>
  <c r="AC276" i="178" s="1"/>
  <c r="Z162" i="178"/>
  <c r="AC162" i="178" s="1"/>
  <c r="Z534" i="178"/>
  <c r="AC534" i="178" s="1"/>
  <c r="Z566" i="178"/>
  <c r="AC566" i="178" s="1"/>
  <c r="Z1217" i="178"/>
  <c r="AC1217" i="178" s="1"/>
  <c r="Z1222" i="178"/>
  <c r="AC1222" i="178" s="1"/>
  <c r="Z259" i="178"/>
  <c r="AC259" i="178" s="1"/>
  <c r="Z286" i="178"/>
  <c r="AC286" i="178" s="1"/>
  <c r="Z281" i="178"/>
  <c r="AC281" i="178" s="1"/>
  <c r="Z214" i="178"/>
  <c r="AC214" i="178" s="1"/>
  <c r="Z239" i="178"/>
  <c r="AC239" i="178" s="1"/>
  <c r="Z297" i="178"/>
  <c r="AC297" i="178" s="1"/>
  <c r="Z301" i="178"/>
  <c r="AC301" i="178" s="1"/>
  <c r="Z321" i="178"/>
  <c r="AC321" i="178" s="1"/>
  <c r="Z327" i="178"/>
  <c r="AC327" i="178" s="1"/>
  <c r="Z467" i="178"/>
  <c r="AC467" i="178" s="1"/>
  <c r="Z1003" i="178"/>
  <c r="AC1003" i="178" s="1"/>
  <c r="Z1050" i="178"/>
  <c r="AC1050" i="178" s="1"/>
  <c r="Z1141" i="178"/>
  <c r="AC1141" i="178" s="1"/>
  <c r="Z1144" i="178"/>
  <c r="AC1144" i="178" s="1"/>
  <c r="Z1172" i="178"/>
  <c r="AC1172" i="178" s="1"/>
  <c r="Z1173" i="178"/>
  <c r="AC1173" i="178" s="1"/>
  <c r="Z870" i="178"/>
  <c r="AC870" i="178" s="1"/>
  <c r="Z884" i="178"/>
  <c r="AC884" i="178" s="1"/>
  <c r="Z879" i="178"/>
  <c r="AC879" i="178" s="1"/>
  <c r="Z889" i="178"/>
  <c r="AC889" i="178" s="1"/>
  <c r="Z903" i="178"/>
  <c r="AC903" i="178" s="1"/>
  <c r="Z902" i="178"/>
  <c r="AC902" i="178" s="1"/>
  <c r="Z814" i="178"/>
  <c r="AC814" i="178" s="1"/>
  <c r="Z926" i="178"/>
  <c r="AC926" i="178" s="1"/>
  <c r="Z1135" i="178"/>
  <c r="AC1135" i="178" s="1"/>
  <c r="Z1120" i="178"/>
  <c r="AC1120" i="178" s="1"/>
  <c r="Z807" i="178"/>
  <c r="AC807" i="178" s="1"/>
  <c r="Z806" i="178"/>
  <c r="AC806" i="178" s="1"/>
  <c r="Z706" i="178"/>
  <c r="AC706" i="178" s="1"/>
  <c r="AC1077" i="178"/>
  <c r="Z1021" i="178"/>
  <c r="AC1021" i="178" s="1"/>
  <c r="Z1020" i="178"/>
  <c r="AC1020" i="178" s="1"/>
  <c r="Z9" i="178"/>
  <c r="AC9" i="178" s="1"/>
  <c r="Z4" i="178"/>
  <c r="AC4" i="178" s="1"/>
  <c r="Z25" i="178"/>
  <c r="AC25" i="178" s="1"/>
  <c r="Z33" i="178"/>
  <c r="AC33" i="178" s="1"/>
  <c r="Z51" i="178"/>
  <c r="AC51" i="178" s="1"/>
  <c r="Z94" i="178"/>
  <c r="AC94" i="178" s="1"/>
  <c r="Z113" i="178"/>
  <c r="AC113" i="178" s="1"/>
  <c r="Z443" i="178"/>
  <c r="AC443" i="178" s="1"/>
  <c r="Z448" i="178"/>
  <c r="AC448" i="178" s="1"/>
  <c r="Z688" i="178"/>
  <c r="AC688" i="178" s="1"/>
  <c r="Z274" i="178"/>
  <c r="AC274" i="178" s="1"/>
  <c r="Z164" i="178"/>
  <c r="AC164" i="178" s="1"/>
  <c r="Z167" i="178"/>
  <c r="AC167" i="178" s="1"/>
  <c r="Z964" i="178"/>
  <c r="AC964" i="178" s="1"/>
  <c r="Z1215" i="178"/>
  <c r="AC1215" i="178" s="1"/>
  <c r="Z1220" i="178"/>
  <c r="AC1220" i="178" s="1"/>
  <c r="Z287" i="178"/>
  <c r="AC287" i="178" s="1"/>
  <c r="Z215" i="178"/>
  <c r="AC215" i="178" s="1"/>
  <c r="Z240" i="178"/>
  <c r="AC240" i="178" s="1"/>
  <c r="Z252" i="178"/>
  <c r="AC252" i="178" s="1"/>
  <c r="Z299" i="178"/>
  <c r="AC299" i="178" s="1"/>
  <c r="Z318" i="178"/>
  <c r="AC318" i="178" s="1"/>
  <c r="Z322" i="178"/>
  <c r="AC322" i="178" s="1"/>
  <c r="Z328" i="178"/>
  <c r="AC328" i="178" s="1"/>
  <c r="Z1002" i="178"/>
  <c r="AC1002" i="178" s="1"/>
  <c r="Z1048" i="178"/>
  <c r="AC1048" i="178" s="1"/>
  <c r="Z1138" i="178"/>
  <c r="AC1138" i="178" s="1"/>
  <c r="Z1143" i="178"/>
  <c r="AC1143" i="178" s="1"/>
  <c r="Z1177" i="178"/>
  <c r="AC1177" i="178" s="1"/>
  <c r="Z1178" i="178"/>
  <c r="AC1178" i="178" s="1"/>
  <c r="Z878" i="178"/>
  <c r="AC878" i="178" s="1"/>
  <c r="Z881" i="178"/>
  <c r="AC881" i="178" s="1"/>
  <c r="Z886" i="178"/>
  <c r="AC886" i="178" s="1"/>
  <c r="Z905" i="178"/>
  <c r="AC905" i="178" s="1"/>
  <c r="Z765" i="178"/>
  <c r="AC765" i="178" s="1"/>
  <c r="Z802" i="178"/>
  <c r="AC802" i="178" s="1"/>
  <c r="Z927" i="178"/>
  <c r="AC927" i="178" s="1"/>
  <c r="Z1134" i="178"/>
  <c r="AC1134" i="178" s="1"/>
  <c r="Z864" i="178"/>
  <c r="AC864" i="178" s="1"/>
  <c r="AC89" i="178"/>
  <c r="Z971" i="178"/>
  <c r="AC971" i="178" s="1"/>
  <c r="Z1056" i="178"/>
  <c r="AC1056" i="178" s="1"/>
  <c r="Z1054" i="178"/>
  <c r="AC1054" i="178" s="1"/>
  <c r="Z6" i="178"/>
  <c r="AC6" i="178" s="1"/>
  <c r="Z7" i="178"/>
  <c r="AC7" i="178" s="1"/>
  <c r="Z28" i="178"/>
  <c r="AC28" i="178" s="1"/>
  <c r="Z27" i="178"/>
  <c r="AC27" i="178" s="1"/>
  <c r="Z40" i="178"/>
  <c r="AC40" i="178" s="1"/>
  <c r="Z96" i="178"/>
  <c r="AC96" i="178" s="1"/>
  <c r="Z95" i="178"/>
  <c r="AC95" i="178" s="1"/>
  <c r="Z115" i="178"/>
  <c r="AC115" i="178" s="1"/>
  <c r="Z111" i="178"/>
  <c r="AC111" i="178" s="1"/>
  <c r="Z142" i="178"/>
  <c r="AC142" i="178" s="1"/>
  <c r="Z449" i="178"/>
  <c r="AC449" i="178" s="1"/>
  <c r="Z538" i="178"/>
  <c r="AC538" i="178" s="1"/>
  <c r="Z682" i="178"/>
  <c r="AC682" i="178" s="1"/>
  <c r="Z722" i="178"/>
  <c r="AC722" i="178" s="1"/>
  <c r="Z737" i="178"/>
  <c r="AC737" i="178" s="1"/>
  <c r="Z272" i="178"/>
  <c r="AC272" i="178" s="1"/>
  <c r="Z165" i="178"/>
  <c r="AC165" i="178" s="1"/>
  <c r="Z163" i="178"/>
  <c r="AC163" i="178" s="1"/>
  <c r="Z533" i="178"/>
  <c r="AC533" i="178" s="1"/>
  <c r="Z569" i="178"/>
  <c r="AC569" i="178" s="1"/>
  <c r="Z965" i="178"/>
  <c r="AC965" i="178" s="1"/>
  <c r="Z1221" i="178"/>
  <c r="AC1221" i="178" s="1"/>
  <c r="Z1216" i="178"/>
  <c r="AC1216" i="178" s="1"/>
  <c r="Z283" i="178"/>
  <c r="AC283" i="178" s="1"/>
  <c r="Z284" i="178"/>
  <c r="AC284" i="178" s="1"/>
  <c r="Z253" i="178"/>
  <c r="AC253" i="178" s="1"/>
  <c r="Z298" i="178"/>
  <c r="AC298" i="178" s="1"/>
  <c r="Z316" i="178"/>
  <c r="AC316" i="178" s="1"/>
  <c r="Z329" i="178"/>
  <c r="AC329" i="178" s="1"/>
  <c r="Z465" i="178"/>
  <c r="AC465" i="178" s="1"/>
  <c r="Z1000" i="178"/>
  <c r="AC1000" i="178" s="1"/>
  <c r="Z1049" i="178"/>
  <c r="AC1049" i="178" s="1"/>
  <c r="Z1140" i="178"/>
  <c r="AC1140" i="178" s="1"/>
  <c r="Z1142" i="178"/>
  <c r="AC1142" i="178" s="1"/>
  <c r="Z1139" i="178"/>
  <c r="AC1139" i="178" s="1"/>
  <c r="Z1171" i="178"/>
  <c r="AC1171" i="178" s="1"/>
  <c r="Z1176" i="178"/>
  <c r="AC1176" i="178" s="1"/>
  <c r="Z882" i="178"/>
  <c r="AC882" i="178" s="1"/>
  <c r="Z877" i="178"/>
  <c r="AC877" i="178" s="1"/>
  <c r="Z891" i="178"/>
  <c r="AC891" i="178" s="1"/>
  <c r="Z888" i="178"/>
  <c r="AC888" i="178" s="1"/>
  <c r="Z766" i="178"/>
  <c r="AC766" i="178" s="1"/>
  <c r="Z925" i="178"/>
  <c r="AC925" i="178" s="1"/>
  <c r="Z1133" i="178"/>
  <c r="AC1133" i="178" s="1"/>
  <c r="Z804" i="178"/>
  <c r="AC804" i="178" s="1"/>
  <c r="Z654" i="178"/>
  <c r="AC654" i="178" s="1"/>
  <c r="AZ1284" i="178"/>
  <c r="H17" i="3" s="1"/>
  <c r="AZ1283" i="178"/>
  <c r="BI1280" i="178"/>
  <c r="AU1280" i="178"/>
  <c r="BL1280" i="178"/>
  <c r="AW1280" i="178"/>
  <c r="AY1280" i="178"/>
  <c r="AS1280" i="178"/>
  <c r="AS1282" i="178" s="1"/>
  <c r="I12" i="3" s="1"/>
  <c r="BE1280" i="178"/>
  <c r="BC1280" i="178"/>
  <c r="BA1280" i="178"/>
  <c r="BA1282" i="178" s="1"/>
  <c r="H12" i="3" s="1"/>
  <c r="BN1280" i="178"/>
  <c r="BG1280" i="178"/>
  <c r="AR1284" i="178"/>
  <c r="AR1283" i="178"/>
  <c r="S57" i="70" l="1"/>
  <c r="S81" i="70"/>
  <c r="S103" i="70"/>
  <c r="S2" i="70"/>
  <c r="S93" i="70"/>
  <c r="S68" i="70"/>
  <c r="S96" i="70"/>
  <c r="R80" i="70"/>
  <c r="S80" i="70" s="1"/>
  <c r="S63" i="70"/>
  <c r="P44" i="95"/>
  <c r="Q44" i="95"/>
  <c r="R44" i="95"/>
  <c r="S44" i="95"/>
  <c r="S76" i="70"/>
  <c r="U7" i="95"/>
  <c r="I17" i="3"/>
  <c r="C19" i="3"/>
  <c r="D31" i="3" s="1"/>
  <c r="R37" i="70"/>
  <c r="S37" i="70" s="1"/>
  <c r="AZ1285" i="178"/>
  <c r="AR1285" i="178"/>
  <c r="AS1283" i="178"/>
  <c r="BA1283" i="178"/>
  <c r="H16" i="3" s="1"/>
  <c r="V7" i="95" l="1"/>
  <c r="I16" i="3"/>
  <c r="C14" i="3" s="1"/>
  <c r="C16" i="3" s="1"/>
  <c r="C31" i="3" s="1"/>
  <c r="D49" i="95"/>
  <c r="BA1285" i="178"/>
  <c r="AS1285" i="178"/>
  <c r="C21" i="3" l="1"/>
  <c r="E31" i="3"/>
  <c r="E49" i="95"/>
  <c r="P47" i="95"/>
  <c r="P48" i="95" s="1"/>
  <c r="D51" i="95"/>
  <c r="Q47" i="95" l="1"/>
  <c r="Q48" i="95" s="1"/>
  <c r="E51" i="95"/>
</calcChain>
</file>

<file path=xl/comments1.xml><?xml version="1.0" encoding="utf-8"?>
<comments xmlns="http://schemas.openxmlformats.org/spreadsheetml/2006/main">
  <authors>
    <author>Ulla Sehlberg</author>
  </authors>
  <commentList>
    <comment ref="C6" authorId="0" shapeId="0">
      <text>
        <r>
          <rPr>
            <b/>
            <sz val="10"/>
            <color indexed="81"/>
            <rFont val="Tahoma"/>
            <family val="2"/>
          </rPr>
          <t>Välj från lista</t>
        </r>
      </text>
    </comment>
  </commentList>
</comments>
</file>

<file path=xl/comments10.xml><?xml version="1.0" encoding="utf-8"?>
<comments xmlns="http://schemas.openxmlformats.org/spreadsheetml/2006/main">
  <authors>
    <author>Agnetha Simm</author>
  </authors>
  <commentList>
    <comment ref="A37" authorId="0" shapeId="0">
      <text>
        <r>
          <rPr>
            <b/>
            <sz val="9"/>
            <color indexed="81"/>
            <rFont val="Tahoma"/>
            <family val="2"/>
          </rPr>
          <t>Agnetha Simm:</t>
        </r>
        <r>
          <rPr>
            <sz val="9"/>
            <color indexed="81"/>
            <rFont val="Tahoma"/>
            <family val="2"/>
          </rPr>
          <t xml:space="preserve">
Ers 5BI151</t>
        </r>
      </text>
    </comment>
    <comment ref="A89" authorId="0" shapeId="0">
      <text>
        <r>
          <rPr>
            <b/>
            <sz val="9"/>
            <color indexed="81"/>
            <rFont val="Tahoma"/>
            <family val="2"/>
          </rPr>
          <t>Agnetha Simm:</t>
        </r>
        <r>
          <rPr>
            <sz val="9"/>
            <color indexed="81"/>
            <rFont val="Tahoma"/>
            <family val="2"/>
          </rPr>
          <t xml:space="preserve">
Ersätter 5BI184</t>
        </r>
      </text>
    </comment>
    <comment ref="A91" authorId="0" shapeId="0">
      <text>
        <r>
          <rPr>
            <b/>
            <sz val="9"/>
            <color indexed="81"/>
            <rFont val="Tahoma"/>
            <family val="2"/>
          </rPr>
          <t>Agnetha Simm:</t>
        </r>
        <r>
          <rPr>
            <sz val="9"/>
            <color indexed="81"/>
            <rFont val="Tahoma"/>
            <family val="2"/>
          </rPr>
          <t xml:space="preserve">
Ersätter 6DI009</t>
        </r>
      </text>
    </comment>
    <comment ref="A92" authorId="0" shapeId="0">
      <text>
        <r>
          <rPr>
            <b/>
            <sz val="9"/>
            <color indexed="81"/>
            <rFont val="Tahoma"/>
            <family val="2"/>
          </rPr>
          <t>Agnetha Simm:
Ersätter 6DI007</t>
        </r>
      </text>
    </comment>
    <comment ref="A93" authorId="0" shapeId="0">
      <text>
        <r>
          <rPr>
            <b/>
            <sz val="9"/>
            <color indexed="81"/>
            <rFont val="Tahoma"/>
            <family val="2"/>
          </rPr>
          <t>Agnetha Simm:</t>
        </r>
        <r>
          <rPr>
            <sz val="9"/>
            <color indexed="81"/>
            <rFont val="Tahoma"/>
            <family val="2"/>
          </rPr>
          <t xml:space="preserve">
Ersätter 6DI008</t>
        </r>
      </text>
    </comment>
    <comment ref="A114" authorId="0" shapeId="0">
      <text>
        <r>
          <rPr>
            <b/>
            <sz val="9"/>
            <color indexed="81"/>
            <rFont val="Tahoma"/>
            <family val="2"/>
          </rPr>
          <t>Agnetha Simm:</t>
        </r>
        <r>
          <rPr>
            <sz val="9"/>
            <color indexed="81"/>
            <rFont val="Tahoma"/>
            <family val="2"/>
          </rPr>
          <t xml:space="preserve">
Ersätter 6EN028</t>
        </r>
      </text>
    </comment>
    <comment ref="A115" authorId="0" shapeId="0">
      <text>
        <r>
          <rPr>
            <b/>
            <sz val="9"/>
            <color indexed="81"/>
            <rFont val="Tahoma"/>
            <family val="2"/>
          </rPr>
          <t>Agnetha Simm:</t>
        </r>
        <r>
          <rPr>
            <sz val="9"/>
            <color indexed="81"/>
            <rFont val="Tahoma"/>
            <family val="2"/>
          </rPr>
          <t xml:space="preserve">
Fd 6EN021</t>
        </r>
      </text>
    </comment>
    <comment ref="A116" authorId="0" shapeId="0">
      <text>
        <r>
          <rPr>
            <b/>
            <sz val="9"/>
            <color indexed="81"/>
            <rFont val="Tahoma"/>
            <family val="2"/>
          </rPr>
          <t>Agnetha Simm:</t>
        </r>
        <r>
          <rPr>
            <sz val="9"/>
            <color indexed="81"/>
            <rFont val="Tahoma"/>
            <family val="2"/>
          </rPr>
          <t xml:space="preserve">
Fd 6EN023</t>
        </r>
      </text>
    </comment>
    <comment ref="A117" authorId="0" shapeId="0">
      <text>
        <r>
          <rPr>
            <b/>
            <sz val="9"/>
            <color indexed="81"/>
            <rFont val="Tahoma"/>
            <family val="2"/>
          </rPr>
          <t>Agnetha Simm:</t>
        </r>
        <r>
          <rPr>
            <sz val="9"/>
            <color indexed="81"/>
            <rFont val="Tahoma"/>
            <family val="2"/>
          </rPr>
          <t xml:space="preserve">
Ersätter 6EN022</t>
        </r>
      </text>
    </comment>
    <comment ref="A118" authorId="0" shapeId="0">
      <text>
        <r>
          <rPr>
            <b/>
            <sz val="9"/>
            <color indexed="81"/>
            <rFont val="Tahoma"/>
            <family val="2"/>
          </rPr>
          <t>Agnetha Simm:</t>
        </r>
        <r>
          <rPr>
            <sz val="9"/>
            <color indexed="81"/>
            <rFont val="Tahoma"/>
            <family val="2"/>
          </rPr>
          <t xml:space="preserve">
Ersätter 6EN024</t>
        </r>
      </text>
    </comment>
    <comment ref="A119" authorId="0" shapeId="0">
      <text>
        <r>
          <rPr>
            <b/>
            <sz val="9"/>
            <color indexed="81"/>
            <rFont val="Tahoma"/>
            <family val="2"/>
          </rPr>
          <t>Agnetha Simm:</t>
        </r>
        <r>
          <rPr>
            <sz val="9"/>
            <color indexed="81"/>
            <rFont val="Tahoma"/>
            <family val="2"/>
          </rPr>
          <t xml:space="preserve">
Ersätter 6EN025</t>
        </r>
      </text>
    </comment>
    <comment ref="A120" authorId="0" shapeId="0">
      <text>
        <r>
          <rPr>
            <b/>
            <sz val="9"/>
            <color indexed="81"/>
            <rFont val="Tahoma"/>
            <family val="2"/>
          </rPr>
          <t>Agnetha Simm:</t>
        </r>
        <r>
          <rPr>
            <sz val="9"/>
            <color indexed="81"/>
            <rFont val="Tahoma"/>
            <family val="2"/>
          </rPr>
          <t xml:space="preserve">
Ersätter fiktiv 6SOMSpråk2</t>
        </r>
      </text>
    </comment>
    <comment ref="A158" authorId="0" shapeId="0">
      <text>
        <r>
          <rPr>
            <b/>
            <sz val="9"/>
            <color indexed="81"/>
            <rFont val="Tahoma"/>
            <family val="2"/>
          </rPr>
          <t>Agnetha Simm:</t>
        </r>
        <r>
          <rPr>
            <sz val="9"/>
            <color indexed="81"/>
            <rFont val="Tahoma"/>
            <family val="2"/>
          </rPr>
          <t xml:space="preserve">
Fd fiktiv 6xxx20</t>
        </r>
      </text>
    </comment>
    <comment ref="A160" authorId="0" shapeId="0">
      <text>
        <r>
          <rPr>
            <b/>
            <sz val="9"/>
            <color indexed="81"/>
            <rFont val="Tahoma"/>
            <family val="2"/>
          </rPr>
          <t>Agnetha Simm:</t>
        </r>
        <r>
          <rPr>
            <sz val="9"/>
            <color indexed="81"/>
            <rFont val="Tahoma"/>
            <family val="2"/>
          </rPr>
          <t xml:space="preserve">
Fd fiktiv 6FRIEST7</t>
        </r>
      </text>
    </comment>
    <comment ref="A161" authorId="0" shapeId="0">
      <text>
        <r>
          <rPr>
            <b/>
            <sz val="9"/>
            <color indexed="81"/>
            <rFont val="Tahoma"/>
            <family val="2"/>
          </rPr>
          <t>Agnetha Simm:</t>
        </r>
        <r>
          <rPr>
            <sz val="9"/>
            <color indexed="81"/>
            <rFont val="Tahoma"/>
            <family val="2"/>
          </rPr>
          <t xml:space="preserve">
Fd fiktiv 6xxx22</t>
        </r>
      </text>
    </comment>
    <comment ref="A165" authorId="0" shapeId="0">
      <text>
        <r>
          <rPr>
            <b/>
            <sz val="9"/>
            <color indexed="81"/>
            <rFont val="Tahoma"/>
            <family val="2"/>
          </rPr>
          <t>Agnetha Simm:</t>
        </r>
        <r>
          <rPr>
            <sz val="9"/>
            <color indexed="81"/>
            <rFont val="Tahoma"/>
            <family val="2"/>
          </rPr>
          <t xml:space="preserve">
fd fiktiv 6FRIEST6</t>
        </r>
      </text>
    </comment>
    <comment ref="A166" authorId="0" shapeId="0">
      <text>
        <r>
          <rPr>
            <b/>
            <sz val="9"/>
            <color indexed="81"/>
            <rFont val="Tahoma"/>
            <family val="2"/>
          </rPr>
          <t>Agnetha Simm:</t>
        </r>
        <r>
          <rPr>
            <sz val="9"/>
            <color indexed="81"/>
            <rFont val="Tahoma"/>
            <family val="2"/>
          </rPr>
          <t xml:space="preserve">
fd fiktiv 6FRIEST3</t>
        </r>
      </text>
    </comment>
    <comment ref="A167" authorId="0" shapeId="0">
      <text>
        <r>
          <rPr>
            <b/>
            <sz val="9"/>
            <color indexed="81"/>
            <rFont val="Tahoma"/>
            <family val="2"/>
          </rPr>
          <t>Agnetha Simm:</t>
        </r>
        <r>
          <rPr>
            <sz val="9"/>
            <color indexed="81"/>
            <rFont val="Tahoma"/>
            <family val="2"/>
          </rPr>
          <t xml:space="preserve">
fd fiktiv 6FRIEST4</t>
        </r>
      </text>
    </comment>
    <comment ref="A169" authorId="0" shapeId="0">
      <text>
        <r>
          <rPr>
            <b/>
            <sz val="9"/>
            <color indexed="81"/>
            <rFont val="Tahoma"/>
            <family val="2"/>
          </rPr>
          <t>Agnetha Simm:</t>
        </r>
        <r>
          <rPr>
            <sz val="9"/>
            <color indexed="81"/>
            <rFont val="Tahoma"/>
            <family val="2"/>
          </rPr>
          <t xml:space="preserve">
Ers fiktiv 6BIFÖ2</t>
        </r>
      </text>
    </comment>
    <comment ref="A171" authorId="0" shapeId="0">
      <text>
        <r>
          <rPr>
            <b/>
            <sz val="9"/>
            <color indexed="81"/>
            <rFont val="Tahoma"/>
            <family val="2"/>
          </rPr>
          <t>Agnetha Simm:</t>
        </r>
        <r>
          <rPr>
            <sz val="9"/>
            <color indexed="81"/>
            <rFont val="Tahoma"/>
            <family val="2"/>
          </rPr>
          <t xml:space="preserve">
Ers fd 6ES052
</t>
        </r>
      </text>
    </comment>
    <comment ref="A172" authorId="0" shapeId="0">
      <text>
        <r>
          <rPr>
            <b/>
            <sz val="9"/>
            <color indexed="81"/>
            <rFont val="Tahoma"/>
            <family val="2"/>
          </rPr>
          <t>Agnetha Simm:</t>
        </r>
        <r>
          <rPr>
            <sz val="9"/>
            <color indexed="81"/>
            <rFont val="Tahoma"/>
            <family val="2"/>
          </rPr>
          <t xml:space="preserve">
Ers 6ES032</t>
        </r>
      </text>
    </comment>
    <comment ref="A173" authorId="0" shapeId="0">
      <text>
        <r>
          <rPr>
            <b/>
            <sz val="9"/>
            <color indexed="81"/>
            <rFont val="Tahoma"/>
            <family val="2"/>
          </rPr>
          <t>Agnetha Simm:</t>
        </r>
        <r>
          <rPr>
            <sz val="9"/>
            <color indexed="81"/>
            <rFont val="Tahoma"/>
            <family val="2"/>
          </rPr>
          <t xml:space="preserve">
Ers 6ES033</t>
        </r>
      </text>
    </comment>
    <comment ref="A174" authorId="0" shapeId="0">
      <text>
        <r>
          <rPr>
            <b/>
            <sz val="9"/>
            <color indexed="81"/>
            <rFont val="Tahoma"/>
            <family val="2"/>
          </rPr>
          <t>Agnetha Simm:</t>
        </r>
        <r>
          <rPr>
            <sz val="9"/>
            <color indexed="81"/>
            <rFont val="Tahoma"/>
            <family val="2"/>
          </rPr>
          <t xml:space="preserve">
Ers fiktiv 6xxxx9</t>
        </r>
      </text>
    </comment>
    <comment ref="A175" authorId="0" shapeId="0">
      <text>
        <r>
          <rPr>
            <b/>
            <sz val="9"/>
            <color indexed="81"/>
            <rFont val="Tahoma"/>
            <family val="2"/>
          </rPr>
          <t>Agnetha Simm:</t>
        </r>
        <r>
          <rPr>
            <sz val="9"/>
            <color indexed="81"/>
            <rFont val="Tahoma"/>
            <family val="2"/>
          </rPr>
          <t xml:space="preserve">
Ers 6ES041</t>
        </r>
      </text>
    </comment>
    <comment ref="A177" authorId="0" shapeId="0">
      <text>
        <r>
          <rPr>
            <b/>
            <sz val="9"/>
            <color indexed="81"/>
            <rFont val="Tahoma"/>
            <family val="2"/>
          </rPr>
          <t>Agnetha Simm:</t>
        </r>
        <r>
          <rPr>
            <sz val="9"/>
            <color indexed="81"/>
            <rFont val="Tahoma"/>
            <family val="2"/>
          </rPr>
          <t xml:space="preserve">
Ers fiktiv 6FRIEST3</t>
        </r>
      </text>
    </comment>
    <comment ref="A178" authorId="0" shapeId="0">
      <text>
        <r>
          <rPr>
            <b/>
            <sz val="9"/>
            <color indexed="81"/>
            <rFont val="Tahoma"/>
            <family val="2"/>
          </rPr>
          <t>Agnetha Simm:</t>
        </r>
        <r>
          <rPr>
            <sz val="9"/>
            <color indexed="81"/>
            <rFont val="Tahoma"/>
            <family val="2"/>
          </rPr>
          <t xml:space="preserve">
Ers 6ES031</t>
        </r>
      </text>
    </comment>
    <comment ref="A179" authorId="0" shapeId="0">
      <text>
        <r>
          <rPr>
            <b/>
            <sz val="9"/>
            <color indexed="81"/>
            <rFont val="Tahoma"/>
            <family val="2"/>
          </rPr>
          <t>Agnetha Simm:</t>
        </r>
        <r>
          <rPr>
            <sz val="9"/>
            <color indexed="81"/>
            <rFont val="Tahoma"/>
            <family val="2"/>
          </rPr>
          <t xml:space="preserve">
Ers fd 6ES069</t>
        </r>
      </text>
    </comment>
    <comment ref="A180" authorId="0" shapeId="0">
      <text>
        <r>
          <rPr>
            <b/>
            <sz val="9"/>
            <color indexed="81"/>
            <rFont val="Tahoma"/>
            <family val="2"/>
          </rPr>
          <t>Agnetha Simm:</t>
        </r>
        <r>
          <rPr>
            <sz val="9"/>
            <color indexed="81"/>
            <rFont val="Tahoma"/>
            <family val="2"/>
          </rPr>
          <t xml:space="preserve">
Fd fiktiv 6FRIEST2</t>
        </r>
      </text>
    </comment>
    <comment ref="A181" authorId="0" shapeId="0">
      <text>
        <r>
          <rPr>
            <b/>
            <sz val="9"/>
            <color indexed="81"/>
            <rFont val="Tahoma"/>
            <family val="2"/>
          </rPr>
          <t>Agnetha Simm:</t>
        </r>
        <r>
          <rPr>
            <sz val="9"/>
            <color indexed="81"/>
            <rFont val="Tahoma"/>
            <family val="2"/>
          </rPr>
          <t xml:space="preserve">
Fd fiktiv 6BIFÖ3</t>
        </r>
      </text>
    </comment>
    <comment ref="A182" authorId="0" shapeId="0">
      <text>
        <r>
          <rPr>
            <b/>
            <sz val="9"/>
            <color indexed="81"/>
            <rFont val="Tahoma"/>
            <family val="2"/>
          </rPr>
          <t>Agnetha Simm:</t>
        </r>
        <r>
          <rPr>
            <sz val="9"/>
            <color indexed="81"/>
            <rFont val="Tahoma"/>
            <family val="2"/>
          </rPr>
          <t xml:space="preserve">
Fd fiktiv 6FRIEST1</t>
        </r>
      </text>
    </comment>
    <comment ref="A193" authorId="0" shapeId="0">
      <text>
        <r>
          <rPr>
            <b/>
            <sz val="9"/>
            <color indexed="81"/>
            <rFont val="Tahoma"/>
            <family val="2"/>
          </rPr>
          <t>Agnetha Simm:</t>
        </r>
        <r>
          <rPr>
            <sz val="9"/>
            <color indexed="81"/>
            <rFont val="Tahoma"/>
            <family val="2"/>
          </rPr>
          <t xml:space="preserve">
Ers fd 6FA004</t>
        </r>
      </text>
    </comment>
    <comment ref="A205" authorId="0" shapeId="0">
      <text>
        <r>
          <rPr>
            <b/>
            <sz val="9"/>
            <color indexed="81"/>
            <rFont val="Tahoma"/>
            <family val="2"/>
          </rPr>
          <t>Agnetha Simm:</t>
        </r>
        <r>
          <rPr>
            <sz val="9"/>
            <color indexed="81"/>
            <rFont val="Tahoma"/>
            <family val="2"/>
          </rPr>
          <t xml:space="preserve">
Ersätter 6DI012</t>
        </r>
      </text>
    </comment>
    <comment ref="A206" authorId="0" shapeId="0">
      <text>
        <r>
          <rPr>
            <b/>
            <sz val="9"/>
            <color indexed="81"/>
            <rFont val="Tahoma"/>
            <family val="2"/>
          </rPr>
          <t>Agnetha Simm:</t>
        </r>
        <r>
          <rPr>
            <sz val="9"/>
            <color indexed="81"/>
            <rFont val="Tahoma"/>
            <family val="2"/>
          </rPr>
          <t xml:space="preserve">
Ersätter 6DI010</t>
        </r>
      </text>
    </comment>
    <comment ref="A207" authorId="0" shapeId="0">
      <text>
        <r>
          <rPr>
            <b/>
            <sz val="9"/>
            <color indexed="81"/>
            <rFont val="Tahoma"/>
            <family val="2"/>
          </rPr>
          <t>Agnetha Simm:</t>
        </r>
        <r>
          <rPr>
            <sz val="9"/>
            <color indexed="81"/>
            <rFont val="Tahoma"/>
            <family val="2"/>
          </rPr>
          <t xml:space="preserve">
Ersätter 6DI011</t>
        </r>
      </text>
    </comment>
    <comment ref="A210" authorId="0" shapeId="0">
      <text>
        <r>
          <rPr>
            <b/>
            <sz val="9"/>
            <color indexed="81"/>
            <rFont val="Tahoma"/>
            <family val="2"/>
          </rPr>
          <t>Agnetha Simm:</t>
        </r>
        <r>
          <rPr>
            <sz val="9"/>
            <color indexed="81"/>
            <rFont val="Tahoma"/>
            <family val="2"/>
          </rPr>
          <t xml:space="preserve">
Ers fiktiv 6GExx5</t>
        </r>
      </text>
    </comment>
    <comment ref="A211" authorId="0" shapeId="0">
      <text>
        <r>
          <rPr>
            <b/>
            <sz val="9"/>
            <color indexed="81"/>
            <rFont val="Tahoma"/>
            <family val="2"/>
          </rPr>
          <t>Agnetha Simm:</t>
        </r>
        <r>
          <rPr>
            <sz val="9"/>
            <color indexed="81"/>
            <rFont val="Tahoma"/>
            <family val="2"/>
          </rPr>
          <t xml:space="preserve">
Fd fiktiv 6GExx2</t>
        </r>
      </text>
    </comment>
    <comment ref="A212" authorId="0" shapeId="0">
      <text>
        <r>
          <rPr>
            <b/>
            <sz val="9"/>
            <color indexed="81"/>
            <rFont val="Tahoma"/>
            <family val="2"/>
          </rPr>
          <t>Agnetha Simm:</t>
        </r>
        <r>
          <rPr>
            <sz val="9"/>
            <color indexed="81"/>
            <rFont val="Tahoma"/>
            <family val="2"/>
          </rPr>
          <t xml:space="preserve">
Ers fiktiv 6GExx6</t>
        </r>
      </text>
    </comment>
    <comment ref="A224" authorId="0" shapeId="0">
      <text>
        <r>
          <rPr>
            <b/>
            <sz val="9"/>
            <color indexed="81"/>
            <rFont val="Tahoma"/>
            <family val="2"/>
          </rPr>
          <t>Agnetha Simm:</t>
        </r>
        <r>
          <rPr>
            <sz val="9"/>
            <color indexed="81"/>
            <rFont val="Tahoma"/>
            <family val="2"/>
          </rPr>
          <t xml:space="preserve">
Fd fiktiv kurskod 6HI8XX</t>
        </r>
      </text>
    </comment>
    <comment ref="A227" authorId="0" shapeId="0">
      <text>
        <r>
          <rPr>
            <b/>
            <sz val="9"/>
            <color indexed="81"/>
            <rFont val="Tahoma"/>
            <family val="2"/>
          </rPr>
          <t>Agnetha Simm:</t>
        </r>
        <r>
          <rPr>
            <sz val="9"/>
            <color indexed="81"/>
            <rFont val="Tahoma"/>
            <family val="2"/>
          </rPr>
          <t xml:space="preserve">
Ersätter 6HI016</t>
        </r>
      </text>
    </comment>
    <comment ref="A229" authorId="0" shapeId="0">
      <text>
        <r>
          <rPr>
            <b/>
            <sz val="9"/>
            <color indexed="81"/>
            <rFont val="Tahoma"/>
            <family val="2"/>
          </rPr>
          <t>Agnetha Simm:</t>
        </r>
        <r>
          <rPr>
            <sz val="9"/>
            <color indexed="81"/>
            <rFont val="Tahoma"/>
            <family val="2"/>
          </rPr>
          <t xml:space="preserve">
Ersätter 6HI014</t>
        </r>
      </text>
    </comment>
    <comment ref="A239" authorId="0" shapeId="0">
      <text>
        <r>
          <rPr>
            <b/>
            <sz val="9"/>
            <color indexed="81"/>
            <rFont val="Tahoma"/>
            <family val="2"/>
          </rPr>
          <t>Agnetha Simm:</t>
        </r>
        <r>
          <rPr>
            <sz val="9"/>
            <color indexed="81"/>
            <rFont val="Tahoma"/>
            <family val="2"/>
          </rPr>
          <t xml:space="preserve">
Ersätter 6ID301</t>
        </r>
      </text>
    </comment>
    <comment ref="A240" authorId="0" shapeId="0">
      <text>
        <r>
          <rPr>
            <b/>
            <sz val="9"/>
            <color indexed="81"/>
            <rFont val="Tahoma"/>
            <family val="2"/>
          </rPr>
          <t>Agnetha Simm:</t>
        </r>
        <r>
          <rPr>
            <sz val="9"/>
            <color indexed="81"/>
            <rFont val="Tahoma"/>
            <family val="2"/>
          </rPr>
          <t xml:space="preserve">
Ers 6ID303</t>
        </r>
      </text>
    </comment>
    <comment ref="A252" authorId="0" shapeId="0">
      <text>
        <r>
          <rPr>
            <b/>
            <sz val="9"/>
            <color indexed="81"/>
            <rFont val="Tahoma"/>
            <family val="2"/>
          </rPr>
          <t>Agnetha Simm:</t>
        </r>
        <r>
          <rPr>
            <sz val="9"/>
            <color indexed="81"/>
            <rFont val="Tahoma"/>
            <family val="2"/>
          </rPr>
          <t xml:space="preserve">
Fd fiktiv 6FRITUV7</t>
        </r>
      </text>
    </comment>
    <comment ref="A253" authorId="0" shapeId="0">
      <text>
        <r>
          <rPr>
            <b/>
            <sz val="9"/>
            <color indexed="81"/>
            <rFont val="Tahoma"/>
            <family val="2"/>
          </rPr>
          <t>Agnetha Simm:</t>
        </r>
        <r>
          <rPr>
            <sz val="9"/>
            <color indexed="81"/>
            <rFont val="Tahoma"/>
            <family val="2"/>
          </rPr>
          <t xml:space="preserve">
Fd fiktiv 6FRITUV6</t>
        </r>
      </text>
    </comment>
    <comment ref="A261" authorId="0" shapeId="0">
      <text>
        <r>
          <rPr>
            <b/>
            <sz val="9"/>
            <color indexed="81"/>
            <rFont val="Tahoma"/>
            <family val="2"/>
          </rPr>
          <t>Agnetha Simm:</t>
        </r>
        <r>
          <rPr>
            <sz val="9"/>
            <color indexed="81"/>
            <rFont val="Tahoma"/>
            <family val="2"/>
          </rPr>
          <t xml:space="preserve">
Ersätter 6DI015</t>
        </r>
      </text>
    </comment>
    <comment ref="A262" authorId="0" shapeId="0">
      <text>
        <r>
          <rPr>
            <b/>
            <sz val="9"/>
            <color indexed="81"/>
            <rFont val="Tahoma"/>
            <family val="2"/>
          </rPr>
          <t>Agnetha Simm:</t>
        </r>
        <r>
          <rPr>
            <sz val="9"/>
            <color indexed="81"/>
            <rFont val="Tahoma"/>
            <family val="2"/>
          </rPr>
          <t xml:space="preserve">
Ersätter 6DI013</t>
        </r>
      </text>
    </comment>
    <comment ref="A263" authorId="0" shapeId="0">
      <text>
        <r>
          <rPr>
            <b/>
            <sz val="9"/>
            <color indexed="81"/>
            <rFont val="Tahoma"/>
            <family val="2"/>
          </rPr>
          <t>Agnetha Simm:
Ersätter 6DI014</t>
        </r>
      </text>
    </comment>
    <comment ref="A266" authorId="0" shapeId="0">
      <text>
        <r>
          <rPr>
            <b/>
            <sz val="9"/>
            <color indexed="81"/>
            <rFont val="Tahoma"/>
            <family val="2"/>
          </rPr>
          <t>Agnetha Simm:</t>
        </r>
        <r>
          <rPr>
            <sz val="9"/>
            <color indexed="81"/>
            <rFont val="Tahoma"/>
            <family val="2"/>
          </rPr>
          <t xml:space="preserve">
Ers fiktiv 6GExx8</t>
        </r>
      </text>
    </comment>
    <comment ref="A267" authorId="0" shapeId="0">
      <text>
        <r>
          <rPr>
            <b/>
            <sz val="9"/>
            <color indexed="81"/>
            <rFont val="Tahoma"/>
            <family val="2"/>
          </rPr>
          <t>Agnetha Simm:</t>
        </r>
        <r>
          <rPr>
            <sz val="9"/>
            <color indexed="81"/>
            <rFont val="Tahoma"/>
            <family val="2"/>
          </rPr>
          <t xml:space="preserve">
Fd fiktiv 6GExx1</t>
        </r>
      </text>
    </comment>
    <comment ref="A268" authorId="0" shapeId="0">
      <text>
        <r>
          <rPr>
            <b/>
            <sz val="9"/>
            <color indexed="81"/>
            <rFont val="Tahoma"/>
            <family val="2"/>
          </rPr>
          <t>Agnetha Simm:</t>
        </r>
        <r>
          <rPr>
            <sz val="9"/>
            <color indexed="81"/>
            <rFont val="Tahoma"/>
            <family val="2"/>
          </rPr>
          <t xml:space="preserve">
Fd fiktiv 6GExx3</t>
        </r>
      </text>
    </comment>
    <comment ref="A269" authorId="0" shapeId="0">
      <text>
        <r>
          <rPr>
            <b/>
            <sz val="9"/>
            <color indexed="81"/>
            <rFont val="Tahoma"/>
            <family val="2"/>
          </rPr>
          <t>Agnetha Simm:</t>
        </r>
        <r>
          <rPr>
            <sz val="9"/>
            <color indexed="81"/>
            <rFont val="Tahoma"/>
            <family val="2"/>
          </rPr>
          <t xml:space="preserve">
Ersätter fiktiv 6GExx4</t>
        </r>
      </text>
    </comment>
    <comment ref="A270" authorId="0" shapeId="0">
      <text>
        <r>
          <rPr>
            <b/>
            <sz val="9"/>
            <color indexed="81"/>
            <rFont val="Tahoma"/>
            <family val="2"/>
          </rPr>
          <t>Agnetha Simm:</t>
        </r>
        <r>
          <rPr>
            <sz val="9"/>
            <color indexed="81"/>
            <rFont val="Tahoma"/>
            <family val="2"/>
          </rPr>
          <t xml:space="preserve">
Ers fiktiv 6GExx7</t>
        </r>
      </text>
    </comment>
    <comment ref="A271" authorId="0" shapeId="0">
      <text>
        <r>
          <rPr>
            <b/>
            <sz val="9"/>
            <color indexed="81"/>
            <rFont val="Tahoma"/>
            <family val="2"/>
          </rPr>
          <t>Agnetha Simm:</t>
        </r>
        <r>
          <rPr>
            <sz val="9"/>
            <color indexed="81"/>
            <rFont val="Tahoma"/>
            <family val="2"/>
          </rPr>
          <t xml:space="preserve">
Ers fiktiv 6GEx10</t>
        </r>
      </text>
    </comment>
    <comment ref="A272" authorId="0" shapeId="0">
      <text>
        <r>
          <rPr>
            <b/>
            <sz val="9"/>
            <color indexed="81"/>
            <rFont val="Tahoma"/>
            <family val="2"/>
          </rPr>
          <t>Agnetha Simm:</t>
        </r>
        <r>
          <rPr>
            <sz val="9"/>
            <color indexed="81"/>
            <rFont val="Tahoma"/>
            <family val="2"/>
          </rPr>
          <t xml:space="preserve">
Fd fiktiv 6GEund</t>
        </r>
      </text>
    </comment>
    <comment ref="A286" authorId="0" shapeId="0">
      <text>
        <r>
          <rPr>
            <b/>
            <sz val="9"/>
            <color indexed="81"/>
            <rFont val="Tahoma"/>
            <family val="2"/>
          </rPr>
          <t>Agnetha Simm:</t>
        </r>
        <r>
          <rPr>
            <sz val="9"/>
            <color indexed="81"/>
            <rFont val="Tahoma"/>
            <family val="2"/>
          </rPr>
          <t xml:space="preserve">
Ers 6KN009</t>
        </r>
      </text>
    </comment>
    <comment ref="A291" authorId="0" shapeId="0">
      <text>
        <r>
          <rPr>
            <b/>
            <sz val="9"/>
            <color indexed="81"/>
            <rFont val="Tahoma"/>
            <family val="2"/>
          </rPr>
          <t>Agnetha Simm:</t>
        </r>
        <r>
          <rPr>
            <sz val="9"/>
            <color indexed="81"/>
            <rFont val="Tahoma"/>
            <family val="2"/>
          </rPr>
          <t xml:space="preserve">
Se 6PE171 resp 169</t>
        </r>
      </text>
    </comment>
    <comment ref="A296" authorId="0" shapeId="0">
      <text>
        <r>
          <rPr>
            <b/>
            <sz val="9"/>
            <color indexed="81"/>
            <rFont val="Tahoma"/>
            <family val="2"/>
          </rPr>
          <t>Agnetha Simm:</t>
        </r>
        <r>
          <rPr>
            <sz val="9"/>
            <color indexed="81"/>
            <rFont val="Tahoma"/>
            <family val="2"/>
          </rPr>
          <t xml:space="preserve">
Ersätter 6LI006</t>
        </r>
      </text>
    </comment>
    <comment ref="A297" authorId="0" shapeId="0">
      <text>
        <r>
          <rPr>
            <b/>
            <sz val="9"/>
            <color indexed="81"/>
            <rFont val="Tahoma"/>
            <family val="2"/>
          </rPr>
          <t>Agnetha Simm:</t>
        </r>
        <r>
          <rPr>
            <sz val="9"/>
            <color indexed="81"/>
            <rFont val="Tahoma"/>
            <family val="2"/>
          </rPr>
          <t xml:space="preserve">
Fd 6FRISPRÅK1</t>
        </r>
      </text>
    </comment>
    <comment ref="A300" authorId="0" shapeId="0">
      <text>
        <r>
          <rPr>
            <b/>
            <sz val="9"/>
            <color indexed="81"/>
            <rFont val="Tahoma"/>
            <family val="2"/>
          </rPr>
          <t>Agnetha Simm:</t>
        </r>
        <r>
          <rPr>
            <sz val="9"/>
            <color indexed="81"/>
            <rFont val="Tahoma"/>
            <family val="2"/>
          </rPr>
          <t xml:space="preserve">
Fd fiktiv 6FRISPRÅK3</t>
        </r>
      </text>
    </comment>
    <comment ref="A301" authorId="0" shapeId="0">
      <text>
        <r>
          <rPr>
            <b/>
            <sz val="9"/>
            <color indexed="81"/>
            <rFont val="Tahoma"/>
            <family val="2"/>
          </rPr>
          <t>Agnetha Simm:</t>
        </r>
        <r>
          <rPr>
            <sz val="9"/>
            <color indexed="81"/>
            <rFont val="Tahoma"/>
            <family val="2"/>
          </rPr>
          <t xml:space="preserve">
Ersätter 6LI005</t>
        </r>
      </text>
    </comment>
    <comment ref="A306" authorId="0" shapeId="0">
      <text>
        <r>
          <rPr>
            <b/>
            <sz val="9"/>
            <color indexed="81"/>
            <rFont val="Tahoma"/>
            <family val="2"/>
          </rPr>
          <t>Agnetha Simm:</t>
        </r>
        <r>
          <rPr>
            <sz val="9"/>
            <color indexed="81"/>
            <rFont val="Tahoma"/>
            <family val="2"/>
          </rPr>
          <t xml:space="preserve">
Fd fiktiv 6UKI4</t>
        </r>
      </text>
    </comment>
    <comment ref="A307" authorId="0" shapeId="0">
      <text>
        <r>
          <rPr>
            <b/>
            <sz val="9"/>
            <color indexed="81"/>
            <rFont val="Tahoma"/>
            <family val="2"/>
          </rPr>
          <t>Agnetha Simm:</t>
        </r>
        <r>
          <rPr>
            <sz val="9"/>
            <color indexed="81"/>
            <rFont val="Tahoma"/>
            <family val="2"/>
          </rPr>
          <t xml:space="preserve">
Fd fiktiv 6UKI5</t>
        </r>
      </text>
    </comment>
    <comment ref="A309" authorId="0" shapeId="0">
      <text>
        <r>
          <rPr>
            <b/>
            <sz val="9"/>
            <color indexed="81"/>
            <rFont val="Tahoma"/>
            <family val="2"/>
          </rPr>
          <t>Agnetha Simm:</t>
        </r>
        <r>
          <rPr>
            <sz val="9"/>
            <color indexed="81"/>
            <rFont val="Tahoma"/>
            <family val="2"/>
          </rPr>
          <t xml:space="preserve">
Fd fiktiv kurskod 6NYFRIST30</t>
        </r>
      </text>
    </comment>
    <comment ref="A321" authorId="0" shapeId="0">
      <text>
        <r>
          <rPr>
            <b/>
            <sz val="9"/>
            <color indexed="81"/>
            <rFont val="Tahoma"/>
            <family val="2"/>
          </rPr>
          <t>Agnetha Simm:</t>
        </r>
        <r>
          <rPr>
            <sz val="9"/>
            <color indexed="81"/>
            <rFont val="Tahoma"/>
            <family val="2"/>
          </rPr>
          <t xml:space="preserve">
Fd fiktiv kurskod 6SP8YY</t>
        </r>
      </text>
    </comment>
    <comment ref="A326" authorId="0" shapeId="0">
      <text>
        <r>
          <rPr>
            <b/>
            <sz val="9"/>
            <color indexed="81"/>
            <rFont val="Tahoma"/>
            <family val="2"/>
          </rPr>
          <t>Agnetha Simm:</t>
        </r>
        <r>
          <rPr>
            <sz val="9"/>
            <color indexed="81"/>
            <rFont val="Tahoma"/>
            <family val="2"/>
          </rPr>
          <t xml:space="preserve">
fd fiktiv 6xxx12</t>
        </r>
      </text>
    </comment>
    <comment ref="A395" authorId="0" shapeId="0">
      <text>
        <r>
          <rPr>
            <b/>
            <sz val="9"/>
            <color indexed="81"/>
            <rFont val="Tahoma"/>
            <family val="2"/>
          </rPr>
          <t>Agnetha Simm:</t>
        </r>
        <r>
          <rPr>
            <sz val="9"/>
            <color indexed="81"/>
            <rFont val="Tahoma"/>
            <family val="2"/>
          </rPr>
          <t xml:space="preserve">
Ers 6MA031 fr o m vt-19</t>
        </r>
      </text>
    </comment>
    <comment ref="A396" authorId="0" shapeId="0">
      <text>
        <r>
          <rPr>
            <b/>
            <sz val="9"/>
            <color indexed="81"/>
            <rFont val="Tahoma"/>
            <family val="2"/>
          </rPr>
          <t>Agnetha Simm:</t>
        </r>
        <r>
          <rPr>
            <sz val="9"/>
            <color indexed="81"/>
            <rFont val="Tahoma"/>
            <family val="2"/>
          </rPr>
          <t xml:space="preserve">
Ersätter 6MA020</t>
        </r>
      </text>
    </comment>
    <comment ref="A398" authorId="0" shapeId="0">
      <text>
        <r>
          <rPr>
            <b/>
            <sz val="9"/>
            <color indexed="81"/>
            <rFont val="Tahoma"/>
            <family val="2"/>
          </rPr>
          <t>Agnetha Simm:</t>
        </r>
        <r>
          <rPr>
            <sz val="9"/>
            <color indexed="81"/>
            <rFont val="Tahoma"/>
            <family val="2"/>
          </rPr>
          <t xml:space="preserve">
Ersätter 6MS001</t>
        </r>
      </text>
    </comment>
    <comment ref="A409" authorId="0" shapeId="0">
      <text>
        <r>
          <rPr>
            <b/>
            <sz val="9"/>
            <color indexed="81"/>
            <rFont val="Tahoma"/>
            <family val="2"/>
          </rPr>
          <t>Agnetha Simm:</t>
        </r>
        <r>
          <rPr>
            <sz val="9"/>
            <color indexed="81"/>
            <rFont val="Tahoma"/>
            <family val="2"/>
          </rPr>
          <t xml:space="preserve">
Fd 6NYFRIST25</t>
        </r>
      </text>
    </comment>
    <comment ref="A416" authorId="0" shapeId="0">
      <text>
        <r>
          <rPr>
            <b/>
            <sz val="9"/>
            <color indexed="81"/>
            <rFont val="Tahoma"/>
            <family val="2"/>
          </rPr>
          <t>Agnetha Simm:</t>
        </r>
        <r>
          <rPr>
            <sz val="9"/>
            <color indexed="81"/>
            <rFont val="Tahoma"/>
            <family val="2"/>
          </rPr>
          <t xml:space="preserve">
Fd fiktiv 6FRIEST4</t>
        </r>
      </text>
    </comment>
    <comment ref="A418" authorId="0" shapeId="0">
      <text>
        <r>
          <rPr>
            <b/>
            <sz val="9"/>
            <color indexed="81"/>
            <rFont val="Tahoma"/>
            <family val="2"/>
          </rPr>
          <t>Agnetha Simm:</t>
        </r>
        <r>
          <rPr>
            <sz val="9"/>
            <color indexed="81"/>
            <rFont val="Tahoma"/>
            <family val="2"/>
          </rPr>
          <t xml:space="preserve">
Ers 6MU022</t>
        </r>
      </text>
    </comment>
    <comment ref="A419" authorId="0" shapeId="0">
      <text>
        <r>
          <rPr>
            <b/>
            <sz val="9"/>
            <color indexed="81"/>
            <rFont val="Tahoma"/>
            <family val="2"/>
          </rPr>
          <t>Agnetha Simm:</t>
        </r>
        <r>
          <rPr>
            <sz val="9"/>
            <color indexed="81"/>
            <rFont val="Tahoma"/>
            <family val="2"/>
          </rPr>
          <t xml:space="preserve">
Ers 6MU050</t>
        </r>
      </text>
    </comment>
    <comment ref="A437" authorId="0" shapeId="0">
      <text>
        <r>
          <rPr>
            <b/>
            <sz val="9"/>
            <color indexed="81"/>
            <rFont val="Tahoma"/>
            <family val="2"/>
          </rPr>
          <t>Agnetha Simm:</t>
        </r>
        <r>
          <rPr>
            <sz val="9"/>
            <color indexed="81"/>
            <rFont val="Tahoma"/>
            <family val="2"/>
          </rPr>
          <t xml:space="preserve">
Fd fiktiv 6xxxx7</t>
        </r>
      </text>
    </comment>
    <comment ref="A478" authorId="0" shapeId="0">
      <text>
        <r>
          <rPr>
            <b/>
            <sz val="9"/>
            <color indexed="81"/>
            <rFont val="Tahoma"/>
            <family val="2"/>
          </rPr>
          <t>Agnetha Simm:</t>
        </r>
        <r>
          <rPr>
            <sz val="9"/>
            <color indexed="81"/>
            <rFont val="Tahoma"/>
            <family val="2"/>
          </rPr>
          <t xml:space="preserve">
Se 6PE259</t>
        </r>
      </text>
    </comment>
    <comment ref="A480" authorId="0" shapeId="0">
      <text>
        <r>
          <rPr>
            <b/>
            <sz val="9"/>
            <color indexed="81"/>
            <rFont val="Tahoma"/>
            <family val="2"/>
          </rPr>
          <t>Agnetha Simm:</t>
        </r>
        <r>
          <rPr>
            <sz val="9"/>
            <color indexed="81"/>
            <rFont val="Tahoma"/>
            <family val="2"/>
          </rPr>
          <t xml:space="preserve">
Fd fiktiv kurskod 6SH7XX
Kursansvar tillfälligt Pedagogik vt-15. Ny kurs (kurskod) på g inför ht -15. OBS Stämmer ej med kursplan där TUV står som kursansvarig.</t>
        </r>
      </text>
    </comment>
    <comment ref="B480" authorId="0" shapeId="0">
      <text>
        <r>
          <rPr>
            <b/>
            <sz val="9"/>
            <color indexed="81"/>
            <rFont val="Tahoma"/>
            <family val="2"/>
          </rPr>
          <t>Agnetha Simm:</t>
        </r>
        <r>
          <rPr>
            <sz val="9"/>
            <color indexed="81"/>
            <rFont val="Tahoma"/>
            <family val="2"/>
          </rPr>
          <t xml:space="preserve">
Ändrat 150112</t>
        </r>
      </text>
    </comment>
    <comment ref="A494" authorId="0" shapeId="0">
      <text>
        <r>
          <rPr>
            <b/>
            <sz val="9"/>
            <color indexed="81"/>
            <rFont val="Tahoma"/>
            <family val="2"/>
          </rPr>
          <t>Agnetha Simm:</t>
        </r>
        <r>
          <rPr>
            <sz val="9"/>
            <color indexed="81"/>
            <rFont val="Tahoma"/>
            <family val="2"/>
          </rPr>
          <t xml:space="preserve">
Fd kurskod 6PE142</t>
        </r>
      </text>
    </comment>
    <comment ref="A495" authorId="0" shapeId="0">
      <text>
        <r>
          <rPr>
            <b/>
            <sz val="9"/>
            <color indexed="81"/>
            <rFont val="Tahoma"/>
            <family val="2"/>
          </rPr>
          <t>Agnetha Simm:</t>
        </r>
        <r>
          <rPr>
            <sz val="9"/>
            <color indexed="81"/>
            <rFont val="Tahoma"/>
            <family val="2"/>
          </rPr>
          <t xml:space="preserve">
Fd kurskod 6PE141</t>
        </r>
      </text>
    </comment>
    <comment ref="A498" authorId="0" shapeId="0">
      <text>
        <r>
          <rPr>
            <b/>
            <sz val="9"/>
            <color indexed="81"/>
            <rFont val="Tahoma"/>
            <family val="2"/>
          </rPr>
          <t>Agnetha Simm:</t>
        </r>
        <r>
          <rPr>
            <sz val="9"/>
            <color indexed="81"/>
            <rFont val="Tahoma"/>
            <family val="2"/>
          </rPr>
          <t xml:space="preserve">
Fd fiktiv kurskod 6LU0xx</t>
        </r>
      </text>
    </comment>
    <comment ref="A529" authorId="0" shapeId="0">
      <text>
        <r>
          <rPr>
            <b/>
            <sz val="9"/>
            <color indexed="81"/>
            <rFont val="Tahoma"/>
            <family val="2"/>
          </rPr>
          <t>Agnetha Simm:</t>
        </r>
        <r>
          <rPr>
            <sz val="9"/>
            <color indexed="81"/>
            <rFont val="Tahoma"/>
            <family val="2"/>
          </rPr>
          <t xml:space="preserve">
Fd 6NYFRIST12</t>
        </r>
      </text>
    </comment>
    <comment ref="A530" authorId="0" shapeId="0">
      <text>
        <r>
          <rPr>
            <b/>
            <sz val="9"/>
            <color indexed="81"/>
            <rFont val="Tahoma"/>
            <family val="2"/>
          </rPr>
          <t>Agnetha Simm:</t>
        </r>
        <r>
          <rPr>
            <sz val="9"/>
            <color indexed="81"/>
            <rFont val="Tahoma"/>
            <family val="2"/>
          </rPr>
          <t xml:space="preserve">
Fd fiktiv 6UKI1a</t>
        </r>
      </text>
    </comment>
    <comment ref="A531" authorId="0" shapeId="0">
      <text>
        <r>
          <rPr>
            <b/>
            <sz val="9"/>
            <color indexed="81"/>
            <rFont val="Tahoma"/>
            <family val="2"/>
          </rPr>
          <t>Agnetha Simm:</t>
        </r>
        <r>
          <rPr>
            <sz val="9"/>
            <color indexed="81"/>
            <rFont val="Tahoma"/>
            <family val="2"/>
          </rPr>
          <t xml:space="preserve">
Fd fiktiv 6VFU3a</t>
        </r>
      </text>
    </comment>
    <comment ref="A548" authorId="0" shapeId="0">
      <text>
        <r>
          <rPr>
            <b/>
            <sz val="9"/>
            <color indexed="81"/>
            <rFont val="Tahoma"/>
            <family val="2"/>
          </rPr>
          <t>Agnetha Simm:</t>
        </r>
        <r>
          <rPr>
            <sz val="9"/>
            <color indexed="81"/>
            <rFont val="Tahoma"/>
            <family val="2"/>
          </rPr>
          <t xml:space="preserve">
Ers 6PE093 fr o m ht-16 (kull h15)</t>
        </r>
      </text>
    </comment>
    <comment ref="A550" authorId="0" shapeId="0">
      <text>
        <r>
          <rPr>
            <b/>
            <sz val="9"/>
            <color indexed="81"/>
            <rFont val="Tahoma"/>
            <family val="2"/>
          </rPr>
          <t>Agnetha Simm:</t>
        </r>
        <r>
          <rPr>
            <sz val="9"/>
            <color indexed="81"/>
            <rFont val="Tahoma"/>
            <family val="2"/>
          </rPr>
          <t xml:space="preserve">
Ersätter 6PE174</t>
        </r>
      </text>
    </comment>
    <comment ref="A552" authorId="0" shapeId="0">
      <text>
        <r>
          <rPr>
            <b/>
            <sz val="9"/>
            <color indexed="81"/>
            <rFont val="Tahoma"/>
            <family val="2"/>
          </rPr>
          <t>Agnetha Simm:</t>
        </r>
        <r>
          <rPr>
            <sz val="9"/>
            <color indexed="81"/>
            <rFont val="Tahoma"/>
            <family val="2"/>
          </rPr>
          <t xml:space="preserve">
Ersätter 6PE173</t>
        </r>
      </text>
    </comment>
    <comment ref="A576" authorId="0" shapeId="0">
      <text>
        <r>
          <rPr>
            <b/>
            <sz val="9"/>
            <color indexed="81"/>
            <rFont val="Tahoma"/>
            <family val="2"/>
          </rPr>
          <t>Agnetha Simm:</t>
        </r>
        <r>
          <rPr>
            <sz val="9"/>
            <color indexed="81"/>
            <rFont val="Tahoma"/>
            <family val="2"/>
          </rPr>
          <t xml:space="preserve">
Fd 6FRITUV5</t>
        </r>
      </text>
    </comment>
    <comment ref="A577" authorId="0" shapeId="0">
      <text>
        <r>
          <rPr>
            <b/>
            <sz val="9"/>
            <color indexed="81"/>
            <rFont val="Tahoma"/>
            <family val="2"/>
          </rPr>
          <t>Agnetha Simm:</t>
        </r>
        <r>
          <rPr>
            <sz val="9"/>
            <color indexed="81"/>
            <rFont val="Tahoma"/>
            <family val="2"/>
          </rPr>
          <t xml:space="preserve">
Fd fiktiv 6FRINMD1</t>
        </r>
      </text>
    </comment>
    <comment ref="A578" authorId="0" shapeId="0">
      <text>
        <r>
          <rPr>
            <b/>
            <sz val="9"/>
            <color indexed="81"/>
            <rFont val="Tahoma"/>
            <family val="2"/>
          </rPr>
          <t>Agnetha Simm:</t>
        </r>
        <r>
          <rPr>
            <sz val="9"/>
            <color indexed="81"/>
            <rFont val="Tahoma"/>
            <family val="2"/>
          </rPr>
          <t xml:space="preserve">
Ers 6PE139</t>
        </r>
      </text>
    </comment>
    <comment ref="A579" authorId="0" shapeId="0">
      <text>
        <r>
          <rPr>
            <b/>
            <sz val="9"/>
            <color indexed="81"/>
            <rFont val="Tahoma"/>
            <family val="2"/>
          </rPr>
          <t>Agnetha Simm:</t>
        </r>
        <r>
          <rPr>
            <sz val="9"/>
            <color indexed="81"/>
            <rFont val="Tahoma"/>
            <family val="2"/>
          </rPr>
          <t xml:space="preserve">
Ers 6PE140</t>
        </r>
      </text>
    </comment>
    <comment ref="A580" authorId="0" shapeId="0">
      <text>
        <r>
          <rPr>
            <b/>
            <sz val="9"/>
            <color indexed="81"/>
            <rFont val="Tahoma"/>
            <family val="2"/>
          </rPr>
          <t>Agnetha Simm:</t>
        </r>
        <r>
          <rPr>
            <sz val="9"/>
            <color indexed="81"/>
            <rFont val="Tahoma"/>
            <family val="2"/>
          </rPr>
          <t xml:space="preserve">
Fd fiktiv 6FRITUV9</t>
        </r>
      </text>
    </comment>
    <comment ref="A581" authorId="0" shapeId="0">
      <text>
        <r>
          <rPr>
            <b/>
            <sz val="9"/>
            <color indexed="81"/>
            <rFont val="Tahoma"/>
            <family val="2"/>
          </rPr>
          <t>Agnetha Simm:</t>
        </r>
        <r>
          <rPr>
            <sz val="9"/>
            <color indexed="81"/>
            <rFont val="Tahoma"/>
            <family val="2"/>
          </rPr>
          <t xml:space="preserve">
Fd fiktiv 6FRITUV8</t>
        </r>
      </text>
    </comment>
    <comment ref="A582" authorId="0" shapeId="0">
      <text>
        <r>
          <rPr>
            <b/>
            <sz val="9"/>
            <color indexed="81"/>
            <rFont val="Tahoma"/>
            <family val="2"/>
          </rPr>
          <t>Agnetha Simm:</t>
        </r>
        <r>
          <rPr>
            <sz val="9"/>
            <color indexed="81"/>
            <rFont val="Tahoma"/>
            <family val="2"/>
          </rPr>
          <t xml:space="preserve">
Ers fd 6PE232</t>
        </r>
      </text>
    </comment>
    <comment ref="A583" authorId="0" shapeId="0">
      <text>
        <r>
          <rPr>
            <b/>
            <sz val="9"/>
            <color indexed="81"/>
            <rFont val="Tahoma"/>
            <family val="2"/>
          </rPr>
          <t>Agnetha Simm:</t>
        </r>
        <r>
          <rPr>
            <sz val="9"/>
            <color indexed="81"/>
            <rFont val="Tahoma"/>
            <family val="2"/>
          </rPr>
          <t xml:space="preserve">
Ers fd 6PE233</t>
        </r>
      </text>
    </comment>
    <comment ref="A584" authorId="0" shapeId="0">
      <text>
        <r>
          <rPr>
            <b/>
            <sz val="9"/>
            <color indexed="81"/>
            <rFont val="Tahoma"/>
            <family val="2"/>
          </rPr>
          <t>Agnetha Simm:</t>
        </r>
        <r>
          <rPr>
            <sz val="9"/>
            <color indexed="81"/>
            <rFont val="Tahoma"/>
            <family val="2"/>
          </rPr>
          <t xml:space="preserve">
Fd fiktiv 6xxx22</t>
        </r>
      </text>
    </comment>
    <comment ref="A585" authorId="0" shapeId="0">
      <text>
        <r>
          <rPr>
            <b/>
            <sz val="9"/>
            <color indexed="81"/>
            <rFont val="Tahoma"/>
            <family val="2"/>
          </rPr>
          <t>Agnetha Simm:</t>
        </r>
        <r>
          <rPr>
            <sz val="9"/>
            <color indexed="81"/>
            <rFont val="Tahoma"/>
            <family val="2"/>
          </rPr>
          <t xml:space="preserve">
Fd fiktiv 6xxx24</t>
        </r>
      </text>
    </comment>
    <comment ref="A586" authorId="0" shapeId="0">
      <text>
        <r>
          <rPr>
            <b/>
            <sz val="9"/>
            <color indexed="81"/>
            <rFont val="Tahoma"/>
            <family val="2"/>
          </rPr>
          <t>Agnetha Simm:</t>
        </r>
        <r>
          <rPr>
            <sz val="9"/>
            <color indexed="81"/>
            <rFont val="Tahoma"/>
            <family val="2"/>
          </rPr>
          <t xml:space="preserve">
Ers 6PE100</t>
        </r>
      </text>
    </comment>
    <comment ref="A587" authorId="0" shapeId="0">
      <text>
        <r>
          <rPr>
            <b/>
            <sz val="9"/>
            <color indexed="81"/>
            <rFont val="Tahoma"/>
            <family val="2"/>
          </rPr>
          <t>Agnetha Simm:</t>
        </r>
        <r>
          <rPr>
            <sz val="9"/>
            <color indexed="81"/>
            <rFont val="Tahoma"/>
            <family val="2"/>
          </rPr>
          <t xml:space="preserve">
Fd fiktiv 6xxxx6</t>
        </r>
      </text>
    </comment>
    <comment ref="A588" authorId="0" shapeId="0">
      <text>
        <r>
          <rPr>
            <b/>
            <sz val="9"/>
            <color indexed="81"/>
            <rFont val="Tahoma"/>
            <family val="2"/>
          </rPr>
          <t>Agnetha Simm:</t>
        </r>
        <r>
          <rPr>
            <sz val="9"/>
            <color indexed="81"/>
            <rFont val="Tahoma"/>
            <family val="2"/>
          </rPr>
          <t xml:space="preserve">
Fd 6PE102</t>
        </r>
      </text>
    </comment>
    <comment ref="A589" authorId="0" shapeId="0">
      <text>
        <r>
          <rPr>
            <b/>
            <sz val="9"/>
            <color indexed="81"/>
            <rFont val="Tahoma"/>
            <family val="2"/>
          </rPr>
          <t>Agnetha Simm:</t>
        </r>
        <r>
          <rPr>
            <sz val="9"/>
            <color indexed="81"/>
            <rFont val="Tahoma"/>
            <family val="2"/>
          </rPr>
          <t xml:space="preserve">
Fd 6PE105</t>
        </r>
      </text>
    </comment>
    <comment ref="A594" authorId="0" shapeId="0">
      <text>
        <r>
          <rPr>
            <b/>
            <sz val="9"/>
            <color indexed="81"/>
            <rFont val="Tahoma"/>
            <family val="2"/>
          </rPr>
          <t>Agnetha Simm:</t>
        </r>
        <r>
          <rPr>
            <sz val="9"/>
            <color indexed="81"/>
            <rFont val="Tahoma"/>
            <family val="2"/>
          </rPr>
          <t xml:space="preserve">
Ersätter 6PE117 fr o m vt-18</t>
        </r>
      </text>
    </comment>
    <comment ref="A595" authorId="0" shapeId="0">
      <text>
        <r>
          <rPr>
            <b/>
            <sz val="9"/>
            <color indexed="81"/>
            <rFont val="Tahoma"/>
            <family val="2"/>
          </rPr>
          <t>Agnetha Simm:</t>
        </r>
        <r>
          <rPr>
            <sz val="9"/>
            <color indexed="81"/>
            <rFont val="Tahoma"/>
            <family val="2"/>
          </rPr>
          <t xml:space="preserve">
Fd fiktiv 6xxxx8</t>
        </r>
      </text>
    </comment>
    <comment ref="A598" authorId="0" shapeId="0">
      <text>
        <r>
          <rPr>
            <b/>
            <sz val="9"/>
            <color indexed="81"/>
            <rFont val="Tahoma"/>
            <family val="2"/>
          </rPr>
          <t>Agnetha Simm:</t>
        </r>
        <r>
          <rPr>
            <sz val="9"/>
            <color indexed="81"/>
            <rFont val="Tahoma"/>
            <family val="2"/>
          </rPr>
          <t xml:space="preserve">
Fd fiktiv 6FRITUV1</t>
        </r>
      </text>
    </comment>
    <comment ref="A599" authorId="0" shapeId="0">
      <text>
        <r>
          <rPr>
            <b/>
            <sz val="9"/>
            <color indexed="81"/>
            <rFont val="Tahoma"/>
            <family val="2"/>
          </rPr>
          <t>Agnetha Simm:</t>
        </r>
        <r>
          <rPr>
            <sz val="9"/>
            <color indexed="81"/>
            <rFont val="Tahoma"/>
            <family val="2"/>
          </rPr>
          <t xml:space="preserve">
Ers 6PE189</t>
        </r>
      </text>
    </comment>
    <comment ref="A600" authorId="0" shapeId="0">
      <text>
        <r>
          <rPr>
            <b/>
            <sz val="9"/>
            <color indexed="81"/>
            <rFont val="Tahoma"/>
            <family val="2"/>
          </rPr>
          <t>Agnetha Simm:</t>
        </r>
        <r>
          <rPr>
            <sz val="9"/>
            <color indexed="81"/>
            <rFont val="Tahoma"/>
            <family val="2"/>
          </rPr>
          <t xml:space="preserve">
Ersätter 6PE158</t>
        </r>
      </text>
    </comment>
    <comment ref="A601" authorId="0" shapeId="0">
      <text>
        <r>
          <rPr>
            <b/>
            <sz val="9"/>
            <color indexed="81"/>
            <rFont val="Tahoma"/>
            <family val="2"/>
          </rPr>
          <t>Agnetha Simm:</t>
        </r>
        <r>
          <rPr>
            <sz val="9"/>
            <color indexed="81"/>
            <rFont val="Tahoma"/>
            <family val="2"/>
          </rPr>
          <t xml:space="preserve">
Ersätter 6PE159</t>
        </r>
      </text>
    </comment>
    <comment ref="A602" authorId="0" shapeId="0">
      <text>
        <r>
          <rPr>
            <b/>
            <sz val="9"/>
            <color indexed="81"/>
            <rFont val="Tahoma"/>
            <family val="2"/>
          </rPr>
          <t>Agnetha Simm:</t>
        </r>
        <r>
          <rPr>
            <sz val="9"/>
            <color indexed="81"/>
            <rFont val="Tahoma"/>
            <family val="2"/>
          </rPr>
          <t xml:space="preserve">
Ers 6PE215</t>
        </r>
      </text>
    </comment>
    <comment ref="A603" authorId="0" shapeId="0">
      <text>
        <r>
          <rPr>
            <b/>
            <sz val="9"/>
            <color indexed="81"/>
            <rFont val="Tahoma"/>
            <family val="2"/>
          </rPr>
          <t>Agnetha Simm:</t>
        </r>
        <r>
          <rPr>
            <sz val="9"/>
            <color indexed="81"/>
            <rFont val="Tahoma"/>
            <family val="2"/>
          </rPr>
          <t xml:space="preserve">
Ers 6PE196</t>
        </r>
      </text>
    </comment>
    <comment ref="A604" authorId="0" shapeId="0">
      <text>
        <r>
          <rPr>
            <b/>
            <sz val="9"/>
            <color indexed="81"/>
            <rFont val="Tahoma"/>
            <family val="2"/>
          </rPr>
          <t>Agnetha Simm:</t>
        </r>
        <r>
          <rPr>
            <sz val="9"/>
            <color indexed="81"/>
            <rFont val="Tahoma"/>
            <family val="2"/>
          </rPr>
          <t xml:space="preserve">
Ers 6BI019</t>
        </r>
      </text>
    </comment>
    <comment ref="A606" authorId="0" shapeId="0">
      <text>
        <r>
          <rPr>
            <b/>
            <sz val="9"/>
            <color indexed="81"/>
            <rFont val="Tahoma"/>
            <family val="2"/>
          </rPr>
          <t>Agnetha Simm:</t>
        </r>
        <r>
          <rPr>
            <sz val="9"/>
            <color indexed="81"/>
            <rFont val="Tahoma"/>
            <family val="2"/>
          </rPr>
          <t xml:space="preserve">
Ers 6SH303</t>
        </r>
      </text>
    </comment>
    <comment ref="A607" authorId="0" shapeId="0">
      <text>
        <r>
          <rPr>
            <b/>
            <sz val="9"/>
            <color indexed="81"/>
            <rFont val="Tahoma"/>
            <family val="2"/>
          </rPr>
          <t>Agnetha Simm:</t>
        </r>
        <r>
          <rPr>
            <sz val="9"/>
            <color indexed="81"/>
            <rFont val="Tahoma"/>
            <family val="2"/>
          </rPr>
          <t xml:space="preserve">
Ers fiktiv 6SOMPed1</t>
        </r>
      </text>
    </comment>
    <comment ref="A608" authorId="0" shapeId="0">
      <text>
        <r>
          <rPr>
            <b/>
            <sz val="9"/>
            <color indexed="81"/>
            <rFont val="Tahoma"/>
            <family val="2"/>
          </rPr>
          <t>Agnetha Simm:</t>
        </r>
        <r>
          <rPr>
            <sz val="9"/>
            <color indexed="81"/>
            <rFont val="Tahoma"/>
            <family val="2"/>
          </rPr>
          <t xml:space="preserve">
Fd fiktiv 6FRIPED2</t>
        </r>
      </text>
    </comment>
    <comment ref="A609" authorId="0" shapeId="0">
      <text>
        <r>
          <rPr>
            <b/>
            <sz val="9"/>
            <color indexed="81"/>
            <rFont val="Tahoma"/>
            <family val="2"/>
          </rPr>
          <t>Agnetha Simm:</t>
        </r>
        <r>
          <rPr>
            <sz val="9"/>
            <color indexed="81"/>
            <rFont val="Tahoma"/>
            <family val="2"/>
          </rPr>
          <t xml:space="preserve">
Ers fd 6PE231</t>
        </r>
      </text>
    </comment>
    <comment ref="A610" authorId="0" shapeId="0">
      <text>
        <r>
          <rPr>
            <b/>
            <sz val="9"/>
            <color indexed="81"/>
            <rFont val="Tahoma"/>
            <family val="2"/>
          </rPr>
          <t>Agnetha Simm:</t>
        </r>
        <r>
          <rPr>
            <sz val="9"/>
            <color indexed="81"/>
            <rFont val="Tahoma"/>
            <family val="2"/>
          </rPr>
          <t xml:space="preserve">
Ers fd 6PE230</t>
        </r>
      </text>
    </comment>
    <comment ref="A611" authorId="0" shapeId="0">
      <text>
        <r>
          <rPr>
            <b/>
            <sz val="9"/>
            <color indexed="81"/>
            <rFont val="Tahoma"/>
            <family val="2"/>
          </rPr>
          <t>Agnetha Simm:</t>
        </r>
        <r>
          <rPr>
            <sz val="9"/>
            <color indexed="81"/>
            <rFont val="Tahoma"/>
            <family val="2"/>
          </rPr>
          <t xml:space="preserve">
Ers fiktiv 6SPxx2b</t>
        </r>
      </text>
    </comment>
    <comment ref="A612" authorId="0" shapeId="0">
      <text>
        <r>
          <rPr>
            <b/>
            <sz val="9"/>
            <color indexed="81"/>
            <rFont val="Tahoma"/>
            <family val="2"/>
          </rPr>
          <t>Agnetha Simm:</t>
        </r>
        <r>
          <rPr>
            <sz val="9"/>
            <color indexed="81"/>
            <rFont val="Tahoma"/>
            <family val="2"/>
          </rPr>
          <t xml:space="preserve">
Fd fiktiv 6FRITUV2</t>
        </r>
      </text>
    </comment>
    <comment ref="A649" authorId="0" shapeId="0">
      <text>
        <r>
          <rPr>
            <b/>
            <sz val="9"/>
            <color indexed="81"/>
            <rFont val="Tahoma"/>
            <family val="2"/>
          </rPr>
          <t>Agnetha Simm:</t>
        </r>
        <r>
          <rPr>
            <sz val="9"/>
            <color indexed="81"/>
            <rFont val="Tahoma"/>
            <family val="2"/>
          </rPr>
          <t xml:space="preserve">
Ersätter 6RV001</t>
        </r>
      </text>
    </comment>
    <comment ref="A650" authorId="0" shapeId="0">
      <text>
        <r>
          <rPr>
            <b/>
            <sz val="9"/>
            <color indexed="81"/>
            <rFont val="Tahoma"/>
            <family val="2"/>
          </rPr>
          <t>Agnetha Simm:</t>
        </r>
        <r>
          <rPr>
            <sz val="9"/>
            <color indexed="81"/>
            <rFont val="Tahoma"/>
            <family val="2"/>
          </rPr>
          <t xml:space="preserve">
Ers 6RV000</t>
        </r>
      </text>
    </comment>
    <comment ref="A651" authorId="0" shapeId="0">
      <text>
        <r>
          <rPr>
            <b/>
            <sz val="9"/>
            <color indexed="81"/>
            <rFont val="Tahoma"/>
            <family val="2"/>
          </rPr>
          <t>Agnetha Simm:</t>
        </r>
        <r>
          <rPr>
            <sz val="9"/>
            <color indexed="81"/>
            <rFont val="Tahoma"/>
            <family val="2"/>
          </rPr>
          <t xml:space="preserve">
Ers 6RV002</t>
        </r>
      </text>
    </comment>
    <comment ref="A658" authorId="0" shapeId="0">
      <text>
        <r>
          <rPr>
            <b/>
            <sz val="9"/>
            <color indexed="81"/>
            <rFont val="Tahoma"/>
            <family val="2"/>
          </rPr>
          <t>Agnetha Simm:</t>
        </r>
        <r>
          <rPr>
            <sz val="9"/>
            <color indexed="81"/>
            <rFont val="Tahoma"/>
            <family val="2"/>
          </rPr>
          <t xml:space="preserve">
Ers fiktiv 6SAund</t>
        </r>
      </text>
    </comment>
    <comment ref="A669" authorId="0" shapeId="0">
      <text>
        <r>
          <rPr>
            <b/>
            <sz val="9"/>
            <color indexed="81"/>
            <rFont val="Tahoma"/>
            <family val="2"/>
          </rPr>
          <t>Agnetha Simm:</t>
        </r>
        <r>
          <rPr>
            <sz val="9"/>
            <color indexed="81"/>
            <rFont val="Tahoma"/>
            <family val="2"/>
          </rPr>
          <t xml:space="preserve">
Ers 6LI004</t>
        </r>
      </text>
    </comment>
    <comment ref="A670" authorId="0" shapeId="0">
      <text>
        <r>
          <rPr>
            <b/>
            <sz val="9"/>
            <color indexed="81"/>
            <rFont val="Tahoma"/>
            <family val="2"/>
          </rPr>
          <t>Agnetha Simm:</t>
        </r>
        <r>
          <rPr>
            <sz val="9"/>
            <color indexed="81"/>
            <rFont val="Tahoma"/>
            <family val="2"/>
          </rPr>
          <t xml:space="preserve">
Ers fiktiv 6SPxx2a</t>
        </r>
      </text>
    </comment>
    <comment ref="A671" authorId="0" shapeId="0">
      <text>
        <r>
          <rPr>
            <b/>
            <sz val="9"/>
            <color indexed="81"/>
            <rFont val="Tahoma"/>
            <family val="2"/>
          </rPr>
          <t>Agnetha Simm:</t>
        </r>
        <r>
          <rPr>
            <sz val="9"/>
            <color indexed="81"/>
            <rFont val="Tahoma"/>
            <family val="2"/>
          </rPr>
          <t xml:space="preserve">
Ers fiktiv 6SPxx3</t>
        </r>
      </text>
    </comment>
    <comment ref="A680" authorId="0" shapeId="0">
      <text>
        <r>
          <rPr>
            <b/>
            <sz val="9"/>
            <color indexed="81"/>
            <rFont val="Tahoma"/>
            <family val="2"/>
          </rPr>
          <t>Agnetha Simm:</t>
        </r>
        <r>
          <rPr>
            <sz val="9"/>
            <color indexed="81"/>
            <rFont val="Tahoma"/>
            <family val="2"/>
          </rPr>
          <t xml:space="preserve">
Se 6PE119</t>
        </r>
      </text>
    </comment>
    <comment ref="A693" authorId="0" shapeId="0">
      <text>
        <r>
          <rPr>
            <b/>
            <sz val="9"/>
            <color indexed="81"/>
            <rFont val="Tahoma"/>
            <family val="2"/>
          </rPr>
          <t>Agnetha Simm:</t>
        </r>
        <r>
          <rPr>
            <sz val="9"/>
            <color indexed="81"/>
            <rFont val="Tahoma"/>
            <family val="2"/>
          </rPr>
          <t xml:space="preserve">
Fd 6FRIEST6</t>
        </r>
      </text>
    </comment>
    <comment ref="A697" authorId="0" shapeId="0">
      <text>
        <r>
          <rPr>
            <b/>
            <sz val="9"/>
            <color indexed="81"/>
            <rFont val="Tahoma"/>
            <family val="2"/>
          </rPr>
          <t>Agnetha Simm:</t>
        </r>
        <r>
          <rPr>
            <sz val="9"/>
            <color indexed="81"/>
            <rFont val="Tahoma"/>
            <family val="2"/>
          </rPr>
          <t xml:space="preserve">
Fd fiktiv 6SLxx3</t>
        </r>
      </text>
    </comment>
    <comment ref="A698" authorId="0" shapeId="0">
      <text>
        <r>
          <rPr>
            <b/>
            <sz val="9"/>
            <color indexed="81"/>
            <rFont val="Tahoma"/>
            <family val="2"/>
          </rPr>
          <t>Agnetha Simm:</t>
        </r>
        <r>
          <rPr>
            <sz val="9"/>
            <color indexed="81"/>
            <rFont val="Tahoma"/>
            <family val="2"/>
          </rPr>
          <t xml:space="preserve">
fd fiktiv 6FRIEST1</t>
        </r>
      </text>
    </comment>
    <comment ref="A704" authorId="0" shapeId="0">
      <text>
        <r>
          <rPr>
            <b/>
            <sz val="9"/>
            <color indexed="81"/>
            <rFont val="Tahoma"/>
            <family val="2"/>
          </rPr>
          <t>Agnetha Simm:</t>
        </r>
        <r>
          <rPr>
            <sz val="9"/>
            <color indexed="81"/>
            <rFont val="Tahoma"/>
            <family val="2"/>
          </rPr>
          <t xml:space="preserve">
Fd 6FRISPRÅK8</t>
        </r>
      </text>
    </comment>
    <comment ref="A711" authorId="0" shapeId="0">
      <text>
        <r>
          <rPr>
            <b/>
            <sz val="9"/>
            <color indexed="81"/>
            <rFont val="Tahoma"/>
            <family val="2"/>
          </rPr>
          <t>Agnetha Simm:</t>
        </r>
        <r>
          <rPr>
            <sz val="9"/>
            <color indexed="81"/>
            <rFont val="Tahoma"/>
            <family val="2"/>
          </rPr>
          <t xml:space="preserve">
Ers 6SP038</t>
        </r>
      </text>
    </comment>
    <comment ref="A712" authorId="0" shapeId="0">
      <text>
        <r>
          <rPr>
            <b/>
            <sz val="9"/>
            <color indexed="81"/>
            <rFont val="Tahoma"/>
            <family val="2"/>
          </rPr>
          <t>Agnetha Simm:</t>
        </r>
        <r>
          <rPr>
            <sz val="9"/>
            <color indexed="81"/>
            <rFont val="Tahoma"/>
            <family val="2"/>
          </rPr>
          <t xml:space="preserve">
Ers 6SP039</t>
        </r>
      </text>
    </comment>
    <comment ref="A714" authorId="0" shapeId="0">
      <text>
        <r>
          <rPr>
            <b/>
            <sz val="9"/>
            <color indexed="81"/>
            <rFont val="Tahoma"/>
            <family val="2"/>
          </rPr>
          <t>Agnetha Simm:</t>
        </r>
        <r>
          <rPr>
            <sz val="9"/>
            <color indexed="81"/>
            <rFont val="Tahoma"/>
            <family val="2"/>
          </rPr>
          <t xml:space="preserve">
Ers 6SP040</t>
        </r>
      </text>
    </comment>
    <comment ref="A715" authorId="0" shapeId="0">
      <text>
        <r>
          <rPr>
            <b/>
            <sz val="9"/>
            <color indexed="81"/>
            <rFont val="Tahoma"/>
            <family val="2"/>
          </rPr>
          <t>Agnetha Simm:</t>
        </r>
        <r>
          <rPr>
            <sz val="9"/>
            <color indexed="81"/>
            <rFont val="Tahoma"/>
            <family val="2"/>
          </rPr>
          <t xml:space="preserve">
Ers 6SP049</t>
        </r>
      </text>
    </comment>
    <comment ref="A716" authorId="0" shapeId="0">
      <text>
        <r>
          <rPr>
            <b/>
            <sz val="9"/>
            <color indexed="81"/>
            <rFont val="Tahoma"/>
            <family val="2"/>
          </rPr>
          <t>Agnetha Simm:</t>
        </r>
        <r>
          <rPr>
            <sz val="9"/>
            <color indexed="81"/>
            <rFont val="Tahoma"/>
            <family val="2"/>
          </rPr>
          <t xml:space="preserve">
Ers 6SP048</t>
        </r>
      </text>
    </comment>
    <comment ref="A717" authorId="0" shapeId="0">
      <text>
        <r>
          <rPr>
            <b/>
            <sz val="9"/>
            <color indexed="81"/>
            <rFont val="Tahoma"/>
            <family val="2"/>
          </rPr>
          <t>Agnetha Simm:</t>
        </r>
        <r>
          <rPr>
            <sz val="9"/>
            <color indexed="81"/>
            <rFont val="Tahoma"/>
            <family val="2"/>
          </rPr>
          <t xml:space="preserve">
Fd fiktiv 6FRITUV1</t>
        </r>
      </text>
    </comment>
    <comment ref="A718" authorId="0" shapeId="0">
      <text>
        <r>
          <rPr>
            <b/>
            <sz val="9"/>
            <color indexed="81"/>
            <rFont val="Tahoma"/>
            <family val="2"/>
          </rPr>
          <t>Agnetha Simm:</t>
        </r>
        <r>
          <rPr>
            <sz val="9"/>
            <color indexed="81"/>
            <rFont val="Tahoma"/>
            <family val="2"/>
          </rPr>
          <t xml:space="preserve">
Ersätter 6SP024</t>
        </r>
      </text>
    </comment>
    <comment ref="A719" authorId="0" shapeId="0">
      <text>
        <r>
          <rPr>
            <b/>
            <sz val="9"/>
            <color indexed="81"/>
            <rFont val="Tahoma"/>
            <family val="2"/>
          </rPr>
          <t>Agnetha Simm:</t>
        </r>
        <r>
          <rPr>
            <sz val="9"/>
            <color indexed="81"/>
            <rFont val="Tahoma"/>
            <family val="2"/>
          </rPr>
          <t xml:space="preserve">
Ers fiktiv 6SPxx1</t>
        </r>
      </text>
    </comment>
    <comment ref="A720" authorId="0" shapeId="0">
      <text>
        <r>
          <rPr>
            <b/>
            <sz val="9"/>
            <color indexed="81"/>
            <rFont val="Tahoma"/>
            <family val="2"/>
          </rPr>
          <t>Agnetha Simm:</t>
        </r>
        <r>
          <rPr>
            <sz val="9"/>
            <color indexed="81"/>
            <rFont val="Tahoma"/>
            <family val="2"/>
          </rPr>
          <t xml:space="preserve">
Ers fiktiv 6SPxx2c</t>
        </r>
      </text>
    </comment>
    <comment ref="A721" authorId="0" shapeId="0">
      <text>
        <r>
          <rPr>
            <b/>
            <sz val="9"/>
            <color indexed="81"/>
            <rFont val="Tahoma"/>
            <family val="2"/>
          </rPr>
          <t>Agnetha Simm:</t>
        </r>
        <r>
          <rPr>
            <sz val="9"/>
            <color indexed="81"/>
            <rFont val="Tahoma"/>
            <family val="2"/>
          </rPr>
          <t xml:space="preserve">
Ers fiktiv 6SPxx2</t>
        </r>
      </text>
    </comment>
    <comment ref="A754" authorId="0" shapeId="0">
      <text>
        <r>
          <rPr>
            <b/>
            <sz val="9"/>
            <color indexed="81"/>
            <rFont val="Tahoma"/>
            <family val="2"/>
          </rPr>
          <t>Agnetha Simm:</t>
        </r>
        <r>
          <rPr>
            <sz val="9"/>
            <color indexed="81"/>
            <rFont val="Tahoma"/>
            <family val="2"/>
          </rPr>
          <t xml:space="preserve">
Ers 6SVund</t>
        </r>
      </text>
    </comment>
    <comment ref="A755" authorId="0" shapeId="0">
      <text>
        <r>
          <rPr>
            <b/>
            <sz val="9"/>
            <color indexed="81"/>
            <rFont val="Tahoma"/>
            <family val="2"/>
          </rPr>
          <t>Agnetha Simm:</t>
        </r>
        <r>
          <rPr>
            <sz val="9"/>
            <color indexed="81"/>
            <rFont val="Tahoma"/>
            <family val="2"/>
          </rPr>
          <t xml:space="preserve">
Ersätter 6SV034</t>
        </r>
      </text>
    </comment>
    <comment ref="A765" authorId="0" shapeId="0">
      <text>
        <r>
          <rPr>
            <b/>
            <sz val="9"/>
            <color indexed="81"/>
            <rFont val="Tahoma"/>
            <family val="2"/>
          </rPr>
          <t>Agnetha Simm:</t>
        </r>
        <r>
          <rPr>
            <sz val="9"/>
            <color indexed="81"/>
            <rFont val="Tahoma"/>
            <family val="2"/>
          </rPr>
          <t xml:space="preserve">
Ersätter fiktiv 6SOMSpråk1</t>
        </r>
      </text>
    </comment>
    <comment ref="A803" authorId="0" shapeId="0">
      <text>
        <r>
          <rPr>
            <b/>
            <sz val="9"/>
            <color indexed="81"/>
            <rFont val="Tahoma"/>
            <family val="2"/>
          </rPr>
          <t>Agnetha Simm:</t>
        </r>
        <r>
          <rPr>
            <sz val="9"/>
            <color indexed="81"/>
            <rFont val="Tahoma"/>
            <family val="2"/>
          </rPr>
          <t xml:space="preserve">
Fd 6NYFRIST23</t>
        </r>
      </text>
    </comment>
    <comment ref="A805" authorId="0" shapeId="0">
      <text>
        <r>
          <rPr>
            <b/>
            <sz val="9"/>
            <color indexed="81"/>
            <rFont val="Tahoma"/>
            <family val="2"/>
          </rPr>
          <t>Agnetha Simm:</t>
        </r>
        <r>
          <rPr>
            <sz val="9"/>
            <color indexed="81"/>
            <rFont val="Tahoma"/>
            <family val="2"/>
          </rPr>
          <t xml:space="preserve">
Fd 6FRIEST5</t>
        </r>
      </text>
    </comment>
    <comment ref="A806" authorId="0" shapeId="0">
      <text>
        <r>
          <rPr>
            <b/>
            <sz val="9"/>
            <color indexed="81"/>
            <rFont val="Tahoma"/>
            <family val="2"/>
          </rPr>
          <t>Agnetha Simm:</t>
        </r>
        <r>
          <rPr>
            <sz val="9"/>
            <color indexed="81"/>
            <rFont val="Tahoma"/>
            <family val="2"/>
          </rPr>
          <t xml:space="preserve">
Fd fiktiv 6FRIEST3</t>
        </r>
      </text>
    </comment>
    <comment ref="A807" authorId="0" shapeId="0">
      <text>
        <r>
          <rPr>
            <b/>
            <sz val="9"/>
            <color indexed="81"/>
            <rFont val="Tahoma"/>
            <family val="2"/>
          </rPr>
          <t>Agnetha Simm:</t>
        </r>
        <r>
          <rPr>
            <sz val="9"/>
            <color indexed="81"/>
            <rFont val="Tahoma"/>
            <family val="2"/>
          </rPr>
          <t xml:space="preserve">
Fd fiktiv 6FRIEST9</t>
        </r>
      </text>
    </comment>
    <comment ref="A808" authorId="0" shapeId="0">
      <text>
        <r>
          <rPr>
            <b/>
            <sz val="9"/>
            <color indexed="81"/>
            <rFont val="Tahoma"/>
            <family val="2"/>
          </rPr>
          <t>Agnetha Simm:</t>
        </r>
        <r>
          <rPr>
            <sz val="9"/>
            <color indexed="81"/>
            <rFont val="Tahoma"/>
            <family val="2"/>
          </rPr>
          <t xml:space="preserve">
Fd 6FRIEST8</t>
        </r>
      </text>
    </comment>
    <comment ref="A810" authorId="0" shapeId="0">
      <text>
        <r>
          <rPr>
            <b/>
            <sz val="9"/>
            <color indexed="81"/>
            <rFont val="Tahoma"/>
            <family val="2"/>
          </rPr>
          <t>Agnetha Simm:</t>
        </r>
        <r>
          <rPr>
            <sz val="9"/>
            <color indexed="81"/>
            <rFont val="Tahoma"/>
            <family val="2"/>
          </rPr>
          <t xml:space="preserve">
Fd fiktiv 6TXxx3</t>
        </r>
      </text>
    </comment>
    <comment ref="A811" authorId="0" shapeId="0">
      <text>
        <r>
          <rPr>
            <b/>
            <sz val="9"/>
            <color indexed="81"/>
            <rFont val="Tahoma"/>
            <family val="2"/>
          </rPr>
          <t>Agnetha Simm:</t>
        </r>
        <r>
          <rPr>
            <sz val="9"/>
            <color indexed="81"/>
            <rFont val="Tahoma"/>
            <family val="2"/>
          </rPr>
          <t xml:space="preserve">
fd fiktiv 6FRIEST2</t>
        </r>
      </text>
    </comment>
    <comment ref="A812" authorId="0" shapeId="0">
      <text>
        <r>
          <rPr>
            <b/>
            <sz val="9"/>
            <color indexed="81"/>
            <rFont val="Tahoma"/>
            <family val="2"/>
          </rPr>
          <t>Agnetha Simm:</t>
        </r>
        <r>
          <rPr>
            <sz val="9"/>
            <color indexed="81"/>
            <rFont val="Tahoma"/>
            <family val="2"/>
          </rPr>
          <t xml:space="preserve">
Ers 6TX018</t>
        </r>
      </text>
    </comment>
    <comment ref="A816" authorId="0" shapeId="0">
      <text>
        <r>
          <rPr>
            <b/>
            <sz val="9"/>
            <color indexed="81"/>
            <rFont val="Tahoma"/>
            <family val="2"/>
          </rPr>
          <t>Agnetha Simm:</t>
        </r>
        <r>
          <rPr>
            <sz val="9"/>
            <color indexed="81"/>
            <rFont val="Tahoma"/>
            <family val="2"/>
          </rPr>
          <t xml:space="preserve">
Fd 6FRISPRÅK2</t>
        </r>
      </text>
    </comment>
    <comment ref="A817" authorId="0" shapeId="0">
      <text>
        <r>
          <rPr>
            <b/>
            <sz val="9"/>
            <color indexed="81"/>
            <rFont val="Tahoma"/>
            <family val="2"/>
          </rPr>
          <t>Agnetha Simm:</t>
        </r>
        <r>
          <rPr>
            <sz val="9"/>
            <color indexed="81"/>
            <rFont val="Tahoma"/>
            <family val="2"/>
          </rPr>
          <t xml:space="preserve">
Ers 6TYund</t>
        </r>
      </text>
    </comment>
  </commentList>
</comments>
</file>

<file path=xl/comments11.xml><?xml version="1.0" encoding="utf-8"?>
<comments xmlns="http://schemas.openxmlformats.org/spreadsheetml/2006/main">
  <authors>
    <author>Agnetha Simm</author>
  </authors>
  <commentList>
    <comment ref="A5" authorId="0" shapeId="0">
      <text>
        <r>
          <rPr>
            <b/>
            <sz val="9"/>
            <color indexed="81"/>
            <rFont val="Tahoma"/>
            <family val="2"/>
          </rPr>
          <t>Agnetha Simm:</t>
        </r>
        <r>
          <rPr>
            <sz val="9"/>
            <color indexed="81"/>
            <rFont val="Tahoma"/>
            <family val="2"/>
          </rPr>
          <t xml:space="preserve">
Ersätter 6ID301</t>
        </r>
      </text>
    </comment>
    <comment ref="A6" authorId="0" shapeId="0">
      <text>
        <r>
          <rPr>
            <b/>
            <sz val="9"/>
            <color indexed="81"/>
            <rFont val="Tahoma"/>
            <family val="2"/>
          </rPr>
          <t>Agnetha Simm:</t>
        </r>
        <r>
          <rPr>
            <sz val="9"/>
            <color indexed="81"/>
            <rFont val="Tahoma"/>
            <family val="2"/>
          </rPr>
          <t xml:space="preserve">
Ersätter 6ID301</t>
        </r>
      </text>
    </comment>
    <comment ref="A7" authorId="0" shapeId="0">
      <text>
        <r>
          <rPr>
            <b/>
            <sz val="9"/>
            <color indexed="81"/>
            <rFont val="Tahoma"/>
            <family val="2"/>
          </rPr>
          <t>Agnetha Simm:</t>
        </r>
        <r>
          <rPr>
            <sz val="9"/>
            <color indexed="81"/>
            <rFont val="Tahoma"/>
            <family val="2"/>
          </rPr>
          <t xml:space="preserve">
Ers 6ID303</t>
        </r>
      </text>
    </comment>
    <comment ref="A10" authorId="0" shapeId="0">
      <text>
        <r>
          <rPr>
            <b/>
            <sz val="9"/>
            <color indexed="81"/>
            <rFont val="Tahoma"/>
            <family val="2"/>
          </rPr>
          <t>Agnetha Simm:</t>
        </r>
        <r>
          <rPr>
            <sz val="9"/>
            <color indexed="81"/>
            <rFont val="Tahoma"/>
            <family val="2"/>
          </rPr>
          <t xml:space="preserve">
Ers fiktiv 6GExx4</t>
        </r>
      </text>
    </comment>
    <comment ref="A11" authorId="0" shapeId="0">
      <text>
        <r>
          <rPr>
            <b/>
            <sz val="9"/>
            <color indexed="81"/>
            <rFont val="Tahoma"/>
            <family val="2"/>
          </rPr>
          <t>Agnetha Simm:</t>
        </r>
        <r>
          <rPr>
            <sz val="9"/>
            <color indexed="81"/>
            <rFont val="Tahoma"/>
            <family val="2"/>
          </rPr>
          <t xml:space="preserve">
Ersätter 6LI005</t>
        </r>
      </text>
    </comment>
    <comment ref="A76" authorId="0" shapeId="0">
      <text>
        <r>
          <rPr>
            <b/>
            <sz val="9"/>
            <color indexed="81"/>
            <rFont val="Tahoma"/>
            <family val="2"/>
          </rPr>
          <t>Agnetha Simm:</t>
        </r>
        <r>
          <rPr>
            <sz val="9"/>
            <color indexed="81"/>
            <rFont val="Tahoma"/>
            <family val="2"/>
          </rPr>
          <t xml:space="preserve">
Ers 6PE189</t>
        </r>
      </text>
    </comment>
    <comment ref="A77" authorId="0" shapeId="0">
      <text>
        <r>
          <rPr>
            <b/>
            <sz val="9"/>
            <color indexed="81"/>
            <rFont val="Tahoma"/>
            <family val="2"/>
          </rPr>
          <t>Agnetha Simm:</t>
        </r>
        <r>
          <rPr>
            <sz val="9"/>
            <color indexed="81"/>
            <rFont val="Tahoma"/>
            <family val="2"/>
          </rPr>
          <t xml:space="preserve">
Ers 6PE189</t>
        </r>
      </text>
    </comment>
    <comment ref="A78" authorId="0" shapeId="0">
      <text>
        <r>
          <rPr>
            <b/>
            <sz val="9"/>
            <color indexed="81"/>
            <rFont val="Tahoma"/>
            <family val="2"/>
          </rPr>
          <t>Agnetha Simm:</t>
        </r>
        <r>
          <rPr>
            <sz val="9"/>
            <color indexed="81"/>
            <rFont val="Tahoma"/>
            <family val="2"/>
          </rPr>
          <t xml:space="preserve">
Ersätter 6PE158</t>
        </r>
      </text>
    </comment>
    <comment ref="A79" authorId="0" shapeId="0">
      <text>
        <r>
          <rPr>
            <b/>
            <sz val="9"/>
            <color indexed="81"/>
            <rFont val="Tahoma"/>
            <family val="2"/>
          </rPr>
          <t>Agnetha Simm:</t>
        </r>
        <r>
          <rPr>
            <sz val="9"/>
            <color indexed="81"/>
            <rFont val="Tahoma"/>
            <family val="2"/>
          </rPr>
          <t xml:space="preserve">
Ersätter 6PE159</t>
        </r>
      </text>
    </comment>
    <comment ref="A80" authorId="0" shapeId="0">
      <text>
        <r>
          <rPr>
            <b/>
            <sz val="9"/>
            <color indexed="81"/>
            <rFont val="Tahoma"/>
            <family val="2"/>
          </rPr>
          <t>Agnetha Simm:</t>
        </r>
        <r>
          <rPr>
            <sz val="9"/>
            <color indexed="81"/>
            <rFont val="Tahoma"/>
            <family val="2"/>
          </rPr>
          <t xml:space="preserve">
Ers 6PE196</t>
        </r>
      </text>
    </comment>
    <comment ref="A81" authorId="0" shapeId="0">
      <text>
        <r>
          <rPr>
            <b/>
            <sz val="9"/>
            <color indexed="81"/>
            <rFont val="Tahoma"/>
            <family val="2"/>
          </rPr>
          <t>Agnetha Simm:</t>
        </r>
        <r>
          <rPr>
            <sz val="9"/>
            <color indexed="81"/>
            <rFont val="Tahoma"/>
            <family val="2"/>
          </rPr>
          <t xml:space="preserve">
Ers 6PE196</t>
        </r>
      </text>
    </comment>
    <comment ref="A99" authorId="0" shapeId="0">
      <text>
        <r>
          <rPr>
            <b/>
            <sz val="9"/>
            <color indexed="81"/>
            <rFont val="Tahoma"/>
            <family val="2"/>
          </rPr>
          <t>Agnetha Simm:</t>
        </r>
        <r>
          <rPr>
            <sz val="9"/>
            <color indexed="81"/>
            <rFont val="Tahoma"/>
            <family val="2"/>
          </rPr>
          <t xml:space="preserve">
Ersätter 6SP040</t>
        </r>
      </text>
    </comment>
  </commentList>
</comments>
</file>

<file path=xl/comments2.xml><?xml version="1.0" encoding="utf-8"?>
<comments xmlns="http://schemas.openxmlformats.org/spreadsheetml/2006/main">
  <authors>
    <author>Agnetha Simm</author>
  </authors>
  <commentList>
    <comment ref="D7" authorId="0" shapeId="0">
      <text>
        <r>
          <rPr>
            <b/>
            <sz val="9"/>
            <color indexed="81"/>
            <rFont val="Tahoma"/>
            <family val="2"/>
          </rPr>
          <t>Agnetha Simm:</t>
        </r>
        <r>
          <rPr>
            <sz val="9"/>
            <color indexed="81"/>
            <rFont val="Tahoma"/>
            <family val="2"/>
          </rPr>
          <t xml:space="preserve">
OBS! Se justering musik/design</t>
        </r>
      </text>
    </comment>
    <comment ref="E7" authorId="0" shapeId="0">
      <text>
        <r>
          <rPr>
            <b/>
            <sz val="9"/>
            <color indexed="81"/>
            <rFont val="Tahoma"/>
            <family val="2"/>
          </rPr>
          <t>Agnetha Simm:</t>
        </r>
        <r>
          <rPr>
            <sz val="9"/>
            <color indexed="81"/>
            <rFont val="Tahoma"/>
            <family val="2"/>
          </rPr>
          <t xml:space="preserve">
OBS! Se justering musik/design</t>
        </r>
      </text>
    </comment>
  </commentList>
</comments>
</file>

<file path=xl/comments3.xml><?xml version="1.0" encoding="utf-8"?>
<comments xmlns="http://schemas.openxmlformats.org/spreadsheetml/2006/main">
  <authors>
    <author>Agnetha Simm</author>
  </authors>
  <commentList>
    <comment ref="U9" authorId="0" shapeId="0">
      <text>
        <r>
          <rPr>
            <b/>
            <sz val="9"/>
            <color indexed="81"/>
            <rFont val="Tahoma"/>
            <family val="2"/>
          </rPr>
          <t>Agnetha Simm:</t>
        </r>
        <r>
          <rPr>
            <sz val="9"/>
            <color indexed="81"/>
            <rFont val="Tahoma"/>
            <family val="2"/>
          </rPr>
          <t xml:space="preserve">
Reduceras med justering av musik/design</t>
        </r>
      </text>
    </comment>
    <comment ref="V9" authorId="0" shapeId="0">
      <text>
        <r>
          <rPr>
            <b/>
            <sz val="9"/>
            <color indexed="81"/>
            <rFont val="Tahoma"/>
            <family val="2"/>
          </rPr>
          <t>Agnetha Simm:</t>
        </r>
        <r>
          <rPr>
            <sz val="9"/>
            <color indexed="81"/>
            <rFont val="Tahoma"/>
            <family val="2"/>
          </rPr>
          <t xml:space="preserve">
Reduceras med justering av musik/design</t>
        </r>
      </text>
    </comment>
    <comment ref="D12" authorId="0" shapeId="0">
      <text>
        <r>
          <rPr>
            <b/>
            <sz val="9"/>
            <color indexed="81"/>
            <rFont val="Tahoma"/>
            <family val="2"/>
          </rPr>
          <t>Agnetha Simm:</t>
        </r>
        <r>
          <rPr>
            <sz val="9"/>
            <color indexed="81"/>
            <rFont val="Tahoma"/>
            <family val="2"/>
          </rPr>
          <t xml:space="preserve">
Reducerat med justering av musik/design</t>
        </r>
      </text>
    </comment>
    <comment ref="E12" authorId="0" shapeId="0">
      <text>
        <r>
          <rPr>
            <b/>
            <sz val="9"/>
            <color indexed="81"/>
            <rFont val="Tahoma"/>
            <family val="2"/>
          </rPr>
          <t>Agnetha Simm:</t>
        </r>
        <r>
          <rPr>
            <sz val="9"/>
            <color indexed="81"/>
            <rFont val="Tahoma"/>
            <family val="2"/>
          </rPr>
          <t xml:space="preserve">
Reducerat med justering av musik/design</t>
        </r>
      </text>
    </comment>
  </commentList>
</comments>
</file>

<file path=xl/comments4.xml><?xml version="1.0" encoding="utf-8"?>
<comments xmlns="http://schemas.openxmlformats.org/spreadsheetml/2006/main">
  <authors>
    <author>Agnetha Simm</author>
  </authors>
  <commentList>
    <comment ref="U9" authorId="0" shapeId="0">
      <text>
        <r>
          <rPr>
            <b/>
            <sz val="9"/>
            <color indexed="81"/>
            <rFont val="Tahoma"/>
            <family val="2"/>
          </rPr>
          <t>Agnetha Simm:</t>
        </r>
        <r>
          <rPr>
            <sz val="9"/>
            <color indexed="81"/>
            <rFont val="Tahoma"/>
            <family val="2"/>
          </rPr>
          <t xml:space="preserve">
Reduceras med justering av musik/design</t>
        </r>
      </text>
    </comment>
    <comment ref="V9" authorId="0" shapeId="0">
      <text>
        <r>
          <rPr>
            <b/>
            <sz val="9"/>
            <color indexed="81"/>
            <rFont val="Tahoma"/>
            <family val="2"/>
          </rPr>
          <t>Agnetha Simm:</t>
        </r>
        <r>
          <rPr>
            <sz val="9"/>
            <color indexed="81"/>
            <rFont val="Tahoma"/>
            <family val="2"/>
          </rPr>
          <t xml:space="preserve">
Reduceras med justering av musik/design</t>
        </r>
      </text>
    </comment>
    <comment ref="D12" authorId="0" shapeId="0">
      <text>
        <r>
          <rPr>
            <b/>
            <sz val="9"/>
            <color indexed="81"/>
            <rFont val="Tahoma"/>
            <family val="2"/>
          </rPr>
          <t>Agnetha Simm:</t>
        </r>
        <r>
          <rPr>
            <sz val="9"/>
            <color indexed="81"/>
            <rFont val="Tahoma"/>
            <family val="2"/>
          </rPr>
          <t xml:space="preserve">
Reducerat med justering av musik/design</t>
        </r>
      </text>
    </comment>
    <comment ref="E12" authorId="0" shapeId="0">
      <text>
        <r>
          <rPr>
            <b/>
            <sz val="9"/>
            <color indexed="81"/>
            <rFont val="Tahoma"/>
            <family val="2"/>
          </rPr>
          <t>Agnetha Simm:</t>
        </r>
        <r>
          <rPr>
            <sz val="9"/>
            <color indexed="81"/>
            <rFont val="Tahoma"/>
            <family val="2"/>
          </rPr>
          <t xml:space="preserve">
Reducerat med justering av musik/design</t>
        </r>
      </text>
    </comment>
  </commentList>
</comments>
</file>

<file path=xl/comments5.xml><?xml version="1.0" encoding="utf-8"?>
<comments xmlns="http://schemas.openxmlformats.org/spreadsheetml/2006/main">
  <authors>
    <author>Agnetha Simm</author>
  </authors>
  <commentList>
    <comment ref="U9" authorId="0" shapeId="0">
      <text>
        <r>
          <rPr>
            <b/>
            <sz val="9"/>
            <color indexed="81"/>
            <rFont val="Tahoma"/>
            <family val="2"/>
          </rPr>
          <t>Agnetha Simm:</t>
        </r>
        <r>
          <rPr>
            <sz val="9"/>
            <color indexed="81"/>
            <rFont val="Tahoma"/>
            <family val="2"/>
          </rPr>
          <t xml:space="preserve">
Reduceras med justering av musik/design</t>
        </r>
      </text>
    </comment>
    <comment ref="V9" authorId="0" shapeId="0">
      <text>
        <r>
          <rPr>
            <b/>
            <sz val="9"/>
            <color indexed="81"/>
            <rFont val="Tahoma"/>
            <family val="2"/>
          </rPr>
          <t>Agnetha Simm:</t>
        </r>
        <r>
          <rPr>
            <sz val="9"/>
            <color indexed="81"/>
            <rFont val="Tahoma"/>
            <family val="2"/>
          </rPr>
          <t xml:space="preserve">
Reduceras med justering av musik/design</t>
        </r>
      </text>
    </comment>
    <comment ref="D12" authorId="0" shapeId="0">
      <text>
        <r>
          <rPr>
            <b/>
            <sz val="9"/>
            <color indexed="81"/>
            <rFont val="Tahoma"/>
            <family val="2"/>
          </rPr>
          <t>Agnetha Simm:</t>
        </r>
        <r>
          <rPr>
            <sz val="9"/>
            <color indexed="81"/>
            <rFont val="Tahoma"/>
            <family val="2"/>
          </rPr>
          <t xml:space="preserve">
Reducerat med justering av musik/design</t>
        </r>
      </text>
    </comment>
    <comment ref="E12" authorId="0" shapeId="0">
      <text>
        <r>
          <rPr>
            <b/>
            <sz val="9"/>
            <color indexed="81"/>
            <rFont val="Tahoma"/>
            <family val="2"/>
          </rPr>
          <t>Agnetha Simm:</t>
        </r>
        <r>
          <rPr>
            <sz val="9"/>
            <color indexed="81"/>
            <rFont val="Tahoma"/>
            <family val="2"/>
          </rPr>
          <t xml:space="preserve">
Reducerat med justering av musik/design</t>
        </r>
      </text>
    </comment>
  </commentList>
</comments>
</file>

<file path=xl/comments6.xml><?xml version="1.0" encoding="utf-8"?>
<comments xmlns="http://schemas.openxmlformats.org/spreadsheetml/2006/main">
  <authors>
    <author>Agnetha Simm</author>
  </authors>
  <commentList>
    <comment ref="U9" authorId="0" shapeId="0">
      <text>
        <r>
          <rPr>
            <b/>
            <sz val="9"/>
            <color indexed="81"/>
            <rFont val="Tahoma"/>
            <family val="2"/>
          </rPr>
          <t>Agnetha Simm:</t>
        </r>
        <r>
          <rPr>
            <sz val="9"/>
            <color indexed="81"/>
            <rFont val="Tahoma"/>
            <family val="2"/>
          </rPr>
          <t xml:space="preserve">
Reduceras med justering av musik/design</t>
        </r>
      </text>
    </comment>
    <comment ref="V9" authorId="0" shapeId="0">
      <text>
        <r>
          <rPr>
            <b/>
            <sz val="9"/>
            <color indexed="81"/>
            <rFont val="Tahoma"/>
            <family val="2"/>
          </rPr>
          <t>Agnetha Simm:</t>
        </r>
        <r>
          <rPr>
            <sz val="9"/>
            <color indexed="81"/>
            <rFont val="Tahoma"/>
            <family val="2"/>
          </rPr>
          <t xml:space="preserve">
Reduceras med justering av musik/design</t>
        </r>
      </text>
    </comment>
    <comment ref="D12" authorId="0" shapeId="0">
      <text>
        <r>
          <rPr>
            <b/>
            <sz val="9"/>
            <color indexed="81"/>
            <rFont val="Tahoma"/>
            <family val="2"/>
          </rPr>
          <t>Agnetha Simm:</t>
        </r>
        <r>
          <rPr>
            <sz val="9"/>
            <color indexed="81"/>
            <rFont val="Tahoma"/>
            <family val="2"/>
          </rPr>
          <t xml:space="preserve">
Reducerat med justering av musik/design</t>
        </r>
      </text>
    </comment>
    <comment ref="E12" authorId="0" shapeId="0">
      <text>
        <r>
          <rPr>
            <b/>
            <sz val="9"/>
            <color indexed="81"/>
            <rFont val="Tahoma"/>
            <family val="2"/>
          </rPr>
          <t>Agnetha Simm:</t>
        </r>
        <r>
          <rPr>
            <sz val="9"/>
            <color indexed="81"/>
            <rFont val="Tahoma"/>
            <family val="2"/>
          </rPr>
          <t xml:space="preserve">
Reducerat med justering av musik/design</t>
        </r>
      </text>
    </comment>
  </commentList>
</comments>
</file>

<file path=xl/comments7.xml><?xml version="1.0" encoding="utf-8"?>
<comments xmlns="http://schemas.openxmlformats.org/spreadsheetml/2006/main">
  <authors>
    <author>Agnetha Simm</author>
  </authors>
  <commentList>
    <comment ref="P2" authorId="0" shapeId="0">
      <text>
        <r>
          <rPr>
            <b/>
            <sz val="9"/>
            <color indexed="81"/>
            <rFont val="Tahoma"/>
            <family val="2"/>
          </rPr>
          <t>Agnetha Simm:</t>
        </r>
        <r>
          <rPr>
            <sz val="9"/>
            <color indexed="81"/>
            <rFont val="Tahoma"/>
            <family val="2"/>
          </rPr>
          <t xml:space="preserve">
Äskat 30, ställs in enl uppg från inst.</t>
        </r>
      </text>
    </comment>
    <comment ref="P3" authorId="0" shapeId="0">
      <text>
        <r>
          <rPr>
            <b/>
            <sz val="9"/>
            <color indexed="81"/>
            <rFont val="Tahoma"/>
            <family val="2"/>
          </rPr>
          <t>Agnetha Simm:</t>
        </r>
        <r>
          <rPr>
            <sz val="9"/>
            <color indexed="81"/>
            <rFont val="Tahoma"/>
            <family val="2"/>
          </rPr>
          <t xml:space="preserve">
Äskat 30</t>
        </r>
      </text>
    </comment>
  </commentList>
</comments>
</file>

<file path=xl/comments8.xml><?xml version="1.0" encoding="utf-8"?>
<comments xmlns="http://schemas.openxmlformats.org/spreadsheetml/2006/main">
  <authors>
    <author>Agnetha Simm</author>
  </authors>
  <commentList>
    <comment ref="A27" authorId="0" shapeId="0">
      <text>
        <r>
          <rPr>
            <b/>
            <sz val="9"/>
            <color indexed="81"/>
            <rFont val="Tahoma"/>
            <family val="2"/>
          </rPr>
          <t>Agnetha Simm:</t>
        </r>
        <r>
          <rPr>
            <sz val="9"/>
            <color indexed="81"/>
            <rFont val="Tahoma"/>
            <family val="2"/>
          </rPr>
          <t xml:space="preserve">
Ers 5BI151</t>
        </r>
      </text>
    </comment>
    <comment ref="A28" authorId="0" shapeId="0">
      <text>
        <r>
          <rPr>
            <b/>
            <sz val="9"/>
            <color indexed="81"/>
            <rFont val="Tahoma"/>
            <family val="2"/>
          </rPr>
          <t>Agnetha Simm:</t>
        </r>
        <r>
          <rPr>
            <sz val="9"/>
            <color indexed="81"/>
            <rFont val="Tahoma"/>
            <family val="2"/>
          </rPr>
          <t xml:space="preserve">
Ers 5BI204</t>
        </r>
      </text>
    </comment>
    <comment ref="A72" authorId="0" shapeId="0">
      <text>
        <r>
          <rPr>
            <b/>
            <sz val="9"/>
            <color indexed="81"/>
            <rFont val="Tahoma"/>
            <family val="2"/>
          </rPr>
          <t>Agnetha Simm:</t>
        </r>
        <r>
          <rPr>
            <sz val="9"/>
            <color indexed="81"/>
            <rFont val="Tahoma"/>
            <family val="2"/>
          </rPr>
          <t xml:space="preserve">
Ersätter 5BI184</t>
        </r>
      </text>
    </comment>
    <comment ref="A95" authorId="0" shapeId="0">
      <text>
        <r>
          <rPr>
            <b/>
            <sz val="9"/>
            <color indexed="81"/>
            <rFont val="Tahoma"/>
            <family val="2"/>
          </rPr>
          <t>Agnetha Simm:</t>
        </r>
        <r>
          <rPr>
            <sz val="9"/>
            <color indexed="81"/>
            <rFont val="Tahoma"/>
            <family val="2"/>
          </rPr>
          <t xml:space="preserve">
Ersätter 6EN028</t>
        </r>
      </text>
    </comment>
    <comment ref="A96" authorId="0" shapeId="0">
      <text>
        <r>
          <rPr>
            <b/>
            <sz val="9"/>
            <color indexed="81"/>
            <rFont val="Tahoma"/>
            <family val="2"/>
          </rPr>
          <t>Agnetha Simm:</t>
        </r>
        <r>
          <rPr>
            <sz val="9"/>
            <color indexed="81"/>
            <rFont val="Tahoma"/>
            <family val="2"/>
          </rPr>
          <t xml:space="preserve">
Fd 6EN021</t>
        </r>
      </text>
    </comment>
    <comment ref="A97" authorId="0" shapeId="0">
      <text>
        <r>
          <rPr>
            <b/>
            <sz val="9"/>
            <color indexed="81"/>
            <rFont val="Tahoma"/>
            <family val="2"/>
          </rPr>
          <t>Agnetha Simm:</t>
        </r>
        <r>
          <rPr>
            <sz val="9"/>
            <color indexed="81"/>
            <rFont val="Tahoma"/>
            <family val="2"/>
          </rPr>
          <t xml:space="preserve">
Fd 6EN023</t>
        </r>
      </text>
    </comment>
    <comment ref="A98" authorId="0" shapeId="0">
      <text>
        <r>
          <rPr>
            <b/>
            <sz val="9"/>
            <color indexed="81"/>
            <rFont val="Tahoma"/>
            <family val="2"/>
          </rPr>
          <t>Agnetha Simm:</t>
        </r>
        <r>
          <rPr>
            <sz val="9"/>
            <color indexed="81"/>
            <rFont val="Tahoma"/>
            <family val="2"/>
          </rPr>
          <t xml:space="preserve">
Ers 6EN022</t>
        </r>
      </text>
    </comment>
    <comment ref="A99" authorId="0" shapeId="0">
      <text>
        <r>
          <rPr>
            <b/>
            <sz val="9"/>
            <color indexed="81"/>
            <rFont val="Tahoma"/>
            <family val="2"/>
          </rPr>
          <t>Agnetha Simm:</t>
        </r>
        <r>
          <rPr>
            <sz val="9"/>
            <color indexed="81"/>
            <rFont val="Tahoma"/>
            <family val="2"/>
          </rPr>
          <t xml:space="preserve">
Ersätter 6EN024</t>
        </r>
      </text>
    </comment>
    <comment ref="A100" authorId="0" shapeId="0">
      <text>
        <r>
          <rPr>
            <b/>
            <sz val="9"/>
            <color indexed="81"/>
            <rFont val="Tahoma"/>
            <family val="2"/>
          </rPr>
          <t>Agnetha Simm:</t>
        </r>
        <r>
          <rPr>
            <sz val="9"/>
            <color indexed="81"/>
            <rFont val="Tahoma"/>
            <family val="2"/>
          </rPr>
          <t xml:space="preserve">
Ersätter 6EN025</t>
        </r>
      </text>
    </comment>
    <comment ref="A101" authorId="0" shapeId="0">
      <text>
        <r>
          <rPr>
            <b/>
            <sz val="9"/>
            <color indexed="81"/>
            <rFont val="Tahoma"/>
            <family val="2"/>
          </rPr>
          <t>Agnetha Simm:</t>
        </r>
        <r>
          <rPr>
            <sz val="9"/>
            <color indexed="81"/>
            <rFont val="Tahoma"/>
            <family val="2"/>
          </rPr>
          <t xml:space="preserve">
Ersätter fiktiv 6SOMSpråk2</t>
        </r>
      </text>
    </comment>
    <comment ref="A137" authorId="0" shapeId="0">
      <text>
        <r>
          <rPr>
            <b/>
            <sz val="9"/>
            <color indexed="81"/>
            <rFont val="Tahoma"/>
            <family val="2"/>
          </rPr>
          <t>Agnetha Simm:</t>
        </r>
        <r>
          <rPr>
            <sz val="9"/>
            <color indexed="81"/>
            <rFont val="Tahoma"/>
            <family val="2"/>
          </rPr>
          <t xml:space="preserve">
Fd fiktiv 6xxx15</t>
        </r>
      </text>
    </comment>
    <comment ref="A141" authorId="0" shapeId="0">
      <text>
        <r>
          <rPr>
            <b/>
            <sz val="9"/>
            <color indexed="81"/>
            <rFont val="Tahoma"/>
            <family val="2"/>
          </rPr>
          <t>Agnetha Simm:</t>
        </r>
        <r>
          <rPr>
            <sz val="9"/>
            <color indexed="81"/>
            <rFont val="Tahoma"/>
            <family val="2"/>
          </rPr>
          <t xml:space="preserve">
Fd fiktiv 6FRIEST7</t>
        </r>
      </text>
    </comment>
    <comment ref="B142" authorId="0" shapeId="0">
      <text>
        <r>
          <rPr>
            <b/>
            <sz val="9"/>
            <color indexed="81"/>
            <rFont val="Tahoma"/>
            <family val="2"/>
          </rPr>
          <t>Agnetha Simm:</t>
        </r>
        <r>
          <rPr>
            <sz val="9"/>
            <color indexed="81"/>
            <rFont val="Tahoma"/>
            <family val="2"/>
          </rPr>
          <t xml:space="preserve">
Bild/Slöjd</t>
        </r>
      </text>
    </comment>
    <comment ref="A146" authorId="0" shapeId="0">
      <text>
        <r>
          <rPr>
            <b/>
            <sz val="9"/>
            <color indexed="81"/>
            <rFont val="Tahoma"/>
            <family val="2"/>
          </rPr>
          <t>Agnetha Simm:</t>
        </r>
        <r>
          <rPr>
            <sz val="9"/>
            <color indexed="81"/>
            <rFont val="Tahoma"/>
            <family val="2"/>
          </rPr>
          <t xml:space="preserve">
fd fiktiv 6FRIEST6</t>
        </r>
      </text>
    </comment>
    <comment ref="A147" authorId="0" shapeId="0">
      <text>
        <r>
          <rPr>
            <b/>
            <sz val="9"/>
            <color indexed="81"/>
            <rFont val="Tahoma"/>
            <family val="2"/>
          </rPr>
          <t>Agnetha Simm:</t>
        </r>
        <r>
          <rPr>
            <sz val="9"/>
            <color indexed="81"/>
            <rFont val="Tahoma"/>
            <family val="2"/>
          </rPr>
          <t xml:space="preserve">
fd fiktiv 6FRIEST3</t>
        </r>
      </text>
    </comment>
    <comment ref="A148" authorId="0" shapeId="0">
      <text>
        <r>
          <rPr>
            <b/>
            <sz val="9"/>
            <color indexed="81"/>
            <rFont val="Tahoma"/>
            <family val="2"/>
          </rPr>
          <t>Agnetha Simm:</t>
        </r>
        <r>
          <rPr>
            <sz val="9"/>
            <color indexed="81"/>
            <rFont val="Tahoma"/>
            <family val="2"/>
          </rPr>
          <t xml:space="preserve">
fd fiktiv 6FRIEST4</t>
        </r>
      </text>
    </comment>
    <comment ref="A150" authorId="0" shapeId="0">
      <text>
        <r>
          <rPr>
            <b/>
            <sz val="9"/>
            <color indexed="81"/>
            <rFont val="Tahoma"/>
            <family val="2"/>
          </rPr>
          <t>Agnetha Simm:</t>
        </r>
        <r>
          <rPr>
            <sz val="9"/>
            <color indexed="81"/>
            <rFont val="Tahoma"/>
            <family val="2"/>
          </rPr>
          <t xml:space="preserve">
Ers fiktiv 6BIFÖ2</t>
        </r>
      </text>
    </comment>
    <comment ref="A152" authorId="0" shapeId="0">
      <text>
        <r>
          <rPr>
            <b/>
            <sz val="9"/>
            <color indexed="81"/>
            <rFont val="Tahoma"/>
            <family val="2"/>
          </rPr>
          <t>Agnetha Simm:</t>
        </r>
        <r>
          <rPr>
            <sz val="9"/>
            <color indexed="81"/>
            <rFont val="Tahoma"/>
            <family val="2"/>
          </rPr>
          <t xml:space="preserve">
Ers fd 6ES052
</t>
        </r>
      </text>
    </comment>
    <comment ref="A158" authorId="0" shapeId="0">
      <text>
        <r>
          <rPr>
            <b/>
            <sz val="9"/>
            <color indexed="81"/>
            <rFont val="Tahoma"/>
            <family val="2"/>
          </rPr>
          <t>Agnetha Simm:</t>
        </r>
        <r>
          <rPr>
            <sz val="9"/>
            <color indexed="81"/>
            <rFont val="Tahoma"/>
            <family val="2"/>
          </rPr>
          <t xml:space="preserve">
Ers fiktiv 6FRIEST3</t>
        </r>
      </text>
    </comment>
    <comment ref="A159" authorId="0" shapeId="0">
      <text>
        <r>
          <rPr>
            <b/>
            <sz val="9"/>
            <color indexed="81"/>
            <rFont val="Tahoma"/>
            <family val="2"/>
          </rPr>
          <t>Agnetha Simm:</t>
        </r>
        <r>
          <rPr>
            <sz val="9"/>
            <color indexed="81"/>
            <rFont val="Tahoma"/>
            <family val="2"/>
          </rPr>
          <t xml:space="preserve">
Ers 6ES031</t>
        </r>
      </text>
    </comment>
    <comment ref="A160" authorId="0" shapeId="0">
      <text>
        <r>
          <rPr>
            <b/>
            <sz val="9"/>
            <color indexed="81"/>
            <rFont val="Tahoma"/>
            <family val="2"/>
          </rPr>
          <t>Agnetha Simm:</t>
        </r>
        <r>
          <rPr>
            <sz val="9"/>
            <color indexed="81"/>
            <rFont val="Tahoma"/>
            <family val="2"/>
          </rPr>
          <t xml:space="preserve">
Ers fd 6ES069</t>
        </r>
      </text>
    </comment>
    <comment ref="A161" authorId="0" shapeId="0">
      <text>
        <r>
          <rPr>
            <b/>
            <sz val="9"/>
            <color indexed="81"/>
            <rFont val="Tahoma"/>
            <family val="2"/>
          </rPr>
          <t>Agnetha Simm:</t>
        </r>
        <r>
          <rPr>
            <sz val="9"/>
            <color indexed="81"/>
            <rFont val="Tahoma"/>
            <family val="2"/>
          </rPr>
          <t xml:space="preserve">
Fd fiktiv 6FRIEST2</t>
        </r>
      </text>
    </comment>
    <comment ref="A162" authorId="0" shapeId="0">
      <text>
        <r>
          <rPr>
            <b/>
            <sz val="9"/>
            <color indexed="81"/>
            <rFont val="Tahoma"/>
            <family val="2"/>
          </rPr>
          <t>Agnetha Simm:</t>
        </r>
        <r>
          <rPr>
            <sz val="9"/>
            <color indexed="81"/>
            <rFont val="Tahoma"/>
            <family val="2"/>
          </rPr>
          <t xml:space="preserve">
Fd fiktiv 6BIFÖ3</t>
        </r>
      </text>
    </comment>
    <comment ref="A163" authorId="0" shapeId="0">
      <text>
        <r>
          <rPr>
            <b/>
            <sz val="9"/>
            <color indexed="81"/>
            <rFont val="Tahoma"/>
            <family val="2"/>
          </rPr>
          <t>Agnetha Simm:</t>
        </r>
        <r>
          <rPr>
            <sz val="9"/>
            <color indexed="81"/>
            <rFont val="Tahoma"/>
            <family val="2"/>
          </rPr>
          <t xml:space="preserve">
Fd fiktiv 6FRIEST1</t>
        </r>
      </text>
    </comment>
    <comment ref="A174" authorId="0" shapeId="0">
      <text>
        <r>
          <rPr>
            <b/>
            <sz val="9"/>
            <color indexed="81"/>
            <rFont val="Tahoma"/>
            <family val="2"/>
          </rPr>
          <t>Agnetha Simm:</t>
        </r>
        <r>
          <rPr>
            <sz val="9"/>
            <color indexed="81"/>
            <rFont val="Tahoma"/>
            <family val="2"/>
          </rPr>
          <t xml:space="preserve">
Ers fd 6FA004</t>
        </r>
      </text>
    </comment>
    <comment ref="A187" authorId="0" shapeId="0">
      <text>
        <r>
          <rPr>
            <b/>
            <sz val="9"/>
            <color indexed="81"/>
            <rFont val="Tahoma"/>
            <family val="2"/>
          </rPr>
          <t>Agnetha Simm:</t>
        </r>
        <r>
          <rPr>
            <sz val="9"/>
            <color indexed="81"/>
            <rFont val="Tahoma"/>
            <family val="2"/>
          </rPr>
          <t xml:space="preserve">
Ers fiktiv 6GExx5</t>
        </r>
      </text>
    </comment>
    <comment ref="A188" authorId="0" shapeId="0">
      <text>
        <r>
          <rPr>
            <b/>
            <sz val="9"/>
            <color indexed="81"/>
            <rFont val="Tahoma"/>
            <family val="2"/>
          </rPr>
          <t>Agnetha Simm:</t>
        </r>
        <r>
          <rPr>
            <sz val="9"/>
            <color indexed="81"/>
            <rFont val="Tahoma"/>
            <family val="2"/>
          </rPr>
          <t xml:space="preserve">
Fd fiktiv 6GExx2</t>
        </r>
      </text>
    </comment>
    <comment ref="A189" authorId="0" shapeId="0">
      <text>
        <r>
          <rPr>
            <b/>
            <sz val="9"/>
            <color indexed="81"/>
            <rFont val="Tahoma"/>
            <family val="2"/>
          </rPr>
          <t>Agnetha Simm:</t>
        </r>
        <r>
          <rPr>
            <sz val="9"/>
            <color indexed="81"/>
            <rFont val="Tahoma"/>
            <family val="2"/>
          </rPr>
          <t xml:space="preserve">
Ers fiktiv 6GExx6</t>
        </r>
      </text>
    </comment>
    <comment ref="A190" authorId="0" shapeId="0">
      <text>
        <r>
          <rPr>
            <b/>
            <sz val="9"/>
            <color indexed="81"/>
            <rFont val="Tahoma"/>
            <family val="2"/>
          </rPr>
          <t>Agnetha Simm:</t>
        </r>
        <r>
          <rPr>
            <sz val="9"/>
            <color indexed="81"/>
            <rFont val="Tahoma"/>
            <family val="2"/>
          </rPr>
          <t xml:space="preserve">
Ers fiktiv 6GExx9</t>
        </r>
      </text>
    </comment>
    <comment ref="A191" authorId="0" shapeId="0">
      <text>
        <r>
          <rPr>
            <b/>
            <sz val="9"/>
            <color indexed="81"/>
            <rFont val="Tahoma"/>
            <family val="2"/>
          </rPr>
          <t>Agnetha Simm:</t>
        </r>
        <r>
          <rPr>
            <sz val="9"/>
            <color indexed="81"/>
            <rFont val="Tahoma"/>
            <family val="2"/>
          </rPr>
          <t xml:space="preserve">
Ersätter fiktiv 6GExx4</t>
        </r>
      </text>
    </comment>
    <comment ref="A192" authorId="0" shapeId="0">
      <text>
        <r>
          <rPr>
            <b/>
            <sz val="9"/>
            <color indexed="81"/>
            <rFont val="Tahoma"/>
            <family val="2"/>
          </rPr>
          <t>Agnetha Simm:</t>
        </r>
        <r>
          <rPr>
            <sz val="9"/>
            <color indexed="81"/>
            <rFont val="Tahoma"/>
            <family val="2"/>
          </rPr>
          <t xml:space="preserve">
Ers fiktiv 6GExx7</t>
        </r>
      </text>
    </comment>
    <comment ref="A208" authorId="0" shapeId="0">
      <text>
        <r>
          <rPr>
            <b/>
            <sz val="9"/>
            <color indexed="81"/>
            <rFont val="Tahoma"/>
            <family val="2"/>
          </rPr>
          <t>Agnetha Simm:</t>
        </r>
        <r>
          <rPr>
            <sz val="9"/>
            <color indexed="81"/>
            <rFont val="Tahoma"/>
            <family val="2"/>
          </rPr>
          <t xml:space="preserve">
Ersätter 6HI016</t>
        </r>
      </text>
    </comment>
    <comment ref="A210" authorId="0" shapeId="0">
      <text>
        <r>
          <rPr>
            <b/>
            <sz val="9"/>
            <color indexed="81"/>
            <rFont val="Tahoma"/>
            <family val="2"/>
          </rPr>
          <t>Agnetha Simm:</t>
        </r>
        <r>
          <rPr>
            <sz val="9"/>
            <color indexed="81"/>
            <rFont val="Tahoma"/>
            <family val="2"/>
          </rPr>
          <t xml:space="preserve">
Ersätter 6HI014</t>
        </r>
      </text>
    </comment>
    <comment ref="S217" authorId="0" shapeId="0">
      <text>
        <r>
          <rPr>
            <b/>
            <sz val="9"/>
            <color indexed="81"/>
            <rFont val="Tahoma"/>
            <family val="2"/>
          </rPr>
          <t>Agnetha Simm:</t>
        </r>
        <r>
          <rPr>
            <sz val="9"/>
            <color indexed="81"/>
            <rFont val="Tahoma"/>
            <family val="2"/>
          </rPr>
          <t xml:space="preserve">
OBS! Protokollet inkom 170307</t>
        </r>
      </text>
    </comment>
    <comment ref="S218" authorId="0" shapeId="0">
      <text>
        <r>
          <rPr>
            <b/>
            <sz val="9"/>
            <color indexed="81"/>
            <rFont val="Tahoma"/>
            <family val="2"/>
          </rPr>
          <t>Agnetha Simm:</t>
        </r>
        <r>
          <rPr>
            <sz val="9"/>
            <color indexed="81"/>
            <rFont val="Tahoma"/>
            <family val="2"/>
          </rPr>
          <t xml:space="preserve">
OBS! Protokollet inkom 170307</t>
        </r>
      </text>
    </comment>
    <comment ref="A219" authorId="0" shapeId="0">
      <text>
        <r>
          <rPr>
            <b/>
            <sz val="9"/>
            <color indexed="81"/>
            <rFont val="Tahoma"/>
            <family val="2"/>
          </rPr>
          <t>Agnetha Simm:</t>
        </r>
        <r>
          <rPr>
            <sz val="9"/>
            <color indexed="81"/>
            <rFont val="Tahoma"/>
            <family val="2"/>
          </rPr>
          <t xml:space="preserve">
Ersätter 6ID301</t>
        </r>
      </text>
    </comment>
    <comment ref="A226" authorId="0" shapeId="0">
      <text>
        <r>
          <rPr>
            <b/>
            <sz val="9"/>
            <color indexed="81"/>
            <rFont val="Tahoma"/>
            <family val="2"/>
          </rPr>
          <t>Agnetha Simm:</t>
        </r>
        <r>
          <rPr>
            <sz val="9"/>
            <color indexed="81"/>
            <rFont val="Tahoma"/>
            <family val="2"/>
          </rPr>
          <t xml:space="preserve">
Utgår! Se 6ID013</t>
        </r>
      </text>
    </comment>
    <comment ref="A232" authorId="0" shapeId="0">
      <text>
        <r>
          <rPr>
            <b/>
            <sz val="9"/>
            <color indexed="81"/>
            <rFont val="Tahoma"/>
            <family val="2"/>
          </rPr>
          <t>Agnetha Simm:</t>
        </r>
        <r>
          <rPr>
            <sz val="9"/>
            <color indexed="81"/>
            <rFont val="Tahoma"/>
            <family val="2"/>
          </rPr>
          <t xml:space="preserve">
Fd fiktiv 6FRITUV7</t>
        </r>
      </text>
    </comment>
    <comment ref="A233" authorId="0" shapeId="0">
      <text>
        <r>
          <rPr>
            <b/>
            <sz val="9"/>
            <color indexed="81"/>
            <rFont val="Tahoma"/>
            <family val="2"/>
          </rPr>
          <t>Agnetha Simm:</t>
        </r>
        <r>
          <rPr>
            <sz val="9"/>
            <color indexed="81"/>
            <rFont val="Tahoma"/>
            <family val="2"/>
          </rPr>
          <t xml:space="preserve">
Fd fiktiv 6FRITUV6</t>
        </r>
      </text>
    </comment>
    <comment ref="A246" authorId="0" shapeId="0">
      <text>
        <r>
          <rPr>
            <b/>
            <sz val="9"/>
            <color indexed="81"/>
            <rFont val="Tahoma"/>
            <family val="2"/>
          </rPr>
          <t>Agnetha Simm:</t>
        </r>
        <r>
          <rPr>
            <sz val="9"/>
            <color indexed="81"/>
            <rFont val="Tahoma"/>
            <family val="2"/>
          </rPr>
          <t xml:space="preserve">
Fd fiktiv 6GExx1</t>
        </r>
      </text>
    </comment>
    <comment ref="A247" authorId="0" shapeId="0">
      <text>
        <r>
          <rPr>
            <b/>
            <sz val="9"/>
            <color indexed="81"/>
            <rFont val="Tahoma"/>
            <family val="2"/>
          </rPr>
          <t>Agnetha Simm:</t>
        </r>
        <r>
          <rPr>
            <sz val="9"/>
            <color indexed="81"/>
            <rFont val="Tahoma"/>
            <family val="2"/>
          </rPr>
          <t xml:space="preserve">
Fd fiktiv 6GExx3</t>
        </r>
      </text>
    </comment>
    <comment ref="A249" authorId="0" shapeId="0">
      <text>
        <r>
          <rPr>
            <b/>
            <sz val="9"/>
            <color indexed="81"/>
            <rFont val="Tahoma"/>
            <family val="2"/>
          </rPr>
          <t>Agnetha Simm:</t>
        </r>
        <r>
          <rPr>
            <sz val="9"/>
            <color indexed="81"/>
            <rFont val="Tahoma"/>
            <family val="2"/>
          </rPr>
          <t xml:space="preserve">
Fd fiktiv 6GEund</t>
        </r>
      </text>
    </comment>
    <comment ref="A263" authorId="0" shapeId="0">
      <text>
        <r>
          <rPr>
            <b/>
            <sz val="9"/>
            <color indexed="81"/>
            <rFont val="Tahoma"/>
            <family val="2"/>
          </rPr>
          <t>Agnetha Simm:</t>
        </r>
        <r>
          <rPr>
            <sz val="9"/>
            <color indexed="81"/>
            <rFont val="Tahoma"/>
            <family val="2"/>
          </rPr>
          <t xml:space="preserve">
Ers 6KN009</t>
        </r>
      </text>
    </comment>
    <comment ref="A268" authorId="0" shapeId="0">
      <text>
        <r>
          <rPr>
            <b/>
            <sz val="9"/>
            <color indexed="81"/>
            <rFont val="Tahoma"/>
            <family val="2"/>
          </rPr>
          <t>Agnetha Simm:</t>
        </r>
        <r>
          <rPr>
            <sz val="9"/>
            <color indexed="81"/>
            <rFont val="Tahoma"/>
            <family val="2"/>
          </rPr>
          <t xml:space="preserve">
Fd 6FRISPRÅK1</t>
        </r>
      </text>
    </comment>
    <comment ref="A271" authorId="0" shapeId="0">
      <text>
        <r>
          <rPr>
            <b/>
            <sz val="9"/>
            <color indexed="81"/>
            <rFont val="Tahoma"/>
            <family val="2"/>
          </rPr>
          <t>Agnetha Simm:</t>
        </r>
        <r>
          <rPr>
            <sz val="9"/>
            <color indexed="81"/>
            <rFont val="Tahoma"/>
            <family val="2"/>
          </rPr>
          <t xml:space="preserve">
Fd fiktiv 6FRISPRÅK3</t>
        </r>
      </text>
    </comment>
    <comment ref="A272" authorId="0" shapeId="0">
      <text>
        <r>
          <rPr>
            <b/>
            <sz val="9"/>
            <color indexed="81"/>
            <rFont val="Tahoma"/>
            <family val="2"/>
          </rPr>
          <t>Agnetha Simm:</t>
        </r>
        <r>
          <rPr>
            <sz val="9"/>
            <color indexed="81"/>
            <rFont val="Tahoma"/>
            <family val="2"/>
          </rPr>
          <t xml:space="preserve">
Ersätter 6LI005</t>
        </r>
      </text>
    </comment>
    <comment ref="A296" authorId="0" shapeId="0">
      <text>
        <r>
          <rPr>
            <b/>
            <sz val="9"/>
            <color indexed="81"/>
            <rFont val="Tahoma"/>
            <family val="2"/>
          </rPr>
          <t>Agnetha Simm:</t>
        </r>
        <r>
          <rPr>
            <sz val="9"/>
            <color indexed="81"/>
            <rFont val="Tahoma"/>
            <family val="2"/>
          </rPr>
          <t xml:space="preserve">
fd fiktiv 6xxx12</t>
        </r>
      </text>
    </comment>
    <comment ref="A314" authorId="0" shapeId="0">
      <text>
        <r>
          <rPr>
            <b/>
            <sz val="9"/>
            <color indexed="81"/>
            <rFont val="Tahoma"/>
            <family val="2"/>
          </rPr>
          <t>Agnetha Simm:</t>
        </r>
        <r>
          <rPr>
            <sz val="9"/>
            <color indexed="81"/>
            <rFont val="Tahoma"/>
            <family val="2"/>
          </rPr>
          <t xml:space="preserve">
Ersätter 6MA021</t>
        </r>
      </text>
    </comment>
    <comment ref="A318" authorId="0" shapeId="0">
      <text>
        <r>
          <rPr>
            <b/>
            <sz val="9"/>
            <color indexed="81"/>
            <rFont val="Tahoma"/>
            <family val="2"/>
          </rPr>
          <t>Agnetha Simm:</t>
        </r>
        <r>
          <rPr>
            <sz val="9"/>
            <color indexed="81"/>
            <rFont val="Tahoma"/>
            <family val="2"/>
          </rPr>
          <t xml:space="preserve">
Fd 6MA019 enl uppg fr Nina Rudälv 150323</t>
        </r>
      </text>
    </comment>
    <comment ref="A364" authorId="0" shapeId="0">
      <text>
        <r>
          <rPr>
            <b/>
            <sz val="9"/>
            <color indexed="81"/>
            <rFont val="Tahoma"/>
            <family val="2"/>
          </rPr>
          <t>Agnetha Simm:</t>
        </r>
        <r>
          <rPr>
            <sz val="9"/>
            <color indexed="81"/>
            <rFont val="Tahoma"/>
            <family val="2"/>
          </rPr>
          <t xml:space="preserve">
Ers 6MA031 fr o m vt-19</t>
        </r>
      </text>
    </comment>
    <comment ref="A365" authorId="0" shapeId="0">
      <text>
        <r>
          <rPr>
            <b/>
            <sz val="9"/>
            <color indexed="81"/>
            <rFont val="Tahoma"/>
            <family val="2"/>
          </rPr>
          <t>Agnetha Simm:</t>
        </r>
        <r>
          <rPr>
            <sz val="9"/>
            <color indexed="81"/>
            <rFont val="Tahoma"/>
            <family val="2"/>
          </rPr>
          <t xml:space="preserve">
Ersätter 6MA020</t>
        </r>
      </text>
    </comment>
    <comment ref="A367" authorId="0" shapeId="0">
      <text>
        <r>
          <rPr>
            <b/>
            <sz val="9"/>
            <color indexed="81"/>
            <rFont val="Tahoma"/>
            <family val="2"/>
          </rPr>
          <t>Agnetha Simm:</t>
        </r>
        <r>
          <rPr>
            <sz val="9"/>
            <color indexed="81"/>
            <rFont val="Tahoma"/>
            <family val="2"/>
          </rPr>
          <t xml:space="preserve">
Ersätter 6MS001</t>
        </r>
      </text>
    </comment>
    <comment ref="A375" authorId="0" shapeId="0">
      <text>
        <r>
          <rPr>
            <b/>
            <sz val="9"/>
            <color indexed="81"/>
            <rFont val="Tahoma"/>
            <family val="2"/>
          </rPr>
          <t>Agnetha Simm:</t>
        </r>
        <r>
          <rPr>
            <sz val="9"/>
            <color indexed="81"/>
            <rFont val="Tahoma"/>
            <family val="2"/>
          </rPr>
          <t xml:space="preserve">
Ers 6MU022</t>
        </r>
      </text>
    </comment>
    <comment ref="A386" authorId="0" shapeId="0">
      <text>
        <r>
          <rPr>
            <b/>
            <sz val="9"/>
            <color indexed="81"/>
            <rFont val="Tahoma"/>
            <family val="2"/>
          </rPr>
          <t>Agnetha Simm:</t>
        </r>
        <r>
          <rPr>
            <sz val="9"/>
            <color indexed="81"/>
            <rFont val="Tahoma"/>
            <family val="2"/>
          </rPr>
          <t xml:space="preserve">
Fd fiktiv 6FRIEST4</t>
        </r>
      </text>
    </comment>
    <comment ref="A388" authorId="0" shapeId="0">
      <text>
        <r>
          <rPr>
            <b/>
            <sz val="9"/>
            <color indexed="81"/>
            <rFont val="Tahoma"/>
            <family val="2"/>
          </rPr>
          <t>Agnetha Simm:</t>
        </r>
        <r>
          <rPr>
            <sz val="9"/>
            <color indexed="81"/>
            <rFont val="Tahoma"/>
            <family val="2"/>
          </rPr>
          <t xml:space="preserve">
Ers 6MU022</t>
        </r>
      </text>
    </comment>
    <comment ref="A389" authorId="0" shapeId="0">
      <text>
        <r>
          <rPr>
            <b/>
            <sz val="9"/>
            <color indexed="81"/>
            <rFont val="Tahoma"/>
            <family val="2"/>
          </rPr>
          <t>Agnetha Simm:</t>
        </r>
        <r>
          <rPr>
            <sz val="9"/>
            <color indexed="81"/>
            <rFont val="Tahoma"/>
            <family val="2"/>
          </rPr>
          <t xml:space="preserve">
Ers 6MU050</t>
        </r>
      </text>
    </comment>
    <comment ref="A407" authorId="0" shapeId="0">
      <text>
        <r>
          <rPr>
            <b/>
            <sz val="9"/>
            <color indexed="81"/>
            <rFont val="Tahoma"/>
            <family val="2"/>
          </rPr>
          <t>Agnetha Simm:</t>
        </r>
        <r>
          <rPr>
            <sz val="9"/>
            <color indexed="81"/>
            <rFont val="Tahoma"/>
            <family val="2"/>
          </rPr>
          <t xml:space="preserve">
Fd fiktiv 6xxxx7</t>
        </r>
      </text>
    </comment>
    <comment ref="A408" authorId="0" shapeId="0">
      <text>
        <r>
          <rPr>
            <b/>
            <sz val="9"/>
            <color indexed="81"/>
            <rFont val="Tahoma"/>
            <family val="2"/>
          </rPr>
          <t>Agnetha Simm:</t>
        </r>
        <r>
          <rPr>
            <sz val="9"/>
            <color indexed="81"/>
            <rFont val="Tahoma"/>
            <family val="2"/>
          </rPr>
          <t xml:space="preserve">
Ers 6NO041</t>
        </r>
      </text>
    </comment>
    <comment ref="A448" authorId="0" shapeId="0">
      <text>
        <r>
          <rPr>
            <b/>
            <sz val="9"/>
            <color indexed="81"/>
            <rFont val="Tahoma"/>
            <family val="2"/>
          </rPr>
          <t>Agnetha Simm:</t>
        </r>
        <r>
          <rPr>
            <sz val="9"/>
            <color indexed="81"/>
            <rFont val="Tahoma"/>
            <family val="2"/>
          </rPr>
          <t xml:space="preserve">
Se 6PE259</t>
        </r>
      </text>
    </comment>
    <comment ref="A464" authorId="0" shapeId="0">
      <text>
        <r>
          <rPr>
            <b/>
            <sz val="9"/>
            <color indexed="81"/>
            <rFont val="Tahoma"/>
            <family val="2"/>
          </rPr>
          <t>Agnetha Simm:</t>
        </r>
        <r>
          <rPr>
            <sz val="9"/>
            <color indexed="81"/>
            <rFont val="Tahoma"/>
            <family val="2"/>
          </rPr>
          <t xml:space="preserve">
Se ny kurs 6PE258</t>
        </r>
      </text>
    </comment>
    <comment ref="A499" authorId="0" shapeId="0">
      <text>
        <r>
          <rPr>
            <b/>
            <sz val="9"/>
            <color indexed="81"/>
            <rFont val="Tahoma"/>
            <family val="2"/>
          </rPr>
          <t>Agnetha Simm:</t>
        </r>
        <r>
          <rPr>
            <sz val="9"/>
            <color indexed="81"/>
            <rFont val="Tahoma"/>
            <family val="2"/>
          </rPr>
          <t xml:space="preserve">
Fd 6NYFRIST12</t>
        </r>
      </text>
    </comment>
    <comment ref="A500" authorId="0" shapeId="0">
      <text>
        <r>
          <rPr>
            <b/>
            <sz val="9"/>
            <color indexed="81"/>
            <rFont val="Tahoma"/>
            <family val="2"/>
          </rPr>
          <t>Agnetha Simm:</t>
        </r>
        <r>
          <rPr>
            <sz val="9"/>
            <color indexed="81"/>
            <rFont val="Tahoma"/>
            <family val="2"/>
          </rPr>
          <t xml:space="preserve">
Fd fiktiv 6UKI1a</t>
        </r>
      </text>
    </comment>
    <comment ref="A501" authorId="0" shapeId="0">
      <text>
        <r>
          <rPr>
            <b/>
            <sz val="9"/>
            <color indexed="81"/>
            <rFont val="Tahoma"/>
            <family val="2"/>
          </rPr>
          <t>Agnetha Simm:</t>
        </r>
        <r>
          <rPr>
            <sz val="9"/>
            <color indexed="81"/>
            <rFont val="Tahoma"/>
            <family val="2"/>
          </rPr>
          <t xml:space="preserve">
Fd fiktiv 6VFU3a</t>
        </r>
      </text>
    </comment>
    <comment ref="A518" authorId="0" shapeId="0">
      <text>
        <r>
          <rPr>
            <b/>
            <sz val="9"/>
            <color indexed="81"/>
            <rFont val="Tahoma"/>
            <family val="2"/>
          </rPr>
          <t>Agnetha Simm:</t>
        </r>
        <r>
          <rPr>
            <sz val="9"/>
            <color indexed="81"/>
            <rFont val="Tahoma"/>
            <family val="2"/>
          </rPr>
          <t xml:space="preserve">
Ers 6PE093 fr o m ht-16 (kull h15)</t>
        </r>
      </text>
    </comment>
    <comment ref="A519" authorId="0" shapeId="0">
      <text>
        <r>
          <rPr>
            <b/>
            <sz val="9"/>
            <color indexed="81"/>
            <rFont val="Tahoma"/>
            <family val="2"/>
          </rPr>
          <t>Agnetha Simm:</t>
        </r>
        <r>
          <rPr>
            <sz val="9"/>
            <color indexed="81"/>
            <rFont val="Tahoma"/>
            <family val="2"/>
          </rPr>
          <t xml:space="preserve">
Ersätter 6PE174</t>
        </r>
      </text>
    </comment>
    <comment ref="A522" authorId="0" shapeId="0">
      <text>
        <r>
          <rPr>
            <b/>
            <sz val="9"/>
            <color indexed="81"/>
            <rFont val="Tahoma"/>
            <family val="2"/>
          </rPr>
          <t>Agnetha Simm:</t>
        </r>
        <r>
          <rPr>
            <sz val="9"/>
            <color indexed="81"/>
            <rFont val="Tahoma"/>
            <family val="2"/>
          </rPr>
          <t xml:space="preserve">
Ersätter 6PE173</t>
        </r>
      </text>
    </comment>
    <comment ref="A524" authorId="0" shapeId="0">
      <text>
        <r>
          <rPr>
            <b/>
            <sz val="9"/>
            <color indexed="81"/>
            <rFont val="Tahoma"/>
            <family val="2"/>
          </rPr>
          <t>Agnetha Simm:</t>
        </r>
        <r>
          <rPr>
            <sz val="9"/>
            <color indexed="81"/>
            <rFont val="Tahoma"/>
            <family val="2"/>
          </rPr>
          <t xml:space="preserve">
Ersätter 6LÄ050</t>
        </r>
      </text>
    </comment>
    <comment ref="A525" authorId="0" shapeId="0">
      <text>
        <r>
          <rPr>
            <b/>
            <sz val="9"/>
            <color indexed="81"/>
            <rFont val="Tahoma"/>
            <family val="2"/>
          </rPr>
          <t>Agnetha Simm:</t>
        </r>
        <r>
          <rPr>
            <sz val="9"/>
            <color indexed="81"/>
            <rFont val="Tahoma"/>
            <family val="2"/>
          </rPr>
          <t xml:space="preserve">
Ersätter 6LÄ051</t>
        </r>
      </text>
    </comment>
    <comment ref="A533" authorId="0" shapeId="0">
      <text>
        <r>
          <rPr>
            <b/>
            <sz val="9"/>
            <color indexed="81"/>
            <rFont val="Tahoma"/>
            <family val="2"/>
          </rPr>
          <t>Agnetha Simm:</t>
        </r>
        <r>
          <rPr>
            <sz val="9"/>
            <color indexed="81"/>
            <rFont val="Tahoma"/>
            <family val="2"/>
          </rPr>
          <t xml:space="preserve">
Fd fiktiv 6xxx23</t>
        </r>
      </text>
    </comment>
    <comment ref="A546" authorId="0" shapeId="0">
      <text>
        <r>
          <rPr>
            <b/>
            <sz val="9"/>
            <color indexed="81"/>
            <rFont val="Tahoma"/>
            <family val="2"/>
          </rPr>
          <t>Agnetha Simm:</t>
        </r>
        <r>
          <rPr>
            <sz val="9"/>
            <color indexed="81"/>
            <rFont val="Tahoma"/>
            <family val="2"/>
          </rPr>
          <t xml:space="preserve">
Fd 6FRITUV5</t>
        </r>
      </text>
    </comment>
    <comment ref="B546" authorId="0" shapeId="0">
      <text>
        <r>
          <rPr>
            <b/>
            <sz val="9"/>
            <color indexed="81"/>
            <rFont val="Tahoma"/>
            <family val="2"/>
          </rPr>
          <t>Agnetha Simm:</t>
        </r>
        <r>
          <rPr>
            <sz val="9"/>
            <color indexed="81"/>
            <rFont val="Tahoma"/>
            <family val="2"/>
          </rPr>
          <t xml:space="preserve">
Benämning förändrad efter första inskick till LH</t>
        </r>
      </text>
    </comment>
    <comment ref="A547" authorId="0" shapeId="0">
      <text>
        <r>
          <rPr>
            <b/>
            <sz val="9"/>
            <color indexed="81"/>
            <rFont val="Tahoma"/>
            <family val="2"/>
          </rPr>
          <t>Agnetha Simm:</t>
        </r>
        <r>
          <rPr>
            <sz val="9"/>
            <color indexed="81"/>
            <rFont val="Tahoma"/>
            <family val="2"/>
          </rPr>
          <t xml:space="preserve">
Fd fiktiv 6FRINMD1</t>
        </r>
      </text>
    </comment>
    <comment ref="A548" authorId="0" shapeId="0">
      <text>
        <r>
          <rPr>
            <b/>
            <sz val="9"/>
            <color indexed="81"/>
            <rFont val="Tahoma"/>
            <family val="2"/>
          </rPr>
          <t>Agnetha Simm:</t>
        </r>
        <r>
          <rPr>
            <sz val="9"/>
            <color indexed="81"/>
            <rFont val="Tahoma"/>
            <family val="2"/>
          </rPr>
          <t xml:space="preserve">
Ers 6PE139</t>
        </r>
      </text>
    </comment>
    <comment ref="A549" authorId="0" shapeId="0">
      <text>
        <r>
          <rPr>
            <b/>
            <sz val="9"/>
            <color indexed="81"/>
            <rFont val="Tahoma"/>
            <family val="2"/>
          </rPr>
          <t>Agnetha Simm:</t>
        </r>
        <r>
          <rPr>
            <sz val="9"/>
            <color indexed="81"/>
            <rFont val="Tahoma"/>
            <family val="2"/>
          </rPr>
          <t xml:space="preserve">
Ers 6PE140</t>
        </r>
      </text>
    </comment>
    <comment ref="A550" authorId="0" shapeId="0">
      <text>
        <r>
          <rPr>
            <b/>
            <sz val="9"/>
            <color indexed="81"/>
            <rFont val="Tahoma"/>
            <family val="2"/>
          </rPr>
          <t>Agnetha Simm:</t>
        </r>
        <r>
          <rPr>
            <sz val="9"/>
            <color indexed="81"/>
            <rFont val="Tahoma"/>
            <family val="2"/>
          </rPr>
          <t xml:space="preserve">
Fd fiktiv 6FRITUV9</t>
        </r>
      </text>
    </comment>
    <comment ref="A551" authorId="0" shapeId="0">
      <text>
        <r>
          <rPr>
            <b/>
            <sz val="9"/>
            <color indexed="81"/>
            <rFont val="Tahoma"/>
            <family val="2"/>
          </rPr>
          <t>Agnetha Simm:</t>
        </r>
        <r>
          <rPr>
            <sz val="9"/>
            <color indexed="81"/>
            <rFont val="Tahoma"/>
            <family val="2"/>
          </rPr>
          <t xml:space="preserve">
Fd fiktiv 6FRITUV8</t>
        </r>
      </text>
    </comment>
    <comment ref="A552" authorId="0" shapeId="0">
      <text>
        <r>
          <rPr>
            <b/>
            <sz val="9"/>
            <color indexed="81"/>
            <rFont val="Tahoma"/>
            <family val="2"/>
          </rPr>
          <t>Agnetha Simm:</t>
        </r>
        <r>
          <rPr>
            <sz val="9"/>
            <color indexed="81"/>
            <rFont val="Tahoma"/>
            <family val="2"/>
          </rPr>
          <t xml:space="preserve">
Ers fd 6PE232</t>
        </r>
      </text>
    </comment>
    <comment ref="A553" authorId="0" shapeId="0">
      <text>
        <r>
          <rPr>
            <b/>
            <sz val="9"/>
            <color indexed="81"/>
            <rFont val="Tahoma"/>
            <family val="2"/>
          </rPr>
          <t>Agnetha Simm:</t>
        </r>
        <r>
          <rPr>
            <sz val="9"/>
            <color indexed="81"/>
            <rFont val="Tahoma"/>
            <family val="2"/>
          </rPr>
          <t xml:space="preserve">
Ers fd 6PE233</t>
        </r>
      </text>
    </comment>
    <comment ref="B554" authorId="0" shapeId="0">
      <text>
        <r>
          <rPr>
            <b/>
            <sz val="9"/>
            <color indexed="81"/>
            <rFont val="Tahoma"/>
            <family val="2"/>
          </rPr>
          <t>Agnetha Simm:</t>
        </r>
        <r>
          <rPr>
            <sz val="9"/>
            <color indexed="81"/>
            <rFont val="Tahoma"/>
            <family val="2"/>
          </rPr>
          <t xml:space="preserve">
IDRH</t>
        </r>
      </text>
    </comment>
    <comment ref="A556" authorId="0" shapeId="0">
      <text>
        <r>
          <rPr>
            <b/>
            <sz val="9"/>
            <color indexed="81"/>
            <rFont val="Tahoma"/>
            <family val="2"/>
          </rPr>
          <t>Agnetha Simm:</t>
        </r>
        <r>
          <rPr>
            <sz val="9"/>
            <color indexed="81"/>
            <rFont val="Tahoma"/>
            <family val="2"/>
          </rPr>
          <t xml:space="preserve">
Ers 6PE100</t>
        </r>
      </text>
    </comment>
    <comment ref="A558" authorId="0" shapeId="0">
      <text>
        <r>
          <rPr>
            <b/>
            <sz val="9"/>
            <color indexed="81"/>
            <rFont val="Tahoma"/>
            <family val="2"/>
          </rPr>
          <t>Agnetha Simm:</t>
        </r>
        <r>
          <rPr>
            <sz val="9"/>
            <color indexed="81"/>
            <rFont val="Tahoma"/>
            <family val="2"/>
          </rPr>
          <t xml:space="preserve">
Fd 6PE102</t>
        </r>
      </text>
    </comment>
    <comment ref="A559" authorId="0" shapeId="0">
      <text>
        <r>
          <rPr>
            <b/>
            <sz val="9"/>
            <color indexed="81"/>
            <rFont val="Tahoma"/>
            <family val="2"/>
          </rPr>
          <t>Agnetha Simm:</t>
        </r>
        <r>
          <rPr>
            <sz val="9"/>
            <color indexed="81"/>
            <rFont val="Tahoma"/>
            <family val="2"/>
          </rPr>
          <t xml:space="preserve">
Fd 6PE105</t>
        </r>
      </text>
    </comment>
    <comment ref="A564" authorId="0" shapeId="0">
      <text>
        <r>
          <rPr>
            <b/>
            <sz val="9"/>
            <color indexed="81"/>
            <rFont val="Tahoma"/>
            <family val="2"/>
          </rPr>
          <t>Agnetha Simm:</t>
        </r>
        <r>
          <rPr>
            <sz val="9"/>
            <color indexed="81"/>
            <rFont val="Tahoma"/>
            <family val="2"/>
          </rPr>
          <t xml:space="preserve">
Ers 6PE117 fr o m vt-18</t>
        </r>
      </text>
    </comment>
    <comment ref="A565" authorId="0" shapeId="0">
      <text>
        <r>
          <rPr>
            <b/>
            <sz val="9"/>
            <color indexed="81"/>
            <rFont val="Tahoma"/>
            <family val="2"/>
          </rPr>
          <t>Agnetha Simm:</t>
        </r>
        <r>
          <rPr>
            <sz val="9"/>
            <color indexed="81"/>
            <rFont val="Tahoma"/>
            <family val="2"/>
          </rPr>
          <t xml:space="preserve">
Fd fiktiv 6xxxx8</t>
        </r>
      </text>
    </comment>
    <comment ref="A568" authorId="0" shapeId="0">
      <text>
        <r>
          <rPr>
            <b/>
            <sz val="9"/>
            <color indexed="81"/>
            <rFont val="Tahoma"/>
            <family val="2"/>
          </rPr>
          <t>Agnetha Simm:</t>
        </r>
        <r>
          <rPr>
            <sz val="9"/>
            <color indexed="81"/>
            <rFont val="Tahoma"/>
            <family val="2"/>
          </rPr>
          <t xml:space="preserve">
Fd fiktiv 6FRITUV1</t>
        </r>
      </text>
    </comment>
    <comment ref="B568" authorId="0" shapeId="0">
      <text>
        <r>
          <rPr>
            <b/>
            <sz val="9"/>
            <color indexed="81"/>
            <rFont val="Tahoma"/>
            <family val="2"/>
          </rPr>
          <t>Agnetha Simm:</t>
        </r>
        <r>
          <rPr>
            <sz val="9"/>
            <color indexed="81"/>
            <rFont val="Tahoma"/>
            <family val="2"/>
          </rPr>
          <t xml:space="preserve">
Benämningen förändrad efter äskandet till LH</t>
        </r>
      </text>
    </comment>
    <comment ref="A569" authorId="0" shapeId="0">
      <text>
        <r>
          <rPr>
            <b/>
            <sz val="9"/>
            <color indexed="81"/>
            <rFont val="Tahoma"/>
            <family val="2"/>
          </rPr>
          <t>Agnetha Simm:</t>
        </r>
        <r>
          <rPr>
            <sz val="9"/>
            <color indexed="81"/>
            <rFont val="Tahoma"/>
            <family val="2"/>
          </rPr>
          <t xml:space="preserve">
Ers 6PE189</t>
        </r>
      </text>
    </comment>
    <comment ref="A570" authorId="0" shapeId="0">
      <text>
        <r>
          <rPr>
            <b/>
            <sz val="9"/>
            <color indexed="81"/>
            <rFont val="Tahoma"/>
            <family val="2"/>
          </rPr>
          <t>Agnetha Simm:</t>
        </r>
        <r>
          <rPr>
            <sz val="9"/>
            <color indexed="81"/>
            <rFont val="Tahoma"/>
            <family val="2"/>
          </rPr>
          <t xml:space="preserve">
Ersätter 6PE158</t>
        </r>
      </text>
    </comment>
    <comment ref="A571" authorId="0" shapeId="0">
      <text>
        <r>
          <rPr>
            <b/>
            <sz val="9"/>
            <color indexed="81"/>
            <rFont val="Tahoma"/>
            <family val="2"/>
          </rPr>
          <t>Agnetha Simm:</t>
        </r>
        <r>
          <rPr>
            <sz val="9"/>
            <color indexed="81"/>
            <rFont val="Tahoma"/>
            <family val="2"/>
          </rPr>
          <t xml:space="preserve">
Ersätter 6PE159</t>
        </r>
      </text>
    </comment>
    <comment ref="A573" authorId="0" shapeId="0">
      <text>
        <r>
          <rPr>
            <b/>
            <sz val="9"/>
            <color indexed="81"/>
            <rFont val="Tahoma"/>
            <family val="2"/>
          </rPr>
          <t>Agnetha Simm:</t>
        </r>
        <r>
          <rPr>
            <sz val="9"/>
            <color indexed="81"/>
            <rFont val="Tahoma"/>
            <family val="2"/>
          </rPr>
          <t xml:space="preserve">
Ers 6PE196</t>
        </r>
      </text>
    </comment>
    <comment ref="A576" authorId="0" shapeId="0">
      <text>
        <r>
          <rPr>
            <b/>
            <sz val="9"/>
            <color indexed="81"/>
            <rFont val="Tahoma"/>
            <family val="2"/>
          </rPr>
          <t>Agnetha Simm:</t>
        </r>
        <r>
          <rPr>
            <sz val="9"/>
            <color indexed="81"/>
            <rFont val="Tahoma"/>
            <family val="2"/>
          </rPr>
          <t xml:space="preserve">
Ers 6SH303</t>
        </r>
      </text>
    </comment>
    <comment ref="A577" authorId="0" shapeId="0">
      <text>
        <r>
          <rPr>
            <b/>
            <sz val="9"/>
            <color indexed="81"/>
            <rFont val="Tahoma"/>
            <family val="2"/>
          </rPr>
          <t>Agnetha Simm:</t>
        </r>
        <r>
          <rPr>
            <sz val="9"/>
            <color indexed="81"/>
            <rFont val="Tahoma"/>
            <family val="2"/>
          </rPr>
          <t xml:space="preserve">
Ers fiktiv 6SOMPed1</t>
        </r>
      </text>
    </comment>
    <comment ref="A578" authorId="0" shapeId="0">
      <text>
        <r>
          <rPr>
            <b/>
            <sz val="9"/>
            <color indexed="81"/>
            <rFont val="Tahoma"/>
            <family val="2"/>
          </rPr>
          <t>Agnetha Simm:</t>
        </r>
        <r>
          <rPr>
            <sz val="9"/>
            <color indexed="81"/>
            <rFont val="Tahoma"/>
            <family val="2"/>
          </rPr>
          <t xml:space="preserve">
Fd fiktiv 6FRIPED2</t>
        </r>
      </text>
    </comment>
    <comment ref="A579" authorId="0" shapeId="0">
      <text>
        <r>
          <rPr>
            <b/>
            <sz val="9"/>
            <color indexed="81"/>
            <rFont val="Tahoma"/>
            <family val="2"/>
          </rPr>
          <t>Agnetha Simm:</t>
        </r>
        <r>
          <rPr>
            <sz val="9"/>
            <color indexed="81"/>
            <rFont val="Tahoma"/>
            <family val="2"/>
          </rPr>
          <t xml:space="preserve">
Ers fd 6PE231</t>
        </r>
      </text>
    </comment>
    <comment ref="A580" authorId="0" shapeId="0">
      <text>
        <r>
          <rPr>
            <b/>
            <sz val="9"/>
            <color indexed="81"/>
            <rFont val="Tahoma"/>
            <family val="2"/>
          </rPr>
          <t>Agnetha Simm:</t>
        </r>
        <r>
          <rPr>
            <sz val="9"/>
            <color indexed="81"/>
            <rFont val="Tahoma"/>
            <family val="2"/>
          </rPr>
          <t xml:space="preserve">
Ers fd 6PE230</t>
        </r>
      </text>
    </comment>
    <comment ref="A581" authorId="0" shapeId="0">
      <text>
        <r>
          <rPr>
            <b/>
            <sz val="9"/>
            <color indexed="81"/>
            <rFont val="Tahoma"/>
            <family val="2"/>
          </rPr>
          <t>Agnetha Simm:</t>
        </r>
        <r>
          <rPr>
            <sz val="9"/>
            <color indexed="81"/>
            <rFont val="Tahoma"/>
            <family val="2"/>
          </rPr>
          <t xml:space="preserve">
Ers fiktiv 6SPxx2b</t>
        </r>
      </text>
    </comment>
    <comment ref="A582" authorId="0" shapeId="0">
      <text>
        <r>
          <rPr>
            <b/>
            <sz val="9"/>
            <color indexed="81"/>
            <rFont val="Tahoma"/>
            <family val="2"/>
          </rPr>
          <t>Agnetha Simm:</t>
        </r>
        <r>
          <rPr>
            <sz val="9"/>
            <color indexed="81"/>
            <rFont val="Tahoma"/>
            <family val="2"/>
          </rPr>
          <t xml:space="preserve">
Fd fiktiv 6FRITUV2</t>
        </r>
      </text>
    </comment>
    <comment ref="A611" authorId="0" shapeId="0">
      <text>
        <r>
          <rPr>
            <b/>
            <sz val="9"/>
            <color indexed="81"/>
            <rFont val="Tahoma"/>
            <family val="2"/>
          </rPr>
          <t>Agnetha Simm:</t>
        </r>
        <r>
          <rPr>
            <sz val="9"/>
            <color indexed="81"/>
            <rFont val="Tahoma"/>
            <family val="2"/>
          </rPr>
          <t xml:space="preserve">
Fd fiktiv 6FRIIDE2</t>
        </r>
      </text>
    </comment>
    <comment ref="A612" authorId="0" shapeId="0">
      <text>
        <r>
          <rPr>
            <b/>
            <sz val="9"/>
            <color indexed="81"/>
            <rFont val="Tahoma"/>
            <family val="2"/>
          </rPr>
          <t>Agnetha Simm:</t>
        </r>
        <r>
          <rPr>
            <sz val="9"/>
            <color indexed="81"/>
            <rFont val="Tahoma"/>
            <family val="2"/>
          </rPr>
          <t xml:space="preserve">
Fd fiktiv 6FRIIDE3</t>
        </r>
      </text>
    </comment>
    <comment ref="A613" authorId="0" shapeId="0">
      <text>
        <r>
          <rPr>
            <b/>
            <sz val="9"/>
            <color indexed="81"/>
            <rFont val="Tahoma"/>
            <family val="2"/>
          </rPr>
          <t>Agnetha Simm:</t>
        </r>
        <r>
          <rPr>
            <sz val="9"/>
            <color indexed="81"/>
            <rFont val="Tahoma"/>
            <family val="2"/>
          </rPr>
          <t xml:space="preserve">
Fd fiktiv 6FRIIDE4</t>
        </r>
      </text>
    </comment>
    <comment ref="A614" authorId="0" shapeId="0">
      <text>
        <r>
          <rPr>
            <b/>
            <sz val="9"/>
            <color indexed="81"/>
            <rFont val="Tahoma"/>
            <family val="2"/>
          </rPr>
          <t>Agnetha Simm:</t>
        </r>
        <r>
          <rPr>
            <sz val="9"/>
            <color indexed="81"/>
            <rFont val="Tahoma"/>
            <family val="2"/>
          </rPr>
          <t xml:space="preserve">
Fd fiktiv 6FRIIDE5</t>
        </r>
      </text>
    </comment>
    <comment ref="A615" authorId="0" shapeId="0">
      <text>
        <r>
          <rPr>
            <b/>
            <sz val="9"/>
            <color indexed="81"/>
            <rFont val="Tahoma"/>
            <family val="2"/>
          </rPr>
          <t>Agnetha Simm:</t>
        </r>
        <r>
          <rPr>
            <sz val="9"/>
            <color indexed="81"/>
            <rFont val="Tahoma"/>
            <family val="2"/>
          </rPr>
          <t xml:space="preserve">
Fd fiktiv 6FRIIDE1</t>
        </r>
      </text>
    </comment>
    <comment ref="A618" authorId="0" shapeId="0">
      <text>
        <r>
          <rPr>
            <b/>
            <sz val="9"/>
            <color indexed="81"/>
            <rFont val="Tahoma"/>
            <family val="2"/>
          </rPr>
          <t>Agnetha Simm:</t>
        </r>
        <r>
          <rPr>
            <sz val="9"/>
            <color indexed="81"/>
            <rFont val="Tahoma"/>
            <family val="2"/>
          </rPr>
          <t xml:space="preserve">
Ersätter 6RV001</t>
        </r>
      </text>
    </comment>
    <comment ref="A627" authorId="0" shapeId="0">
      <text>
        <r>
          <rPr>
            <b/>
            <sz val="9"/>
            <color indexed="81"/>
            <rFont val="Tahoma"/>
            <family val="2"/>
          </rPr>
          <t>Agnetha Simm:</t>
        </r>
        <r>
          <rPr>
            <sz val="9"/>
            <color indexed="81"/>
            <rFont val="Tahoma"/>
            <family val="2"/>
          </rPr>
          <t xml:space="preserve">
Ers fiktiv 6SAund</t>
        </r>
      </text>
    </comment>
    <comment ref="A638" authorId="0" shapeId="0">
      <text>
        <r>
          <rPr>
            <b/>
            <sz val="9"/>
            <color indexed="81"/>
            <rFont val="Tahoma"/>
            <family val="2"/>
          </rPr>
          <t>Agnetha Simm:</t>
        </r>
        <r>
          <rPr>
            <sz val="9"/>
            <color indexed="81"/>
            <rFont val="Tahoma"/>
            <family val="2"/>
          </rPr>
          <t xml:space="preserve">
Ers 6LI004</t>
        </r>
      </text>
    </comment>
    <comment ref="A639" authorId="0" shapeId="0">
      <text>
        <r>
          <rPr>
            <b/>
            <sz val="9"/>
            <color indexed="81"/>
            <rFont val="Tahoma"/>
            <family val="2"/>
          </rPr>
          <t>Agnetha Simm:</t>
        </r>
        <r>
          <rPr>
            <sz val="9"/>
            <color indexed="81"/>
            <rFont val="Tahoma"/>
            <family val="2"/>
          </rPr>
          <t xml:space="preserve">
Ers fiktiv 6SPxx2a</t>
        </r>
      </text>
    </comment>
    <comment ref="A640" authorId="0" shapeId="0">
      <text>
        <r>
          <rPr>
            <b/>
            <sz val="9"/>
            <color indexed="81"/>
            <rFont val="Tahoma"/>
            <family val="2"/>
          </rPr>
          <t>Agnetha Simm:</t>
        </r>
        <r>
          <rPr>
            <sz val="9"/>
            <color indexed="81"/>
            <rFont val="Tahoma"/>
            <family val="2"/>
          </rPr>
          <t xml:space="preserve">
Ers fiktiv 6SPxx3</t>
        </r>
      </text>
    </comment>
    <comment ref="A662" authorId="0" shapeId="0">
      <text>
        <r>
          <rPr>
            <b/>
            <sz val="9"/>
            <color indexed="81"/>
            <rFont val="Tahoma"/>
            <family val="2"/>
          </rPr>
          <t>Agnetha Simm:</t>
        </r>
        <r>
          <rPr>
            <sz val="9"/>
            <color indexed="81"/>
            <rFont val="Tahoma"/>
            <family val="2"/>
          </rPr>
          <t xml:space="preserve">
Fd 6FRIEST6</t>
        </r>
      </text>
    </comment>
    <comment ref="A666" authorId="0" shapeId="0">
      <text>
        <r>
          <rPr>
            <b/>
            <sz val="9"/>
            <color indexed="81"/>
            <rFont val="Tahoma"/>
            <family val="2"/>
          </rPr>
          <t>Agnetha Simm:</t>
        </r>
        <r>
          <rPr>
            <sz val="9"/>
            <color indexed="81"/>
            <rFont val="Tahoma"/>
            <family val="2"/>
          </rPr>
          <t xml:space="preserve">
Fd fiktiv 6SLxx3</t>
        </r>
      </text>
    </comment>
    <comment ref="A667" authorId="0" shapeId="0">
      <text>
        <r>
          <rPr>
            <b/>
            <sz val="9"/>
            <color indexed="81"/>
            <rFont val="Tahoma"/>
            <family val="2"/>
          </rPr>
          <t>Agnetha Simm:</t>
        </r>
        <r>
          <rPr>
            <sz val="9"/>
            <color indexed="81"/>
            <rFont val="Tahoma"/>
            <family val="2"/>
          </rPr>
          <t xml:space="preserve">
fd fiktiv 6FRIEST1</t>
        </r>
      </text>
    </comment>
    <comment ref="A678" authorId="0" shapeId="0">
      <text>
        <r>
          <rPr>
            <b/>
            <sz val="9"/>
            <color indexed="81"/>
            <rFont val="Tahoma"/>
            <family val="2"/>
          </rPr>
          <t>Agnetha Simm:</t>
        </r>
        <r>
          <rPr>
            <sz val="9"/>
            <color indexed="81"/>
            <rFont val="Tahoma"/>
            <family val="2"/>
          </rPr>
          <t xml:space="preserve">
Ers 6SP038</t>
        </r>
      </text>
    </comment>
    <comment ref="A679" authorId="0" shapeId="0">
      <text>
        <r>
          <rPr>
            <b/>
            <sz val="9"/>
            <color indexed="81"/>
            <rFont val="Tahoma"/>
            <family val="2"/>
          </rPr>
          <t>Agnetha Simm:</t>
        </r>
        <r>
          <rPr>
            <sz val="9"/>
            <color indexed="81"/>
            <rFont val="Tahoma"/>
            <family val="2"/>
          </rPr>
          <t xml:space="preserve">
Ers 6SP039</t>
        </r>
      </text>
    </comment>
    <comment ref="A681" authorId="0" shapeId="0">
      <text>
        <r>
          <rPr>
            <b/>
            <sz val="9"/>
            <color indexed="81"/>
            <rFont val="Tahoma"/>
            <family val="2"/>
          </rPr>
          <t>Agnetha Simm:</t>
        </r>
        <r>
          <rPr>
            <sz val="9"/>
            <color indexed="81"/>
            <rFont val="Tahoma"/>
            <family val="2"/>
          </rPr>
          <t xml:space="preserve">
Ers 6SP040</t>
        </r>
      </text>
    </comment>
    <comment ref="A682" authorId="0" shapeId="0">
      <text>
        <r>
          <rPr>
            <b/>
            <sz val="9"/>
            <color indexed="81"/>
            <rFont val="Tahoma"/>
            <family val="2"/>
          </rPr>
          <t>Agnetha Simm:</t>
        </r>
        <r>
          <rPr>
            <sz val="9"/>
            <color indexed="81"/>
            <rFont val="Tahoma"/>
            <family val="2"/>
          </rPr>
          <t xml:space="preserve">
Ers 6SP049</t>
        </r>
      </text>
    </comment>
    <comment ref="A683" authorId="0" shapeId="0">
      <text>
        <r>
          <rPr>
            <b/>
            <sz val="9"/>
            <color indexed="81"/>
            <rFont val="Tahoma"/>
            <family val="2"/>
          </rPr>
          <t>Agnetha Simm:</t>
        </r>
        <r>
          <rPr>
            <sz val="9"/>
            <color indexed="81"/>
            <rFont val="Tahoma"/>
            <family val="2"/>
          </rPr>
          <t xml:space="preserve">
Ers 6SP048</t>
        </r>
      </text>
    </comment>
    <comment ref="A684" authorId="0" shapeId="0">
      <text>
        <r>
          <rPr>
            <b/>
            <sz val="9"/>
            <color indexed="81"/>
            <rFont val="Tahoma"/>
            <family val="2"/>
          </rPr>
          <t>Agnetha Simm:</t>
        </r>
        <r>
          <rPr>
            <sz val="9"/>
            <color indexed="81"/>
            <rFont val="Tahoma"/>
            <family val="2"/>
          </rPr>
          <t xml:space="preserve">
Fd fiktiv 6FRITUV1</t>
        </r>
      </text>
    </comment>
    <comment ref="A685" authorId="0" shapeId="0">
      <text>
        <r>
          <rPr>
            <b/>
            <sz val="9"/>
            <color indexed="81"/>
            <rFont val="Tahoma"/>
            <family val="2"/>
          </rPr>
          <t>Agnetha Simm:</t>
        </r>
        <r>
          <rPr>
            <sz val="9"/>
            <color indexed="81"/>
            <rFont val="Tahoma"/>
            <family val="2"/>
          </rPr>
          <t xml:space="preserve">
Ers 6SP024</t>
        </r>
      </text>
    </comment>
    <comment ref="A686" authorId="0" shapeId="0">
      <text>
        <r>
          <rPr>
            <b/>
            <sz val="9"/>
            <color indexed="81"/>
            <rFont val="Tahoma"/>
            <family val="2"/>
          </rPr>
          <t>Agnetha Simm:</t>
        </r>
        <r>
          <rPr>
            <sz val="9"/>
            <color indexed="81"/>
            <rFont val="Tahoma"/>
            <family val="2"/>
          </rPr>
          <t xml:space="preserve">
Ers fiktiv 6SPxx1</t>
        </r>
      </text>
    </comment>
    <comment ref="A687" authorId="0" shapeId="0">
      <text>
        <r>
          <rPr>
            <b/>
            <sz val="9"/>
            <color indexed="81"/>
            <rFont val="Tahoma"/>
            <family val="2"/>
          </rPr>
          <t>Agnetha Simm:</t>
        </r>
        <r>
          <rPr>
            <sz val="9"/>
            <color indexed="81"/>
            <rFont val="Tahoma"/>
            <family val="2"/>
          </rPr>
          <t xml:space="preserve">
Ers fiktiv 6SPxx2c</t>
        </r>
      </text>
    </comment>
    <comment ref="A688" authorId="0" shapeId="0">
      <text>
        <r>
          <rPr>
            <b/>
            <sz val="9"/>
            <color indexed="81"/>
            <rFont val="Tahoma"/>
            <family val="2"/>
          </rPr>
          <t>Agnetha Simm:</t>
        </r>
        <r>
          <rPr>
            <sz val="9"/>
            <color indexed="81"/>
            <rFont val="Tahoma"/>
            <family val="2"/>
          </rPr>
          <t xml:space="preserve">
Ers fiktiv 6SPxx2</t>
        </r>
      </text>
    </comment>
    <comment ref="A718" authorId="0" shapeId="0">
      <text>
        <r>
          <rPr>
            <b/>
            <sz val="9"/>
            <color indexed="81"/>
            <rFont val="Tahoma"/>
            <family val="2"/>
          </rPr>
          <t>Agnetha Simm:</t>
        </r>
        <r>
          <rPr>
            <sz val="9"/>
            <color indexed="81"/>
            <rFont val="Tahoma"/>
            <family val="2"/>
          </rPr>
          <t xml:space="preserve">
Ers 6SVund</t>
        </r>
      </text>
    </comment>
    <comment ref="A719" authorId="0" shapeId="0">
      <text>
        <r>
          <rPr>
            <b/>
            <sz val="9"/>
            <color indexed="81"/>
            <rFont val="Tahoma"/>
            <family val="2"/>
          </rPr>
          <t>Agnetha Simm:</t>
        </r>
        <r>
          <rPr>
            <sz val="9"/>
            <color indexed="81"/>
            <rFont val="Tahoma"/>
            <family val="2"/>
          </rPr>
          <t xml:space="preserve">
Ersätter 6SV034</t>
        </r>
      </text>
    </comment>
    <comment ref="A727" authorId="0" shapeId="0">
      <text>
        <r>
          <rPr>
            <b/>
            <sz val="9"/>
            <color indexed="81"/>
            <rFont val="Tahoma"/>
            <family val="2"/>
          </rPr>
          <t>Agnetha Simm:</t>
        </r>
        <r>
          <rPr>
            <sz val="9"/>
            <color indexed="81"/>
            <rFont val="Tahoma"/>
            <family val="2"/>
          </rPr>
          <t xml:space="preserve">
Ers fiktiv 6SOMSpråk3</t>
        </r>
      </text>
    </comment>
    <comment ref="A728" authorId="0" shapeId="0">
      <text>
        <r>
          <rPr>
            <b/>
            <sz val="9"/>
            <color indexed="81"/>
            <rFont val="Tahoma"/>
            <family val="2"/>
          </rPr>
          <t>Agnetha Simm:</t>
        </r>
        <r>
          <rPr>
            <sz val="9"/>
            <color indexed="81"/>
            <rFont val="Tahoma"/>
            <family val="2"/>
          </rPr>
          <t xml:space="preserve">
Ers fiktiv 6SOMSpråk3</t>
        </r>
      </text>
    </comment>
    <comment ref="A729" authorId="0" shapeId="0">
      <text>
        <r>
          <rPr>
            <b/>
            <sz val="9"/>
            <color indexed="81"/>
            <rFont val="Tahoma"/>
            <family val="2"/>
          </rPr>
          <t>Agnetha Simm:</t>
        </r>
        <r>
          <rPr>
            <sz val="9"/>
            <color indexed="81"/>
            <rFont val="Tahoma"/>
            <family val="2"/>
          </rPr>
          <t xml:space="preserve">
Ersätter fiktiv 6SOMSpråk1</t>
        </r>
      </text>
    </comment>
    <comment ref="A751" authorId="0" shapeId="0">
      <text>
        <r>
          <rPr>
            <b/>
            <sz val="9"/>
            <color indexed="81"/>
            <rFont val="Tahoma"/>
            <family val="2"/>
          </rPr>
          <t>Agnetha Simm:</t>
        </r>
        <r>
          <rPr>
            <sz val="9"/>
            <color indexed="81"/>
            <rFont val="Tahoma"/>
            <family val="2"/>
          </rPr>
          <t xml:space="preserve">
Ers 6SY027</t>
        </r>
      </text>
    </comment>
    <comment ref="A769" authorId="0" shapeId="0">
      <text>
        <r>
          <rPr>
            <b/>
            <sz val="9"/>
            <color indexed="81"/>
            <rFont val="Tahoma"/>
            <family val="2"/>
          </rPr>
          <t>Agnetha Simm:</t>
        </r>
        <r>
          <rPr>
            <sz val="9"/>
            <color indexed="81"/>
            <rFont val="Tahoma"/>
            <family val="2"/>
          </rPr>
          <t xml:space="preserve">
Fd 6FRIEST5</t>
        </r>
      </text>
    </comment>
    <comment ref="A770" authorId="0" shapeId="0">
      <text>
        <r>
          <rPr>
            <b/>
            <sz val="9"/>
            <color indexed="81"/>
            <rFont val="Tahoma"/>
            <family val="2"/>
          </rPr>
          <t>Agnetha Simm:</t>
        </r>
        <r>
          <rPr>
            <sz val="9"/>
            <color indexed="81"/>
            <rFont val="Tahoma"/>
            <family val="2"/>
          </rPr>
          <t xml:space="preserve">
Fd fiktiv 6FRIEST3</t>
        </r>
      </text>
    </comment>
    <comment ref="A771" authorId="0" shapeId="0">
      <text>
        <r>
          <rPr>
            <b/>
            <sz val="9"/>
            <color indexed="81"/>
            <rFont val="Tahoma"/>
            <family val="2"/>
          </rPr>
          <t>Agnetha Simm:</t>
        </r>
        <r>
          <rPr>
            <sz val="9"/>
            <color indexed="81"/>
            <rFont val="Tahoma"/>
            <family val="2"/>
          </rPr>
          <t xml:space="preserve">
Fd fiktiv 6FRIEST9</t>
        </r>
      </text>
    </comment>
    <comment ref="A772" authorId="0" shapeId="0">
      <text>
        <r>
          <rPr>
            <b/>
            <sz val="9"/>
            <color indexed="81"/>
            <rFont val="Tahoma"/>
            <family val="2"/>
          </rPr>
          <t>Agnetha Simm:</t>
        </r>
        <r>
          <rPr>
            <sz val="9"/>
            <color indexed="81"/>
            <rFont val="Tahoma"/>
            <family val="2"/>
          </rPr>
          <t xml:space="preserve">
Fd 6FRIEST8</t>
        </r>
      </text>
    </comment>
    <comment ref="A774" authorId="0" shapeId="0">
      <text>
        <r>
          <rPr>
            <b/>
            <sz val="9"/>
            <color indexed="81"/>
            <rFont val="Tahoma"/>
            <family val="2"/>
          </rPr>
          <t>Agnetha Simm:</t>
        </r>
        <r>
          <rPr>
            <sz val="9"/>
            <color indexed="81"/>
            <rFont val="Tahoma"/>
            <family val="2"/>
          </rPr>
          <t xml:space="preserve">
Fd fiktiv 6TXxx3</t>
        </r>
      </text>
    </comment>
    <comment ref="A775" authorId="0" shapeId="0">
      <text>
        <r>
          <rPr>
            <b/>
            <sz val="9"/>
            <color indexed="81"/>
            <rFont val="Tahoma"/>
            <family val="2"/>
          </rPr>
          <t>Agnetha Simm:</t>
        </r>
        <r>
          <rPr>
            <sz val="9"/>
            <color indexed="81"/>
            <rFont val="Tahoma"/>
            <family val="2"/>
          </rPr>
          <t xml:space="preserve">
fd fiktiv 6FRIEST2</t>
        </r>
      </text>
    </comment>
    <comment ref="A776" authorId="0" shapeId="0">
      <text>
        <r>
          <rPr>
            <b/>
            <sz val="9"/>
            <color indexed="81"/>
            <rFont val="Tahoma"/>
            <family val="2"/>
          </rPr>
          <t>Agnetha Simm:</t>
        </r>
        <r>
          <rPr>
            <sz val="9"/>
            <color indexed="81"/>
            <rFont val="Tahoma"/>
            <family val="2"/>
          </rPr>
          <t xml:space="preserve">
Ers 6TX018</t>
        </r>
      </text>
    </comment>
    <comment ref="A780" authorId="0" shapeId="0">
      <text>
        <r>
          <rPr>
            <b/>
            <sz val="9"/>
            <color indexed="81"/>
            <rFont val="Tahoma"/>
            <family val="2"/>
          </rPr>
          <t>Agnetha Simm:</t>
        </r>
        <r>
          <rPr>
            <sz val="9"/>
            <color indexed="81"/>
            <rFont val="Tahoma"/>
            <family val="2"/>
          </rPr>
          <t xml:space="preserve">
Fd 6FRISPRÅK2</t>
        </r>
      </text>
    </comment>
    <comment ref="A781" authorId="0" shapeId="0">
      <text>
        <r>
          <rPr>
            <b/>
            <sz val="9"/>
            <color indexed="81"/>
            <rFont val="Tahoma"/>
            <family val="2"/>
          </rPr>
          <t>Agnetha Simm:</t>
        </r>
        <r>
          <rPr>
            <sz val="9"/>
            <color indexed="81"/>
            <rFont val="Tahoma"/>
            <family val="2"/>
          </rPr>
          <t xml:space="preserve">
Ers 6TYund</t>
        </r>
      </text>
    </comment>
  </commentList>
</comments>
</file>

<file path=xl/comments9.xml><?xml version="1.0" encoding="utf-8"?>
<comments xmlns="http://schemas.openxmlformats.org/spreadsheetml/2006/main">
  <authors>
    <author>Agnetha Simm</author>
  </authors>
  <commentList>
    <comment ref="A118" authorId="0" shapeId="0">
      <text>
        <r>
          <rPr>
            <b/>
            <sz val="9"/>
            <color indexed="81"/>
            <rFont val="Tahoma"/>
            <family val="2"/>
          </rPr>
          <t>Agnetha Simm:</t>
        </r>
        <r>
          <rPr>
            <sz val="9"/>
            <color indexed="81"/>
            <rFont val="Tahoma"/>
            <family val="2"/>
          </rPr>
          <t xml:space="preserve">
Fd 3704 fr o m mars-19</t>
        </r>
      </text>
    </comment>
  </commentList>
</comments>
</file>

<file path=xl/sharedStrings.xml><?xml version="1.0" encoding="utf-8"?>
<sst xmlns="http://schemas.openxmlformats.org/spreadsheetml/2006/main" count="15465" uniqueCount="2328">
  <si>
    <t>AUO (76-90) Examensarbete, 15 hp</t>
  </si>
  <si>
    <t>6SY021</t>
  </si>
  <si>
    <t>Kursansvar namn</t>
  </si>
  <si>
    <t>Total HST</t>
  </si>
  <si>
    <t>Data</t>
  </si>
  <si>
    <t>Total HPR</t>
  </si>
  <si>
    <t>Prislapp HST</t>
  </si>
  <si>
    <t>Prislapp HPR</t>
  </si>
  <si>
    <t>Avdrag</t>
  </si>
  <si>
    <t>Intäkter för medverkande institutioner (tkr)</t>
  </si>
  <si>
    <t>% org 1</t>
  </si>
  <si>
    <t xml:space="preserve">Estetiska ämnen               </t>
  </si>
  <si>
    <t xml:space="preserve">Gemensamt för universitetet   </t>
  </si>
  <si>
    <t xml:space="preserve">Gemensamma funktioner m m </t>
  </si>
  <si>
    <t>ÖS-medel</t>
  </si>
  <si>
    <t xml:space="preserve">Fondförvaltning               </t>
  </si>
  <si>
    <t xml:space="preserve">Internbank                    </t>
  </si>
  <si>
    <t>Ladokkonsortiet</t>
  </si>
  <si>
    <t>Regionala etikprövningsnämnden</t>
  </si>
  <si>
    <t xml:space="preserve">Universitetsledningen         </t>
  </si>
  <si>
    <t xml:space="preserve">Universitetsledningens kansli </t>
  </si>
  <si>
    <t xml:space="preserve">Universitetsbiblioteket       </t>
  </si>
  <si>
    <t xml:space="preserve">Umdac                         </t>
  </si>
  <si>
    <t xml:space="preserve">Umdac/RDS                     </t>
  </si>
  <si>
    <t xml:space="preserve">HPC2N                         </t>
  </si>
  <si>
    <t xml:space="preserve">Förvaltningen gemensamt       </t>
  </si>
  <si>
    <t xml:space="preserve">Ekonomiadministrativa enheten </t>
  </si>
  <si>
    <t xml:space="preserve">Informationsenheten                  </t>
  </si>
  <si>
    <t xml:space="preserve">Internrevision                </t>
  </si>
  <si>
    <t xml:space="preserve">IT-enheten                </t>
  </si>
  <si>
    <t>Ladok enheten</t>
  </si>
  <si>
    <t xml:space="preserve">Lokalförsörjningen            </t>
  </si>
  <si>
    <t xml:space="preserve">Lokalförsörjningsenheten/Tele </t>
  </si>
  <si>
    <t xml:space="preserve">Studentcentrum                </t>
  </si>
  <si>
    <t xml:space="preserve">Ledning, universitetsservice       </t>
  </si>
  <si>
    <t>Institution</t>
  </si>
  <si>
    <t>Totalt HUM</t>
  </si>
  <si>
    <t>Totalt SAM</t>
  </si>
  <si>
    <t>Totalt MED</t>
  </si>
  <si>
    <t>Totalt TEKN</t>
  </si>
  <si>
    <t xml:space="preserve">Friskvård                     </t>
  </si>
  <si>
    <t xml:space="preserve">Lokaluthyrning </t>
  </si>
  <si>
    <t xml:space="preserve">Husservice                    </t>
  </si>
  <si>
    <t xml:space="preserve">Kontorsbutiken                </t>
  </si>
  <si>
    <t xml:space="preserve">Kronlund                      </t>
  </si>
  <si>
    <t xml:space="preserve">Lokalvård                     </t>
  </si>
  <si>
    <t>Post och transportservice</t>
  </si>
  <si>
    <t>Print &amp; Media</t>
  </si>
  <si>
    <t xml:space="preserve">Skrivningsbevakningen         </t>
  </si>
  <si>
    <t xml:space="preserve">Unimeg                        </t>
  </si>
  <si>
    <t>Gemensamma avsättningar</t>
  </si>
  <si>
    <t>Forum för tvärvetenskap</t>
  </si>
  <si>
    <t xml:space="preserve">Miljöhögskolan                </t>
  </si>
  <si>
    <t xml:space="preserve">Centrum för miljövetenskaplig </t>
  </si>
  <si>
    <t>Centrum för molekylär patogene</t>
  </si>
  <si>
    <t xml:space="preserve">Biomedicinsk forskarskola     </t>
  </si>
  <si>
    <t xml:space="preserve">Centrala ombokningar          </t>
  </si>
  <si>
    <t xml:space="preserve">Centrala betalningar          </t>
  </si>
  <si>
    <t>Orgenhet nr</t>
  </si>
  <si>
    <t>Kurskod NyA</t>
  </si>
  <si>
    <t>Kursansvar</t>
  </si>
  <si>
    <t>HST</t>
  </si>
  <si>
    <t>HPR</t>
  </si>
  <si>
    <t>6ÖÄ003</t>
  </si>
  <si>
    <t>6ÖÄ005</t>
  </si>
  <si>
    <t>6ES016</t>
  </si>
  <si>
    <t>6EN005</t>
  </si>
  <si>
    <t>6ES002</t>
  </si>
  <si>
    <t>6SL001</t>
  </si>
  <si>
    <t>Kurspris HST</t>
  </si>
  <si>
    <t>Kurspris HPR</t>
  </si>
  <si>
    <t>Fakultet</t>
  </si>
  <si>
    <t>Hum</t>
  </si>
  <si>
    <t>Sam</t>
  </si>
  <si>
    <t>Med</t>
  </si>
  <si>
    <t>TekNat</t>
  </si>
  <si>
    <t>USE</t>
  </si>
  <si>
    <t>Total ersättning</t>
  </si>
  <si>
    <t>Fak medv</t>
  </si>
  <si>
    <t>Fak kursansvar</t>
  </si>
  <si>
    <t>6SL000</t>
  </si>
  <si>
    <t>6TX011</t>
  </si>
  <si>
    <t>6SL008</t>
  </si>
  <si>
    <t>6ES003</t>
  </si>
  <si>
    <t>LYLÄP</t>
  </si>
  <si>
    <t>LYSYV</t>
  </si>
  <si>
    <t>6TX003</t>
  </si>
  <si>
    <t>6TX000</t>
  </si>
  <si>
    <t>6FA001</t>
  </si>
  <si>
    <t>6EN006</t>
  </si>
  <si>
    <t>6MA000</t>
  </si>
  <si>
    <t>6PE045</t>
  </si>
  <si>
    <t>6HS000</t>
  </si>
  <si>
    <t>6LÄ020</t>
  </si>
  <si>
    <t>6LÄ022</t>
  </si>
  <si>
    <t>6HI001</t>
  </si>
  <si>
    <t>6RE002</t>
  </si>
  <si>
    <t>6SH002</t>
  </si>
  <si>
    <t>6SH001</t>
  </si>
  <si>
    <t>6HI002</t>
  </si>
  <si>
    <t>6SV004</t>
  </si>
  <si>
    <t>6ST000</t>
  </si>
  <si>
    <t>6ST001</t>
  </si>
  <si>
    <t>6NO010</t>
  </si>
  <si>
    <t>6KN001</t>
  </si>
  <si>
    <t>Prkod</t>
  </si>
  <si>
    <t>HtVt</t>
  </si>
  <si>
    <t>Ort</t>
  </si>
  <si>
    <t>Form</t>
  </si>
  <si>
    <t>Studie takt</t>
  </si>
  <si>
    <t>Benämn</t>
  </si>
  <si>
    <t>Poäng</t>
  </si>
  <si>
    <t>Ant</t>
  </si>
  <si>
    <t>HPR %</t>
  </si>
  <si>
    <t>LLÄRY</t>
  </si>
  <si>
    <t>LYSPL</t>
  </si>
  <si>
    <t>LYLÄR</t>
  </si>
  <si>
    <t>FRIST</t>
  </si>
  <si>
    <t>LSYOY distans</t>
  </si>
  <si>
    <t>LSYOY</t>
  </si>
  <si>
    <t>LYSPE</t>
  </si>
  <si>
    <t>6PE082</t>
  </si>
  <si>
    <t>LSPPY</t>
  </si>
  <si>
    <t>Kreativt skapande - från idé till produkt</t>
  </si>
  <si>
    <t>Fristående och övriga kurser</t>
  </si>
  <si>
    <t>Forskning och utvecklingsarbete</t>
  </si>
  <si>
    <t>TE</t>
  </si>
  <si>
    <t>6ST008</t>
  </si>
  <si>
    <t>6ST006</t>
  </si>
  <si>
    <t>6PE080</t>
  </si>
  <si>
    <t>DE</t>
  </si>
  <si>
    <t>HU</t>
  </si>
  <si>
    <t>ID</t>
  </si>
  <si>
    <t>LU</t>
  </si>
  <si>
    <t>MU</t>
  </si>
  <si>
    <t>NA</t>
  </si>
  <si>
    <t>SA</t>
  </si>
  <si>
    <t>ÖV</t>
  </si>
  <si>
    <t>6SH000</t>
  </si>
  <si>
    <t>6PE053</t>
  </si>
  <si>
    <t>6PE055</t>
  </si>
  <si>
    <t>6RE001</t>
  </si>
  <si>
    <t>6RE000</t>
  </si>
  <si>
    <t>6LÄ005</t>
  </si>
  <si>
    <t>6FA002</t>
  </si>
  <si>
    <t>Statistik för lärare</t>
  </si>
  <si>
    <t>6PE034</t>
  </si>
  <si>
    <t>6PE035</t>
  </si>
  <si>
    <t>6SY003</t>
  </si>
  <si>
    <t>Lokalintäkt</t>
  </si>
  <si>
    <t>6SY013</t>
  </si>
  <si>
    <t>6MU008</t>
  </si>
  <si>
    <t>6SL007</t>
  </si>
  <si>
    <t>Orgenh</t>
  </si>
  <si>
    <t>Totalt</t>
  </si>
  <si>
    <t>Namn</t>
  </si>
  <si>
    <t>År</t>
  </si>
  <si>
    <t>Enhet</t>
  </si>
  <si>
    <t>Benämning</t>
  </si>
  <si>
    <t>TOTALT</t>
  </si>
  <si>
    <t>Centrum för utvärderingsforskning</t>
  </si>
  <si>
    <t>Umeå centrum för idrottsvetenskap</t>
  </si>
  <si>
    <t>Centrum för befolkningsstudier</t>
  </si>
  <si>
    <t>Receptarieutbildning</t>
  </si>
  <si>
    <t>EMG</t>
  </si>
  <si>
    <t xml:space="preserve">Kemiska institutionen         </t>
  </si>
  <si>
    <t>Inst för MA och MA statistik</t>
  </si>
  <si>
    <t>Enheten för näringsliv o samhälle ENS</t>
  </si>
  <si>
    <t>Akademiker i företag</t>
  </si>
  <si>
    <t>Administration service</t>
  </si>
  <si>
    <t>Profil- &amp; Copyshop</t>
  </si>
  <si>
    <t>Upphandling</t>
  </si>
  <si>
    <t>Inst för ide- o samhällsstudier</t>
  </si>
  <si>
    <t>Inst för kultur- o medievetenskap</t>
  </si>
  <si>
    <t>Umeå centrum för genusstudier (UCGS)</t>
  </si>
  <si>
    <t xml:space="preserve">MIMS </t>
  </si>
  <si>
    <t>Inst för språkstudier</t>
  </si>
  <si>
    <t xml:space="preserve">Bildmuseet                    </t>
  </si>
  <si>
    <t>FDN</t>
  </si>
  <si>
    <t>GDL</t>
  </si>
  <si>
    <t>UTCF</t>
  </si>
  <si>
    <t>BIS</t>
  </si>
  <si>
    <t>Personal- och organisationsutv enheten</t>
  </si>
  <si>
    <t>Planeringsenheten</t>
  </si>
  <si>
    <t xml:space="preserve">Hum fak kansli                </t>
  </si>
  <si>
    <t xml:space="preserve">Hum fak gemensamt             </t>
  </si>
  <si>
    <t xml:space="preserve">Hum lab                       </t>
  </si>
  <si>
    <t xml:space="preserve">Centrum för samisk forskning  </t>
  </si>
  <si>
    <t xml:space="preserve">Konsthögskolan                </t>
  </si>
  <si>
    <t>Gemensamt för samhällsvetenskap</t>
  </si>
  <si>
    <t>Kansliet för samhällsvetenskap</t>
  </si>
  <si>
    <t xml:space="preserve">Enh för Polisutb. vid UmU     </t>
  </si>
  <si>
    <t xml:space="preserve">Pedagogik                     </t>
  </si>
  <si>
    <t>Inst för beteendevetenskapliga mätningar</t>
  </si>
  <si>
    <t xml:space="preserve">Inst för psykologi            </t>
  </si>
  <si>
    <t xml:space="preserve">Sociologi                     </t>
  </si>
  <si>
    <t xml:space="preserve">Nationalekonomi               </t>
  </si>
  <si>
    <t xml:space="preserve">Juridiska institutionen       </t>
  </si>
  <si>
    <t xml:space="preserve">Statsvetenskap                </t>
  </si>
  <si>
    <t xml:space="preserve">Ekonomisk historia            </t>
  </si>
  <si>
    <t xml:space="preserve">Statistik                     </t>
  </si>
  <si>
    <t xml:space="preserve">Socialt arbete                </t>
  </si>
  <si>
    <t xml:space="preserve">Centrum f handikappvetenskap  </t>
  </si>
  <si>
    <t>Transportforskningsenheten</t>
  </si>
  <si>
    <t xml:space="preserve">Informatik                    </t>
  </si>
  <si>
    <t xml:space="preserve">Kostvetenskap                 </t>
  </si>
  <si>
    <t xml:space="preserve">CERUM                         </t>
  </si>
  <si>
    <t xml:space="preserve">Enheten f restauranghögskolan </t>
  </si>
  <si>
    <t xml:space="preserve">Datorlab HASTA                </t>
  </si>
  <si>
    <t>BVH-labben</t>
  </si>
  <si>
    <t xml:space="preserve">DDB Umeå                          </t>
  </si>
  <si>
    <t xml:space="preserve">DDB Haparanda                     </t>
  </si>
  <si>
    <t xml:space="preserve">DDB Jörn                          </t>
  </si>
  <si>
    <t xml:space="preserve">DDB Karesuando                    </t>
  </si>
  <si>
    <t>ALC</t>
  </si>
  <si>
    <t>Medicinska fakulteten</t>
  </si>
  <si>
    <t xml:space="preserve">Kansliet för med fak          </t>
  </si>
  <si>
    <t xml:space="preserve">Vårdutbildningar              </t>
  </si>
  <si>
    <t>Grundutbildningsrådet</t>
  </si>
  <si>
    <t>Vetenskaplig baskurs</t>
  </si>
  <si>
    <t>UGL/Grupprocesser</t>
  </si>
  <si>
    <t xml:space="preserve">Klinisk vetenskap             </t>
  </si>
  <si>
    <t xml:space="preserve">Psykiatri                     </t>
  </si>
  <si>
    <t xml:space="preserve">Barn- och ungdomspsykiatri    </t>
  </si>
  <si>
    <t xml:space="preserve">Psykoterapi                   </t>
  </si>
  <si>
    <t xml:space="preserve">Obstetrik och gynekologi      </t>
  </si>
  <si>
    <t xml:space="preserve">Oftalmiatrik                  </t>
  </si>
  <si>
    <t xml:space="preserve">Öron- näs- och halssjukdomar  </t>
  </si>
  <si>
    <t xml:space="preserve">Logopedi                      </t>
  </si>
  <si>
    <t xml:space="preserve">Pediatrik                     </t>
  </si>
  <si>
    <t xml:space="preserve">Strålningsvetenskaper         </t>
  </si>
  <si>
    <t xml:space="preserve">Diagnostisk radiologi         </t>
  </si>
  <si>
    <t xml:space="preserve">Onkologi                      </t>
  </si>
  <si>
    <t xml:space="preserve">Radiofysik                    </t>
  </si>
  <si>
    <t>Radiobiologi</t>
  </si>
  <si>
    <t>Molekylärbiologi</t>
  </si>
  <si>
    <t xml:space="preserve">Kirurgisk o perioperativ vetenskap </t>
  </si>
  <si>
    <t xml:space="preserve">Kirurgi                       </t>
  </si>
  <si>
    <t xml:space="preserve">Anestesiologi o intensivvård  </t>
  </si>
  <si>
    <t xml:space="preserve">Klinisk fysiologi             </t>
  </si>
  <si>
    <t xml:space="preserve">Ortopedi                      </t>
  </si>
  <si>
    <t xml:space="preserve">Handkirurgi                   </t>
  </si>
  <si>
    <t xml:space="preserve">Idrottsmedicin                </t>
  </si>
  <si>
    <t xml:space="preserve">Urologi och andrologi         </t>
  </si>
  <si>
    <t xml:space="preserve">Samhällsmedicin och rehab     </t>
  </si>
  <si>
    <t xml:space="preserve">Rehabiliteringsmedicin        </t>
  </si>
  <si>
    <t xml:space="preserve">Arbetsterapi                  </t>
  </si>
  <si>
    <t xml:space="preserve">Sjukgymnastik                 </t>
  </si>
  <si>
    <t xml:space="preserve">Geriatrik                     </t>
  </si>
  <si>
    <t xml:space="preserve">Rättsmedicin                  </t>
  </si>
  <si>
    <t>Farmakologi/klin neurovet.skap</t>
  </si>
  <si>
    <t xml:space="preserve">Farmakologi                   </t>
  </si>
  <si>
    <t xml:space="preserve">Klinisk farmakologi           </t>
  </si>
  <si>
    <t>Klinisk neurovetenskap</t>
  </si>
  <si>
    <t xml:space="preserve">Inst f medicinsk biovetenskap </t>
  </si>
  <si>
    <t xml:space="preserve">Patologi                      </t>
  </si>
  <si>
    <t xml:space="preserve">Klinisk kemi                  </t>
  </si>
  <si>
    <t xml:space="preserve">Fysiologisk kemi              </t>
  </si>
  <si>
    <t xml:space="preserve">Medicinsk genetik             </t>
  </si>
  <si>
    <t xml:space="preserve">Klinisk mikrobiologi          </t>
  </si>
  <si>
    <t xml:space="preserve">Klinisk bakteriologi          </t>
  </si>
  <si>
    <t xml:space="preserve">Klinisk immunologi       </t>
  </si>
  <si>
    <t xml:space="preserve">Virologi                      </t>
  </si>
  <si>
    <t>Biomedicinsk laboratorievetenskap</t>
  </si>
  <si>
    <t xml:space="preserve">Infektionssjukdomar           </t>
  </si>
  <si>
    <t xml:space="preserve">Immunologi                    </t>
  </si>
  <si>
    <t xml:space="preserve">Omvårdnad                     </t>
  </si>
  <si>
    <t xml:space="preserve">Medicinsk kemi och biofysik   </t>
  </si>
  <si>
    <t>Interaktiv medicinsk biologi</t>
  </si>
  <si>
    <t xml:space="preserve">Anatomi                       </t>
  </si>
  <si>
    <t xml:space="preserve">Histologi med cellbiologi     </t>
  </si>
  <si>
    <t xml:space="preserve">Fysiologi                     </t>
  </si>
  <si>
    <t xml:space="preserve">Folkhälsa och klin medicin    </t>
  </si>
  <si>
    <t xml:space="preserve">Allmänmedicin                 </t>
  </si>
  <si>
    <t xml:space="preserve">Tillämpad medicin             </t>
  </si>
  <si>
    <t xml:space="preserve">Dermatologi och venereologi   </t>
  </si>
  <si>
    <t xml:space="preserve">Medicin                       </t>
  </si>
  <si>
    <t xml:space="preserve">Lungmedicin                   </t>
  </si>
  <si>
    <t xml:space="preserve">Reumatologi                   </t>
  </si>
  <si>
    <t xml:space="preserve">Miljömedicin                  </t>
  </si>
  <si>
    <t xml:space="preserve">Yrkesmedicin                  </t>
  </si>
  <si>
    <t>Folkhälsovetenskap</t>
  </si>
  <si>
    <t xml:space="preserve">Näringsforskning              </t>
  </si>
  <si>
    <t>Umeå centrum för molekylär med</t>
  </si>
  <si>
    <t xml:space="preserve">Odontologiska inst            </t>
  </si>
  <si>
    <t>Administration odontologi</t>
  </si>
  <si>
    <t xml:space="preserve">Cariologi                     </t>
  </si>
  <si>
    <t xml:space="preserve">Protetik                      </t>
  </si>
  <si>
    <t xml:space="preserve">Endodonti                     </t>
  </si>
  <si>
    <t xml:space="preserve">Oral mikrobiologi             </t>
  </si>
  <si>
    <t xml:space="preserve">Oral cellbiologi              </t>
  </si>
  <si>
    <t xml:space="preserve">Oral diagn radiologi          </t>
  </si>
  <si>
    <t xml:space="preserve">Odont materialvetenskap       </t>
  </si>
  <si>
    <t xml:space="preserve">Käkkirurgi                    </t>
  </si>
  <si>
    <t xml:space="preserve">Parodontologi                 </t>
  </si>
  <si>
    <t xml:space="preserve">Klinisk oral fysiologi        </t>
  </si>
  <si>
    <t xml:space="preserve">Pedodonti                     </t>
  </si>
  <si>
    <t xml:space="preserve">Ortodonti                     </t>
  </si>
  <si>
    <t xml:space="preserve">Tandhygienistutbildning       </t>
  </si>
  <si>
    <t>Tandteknikerprogrammet</t>
  </si>
  <si>
    <t xml:space="preserve">Gem Teknisk nat fakulteten    </t>
  </si>
  <si>
    <t xml:space="preserve">Plangrupp f tekn biologi      </t>
  </si>
  <si>
    <t xml:space="preserve">Interaktionsteknik och design </t>
  </si>
  <si>
    <t xml:space="preserve">Umeå Marina Forskningscentrum </t>
  </si>
  <si>
    <t xml:space="preserve">Växthuset                     </t>
  </si>
  <si>
    <t xml:space="preserve">Inst för Fysiologisk botanik  </t>
  </si>
  <si>
    <t>UPSC Umeå Plant Science Center</t>
  </si>
  <si>
    <t xml:space="preserve">Inst Designhögskolan          </t>
  </si>
  <si>
    <t xml:space="preserve">Inst för Fysik                </t>
  </si>
  <si>
    <t>Energiteknik</t>
  </si>
  <si>
    <t xml:space="preserve">Säkerhetshuset                </t>
  </si>
  <si>
    <t xml:space="preserve">Kemiförrådet                  </t>
  </si>
  <si>
    <t xml:space="preserve">VMC KBC                   </t>
  </si>
  <si>
    <t xml:space="preserve">Inst för datavetenskap        </t>
  </si>
  <si>
    <t xml:space="preserve">UCIT                          </t>
  </si>
  <si>
    <t xml:space="preserve">Lärarutbildningarna gem       </t>
  </si>
  <si>
    <t>Universitetspedagogiskt centrum</t>
  </si>
  <si>
    <t>Värdegrundcentrum VGC</t>
  </si>
  <si>
    <t>Inst f interakt medier o lärande</t>
  </si>
  <si>
    <t xml:space="preserve">SV/SO                         </t>
  </si>
  <si>
    <t>BUSV</t>
  </si>
  <si>
    <t>Månad</t>
  </si>
  <si>
    <t>VÅ</t>
  </si>
  <si>
    <t>Examensarbete för lärarexamen</t>
  </si>
  <si>
    <t>HST Medv</t>
  </si>
  <si>
    <t>HPR Medv</t>
  </si>
  <si>
    <t>Medv namn</t>
  </si>
  <si>
    <t>Ansv org</t>
  </si>
  <si>
    <t>Kreativt skapande - trä och metall</t>
  </si>
  <si>
    <t>6KN002</t>
  </si>
  <si>
    <t>Examensarbete, 30 hp</t>
  </si>
  <si>
    <t>LEXC</t>
  </si>
  <si>
    <t>6TX007</t>
  </si>
  <si>
    <t>6SL002</t>
  </si>
  <si>
    <t>6PE081</t>
  </si>
  <si>
    <t>6MU006</t>
  </si>
  <si>
    <t>6ES004</t>
  </si>
  <si>
    <t>Hyrespris</t>
  </si>
  <si>
    <t>6MA007</t>
  </si>
  <si>
    <t>6SP024</t>
  </si>
  <si>
    <t>6SY020</t>
  </si>
  <si>
    <t>6SY015</t>
  </si>
  <si>
    <t>XXX</t>
  </si>
  <si>
    <t>Takbelopp</t>
  </si>
  <si>
    <t>6MN011</t>
  </si>
  <si>
    <t>6MN013</t>
  </si>
  <si>
    <t>6MN014</t>
  </si>
  <si>
    <t>Musik III</t>
  </si>
  <si>
    <t>5FY020</t>
  </si>
  <si>
    <t>5FY084</t>
  </si>
  <si>
    <t>Termodynamik B</t>
  </si>
  <si>
    <t>Fasta tillståndets fysik C, 7,5 hp</t>
  </si>
  <si>
    <t>Bioorganisk kemi, 15 hp</t>
  </si>
  <si>
    <t>6ST007</t>
  </si>
  <si>
    <t>6SY014</t>
  </si>
  <si>
    <t>6MA006</t>
  </si>
  <si>
    <t>LGYLY</t>
  </si>
  <si>
    <t>LLÄPY</t>
  </si>
  <si>
    <t>LGRSY</t>
  </si>
  <si>
    <t>Examensarbete - Lärarprogrammet</t>
  </si>
  <si>
    <t>Vetenskaplig teori och metod</t>
  </si>
  <si>
    <t>Utbildning</t>
  </si>
  <si>
    <t>Specialpedagogprogram</t>
  </si>
  <si>
    <t>Studie- och yrkesvägledarprogram</t>
  </si>
  <si>
    <t>SGSOC</t>
  </si>
  <si>
    <t>TMASY</t>
  </si>
  <si>
    <t>TENEY</t>
  </si>
  <si>
    <t>6EN013</t>
  </si>
  <si>
    <t>6LV001</t>
  </si>
  <si>
    <t>6PE085</t>
  </si>
  <si>
    <t>6PE087</t>
  </si>
  <si>
    <t>6ÖÄ012</t>
  </si>
  <si>
    <t>6SP027</t>
  </si>
  <si>
    <t>Examensarbete Specialpedagogprogrammet</t>
  </si>
  <si>
    <t>(tom)</t>
  </si>
  <si>
    <t>Kursintäkt</t>
  </si>
  <si>
    <t>Kurs-ansvar</t>
  </si>
  <si>
    <t>6SY022</t>
  </si>
  <si>
    <t>6SY016</t>
  </si>
  <si>
    <t>Utbildningssystem i Sverige och andra länder</t>
  </si>
  <si>
    <t>Utbildningsomr</t>
  </si>
  <si>
    <t>Design</t>
  </si>
  <si>
    <t>Idrott</t>
  </si>
  <si>
    <t>Musik</t>
  </si>
  <si>
    <t>Natur</t>
  </si>
  <si>
    <t>Teknik</t>
  </si>
  <si>
    <t>Undervisning</t>
  </si>
  <si>
    <t>Övrigt</t>
  </si>
  <si>
    <t>Pris HST netto</t>
  </si>
  <si>
    <t>PrisHPR netto</t>
  </si>
  <si>
    <t>Lokalers</t>
  </si>
  <si>
    <t>6HI005</t>
  </si>
  <si>
    <t>6LÄ039</t>
  </si>
  <si>
    <t>6PE083</t>
  </si>
  <si>
    <t>6PSXY</t>
  </si>
  <si>
    <t>6PSXZ</t>
  </si>
  <si>
    <t>6SY018</t>
  </si>
  <si>
    <t>6ÖÄ011</t>
  </si>
  <si>
    <t>Studieveckor</t>
  </si>
  <si>
    <t>Org 1</t>
  </si>
  <si>
    <t>6ES026</t>
  </si>
  <si>
    <t>Psykologi II</t>
  </si>
  <si>
    <t>Psykologi III</t>
  </si>
  <si>
    <t>Värden</t>
  </si>
  <si>
    <t>Lokalintäkter</t>
  </si>
  <si>
    <t>Enheten för undervisning och lärande</t>
  </si>
  <si>
    <t>Kursansvarig</t>
  </si>
  <si>
    <t>Lokalin/hst</t>
  </si>
  <si>
    <t>Som medv</t>
  </si>
  <si>
    <t>Till medv</t>
  </si>
  <si>
    <t>HUM</t>
  </si>
  <si>
    <t>SAM</t>
  </si>
  <si>
    <t>TEKN</t>
  </si>
  <si>
    <t>MED</t>
  </si>
  <si>
    <t>6MU018</t>
  </si>
  <si>
    <t>Kursers</t>
  </si>
  <si>
    <t>Som kursansvarig</t>
  </si>
  <si>
    <t>Till medverkande (efter avdrag för kursansvar)</t>
  </si>
  <si>
    <t>Som medverkande (från kursansvarig efter avdrag för kursansvar)</t>
  </si>
  <si>
    <t>Summa av HPR Medv</t>
  </si>
  <si>
    <t>Vernr</t>
  </si>
  <si>
    <t>Verdatum</t>
  </si>
  <si>
    <t>Bokföringsorder</t>
  </si>
  <si>
    <t>Baskto</t>
  </si>
  <si>
    <t>Proj inst</t>
  </si>
  <si>
    <t>V-het</t>
  </si>
  <si>
    <t>Text</t>
  </si>
  <si>
    <t>Kurs- o lokalintäkt</t>
  </si>
  <si>
    <t>D/K</t>
  </si>
  <si>
    <t>LGYPY</t>
  </si>
  <si>
    <t>LTEXY</t>
  </si>
  <si>
    <t>Introduktion till diskret matematik</t>
  </si>
  <si>
    <t>6SY027</t>
  </si>
  <si>
    <t>Anm</t>
  </si>
  <si>
    <t>6NE001</t>
  </si>
  <si>
    <t>6RE006</t>
  </si>
  <si>
    <t>6PE025</t>
  </si>
  <si>
    <t>anmkod</t>
  </si>
  <si>
    <t>Inriktning</t>
  </si>
  <si>
    <t>Verksamhetsområde</t>
  </si>
  <si>
    <t>Hämtat ur</t>
  </si>
  <si>
    <t>TUV</t>
  </si>
  <si>
    <t>Utvärdering, ledarskap och förändringsarbete</t>
  </si>
  <si>
    <t>Vård</t>
  </si>
  <si>
    <t>Totala intäkter</t>
  </si>
  <si>
    <t xml:space="preserve"> HST</t>
  </si>
  <si>
    <t xml:space="preserve"> HPR</t>
  </si>
  <si>
    <t xml:space="preserve"> Lokalintäkt</t>
  </si>
  <si>
    <t xml:space="preserve"> Kursintäkt</t>
  </si>
  <si>
    <t xml:space="preserve"> HST medv</t>
  </si>
  <si>
    <t xml:space="preserve"> HPr medv</t>
  </si>
  <si>
    <t xml:space="preserve"> HPR medv</t>
  </si>
  <si>
    <t>Totala kursintäkter</t>
  </si>
  <si>
    <t>Totala lokalintäkter</t>
  </si>
  <si>
    <t>Lokalintäkter**</t>
  </si>
  <si>
    <t xml:space="preserve">Summa </t>
  </si>
  <si>
    <t>Totala intäkter till institutionen</t>
  </si>
  <si>
    <t>Kursavdrag</t>
  </si>
  <si>
    <t xml:space="preserve"> Kursintäkt efter avdrag</t>
  </si>
  <si>
    <t>Kursintäkt efter avdrag</t>
  </si>
  <si>
    <t>Examensarbete för lärarexamen (grund)</t>
  </si>
  <si>
    <t>NMD</t>
  </si>
  <si>
    <t>Inkopierat från flik "Totalt per inst"</t>
  </si>
  <si>
    <t>Sam fak</t>
  </si>
  <si>
    <t>Kursintäkter</t>
  </si>
  <si>
    <t>TEKNAT</t>
  </si>
  <si>
    <t>Justering musik/design</t>
  </si>
  <si>
    <t>lokalint</t>
  </si>
  <si>
    <t>kursint</t>
  </si>
  <si>
    <t>Attest</t>
  </si>
  <si>
    <t>6LU002</t>
  </si>
  <si>
    <t>6LU003</t>
  </si>
  <si>
    <t>6PE301</t>
  </si>
  <si>
    <t>Demokrati, individ och samhälle</t>
  </si>
  <si>
    <t>Kunskap, undervisning och lärande I</t>
  </si>
  <si>
    <t>SAKNA</t>
  </si>
  <si>
    <t>6ES029</t>
  </si>
  <si>
    <t>Musik 1a</t>
  </si>
  <si>
    <t>6MU019</t>
  </si>
  <si>
    <t>6SL012</t>
  </si>
  <si>
    <t>6TX014</t>
  </si>
  <si>
    <t>6PE097</t>
  </si>
  <si>
    <t>LYAGR</t>
  </si>
  <si>
    <t>LYAGY</t>
  </si>
  <si>
    <t>LYFSK</t>
  </si>
  <si>
    <t>LYGFR</t>
  </si>
  <si>
    <t>LYGFT</t>
  </si>
  <si>
    <t>6EN019</t>
  </si>
  <si>
    <t>6EN020</t>
  </si>
  <si>
    <t>6EN022</t>
  </si>
  <si>
    <t>6EN024</t>
  </si>
  <si>
    <t>6EN026</t>
  </si>
  <si>
    <t>6EN027</t>
  </si>
  <si>
    <t>6ES032</t>
  </si>
  <si>
    <t>6ES033</t>
  </si>
  <si>
    <t>6ES050</t>
  </si>
  <si>
    <t>6HI013</t>
  </si>
  <si>
    <t>6ID302</t>
  </si>
  <si>
    <t>6KN008</t>
  </si>
  <si>
    <t>6MN019</t>
  </si>
  <si>
    <t>6MN020</t>
  </si>
  <si>
    <t>6PE059</t>
  </si>
  <si>
    <t>6PE098</t>
  </si>
  <si>
    <t>6PE100</t>
  </si>
  <si>
    <t>6PE109</t>
  </si>
  <si>
    <t>6PE110</t>
  </si>
  <si>
    <t>6PE111</t>
  </si>
  <si>
    <t>6PE112</t>
  </si>
  <si>
    <t>6PE113</t>
  </si>
  <si>
    <t>6PE114</t>
  </si>
  <si>
    <t>6RV000</t>
  </si>
  <si>
    <t>6RV001</t>
  </si>
  <si>
    <t>6SH009</t>
  </si>
  <si>
    <t>6SH010</t>
  </si>
  <si>
    <t>6SP041</t>
  </si>
  <si>
    <t>6ST010</t>
  </si>
  <si>
    <t>6SV020</t>
  </si>
  <si>
    <t>6SV021</t>
  </si>
  <si>
    <t>6SV022</t>
  </si>
  <si>
    <t>6SV024</t>
  </si>
  <si>
    <t>6SV025</t>
  </si>
  <si>
    <t>6SV027</t>
  </si>
  <si>
    <t>6TX017</t>
  </si>
  <si>
    <t>6EXA</t>
  </si>
  <si>
    <t>LYGRM</t>
  </si>
  <si>
    <t>6ES030</t>
  </si>
  <si>
    <t>6MU020</t>
  </si>
  <si>
    <t>6SL013</t>
  </si>
  <si>
    <t>6TX015</t>
  </si>
  <si>
    <t>6KN010</t>
  </si>
  <si>
    <t>LGRTY</t>
  </si>
  <si>
    <t>Lärarprogram NYA fr ht11</t>
  </si>
  <si>
    <t>SAMAM</t>
  </si>
  <si>
    <t>TYCID</t>
  </si>
  <si>
    <t>Slöjd, Textil 1b</t>
  </si>
  <si>
    <t>Svenska I för ämneslärare</t>
  </si>
  <si>
    <t>Svenska II för ämneslärare</t>
  </si>
  <si>
    <t>Bild 2a</t>
  </si>
  <si>
    <t>Bild 2b</t>
  </si>
  <si>
    <t>Bild 1</t>
  </si>
  <si>
    <t>Bild 1b</t>
  </si>
  <si>
    <t>Musik 1b</t>
  </si>
  <si>
    <t>Slöjd, Trä- och metall 1b</t>
  </si>
  <si>
    <t>Engelska för F-3, kurs 1</t>
  </si>
  <si>
    <t>Engelska för F-3, kurs 2</t>
  </si>
  <si>
    <t>Engelska för åk 4-6, kurs 1</t>
  </si>
  <si>
    <t>Engelska för åk 4-6, kurs 2</t>
  </si>
  <si>
    <t>Historia I</t>
  </si>
  <si>
    <t>Hem- och konsumentkunskap B</t>
  </si>
  <si>
    <t>Matematik för åk 4-6, kurs 2</t>
  </si>
  <si>
    <t>Matematik för åk 4-6, kurs 3</t>
  </si>
  <si>
    <t>Matematikdidaktik 2</t>
  </si>
  <si>
    <t>Matematik för åk 4-6, kurs 1</t>
  </si>
  <si>
    <t>Lärande, lek och utveckling i förskolan I</t>
  </si>
  <si>
    <t>Barnet och omvärlden</t>
  </si>
  <si>
    <t>Grupprocesser och samverkan ur ett fritidshemsperspektiv</t>
  </si>
  <si>
    <t>Barns behov av stöd och stimulans ur ett fritidshemsperspektiv</t>
  </si>
  <si>
    <t>Kunskap, undervisning och lärande i fritidshem II</t>
  </si>
  <si>
    <t>Samhällskunskap 1</t>
  </si>
  <si>
    <t>Samhällskunskap 2</t>
  </si>
  <si>
    <t>Svenska för F-3, kurs 1</t>
  </si>
  <si>
    <t>Svenska för F-3, kurs 2</t>
  </si>
  <si>
    <t>Svenska för åk 4-6, kurs 1</t>
  </si>
  <si>
    <t>Svenska för åk 4-6, kurs 2</t>
  </si>
  <si>
    <t>Inst kod</t>
  </si>
  <si>
    <t>Agnetha Simm, ekonomisamordnare</t>
  </si>
  <si>
    <t>6ES051</t>
  </si>
  <si>
    <t>6MU033</t>
  </si>
  <si>
    <t>6TX016</t>
  </si>
  <si>
    <t>6SL021</t>
  </si>
  <si>
    <t>6MA018</t>
  </si>
  <si>
    <t>6MA001</t>
  </si>
  <si>
    <t>6MA019</t>
  </si>
  <si>
    <t>6MA020</t>
  </si>
  <si>
    <t>Inst för Psykologi</t>
  </si>
  <si>
    <t>Ekonomisk historia</t>
  </si>
  <si>
    <t>6MN023</t>
  </si>
  <si>
    <t>6MN026</t>
  </si>
  <si>
    <t>6MN024</t>
  </si>
  <si>
    <t>6MN027</t>
  </si>
  <si>
    <t>6EN025</t>
  </si>
  <si>
    <t>6EN029</t>
  </si>
  <si>
    <t>6ES034</t>
  </si>
  <si>
    <t>6ES041</t>
  </si>
  <si>
    <t>6ID303</t>
  </si>
  <si>
    <t>6ID306</t>
  </si>
  <si>
    <t>6ID314</t>
  </si>
  <si>
    <t>6LU001</t>
  </si>
  <si>
    <t>6MA021</t>
  </si>
  <si>
    <t>6MA022</t>
  </si>
  <si>
    <t>6MA023</t>
  </si>
  <si>
    <t>6MN025</t>
  </si>
  <si>
    <t>6MN028</t>
  </si>
  <si>
    <t>6PE096</t>
  </si>
  <si>
    <t>6PE099</t>
  </si>
  <si>
    <t>6PE101</t>
  </si>
  <si>
    <t>6PE102</t>
  </si>
  <si>
    <t>6PE103</t>
  </si>
  <si>
    <t>6PE115</t>
  </si>
  <si>
    <t>6PE116</t>
  </si>
  <si>
    <t>6PE302</t>
  </si>
  <si>
    <t>6RV002</t>
  </si>
  <si>
    <t>6RV003</t>
  </si>
  <si>
    <t>6SH011</t>
  </si>
  <si>
    <t>6SV023</t>
  </si>
  <si>
    <t>6SV026</t>
  </si>
  <si>
    <t>6SV028</t>
  </si>
  <si>
    <t>6SY026</t>
  </si>
  <si>
    <t>Engelska för åk 4-6, kurs 3</t>
  </si>
  <si>
    <t>Bild 3</t>
  </si>
  <si>
    <t>6HI014</t>
  </si>
  <si>
    <t>Idrott och hälsa III</t>
  </si>
  <si>
    <t>Matematikdidaktik 3</t>
  </si>
  <si>
    <t>Matematik för åk 4-6, kurs 4</t>
  </si>
  <si>
    <t>Lärande, lek och utveckling i förskolan II</t>
  </si>
  <si>
    <t>Bedömning för lärande i fritidshem (UK II)</t>
  </si>
  <si>
    <t>Läraryrkets dimensioner i fritidshem I (VFU III)</t>
  </si>
  <si>
    <t>Differentialekvationer och flervariabelanalys</t>
  </si>
  <si>
    <t>Samhällskunskap 3</t>
  </si>
  <si>
    <t>Kunskap, undervisning och lärande II för åk 4-6</t>
  </si>
  <si>
    <t>Att undervisa i F-3</t>
  </si>
  <si>
    <t>Att undervisa i åk 4-6</t>
  </si>
  <si>
    <t>Svenska för F-3, kurs 3</t>
  </si>
  <si>
    <t>Svenska för åk 4-6, kurs 3</t>
  </si>
  <si>
    <t>Svenska III för ämneslärare</t>
  </si>
  <si>
    <t>Matematiska metoder</t>
  </si>
  <si>
    <t>Funktionslära och grundläggande analys</t>
  </si>
  <si>
    <t>LYYRK</t>
  </si>
  <si>
    <t>DIST</t>
  </si>
  <si>
    <t>LYKGR</t>
  </si>
  <si>
    <t>LYKGY</t>
  </si>
  <si>
    <t>Kompletterande pedagogisk utbildning - åk 7-9, 90 hp, fr ht12</t>
  </si>
  <si>
    <t>Kompletterande pedagogisk utbildning - gymnasieskolan, 90 hp, fr ht12</t>
  </si>
  <si>
    <t>6PE121</t>
  </si>
  <si>
    <t>6PE122</t>
  </si>
  <si>
    <t>Lärarhögskolan - Umeå universitet</t>
  </si>
  <si>
    <t>* U-gem och F-gem ingår ej utan fördelas direkt till respektive fakultet</t>
  </si>
  <si>
    <t>** För institutioner inom Samfak går lokalintäkterna till fakulteten</t>
  </si>
  <si>
    <t>6PE120</t>
  </si>
  <si>
    <t>Education: Teaching and Learning in an International Context</t>
  </si>
  <si>
    <t>6MA026</t>
  </si>
  <si>
    <t>6MS001</t>
  </si>
  <si>
    <t>6SD001</t>
  </si>
  <si>
    <t>6SD000</t>
  </si>
  <si>
    <t>6MA024</t>
  </si>
  <si>
    <t>6MA025</t>
  </si>
  <si>
    <t>6MA027</t>
  </si>
  <si>
    <t>6MU034</t>
  </si>
  <si>
    <t>6SL022</t>
  </si>
  <si>
    <t>6SL014</t>
  </si>
  <si>
    <t>6TX020</t>
  </si>
  <si>
    <t>6TX021</t>
  </si>
  <si>
    <t>6KN011</t>
  </si>
  <si>
    <t>6MN018</t>
  </si>
  <si>
    <t>6MN021</t>
  </si>
  <si>
    <t>6MN022</t>
  </si>
  <si>
    <t>6NO018</t>
  </si>
  <si>
    <t>6TE004</t>
  </si>
  <si>
    <t>6ES053</t>
  </si>
  <si>
    <t>6ES054</t>
  </si>
  <si>
    <t>Engelska för blivande senarelärare, Etapp 3</t>
  </si>
  <si>
    <t>Engelska för blivande gymnasielärare, Etapp 3</t>
  </si>
  <si>
    <t>Engelska I för ämneslärare med inriktning mot gymnasiet</t>
  </si>
  <si>
    <t>Engelska I för ämneslärare med inriktning mot åk 7-9</t>
  </si>
  <si>
    <t>Engelska II för ämneslärare med inriktning mot åk 7-9</t>
  </si>
  <si>
    <t>Engelska II för ämneslärare med inriktning mot gymnasiet</t>
  </si>
  <si>
    <t>Bild I</t>
  </si>
  <si>
    <t>Bild II</t>
  </si>
  <si>
    <t>Bild III</t>
  </si>
  <si>
    <t>Skapande bild, distans</t>
  </si>
  <si>
    <t>Bild 1a</t>
  </si>
  <si>
    <t>Skapande i förskolan</t>
  </si>
  <si>
    <t>Bild 2a, distans</t>
  </si>
  <si>
    <t>Franska C med didaktisk inriktning inom lärarprogrammet</t>
  </si>
  <si>
    <t>Historia 1-2 för lärare</t>
  </si>
  <si>
    <t>Historia 3 för lärare</t>
  </si>
  <si>
    <t>Historia II forts.</t>
  </si>
  <si>
    <t>Idrott och hälsa II för grundskolan</t>
  </si>
  <si>
    <t>Idrott och hälsa II för gymnasieskolan</t>
  </si>
  <si>
    <t>Hem- och konsumentkunskap 2</t>
  </si>
  <si>
    <t>Hem- och konsumentkunskap 3</t>
  </si>
  <si>
    <t>Hem- och konsumentkunskap A</t>
  </si>
  <si>
    <t>Hem- och konsumentkunskap, distans A</t>
  </si>
  <si>
    <t>Hem- och konsumentkunskap B, distans</t>
  </si>
  <si>
    <t>Språk-, skriv- och läsutveckling för speciallärare</t>
  </si>
  <si>
    <t>Information och undervisning</t>
  </si>
  <si>
    <t>Svenska IV</t>
  </si>
  <si>
    <t>Förskolans och Förskoleklassens kultur och uppdrag</t>
  </si>
  <si>
    <t>Förskolans pedagogiska verksamhet</t>
  </si>
  <si>
    <t>Ledarskap i förskola, förskoleklass och fritidshem</t>
  </si>
  <si>
    <t>Examensarbete för lärarexamen (grundnivå)</t>
  </si>
  <si>
    <t>Matematikdidaktik 1</t>
  </si>
  <si>
    <t>Problemlösning i matematik</t>
  </si>
  <si>
    <t>Analys, fördjupning</t>
  </si>
  <si>
    <t>Geometri och matematikens historia</t>
  </si>
  <si>
    <t>Algebra</t>
  </si>
  <si>
    <t>Linjär algebra</t>
  </si>
  <si>
    <t>Matematikundervisning med fokus på elever i behov av särskilda utbildningsinsatser</t>
  </si>
  <si>
    <t>Kartläggning, diagnotisering och bedömning i matematik</t>
  </si>
  <si>
    <t>Åtgärder</t>
  </si>
  <si>
    <t>Matematik för lärande och undervisning för åk F-3 och 4-6, del 1</t>
  </si>
  <si>
    <t>Matematik för åk F-3, kurs 1</t>
  </si>
  <si>
    <t>Matematik för lärande och undervisning för åk f-3, del II</t>
  </si>
  <si>
    <t>Matematik för lärande och undervisning för åk 4-6, del II</t>
  </si>
  <si>
    <t>Matematik för åk F-3, kurs 2</t>
  </si>
  <si>
    <t>Matematik för åk F-3, kurs 3</t>
  </si>
  <si>
    <t>Musik &amp; skapande, kommunikation</t>
  </si>
  <si>
    <t>Musik 2a, distans</t>
  </si>
  <si>
    <t>Makroekonomi och arbetsmarknad A23</t>
  </si>
  <si>
    <t>Utomhuspedagogik - Sommar</t>
  </si>
  <si>
    <t>Utomhuspedagogik i förskola, fritidshem och grundskolans tidiga år, 7,5hp</t>
  </si>
  <si>
    <t>Ämnesdidaktik 1 - naturvetenskapliga ämnen och matematik</t>
  </si>
  <si>
    <t>Ämnesdidaktik 1 - samhällsvetenskapliga och humanistiska ämnen</t>
  </si>
  <si>
    <t>Ämnesdidaktik 2 - samhällsvetenskapliga och humanistiska ämnen</t>
  </si>
  <si>
    <t>Examensarbete Lärarprogrammet</t>
  </si>
  <si>
    <t>Examensarbete för Studie- och yrkesvägledarprogrammet</t>
  </si>
  <si>
    <t>Examensarbete för speciallärarexamen med inriktning svenska</t>
  </si>
  <si>
    <t>Lärares professionella och vetenskapliga förhållningssätt</t>
  </si>
  <si>
    <t>Lärares professionella och vetenskapliga förhållningssätt i skolpraktiken</t>
  </si>
  <si>
    <t>Professionella samtal och rådgivning i specialpedagogiska frågor</t>
  </si>
  <si>
    <t>Didaktisk analys (avancerad nivå)</t>
  </si>
  <si>
    <t>6PE086</t>
  </si>
  <si>
    <t>Att undervisa i förskolan (VFU II)</t>
  </si>
  <si>
    <t>Barns lärande och utveckling i ett fritidshemsperspektiv</t>
  </si>
  <si>
    <t>Demokrati, mänskliga rättigheter och gender: globala perspektiv i utbildning</t>
  </si>
  <si>
    <t>Undervisning och lärande inom det svenska skolsystemet</t>
  </si>
  <si>
    <t>Pedagogiskt ledarskap, sociala relationer och konflikthantering</t>
  </si>
  <si>
    <t>Religionsvetenskap med didaktisk inriktning: fortsättningskurs</t>
  </si>
  <si>
    <t>Religionsvetenskap med didaktisk inriktning: påbyggnadskurs</t>
  </si>
  <si>
    <t>Religionsvetenskap med didaktisk inriktning: grundkurs</t>
  </si>
  <si>
    <t>Religionsvetenskap I</t>
  </si>
  <si>
    <t>Religionsvetenskap II: fortsättningskurs</t>
  </si>
  <si>
    <t>Examensarbete för lärarexamen: Språkdidaktisk inriktning</t>
  </si>
  <si>
    <t>Samhällskunskap I</t>
  </si>
  <si>
    <t>Samhällskunskap II</t>
  </si>
  <si>
    <t>Samhällskunskap III</t>
  </si>
  <si>
    <t>Slöjd- trä och metall inriktning I</t>
  </si>
  <si>
    <t>Slöjd - trä och metall inriktning II</t>
  </si>
  <si>
    <t>Slöjd- trä och metall inriktning III</t>
  </si>
  <si>
    <t>Slöjd, Trä- och metall 1a</t>
  </si>
  <si>
    <t>Slöjd, Trä- och metall 2a, distans</t>
  </si>
  <si>
    <t>Politik och samhälle</t>
  </si>
  <si>
    <t>Utbildning och arbetsmarknad I</t>
  </si>
  <si>
    <t>Svenska V: Språk och litteratur i samhälle och värld</t>
  </si>
  <si>
    <t>Studie- och yrkesvägledningens grunder</t>
  </si>
  <si>
    <t>Vetenskapliga perspektiv på studie- och yrkesvägledning</t>
  </si>
  <si>
    <t>Arbetsliv och lärande</t>
  </si>
  <si>
    <t>Teorier, modeller och metoder för vägledning och dess praktik</t>
  </si>
  <si>
    <t>Studie- och yrkesvägledningens praktik</t>
  </si>
  <si>
    <t>Teorier om studie- och yrkesval samt karriärutveckling</t>
  </si>
  <si>
    <t>Vägledning och stödinsatser för elever i behov av särskilt stöd</t>
  </si>
  <si>
    <t>Studie- och yrkesvägledningens teori och metod</t>
  </si>
  <si>
    <t>Introduktion till studie- och yrkesvägledning</t>
  </si>
  <si>
    <t>Samhällsvetenskap</t>
  </si>
  <si>
    <t>Teknik för lärare F-6</t>
  </si>
  <si>
    <t>Vävdesign</t>
  </si>
  <si>
    <t>Textila uttryck II</t>
  </si>
  <si>
    <t>Slöjd - textil inriktning III</t>
  </si>
  <si>
    <t>Kläddesign</t>
  </si>
  <si>
    <t>Slöjd, Textil 1a</t>
  </si>
  <si>
    <t>Slöjd, textil 2a, distans</t>
  </si>
  <si>
    <t>Vävdesign, fördjupning</t>
  </si>
  <si>
    <t>Examensarbete</t>
  </si>
  <si>
    <t>Att undervisa</t>
  </si>
  <si>
    <t>Bild 2b, distans</t>
  </si>
  <si>
    <t>Musik 1</t>
  </si>
  <si>
    <t>Musik 2</t>
  </si>
  <si>
    <t>Musik 2b, distans</t>
  </si>
  <si>
    <t>Slöjd, Trä- och metall 2b, distans</t>
  </si>
  <si>
    <t>6MU021</t>
  </si>
  <si>
    <t>6SL015</t>
  </si>
  <si>
    <t>ENGS</t>
  </si>
  <si>
    <t>HIST</t>
  </si>
  <si>
    <t>IDRH</t>
  </si>
  <si>
    <t>MATT</t>
  </si>
  <si>
    <t>MUSI</t>
  </si>
  <si>
    <t>RELK</t>
  </si>
  <si>
    <t>SAMK</t>
  </si>
  <si>
    <t>SVAA</t>
  </si>
  <si>
    <t>6BIxxx</t>
  </si>
  <si>
    <t>6LI005</t>
  </si>
  <si>
    <t>Totalsumma</t>
  </si>
  <si>
    <t>Hum Summa</t>
  </si>
  <si>
    <t>VFU</t>
  </si>
  <si>
    <t>6HI015</t>
  </si>
  <si>
    <t>6KG001</t>
  </si>
  <si>
    <t>Företagsekonomi</t>
  </si>
  <si>
    <t>Historia III forts.</t>
  </si>
  <si>
    <t>Geografi I</t>
  </si>
  <si>
    <t>2180 Summa</t>
  </si>
  <si>
    <t>DE HST</t>
  </si>
  <si>
    <t>DE HPR</t>
  </si>
  <si>
    <t>HU HPR</t>
  </si>
  <si>
    <t>HU HST</t>
  </si>
  <si>
    <t>ID HPR</t>
  </si>
  <si>
    <t>ID HST</t>
  </si>
  <si>
    <t>LU HPR</t>
  </si>
  <si>
    <t>LU HST</t>
  </si>
  <si>
    <t>MU HPR</t>
  </si>
  <si>
    <t>MU HST</t>
  </si>
  <si>
    <t>NA HST</t>
  </si>
  <si>
    <t>NA HPR</t>
  </si>
  <si>
    <t>SA HST</t>
  </si>
  <si>
    <t>SA HPR</t>
  </si>
  <si>
    <t>TE HST</t>
  </si>
  <si>
    <t>TE HPR</t>
  </si>
  <si>
    <t>VFU HST</t>
  </si>
  <si>
    <t>VFU HPR</t>
  </si>
  <si>
    <t>XXX HST</t>
  </si>
  <si>
    <t>ÖV HST</t>
  </si>
  <si>
    <t>ÖV HPR</t>
  </si>
  <si>
    <t>VÅ HST</t>
  </si>
  <si>
    <t>VÅ HPR</t>
  </si>
  <si>
    <t>max antal</t>
  </si>
  <si>
    <t>Justering</t>
  </si>
  <si>
    <t>Justering över max</t>
  </si>
  <si>
    <t>Summa</t>
  </si>
  <si>
    <t>Orgnr</t>
  </si>
  <si>
    <t>K</t>
  </si>
  <si>
    <t>D</t>
  </si>
  <si>
    <t>Justering musik/design (tkr)</t>
  </si>
  <si>
    <t>Estetiska</t>
  </si>
  <si>
    <t>Epidemiologi och global hälsa</t>
  </si>
  <si>
    <t>6PE130</t>
  </si>
  <si>
    <t>6PE131</t>
  </si>
  <si>
    <t>Bedömning för lärande för åk F-3 och 4-6</t>
  </si>
  <si>
    <t>Bedömning för lärande för ämneslärare för åk 7-9 och gymnasium</t>
  </si>
  <si>
    <t>6LÄ048</t>
  </si>
  <si>
    <t>6LÄ046</t>
  </si>
  <si>
    <t>Enl ök mellan inst</t>
  </si>
  <si>
    <t>6KN013</t>
  </si>
  <si>
    <t>Franska B med didaktisk inriktning inom lärarprogrammet</t>
  </si>
  <si>
    <t>6PE303</t>
  </si>
  <si>
    <t>6LÄ045</t>
  </si>
  <si>
    <t>6LÄ047</t>
  </si>
  <si>
    <t>6PE129</t>
  </si>
  <si>
    <t>6ES042</t>
  </si>
  <si>
    <t>6ES043</t>
  </si>
  <si>
    <t>6KN012</t>
  </si>
  <si>
    <t>Bild I för fritidshemmet</t>
  </si>
  <si>
    <t>Bild II för fritidshemmet</t>
  </si>
  <si>
    <t>Hem- och konsumentkunskap C</t>
  </si>
  <si>
    <t>6TX022</t>
  </si>
  <si>
    <t>Kläddesign II</t>
  </si>
  <si>
    <t>6PE303a</t>
  </si>
  <si>
    <t>6PE303b</t>
  </si>
  <si>
    <t>6PE303c</t>
  </si>
  <si>
    <t>6PE303d</t>
  </si>
  <si>
    <t>6PE303e</t>
  </si>
  <si>
    <t>6PE303f</t>
  </si>
  <si>
    <t>Kunskap, undervisning och lärande II (7-9)(Gy), Mom 2 (Idr+Sh), 3 hp</t>
  </si>
  <si>
    <t>Kunskap, undervisning och lärande II (7-9)(Gy), Mom 2 (Sv+Eng), 3 hp</t>
  </si>
  <si>
    <t>Kunskap, undervisning och lärande II (7-9)(Gy), Mom 2 (Hi+Re), 3 hp</t>
  </si>
  <si>
    <t>Kunskap, undervisning och lärande II (7-9)(Gy), Mom 2 (Hk), 3 hp</t>
  </si>
  <si>
    <t>Kunskap, undervisning och lärande II (7-9)(Gy), Mom 2 (Ma), 3 hp</t>
  </si>
  <si>
    <t>1620 Summa</t>
  </si>
  <si>
    <t>1630 Summa</t>
  </si>
  <si>
    <t>2193 Summa</t>
  </si>
  <si>
    <t>2340 Summa</t>
  </si>
  <si>
    <t>5740 Summa</t>
  </si>
  <si>
    <t>Summa av Totala intäkter</t>
  </si>
  <si>
    <t>LH</t>
  </si>
  <si>
    <t>Justering lokaler</t>
  </si>
  <si>
    <t>6ES044</t>
  </si>
  <si>
    <t>6ES045</t>
  </si>
  <si>
    <t>6FA000</t>
  </si>
  <si>
    <t>6FA005</t>
  </si>
  <si>
    <t>6FYXXX</t>
  </si>
  <si>
    <t>6HI009</t>
  </si>
  <si>
    <t>6ID311</t>
  </si>
  <si>
    <t>6ID313</t>
  </si>
  <si>
    <t>6KExxx</t>
  </si>
  <si>
    <t>6KN005</t>
  </si>
  <si>
    <t>6LU005</t>
  </si>
  <si>
    <t>6MU023</t>
  </si>
  <si>
    <t>6NO023</t>
  </si>
  <si>
    <t>6NO024</t>
  </si>
  <si>
    <t>6PE006</t>
  </si>
  <si>
    <t>6PE104</t>
  </si>
  <si>
    <t>6PE105</t>
  </si>
  <si>
    <t>6PE106</t>
  </si>
  <si>
    <t>6PE107</t>
  </si>
  <si>
    <t>6PE108</t>
  </si>
  <si>
    <t>6PE117</t>
  </si>
  <si>
    <t>6PE118</t>
  </si>
  <si>
    <t>6PES01</t>
  </si>
  <si>
    <t>6SA008</t>
  </si>
  <si>
    <t>6SA009</t>
  </si>
  <si>
    <t>6ST009</t>
  </si>
  <si>
    <t>6SV030</t>
  </si>
  <si>
    <t>6SV031</t>
  </si>
  <si>
    <t>6TX001</t>
  </si>
  <si>
    <t>6TY012</t>
  </si>
  <si>
    <t>6TY013</t>
  </si>
  <si>
    <t>Bild I för 4-6</t>
  </si>
  <si>
    <t>Lärande, lek och utveckling i förskolan III. Skapande och lek i förskolan I:II</t>
  </si>
  <si>
    <t>Profession och vetenskap i fritidshem (UK III)</t>
  </si>
  <si>
    <t>Svenska som andraspråk II för ämneslärare med inriktning mot gymnasiet</t>
  </si>
  <si>
    <t>Enl mejl från Jonas Nilsson (fr Conny S)</t>
  </si>
  <si>
    <t>Bild II för 4-6</t>
  </si>
  <si>
    <t>6SY032</t>
  </si>
  <si>
    <t>6SY028</t>
  </si>
  <si>
    <t>6SY031</t>
  </si>
  <si>
    <t>6SY029</t>
  </si>
  <si>
    <t>6SY030</t>
  </si>
  <si>
    <t>6NO031</t>
  </si>
  <si>
    <t>6NO033</t>
  </si>
  <si>
    <t>6MN029</t>
  </si>
  <si>
    <t>2IT029</t>
  </si>
  <si>
    <t>2IT030</t>
  </si>
  <si>
    <t>2IT017</t>
  </si>
  <si>
    <t>2IT018</t>
  </si>
  <si>
    <t>2IT019</t>
  </si>
  <si>
    <t>2IT020</t>
  </si>
  <si>
    <t>Utomhuspedagogik i förskola, fritidshem och grundskola II</t>
  </si>
  <si>
    <t>Matematik, påbyggnadskurs</t>
  </si>
  <si>
    <t>6ES055</t>
  </si>
  <si>
    <t>Magisterarbete för examen i pedagogiskt yrkesarbete på magisternivå</t>
  </si>
  <si>
    <t>2500 Summa</t>
  </si>
  <si>
    <t>Summa av Lokalintäkt</t>
  </si>
  <si>
    <t>6PE135</t>
  </si>
  <si>
    <t>6PE136</t>
  </si>
  <si>
    <t>Tips: Fliken "kurser alla" innehåller i princip all underliggande data (förutom fördelning mellan kursansvarig och medverkande). Här kan ni alltså filtrera på programkod, kurskod, kursansvarig inst mm, eller göra en egen pivot med denna flik som datakälla.</t>
  </si>
  <si>
    <t>Inst för Fysik</t>
  </si>
  <si>
    <t>Juridiska institutionen</t>
  </si>
  <si>
    <t>Grundlärarprogrammet - fritidshem</t>
  </si>
  <si>
    <t>Förskollärarprogrammet</t>
  </si>
  <si>
    <t>Grundlärarprogrammet - förskoleklass och åk 1-3</t>
  </si>
  <si>
    <t>Grundlärarprogrammet - grundskolans åk 4-6</t>
  </si>
  <si>
    <t>Ämneslärarprogrammet - åk 7-9</t>
  </si>
  <si>
    <t>Fr o m ht12</t>
  </si>
  <si>
    <t>Yrkeslärarprogrammet</t>
  </si>
  <si>
    <t>KPU - åk 7-9</t>
  </si>
  <si>
    <t>KPU - Gy</t>
  </si>
  <si>
    <t>Specialpedagogprogrammet</t>
  </si>
  <si>
    <t>Speciallärarprogrammet</t>
  </si>
  <si>
    <t>Lärarprogram långa - före ht11</t>
  </si>
  <si>
    <t>Lärarprogram kort - före ht11</t>
  </si>
  <si>
    <t>agnetha.simm@umu.se</t>
  </si>
  <si>
    <t>6MA029</t>
  </si>
  <si>
    <t>Beställda kurser KPU förhöjd studietakt (150%)</t>
  </si>
  <si>
    <t>Enl kkk 130918 p 5</t>
  </si>
  <si>
    <t>6SY033</t>
  </si>
  <si>
    <t>6SY034</t>
  </si>
  <si>
    <t>6SY035</t>
  </si>
  <si>
    <t>Överbryggande SYV</t>
  </si>
  <si>
    <t>6PE137</t>
  </si>
  <si>
    <t>6TE006</t>
  </si>
  <si>
    <t>6SV037</t>
  </si>
  <si>
    <t>6KG002</t>
  </si>
  <si>
    <t>fd fiktiv kurskod 6GEXX7 (klassificerad 50NA 50SA)</t>
  </si>
  <si>
    <t>5BI152</t>
  </si>
  <si>
    <t>5BI012</t>
  </si>
  <si>
    <t>5BI156</t>
  </si>
  <si>
    <t>5FY041</t>
  </si>
  <si>
    <t>5KE011</t>
  </si>
  <si>
    <t>5KE105</t>
  </si>
  <si>
    <t>Ekologi A</t>
  </si>
  <si>
    <t>Ekologi</t>
  </si>
  <si>
    <t>Genetik och evolution</t>
  </si>
  <si>
    <t>Artkunskap och ekologisk fältmetodik</t>
  </si>
  <si>
    <t>Klassisk mekanik A</t>
  </si>
  <si>
    <t>Kemins grunder med miljö- och samhällsperspektiv, 15 hp</t>
  </si>
  <si>
    <t>6KNxx1</t>
  </si>
  <si>
    <t>Enl kkk 131203</t>
  </si>
  <si>
    <t>6JU000</t>
  </si>
  <si>
    <t>Skoljurudik, 7,5 hp</t>
  </si>
  <si>
    <t>fd fiktiv kurskod 6NYFRIST6</t>
  </si>
  <si>
    <t>fd fiktiv kurskod 6SP7XX</t>
  </si>
  <si>
    <t>fd fiktiv kurskod 6SP7YY</t>
  </si>
  <si>
    <t>6PE141</t>
  </si>
  <si>
    <t>6PE142</t>
  </si>
  <si>
    <t>6RV009</t>
  </si>
  <si>
    <t>fd fiktiv kurskod 6REXX1</t>
  </si>
  <si>
    <r>
      <rPr>
        <b/>
        <sz val="14"/>
        <rFont val="Times New Roman"/>
        <family val="1"/>
      </rPr>
      <t>HPR</t>
    </r>
    <r>
      <rPr>
        <sz val="14"/>
        <rFont val="Times New Roman"/>
        <family val="1"/>
      </rPr>
      <t>: En genomströmning på 85 % för programkurser och 80 % för fristående kurser har tillämpats.</t>
    </r>
  </si>
  <si>
    <t>6MA030</t>
  </si>
  <si>
    <t>6PE134</t>
  </si>
  <si>
    <t>6PE139</t>
  </si>
  <si>
    <t>6PE140</t>
  </si>
  <si>
    <t>6PE145</t>
  </si>
  <si>
    <t>fd fiktiv kurskod 6VFUYRK</t>
  </si>
  <si>
    <t>6HI030</t>
  </si>
  <si>
    <t>Att undervisa i historia</t>
  </si>
  <si>
    <t>Bytt namn och kurskod från 6HI022</t>
  </si>
  <si>
    <t>6PE144</t>
  </si>
  <si>
    <t>6PE143</t>
  </si>
  <si>
    <t>6RV010</t>
  </si>
  <si>
    <t>6SY036</t>
  </si>
  <si>
    <t>Ersätter 6SY014?</t>
  </si>
  <si>
    <t>6LÄ050</t>
  </si>
  <si>
    <t>6LÄ051</t>
  </si>
  <si>
    <t>fd fiktiv 6SP8XX</t>
  </si>
  <si>
    <t>fd fiktiv 6SP8YY</t>
  </si>
  <si>
    <t>6PE150</t>
  </si>
  <si>
    <t>Fd 6KPUF2</t>
  </si>
  <si>
    <t>Fd 6KPUF6</t>
  </si>
  <si>
    <t>6PE151</t>
  </si>
  <si>
    <t>Fd 6LU0xx</t>
  </si>
  <si>
    <t>6PE147</t>
  </si>
  <si>
    <t>Enl ny ök mellan inst</t>
  </si>
  <si>
    <t>6ID315</t>
  </si>
  <si>
    <t>6ID316</t>
  </si>
  <si>
    <t>Ers 6ID310 kommer att klassas till Idrott enl BW</t>
  </si>
  <si>
    <t>Ers 6ID312 kommer att klassas till Idrott enl BW</t>
  </si>
  <si>
    <t>Anm 1</t>
  </si>
  <si>
    <t>Anm 2</t>
  </si>
  <si>
    <t>6PE152</t>
  </si>
  <si>
    <t>6PE153</t>
  </si>
  <si>
    <t>6PE154</t>
  </si>
  <si>
    <t>6PE155</t>
  </si>
  <si>
    <t>Fd 6KPUF4</t>
  </si>
  <si>
    <t>Fd 6KPUF1</t>
  </si>
  <si>
    <t>Fd 6KPUF5</t>
  </si>
  <si>
    <t>Fd 6KPUF3</t>
  </si>
  <si>
    <t>500xxx</t>
  </si>
  <si>
    <t>50xxx</t>
  </si>
  <si>
    <t>50xxx5</t>
  </si>
  <si>
    <t>50xxxx</t>
  </si>
  <si>
    <t>5BI137</t>
  </si>
  <si>
    <t>5EL204</t>
  </si>
  <si>
    <t>5FY036</t>
  </si>
  <si>
    <t>5FY108</t>
  </si>
  <si>
    <t>5FY110</t>
  </si>
  <si>
    <t>5FY118</t>
  </si>
  <si>
    <t>5KE002</t>
  </si>
  <si>
    <t>5KE081</t>
  </si>
  <si>
    <t>60xxxx</t>
  </si>
  <si>
    <t>6BIxx1</t>
  </si>
  <si>
    <t>6EN030</t>
  </si>
  <si>
    <t>6ES037</t>
  </si>
  <si>
    <t>6ES038</t>
  </si>
  <si>
    <t>6ES048</t>
  </si>
  <si>
    <t>6ES049</t>
  </si>
  <si>
    <t>6FA006</t>
  </si>
  <si>
    <t>6FYYY7</t>
  </si>
  <si>
    <t>6HI022</t>
  </si>
  <si>
    <t>6HI9XX</t>
  </si>
  <si>
    <t>6ID307</t>
  </si>
  <si>
    <t>6ID308</t>
  </si>
  <si>
    <t>6ID309</t>
  </si>
  <si>
    <t>6KN9XX</t>
  </si>
  <si>
    <t>6KPU150a</t>
  </si>
  <si>
    <t>6KPU150b</t>
  </si>
  <si>
    <t>6MA222</t>
  </si>
  <si>
    <t>6PE026</t>
  </si>
  <si>
    <t>6PE029</t>
  </si>
  <si>
    <t>6PE058</t>
  </si>
  <si>
    <t>6PE148</t>
  </si>
  <si>
    <t>6PE149</t>
  </si>
  <si>
    <t>6RV006</t>
  </si>
  <si>
    <t>6SA010</t>
  </si>
  <si>
    <t>6SH013</t>
  </si>
  <si>
    <t>6SH014</t>
  </si>
  <si>
    <t>6SH7XX</t>
  </si>
  <si>
    <t>6SV032</t>
  </si>
  <si>
    <t>6TX012</t>
  </si>
  <si>
    <t>6TY014</t>
  </si>
  <si>
    <t>NV didaktik (dst)</t>
  </si>
  <si>
    <t>Fysiologi och cellbiologi</t>
  </si>
  <si>
    <t>Grundläggande mätteknik B</t>
  </si>
  <si>
    <t>El- och vågrörelselära</t>
  </si>
  <si>
    <t>Laborativ problemlösning i fysik</t>
  </si>
  <si>
    <t>Kvantfysik</t>
  </si>
  <si>
    <t>Akvatisk kemi</t>
  </si>
  <si>
    <t>Analytisk kemi</t>
  </si>
  <si>
    <t>Läraryrkets dimensioner (Estetiska ämnen)</t>
  </si>
  <si>
    <t>Bild fördjupning - Design textil II</t>
  </si>
  <si>
    <t>Franska III för ämneslärare med inriktning mot gymnasiet</t>
  </si>
  <si>
    <t>UK III - Profession och vetenskap, Idrott och hälsa</t>
  </si>
  <si>
    <t>VFU III - Läraryrkets dimensioner, Idrott och hälsa</t>
  </si>
  <si>
    <t>Läraryrkets dimensioner (Hem- och konsumentkunskap)</t>
  </si>
  <si>
    <t>Matematiska metoder för ämneslärare med inriktning mot 7-9 och gymnasiet</t>
  </si>
  <si>
    <t>Examensarbete (Matematik), 30 hp</t>
  </si>
  <si>
    <t>Ämnesdidaktik 2 - naturvetenskapliga ämnen och matematik</t>
  </si>
  <si>
    <t>Spanska III för ämneslärare med inriktning mot gymnasiet</t>
  </si>
  <si>
    <t>Svenska som andraspråk III för ämneslärare med inriktning mot gymnasiet</t>
  </si>
  <si>
    <t>Tyska III för ämneslärare med inriktning mot gymnasiet</t>
  </si>
  <si>
    <t>Enl kkk 140409</t>
  </si>
  <si>
    <t>Summa av HST</t>
  </si>
  <si>
    <t>6PE119</t>
  </si>
  <si>
    <t>6SV041</t>
  </si>
  <si>
    <t>5FY129</t>
  </si>
  <si>
    <t>5FY130</t>
  </si>
  <si>
    <t>6HI023</t>
  </si>
  <si>
    <t>6HI024</t>
  </si>
  <si>
    <t>6LI006</t>
  </si>
  <si>
    <t>6SV042</t>
  </si>
  <si>
    <t>Fd fiktiv kurskod 6SV7XX</t>
  </si>
  <si>
    <t>Fd fiktiv kurskod 6HI8XX</t>
  </si>
  <si>
    <t>Svenska som andraspråk III - för ämneslärare med inriktning mot gymnasieskolan</t>
  </si>
  <si>
    <t>Solceller, 7,5 hp</t>
  </si>
  <si>
    <t>Avancerade material, 7,5 hp</t>
  </si>
  <si>
    <t>Läraryrkets dimensioner (Samhällskunskap), 22,5 hp</t>
  </si>
  <si>
    <t>Sex och samlevnad, 7,5 hp</t>
  </si>
  <si>
    <t>6SV040</t>
  </si>
  <si>
    <t>1LV048</t>
  </si>
  <si>
    <t>6PE138</t>
  </si>
  <si>
    <t>6KN015</t>
  </si>
  <si>
    <t>6KN014</t>
  </si>
  <si>
    <t>Svenska som andraspråk II - för ämneslärare</t>
  </si>
  <si>
    <t>Utbildningsvetenskap i pedagogisk praktik</t>
  </si>
  <si>
    <t>Mat och hälsa för barn och ungdomar</t>
  </si>
  <si>
    <t>Hem- och konsumentkunskap B15, distans</t>
  </si>
  <si>
    <t>6MA031</t>
  </si>
  <si>
    <t xml:space="preserve">Utfördelat
t o m </t>
  </si>
  <si>
    <t>TFE</t>
  </si>
  <si>
    <t>Agnetha Simm, Lärarhögskolans kansli</t>
  </si>
  <si>
    <t>enl kkk 140221</t>
  </si>
  <si>
    <t>6PE169</t>
  </si>
  <si>
    <t>6PE171</t>
  </si>
  <si>
    <t>6PE172</t>
  </si>
  <si>
    <t>6PE170</t>
  </si>
  <si>
    <t>6PE175</t>
  </si>
  <si>
    <t>6LÄ052</t>
  </si>
  <si>
    <t>6PE146</t>
  </si>
  <si>
    <t>VFU-kurs</t>
  </si>
  <si>
    <t>Enl uppg fr AKL till Ladok 141014</t>
  </si>
  <si>
    <t>6MA032</t>
  </si>
  <si>
    <t>6MN032</t>
  </si>
  <si>
    <t>6MN033</t>
  </si>
  <si>
    <t>6MN035</t>
  </si>
  <si>
    <t>Biologididaktik för ämneslärare för åk 7-9</t>
  </si>
  <si>
    <t>Fysikdidaktik för ämneslärare för åk 7-9</t>
  </si>
  <si>
    <t>Kemididaktik för ämneslärare för åk 7-9</t>
  </si>
  <si>
    <t>6PE174</t>
  </si>
  <si>
    <t>6LV002</t>
  </si>
  <si>
    <t>6ID010</t>
  </si>
  <si>
    <t>6ID012</t>
  </si>
  <si>
    <t>Ny fr o m 2015, ers 6ID315</t>
  </si>
  <si>
    <t>Ny fr o m 2015, ers 6ID316</t>
  </si>
  <si>
    <t xml:space="preserve">TUV </t>
  </si>
  <si>
    <t>6PE182</t>
  </si>
  <si>
    <t>Bild med fördjupning. Slöjd - Design, textil I</t>
  </si>
  <si>
    <t>6SL030</t>
  </si>
  <si>
    <t>6TX023</t>
  </si>
  <si>
    <t>6MU044</t>
  </si>
  <si>
    <t>Ingår i utbildningsvet kärna</t>
  </si>
  <si>
    <t>LYAGR/LYAGY</t>
  </si>
  <si>
    <t>Kunskap, vetenskap och forskningsmetodik, 7,5 hp</t>
  </si>
  <si>
    <t>Etik, demokrati och det heterogena klassrummet, 7,5 hp</t>
  </si>
  <si>
    <t>Enl styrelse 141204</t>
  </si>
  <si>
    <t>5FY001</t>
  </si>
  <si>
    <t>5FY114</t>
  </si>
  <si>
    <t>5FY140</t>
  </si>
  <si>
    <t>5FY141</t>
  </si>
  <si>
    <t>Analytisk mekanik, 6 hp</t>
  </si>
  <si>
    <t>Virtuella världars fysik, 7,5 hp</t>
  </si>
  <si>
    <t>Kvantfysik, 6 hp</t>
  </si>
  <si>
    <t>Vågrörelselära, 6 hp</t>
  </si>
  <si>
    <t>Fd 3257</t>
  </si>
  <si>
    <t>6PE183</t>
  </si>
  <si>
    <t>6PE184</t>
  </si>
  <si>
    <t>6LU006</t>
  </si>
  <si>
    <t>Summa av Ant</t>
  </si>
  <si>
    <t>6LU007</t>
  </si>
  <si>
    <t>Biologididaktik 1 för ämneslärare för gymnasium</t>
  </si>
  <si>
    <t>Biologididaktik 2 för ämneslärare för gymnasium</t>
  </si>
  <si>
    <t>Fysikdidaktik 1 för ämneslärare för gymnasium</t>
  </si>
  <si>
    <t>Fysikdidaktik 2 för ämneslärare för gymnasium</t>
  </si>
  <si>
    <t>Kemididaktik 1 för ämneslärare för gymnasium</t>
  </si>
  <si>
    <t>Kemididaktik 2 för ämneslärare för gymnasium</t>
  </si>
  <si>
    <t>Engelska III för ämneslärare med inriktning mot gymnasiet</t>
  </si>
  <si>
    <t>Läraryrkets dimensioner</t>
  </si>
  <si>
    <t>Examensarbete - estetiska ämnen</t>
  </si>
  <si>
    <t>Att undervisa - estetiska ämnen</t>
  </si>
  <si>
    <t>Ämnesdidaktik i estetiska ämnen med fördjupningar</t>
  </si>
  <si>
    <t>Franska A med didaktisk inriktning inom lärarprogrammet</t>
  </si>
  <si>
    <t>Franska II för ämneslärare</t>
  </si>
  <si>
    <t>Andraämne Historia fördjupning</t>
  </si>
  <si>
    <t>Examensarbete kurs I</t>
  </si>
  <si>
    <t>Idrott och hälsa I, för lägre åldrar</t>
  </si>
  <si>
    <t>Idrott och hälsa II, för lägre åldrar</t>
  </si>
  <si>
    <t>VFU II - Att undervisa, Idrott och hälsa</t>
  </si>
  <si>
    <t>Examensarbete Lärarprogrammet, Idrott och hälsa</t>
  </si>
  <si>
    <t>Lek, rörelseglädje och hälsa II</t>
  </si>
  <si>
    <t>Leda rörelse för lärande II</t>
  </si>
  <si>
    <t>Idrott och hälsa I, för F-3</t>
  </si>
  <si>
    <t>Idrott och hälsa II, för F-3</t>
  </si>
  <si>
    <t>Geografi II</t>
  </si>
  <si>
    <t>Att undervisa i Hem- och konsumentkunskap</t>
  </si>
  <si>
    <t>Specialpedagogik med fokus på svenska och matematik för F-3</t>
  </si>
  <si>
    <t>Samhällsorientering åk 4-6</t>
  </si>
  <si>
    <t>Ungdomsromanen i samtiden</t>
  </si>
  <si>
    <t>Kunskap undervisning och lärande II för F-3</t>
  </si>
  <si>
    <t>Examensarbete för grundlärarexamen med inriktning mot förskoleklass och grundskolans år 1-3</t>
  </si>
  <si>
    <t>Examensarbete för grundlärarexamen med inriktning mot grundskolans år 4-6</t>
  </si>
  <si>
    <t>Examensarbete i engelska eller svenska för ämneslärarexamen med inriktning mot åk 7-9</t>
  </si>
  <si>
    <t>Att undervisa i matematik</t>
  </si>
  <si>
    <t>Matematik för åk F-3, kurs 4</t>
  </si>
  <si>
    <t>Musik I</t>
  </si>
  <si>
    <t>Musik 3</t>
  </si>
  <si>
    <t>Musik 1 30 hp, fristående</t>
  </si>
  <si>
    <t>Naturorientering och teknik för lärande och undervisning för åk F-3 och 4-6</t>
  </si>
  <si>
    <t>Naturorientering och teknik för åk 4-6</t>
  </si>
  <si>
    <t>Naturorientering och teknik för lärande och undervisning för åk 4-6, del II</t>
  </si>
  <si>
    <t>Examensarbete Studie- och yrkesvägledarprogrammet</t>
  </si>
  <si>
    <t>Beteendevetenskapliga grunder</t>
  </si>
  <si>
    <t>Att vara lärare (VFU I)</t>
  </si>
  <si>
    <t>Examensarbete i Förskollärarprogrammet</t>
  </si>
  <si>
    <t>Att undervisa i fritidshem (VFU II)</t>
  </si>
  <si>
    <t>Läraryrkets dimensioner II i fritidshem (VFU III)</t>
  </si>
  <si>
    <t>Examensarbete grundlärare - fritidshem</t>
  </si>
  <si>
    <t>Kunskap, undervisning och lärande för yrkeslärare II</t>
  </si>
  <si>
    <t>Vetenskapsteori och vetenskaplig metod</t>
  </si>
  <si>
    <t>Samhällsorientering, åk F-3</t>
  </si>
  <si>
    <t>Magisteruppsats i Pedagogisk yrkesverksamhet</t>
  </si>
  <si>
    <t>Läraryrkets dimensioner för åk 4-6 (VFU III)</t>
  </si>
  <si>
    <t>Läraryrkets dimensioner för F-3 (VFU III)</t>
  </si>
  <si>
    <t>Samhällsorientering, F-3</t>
  </si>
  <si>
    <t>Kunskap undervisning och lärande II</t>
  </si>
  <si>
    <t>Ämnesdidaktik i skolpraktiken, del 1</t>
  </si>
  <si>
    <t>Ämnesdidaktik i skolpraktiken, del 2</t>
  </si>
  <si>
    <t>Vetenskap och kunskap</t>
  </si>
  <si>
    <t>Bedömning</t>
  </si>
  <si>
    <t>Den professionella läraren I: Barns och ungas utveckling, specialpedagogik, sociala relationer och kommunikation</t>
  </si>
  <si>
    <t>Utbildningens villkor och samhälleliga funktion</t>
  </si>
  <si>
    <t>Den professionella läraren II: Uppdrag, ledarskap och undervisning</t>
  </si>
  <si>
    <t>Undervisning och lärande - läroplansteori och didaktik</t>
  </si>
  <si>
    <t>Examensarbete med ämnesdidaktisk inriktning</t>
  </si>
  <si>
    <t>Profession och vetenskap</t>
  </si>
  <si>
    <t>Profession och vetenskap för åk 4-6 (UK III)</t>
  </si>
  <si>
    <t>Profession och vetenskap för F-3 (UK III)</t>
  </si>
  <si>
    <t>Verksamhetsförlagd utbildning (KPU)</t>
  </si>
  <si>
    <t>Verksamhetsförlagd utbildning</t>
  </si>
  <si>
    <t>Handledarutbildning för VFU-handledare, handledningssamtal</t>
  </si>
  <si>
    <t>Handledarutbildning för VFU-handledare, bedömning</t>
  </si>
  <si>
    <t>Skolutvärdering i granskningssamhället</t>
  </si>
  <si>
    <t>Förskollärare som profession</t>
  </si>
  <si>
    <t>Att vara förskollärare (VFU)</t>
  </si>
  <si>
    <t>Kunskap, undervisning och lärande II för 7-9 och gymnasiet</t>
  </si>
  <si>
    <t>Religionsvetenskap III: påbyggnadskurs</t>
  </si>
  <si>
    <t>Att undervisa.</t>
  </si>
  <si>
    <t>Läraryrkets dimensioner.</t>
  </si>
  <si>
    <t>Religionsvetenskap II för ämneslärare med inriktning mot åk 7-9</t>
  </si>
  <si>
    <t>Att undervisa i religion.</t>
  </si>
  <si>
    <t>Spanska I för ämneslärare</t>
  </si>
  <si>
    <t>Spanska II för ämneslärare</t>
  </si>
  <si>
    <t>Slöjd trä och metall 1 30 hp</t>
  </si>
  <si>
    <t>Slöjd trä och metall 2 30 hp</t>
  </si>
  <si>
    <t>Slöjd trä och metall 1 30 hp, fristående</t>
  </si>
  <si>
    <t>Specialpedagogiska kunskapsområden</t>
  </si>
  <si>
    <t>Svenska som andraspråk I för ämneslärare</t>
  </si>
  <si>
    <t>Svenska för tidigare år, kurs 2 (22,5 -30 hp)</t>
  </si>
  <si>
    <t>Karriärutveckling i socialt och kulturellt perspektiv</t>
  </si>
  <si>
    <t>Karriärvägledning och andra insatser för människor i behov av särskilt stöd</t>
  </si>
  <si>
    <t>Karriärteori och vägledning</t>
  </si>
  <si>
    <t>Gruppvägledning med inriktning mot karriärutveckling</t>
  </si>
  <si>
    <t>Kommunikation och undervisning</t>
  </si>
  <si>
    <t>Teorier, modeller och metoder för karriärvägledning</t>
  </si>
  <si>
    <t>Naturorientering och teknik för F-3</t>
  </si>
  <si>
    <t>Vävdesign - från idé till uttryck</t>
  </si>
  <si>
    <t>Kläddesign - från idé till uttryck</t>
  </si>
  <si>
    <t>Slöjd textil 1 30 hp</t>
  </si>
  <si>
    <t>Slöjd, textil 2b, distans</t>
  </si>
  <si>
    <t>Slöjd textil 1 30 hp, fristående</t>
  </si>
  <si>
    <t>Tyska I för ämneslärare</t>
  </si>
  <si>
    <t>Tyska II för ämneslärare</t>
  </si>
  <si>
    <t>Ämnesdidaktik för yrkeslärare</t>
  </si>
  <si>
    <t>Profession och vetenskap för yrkeslärare</t>
  </si>
  <si>
    <t>Verksamhetsförlagd utbildning för yrkeslärare</t>
  </si>
  <si>
    <t>5FY139</t>
  </si>
  <si>
    <t>Elektromagnetism</t>
  </si>
  <si>
    <t>50xxx6</t>
  </si>
  <si>
    <t>6BIOxx</t>
  </si>
  <si>
    <t>6BIxx7</t>
  </si>
  <si>
    <t>6EN9XX</t>
  </si>
  <si>
    <t>6ES040</t>
  </si>
  <si>
    <t>6EX10</t>
  </si>
  <si>
    <t>6HI016</t>
  </si>
  <si>
    <t>6KExx2</t>
  </si>
  <si>
    <t>6MA333</t>
  </si>
  <si>
    <t>6PE156</t>
  </si>
  <si>
    <t>6RV007</t>
  </si>
  <si>
    <t>6RV008</t>
  </si>
  <si>
    <t>6SD002</t>
  </si>
  <si>
    <t>Biokemi 15 hp</t>
  </si>
  <si>
    <t>NV-didaktik distans 15 hp</t>
  </si>
  <si>
    <t>Profession och vetenskap (Engelska)</t>
  </si>
  <si>
    <t>Profession och vetenskap (Estetiska ämnen)</t>
  </si>
  <si>
    <t>Examensarbete för ämneslärare med inriktning mot gymnasiet (andra ämnet)</t>
  </si>
  <si>
    <t>Matematik III för ämneslärare med inriktning mot gymnasiet</t>
  </si>
  <si>
    <t>Examensarbete (Religion åk 7-9)</t>
  </si>
  <si>
    <t>Examensarbete (Religion gy)</t>
  </si>
  <si>
    <t>Examensarbete i svenska för ämneslärarexamen</t>
  </si>
  <si>
    <t>6SP047</t>
  </si>
  <si>
    <t>6PE187</t>
  </si>
  <si>
    <t>6PE188</t>
  </si>
  <si>
    <t>6PE185</t>
  </si>
  <si>
    <t>6PE186</t>
  </si>
  <si>
    <t>Att utveckla lärande i skola och vardag - Utvecklingsstörning</t>
  </si>
  <si>
    <t>Undervisning, kommunikation och kunskapsutveckling - Utvecklingsstörning</t>
  </si>
  <si>
    <t>Lärande och undervisning</t>
  </si>
  <si>
    <t>Ämneslärare som profession</t>
  </si>
  <si>
    <t>Att vara ämneslärare (VFU)</t>
  </si>
  <si>
    <t>Att vara grundlärare (VFU)</t>
  </si>
  <si>
    <t>Enl uppg fr AS till Ladok 150318</t>
  </si>
  <si>
    <t>Enl uppg fr AS till Ladok 150324</t>
  </si>
  <si>
    <t>6MA036</t>
  </si>
  <si>
    <t>Ingår i utbildningsvet kärna LYFSK</t>
  </si>
  <si>
    <t>VFU - LYFSK</t>
  </si>
  <si>
    <t>VFU - LYGFR/LYGFT/LYGRM</t>
  </si>
  <si>
    <t>Ingår i utbildningsvet kärna -LYGFR/LYGFT/LYGRM</t>
  </si>
  <si>
    <t>6SD003</t>
  </si>
  <si>
    <t>Examensarbete i språkdidaktik för ämneslärarexamen</t>
  </si>
  <si>
    <t>Kunskap, undervisning och lärande II (7-9)(Gy), Mom 2 (Bild+Mu+Slöjd), 3 hp</t>
  </si>
  <si>
    <t>Enl ök mellan inst 150325</t>
  </si>
  <si>
    <t>5KE154</t>
  </si>
  <si>
    <t>Grundläggande biokemi</t>
  </si>
  <si>
    <t>6LÄ053</t>
  </si>
  <si>
    <t>6LÄ054</t>
  </si>
  <si>
    <t>Läraryrkets dimensioner - ingångsämne engelska</t>
  </si>
  <si>
    <t>Läraryrkets dimensioner - ingångsämne svenska</t>
  </si>
  <si>
    <t>Enl kkk 150415</t>
  </si>
  <si>
    <t>6MA034</t>
  </si>
  <si>
    <t>Läraryrkets dimensioner - ingångsämne matematik</t>
  </si>
  <si>
    <t>6KA000</t>
  </si>
  <si>
    <t>Det mångkulturella klassrummet</t>
  </si>
  <si>
    <t>6KA001</t>
  </si>
  <si>
    <t>Heteronormativitet i skolan</t>
  </si>
  <si>
    <t>6KN016</t>
  </si>
  <si>
    <t>6KO000</t>
  </si>
  <si>
    <t>6LV003</t>
  </si>
  <si>
    <t>6LV004</t>
  </si>
  <si>
    <t>Litteraturdidaktik och läsning</t>
  </si>
  <si>
    <t>6MU045</t>
  </si>
  <si>
    <t>Dans och rörelse I</t>
  </si>
  <si>
    <t>6MU047</t>
  </si>
  <si>
    <t>6PE160</t>
  </si>
  <si>
    <t>6PE161</t>
  </si>
  <si>
    <t>6PE162</t>
  </si>
  <si>
    <t>6PE163</t>
  </si>
  <si>
    <t>6PE164</t>
  </si>
  <si>
    <t>6PE165</t>
  </si>
  <si>
    <t>6PE166</t>
  </si>
  <si>
    <t>6PE167</t>
  </si>
  <si>
    <t>6PE168</t>
  </si>
  <si>
    <t>6PE190</t>
  </si>
  <si>
    <t>Intersektionell genuspedagogik</t>
  </si>
  <si>
    <t>6PE191</t>
  </si>
  <si>
    <t xml:space="preserve">Musik 3, fristående </t>
  </si>
  <si>
    <t xml:space="preserve">Bild 1, fristående </t>
  </si>
  <si>
    <t xml:space="preserve">Bild 2, fristående </t>
  </si>
  <si>
    <t>Didaktik för modersmålslärare</t>
  </si>
  <si>
    <t>Svenska som andraspråk A</t>
  </si>
  <si>
    <t>Svenska som andraspråk B</t>
  </si>
  <si>
    <t>Svenska som andraspråk C, diskriminerande strukturer, grammatik och fonetik</t>
  </si>
  <si>
    <t>Hem- och konsumentkunskap C - fördjupning</t>
  </si>
  <si>
    <t>Digitala och sociala medier</t>
  </si>
  <si>
    <t>Bilderboken och barnromanen</t>
  </si>
  <si>
    <t>Musik 2 30.0 hp, fristående</t>
  </si>
  <si>
    <t>Mobbning, kränkande behandling och diskriminering</t>
  </si>
  <si>
    <t>6SY037</t>
  </si>
  <si>
    <t>6MA033</t>
  </si>
  <si>
    <t>6MA035</t>
  </si>
  <si>
    <t>6MA038</t>
  </si>
  <si>
    <t>Matematik 1 för grundskolans årskurs 4-6</t>
  </si>
  <si>
    <t>Ersätter 6SY015 fr o m ht-15</t>
  </si>
  <si>
    <t>6MN039</t>
  </si>
  <si>
    <t>Matematik 1 för förskoleklass och grundskolans årskurs 1-3</t>
  </si>
  <si>
    <t>6ES065</t>
  </si>
  <si>
    <t>Bild med fördjupning. Slöjd - Design, textil III</t>
  </si>
  <si>
    <t>Enl kkk 151009</t>
  </si>
  <si>
    <t>6MU048</t>
  </si>
  <si>
    <t>6MU049</t>
  </si>
  <si>
    <t>Musik IV</t>
  </si>
  <si>
    <t>6KN021</t>
  </si>
  <si>
    <t>1640 Summa</t>
  </si>
  <si>
    <t>1650 Summa</t>
  </si>
  <si>
    <t>Ämneslärarprogrammet - Gy</t>
  </si>
  <si>
    <t>Varifrån uppgifterna (antal studenter - HST) har hämtats kan ni se i kolumnen "Hämtat ur"</t>
  </si>
  <si>
    <t>6PE192</t>
  </si>
  <si>
    <t>6PE194</t>
  </si>
  <si>
    <t>6PE193</t>
  </si>
  <si>
    <t>6PE195</t>
  </si>
  <si>
    <t>Utbildning: Undervisning och lärande i en internationell kontext</t>
  </si>
  <si>
    <t>Demokrati, mänskliga rättigheter och hållbar utveckling: globala perspektiv i utbildning</t>
  </si>
  <si>
    <t>Forskningsdesign och metod inom utbildningsvetenskap</t>
  </si>
  <si>
    <t>Enl uppg fr AS till Ladok 151104</t>
  </si>
  <si>
    <t>6ES066</t>
  </si>
  <si>
    <t>6ES067</t>
  </si>
  <si>
    <t>6ES068</t>
  </si>
  <si>
    <t>6SD004</t>
  </si>
  <si>
    <t>Ämnesdidaktik, Att utveckla lärande och undervisning i språkliga kontexter</t>
  </si>
  <si>
    <t>6SV044</t>
  </si>
  <si>
    <t>6SV046</t>
  </si>
  <si>
    <t>Svenska som andraspråk C, Språk- och maktstrukturer</t>
  </si>
  <si>
    <t>6SV047</t>
  </si>
  <si>
    <t>Svenska som andraspråk C, Examensarbete för kandidatexamen</t>
  </si>
  <si>
    <t>Orgenhet</t>
  </si>
  <si>
    <t>Ersätter 6PE188 fr o m ht-16</t>
  </si>
  <si>
    <t>LISTA</t>
  </si>
  <si>
    <t>Summa av HPR</t>
  </si>
  <si>
    <t>Nationalekonomi</t>
  </si>
  <si>
    <t>VAL-projektet</t>
  </si>
  <si>
    <t>1EN047</t>
  </si>
  <si>
    <t>Engelska C, Allmän inriktning, nätkurs</t>
  </si>
  <si>
    <t>1EN050</t>
  </si>
  <si>
    <t>Engelska A1, nätkurs</t>
  </si>
  <si>
    <t>1EN053</t>
  </si>
  <si>
    <t>Engelska B2, nätkurs</t>
  </si>
  <si>
    <t>1SP009</t>
  </si>
  <si>
    <t>Spanska C1</t>
  </si>
  <si>
    <t>1SV026</t>
  </si>
  <si>
    <t>6DI003</t>
  </si>
  <si>
    <t>6DI004</t>
  </si>
  <si>
    <t>6DI005</t>
  </si>
  <si>
    <t>6DI006</t>
  </si>
  <si>
    <t>Bedömning-avancerad nivå (VAL,ULV)</t>
  </si>
  <si>
    <t>Vetenskap och kunskap, avancerad nivå (VAL,ULV)</t>
  </si>
  <si>
    <t>Bedömning-grundnivå (VAL,ULV)</t>
  </si>
  <si>
    <t>Vetenskap och kunskap-grundnivå (VAL,ULV)</t>
  </si>
  <si>
    <t>6PE176</t>
  </si>
  <si>
    <t>6PE177</t>
  </si>
  <si>
    <t>6PE178</t>
  </si>
  <si>
    <t>6PE179</t>
  </si>
  <si>
    <t>6PE180</t>
  </si>
  <si>
    <t>Utbildningens villkor och samhälleliga funktion - grundnivå (VAL, ULV)</t>
  </si>
  <si>
    <t>Specialpedagogik, sociala relationer och kommunikation - grundnivå (VAL, ULV)</t>
  </si>
  <si>
    <t>Specialpedagogik, sociala relationer och kommunikation - avancerad nivå (VAL, ULV)</t>
  </si>
  <si>
    <t>Uppdrag, ledarskap och undervisning - grundnivå (VAL, ULV)</t>
  </si>
  <si>
    <t>Undervisning och lärande - läroplansteori och didaktik - grundnivå (VAL, ULV)</t>
  </si>
  <si>
    <t>6PE181</t>
  </si>
  <si>
    <t>Enl ök mellan inst 151217</t>
  </si>
  <si>
    <t>Barns lärande och omsorg</t>
  </si>
  <si>
    <t>Förskolans uppdrag och arbetssätt 1</t>
  </si>
  <si>
    <t>Matematik för förskolan</t>
  </si>
  <si>
    <t>Förskolans uppdrag och arbetssätt 2</t>
  </si>
  <si>
    <t>Samhällsorientering för förskolan</t>
  </si>
  <si>
    <t>Skapande och lek för förskolan 2</t>
  </si>
  <si>
    <t>Barnet, omvärlden och fritidshemmets uppdrag</t>
  </si>
  <si>
    <t>Grupprocesser och samverkan i fritidshem</t>
  </si>
  <si>
    <t>Att undervisa i fritidshem (VFU)</t>
  </si>
  <si>
    <t>Praktiskt estetiskt ämne - Bild 1</t>
  </si>
  <si>
    <t>Praktiskt estetiskt ämne - Idrott och hälsa 1</t>
  </si>
  <si>
    <t>Läraryrkets dimensioner för fritidshem 1 (VFU)</t>
  </si>
  <si>
    <t>Praktiskt estetiskt ämne - Bild 2</t>
  </si>
  <si>
    <t>Praktiskt estetiskt ämne - Idrott och hälsa 2</t>
  </si>
  <si>
    <t>Enl kkk 151202</t>
  </si>
  <si>
    <t>Matematik, naturvetenskap och utomhuspedagogik för fritidshem</t>
  </si>
  <si>
    <t>6PE201</t>
  </si>
  <si>
    <t>Läraryrkets dimensioner - ingångsämne idrott och hälsa</t>
  </si>
  <si>
    <t>Enl uppg fr AS till Ladok 160122</t>
  </si>
  <si>
    <t>Ersätter 6ID308 fr o m ht-16</t>
  </si>
  <si>
    <t>6PE202</t>
  </si>
  <si>
    <t>6PE203</t>
  </si>
  <si>
    <t>6PE204</t>
  </si>
  <si>
    <t>Examensarbete för speciallärarexamen med specialisering mot matematikutveckling</t>
  </si>
  <si>
    <t>Ersätter 6PE093 fr o m ht-16</t>
  </si>
  <si>
    <t>6RV012</t>
  </si>
  <si>
    <t>Läraryrkets dimensioner - ingångsämne religion</t>
  </si>
  <si>
    <t>Ersätter 6RV006 fr o m ht-16</t>
  </si>
  <si>
    <t>6KN022</t>
  </si>
  <si>
    <t>Examensarbete i kostvetenskap för ämneslärarexamen med inriktning hem- och konsumentkunskap</t>
  </si>
  <si>
    <t>Ers 6KN007 fr o m vt-16</t>
  </si>
  <si>
    <t>Examensarbete speciallärarprogrammet med specialisering mot utvecklingsstörning</t>
  </si>
  <si>
    <t>6MA037</t>
  </si>
  <si>
    <t>Matematik 2 för förskoleklass och grundskolans årskurs 1-3</t>
  </si>
  <si>
    <t>6MN040</t>
  </si>
  <si>
    <t>Matematik 3 för förskoleklass och grundskolans årskurs 1-3</t>
  </si>
  <si>
    <t>6MN041</t>
  </si>
  <si>
    <t>Matematik 4 för förskoleklass och grundskolans årskurs 1-3</t>
  </si>
  <si>
    <t>6MN042</t>
  </si>
  <si>
    <t>Matematik 2 för grundskolans årskurs 4-6</t>
  </si>
  <si>
    <t>6MN043</t>
  </si>
  <si>
    <t>Matematik 3 för grundskolans årskurs 4-6</t>
  </si>
  <si>
    <t>6MN044</t>
  </si>
  <si>
    <t>Matematik 4 för grundskolans årskurs 4-6</t>
  </si>
  <si>
    <t>6ES073</t>
  </si>
  <si>
    <t>6ES074</t>
  </si>
  <si>
    <t>6ES075</t>
  </si>
  <si>
    <t>Praktiskt estetiskt ämne - Slöjd trä och metall 1</t>
  </si>
  <si>
    <t>Praktiskt estetiskt ämne - Slöjd textil 1</t>
  </si>
  <si>
    <t>6ID016</t>
  </si>
  <si>
    <t>Enl ök mellan inst 150910</t>
  </si>
  <si>
    <t>6PE214</t>
  </si>
  <si>
    <t>Undervisning och lärande - läroplansteori och didaktik inklusive VFU (UK och VFU)</t>
  </si>
  <si>
    <t>6HI029</t>
  </si>
  <si>
    <t>Examensarbete för ämneslärarexamen - historia</t>
  </si>
  <si>
    <t>Examensarbete för speciallärarexamen med specialisering mot språk-, skriv- och läsutveckling</t>
  </si>
  <si>
    <t>6LI008</t>
  </si>
  <si>
    <t>Verksamhetsförlagd utbildning för yrkeslärare (VFU)</t>
  </si>
  <si>
    <t>6PE209</t>
  </si>
  <si>
    <t>6ID015</t>
  </si>
  <si>
    <t>6PE212</t>
  </si>
  <si>
    <t>6PE213</t>
  </si>
  <si>
    <t>6PE206</t>
  </si>
  <si>
    <t>6BI009</t>
  </si>
  <si>
    <t>Examensarbete för ämneslärarexamen - Biologi</t>
  </si>
  <si>
    <t>Examensarbete för ämneslärarexamen - Fysik</t>
  </si>
  <si>
    <t>6FY008</t>
  </si>
  <si>
    <t>Examensarbete för ämneslärarexamen - Kemi</t>
  </si>
  <si>
    <t>6KE004</t>
  </si>
  <si>
    <t>Kunskap, undervisning och lärande för förskolan (UK)</t>
  </si>
  <si>
    <t>Bedömning för lärande för förskolan 1 (UK)</t>
  </si>
  <si>
    <t>Bedömning för lärande för förskolan 2 (UK)</t>
  </si>
  <si>
    <t>Profession och vetenskap för förskolan (UK)</t>
  </si>
  <si>
    <t>6BI100</t>
  </si>
  <si>
    <t>6BI101</t>
  </si>
  <si>
    <t>6BI102</t>
  </si>
  <si>
    <t>6KE100</t>
  </si>
  <si>
    <t>6KE101</t>
  </si>
  <si>
    <t>6KE102</t>
  </si>
  <si>
    <t>6FY100</t>
  </si>
  <si>
    <t>6FY101</t>
  </si>
  <si>
    <t>6FY102</t>
  </si>
  <si>
    <t>1FR008</t>
  </si>
  <si>
    <t>1FR009</t>
  </si>
  <si>
    <t>1HI005</t>
  </si>
  <si>
    <t>1LV002</t>
  </si>
  <si>
    <t>1NS059</t>
  </si>
  <si>
    <t>1SP003</t>
  </si>
  <si>
    <t>1SP024</t>
  </si>
  <si>
    <t>2SV014</t>
  </si>
  <si>
    <t>5FY040</t>
  </si>
  <si>
    <t>6PE205</t>
  </si>
  <si>
    <t>6PE207</t>
  </si>
  <si>
    <t>Franska B med allmän inriktning</t>
  </si>
  <si>
    <t>Franska C med allmän inriktning</t>
  </si>
  <si>
    <t>Litteraturvetenskap B</t>
  </si>
  <si>
    <t>Textanalys</t>
  </si>
  <si>
    <t>Spanska A1</t>
  </si>
  <si>
    <t>Spanska A1:6, Litteratur och kultur</t>
  </si>
  <si>
    <t>Statsvetenskap B</t>
  </si>
  <si>
    <t>Läraryrkets dimensioner - ingångsämne Samhällskunskap</t>
  </si>
  <si>
    <t>Analog kretsteknik</t>
  </si>
  <si>
    <t>Enl kkk 160113</t>
  </si>
  <si>
    <t>6PE215</t>
  </si>
  <si>
    <t>6HI031</t>
  </si>
  <si>
    <t>Fördela resurser hit enl uppg från Sam fak</t>
  </si>
  <si>
    <t>5MA164</t>
  </si>
  <si>
    <t>5MS042</t>
  </si>
  <si>
    <t>6SM000</t>
  </si>
  <si>
    <t>6SM001</t>
  </si>
  <si>
    <t>6xxx17</t>
  </si>
  <si>
    <t>6xxx11</t>
  </si>
  <si>
    <t>Samiska I för ämneslärare med inriktning mot nordsamiska</t>
  </si>
  <si>
    <t>REGU</t>
  </si>
  <si>
    <t>DIOB</t>
  </si>
  <si>
    <t>6PE216</t>
  </si>
  <si>
    <t>6PE198</t>
  </si>
  <si>
    <t>6PE199</t>
  </si>
  <si>
    <t>6PE200</t>
  </si>
  <si>
    <t>Flervariabelanalys</t>
  </si>
  <si>
    <t>Statistik för teknologer</t>
  </si>
  <si>
    <t>Läraryrketes dimensioner</t>
  </si>
  <si>
    <t>Samiska II för ämneslärare med inriktning mot nordsamiska</t>
  </si>
  <si>
    <t>6xxx13</t>
  </si>
  <si>
    <t>6xxx14</t>
  </si>
  <si>
    <t>6xxx15</t>
  </si>
  <si>
    <t>6xxx16</t>
  </si>
  <si>
    <t>6xxx21</t>
  </si>
  <si>
    <t>Verksamhets förlagd utbildning (VFU)</t>
  </si>
  <si>
    <t>Examensarbete med ämnesdidaktisk inriktning (UK)</t>
  </si>
  <si>
    <t>Bedömning (UK)</t>
  </si>
  <si>
    <t>Matematikutveckling och lärande i ett specialpedagogiskt perspektiv</t>
  </si>
  <si>
    <t>Identifiering och kartläggning av undervisning och lärande med fokus på elever i behov av särskilda utbildningsinsatser</t>
  </si>
  <si>
    <t>Stöd och stimulans i arbetet med elever i behov av särskilda utbildningsinsatser</t>
  </si>
  <si>
    <t>6ID013</t>
  </si>
  <si>
    <t>Examensarbete i Idrott och hälsa för ämneslärarexamen</t>
  </si>
  <si>
    <t>6PE222</t>
  </si>
  <si>
    <t>Specialpedagogik för grundskolan (UK)</t>
  </si>
  <si>
    <t>Enl ök mellan inst 160419 (inkom 160902)</t>
  </si>
  <si>
    <t>5BI194</t>
  </si>
  <si>
    <t>5BI202</t>
  </si>
  <si>
    <t>6RV011</t>
  </si>
  <si>
    <t>6LÄ055</t>
  </si>
  <si>
    <t>6MN045</t>
  </si>
  <si>
    <t>6PE221</t>
  </si>
  <si>
    <t>6ES072</t>
  </si>
  <si>
    <t>6PE237</t>
  </si>
  <si>
    <t>6PE220</t>
  </si>
  <si>
    <t>6NO039</t>
  </si>
  <si>
    <t>6PE228</t>
  </si>
  <si>
    <t>6NO036</t>
  </si>
  <si>
    <t>6NO040</t>
  </si>
  <si>
    <t>6PE229</t>
  </si>
  <si>
    <t>6PE224</t>
  </si>
  <si>
    <t>6PE225</t>
  </si>
  <si>
    <t>6PE236</t>
  </si>
  <si>
    <t>6MA039</t>
  </si>
  <si>
    <t>5BI193</t>
  </si>
  <si>
    <t>5BI184</t>
  </si>
  <si>
    <t>5MA121</t>
  </si>
  <si>
    <t>5FY083</t>
  </si>
  <si>
    <t>5FYyyy</t>
  </si>
  <si>
    <t>6MU051</t>
  </si>
  <si>
    <t>6ID017</t>
  </si>
  <si>
    <t>6MU052</t>
  </si>
  <si>
    <t>6PE235</t>
  </si>
  <si>
    <t>6PE234</t>
  </si>
  <si>
    <t>Kull</t>
  </si>
  <si>
    <t>BIOL</t>
  </si>
  <si>
    <t>SVAN</t>
  </si>
  <si>
    <t>TYSK</t>
  </si>
  <si>
    <t>NATU</t>
  </si>
  <si>
    <t>TXBI</t>
  </si>
  <si>
    <t>Artkunskap och systematik</t>
  </si>
  <si>
    <t>Musik fördjupning 2</t>
  </si>
  <si>
    <t>Examensarbete för ämneslärarexamen - religion</t>
  </si>
  <si>
    <t>Språk, kommunikation och språkutveckling i förskolans verksamhet</t>
  </si>
  <si>
    <t>Naturens mångfald</t>
  </si>
  <si>
    <t>Inventeringsmetodik och systematik</t>
  </si>
  <si>
    <t>5FY154</t>
  </si>
  <si>
    <t>Fördjupning i termodynamik</t>
  </si>
  <si>
    <t>Astronomi och meteorologi</t>
  </si>
  <si>
    <t>Differentialekvationer för teknologer</t>
  </si>
  <si>
    <t>Skapande lek i förskolan 1</t>
  </si>
  <si>
    <t>Idrott och hälsa 1</t>
  </si>
  <si>
    <t>V17</t>
  </si>
  <si>
    <t>H17</t>
  </si>
  <si>
    <t>Musik fördjupning 3</t>
  </si>
  <si>
    <t>Musik fördjupning 1</t>
  </si>
  <si>
    <t>Naturorientering och teknik för förskoleklass och grundskolans årskurs 1-3</t>
  </si>
  <si>
    <t>Naturorientering och teknik för förskoleklass och grundskolans årskurs 4-6</t>
  </si>
  <si>
    <t>Specialpedagogik för förskolan (UK)</t>
  </si>
  <si>
    <t>Utbildningsvetenskap, undervisning och lärande för förskolan (UK)</t>
  </si>
  <si>
    <t>Utbildningsvetenskap, undervisning och lärande för grundskolan - fritidshem (UK)</t>
  </si>
  <si>
    <t>Utbildningsvetenskap, undervisning och lärande för grundskolan (UK)</t>
  </si>
  <si>
    <t>Bedömning för och av lärande i grundskolan (UK)</t>
  </si>
  <si>
    <t>Bedömning för lärande i förskolan (UK)</t>
  </si>
  <si>
    <t>6SY038</t>
  </si>
  <si>
    <t>6PE218</t>
  </si>
  <si>
    <t>Utbildningens villkor och samhälleliga funktion (UK)</t>
  </si>
  <si>
    <t>Enl ök 160425</t>
  </si>
  <si>
    <t>6PE219</t>
  </si>
  <si>
    <t>Den professionella läraren 1: Barns utveckling, specialpedagogik, sociala relationer och kommunikation (UK)</t>
  </si>
  <si>
    <t>6PE227</t>
  </si>
  <si>
    <t>Den professionella läraren 2: Uppdrag, ledarskap och undervisning (UK)</t>
  </si>
  <si>
    <t>Läser 5 av 10 hp denna termin</t>
  </si>
  <si>
    <t>Prognos avhopp %</t>
  </si>
  <si>
    <t>Utgångs-värde 1:a kurs</t>
  </si>
  <si>
    <t>Prognostal</t>
  </si>
  <si>
    <t>LYKFO</t>
  </si>
  <si>
    <t>6ES076</t>
  </si>
  <si>
    <t>Campus</t>
  </si>
  <si>
    <t>6SL038</t>
  </si>
  <si>
    <t>6ES070</t>
  </si>
  <si>
    <t>6ES071</t>
  </si>
  <si>
    <t>6SL036</t>
  </si>
  <si>
    <t>6SL037</t>
  </si>
  <si>
    <t>Skapandets intryck - utveckla och tala om hantverkets tysta kunskap</t>
  </si>
  <si>
    <t>Kommer troligen att klassas till design?</t>
  </si>
  <si>
    <t>Bild fördjupning 2 fristående</t>
  </si>
  <si>
    <t>Musik för barn i för- och grundskolan</t>
  </si>
  <si>
    <t>Slöjd 1, textil</t>
  </si>
  <si>
    <t>Slöjd 1, trä- och metall</t>
  </si>
  <si>
    <t>Att undervisa om islam i skolan</t>
  </si>
  <si>
    <t>Etik i världsreligioner</t>
  </si>
  <si>
    <t>Reformationen 500 år och dess konsekvenser för Europas religiösa och politiska utveckling.</t>
  </si>
  <si>
    <t>Yoga från öst till väst</t>
  </si>
  <si>
    <t>Perspektiv på islam: Globalisering, migration och islamism</t>
  </si>
  <si>
    <t>KPU - Förhöjd studietakt - utbildningsbidrag</t>
  </si>
  <si>
    <t>6MN049</t>
  </si>
  <si>
    <t>6NO035</t>
  </si>
  <si>
    <t>6MN047</t>
  </si>
  <si>
    <t>6MN048</t>
  </si>
  <si>
    <t>Formativ bedömning och motivation</t>
  </si>
  <si>
    <t>6PE223</t>
  </si>
  <si>
    <t>6SV048</t>
  </si>
  <si>
    <t>6SV050</t>
  </si>
  <si>
    <t>6SD006</t>
  </si>
  <si>
    <t>Ditt barns språk 2. Språkutveckling mellan 2 och 4 år</t>
  </si>
  <si>
    <t>Tyska C, Deutsch lernen und lehren III</t>
  </si>
  <si>
    <t>"Fatta Sapmi" (prel. namn)</t>
  </si>
  <si>
    <t>Barns och ungas identitetsskapande på nätet</t>
  </si>
  <si>
    <t>Mobbning och kränkande handlingar i teori och praktik</t>
  </si>
  <si>
    <t>Design av digital didaktik</t>
  </si>
  <si>
    <t>Matematikundervisning med IT</t>
  </si>
  <si>
    <t>Normkritisk genuspedagogik</t>
  </si>
  <si>
    <t>Trygga lärmiljöer, identitet och intersektionalitet</t>
  </si>
  <si>
    <t>Forskning och utvecklingsarbete i skolan 1</t>
  </si>
  <si>
    <t>6ES078</t>
  </si>
  <si>
    <t>Forskning och utvecklingsarbete 2</t>
  </si>
  <si>
    <t>Form, färg, estetik och uttryck - Utveckla ditt formspråk i trä</t>
  </si>
  <si>
    <t>Slöjd trä och metall 2, fristående</t>
  </si>
  <si>
    <t>Matematik 1 för lärande och undervisning för förskoleklass och grundskolans årskurs 1-6</t>
  </si>
  <si>
    <t>Matematik 2 för lärande och undervisning för förskoleklass och grundskolans årskurs 1-3</t>
  </si>
  <si>
    <t>Matematik 2 för lärande och undervisning för grundskolans årskurs 4-6</t>
  </si>
  <si>
    <t>Specialpedagogik - åk 7-9 och gymnasieskolan (UK)</t>
  </si>
  <si>
    <t>Svenska som andraspråk A, Det mångkulturella klassrummet och svenskans fonologi</t>
  </si>
  <si>
    <t>Svenska som andraspråk B, Flerspråkiga inlärares litteracitet</t>
  </si>
  <si>
    <t>6LÄ058</t>
  </si>
  <si>
    <t>Kommunikation och språkutveckling för fritidshem</t>
  </si>
  <si>
    <t>6RV013</t>
  </si>
  <si>
    <t>6RV014</t>
  </si>
  <si>
    <t>6RV015</t>
  </si>
  <si>
    <t>6RV016</t>
  </si>
  <si>
    <t>6RV017</t>
  </si>
  <si>
    <t>Från kursansvarig inst till medverkande inst</t>
  </si>
  <si>
    <t>6PE226</t>
  </si>
  <si>
    <t>Utbildningsvetenskap, undervisning och lärande - Ämneslärarprogrammet (UK)</t>
  </si>
  <si>
    <t>Enl styrelse 160225 p.11B</t>
  </si>
  <si>
    <t>Totalt prislappar</t>
  </si>
  <si>
    <t>3306 Summa</t>
  </si>
  <si>
    <t>Med Summa</t>
  </si>
  <si>
    <t>2200 Summa</t>
  </si>
  <si>
    <t>2220 Summa</t>
  </si>
  <si>
    <t>2271 Summa</t>
  </si>
  <si>
    <t>2272 Summa</t>
  </si>
  <si>
    <t>2300 Summa</t>
  </si>
  <si>
    <t>2360 Summa</t>
  </si>
  <si>
    <t>2750 Summa</t>
  </si>
  <si>
    <t>Sam Summa</t>
  </si>
  <si>
    <t>5100 Summa</t>
  </si>
  <si>
    <t>5730 Summa</t>
  </si>
  <si>
    <t>TekNat Summa</t>
  </si>
  <si>
    <t>6PE238</t>
  </si>
  <si>
    <t>Bedömning för och av lärande för åk 7-9 och gymnasium (UK)</t>
  </si>
  <si>
    <t>Utomhuspedagogik i förskola, fritidshem och grundskola</t>
  </si>
  <si>
    <t>6TY020</t>
  </si>
  <si>
    <t>6PE239</t>
  </si>
  <si>
    <t>6LI009</t>
  </si>
  <si>
    <t>6PE241</t>
  </si>
  <si>
    <t>6PE242</t>
  </si>
  <si>
    <t>6IT047</t>
  </si>
  <si>
    <t>6IT023</t>
  </si>
  <si>
    <t>6PE243</t>
  </si>
  <si>
    <t>Enl ök mellan inst 161011</t>
  </si>
  <si>
    <t>Besked om ny benämn 161121</t>
  </si>
  <si>
    <t>Undervisning för elever i språk-, läs- och skrivsvårigheter</t>
  </si>
  <si>
    <t>6LI012</t>
  </si>
  <si>
    <t>Enl ök mellan inst 161129</t>
  </si>
  <si>
    <t>Enl kkk 161206</t>
  </si>
  <si>
    <t>6ES077</t>
  </si>
  <si>
    <t>Enl ök 161121</t>
  </si>
  <si>
    <t>6PE253</t>
  </si>
  <si>
    <t>Läraryrkets dimensioner för förskolan 1 (VFU)</t>
  </si>
  <si>
    <t>6PE254</t>
  </si>
  <si>
    <t>Läraryrkets dimensioner för förskolan 2 (VFU)</t>
  </si>
  <si>
    <t>6ES080</t>
  </si>
  <si>
    <t>6PE249</t>
  </si>
  <si>
    <t>Läraryrkets dimensioner för fritidshem 2 (VFU)</t>
  </si>
  <si>
    <t>6PE250</t>
  </si>
  <si>
    <t>Elever i behov av extra anpassningar och särskilt stöd ur ett fritidshemsperspektiv</t>
  </si>
  <si>
    <t>6PE252</t>
  </si>
  <si>
    <t>Vetenskap och kunskap (UK)</t>
  </si>
  <si>
    <t>6ES079</t>
  </si>
  <si>
    <t>Undervisning och lärande 1</t>
  </si>
  <si>
    <t>6MU053</t>
  </si>
  <si>
    <t>6PE240</t>
  </si>
  <si>
    <t>6PE244</t>
  </si>
  <si>
    <t>6TX028</t>
  </si>
  <si>
    <t>6TX027</t>
  </si>
  <si>
    <t>Anna Nordström, controller</t>
  </si>
  <si>
    <t>Kurser inom VAL-projektet utfördelas i separat RTV. Kurser inom detta projekt ligger alla under programkoden LYLÄP. Observera att för dessa kurser måste ni (studieadmin) skapa Ej sökbara kurstillfällen och märka dessa med finansieringsform VAL, detta är viktigt för att ni ska få intäkter även för dessa studenter!</t>
  </si>
  <si>
    <t>birgitta.wilhelmsson@umu.se</t>
  </si>
  <si>
    <t>5FY153</t>
  </si>
  <si>
    <t>6FY009</t>
  </si>
  <si>
    <t>6EN035</t>
  </si>
  <si>
    <t>6EN036</t>
  </si>
  <si>
    <t>6SA011</t>
  </si>
  <si>
    <t>6SA012</t>
  </si>
  <si>
    <t>6PE258</t>
  </si>
  <si>
    <t>6PE257</t>
  </si>
  <si>
    <t>6ES081</t>
  </si>
  <si>
    <t>6PE251</t>
  </si>
  <si>
    <t>Engelska 3 för ämneslärare med inriktning mot gymnasiet</t>
  </si>
  <si>
    <t>Engelska 2 för ämneslärare med inriktning mot gymnasiet</t>
  </si>
  <si>
    <t>Spanska för ämneslärare, kurs III</t>
  </si>
  <si>
    <t>Spanska för ämneslärare, kurs II</t>
  </si>
  <si>
    <t>Läraryrkets dimensioner för grundskolans årskurs 4-6 (VFU)</t>
  </si>
  <si>
    <t>Läraryrkets dimensioner för förskoleklass och grundskolans årskurs 1-3 (VFU)</t>
  </si>
  <si>
    <t>Praktiskt estetiskt ämne - Slöjd trä- och metall 2</t>
  </si>
  <si>
    <t>Läraryrkets dimensioner i förskolan II (VFU)</t>
  </si>
  <si>
    <t>Att undervisa i förskolan (VFU)</t>
  </si>
  <si>
    <t>6PE256</t>
  </si>
  <si>
    <t>Kunskap, undervisning och lärande 2</t>
  </si>
  <si>
    <t>Läraryrkets dimensioner i förskolan I (VFU)</t>
  </si>
  <si>
    <t>Matematiska metoder i fysik</t>
  </si>
  <si>
    <t>Väv- och kläddesign: Estetiska skapandeprocesser</t>
  </si>
  <si>
    <t>6TX026</t>
  </si>
  <si>
    <t>6SL035</t>
  </si>
  <si>
    <t>6TX029</t>
  </si>
  <si>
    <t>Klassades till ID 3k-möte 160531</t>
  </si>
  <si>
    <t>Omklassades fr ID till ÖV vid 3k-möte 161206</t>
  </si>
  <si>
    <t>6SM007</t>
  </si>
  <si>
    <t>Enl reglbrev</t>
  </si>
  <si>
    <t>6SM004</t>
  </si>
  <si>
    <t>6SM005</t>
  </si>
  <si>
    <t>6SM006</t>
  </si>
  <si>
    <t>Samiska 1 för ämneslärare med inriktning mot sydsamiska</t>
  </si>
  <si>
    <t>Samiska 2 för ämneslärare med inriktning mot sydsamiska</t>
  </si>
  <si>
    <t>Samiska 3 för ämneslärare med inriktning mot sydsamiska</t>
  </si>
  <si>
    <t>6PE259</t>
  </si>
  <si>
    <t>Läraryrkets dimensioner för fritidshem 3 (VFU)</t>
  </si>
  <si>
    <t>Vid övriga frågor kontakta utbildningsledare Birgitta Wilhelmsson</t>
  </si>
  <si>
    <t>6PE255</t>
  </si>
  <si>
    <t>V18</t>
  </si>
  <si>
    <t>H18</t>
  </si>
  <si>
    <t>Examensarbete för förskollärarexamen</t>
  </si>
  <si>
    <t>6FRI2</t>
  </si>
  <si>
    <t>Valbar kurs: Bild/Idrott och hälsa 2</t>
  </si>
  <si>
    <t>Slöjd - trä och metall 3</t>
  </si>
  <si>
    <t>Slöjd - textil 3</t>
  </si>
  <si>
    <t>5FY091</t>
  </si>
  <si>
    <t>5FY127</t>
  </si>
  <si>
    <t>5KE020</t>
  </si>
  <si>
    <t>6EX30</t>
  </si>
  <si>
    <t>6GEgy1</t>
  </si>
  <si>
    <t>6NK000</t>
  </si>
  <si>
    <t>6NK101</t>
  </si>
  <si>
    <t>6NK102</t>
  </si>
  <si>
    <t>6RV018</t>
  </si>
  <si>
    <t>SPAN</t>
  </si>
  <si>
    <t>Vågfysik och optik B</t>
  </si>
  <si>
    <t>Elektromagnetismens grunder</t>
  </si>
  <si>
    <t>Att undervisa i biologi (VFU)</t>
  </si>
  <si>
    <t>Examensarbete - Ämne 1/Ämne 2</t>
  </si>
  <si>
    <t>Att undervisa i naturkunskap (VFU)</t>
  </si>
  <si>
    <t>Naturkunskapsdidaktik 1 för ämneslärare för gymnasiet</t>
  </si>
  <si>
    <t>Naturkunskapsdidaktik 2 för ämneslärare för gymnasiet</t>
  </si>
  <si>
    <t>Läraryrkets dimensioner- ingångsämne religion (VFU)</t>
  </si>
  <si>
    <t>UTGG</t>
  </si>
  <si>
    <t>GEOG</t>
  </si>
  <si>
    <t>Introduktion till geografi</t>
  </si>
  <si>
    <t>??</t>
  </si>
  <si>
    <t>Processer i naturen</t>
  </si>
  <si>
    <t>Befolkningsgeografi</t>
  </si>
  <si>
    <t>Kartor och GIS</t>
  </si>
  <si>
    <t>Klimatförändringar</t>
  </si>
  <si>
    <t>Geografididaktik 1</t>
  </si>
  <si>
    <t>6ES082</t>
  </si>
  <si>
    <t>6ID018</t>
  </si>
  <si>
    <t>6SD005</t>
  </si>
  <si>
    <t>6SV043</t>
  </si>
  <si>
    <t>6SV049</t>
  </si>
  <si>
    <t>6SV051</t>
  </si>
  <si>
    <t>6NO042</t>
  </si>
  <si>
    <t>6NO041</t>
  </si>
  <si>
    <t>6LI010</t>
  </si>
  <si>
    <t>6LI011</t>
  </si>
  <si>
    <t>Bild 1, distans</t>
  </si>
  <si>
    <t>Idrott och hälsa 3</t>
  </si>
  <si>
    <t>Examensarbete med språkdidaktisk inriktning för lärarexamen</t>
  </si>
  <si>
    <t>Svenska som andraspråk II för ämneslärare med inriktning mot årskurs 7-9</t>
  </si>
  <si>
    <t>Svenska som andraspråk A, Att lära på ett andraspråk och svenskans grammatik</t>
  </si>
  <si>
    <t>Svenska som andraspråk B, Flerspråkighet och fördjupning</t>
  </si>
  <si>
    <t>Fördelning mellan kursansvarig och ev medverkande institutioner ska meddelas Lärarhögskolans kansli (Agnetha Simm) genom en skriftlig överenskommelse (underskriven av berörda prefekter), detta gäller både nya kurser och kurser där en förändring av nu gällande fördelning ska ske.</t>
  </si>
  <si>
    <t>Enl ök mellan inst fr o m vt-17 (inkom 170817)</t>
  </si>
  <si>
    <t>Slöjd, trä- och metall 3, fristående</t>
  </si>
  <si>
    <t>Slöjd, textil 3, fristående</t>
  </si>
  <si>
    <t>Bild 3, fristående</t>
  </si>
  <si>
    <t>Bild fördjupning 1 fristående</t>
  </si>
  <si>
    <t>Utomhuspedagogik, naturvetenskap och matematik i förskola, fritidshem och grundskola</t>
  </si>
  <si>
    <t>6FRISPRÅK1</t>
  </si>
  <si>
    <t>6FRIPED1</t>
  </si>
  <si>
    <t>Idrott, fostran och socialisation</t>
  </si>
  <si>
    <t>Matematik, naturvetenskap och utomhuspedagogik - Sommar</t>
  </si>
  <si>
    <t>Forskning och utvecklingsarbete i skolan 2</t>
  </si>
  <si>
    <t>Undervisning och lärande 2</t>
  </si>
  <si>
    <t>Ditt barns språk I - Språkutvecklingen mellan 0 och 2 år</t>
  </si>
  <si>
    <t>Människans språk: Lingvistik för lärare</t>
  </si>
  <si>
    <t>5KE034</t>
  </si>
  <si>
    <t>5KE038</t>
  </si>
  <si>
    <t>5KE165</t>
  </si>
  <si>
    <t>6ES083</t>
  </si>
  <si>
    <t>6FY010</t>
  </si>
  <si>
    <t>6FY011</t>
  </si>
  <si>
    <t>6GV001</t>
  </si>
  <si>
    <t>6KG004</t>
  </si>
  <si>
    <t>6KG005</t>
  </si>
  <si>
    <t>6MA040</t>
  </si>
  <si>
    <t>6MA041</t>
  </si>
  <si>
    <t>6MA042</t>
  </si>
  <si>
    <t>6NO043</t>
  </si>
  <si>
    <t>6PE260</t>
  </si>
  <si>
    <t>6PE261</t>
  </si>
  <si>
    <t>6PE262</t>
  </si>
  <si>
    <t>6SL043</t>
  </si>
  <si>
    <t>6TX031</t>
  </si>
  <si>
    <t>Biofysikalisk kemi: Spektroskopi</t>
  </si>
  <si>
    <t>Biofysikalisk kemi: Termodynamik</t>
  </si>
  <si>
    <t>Kemins grunder</t>
  </si>
  <si>
    <t>Bild fördjupning 2</t>
  </si>
  <si>
    <t>Bild fördjupning 1</t>
  </si>
  <si>
    <t>Kärnfysik</t>
  </si>
  <si>
    <t>Envariabelanalys 1</t>
  </si>
  <si>
    <t>Naturvetenskap och teknik i förskolan</t>
  </si>
  <si>
    <t>Profession och vetenskap för fritidshem (UK)</t>
  </si>
  <si>
    <t>6SL044</t>
  </si>
  <si>
    <t>6TX032</t>
  </si>
  <si>
    <t>6ES085</t>
  </si>
  <si>
    <t>6ES086</t>
  </si>
  <si>
    <t>6ES084</t>
  </si>
  <si>
    <t>Enl uppg från Pedagogik 171012</t>
  </si>
  <si>
    <t>Bör omklassificeras till ID</t>
  </si>
  <si>
    <t>Klassad till SAM i Ladok</t>
  </si>
  <si>
    <t>6PE265</t>
  </si>
  <si>
    <t>6PE266</t>
  </si>
  <si>
    <t>6PE264</t>
  </si>
  <si>
    <t>Grundlärare som profession (UK)</t>
  </si>
  <si>
    <t>6PE268</t>
  </si>
  <si>
    <t>Att undervisa i engelska (VFU)</t>
  </si>
  <si>
    <t>Att undervisa i Spanska (VFU)</t>
  </si>
  <si>
    <t>Att undervisa i svenska (VFU)</t>
  </si>
  <si>
    <t>Att undervisa i svenska som andraspråk (VFU)</t>
  </si>
  <si>
    <t>Att undervisa i tyska (VFU)</t>
  </si>
  <si>
    <t>6EN038</t>
  </si>
  <si>
    <t>6SA013</t>
  </si>
  <si>
    <t>6SV058</t>
  </si>
  <si>
    <t>6SV057</t>
  </si>
  <si>
    <t>6TY021</t>
  </si>
  <si>
    <t>6FA007</t>
  </si>
  <si>
    <t>Att undervisa i franska (VFU)</t>
  </si>
  <si>
    <t>Enl RBM-beslut 171211</t>
  </si>
  <si>
    <t>Utbildningspolicy och pedagogisk praktik ur internationella perspektiv</t>
  </si>
  <si>
    <t>Utbildningspolicy i nationell och internationell kontext</t>
  </si>
  <si>
    <t>6PE263</t>
  </si>
  <si>
    <t>Enl RBM-beslut 171211 p87</t>
  </si>
  <si>
    <t>Undervisning och lärande - läroplansteori och didaktik - avancerad nivå (VAL, ULV)</t>
  </si>
  <si>
    <t>Umeå</t>
  </si>
  <si>
    <t>6MA048</t>
  </si>
  <si>
    <t>6PE267</t>
  </si>
  <si>
    <t>Ämnesdidaktik (UK)</t>
  </si>
  <si>
    <t>Matematikens historia</t>
  </si>
  <si>
    <t>Läser 2,3 av 15 hp denna termin</t>
  </si>
  <si>
    <t>Kommer troligen att klassas till natur?</t>
  </si>
  <si>
    <t>Kommer troligen att klassas till 50NA50TE</t>
  </si>
  <si>
    <t>6EN039</t>
  </si>
  <si>
    <t>6EN040</t>
  </si>
  <si>
    <t>6MU054</t>
  </si>
  <si>
    <t>Jazzimprovisation i ensemble för lärare</t>
  </si>
  <si>
    <t>Kommer troligen att klassas till musik??</t>
  </si>
  <si>
    <t>Ni är alltid välkomna att höra av er om ni önskar en genomgång av detta resurstilldelningsverktyg (RTV), här på kansliet eller hos er på institutionen!</t>
  </si>
  <si>
    <t>Ett antal kurser har, i väntan på beredning och beslut, en preliminär klassificering till utbildningsområde som kan komma att ändras. Vilka dessa är kan ni se under fliken "kurspris".</t>
  </si>
  <si>
    <t>Kommer troligen att klassas till LU</t>
  </si>
  <si>
    <t>se mail fr Mikael L, Ladok 170508</t>
  </si>
  <si>
    <t>6PE208</t>
  </si>
  <si>
    <t>Enl ök mellan inst 180305 (mejl) ers 6PE145)</t>
  </si>
  <si>
    <t>Enl ök mellan inst 180313</t>
  </si>
  <si>
    <t>V19</t>
  </si>
  <si>
    <t>H19</t>
  </si>
  <si>
    <t>V1911-15</t>
  </si>
  <si>
    <t>V1916-20</t>
  </si>
  <si>
    <t>V191-4</t>
  </si>
  <si>
    <t>V195</t>
  </si>
  <si>
    <t>V196-10</t>
  </si>
  <si>
    <t>V194-8</t>
  </si>
  <si>
    <t>V1915-17</t>
  </si>
  <si>
    <t>V191-3</t>
  </si>
  <si>
    <t>V199-11</t>
  </si>
  <si>
    <t>V1912-14</t>
  </si>
  <si>
    <t>V1919-20:H191-20</t>
  </si>
  <si>
    <t>V1918-20</t>
  </si>
  <si>
    <t>6SP050</t>
  </si>
  <si>
    <t>Introduktion till det specialpedagogiska fältet</t>
  </si>
  <si>
    <t>6SP052</t>
  </si>
  <si>
    <t>6SP051</t>
  </si>
  <si>
    <t>Neuropsykiatriska svårigheter i olika lärmiljöer</t>
  </si>
  <si>
    <t>Speciallärarens och specialpedagogens yrkesfunktion</t>
  </si>
  <si>
    <t>Enl styrelse 180215 p16C</t>
  </si>
  <si>
    <t>Kurs i examensarbete - Matematikutveckling</t>
  </si>
  <si>
    <t>BILÄ</t>
  </si>
  <si>
    <t>6MN050</t>
  </si>
  <si>
    <t>Matematikdidaktik 1 för grundskolans åk 7-9 och gymnasiet</t>
  </si>
  <si>
    <t>6BI023</t>
  </si>
  <si>
    <t>6KG006</t>
  </si>
  <si>
    <t>6GV000</t>
  </si>
  <si>
    <t>6GV002</t>
  </si>
  <si>
    <t>6KG007</t>
  </si>
  <si>
    <t>6HI033</t>
  </si>
  <si>
    <t>6MS002</t>
  </si>
  <si>
    <t>6MN051</t>
  </si>
  <si>
    <t>6MA046</t>
  </si>
  <si>
    <t>6BI022</t>
  </si>
  <si>
    <t>6RV020</t>
  </si>
  <si>
    <t>Artkunskap och systematik för biologilärare</t>
  </si>
  <si>
    <t>Historia 2</t>
  </si>
  <si>
    <t>Enl beslutsmöte 180326</t>
  </si>
  <si>
    <t>Envariabelanalys 2</t>
  </si>
  <si>
    <t>Naturens mångfald för naturkunskapslärare</t>
  </si>
  <si>
    <t>Religionsvetenskap 2</t>
  </si>
  <si>
    <t>6LI013</t>
  </si>
  <si>
    <t>H16</t>
  </si>
  <si>
    <t>V16</t>
  </si>
  <si>
    <t>H14</t>
  </si>
  <si>
    <t>H15</t>
  </si>
  <si>
    <t>Örnsköldsvik</t>
  </si>
  <si>
    <t>V1913-18</t>
  </si>
  <si>
    <t>V191-10</t>
  </si>
  <si>
    <t>V1911-20</t>
  </si>
  <si>
    <t>V198-12</t>
  </si>
  <si>
    <t>V1913-16</t>
  </si>
  <si>
    <t>V191-6</t>
  </si>
  <si>
    <t>V197-13</t>
  </si>
  <si>
    <t>H1817-20:V191-3</t>
  </si>
  <si>
    <t>V1917-20:H191-3</t>
  </si>
  <si>
    <t>V191-7</t>
  </si>
  <si>
    <t>V194-10</t>
  </si>
  <si>
    <t>V191-5</t>
  </si>
  <si>
    <t>V196-15</t>
  </si>
  <si>
    <t>V1914-20</t>
  </si>
  <si>
    <t>H13</t>
  </si>
  <si>
    <t>H1816-20:V191-15</t>
  </si>
  <si>
    <t>H12</t>
  </si>
  <si>
    <t>V191-20</t>
  </si>
  <si>
    <t>V1913-17</t>
  </si>
  <si>
    <t>V1916-20:H191-15</t>
  </si>
  <si>
    <t>V191-15</t>
  </si>
  <si>
    <t>TMBI</t>
  </si>
  <si>
    <t>HEMK</t>
  </si>
  <si>
    <t>5KE177</t>
  </si>
  <si>
    <t>6A2T7</t>
  </si>
  <si>
    <t>6BI020</t>
  </si>
  <si>
    <t>6GExx9</t>
  </si>
  <si>
    <t>6HI032</t>
  </si>
  <si>
    <t>6KExx1</t>
  </si>
  <si>
    <t>6MA043</t>
  </si>
  <si>
    <t>6MA044</t>
  </si>
  <si>
    <t>6MA045</t>
  </si>
  <si>
    <t>6MA049</t>
  </si>
  <si>
    <t>6MAIII</t>
  </si>
  <si>
    <t>6MN036</t>
  </si>
  <si>
    <t>6PE271</t>
  </si>
  <si>
    <t>6PE272</t>
  </si>
  <si>
    <t>6RV019</t>
  </si>
  <si>
    <t>V1910-15</t>
  </si>
  <si>
    <t>IDMA</t>
  </si>
  <si>
    <t>Avancerad miljökemi</t>
  </si>
  <si>
    <t>Läraryrkets dimensioner - ingångsämne biologi (VFU)</t>
  </si>
  <si>
    <t>Att undervisa i historia (VFU)</t>
  </si>
  <si>
    <t>Diskret matematik</t>
  </si>
  <si>
    <t>Problemlösning och matematiska resonemang</t>
  </si>
  <si>
    <t>Att undervisa i matematik (VFU)</t>
  </si>
  <si>
    <t>Examensarbete för ämneslärarexamen - Matematik</t>
  </si>
  <si>
    <t>Att undervisa i Idrott och hälsa (VFU)</t>
  </si>
  <si>
    <t>Att undervisa i Samhällskunskap (VFU)</t>
  </si>
  <si>
    <t>Att undervisa i religionskunskap (VFU)</t>
  </si>
  <si>
    <t>Ekonomisk och soial geografi</t>
  </si>
  <si>
    <t>Vetenskapliga metoder i geografi</t>
  </si>
  <si>
    <t>Geografididaktik 2</t>
  </si>
  <si>
    <t>V191-13</t>
  </si>
  <si>
    <t>H181-20:V191-20</t>
  </si>
  <si>
    <t>Läser 4 av 10 hp denna termin</t>
  </si>
  <si>
    <t>Läser 6 av 10 hp denna termin</t>
  </si>
  <si>
    <t>Läser 22,5 av 30 hp denna termin</t>
  </si>
  <si>
    <t>Läser 7,5 av 30 hp denna termin</t>
  </si>
  <si>
    <t>Läser 15 av 30 hp denna termin</t>
  </si>
  <si>
    <t>Bild fördjupning 3</t>
  </si>
  <si>
    <t>Att undervisa i geografi (VFU)</t>
  </si>
  <si>
    <t>V19 Summa</t>
  </si>
  <si>
    <t>H19 Summa</t>
  </si>
  <si>
    <t>Kemi I för ämneslärare med inriktning mot gymnasiet - för val av 2a ämne</t>
  </si>
  <si>
    <t>Kommer trol att klassas till NA</t>
  </si>
  <si>
    <t>Kemi II för ämneslärare med inriktning mot gymnasiet - för val av 2a ämne</t>
  </si>
  <si>
    <t>6EN041</t>
  </si>
  <si>
    <t>6EN042</t>
  </si>
  <si>
    <t>6EN043</t>
  </si>
  <si>
    <t>2IP027</t>
  </si>
  <si>
    <t>6DV000</t>
  </si>
  <si>
    <t>6MA047</t>
  </si>
  <si>
    <t>6MA050</t>
  </si>
  <si>
    <t>6MS003</t>
  </si>
  <si>
    <t>6SV060</t>
  </si>
  <si>
    <t>6SV063</t>
  </si>
  <si>
    <t>6SV066</t>
  </si>
  <si>
    <t>6SV067</t>
  </si>
  <si>
    <t>6SV068</t>
  </si>
  <si>
    <t>6SV069</t>
  </si>
  <si>
    <t>6SV070</t>
  </si>
  <si>
    <t>6ES089</t>
  </si>
  <si>
    <t>6ES087</t>
  </si>
  <si>
    <t>6SD007</t>
  </si>
  <si>
    <t>6SD008</t>
  </si>
  <si>
    <t>2ID004</t>
  </si>
  <si>
    <t>Sommarkurs</t>
  </si>
  <si>
    <t>Distans</t>
  </si>
  <si>
    <t>6SOMKostv1</t>
  </si>
  <si>
    <t>6SOMSpråk3</t>
  </si>
  <si>
    <t>Ämnesmetodik inom mat, måltider och hälsa</t>
  </si>
  <si>
    <t>NA + SA??</t>
  </si>
  <si>
    <t>Fjärrundervisning</t>
  </si>
  <si>
    <t>SA?</t>
  </si>
  <si>
    <t>HU?</t>
  </si>
  <si>
    <t>Digital kompetens och lärande I</t>
  </si>
  <si>
    <t>Anpassad fysisk aktivitet med inriktning mot rörelsehinder</t>
  </si>
  <si>
    <t>Programmeringsteknik med C och Matlab</t>
  </si>
  <si>
    <t>Differentialekvationer</t>
  </si>
  <si>
    <t>Statistik för naturvetare</t>
  </si>
  <si>
    <t>Svenska som andraspråk C, Diskriminerande strukturer och skönlitteratur</t>
  </si>
  <si>
    <t>Svenska som andraspråk för ämneslärare, kurs 1</t>
  </si>
  <si>
    <t>Svenska som andraspråk för ämneslärare, kurs 2</t>
  </si>
  <si>
    <t>Svenska som andraspråk för ämneslärare, kurs 3</t>
  </si>
  <si>
    <t>Svenska som andraspråk A, del 1</t>
  </si>
  <si>
    <t>Bild fördjupning 3, fristående</t>
  </si>
  <si>
    <t>Vetenskaplig teori och metod 2</t>
  </si>
  <si>
    <t>Vetenskaplig teori och metod 1</t>
  </si>
  <si>
    <t>Didaktik för det flerspråkiga klassrummet</t>
  </si>
  <si>
    <t>Språkdidaktik: Aktuella frågor och metoder i språkdidaktisk forskning</t>
  </si>
  <si>
    <t>Neuropsykiatriska svårigheter - förhållningsätt, bemötande och strategier i pedagogisk verksamhet</t>
  </si>
  <si>
    <t>6FRISPRÅK2</t>
  </si>
  <si>
    <t>Språkdidaktik: Undervisning för elever i språk-,  läs- och skrivsvårigheter</t>
  </si>
  <si>
    <t>Skolans digitalisering</t>
  </si>
  <si>
    <t>Sommar</t>
  </si>
  <si>
    <t>Kursen beställd av LH</t>
  </si>
  <si>
    <t>Äskat - Beslut p43 180607</t>
  </si>
  <si>
    <t>Enl beslutsmöte 180625</t>
  </si>
  <si>
    <t>Enl beslutsmöte 180924</t>
  </si>
  <si>
    <t>5BI235</t>
  </si>
  <si>
    <t>5BI234</t>
  </si>
  <si>
    <t>6SP053</t>
  </si>
  <si>
    <t>6SP055</t>
  </si>
  <si>
    <t>6SP054</t>
  </si>
  <si>
    <t>6SP057</t>
  </si>
  <si>
    <t>6SD010</t>
  </si>
  <si>
    <t>6ES103</t>
  </si>
  <si>
    <t>Matematikdidaktik 2 för grundskolans åk 7-9 och gymnasiet</t>
  </si>
  <si>
    <t>Från MaMs till NMD</t>
  </si>
  <si>
    <t>Äskat - sent pga flytt av kurs</t>
  </si>
  <si>
    <t>6ES094</t>
  </si>
  <si>
    <t>6GV003</t>
  </si>
  <si>
    <t>6HI034</t>
  </si>
  <si>
    <t>6HI035</t>
  </si>
  <si>
    <t>6KG003</t>
  </si>
  <si>
    <t>6KG008</t>
  </si>
  <si>
    <t>6NK036</t>
  </si>
  <si>
    <t>6RV021</t>
  </si>
  <si>
    <t>6RV022</t>
  </si>
  <si>
    <t>6ES088</t>
  </si>
  <si>
    <t>6ES092</t>
  </si>
  <si>
    <t>6ES093</t>
  </si>
  <si>
    <t>6ES095</t>
  </si>
  <si>
    <t>6ES097</t>
  </si>
  <si>
    <t>6PE269</t>
  </si>
  <si>
    <t>H1816-20:V191-9</t>
  </si>
  <si>
    <t>V1910-20</t>
  </si>
  <si>
    <t>Att undervisa i musik</t>
  </si>
  <si>
    <t>Att undervisa i slöjd - textil</t>
  </si>
  <si>
    <t>Historia 1</t>
  </si>
  <si>
    <t>Historia 3</t>
  </si>
  <si>
    <t>Examensarbete - Naturkunskap</t>
  </si>
  <si>
    <t>Religionsvetenskap 1</t>
  </si>
  <si>
    <t>Religionsvetenskap 3</t>
  </si>
  <si>
    <t>JANUARI - FEBRUARI 2019</t>
  </si>
  <si>
    <t>Att utfördela Jan+Febr -19</t>
  </si>
  <si>
    <t>6SP058</t>
  </si>
  <si>
    <t>Vetenskaplig metodkurs Speciallärar- och specialpedagogprogrammen</t>
  </si>
  <si>
    <t>6SP060</t>
  </si>
  <si>
    <t>Eamensarbete specialpedagogprogrammet</t>
  </si>
  <si>
    <t>6SP059</t>
  </si>
  <si>
    <t>6FRISPRÅK3</t>
  </si>
  <si>
    <t>Språkdidaktik, Examensarbete för magisterexamen</t>
  </si>
  <si>
    <t>Kompl.äskande se Beslut p6 190121</t>
  </si>
  <si>
    <t>Undervisning och kvalitetsutveckling i förskola respektive fritidshem</t>
  </si>
  <si>
    <t>Kompl.äskande se Beslut p7 190121</t>
  </si>
  <si>
    <t>6KN023</t>
  </si>
  <si>
    <t>6PE279</t>
  </si>
  <si>
    <t>Språk och matematik i ett specialpedagogiskt perspektiv</t>
  </si>
  <si>
    <t>6PE277</t>
  </si>
  <si>
    <t>6PE280</t>
  </si>
  <si>
    <t>Matematik i specialpedagogiskt perspektiv</t>
  </si>
  <si>
    <t>6SD011</t>
  </si>
  <si>
    <t>6SD012</t>
  </si>
  <si>
    <t>Språk-, skriv- och läsutveckling i ett specialpedagogiskt perspektiv</t>
  </si>
  <si>
    <t>Ställs in enl uppg fr inst 190205</t>
  </si>
  <si>
    <t>Ställs in enl uppg fr inst 190213</t>
  </si>
  <si>
    <t>Ställs in enl uppg från inst 190207</t>
  </si>
  <si>
    <t>6ES100</t>
  </si>
  <si>
    <t>6RV023</t>
  </si>
  <si>
    <t>TXAL</t>
  </si>
  <si>
    <t>V196-12</t>
  </si>
  <si>
    <t>V1913-20</t>
  </si>
  <si>
    <t>V196-20</t>
  </si>
  <si>
    <t>MAGG</t>
  </si>
  <si>
    <t>ALLM</t>
  </si>
  <si>
    <t>SVGG</t>
  </si>
  <si>
    <t>H11</t>
  </si>
  <si>
    <t>V1911-13</t>
  </si>
  <si>
    <t>Religionsvetenskap 3, med kandidatuppsats</t>
  </si>
  <si>
    <t>Geografi</t>
  </si>
  <si>
    <t>Ställs in enl uppg från inst</t>
  </si>
  <si>
    <t>Ställs in enl uppg från inst 181203</t>
  </si>
  <si>
    <t>Sommar Summa</t>
  </si>
  <si>
    <t>Kursintäkter
totalt 2019 (uppdat febr -19)</t>
  </si>
  <si>
    <t>Lokalintäkt
totalt 2019 (uppdat febr -19)</t>
  </si>
  <si>
    <t>?? Kursplan ej granskad än</t>
  </si>
  <si>
    <t>Enl beslutsöte 190304</t>
  </si>
  <si>
    <t>Piteå</t>
  </si>
  <si>
    <t>6ES099</t>
  </si>
  <si>
    <t>Magisteruppsats i pedagogisk yrkesverksamhet</t>
  </si>
  <si>
    <t>6MU061</t>
  </si>
  <si>
    <t>6SP056</t>
  </si>
  <si>
    <t>6ES104</t>
  </si>
  <si>
    <t>6ES102</t>
  </si>
  <si>
    <t>6PE274</t>
  </si>
  <si>
    <t>6PE278</t>
  </si>
  <si>
    <t>6KG009</t>
  </si>
  <si>
    <t>6MU065</t>
  </si>
  <si>
    <t>6TX033</t>
  </si>
  <si>
    <t>Slöjd textil 2</t>
  </si>
  <si>
    <t>6PE273</t>
  </si>
  <si>
    <t>5FY205</t>
  </si>
  <si>
    <t>Modern fysik</t>
  </si>
  <si>
    <t>5KE180</t>
  </si>
  <si>
    <t>Organisk kemi</t>
  </si>
  <si>
    <t>5MA143</t>
  </si>
  <si>
    <t>6ES105</t>
  </si>
  <si>
    <t>MARS 2019</t>
  </si>
  <si>
    <t>Att utfördela Mars -19</t>
  </si>
  <si>
    <t>Ny orgenhet och projkto fr o m mars -19</t>
  </si>
  <si>
    <t>6ES091</t>
  </si>
  <si>
    <t>6ES101</t>
  </si>
  <si>
    <t>6FA008</t>
  </si>
  <si>
    <t>Franska för ämneslärare, kurs 1</t>
  </si>
  <si>
    <t>Enl Ladok 190318</t>
  </si>
  <si>
    <t>V3-7</t>
  </si>
  <si>
    <t>V12-17</t>
  </si>
  <si>
    <t>6PE275</t>
  </si>
  <si>
    <t>Genuspedagogik i lärmiljöer</t>
  </si>
  <si>
    <t>6PE276</t>
  </si>
  <si>
    <t>Mobbning i lärmiljöer</t>
  </si>
  <si>
    <t>6PE245</t>
  </si>
  <si>
    <t>6PE246</t>
  </si>
  <si>
    <t>6TX025</t>
  </si>
  <si>
    <t>Textila uttryck</t>
  </si>
  <si>
    <t>6TX030</t>
  </si>
  <si>
    <t>Väv- och kläddesign fördjupning</t>
  </si>
  <si>
    <t>6SV072</t>
  </si>
  <si>
    <t>6SV073</t>
  </si>
  <si>
    <t>Att läsa och skriva i lärarutbildning och läraryrket - fokus grundlärare</t>
  </si>
  <si>
    <t>Att läsa och skriva i lärarutbildning och läraryrket - fokus ämneslärare</t>
  </si>
  <si>
    <t>Fd 3704</t>
  </si>
  <si>
    <t>3850 Summa</t>
  </si>
  <si>
    <t>Kursintäkter
totalt 2019 fr jan enl föreg version</t>
  </si>
  <si>
    <t>Lokalintäkt
totalt 2019 fr jan enl föreg version</t>
  </si>
  <si>
    <t>Kursintäkter
Utfördelat t o m maj -19</t>
  </si>
  <si>
    <t>Lokalintäkter
Utfördelat t o m maj -19</t>
  </si>
  <si>
    <t>Tot utfördelat t o m maj -19</t>
  </si>
  <si>
    <t>Kursintäkter
totalt 2019 (uppdat juni -19)</t>
  </si>
  <si>
    <t>Lokalintäkt
totalt 2019 (uppdat juni -19)</t>
  </si>
  <si>
    <t>Utfördelat
t o m maj-19</t>
  </si>
  <si>
    <t>Att utfördela fr o m juni -19</t>
  </si>
  <si>
    <t>Enl Ladok 190515</t>
  </si>
  <si>
    <t>5FY178</t>
  </si>
  <si>
    <t>5FY185</t>
  </si>
  <si>
    <t>Enl Ladok 190523</t>
  </si>
  <si>
    <t>Enl uppg från Andreas N</t>
  </si>
  <si>
    <t>5DV157</t>
  </si>
  <si>
    <t>5KE111</t>
  </si>
  <si>
    <t>6SA014</t>
  </si>
  <si>
    <t>6TY023</t>
  </si>
  <si>
    <t>Tyska för ämneslärare, kurs 2</t>
  </si>
  <si>
    <t>Kommer troligen att klassas till HU</t>
  </si>
  <si>
    <t>Spanska för ämneslärare, kurs 2</t>
  </si>
  <si>
    <t>Biologisk kemi</t>
  </si>
  <si>
    <r>
      <rPr>
        <b/>
        <sz val="14"/>
        <rFont val="Times New Roman"/>
        <family val="1"/>
      </rPr>
      <t>HST - vt -19</t>
    </r>
    <r>
      <rPr>
        <sz val="14"/>
        <rFont val="Times New Roman"/>
        <family val="1"/>
      </rPr>
      <t>: Uppgift om faktisk hst har hämtats ur Ladok (maj/juni -19).</t>
    </r>
  </si>
  <si>
    <r>
      <rPr>
        <b/>
        <sz val="14"/>
        <rFont val="Times New Roman"/>
        <family val="1"/>
      </rPr>
      <t>Prislappar</t>
    </r>
    <r>
      <rPr>
        <sz val="14"/>
        <rFont val="Times New Roman"/>
        <family val="1"/>
      </rPr>
      <t>:</t>
    </r>
    <r>
      <rPr>
        <i/>
        <sz val="14"/>
        <rFont val="Times New Roman"/>
        <family val="1"/>
      </rPr>
      <t xml:space="preserve"> </t>
    </r>
    <r>
      <rPr>
        <sz val="14"/>
        <rFont val="Times New Roman"/>
        <family val="1"/>
      </rPr>
      <t>Nya prislappar för 2019 tillämpas här. Mer information om detta kan läsa i budgetdokumentet alternativt att ni hör av er till lärarhögskolans kansli, Anna Nordström (anna.nordstrom@umu.se)</t>
    </r>
  </si>
  <si>
    <t>Kommer troligen att klassas till NA?</t>
  </si>
  <si>
    <t>6NO044</t>
  </si>
  <si>
    <t>Utomhuspedagogik och naturvetenskap - Sommar</t>
  </si>
  <si>
    <t>Enl Ladok 190821</t>
  </si>
  <si>
    <t>Äskat - Beslut p43 180607 Ny kursplan med kurskod 6* krävs</t>
  </si>
  <si>
    <t>6SV074</t>
  </si>
  <si>
    <t>6EN044</t>
  </si>
  <si>
    <t>Flerspråkighet i förskoleklassen och grundskolans tidigare år</t>
  </si>
  <si>
    <t>Kommunikativ kompetens i engelska för grundlärare</t>
  </si>
  <si>
    <t>6KS000</t>
  </si>
  <si>
    <t>6KS001</t>
  </si>
  <si>
    <t>Ej äskat</t>
  </si>
  <si>
    <t>Kulturslöjd - tradition, hantverk och nytänkande</t>
  </si>
  <si>
    <t>Ännu ej klassificerad?</t>
  </si>
  <si>
    <t>Folkmusikdidaktik</t>
  </si>
  <si>
    <t>V08</t>
  </si>
  <si>
    <t>H08</t>
  </si>
  <si>
    <t>H03</t>
  </si>
  <si>
    <t>V07</t>
  </si>
  <si>
    <t>H10</t>
  </si>
  <si>
    <t>H191-15</t>
  </si>
  <si>
    <t>H1916-20:V201-15</t>
  </si>
  <si>
    <t>H1916-20</t>
  </si>
  <si>
    <t>H191-10</t>
  </si>
  <si>
    <t>H1911-20</t>
  </si>
  <si>
    <t>H1913-16</t>
  </si>
  <si>
    <t>H1917-20</t>
  </si>
  <si>
    <t>H191-5</t>
  </si>
  <si>
    <t>H196-12</t>
  </si>
  <si>
    <t>H191-20</t>
  </si>
  <si>
    <t>H1911-15</t>
  </si>
  <si>
    <t>H196-10</t>
  </si>
  <si>
    <t>H191-4</t>
  </si>
  <si>
    <t>H195</t>
  </si>
  <si>
    <t>H196-15</t>
  </si>
  <si>
    <t>H198-12</t>
  </si>
  <si>
    <t>H1917-20:V201-3</t>
  </si>
  <si>
    <t>H191-7</t>
  </si>
  <si>
    <t>H194-10</t>
  </si>
  <si>
    <t>H1914-20</t>
  </si>
  <si>
    <t>H1911-13</t>
  </si>
  <si>
    <t>H1911-12</t>
  </si>
  <si>
    <t>H1913-15</t>
  </si>
  <si>
    <t>H195-10</t>
  </si>
  <si>
    <t>H194-8</t>
  </si>
  <si>
    <t>H1915-17</t>
  </si>
  <si>
    <t>H191-3</t>
  </si>
  <si>
    <t>H199-11</t>
  </si>
  <si>
    <t>H1912-14</t>
  </si>
  <si>
    <t>H1918-20</t>
  </si>
  <si>
    <t>H1916-20:V201-9</t>
  </si>
  <si>
    <t>H198-20</t>
  </si>
  <si>
    <t>H191-20:V201-20</t>
  </si>
  <si>
    <t>Läser 7,5 av 30 denna termin</t>
  </si>
  <si>
    <t>Läser 12,7 av 15 hp denna termin</t>
  </si>
  <si>
    <t>FHOV</t>
  </si>
  <si>
    <t>GRHF</t>
  </si>
  <si>
    <t>FHHK</t>
  </si>
  <si>
    <t>FHSL</t>
  </si>
  <si>
    <t>ESTE</t>
  </si>
  <si>
    <t>GYHF</t>
  </si>
  <si>
    <t>FHFK</t>
  </si>
  <si>
    <t>GYFH</t>
  </si>
  <si>
    <t>AUGUSTI 2019</t>
  </si>
  <si>
    <t>Kursintäkter
totalt 2019 fr juni</t>
  </si>
  <si>
    <t>Lokalintäkt
totalt 2019 fr juni</t>
  </si>
  <si>
    <t>Kursintäkter
Utfördelat t o m aug -19</t>
  </si>
  <si>
    <t>Lokalintäkter
Utfördelat t o m aug-19</t>
  </si>
  <si>
    <t>Tot utfördelat t o m aug -19</t>
  </si>
  <si>
    <t>SEPTEMBER 2019</t>
  </si>
  <si>
    <t>Utfördelat
t o m aug-19</t>
  </si>
  <si>
    <t>Att utfördela fr o m sept -19</t>
  </si>
  <si>
    <t>Kursintäkter
totalt 2019 (uppdat sept -19)</t>
  </si>
  <si>
    <t>Lokalintäkt
totalt 2019 (uppdat sept -19)</t>
  </si>
  <si>
    <r>
      <t>Resurser till Grundutbildning - preliminär</t>
    </r>
    <r>
      <rPr>
        <b/>
        <sz val="10"/>
        <rFont val="Times New Roman"/>
        <family val="1"/>
      </rPr>
      <t xml:space="preserve"> (uppdaterad sept -19)</t>
    </r>
  </si>
  <si>
    <t>Utfördelat t o m aug -19</t>
  </si>
  <si>
    <t>Utfördelas per månad fr o m sept 2019</t>
  </si>
  <si>
    <t>RTV 2019 - Preliminär fr o m september månad</t>
  </si>
  <si>
    <r>
      <rPr>
        <b/>
        <sz val="14"/>
        <rFont val="Times New Roman"/>
        <family val="1"/>
      </rPr>
      <t>HST - ht -19</t>
    </r>
    <r>
      <rPr>
        <sz val="14"/>
        <rFont val="Times New Roman"/>
        <family val="1"/>
      </rPr>
      <t xml:space="preserve">: Baseras på uppgifterna ur studieplansverktyget </t>
    </r>
    <r>
      <rPr>
        <b/>
        <sz val="14"/>
        <rFont val="Times New Roman"/>
        <family val="1"/>
      </rPr>
      <t>SP</t>
    </r>
    <r>
      <rPr>
        <sz val="14"/>
        <rFont val="Times New Roman"/>
        <family val="1"/>
      </rPr>
      <t xml:space="preserve"> (fd Valwebben) för antagna ht -19 och tidigare samt beslut om fristående kurser (äskade samt beställda). Observera att ni bör ta hänsyn till hur relevanta siffrorna är när det gäller de kurser som er institution äskat att ge som fristående, en annan osäkerhet är eventuella avhopp under 2019 som kan ske av studenter som antagits före 2019. Generellt kan sägas att siffrorna ligger något högt i denna preliminära RTV jämfört med vad som troligen kommer att visa sig vid slutavräkningen.</t>
    </r>
  </si>
  <si>
    <t>Enligt SP 190924</t>
  </si>
  <si>
    <t>Ö-vik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</si>
</sst>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4" formatCode="_-* #,##0.00\ &quot;kr&quot;_-;\-* #,##0.00\ &quot;kr&quot;_-;_-* &quot;-&quot;??\ &quot;kr&quot;_-;_-@_-"/>
    <numFmt numFmtId="164" formatCode="_-* #,##0.00\ _k_r_-;\-* #,##0.00\ _k_r_-;_-* &quot;-&quot;??\ _k_r_-;_-@_-"/>
    <numFmt numFmtId="165" formatCode="#,##0.0"/>
    <numFmt numFmtId="166" formatCode="0.0"/>
    <numFmt numFmtId="167" formatCode="0.000"/>
    <numFmt numFmtId="168" formatCode="#,##0_ ;[Red]\-#,##0\ "/>
    <numFmt numFmtId="169" formatCode="#,##0&quot; tkr&quot;"/>
    <numFmt numFmtId="170" formatCode="#,##0&quot; tkr&quot;;[Red]\-#,##0&quot; tkr&quot;"/>
    <numFmt numFmtId="171" formatCode="#,##0,&quot; tkr&quot;;[Red]\-#,##0,&quot; tkr&quot;"/>
    <numFmt numFmtId="172" formatCode="#,##0.0_ ;[Red]\-#,##0.0\ "/>
    <numFmt numFmtId="173" formatCode="0.0%"/>
    <numFmt numFmtId="174" formatCode="#,##0.000"/>
  </numFmts>
  <fonts count="72" x14ac:knownFonts="1">
    <font>
      <sz val="11"/>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Times New Roman"/>
      <family val="1"/>
    </font>
    <font>
      <sz val="11"/>
      <name val="Times New Roman"/>
      <family val="1"/>
    </font>
    <font>
      <b/>
      <sz val="11"/>
      <name val="Times New Roman"/>
      <family val="1"/>
    </font>
    <font>
      <b/>
      <sz val="16"/>
      <name val="Times New Roman"/>
      <family val="1"/>
    </font>
    <font>
      <sz val="12"/>
      <name val="Times New Roman"/>
      <family val="1"/>
    </font>
    <font>
      <b/>
      <sz val="12"/>
      <name val="Times New Roman"/>
      <family val="1"/>
    </font>
    <font>
      <sz val="11"/>
      <name val="Times New Roman"/>
      <family val="1"/>
    </font>
    <font>
      <i/>
      <sz val="11"/>
      <name val="Times New Roman"/>
      <family val="1"/>
    </font>
    <font>
      <sz val="8"/>
      <name val="Times New Roman"/>
      <family val="1"/>
    </font>
    <font>
      <b/>
      <sz val="10"/>
      <name val="Arial"/>
      <family val="2"/>
    </font>
    <font>
      <sz val="10"/>
      <name val="Arial"/>
      <family val="2"/>
    </font>
    <font>
      <sz val="8"/>
      <name val="Arial"/>
      <family val="2"/>
    </font>
    <font>
      <sz val="10"/>
      <name val="Arial"/>
      <family val="2"/>
    </font>
    <font>
      <sz val="11"/>
      <color indexed="8"/>
      <name val="Calibri"/>
      <family val="2"/>
    </font>
    <font>
      <sz val="11"/>
      <color indexed="9"/>
      <name val="Calibri"/>
      <family val="2"/>
    </font>
    <font>
      <b/>
      <sz val="11"/>
      <color indexed="52"/>
      <name val="Calibri"/>
      <family val="2"/>
    </font>
    <font>
      <sz val="11"/>
      <color indexed="17"/>
      <name val="Calibri"/>
      <family val="2"/>
    </font>
    <font>
      <sz val="11"/>
      <color indexed="20"/>
      <name val="Calibri"/>
      <family val="2"/>
    </font>
    <font>
      <i/>
      <sz val="11"/>
      <color indexed="23"/>
      <name val="Calibri"/>
      <family val="2"/>
    </font>
    <font>
      <sz val="11"/>
      <color indexed="62"/>
      <name val="Calibri"/>
      <family val="2"/>
    </font>
    <font>
      <b/>
      <sz val="11"/>
      <color indexed="9"/>
      <name val="Calibri"/>
      <family val="2"/>
    </font>
    <font>
      <sz val="11"/>
      <color indexed="52"/>
      <name val="Calibri"/>
      <family val="2"/>
    </font>
    <font>
      <sz val="11"/>
      <color indexed="6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63"/>
      <name val="Calibri"/>
      <family val="2"/>
    </font>
    <font>
      <sz val="11"/>
      <color indexed="10"/>
      <name val="Calibri"/>
      <family val="2"/>
    </font>
    <font>
      <b/>
      <sz val="8"/>
      <name val="Arial"/>
      <family val="2"/>
    </font>
    <font>
      <sz val="12"/>
      <name val="Arial"/>
      <family val="2"/>
    </font>
    <font>
      <b/>
      <sz val="12"/>
      <name val="Arial"/>
      <family val="2"/>
    </font>
    <font>
      <b/>
      <sz val="14"/>
      <name val="Times New Roman"/>
      <family val="1"/>
    </font>
    <font>
      <b/>
      <sz val="10"/>
      <color indexed="81"/>
      <name val="Tahoma"/>
      <family val="2"/>
    </font>
    <font>
      <sz val="8"/>
      <name val="Times New Roman"/>
      <family val="1"/>
    </font>
    <font>
      <sz val="8"/>
      <name val="Times New Roman"/>
      <family val="1"/>
    </font>
    <font>
      <b/>
      <sz val="11"/>
      <color theme="1"/>
      <name val="Calibri"/>
      <family val="2"/>
      <scheme val="minor"/>
    </font>
    <font>
      <b/>
      <sz val="12"/>
      <color rgb="FF0070C0"/>
      <name val="Times New Roman"/>
      <family val="1"/>
    </font>
    <font>
      <sz val="10"/>
      <name val="Garamond"/>
      <family val="1"/>
    </font>
    <font>
      <sz val="11"/>
      <color theme="1"/>
      <name val="Times New Roman"/>
      <family val="1"/>
    </font>
    <font>
      <b/>
      <sz val="11"/>
      <color theme="0"/>
      <name val="Times New Roman"/>
      <family val="1"/>
    </font>
    <font>
      <i/>
      <sz val="11"/>
      <color theme="1"/>
      <name val="Garamond"/>
      <family val="1"/>
    </font>
    <font>
      <b/>
      <i/>
      <sz val="11"/>
      <color theme="1"/>
      <name val="Calibri"/>
      <family val="2"/>
      <scheme val="minor"/>
    </font>
    <font>
      <b/>
      <sz val="11"/>
      <color theme="0"/>
      <name val="Garamond"/>
      <family val="1"/>
    </font>
    <font>
      <b/>
      <sz val="12"/>
      <color theme="0"/>
      <name val="Calibri"/>
      <family val="2"/>
    </font>
    <font>
      <b/>
      <sz val="12"/>
      <color theme="1"/>
      <name val="Calibri"/>
      <family val="2"/>
      <scheme val="minor"/>
    </font>
    <font>
      <u/>
      <sz val="11"/>
      <color theme="10"/>
      <name val="Times New Roman"/>
      <family val="1"/>
    </font>
    <font>
      <sz val="11"/>
      <name val="Wingdings"/>
      <charset val="2"/>
    </font>
    <font>
      <sz val="9"/>
      <color indexed="81"/>
      <name val="Tahoma"/>
      <family val="2"/>
    </font>
    <font>
      <b/>
      <sz val="9"/>
      <color indexed="81"/>
      <name val="Tahoma"/>
      <family val="2"/>
    </font>
    <font>
      <b/>
      <i/>
      <sz val="11"/>
      <name val="Times New Roman"/>
      <family val="1"/>
    </font>
    <font>
      <sz val="11"/>
      <color rgb="FFFF0000"/>
      <name val="Times New Roman"/>
      <family val="1"/>
    </font>
    <font>
      <sz val="14"/>
      <name val="Times New Roman"/>
      <family val="1"/>
    </font>
    <font>
      <u/>
      <sz val="11"/>
      <color theme="11"/>
      <name val="Times New Roman"/>
      <family val="1"/>
    </font>
    <font>
      <sz val="12"/>
      <color rgb="FF000000"/>
      <name val="Calibri"/>
      <family val="2"/>
    </font>
    <font>
      <sz val="11"/>
      <color theme="1"/>
      <name val="Times New Roman"/>
      <family val="1"/>
    </font>
    <font>
      <sz val="11"/>
      <name val="Times New Roman"/>
      <family val="1"/>
    </font>
    <font>
      <sz val="12"/>
      <color rgb="FFFF0000"/>
      <name val="Times New Roman"/>
      <family val="1"/>
    </font>
    <font>
      <i/>
      <sz val="12"/>
      <name val="Times New Roman"/>
      <family val="1"/>
    </font>
    <font>
      <sz val="11"/>
      <name val="Times New Roman"/>
      <family val="1"/>
    </font>
    <font>
      <b/>
      <sz val="10"/>
      <name val="Times New Roman"/>
      <family val="1"/>
    </font>
    <font>
      <sz val="11"/>
      <name val="Calibri"/>
      <family val="2"/>
      <scheme val="minor"/>
    </font>
    <font>
      <i/>
      <sz val="12"/>
      <color rgb="FF000000"/>
      <name val="Calibri"/>
      <family val="2"/>
    </font>
    <font>
      <i/>
      <sz val="14"/>
      <name val="Times New Roman"/>
      <family val="1"/>
    </font>
    <font>
      <b/>
      <sz val="11"/>
      <name val="Times New Roman"/>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6"/>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42"/>
        <bgColor indexed="64"/>
      </patternFill>
    </fill>
    <fill>
      <patternFill patternType="solid">
        <fgColor rgb="FFFFD653"/>
        <bgColor indexed="64"/>
      </patternFill>
    </fill>
    <fill>
      <patternFill patternType="solid">
        <fgColor rgb="FF00B050"/>
        <bgColor indexed="64"/>
      </patternFill>
    </fill>
    <fill>
      <patternFill patternType="solid">
        <fgColor theme="0"/>
        <bgColor indexed="64"/>
      </patternFill>
    </fill>
    <fill>
      <patternFill patternType="solid">
        <fgColor rgb="FF92D050"/>
        <bgColor indexed="64"/>
      </patternFill>
    </fill>
    <fill>
      <patternFill patternType="solid">
        <fgColor rgb="FFCCFFFF"/>
        <bgColor indexed="64"/>
      </patternFill>
    </fill>
    <fill>
      <patternFill patternType="solid">
        <fgColor rgb="FF99FFCC"/>
        <bgColor indexed="64"/>
      </patternFill>
    </fill>
    <fill>
      <patternFill patternType="solid">
        <fgColor rgb="FFFFFF00"/>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FFFCC"/>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CCFFCC"/>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FFC000"/>
        <bgColor indexed="64"/>
      </patternFill>
    </fill>
  </fills>
  <borders count="121">
    <border>
      <left/>
      <right/>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style="medium">
        <color auto="1"/>
      </left>
      <right/>
      <top style="medium">
        <color auto="1"/>
      </top>
      <bottom style="medium">
        <color auto="1"/>
      </bottom>
      <diagonal/>
    </border>
    <border>
      <left style="thin">
        <color auto="1"/>
      </left>
      <right style="thin">
        <color auto="1"/>
      </right>
      <top/>
      <bottom/>
      <diagonal/>
    </border>
    <border>
      <left style="medium">
        <color auto="1"/>
      </left>
      <right style="medium">
        <color auto="1"/>
      </right>
      <top style="thin">
        <color auto="1"/>
      </top>
      <bottom style="medium">
        <color auto="1"/>
      </bottom>
      <diagonal/>
    </border>
    <border>
      <left/>
      <right/>
      <top style="medium">
        <color auto="1"/>
      </top>
      <bottom style="medium">
        <color auto="1"/>
      </bottom>
      <diagonal/>
    </border>
    <border>
      <left style="thin">
        <color auto="1"/>
      </left>
      <right/>
      <top style="thin">
        <color auto="1"/>
      </top>
      <bottom/>
      <diagonal/>
    </border>
    <border>
      <left/>
      <right style="medium">
        <color auto="1"/>
      </right>
      <top style="medium">
        <color auto="1"/>
      </top>
      <bottom style="medium">
        <color auto="1"/>
      </bottom>
      <diagonal/>
    </border>
    <border>
      <left/>
      <right/>
      <top/>
      <bottom style="thin">
        <color indexed="8"/>
      </bottom>
      <diagonal/>
    </border>
    <border>
      <left style="thick">
        <color theme="5" tint="-0.499984740745262"/>
      </left>
      <right style="thin">
        <color auto="1"/>
      </right>
      <top/>
      <bottom style="thick">
        <color theme="5" tint="-0.499984740745262"/>
      </bottom>
      <diagonal/>
    </border>
    <border>
      <left style="thin">
        <color auto="1"/>
      </left>
      <right style="thin">
        <color auto="1"/>
      </right>
      <top/>
      <bottom style="thick">
        <color theme="5" tint="-0.499984740745262"/>
      </bottom>
      <diagonal/>
    </border>
    <border>
      <left style="thick">
        <color theme="5" tint="-0.499984740745262"/>
      </left>
      <right style="thin">
        <color auto="1"/>
      </right>
      <top style="thick">
        <color theme="5" tint="-0.499984740745262"/>
      </top>
      <bottom style="thin">
        <color auto="1"/>
      </bottom>
      <diagonal/>
    </border>
    <border>
      <left style="medium">
        <color auto="1"/>
      </left>
      <right style="thin">
        <color auto="1"/>
      </right>
      <top style="thick">
        <color theme="5" tint="-0.499984740745262"/>
      </top>
      <bottom style="thin">
        <color auto="1"/>
      </bottom>
      <diagonal/>
    </border>
    <border>
      <left style="medium">
        <color auto="1"/>
      </left>
      <right style="thick">
        <color theme="5" tint="-0.499984740745262"/>
      </right>
      <top style="thick">
        <color theme="5" tint="-0.499984740745262"/>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top style="thin">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right/>
      <top style="thin">
        <color auto="1"/>
      </top>
      <bottom style="medium">
        <color auto="1"/>
      </bottom>
      <diagonal/>
    </border>
    <border>
      <left style="thin">
        <color auto="1"/>
      </left>
      <right/>
      <top style="thin">
        <color auto="1"/>
      </top>
      <bottom style="medium">
        <color auto="1"/>
      </bottom>
      <diagonal/>
    </border>
    <border>
      <left style="medium">
        <color auto="1"/>
      </left>
      <right/>
      <top style="thick">
        <color theme="5" tint="-0.499984740745262"/>
      </top>
      <bottom style="thin">
        <color auto="1"/>
      </bottom>
      <diagonal/>
    </border>
    <border>
      <left/>
      <right style="thin">
        <color auto="1"/>
      </right>
      <top style="thick">
        <color theme="5" tint="-0.499984740745262"/>
      </top>
      <bottom style="thin">
        <color auto="1"/>
      </bottom>
      <diagonal/>
    </border>
    <border>
      <left/>
      <right style="thin">
        <color auto="1"/>
      </right>
      <top/>
      <bottom style="thick">
        <color theme="5" tint="-0.499984740745262"/>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medium">
        <color auto="1"/>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thin">
        <color auto="1"/>
      </left>
      <right style="medium">
        <color auto="1"/>
      </right>
      <top/>
      <bottom style="medium">
        <color auto="1"/>
      </bottom>
      <diagonal/>
    </border>
    <border>
      <left style="thin">
        <color auto="1"/>
      </left>
      <right style="medium">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style="thick">
        <color auto="1"/>
      </left>
      <right style="thick">
        <color auto="1"/>
      </right>
      <top style="thick">
        <color auto="1"/>
      </top>
      <bottom style="thick">
        <color auto="1"/>
      </bottom>
      <diagonal/>
    </border>
    <border>
      <left style="thin">
        <color auto="1"/>
      </left>
      <right/>
      <top/>
      <bottom/>
      <diagonal/>
    </border>
    <border>
      <left/>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auto="1"/>
      </left>
      <right/>
      <top style="thin">
        <color indexed="64"/>
      </top>
      <bottom/>
      <diagonal/>
    </border>
    <border>
      <left/>
      <right style="thin">
        <color auto="1"/>
      </right>
      <top/>
      <bottom/>
      <diagonal/>
    </border>
    <border>
      <left/>
      <right style="thin">
        <color indexed="64"/>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ck">
        <color theme="5" tint="-0.499984740745262"/>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ck">
        <color theme="5" tint="-0.499984740745262"/>
      </right>
      <top style="thin">
        <color auto="1"/>
      </top>
      <bottom style="thin">
        <color auto="1"/>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style="medium">
        <color auto="1"/>
      </right>
      <top style="thin">
        <color auto="1"/>
      </top>
      <bottom style="thin">
        <color auto="1"/>
      </bottom>
      <diagonal/>
    </border>
    <border>
      <left style="thin">
        <color auto="1"/>
      </left>
      <right style="medium">
        <color auto="1"/>
      </right>
      <top style="medium">
        <color auto="1"/>
      </top>
      <bottom style="medium">
        <color auto="1"/>
      </bottom>
      <diagonal/>
    </border>
    <border>
      <left style="thin">
        <color auto="1"/>
      </left>
      <right style="thick">
        <color theme="5" tint="-0.499984740745262"/>
      </right>
      <top style="thin">
        <color auto="1"/>
      </top>
      <bottom style="thin">
        <color auto="1"/>
      </bottom>
      <diagonal/>
    </border>
    <border>
      <left style="thin">
        <color auto="1"/>
      </left>
      <right style="thin">
        <color auto="1"/>
      </right>
      <top/>
      <bottom style="thin">
        <color auto="1"/>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90">
    <xf numFmtId="0" fontId="0"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19" fillId="16" borderId="1" applyNumberFormat="0" applyFont="0" applyAlignment="0" applyProtection="0"/>
    <xf numFmtId="0" fontId="21" fillId="17" borderId="2" applyNumberFormat="0" applyAlignment="0" applyProtection="0"/>
    <xf numFmtId="0" fontId="22" fillId="4" borderId="0" applyNumberFormat="0" applyBorder="0" applyAlignment="0" applyProtection="0"/>
    <xf numFmtId="0" fontId="23" fillId="3"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21" borderId="0" applyNumberFormat="0" applyBorder="0" applyAlignment="0" applyProtection="0"/>
    <xf numFmtId="0" fontId="24" fillId="0" borderId="0" applyNumberFormat="0" applyFill="0" applyBorder="0" applyAlignment="0" applyProtection="0"/>
    <xf numFmtId="0" fontId="25" fillId="7" borderId="2" applyNumberFormat="0" applyAlignment="0" applyProtection="0"/>
    <xf numFmtId="0" fontId="26" fillId="22" borderId="3" applyNumberFormat="0" applyAlignment="0" applyProtection="0"/>
    <xf numFmtId="0" fontId="27" fillId="0" borderId="4" applyNumberFormat="0" applyFill="0" applyAlignment="0" applyProtection="0"/>
    <xf numFmtId="0" fontId="28" fillId="23" borderId="0" applyNumberFormat="0" applyBorder="0" applyAlignment="0" applyProtection="0"/>
    <xf numFmtId="0" fontId="16" fillId="0" borderId="0"/>
    <xf numFmtId="0" fontId="16" fillId="0" borderId="0"/>
    <xf numFmtId="0" fontId="16" fillId="0" borderId="0"/>
    <xf numFmtId="0" fontId="16" fillId="0" borderId="0"/>
    <xf numFmtId="9" fontId="7" fillId="0" borderId="0" applyFont="0" applyFill="0" applyBorder="0" applyAlignment="0" applyProtection="0"/>
    <xf numFmtId="9" fontId="16" fillId="0" borderId="0" applyFont="0" applyFill="0" applyBorder="0" applyAlignment="0" applyProtection="0"/>
    <xf numFmtId="0" fontId="29" fillId="0" borderId="0" applyNumberFormat="0" applyFill="0" applyBorder="0" applyAlignment="0" applyProtection="0"/>
    <xf numFmtId="0" fontId="30" fillId="0" borderId="5" applyNumberFormat="0" applyFill="0" applyAlignment="0" applyProtection="0"/>
    <xf numFmtId="0" fontId="31" fillId="0" borderId="6" applyNumberFormat="0" applyFill="0" applyAlignment="0" applyProtection="0"/>
    <xf numFmtId="0" fontId="32" fillId="0" borderId="7" applyNumberFormat="0" applyFill="0" applyAlignment="0" applyProtection="0"/>
    <xf numFmtId="0" fontId="32" fillId="0" borderId="0" applyNumberFormat="0" applyFill="0" applyBorder="0" applyAlignment="0" applyProtection="0"/>
    <xf numFmtId="0" fontId="33" fillId="0" borderId="8" applyNumberFormat="0" applyFill="0" applyAlignment="0" applyProtection="0"/>
    <xf numFmtId="0" fontId="34" fillId="17" borderId="9" applyNumberFormat="0" applyAlignment="0" applyProtection="0"/>
    <xf numFmtId="0" fontId="35" fillId="0" borderId="0" applyNumberFormat="0" applyFill="0" applyBorder="0" applyAlignment="0" applyProtection="0"/>
    <xf numFmtId="0" fontId="53" fillId="0" borderId="0" applyNumberFormat="0" applyFill="0" applyBorder="0" applyAlignment="0" applyProtection="0">
      <alignment vertical="top"/>
      <protection locked="0"/>
    </xf>
    <xf numFmtId="0" fontId="6" fillId="0" borderId="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4" fontId="63" fillId="0" borderId="0" applyFont="0" applyFill="0" applyBorder="0" applyAlignment="0" applyProtection="0"/>
    <xf numFmtId="0" fontId="5" fillId="0" borderId="0"/>
    <xf numFmtId="44" fontId="66" fillId="0" borderId="0" applyFont="0" applyFill="0" applyBorder="0" applyAlignment="0" applyProtection="0"/>
    <xf numFmtId="0" fontId="4" fillId="0" borderId="0"/>
    <xf numFmtId="0" fontId="2" fillId="0" borderId="0"/>
  </cellStyleXfs>
  <cellXfs count="536">
    <xf numFmtId="0" fontId="0" fillId="0" borderId="0" xfId="0"/>
    <xf numFmtId="0" fontId="8" fillId="0" borderId="0" xfId="0" applyFont="1"/>
    <xf numFmtId="0" fontId="9" fillId="0" borderId="0" xfId="0" applyFont="1" applyProtection="1"/>
    <xf numFmtId="0" fontId="10" fillId="0" borderId="0" xfId="0" applyFont="1" applyProtection="1"/>
    <xf numFmtId="0" fontId="11" fillId="0" borderId="10" xfId="0" applyFont="1" applyBorder="1" applyAlignment="1" applyProtection="1"/>
    <xf numFmtId="0" fontId="11" fillId="0" borderId="0" xfId="0" applyFont="1" applyProtection="1"/>
    <xf numFmtId="0" fontId="12" fillId="0" borderId="0" xfId="0" applyFont="1" applyProtection="1"/>
    <xf numFmtId="0" fontId="10" fillId="0" borderId="0" xfId="0" applyFont="1" applyFill="1" applyProtection="1"/>
    <xf numFmtId="0" fontId="12" fillId="0" borderId="0" xfId="0" applyFont="1" applyFill="1" applyProtection="1"/>
    <xf numFmtId="0" fontId="0" fillId="0" borderId="0" xfId="0" applyFill="1" applyBorder="1" applyProtection="1"/>
    <xf numFmtId="0" fontId="11" fillId="0" borderId="0" xfId="0" applyFont="1" applyFill="1" applyProtection="1"/>
    <xf numFmtId="0" fontId="18" fillId="0" borderId="0" xfId="0" applyFont="1" applyBorder="1"/>
    <xf numFmtId="0" fontId="18" fillId="0" borderId="0" xfId="0" applyFont="1" applyFill="1" applyBorder="1"/>
    <xf numFmtId="0" fontId="15" fillId="0" borderId="0" xfId="0" applyFont="1" applyBorder="1"/>
    <xf numFmtId="0" fontId="0" fillId="0" borderId="0" xfId="0" applyBorder="1" applyAlignment="1">
      <alignment horizontal="left"/>
    </xf>
    <xf numFmtId="3" fontId="0" fillId="0" borderId="0" xfId="0" applyNumberFormat="1"/>
    <xf numFmtId="0" fontId="8" fillId="0" borderId="10" xfId="0" applyFont="1" applyFill="1" applyBorder="1" applyProtection="1"/>
    <xf numFmtId="0" fontId="8" fillId="0" borderId="0" xfId="0" applyFont="1" applyFill="1" applyProtection="1"/>
    <xf numFmtId="0" fontId="0" fillId="0" borderId="0" xfId="0" applyBorder="1"/>
    <xf numFmtId="9" fontId="0" fillId="0" borderId="0" xfId="0" applyNumberFormat="1"/>
    <xf numFmtId="0" fontId="11" fillId="0" borderId="11" xfId="0" applyFont="1" applyBorder="1" applyAlignment="1" applyProtection="1"/>
    <xf numFmtId="0" fontId="13" fillId="0" borderId="0" xfId="0" applyFont="1" applyFill="1" applyProtection="1"/>
    <xf numFmtId="0" fontId="0" fillId="0" borderId="0" xfId="0" applyFill="1" applyProtection="1"/>
    <xf numFmtId="0" fontId="39" fillId="0" borderId="14" xfId="0" applyFont="1" applyFill="1" applyBorder="1" applyAlignment="1" applyProtection="1">
      <alignment horizontal="center"/>
    </xf>
    <xf numFmtId="0" fontId="12" fillId="0" borderId="0" xfId="0" applyFont="1" applyBorder="1" applyProtection="1"/>
    <xf numFmtId="0" fontId="7" fillId="0" borderId="0" xfId="0" applyFont="1"/>
    <xf numFmtId="168" fontId="0" fillId="0" borderId="0" xfId="0" applyNumberFormat="1"/>
    <xf numFmtId="0" fontId="8" fillId="0" borderId="0" xfId="0" applyFont="1" applyBorder="1"/>
    <xf numFmtId="0" fontId="7" fillId="0" borderId="0" xfId="0" applyFont="1" applyAlignment="1">
      <alignment wrapText="1"/>
    </xf>
    <xf numFmtId="0" fontId="0" fillId="0" borderId="0" xfId="0" applyAlignment="1">
      <alignment wrapText="1"/>
    </xf>
    <xf numFmtId="170" fontId="37" fillId="0" borderId="0" xfId="36" applyNumberFormat="1" applyFont="1" applyFill="1" applyBorder="1" applyProtection="1"/>
    <xf numFmtId="0" fontId="0" fillId="0" borderId="0" xfId="0" applyFill="1"/>
    <xf numFmtId="0" fontId="8" fillId="0" borderId="0" xfId="0" applyFont="1" applyFill="1"/>
    <xf numFmtId="0" fontId="39" fillId="0" borderId="0" xfId="0" applyFont="1"/>
    <xf numFmtId="171" fontId="0" fillId="0" borderId="0" xfId="0" applyNumberFormat="1"/>
    <xf numFmtId="171" fontId="8" fillId="0" borderId="15" xfId="0" applyNumberFormat="1" applyFont="1" applyBorder="1"/>
    <xf numFmtId="0" fontId="43" fillId="0" borderId="0" xfId="0" applyFont="1"/>
    <xf numFmtId="0" fontId="43" fillId="0" borderId="0" xfId="0" applyFont="1" applyFill="1"/>
    <xf numFmtId="0" fontId="0" fillId="0" borderId="0" xfId="0" applyNumberFormat="1"/>
    <xf numFmtId="0" fontId="6" fillId="0" borderId="0" xfId="0" applyFont="1"/>
    <xf numFmtId="9" fontId="0" fillId="0" borderId="0" xfId="0" applyNumberFormat="1" applyFill="1"/>
    <xf numFmtId="0" fontId="0" fillId="0" borderId="0" xfId="0" applyNumberFormat="1" applyFill="1"/>
    <xf numFmtId="3" fontId="0" fillId="0" borderId="0" xfId="0" applyNumberFormat="1" applyFill="1"/>
    <xf numFmtId="0" fontId="16" fillId="0" borderId="0" xfId="0" applyFont="1" applyFill="1" applyBorder="1"/>
    <xf numFmtId="2" fontId="17" fillId="0" borderId="0" xfId="0" applyNumberFormat="1" applyFont="1" applyFill="1" applyAlignment="1">
      <alignment horizontal="right"/>
    </xf>
    <xf numFmtId="2" fontId="0" fillId="0" borderId="0" xfId="0" applyNumberFormat="1" applyFill="1" applyAlignment="1">
      <alignment horizontal="right"/>
    </xf>
    <xf numFmtId="0" fontId="6" fillId="0" borderId="0" xfId="0" applyFont="1" applyProtection="1"/>
    <xf numFmtId="3" fontId="45" fillId="0" borderId="0" xfId="0" applyNumberFormat="1" applyFont="1" applyBorder="1" applyAlignment="1">
      <alignment wrapText="1"/>
    </xf>
    <xf numFmtId="3" fontId="45" fillId="0" borderId="0" xfId="0" applyNumberFormat="1" applyFont="1" applyBorder="1"/>
    <xf numFmtId="3" fontId="0" fillId="0" borderId="0" xfId="0" applyNumberFormat="1" applyBorder="1"/>
    <xf numFmtId="9" fontId="0" fillId="0" borderId="0" xfId="38" applyFont="1" applyBorder="1"/>
    <xf numFmtId="0" fontId="16" fillId="0" borderId="0" xfId="37" applyFont="1" applyFill="1" applyBorder="1"/>
    <xf numFmtId="10" fontId="0" fillId="0" borderId="0" xfId="0" applyNumberFormat="1"/>
    <xf numFmtId="0" fontId="47" fillId="26" borderId="24" xfId="0" applyFont="1" applyFill="1" applyBorder="1"/>
    <xf numFmtId="3" fontId="51" fillId="26" borderId="25" xfId="0" applyNumberFormat="1" applyFont="1" applyFill="1" applyBorder="1" applyAlignment="1">
      <alignment wrapText="1"/>
    </xf>
    <xf numFmtId="3" fontId="50" fillId="26" borderId="26" xfId="0" applyNumberFormat="1" applyFont="1" applyFill="1" applyBorder="1" applyAlignment="1">
      <alignment wrapText="1"/>
    </xf>
    <xf numFmtId="3" fontId="50" fillId="26" borderId="27" xfId="0" applyNumberFormat="1" applyFont="1" applyFill="1" applyBorder="1"/>
    <xf numFmtId="3" fontId="50" fillId="26" borderId="27" xfId="0" applyNumberFormat="1" applyFont="1" applyFill="1" applyBorder="1" applyAlignment="1">
      <alignment wrapText="1"/>
    </xf>
    <xf numFmtId="3" fontId="50" fillId="26" borderId="28" xfId="0" applyNumberFormat="1" applyFont="1" applyFill="1" applyBorder="1"/>
    <xf numFmtId="0" fontId="6" fillId="0" borderId="0" xfId="0" applyFont="1" applyFill="1"/>
    <xf numFmtId="0" fontId="16" fillId="0" borderId="0" xfId="0" applyFont="1" applyBorder="1"/>
    <xf numFmtId="0" fontId="0" fillId="0" borderId="10" xfId="0" applyFill="1" applyBorder="1" applyProtection="1"/>
    <xf numFmtId="0" fontId="0" fillId="0" borderId="0" xfId="0" applyFont="1" applyFill="1"/>
    <xf numFmtId="0" fontId="0" fillId="0" borderId="0" xfId="0" pivotButton="1"/>
    <xf numFmtId="0" fontId="6" fillId="0" borderId="0" xfId="0" applyFont="1" applyBorder="1"/>
    <xf numFmtId="3" fontId="6" fillId="0" borderId="0" xfId="0" applyNumberFormat="1" applyFont="1" applyBorder="1"/>
    <xf numFmtId="3" fontId="6" fillId="0" borderId="0" xfId="0" applyNumberFormat="1" applyFont="1" applyFill="1" applyBorder="1"/>
    <xf numFmtId="0" fontId="6" fillId="0" borderId="21" xfId="0" applyFont="1" applyBorder="1"/>
    <xf numFmtId="0" fontId="8" fillId="0" borderId="0" xfId="0" applyFont="1" applyAlignment="1">
      <alignment wrapText="1"/>
    </xf>
    <xf numFmtId="0" fontId="0" fillId="0" borderId="32" xfId="0" applyBorder="1"/>
    <xf numFmtId="171" fontId="0" fillId="0" borderId="0" xfId="0" applyNumberFormat="1" applyBorder="1"/>
    <xf numFmtId="0" fontId="8" fillId="0" borderId="33" xfId="0" applyFont="1" applyBorder="1" applyAlignment="1">
      <alignment wrapText="1"/>
    </xf>
    <xf numFmtId="0" fontId="8" fillId="0" borderId="34" xfId="0" applyFont="1" applyBorder="1"/>
    <xf numFmtId="0" fontId="8" fillId="0" borderId="30" xfId="0" applyFont="1" applyBorder="1"/>
    <xf numFmtId="0" fontId="0" fillId="0" borderId="29" xfId="0" applyBorder="1"/>
    <xf numFmtId="0" fontId="0" fillId="0" borderId="30" xfId="0" applyBorder="1"/>
    <xf numFmtId="0" fontId="39" fillId="0" borderId="16" xfId="0" applyFont="1" applyBorder="1"/>
    <xf numFmtId="0" fontId="39" fillId="0" borderId="33" xfId="0" applyFont="1" applyBorder="1"/>
    <xf numFmtId="0" fontId="0" fillId="0" borderId="33" xfId="0" applyBorder="1"/>
    <xf numFmtId="0" fontId="0" fillId="0" borderId="34" xfId="0" applyBorder="1"/>
    <xf numFmtId="0" fontId="6" fillId="0" borderId="29" xfId="0" applyFont="1" applyBorder="1"/>
    <xf numFmtId="0" fontId="0" fillId="0" borderId="0" xfId="0" applyBorder="1" applyAlignment="1">
      <alignment horizontal="left" indent="1"/>
    </xf>
    <xf numFmtId="0" fontId="0" fillId="0" borderId="31" xfId="0" applyBorder="1"/>
    <xf numFmtId="0" fontId="10" fillId="0" borderId="38" xfId="0" applyFont="1" applyBorder="1" applyProtection="1"/>
    <xf numFmtId="0" fontId="39" fillId="0" borderId="38" xfId="0" applyFont="1" applyBorder="1" applyProtection="1"/>
    <xf numFmtId="0" fontId="12" fillId="0" borderId="13" xfId="0" applyFont="1" applyBorder="1" applyProtection="1"/>
    <xf numFmtId="0" fontId="6" fillId="0" borderId="12" xfId="0" applyFont="1" applyBorder="1" applyProtection="1"/>
    <xf numFmtId="169" fontId="37" fillId="0" borderId="35" xfId="36" applyNumberFormat="1" applyFont="1" applyFill="1" applyBorder="1" applyProtection="1"/>
    <xf numFmtId="0" fontId="8" fillId="0" borderId="17" xfId="0" applyFont="1" applyBorder="1" applyProtection="1"/>
    <xf numFmtId="0" fontId="6" fillId="0" borderId="20" xfId="0" applyFont="1" applyBorder="1" applyAlignment="1" applyProtection="1">
      <alignment horizontal="left" vertical="center" wrapText="1"/>
    </xf>
    <xf numFmtId="0" fontId="6" fillId="0" borderId="22" xfId="0" applyFont="1" applyBorder="1" applyAlignment="1" applyProtection="1">
      <alignment horizontal="left" vertical="center" wrapText="1"/>
    </xf>
    <xf numFmtId="171" fontId="8" fillId="0" borderId="17" xfId="0" applyNumberFormat="1" applyFont="1" applyBorder="1"/>
    <xf numFmtId="3" fontId="0" fillId="0" borderId="31" xfId="0" applyNumberFormat="1" applyBorder="1"/>
    <xf numFmtId="0" fontId="6" fillId="0" borderId="0" xfId="0" applyFont="1" applyBorder="1" applyProtection="1"/>
    <xf numFmtId="49" fontId="36" fillId="0" borderId="0" xfId="34" applyNumberFormat="1" applyFont="1" applyFill="1" applyAlignment="1">
      <alignment horizontal="left" vertical="center" wrapText="1"/>
    </xf>
    <xf numFmtId="49" fontId="36" fillId="0" borderId="0" xfId="34" applyNumberFormat="1" applyFont="1" applyFill="1" applyAlignment="1">
      <alignment vertical="center" wrapText="1"/>
    </xf>
    <xf numFmtId="0" fontId="36" fillId="0" borderId="0" xfId="34" applyFont="1" applyFill="1" applyAlignment="1">
      <alignment vertical="center" wrapText="1"/>
    </xf>
    <xf numFmtId="0" fontId="54" fillId="0" borderId="0" xfId="0" applyFont="1" applyFill="1" applyProtection="1"/>
    <xf numFmtId="0" fontId="0" fillId="0" borderId="35" xfId="0" applyBorder="1"/>
    <xf numFmtId="0" fontId="0" fillId="0" borderId="40" xfId="0" applyBorder="1"/>
    <xf numFmtId="3" fontId="37" fillId="0" borderId="0" xfId="36" applyNumberFormat="1" applyFont="1" applyFill="1" applyBorder="1" applyProtection="1"/>
    <xf numFmtId="3" fontId="50" fillId="26" borderId="44" xfId="0" applyNumberFormat="1" applyFont="1" applyFill="1" applyBorder="1"/>
    <xf numFmtId="3" fontId="50" fillId="26" borderId="45" xfId="0" applyNumberFormat="1" applyFont="1" applyFill="1" applyBorder="1" applyAlignment="1">
      <alignment wrapText="1"/>
    </xf>
    <xf numFmtId="0" fontId="47" fillId="26" borderId="46" xfId="0" applyFont="1" applyFill="1" applyBorder="1"/>
    <xf numFmtId="0" fontId="0" fillId="0" borderId="0" xfId="0" applyFill="1" applyAlignment="1">
      <alignment wrapText="1"/>
    </xf>
    <xf numFmtId="0" fontId="6" fillId="0" borderId="47" xfId="0" applyFont="1" applyBorder="1"/>
    <xf numFmtId="0" fontId="0" fillId="0" borderId="48" xfId="0" applyBorder="1"/>
    <xf numFmtId="171" fontId="0" fillId="0" borderId="36" xfId="0" applyNumberFormat="1" applyBorder="1"/>
    <xf numFmtId="171" fontId="0" fillId="0" borderId="31" xfId="0" applyNumberFormat="1" applyBorder="1"/>
    <xf numFmtId="171" fontId="0" fillId="0" borderId="37" xfId="0" applyNumberFormat="1" applyBorder="1"/>
    <xf numFmtId="171" fontId="0" fillId="0" borderId="51" xfId="0" applyNumberFormat="1" applyBorder="1"/>
    <xf numFmtId="171" fontId="0" fillId="0" borderId="33" xfId="0" applyNumberFormat="1" applyBorder="1"/>
    <xf numFmtId="171" fontId="0" fillId="0" borderId="52" xfId="0" applyNumberFormat="1" applyBorder="1"/>
    <xf numFmtId="3" fontId="0" fillId="0" borderId="33" xfId="0" applyNumberFormat="1" applyBorder="1"/>
    <xf numFmtId="3" fontId="0" fillId="0" borderId="48" xfId="0" applyNumberFormat="1" applyBorder="1"/>
    <xf numFmtId="3" fontId="0" fillId="0" borderId="49" xfId="0" applyNumberFormat="1" applyBorder="1"/>
    <xf numFmtId="3" fontId="8" fillId="0" borderId="0" xfId="0" applyNumberFormat="1" applyFont="1" applyBorder="1"/>
    <xf numFmtId="3" fontId="0" fillId="0" borderId="37" xfId="0" applyNumberFormat="1" applyBorder="1"/>
    <xf numFmtId="0" fontId="8" fillId="0" borderId="0" xfId="0" applyFont="1" applyBorder="1" applyAlignment="1">
      <alignment wrapText="1"/>
    </xf>
    <xf numFmtId="168" fontId="0" fillId="0" borderId="33" xfId="0" applyNumberFormat="1" applyBorder="1"/>
    <xf numFmtId="168" fontId="0" fillId="0" borderId="0" xfId="0" applyNumberFormat="1" applyBorder="1"/>
    <xf numFmtId="168" fontId="8" fillId="0" borderId="0" xfId="0" applyNumberFormat="1" applyFont="1" applyBorder="1"/>
    <xf numFmtId="0" fontId="8" fillId="0" borderId="16" xfId="0" applyFont="1" applyBorder="1"/>
    <xf numFmtId="0" fontId="8" fillId="0" borderId="33" xfId="0" applyFont="1" applyBorder="1"/>
    <xf numFmtId="0" fontId="8" fillId="0" borderId="51" xfId="0" applyFont="1" applyBorder="1"/>
    <xf numFmtId="3" fontId="8" fillId="0" borderId="33" xfId="0" applyNumberFormat="1" applyFont="1" applyBorder="1"/>
    <xf numFmtId="3" fontId="8" fillId="0" borderId="52" xfId="0" applyNumberFormat="1" applyFont="1" applyBorder="1"/>
    <xf numFmtId="168" fontId="8" fillId="0" borderId="33" xfId="0" applyNumberFormat="1" applyFont="1" applyBorder="1"/>
    <xf numFmtId="3" fontId="0" fillId="0" borderId="30" xfId="0" applyNumberFormat="1" applyBorder="1"/>
    <xf numFmtId="168" fontId="0" fillId="0" borderId="31" xfId="0" applyNumberFormat="1" applyBorder="1"/>
    <xf numFmtId="171" fontId="0" fillId="0" borderId="40" xfId="0" applyNumberFormat="1" applyBorder="1"/>
    <xf numFmtId="171" fontId="8" fillId="0" borderId="41" xfId="0" applyNumberFormat="1" applyFont="1" applyBorder="1"/>
    <xf numFmtId="171" fontId="8" fillId="0" borderId="50" xfId="0" applyNumberFormat="1" applyFont="1" applyBorder="1"/>
    <xf numFmtId="168" fontId="8" fillId="0" borderId="50" xfId="0" applyNumberFormat="1" applyFont="1" applyBorder="1"/>
    <xf numFmtId="3" fontId="8" fillId="0" borderId="50" xfId="0" applyNumberFormat="1" applyFont="1" applyBorder="1"/>
    <xf numFmtId="0" fontId="8" fillId="0" borderId="17" xfId="0" applyFont="1" applyBorder="1"/>
    <xf numFmtId="171" fontId="8" fillId="0" borderId="53" xfId="0" applyNumberFormat="1" applyFont="1" applyBorder="1"/>
    <xf numFmtId="3" fontId="8" fillId="0" borderId="53" xfId="0" applyNumberFormat="1" applyFont="1" applyBorder="1"/>
    <xf numFmtId="0" fontId="6" fillId="0" borderId="43" xfId="0" applyFont="1" applyBorder="1"/>
    <xf numFmtId="0" fontId="0" fillId="0" borderId="42" xfId="0" applyBorder="1"/>
    <xf numFmtId="168" fontId="0" fillId="0" borderId="42" xfId="0" applyNumberFormat="1" applyBorder="1"/>
    <xf numFmtId="168" fontId="0" fillId="0" borderId="54" xfId="0" applyNumberFormat="1" applyBorder="1"/>
    <xf numFmtId="3" fontId="8" fillId="0" borderId="55" xfId="0" applyNumberFormat="1" applyFont="1" applyBorder="1"/>
    <xf numFmtId="171" fontId="8" fillId="0" borderId="18" xfId="0" applyNumberFormat="1" applyFont="1" applyBorder="1"/>
    <xf numFmtId="3" fontId="8" fillId="0" borderId="18" xfId="0" applyNumberFormat="1" applyFont="1" applyBorder="1"/>
    <xf numFmtId="3" fontId="8" fillId="0" borderId="56" xfId="0" applyNumberFormat="1" applyFont="1" applyBorder="1"/>
    <xf numFmtId="171" fontId="0" fillId="0" borderId="34" xfId="0" applyNumberFormat="1" applyBorder="1"/>
    <xf numFmtId="0" fontId="0" fillId="0" borderId="36" xfId="0" applyBorder="1"/>
    <xf numFmtId="0" fontId="0" fillId="0" borderId="37" xfId="0" applyBorder="1"/>
    <xf numFmtId="168" fontId="8" fillId="0" borderId="34" xfId="0" applyNumberFormat="1" applyFont="1" applyBorder="1"/>
    <xf numFmtId="168" fontId="0" fillId="0" borderId="30" xfId="0" applyNumberFormat="1" applyBorder="1"/>
    <xf numFmtId="168" fontId="0" fillId="0" borderId="40" xfId="0" applyNumberFormat="1" applyBorder="1"/>
    <xf numFmtId="168" fontId="8" fillId="0" borderId="30" xfId="0" applyNumberFormat="1" applyFont="1" applyBorder="1"/>
    <xf numFmtId="0" fontId="11" fillId="0" borderId="17" xfId="0" applyFont="1" applyBorder="1"/>
    <xf numFmtId="0" fontId="11" fillId="0" borderId="20" xfId="0" applyFont="1" applyBorder="1"/>
    <xf numFmtId="171" fontId="12" fillId="0" borderId="0" xfId="0" applyNumberFormat="1" applyFont="1" applyProtection="1"/>
    <xf numFmtId="171" fontId="37" fillId="0" borderId="39" xfId="36" applyNumberFormat="1" applyFont="1" applyFill="1" applyBorder="1" applyProtection="1"/>
    <xf numFmtId="171" fontId="38" fillId="24" borderId="15" xfId="36" applyNumberFormat="1" applyFont="1" applyFill="1" applyBorder="1" applyProtection="1"/>
    <xf numFmtId="0" fontId="0" fillId="0" borderId="0" xfId="0" pivotButton="1" applyAlignment="1">
      <alignment wrapText="1"/>
    </xf>
    <xf numFmtId="0" fontId="0" fillId="0" borderId="0" xfId="0" applyFill="1" applyBorder="1"/>
    <xf numFmtId="49" fontId="39" fillId="29" borderId="0" xfId="0" applyNumberFormat="1" applyFont="1" applyFill="1"/>
    <xf numFmtId="0" fontId="57" fillId="0" borderId="0" xfId="0" applyFont="1"/>
    <xf numFmtId="0" fontId="8" fillId="0" borderId="0" xfId="0" applyFont="1" applyAlignment="1">
      <alignment vertical="center" wrapText="1"/>
    </xf>
    <xf numFmtId="0" fontId="0" fillId="0" borderId="58" xfId="0" applyBorder="1"/>
    <xf numFmtId="0" fontId="0" fillId="0" borderId="59" xfId="0" applyBorder="1"/>
    <xf numFmtId="0" fontId="0" fillId="0" borderId="57" xfId="0" applyBorder="1"/>
    <xf numFmtId="168" fontId="58" fillId="0" borderId="0" xfId="0" applyNumberFormat="1" applyFont="1" applyBorder="1"/>
    <xf numFmtId="168" fontId="0" fillId="0" borderId="0" xfId="0" applyNumberFormat="1" applyFill="1" applyBorder="1"/>
    <xf numFmtId="49" fontId="36" fillId="0" borderId="0" xfId="34" applyNumberFormat="1" applyFont="1" applyFill="1" applyAlignment="1" applyProtection="1">
      <alignment vertical="center" wrapText="1"/>
      <protection locked="0"/>
    </xf>
    <xf numFmtId="165" fontId="36" fillId="0" borderId="0" xfId="34" applyNumberFormat="1" applyFont="1" applyFill="1" applyAlignment="1" applyProtection="1">
      <alignment horizontal="right" vertical="center" wrapText="1"/>
      <protection locked="0"/>
    </xf>
    <xf numFmtId="49" fontId="36" fillId="0" borderId="0" xfId="34" applyNumberFormat="1" applyFont="1" applyFill="1" applyAlignment="1" applyProtection="1">
      <alignment horizontal="left" vertical="center" wrapText="1"/>
      <protection locked="0"/>
    </xf>
    <xf numFmtId="0" fontId="36" fillId="0" borderId="0" xfId="34" applyFont="1" applyFill="1" applyBorder="1" applyAlignment="1" applyProtection="1">
      <alignment vertical="center" wrapText="1"/>
      <protection locked="0"/>
    </xf>
    <xf numFmtId="3" fontId="36" fillId="0" borderId="0" xfId="34" applyNumberFormat="1" applyFont="1" applyFill="1" applyBorder="1" applyAlignment="1" applyProtection="1">
      <alignment horizontal="right" vertical="center" wrapText="1"/>
      <protection locked="0"/>
    </xf>
    <xf numFmtId="0" fontId="36" fillId="0" borderId="0" xfId="34" applyNumberFormat="1" applyFont="1" applyFill="1" applyAlignment="1" applyProtection="1">
      <alignment horizontal="left" vertical="center" wrapText="1"/>
      <protection locked="0"/>
    </xf>
    <xf numFmtId="166" fontId="36" fillId="0" borderId="0" xfId="34" applyNumberFormat="1" applyFont="1" applyFill="1" applyAlignment="1" applyProtection="1">
      <alignment horizontal="left" vertical="center" wrapText="1"/>
      <protection locked="0"/>
    </xf>
    <xf numFmtId="2" fontId="36" fillId="0" borderId="0" xfId="34" applyNumberFormat="1" applyFont="1" applyFill="1" applyAlignment="1" applyProtection="1">
      <alignment horizontal="right" vertical="center" wrapText="1"/>
      <protection locked="0"/>
    </xf>
    <xf numFmtId="0" fontId="36" fillId="0" borderId="0" xfId="34" applyFont="1" applyFill="1" applyAlignment="1" applyProtection="1">
      <alignment vertical="center" wrapText="1"/>
      <protection locked="0"/>
    </xf>
    <xf numFmtId="3" fontId="36" fillId="0" borderId="0" xfId="34" applyNumberFormat="1" applyFont="1" applyFill="1" applyAlignment="1" applyProtection="1">
      <alignment vertical="center" wrapText="1"/>
      <protection locked="0"/>
    </xf>
    <xf numFmtId="0" fontId="8" fillId="0" borderId="0" xfId="0" applyFont="1" applyFill="1" applyAlignment="1" applyProtection="1">
      <alignment vertical="center" wrapText="1"/>
      <protection locked="0"/>
    </xf>
    <xf numFmtId="0" fontId="43" fillId="0" borderId="0" xfId="0" applyFont="1" applyFill="1" applyAlignment="1" applyProtection="1">
      <alignment vertical="center" wrapText="1"/>
      <protection locked="0"/>
    </xf>
    <xf numFmtId="0" fontId="44" fillId="0" borderId="39" xfId="0" applyFont="1" applyFill="1" applyBorder="1" applyAlignment="1" applyProtection="1">
      <alignment horizontal="center"/>
    </xf>
    <xf numFmtId="0" fontId="44" fillId="25" borderId="61" xfId="0" applyFont="1" applyFill="1" applyBorder="1" applyAlignment="1" applyProtection="1">
      <alignment horizontal="center"/>
      <protection locked="0"/>
    </xf>
    <xf numFmtId="0" fontId="0" fillId="31" borderId="0" xfId="0" applyFill="1"/>
    <xf numFmtId="171" fontId="0" fillId="32" borderId="0" xfId="0" applyNumberFormat="1" applyFill="1"/>
    <xf numFmtId="0" fontId="0" fillId="0" borderId="63" xfId="0" applyBorder="1"/>
    <xf numFmtId="0" fontId="11" fillId="0" borderId="35" xfId="0" applyFont="1" applyBorder="1" applyProtection="1"/>
    <xf numFmtId="0" fontId="6" fillId="0" borderId="0" xfId="0" applyFont="1" applyFill="1" applyBorder="1"/>
    <xf numFmtId="0" fontId="8" fillId="0" borderId="67" xfId="0" applyFont="1" applyBorder="1"/>
    <xf numFmtId="0" fontId="8" fillId="0" borderId="65" xfId="0" applyFont="1" applyBorder="1"/>
    <xf numFmtId="0" fontId="8" fillId="0" borderId="66" xfId="0" applyFont="1" applyBorder="1"/>
    <xf numFmtId="171" fontId="0" fillId="0" borderId="0" xfId="0" applyNumberFormat="1" applyFill="1" applyBorder="1"/>
    <xf numFmtId="168" fontId="6" fillId="0" borderId="0" xfId="0" applyNumberFormat="1" applyFont="1" applyFill="1" applyBorder="1"/>
    <xf numFmtId="171" fontId="0" fillId="0" borderId="62" xfId="0" applyNumberFormat="1" applyBorder="1"/>
    <xf numFmtId="3" fontId="0" fillId="0" borderId="68" xfId="0" applyNumberFormat="1" applyBorder="1"/>
    <xf numFmtId="0" fontId="8" fillId="0" borderId="62" xfId="0" applyFont="1" applyBorder="1"/>
    <xf numFmtId="3" fontId="8" fillId="0" borderId="68" xfId="0" applyNumberFormat="1" applyFont="1" applyBorder="1"/>
    <xf numFmtId="0" fontId="62" fillId="0" borderId="0" xfId="0" applyFont="1" applyBorder="1"/>
    <xf numFmtId="0" fontId="0" fillId="0" borderId="62" xfId="0" applyBorder="1"/>
    <xf numFmtId="0" fontId="0" fillId="0" borderId="70" xfId="0" applyBorder="1"/>
    <xf numFmtId="0" fontId="0" fillId="0" borderId="71" xfId="0" applyBorder="1"/>
    <xf numFmtId="0" fontId="6" fillId="0" borderId="64" xfId="0" applyFont="1" applyBorder="1"/>
    <xf numFmtId="0" fontId="0" fillId="0" borderId="66" xfId="0" applyBorder="1"/>
    <xf numFmtId="0" fontId="0" fillId="0" borderId="64" xfId="0" applyBorder="1"/>
    <xf numFmtId="0" fontId="6" fillId="0" borderId="70" xfId="0" applyFont="1" applyBorder="1"/>
    <xf numFmtId="0" fontId="0" fillId="0" borderId="72" xfId="0" applyBorder="1"/>
    <xf numFmtId="0" fontId="0" fillId="29" borderId="0" xfId="0" applyFill="1"/>
    <xf numFmtId="164" fontId="0" fillId="0" borderId="0" xfId="85" applyFont="1" applyFill="1"/>
    <xf numFmtId="0" fontId="8" fillId="0" borderId="0" xfId="0" applyFont="1" applyFill="1" applyBorder="1"/>
    <xf numFmtId="164" fontId="0" fillId="0" borderId="0" xfId="85" applyFont="1" applyFill="1" applyBorder="1"/>
    <xf numFmtId="0" fontId="10" fillId="0" borderId="0" xfId="0" applyFont="1" applyBorder="1"/>
    <xf numFmtId="0" fontId="10" fillId="0" borderId="0" xfId="0" applyFont="1" applyBorder="1" applyAlignment="1">
      <alignment horizontal="left" indent="1"/>
    </xf>
    <xf numFmtId="168" fontId="10" fillId="0" borderId="0" xfId="0" applyNumberFormat="1" applyFont="1"/>
    <xf numFmtId="0" fontId="10" fillId="0" borderId="0" xfId="0" applyFont="1"/>
    <xf numFmtId="0" fontId="10" fillId="0" borderId="0" xfId="0" applyFont="1" applyFill="1" applyBorder="1" applyAlignment="1">
      <alignment horizontal="left" indent="1"/>
    </xf>
    <xf numFmtId="0" fontId="10" fillId="0" borderId="58" xfId="0" applyFont="1" applyBorder="1"/>
    <xf numFmtId="168" fontId="64" fillId="0" borderId="58" xfId="0" applyNumberFormat="1" applyFont="1" applyBorder="1"/>
    <xf numFmtId="168" fontId="65" fillId="0" borderId="0" xfId="0" applyNumberFormat="1" applyFont="1"/>
    <xf numFmtId="0" fontId="65" fillId="0" borderId="0" xfId="0" applyFont="1"/>
    <xf numFmtId="0" fontId="10" fillId="0" borderId="0" xfId="0" applyFont="1" applyFill="1"/>
    <xf numFmtId="168" fontId="10" fillId="0" borderId="0" xfId="0" applyNumberFormat="1" applyFont="1" applyFill="1"/>
    <xf numFmtId="168" fontId="65" fillId="0" borderId="0" xfId="0" applyNumberFormat="1" applyFont="1" applyFill="1"/>
    <xf numFmtId="0" fontId="10" fillId="0" borderId="58" xfId="0" applyFont="1" applyFill="1" applyBorder="1" applyAlignment="1">
      <alignment horizontal="left" indent="1"/>
    </xf>
    <xf numFmtId="168" fontId="11" fillId="0" borderId="58" xfId="0" applyNumberFormat="1" applyFont="1" applyBorder="1"/>
    <xf numFmtId="168" fontId="10" fillId="0" borderId="58" xfId="0" applyNumberFormat="1" applyFont="1" applyBorder="1"/>
    <xf numFmtId="168" fontId="11" fillId="0" borderId="0" xfId="0" applyNumberFormat="1" applyFont="1" applyBorder="1"/>
    <xf numFmtId="168" fontId="10" fillId="0" borderId="0" xfId="0" applyNumberFormat="1" applyFont="1" applyBorder="1"/>
    <xf numFmtId="0" fontId="10" fillId="0" borderId="58" xfId="0" applyFont="1" applyBorder="1" applyAlignment="1">
      <alignment horizontal="left" indent="1"/>
    </xf>
    <xf numFmtId="0" fontId="10" fillId="0" borderId="58" xfId="0" applyFont="1" applyFill="1" applyBorder="1"/>
    <xf numFmtId="166" fontId="0" fillId="0" borderId="0" xfId="0" applyNumberFormat="1"/>
    <xf numFmtId="0" fontId="16" fillId="0" borderId="0" xfId="36" applyBorder="1"/>
    <xf numFmtId="0" fontId="59" fillId="0" borderId="38" xfId="0" applyFont="1" applyBorder="1" applyProtection="1"/>
    <xf numFmtId="0" fontId="59" fillId="0" borderId="60" xfId="0" applyFont="1" applyBorder="1" applyProtection="1"/>
    <xf numFmtId="2" fontId="0" fillId="0" borderId="0" xfId="0" applyNumberFormat="1" applyFill="1"/>
    <xf numFmtId="3" fontId="45" fillId="0" borderId="0" xfId="0" applyNumberFormat="1" applyFont="1" applyFill="1" applyBorder="1" applyAlignment="1">
      <alignment wrapText="1"/>
    </xf>
    <xf numFmtId="3" fontId="45" fillId="0" borderId="0" xfId="0" applyNumberFormat="1" applyFont="1" applyFill="1" applyBorder="1"/>
    <xf numFmtId="0" fontId="8" fillId="0" borderId="73" xfId="0" applyFont="1" applyFill="1" applyBorder="1" applyProtection="1"/>
    <xf numFmtId="173" fontId="0" fillId="0" borderId="0" xfId="0" applyNumberFormat="1"/>
    <xf numFmtId="0" fontId="0" fillId="30" borderId="0" xfId="0" applyFill="1"/>
    <xf numFmtId="166" fontId="0" fillId="30" borderId="0" xfId="0" applyNumberFormat="1" applyFill="1"/>
    <xf numFmtId="0" fontId="43" fillId="30" borderId="0" xfId="0" applyFont="1" applyFill="1"/>
    <xf numFmtId="0" fontId="6" fillId="30" borderId="0" xfId="0" applyFont="1" applyFill="1"/>
    <xf numFmtId="9" fontId="0" fillId="30" borderId="0" xfId="0" applyNumberFormat="1" applyFill="1"/>
    <xf numFmtId="0" fontId="0" fillId="30" borderId="0" xfId="0" applyNumberFormat="1" applyFill="1"/>
    <xf numFmtId="2" fontId="0" fillId="30" borderId="0" xfId="0" applyNumberFormat="1" applyFill="1"/>
    <xf numFmtId="2" fontId="17" fillId="30" borderId="0" xfId="0" applyNumberFormat="1" applyFont="1" applyFill="1" applyAlignment="1">
      <alignment horizontal="right"/>
    </xf>
    <xf numFmtId="3" fontId="0" fillId="30" borderId="0" xfId="0" applyNumberFormat="1" applyFill="1"/>
    <xf numFmtId="4" fontId="0" fillId="30" borderId="0" xfId="0" applyNumberFormat="1" applyFill="1"/>
    <xf numFmtId="0" fontId="47" fillId="26" borderId="75" xfId="0" applyFont="1" applyFill="1" applyBorder="1"/>
    <xf numFmtId="0" fontId="47" fillId="26" borderId="76" xfId="0" applyFont="1" applyFill="1" applyBorder="1"/>
    <xf numFmtId="0" fontId="43" fillId="26" borderId="75" xfId="0" applyFont="1" applyFill="1" applyBorder="1"/>
    <xf numFmtId="0" fontId="43" fillId="26" borderId="76" xfId="0" applyFont="1" applyFill="1" applyBorder="1"/>
    <xf numFmtId="3" fontId="52" fillId="28" borderId="73" xfId="0" applyNumberFormat="1" applyFont="1" applyFill="1" applyBorder="1"/>
    <xf numFmtId="3" fontId="52" fillId="28" borderId="77" xfId="0" applyNumberFormat="1" applyFont="1" applyFill="1" applyBorder="1"/>
    <xf numFmtId="0" fontId="49" fillId="26" borderId="75" xfId="0" applyFont="1" applyFill="1" applyBorder="1"/>
    <xf numFmtId="0" fontId="49" fillId="26" borderId="76" xfId="0" applyFont="1" applyFill="1" applyBorder="1"/>
    <xf numFmtId="167" fontId="0" fillId="0" borderId="0" xfId="0" applyNumberFormat="1" applyFill="1"/>
    <xf numFmtId="4" fontId="0" fillId="0" borderId="0" xfId="0" applyNumberFormat="1" applyFill="1"/>
    <xf numFmtId="0" fontId="10" fillId="0" borderId="0" xfId="0" applyFont="1" applyFill="1" applyBorder="1"/>
    <xf numFmtId="0" fontId="0" fillId="31" borderId="0" xfId="0" applyFill="1" applyBorder="1"/>
    <xf numFmtId="0" fontId="0" fillId="31" borderId="0" xfId="0" applyFill="1" applyBorder="1" applyAlignment="1">
      <alignment horizontal="left" indent="1"/>
    </xf>
    <xf numFmtId="3" fontId="0" fillId="31" borderId="0" xfId="0" applyNumberFormat="1" applyFill="1"/>
    <xf numFmtId="168" fontId="0" fillId="32" borderId="0" xfId="0" applyNumberFormat="1" applyFill="1"/>
    <xf numFmtId="0" fontId="0" fillId="0" borderId="78" xfId="0" applyBorder="1"/>
    <xf numFmtId="0" fontId="0" fillId="0" borderId="79" xfId="0" applyBorder="1"/>
    <xf numFmtId="168" fontId="0" fillId="0" borderId="78" xfId="0" applyNumberFormat="1" applyBorder="1"/>
    <xf numFmtId="0" fontId="0" fillId="0" borderId="0" xfId="0" applyFill="1" applyAlignment="1">
      <alignment horizontal="left"/>
    </xf>
    <xf numFmtId="0" fontId="6" fillId="0" borderId="0" xfId="0" applyFont="1" applyFill="1" applyAlignment="1">
      <alignment horizontal="left"/>
    </xf>
    <xf numFmtId="0" fontId="18" fillId="29" borderId="0" xfId="0" applyFont="1" applyFill="1" applyBorder="1"/>
    <xf numFmtId="0" fontId="57" fillId="0" borderId="0" xfId="0" applyFont="1" applyBorder="1"/>
    <xf numFmtId="3" fontId="0" fillId="0" borderId="0" xfId="0" applyNumberFormat="1" applyFill="1" applyBorder="1"/>
    <xf numFmtId="0" fontId="59" fillId="0" borderId="0" xfId="0" applyFont="1" applyAlignment="1">
      <alignment vertical="center" wrapText="1"/>
    </xf>
    <xf numFmtId="0" fontId="39" fillId="0" borderId="0" xfId="0" applyFont="1" applyAlignment="1">
      <alignment vertical="center"/>
    </xf>
    <xf numFmtId="0" fontId="0" fillId="0" borderId="0" xfId="0" applyAlignment="1">
      <alignment vertical="center"/>
    </xf>
    <xf numFmtId="0" fontId="53" fillId="0" borderId="0" xfId="48" applyAlignment="1" applyProtection="1">
      <alignment vertical="center"/>
    </xf>
    <xf numFmtId="0" fontId="6" fillId="0" borderId="0" xfId="0" applyFont="1" applyAlignment="1">
      <alignment vertical="center"/>
    </xf>
    <xf numFmtId="168" fontId="13" fillId="0" borderId="0" xfId="0" applyNumberFormat="1" applyFont="1" applyBorder="1"/>
    <xf numFmtId="0" fontId="57" fillId="0" borderId="0" xfId="0" applyFont="1" applyBorder="1" applyAlignment="1">
      <alignment wrapText="1"/>
    </xf>
    <xf numFmtId="0" fontId="43" fillId="0" borderId="0" xfId="0" applyFont="1" applyFill="1" applyBorder="1"/>
    <xf numFmtId="168" fontId="38" fillId="24" borderId="19" xfId="36" applyNumberFormat="1" applyFont="1" applyFill="1" applyBorder="1" applyProtection="1"/>
    <xf numFmtId="168" fontId="38" fillId="0" borderId="19" xfId="36" applyNumberFormat="1" applyFont="1" applyFill="1" applyBorder="1" applyProtection="1"/>
    <xf numFmtId="165" fontId="6" fillId="0" borderId="0" xfId="0" applyNumberFormat="1" applyFont="1" applyProtection="1"/>
    <xf numFmtId="171" fontId="6" fillId="0" borderId="0" xfId="0" applyNumberFormat="1" applyFont="1" applyProtection="1"/>
    <xf numFmtId="168" fontId="15" fillId="24" borderId="15" xfId="36" applyNumberFormat="1" applyFont="1" applyFill="1" applyBorder="1" applyProtection="1"/>
    <xf numFmtId="0" fontId="53" fillId="0" borderId="0" xfId="48" applyAlignment="1" applyProtection="1"/>
    <xf numFmtId="0" fontId="8" fillId="0" borderId="80" xfId="0" applyFont="1" applyBorder="1"/>
    <xf numFmtId="49" fontId="6" fillId="0" borderId="80" xfId="0" applyNumberFormat="1" applyFont="1" applyBorder="1"/>
    <xf numFmtId="0" fontId="6" fillId="0" borderId="80" xfId="36" applyFont="1" applyFill="1" applyBorder="1"/>
    <xf numFmtId="49" fontId="46" fillId="0" borderId="80" xfId="0" applyNumberFormat="1" applyFont="1" applyBorder="1"/>
    <xf numFmtId="49" fontId="6" fillId="0" borderId="80" xfId="36" applyNumberFormat="1" applyFont="1" applyBorder="1"/>
    <xf numFmtId="0" fontId="6" fillId="0" borderId="80" xfId="36" applyFont="1" applyBorder="1"/>
    <xf numFmtId="49" fontId="6" fillId="0" borderId="80" xfId="36" applyNumberFormat="1" applyFont="1" applyFill="1" applyBorder="1"/>
    <xf numFmtId="0" fontId="6" fillId="0" borderId="0" xfId="36" applyFont="1" applyBorder="1"/>
    <xf numFmtId="0" fontId="0" fillId="0" borderId="82" xfId="0" applyFill="1" applyBorder="1" applyProtection="1"/>
    <xf numFmtId="2" fontId="0" fillId="0" borderId="0" xfId="0" applyNumberFormat="1"/>
    <xf numFmtId="0" fontId="0" fillId="0" borderId="82" xfId="0" applyFont="1" applyBorder="1"/>
    <xf numFmtId="0" fontId="0" fillId="34" borderId="0" xfId="0" applyFill="1"/>
    <xf numFmtId="0" fontId="61" fillId="0" borderId="82" xfId="0" applyFont="1" applyFill="1" applyBorder="1"/>
    <xf numFmtId="0" fontId="61" fillId="0" borderId="82" xfId="0" applyFont="1" applyBorder="1"/>
    <xf numFmtId="0" fontId="0" fillId="0" borderId="82" xfId="0" applyFill="1" applyBorder="1"/>
    <xf numFmtId="168" fontId="10" fillId="0" borderId="0" xfId="0" applyNumberFormat="1" applyFont="1" applyFill="1" applyBorder="1"/>
    <xf numFmtId="168" fontId="0" fillId="0" borderId="0" xfId="0" applyNumberFormat="1" applyFill="1"/>
    <xf numFmtId="0" fontId="0" fillId="0" borderId="84" xfId="0" applyBorder="1"/>
    <xf numFmtId="0" fontId="0" fillId="0" borderId="85" xfId="0" applyBorder="1"/>
    <xf numFmtId="0" fontId="0" fillId="0" borderId="81" xfId="0" applyBorder="1"/>
    <xf numFmtId="0" fontId="0" fillId="0" borderId="69" xfId="0" applyBorder="1"/>
    <xf numFmtId="171" fontId="0" fillId="0" borderId="83" xfId="87" applyNumberFormat="1" applyFont="1" applyBorder="1" applyAlignment="1">
      <alignment horizontal="left" indent="1"/>
    </xf>
    <xf numFmtId="171" fontId="0" fillId="0" borderId="81" xfId="0" applyNumberFormat="1" applyBorder="1" applyAlignment="1">
      <alignment horizontal="left" indent="1"/>
    </xf>
    <xf numFmtId="171" fontId="0" fillId="0" borderId="69" xfId="0" applyNumberFormat="1" applyBorder="1"/>
    <xf numFmtId="0" fontId="0" fillId="0" borderId="86" xfId="0" applyBorder="1" applyAlignment="1">
      <alignment horizontal="left" indent="1"/>
    </xf>
    <xf numFmtId="0" fontId="0" fillId="0" borderId="82" xfId="0" applyFill="1" applyBorder="1" applyAlignment="1">
      <alignment horizontal="left"/>
    </xf>
    <xf numFmtId="0" fontId="43" fillId="0" borderId="82" xfId="0" applyFont="1" applyFill="1" applyBorder="1"/>
    <xf numFmtId="168" fontId="6" fillId="34" borderId="87" xfId="0" applyNumberFormat="1" applyFont="1" applyFill="1" applyBorder="1"/>
    <xf numFmtId="168" fontId="6" fillId="34" borderId="88" xfId="0" applyNumberFormat="1" applyFont="1" applyFill="1" applyBorder="1"/>
    <xf numFmtId="0" fontId="0" fillId="0" borderId="0" xfId="0" applyAlignment="1">
      <alignment wrapText="1"/>
    </xf>
    <xf numFmtId="0" fontId="0" fillId="0" borderId="82" xfId="0" applyBorder="1"/>
    <xf numFmtId="10" fontId="0" fillId="0" borderId="0" xfId="0" applyNumberFormat="1" applyFill="1"/>
    <xf numFmtId="10" fontId="0" fillId="0" borderId="0" xfId="38" applyNumberFormat="1" applyFont="1" applyFill="1"/>
    <xf numFmtId="0" fontId="6" fillId="0" borderId="82" xfId="0" applyFont="1" applyFill="1" applyBorder="1" applyProtection="1"/>
    <xf numFmtId="0" fontId="6" fillId="0" borderId="82" xfId="0" applyFont="1" applyFill="1" applyBorder="1" applyAlignment="1">
      <alignment horizontal="left"/>
    </xf>
    <xf numFmtId="49" fontId="6" fillId="0" borderId="82" xfId="36" applyNumberFormat="1" applyFont="1" applyFill="1" applyBorder="1"/>
    <xf numFmtId="0" fontId="6" fillId="0" borderId="82" xfId="36" applyFont="1" applyBorder="1"/>
    <xf numFmtId="165" fontId="0" fillId="0" borderId="0" xfId="0" applyNumberFormat="1"/>
    <xf numFmtId="171" fontId="0" fillId="0" borderId="81" xfId="0" applyNumberFormat="1" applyBorder="1"/>
    <xf numFmtId="171" fontId="8" fillId="0" borderId="69" xfId="0" applyNumberFormat="1" applyFont="1" applyBorder="1"/>
    <xf numFmtId="171" fontId="8" fillId="0" borderId="37" xfId="0" applyNumberFormat="1" applyFont="1" applyBorder="1"/>
    <xf numFmtId="168" fontId="8" fillId="0" borderId="92" xfId="0" applyNumberFormat="1" applyFont="1" applyBorder="1"/>
    <xf numFmtId="171" fontId="8" fillId="0" borderId="20" xfId="0" applyNumberFormat="1" applyFont="1" applyBorder="1"/>
    <xf numFmtId="0" fontId="59" fillId="34" borderId="0" xfId="0" applyFont="1" applyFill="1" applyAlignment="1">
      <alignment vertical="center" wrapText="1"/>
    </xf>
    <xf numFmtId="0" fontId="68" fillId="0" borderId="0" xfId="0" applyFont="1" applyFill="1" applyBorder="1" applyAlignment="1">
      <alignment wrapText="1"/>
    </xf>
    <xf numFmtId="171" fontId="11" fillId="0" borderId="41" xfId="0" applyNumberFormat="1" applyFont="1" applyBorder="1"/>
    <xf numFmtId="171" fontId="11" fillId="0" borderId="50" xfId="0" applyNumberFormat="1" applyFont="1" applyBorder="1"/>
    <xf numFmtId="168" fontId="11" fillId="0" borderId="50" xfId="0" applyNumberFormat="1" applyFont="1" applyBorder="1"/>
    <xf numFmtId="168" fontId="11" fillId="0" borderId="92" xfId="0" applyNumberFormat="1" applyFont="1" applyBorder="1"/>
    <xf numFmtId="0" fontId="6" fillId="34" borderId="0" xfId="0" applyFont="1" applyFill="1"/>
    <xf numFmtId="2" fontId="6" fillId="0" borderId="0" xfId="0" applyNumberFormat="1" applyFont="1" applyFill="1" applyAlignment="1">
      <alignment horizontal="right"/>
    </xf>
    <xf numFmtId="0" fontId="0" fillId="32" borderId="0" xfId="0" applyFill="1" applyAlignment="1">
      <alignment wrapText="1"/>
    </xf>
    <xf numFmtId="166" fontId="36" fillId="0" borderId="0" xfId="34" applyNumberFormat="1" applyFont="1" applyFill="1" applyAlignment="1" applyProtection="1">
      <alignment horizontal="center" vertical="center" wrapText="1"/>
      <protection locked="0"/>
    </xf>
    <xf numFmtId="0" fontId="0" fillId="34" borderId="0" xfId="0" applyFill="1" applyBorder="1"/>
    <xf numFmtId="0" fontId="0" fillId="0" borderId="0" xfId="0" applyFont="1" applyFill="1" applyAlignment="1">
      <alignment horizontal="left"/>
    </xf>
    <xf numFmtId="171" fontId="8" fillId="0" borderId="0" xfId="0" applyNumberFormat="1" applyFont="1" applyFill="1" applyBorder="1" applyAlignment="1">
      <alignment horizontal="center" wrapText="1"/>
    </xf>
    <xf numFmtId="3" fontId="46" fillId="27" borderId="82" xfId="0" applyNumberFormat="1" applyFont="1" applyFill="1" applyBorder="1"/>
    <xf numFmtId="3" fontId="46" fillId="27" borderId="89" xfId="0" applyNumberFormat="1" applyFont="1" applyFill="1" applyBorder="1"/>
    <xf numFmtId="3" fontId="46" fillId="27" borderId="93" xfId="0" applyNumberFormat="1" applyFont="1" applyFill="1" applyBorder="1"/>
    <xf numFmtId="3" fontId="48" fillId="0" borderId="82" xfId="0" applyNumberFormat="1" applyFont="1" applyFill="1" applyBorder="1" applyAlignment="1">
      <alignment wrapText="1"/>
    </xf>
    <xf numFmtId="3" fontId="48" fillId="0" borderId="89" xfId="0" applyNumberFormat="1" applyFont="1" applyFill="1" applyBorder="1" applyAlignment="1">
      <alignment wrapText="1"/>
    </xf>
    <xf numFmtId="3" fontId="48" fillId="0" borderId="93" xfId="0" applyNumberFormat="1" applyFont="1" applyFill="1" applyBorder="1" applyAlignment="1">
      <alignment wrapText="1"/>
    </xf>
    <xf numFmtId="0" fontId="0" fillId="0" borderId="94" xfId="0" applyFill="1" applyBorder="1" applyProtection="1"/>
    <xf numFmtId="0" fontId="0" fillId="0" borderId="82" xfId="0" applyFont="1" applyFill="1" applyBorder="1" applyProtection="1"/>
    <xf numFmtId="0" fontId="61" fillId="0" borderId="82" xfId="0" applyFont="1" applyFill="1" applyBorder="1" applyProtection="1"/>
    <xf numFmtId="0" fontId="6" fillId="0" borderId="82" xfId="0" applyFont="1" applyFill="1" applyBorder="1"/>
    <xf numFmtId="0" fontId="43" fillId="0" borderId="82" xfId="0" applyFont="1" applyFill="1" applyBorder="1" applyProtection="1"/>
    <xf numFmtId="0" fontId="0" fillId="35" borderId="82" xfId="0" applyFont="1" applyFill="1" applyBorder="1"/>
    <xf numFmtId="0" fontId="0" fillId="36" borderId="82" xfId="0" applyFill="1" applyBorder="1" applyProtection="1"/>
    <xf numFmtId="0" fontId="43" fillId="31" borderId="82" xfId="0" applyFont="1" applyFill="1" applyBorder="1"/>
    <xf numFmtId="0" fontId="0" fillId="0" borderId="82" xfId="0" applyFont="1" applyFill="1" applyBorder="1"/>
    <xf numFmtId="0" fontId="3" fillId="0" borderId="82" xfId="0" applyFont="1" applyFill="1" applyBorder="1"/>
    <xf numFmtId="0" fontId="43" fillId="31" borderId="82" xfId="0" applyFont="1" applyFill="1" applyBorder="1" applyProtection="1"/>
    <xf numFmtId="0" fontId="6" fillId="0" borderId="82" xfId="0" applyFont="1" applyFill="1" applyBorder="1" applyAlignment="1" applyProtection="1">
      <alignment horizontal="left"/>
    </xf>
    <xf numFmtId="0" fontId="43" fillId="33" borderId="82" xfId="0" applyFont="1" applyFill="1" applyBorder="1"/>
    <xf numFmtId="0" fontId="6" fillId="35" borderId="82" xfId="0" applyFont="1" applyFill="1" applyBorder="1"/>
    <xf numFmtId="0" fontId="12" fillId="0" borderId="74" xfId="0" applyFont="1" applyBorder="1" applyProtection="1"/>
    <xf numFmtId="168" fontId="10" fillId="0" borderId="69" xfId="0" applyNumberFormat="1" applyFont="1" applyBorder="1" applyProtection="1"/>
    <xf numFmtId="168" fontId="10" fillId="0" borderId="74" xfId="0" applyNumberFormat="1" applyFont="1" applyBorder="1" applyProtection="1"/>
    <xf numFmtId="168" fontId="12" fillId="0" borderId="69" xfId="0" applyNumberFormat="1" applyFont="1" applyBorder="1" applyProtection="1"/>
    <xf numFmtId="168" fontId="12" fillId="0" borderId="74" xfId="0" applyNumberFormat="1" applyFont="1" applyBorder="1" applyProtection="1"/>
    <xf numFmtId="165" fontId="12" fillId="0" borderId="69" xfId="0" applyNumberFormat="1" applyFont="1" applyBorder="1" applyProtection="1"/>
    <xf numFmtId="165" fontId="12" fillId="0" borderId="74" xfId="0" applyNumberFormat="1" applyFont="1" applyBorder="1" applyProtection="1"/>
    <xf numFmtId="0" fontId="12" fillId="0" borderId="94" xfId="0" applyFont="1" applyBorder="1" applyProtection="1"/>
    <xf numFmtId="0" fontId="6" fillId="25" borderId="82" xfId="0" applyFont="1" applyFill="1" applyBorder="1" applyAlignment="1" applyProtection="1">
      <alignment horizontal="right"/>
    </xf>
    <xf numFmtId="0" fontId="6" fillId="0" borderId="0" xfId="0" applyFont="1" applyBorder="1" applyAlignment="1" applyProtection="1">
      <alignment horizontal="left" vertical="center" wrapText="1"/>
    </xf>
    <xf numFmtId="171" fontId="37" fillId="0" borderId="29" xfId="36" applyNumberFormat="1" applyFont="1" applyFill="1" applyBorder="1" applyProtection="1"/>
    <xf numFmtId="0" fontId="11" fillId="0" borderId="91" xfId="0" applyFont="1" applyBorder="1" applyAlignment="1" applyProtection="1"/>
    <xf numFmtId="0" fontId="11" fillId="0" borderId="23" xfId="0" applyFont="1" applyBorder="1" applyAlignment="1"/>
    <xf numFmtId="174" fontId="0" fillId="0" borderId="0" xfId="0" applyNumberFormat="1"/>
    <xf numFmtId="0" fontId="69" fillId="0" borderId="82" xfId="0" applyFont="1" applyFill="1" applyBorder="1"/>
    <xf numFmtId="0" fontId="13" fillId="0" borderId="0" xfId="0" applyFont="1" applyFill="1" applyAlignment="1">
      <alignment horizontal="left"/>
    </xf>
    <xf numFmtId="165" fontId="0" fillId="0" borderId="0" xfId="0" applyNumberFormat="1" applyFill="1"/>
    <xf numFmtId="1" fontId="0" fillId="0" borderId="0" xfId="0" applyNumberFormat="1" applyFill="1"/>
    <xf numFmtId="166" fontId="0" fillId="0" borderId="0" xfId="0" applyNumberFormat="1" applyFill="1"/>
    <xf numFmtId="166" fontId="0" fillId="34" borderId="0" xfId="0" applyNumberFormat="1" applyFill="1"/>
    <xf numFmtId="49" fontId="8" fillId="0" borderId="0" xfId="34" applyNumberFormat="1" applyFont="1" applyFill="1" applyAlignment="1">
      <alignment vertical="center" wrapText="1"/>
    </xf>
    <xf numFmtId="0" fontId="6" fillId="30" borderId="0" xfId="0" applyFont="1" applyFill="1" applyBorder="1"/>
    <xf numFmtId="0" fontId="0" fillId="0" borderId="95" xfId="0" applyBorder="1"/>
    <xf numFmtId="0" fontId="0" fillId="0" borderId="95" xfId="0" pivotButton="1" applyBorder="1"/>
    <xf numFmtId="0" fontId="0" fillId="0" borderId="96" xfId="0" applyBorder="1"/>
    <xf numFmtId="0" fontId="0" fillId="0" borderId="97" xfId="0" applyBorder="1"/>
    <xf numFmtId="0" fontId="0" fillId="0" borderId="98" xfId="0" applyBorder="1"/>
    <xf numFmtId="0" fontId="0" fillId="0" borderId="99" xfId="0" applyBorder="1"/>
    <xf numFmtId="2" fontId="0" fillId="0" borderId="95" xfId="0" applyNumberFormat="1" applyBorder="1"/>
    <xf numFmtId="2" fontId="0" fillId="0" borderId="98" xfId="0" applyNumberFormat="1" applyBorder="1"/>
    <xf numFmtId="3" fontId="0" fillId="0" borderId="99" xfId="0" applyNumberFormat="1" applyBorder="1"/>
    <xf numFmtId="0" fontId="0" fillId="0" borderId="100" xfId="0" applyBorder="1"/>
    <xf numFmtId="2" fontId="0" fillId="0" borderId="100" xfId="0" applyNumberFormat="1" applyBorder="1"/>
    <xf numFmtId="3" fontId="0" fillId="0" borderId="101" xfId="0" applyNumberFormat="1" applyBorder="1"/>
    <xf numFmtId="0" fontId="0" fillId="0" borderId="102" xfId="0" applyBorder="1"/>
    <xf numFmtId="2" fontId="0" fillId="0" borderId="102" xfId="0" applyNumberFormat="1" applyBorder="1"/>
    <xf numFmtId="2" fontId="0" fillId="0" borderId="103" xfId="0" applyNumberFormat="1" applyBorder="1"/>
    <xf numFmtId="3" fontId="0" fillId="0" borderId="104" xfId="0" applyNumberFormat="1" applyBorder="1"/>
    <xf numFmtId="171" fontId="0" fillId="0" borderId="95" xfId="0" applyNumberFormat="1" applyBorder="1"/>
    <xf numFmtId="171" fontId="0" fillId="0" borderId="98" xfId="0" applyNumberFormat="1" applyBorder="1"/>
    <xf numFmtId="3" fontId="0" fillId="0" borderId="98" xfId="0" applyNumberFormat="1" applyBorder="1"/>
    <xf numFmtId="171" fontId="0" fillId="0" borderId="100" xfId="0" applyNumberFormat="1" applyBorder="1"/>
    <xf numFmtId="171" fontId="0" fillId="0" borderId="102" xfId="0" applyNumberFormat="1" applyBorder="1"/>
    <xf numFmtId="171" fontId="0" fillId="0" borderId="103" xfId="0" applyNumberFormat="1" applyBorder="1"/>
    <xf numFmtId="3" fontId="0" fillId="0" borderId="103" xfId="0" applyNumberFormat="1" applyBorder="1"/>
    <xf numFmtId="0" fontId="6" fillId="0" borderId="105" xfId="0" applyFont="1" applyFill="1" applyBorder="1" applyProtection="1"/>
    <xf numFmtId="0" fontId="0" fillId="0" borderId="105" xfId="0" applyFill="1" applyBorder="1" applyProtection="1"/>
    <xf numFmtId="0" fontId="61" fillId="0" borderId="105" xfId="0" applyFont="1" applyFill="1" applyBorder="1"/>
    <xf numFmtId="0" fontId="0" fillId="0" borderId="105" xfId="0" applyFont="1" applyBorder="1"/>
    <xf numFmtId="0" fontId="0" fillId="0" borderId="105" xfId="0" applyFill="1" applyBorder="1"/>
    <xf numFmtId="0" fontId="61" fillId="0" borderId="105" xfId="0" applyFont="1" applyFill="1" applyBorder="1" applyProtection="1"/>
    <xf numFmtId="0" fontId="61" fillId="0" borderId="69" xfId="0" applyFont="1" applyFill="1" applyBorder="1"/>
    <xf numFmtId="0" fontId="6" fillId="0" borderId="0" xfId="0" applyFont="1" applyFill="1" applyBorder="1" applyAlignment="1">
      <alignment horizontal="left"/>
    </xf>
    <xf numFmtId="0" fontId="0" fillId="34" borderId="0" xfId="0" applyFont="1" applyFill="1"/>
    <xf numFmtId="3" fontId="0" fillId="34" borderId="0" xfId="0" applyNumberFormat="1" applyFill="1"/>
    <xf numFmtId="0" fontId="0" fillId="34" borderId="0" xfId="0" applyFill="1" applyBorder="1" applyProtection="1"/>
    <xf numFmtId="0" fontId="57" fillId="37" borderId="0" xfId="0" applyFont="1" applyFill="1" applyAlignment="1">
      <alignment wrapText="1"/>
    </xf>
    <xf numFmtId="0" fontId="61" fillId="34" borderId="0" xfId="0" applyFont="1" applyFill="1" applyBorder="1"/>
    <xf numFmtId="0" fontId="0" fillId="0" borderId="106" xfId="0" applyFill="1" applyBorder="1"/>
    <xf numFmtId="0" fontId="0" fillId="0" borderId="106" xfId="0" applyFill="1" applyBorder="1" applyProtection="1"/>
    <xf numFmtId="0" fontId="6" fillId="34" borderId="0" xfId="0" applyFont="1" applyFill="1" applyBorder="1"/>
    <xf numFmtId="0" fontId="43" fillId="34" borderId="0" xfId="0" applyFont="1" applyFill="1"/>
    <xf numFmtId="9" fontId="0" fillId="34" borderId="0" xfId="0" applyNumberFormat="1" applyFill="1"/>
    <xf numFmtId="0" fontId="0" fillId="38" borderId="0" xfId="0" applyFill="1"/>
    <xf numFmtId="0" fontId="61" fillId="0" borderId="106" xfId="0" applyFont="1" applyFill="1" applyBorder="1"/>
    <xf numFmtId="0" fontId="0" fillId="0" borderId="106" xfId="0" applyFont="1" applyBorder="1"/>
    <xf numFmtId="0" fontId="0" fillId="0" borderId="106" xfId="0" applyFont="1" applyFill="1" applyBorder="1" applyProtection="1"/>
    <xf numFmtId="0" fontId="0" fillId="0" borderId="106" xfId="0" applyFill="1" applyBorder="1" applyAlignment="1">
      <alignment horizontal="left"/>
    </xf>
    <xf numFmtId="0" fontId="6" fillId="0" borderId="106" xfId="0" applyFont="1" applyFill="1" applyBorder="1" applyProtection="1"/>
    <xf numFmtId="0" fontId="6" fillId="0" borderId="106" xfId="0" applyFont="1" applyFill="1" applyBorder="1"/>
    <xf numFmtId="0" fontId="61" fillId="0" borderId="0" xfId="0" applyFont="1" applyFill="1" applyBorder="1" applyProtection="1"/>
    <xf numFmtId="0" fontId="13" fillId="34" borderId="0" xfId="0" applyFont="1" applyFill="1"/>
    <xf numFmtId="0" fontId="6" fillId="0" borderId="106" xfId="0" applyFont="1" applyFill="1" applyBorder="1" applyAlignment="1">
      <alignment horizontal="left"/>
    </xf>
    <xf numFmtId="0" fontId="61" fillId="0" borderId="107" xfId="0" applyFont="1" applyBorder="1"/>
    <xf numFmtId="0" fontId="0" fillId="0" borderId="107" xfId="0" applyFont="1" applyBorder="1"/>
    <xf numFmtId="0" fontId="0" fillId="39" borderId="0" xfId="0" applyFill="1" applyBorder="1" applyAlignment="1">
      <alignment wrapText="1"/>
    </xf>
    <xf numFmtId="0" fontId="0" fillId="0" borderId="107" xfId="0" applyFill="1" applyBorder="1" applyProtection="1"/>
    <xf numFmtId="0" fontId="13" fillId="31" borderId="0" xfId="0" applyFont="1" applyFill="1"/>
    <xf numFmtId="0" fontId="6" fillId="0" borderId="107" xfId="0" applyFont="1" applyFill="1" applyBorder="1" applyProtection="1"/>
    <xf numFmtId="0" fontId="13" fillId="0" borderId="0" xfId="0" applyFont="1" applyFill="1"/>
    <xf numFmtId="0" fontId="61" fillId="0" borderId="107" xfId="0" applyFont="1" applyFill="1" applyBorder="1"/>
    <xf numFmtId="0" fontId="6" fillId="0" borderId="107" xfId="0" applyFont="1" applyFill="1" applyBorder="1" applyAlignment="1">
      <alignment horizontal="left"/>
    </xf>
    <xf numFmtId="0" fontId="0" fillId="0" borderId="107" xfId="0" applyFont="1" applyFill="1" applyBorder="1"/>
    <xf numFmtId="0" fontId="0" fillId="0" borderId="107" xfId="0" applyFill="1" applyBorder="1"/>
    <xf numFmtId="0" fontId="6" fillId="0" borderId="107" xfId="0" applyFont="1" applyFill="1" applyBorder="1"/>
    <xf numFmtId="0" fontId="61" fillId="0" borderId="107" xfId="0" applyFont="1" applyFill="1" applyBorder="1" applyProtection="1"/>
    <xf numFmtId="0" fontId="6" fillId="0" borderId="0" xfId="0" applyFont="1" applyFill="1" applyAlignment="1">
      <alignment wrapText="1"/>
    </xf>
    <xf numFmtId="171" fontId="0" fillId="0" borderId="81" xfId="0" applyNumberFormat="1" applyFill="1" applyBorder="1"/>
    <xf numFmtId="3" fontId="0" fillId="0" borderId="30" xfId="0" applyNumberFormat="1" applyFill="1" applyBorder="1"/>
    <xf numFmtId="1" fontId="0" fillId="40" borderId="0" xfId="0" applyNumberFormat="1" applyFill="1"/>
    <xf numFmtId="0" fontId="61" fillId="0" borderId="108" xfId="0" applyFont="1" applyFill="1" applyBorder="1"/>
    <xf numFmtId="0" fontId="0" fillId="0" borderId="108" xfId="0" applyFont="1" applyBorder="1"/>
    <xf numFmtId="0" fontId="0" fillId="0" borderId="0" xfId="0" applyAlignment="1">
      <alignment wrapText="1"/>
    </xf>
    <xf numFmtId="0" fontId="6" fillId="0" borderId="108" xfId="0" applyFont="1" applyFill="1" applyBorder="1"/>
    <xf numFmtId="0" fontId="0" fillId="0" borderId="108" xfId="0" applyFill="1" applyBorder="1" applyProtection="1"/>
    <xf numFmtId="0" fontId="0" fillId="0" borderId="108" xfId="0" applyFill="1" applyBorder="1"/>
    <xf numFmtId="2" fontId="0" fillId="35" borderId="0" xfId="0" applyNumberFormat="1" applyFill="1"/>
    <xf numFmtId="0" fontId="0" fillId="35" borderId="0" xfId="0" applyFill="1"/>
    <xf numFmtId="0" fontId="0" fillId="0" borderId="0" xfId="0" applyAlignment="1">
      <alignment wrapText="1"/>
    </xf>
    <xf numFmtId="171" fontId="0" fillId="0" borderId="0" xfId="0" applyNumberFormat="1" applyFill="1"/>
    <xf numFmtId="0" fontId="61" fillId="0" borderId="0" xfId="0" applyFont="1" applyFill="1" applyBorder="1"/>
    <xf numFmtId="0" fontId="6" fillId="0" borderId="0" xfId="0" applyFont="1" applyFill="1" applyBorder="1" applyProtection="1"/>
    <xf numFmtId="0" fontId="0" fillId="0" borderId="0" xfId="0" applyFont="1" applyFill="1" applyBorder="1" applyProtection="1"/>
    <xf numFmtId="0" fontId="0" fillId="37" borderId="0" xfId="0" applyFill="1"/>
    <xf numFmtId="0" fontId="6" fillId="0" borderId="108" xfId="0" applyFont="1" applyFill="1" applyBorder="1" applyProtection="1"/>
    <xf numFmtId="0" fontId="0" fillId="0" borderId="89" xfId="0" applyBorder="1"/>
    <xf numFmtId="0" fontId="0" fillId="0" borderId="76" xfId="0" applyBorder="1"/>
    <xf numFmtId="0" fontId="10" fillId="0" borderId="113" xfId="0" applyFont="1" applyBorder="1"/>
    <xf numFmtId="168" fontId="0" fillId="0" borderId="113" xfId="0" applyNumberFormat="1" applyBorder="1"/>
    <xf numFmtId="168" fontId="64" fillId="0" borderId="113" xfId="0" applyNumberFormat="1" applyFont="1" applyBorder="1"/>
    <xf numFmtId="0" fontId="46" fillId="0" borderId="0" xfId="0" applyFont="1" applyBorder="1"/>
    <xf numFmtId="0" fontId="10" fillId="0" borderId="113" xfId="0" applyFont="1" applyFill="1" applyBorder="1" applyAlignment="1">
      <alignment horizontal="left" indent="1"/>
    </xf>
    <xf numFmtId="168" fontId="11" fillId="0" borderId="113" xfId="0" applyNumberFormat="1" applyFont="1" applyBorder="1"/>
    <xf numFmtId="168" fontId="10" fillId="0" borderId="113" xfId="0" applyNumberFormat="1" applyFont="1" applyBorder="1"/>
    <xf numFmtId="0" fontId="10" fillId="40" borderId="0" xfId="0" applyFont="1" applyFill="1"/>
    <xf numFmtId="0" fontId="10" fillId="0" borderId="113" xfId="0" applyFont="1" applyBorder="1" applyAlignment="1">
      <alignment horizontal="left" indent="1"/>
    </xf>
    <xf numFmtId="0" fontId="10" fillId="0" borderId="113" xfId="0" applyFont="1" applyFill="1" applyBorder="1"/>
    <xf numFmtId="0" fontId="0" fillId="0" borderId="113" xfId="0" applyBorder="1"/>
    <xf numFmtId="0" fontId="0" fillId="0" borderId="109" xfId="0" applyBorder="1"/>
    <xf numFmtId="0" fontId="0" fillId="0" borderId="110" xfId="0" applyBorder="1"/>
    <xf numFmtId="0" fontId="0" fillId="0" borderId="111" xfId="0" applyBorder="1"/>
    <xf numFmtId="0" fontId="0" fillId="0" borderId="112" xfId="0" applyBorder="1"/>
    <xf numFmtId="0" fontId="0" fillId="0" borderId="114" xfId="0" applyBorder="1"/>
    <xf numFmtId="0" fontId="6" fillId="0" borderId="89" xfId="0" applyFont="1" applyBorder="1"/>
    <xf numFmtId="0" fontId="0" fillId="0" borderId="90" xfId="0" applyBorder="1"/>
    <xf numFmtId="0" fontId="6" fillId="0" borderId="109" xfId="0" applyFont="1" applyBorder="1"/>
    <xf numFmtId="0" fontId="1" fillId="0" borderId="108" xfId="0" applyFont="1" applyFill="1" applyBorder="1"/>
    <xf numFmtId="0" fontId="0" fillId="0" borderId="0" xfId="0" applyFont="1" applyFill="1" applyBorder="1"/>
    <xf numFmtId="0" fontId="0" fillId="0" borderId="0" xfId="0" applyAlignment="1">
      <alignment wrapText="1"/>
    </xf>
    <xf numFmtId="0" fontId="6" fillId="0" borderId="0" xfId="0" applyFont="1" applyAlignment="1">
      <alignment wrapText="1"/>
    </xf>
    <xf numFmtId="168" fontId="13" fillId="0" borderId="0" xfId="0" applyNumberFormat="1" applyFont="1"/>
    <xf numFmtId="3" fontId="13" fillId="0" borderId="0" xfId="0" applyNumberFormat="1" applyFont="1"/>
    <xf numFmtId="0" fontId="13" fillId="0" borderId="0" xfId="0" applyFont="1"/>
    <xf numFmtId="168" fontId="0" fillId="29" borderId="0" xfId="0" applyNumberFormat="1" applyFill="1"/>
    <xf numFmtId="0" fontId="57" fillId="34" borderId="0" xfId="0" applyFont="1" applyFill="1" applyAlignment="1">
      <alignment wrapText="1"/>
    </xf>
    <xf numFmtId="0" fontId="0" fillId="35" borderId="0" xfId="0" applyFill="1" applyBorder="1"/>
    <xf numFmtId="0" fontId="0" fillId="41" borderId="0" xfId="0" applyFill="1"/>
    <xf numFmtId="0" fontId="8" fillId="0" borderId="0" xfId="0" applyFont="1" applyFill="1" applyAlignment="1">
      <alignment vertical="center" wrapText="1"/>
    </xf>
    <xf numFmtId="168" fontId="37" fillId="0" borderId="19" xfId="36" applyNumberFormat="1" applyFont="1" applyFill="1" applyBorder="1" applyProtection="1"/>
    <xf numFmtId="0" fontId="10" fillId="0" borderId="35" xfId="0" applyFont="1" applyBorder="1" applyProtection="1"/>
    <xf numFmtId="0" fontId="6" fillId="0" borderId="108" xfId="0" applyFont="1" applyFill="1" applyBorder="1" applyAlignment="1">
      <alignment horizontal="left"/>
    </xf>
    <xf numFmtId="0" fontId="0" fillId="40" borderId="0" xfId="0" applyFill="1"/>
    <xf numFmtId="0" fontId="6" fillId="0" borderId="108" xfId="0" applyFont="1" applyBorder="1"/>
    <xf numFmtId="0" fontId="0" fillId="0" borderId="0" xfId="0" applyAlignment="1">
      <alignment wrapText="1"/>
    </xf>
    <xf numFmtId="0" fontId="0" fillId="0" borderId="0" xfId="0" pivotButton="1" applyFont="1" applyBorder="1"/>
    <xf numFmtId="0" fontId="0" fillId="0" borderId="0" xfId="0" applyFont="1" applyBorder="1"/>
    <xf numFmtId="0" fontId="0" fillId="0" borderId="81" xfId="0" applyFont="1" applyBorder="1"/>
    <xf numFmtId="171" fontId="0" fillId="0" borderId="0" xfId="0" applyNumberFormat="1" applyFont="1" applyBorder="1"/>
    <xf numFmtId="172" fontId="0" fillId="0" borderId="0" xfId="0" applyNumberFormat="1" applyFont="1" applyBorder="1"/>
    <xf numFmtId="172" fontId="0" fillId="0" borderId="69" xfId="0" applyNumberFormat="1" applyFont="1" applyBorder="1"/>
    <xf numFmtId="0" fontId="0" fillId="0" borderId="0" xfId="0" pivotButton="1" applyFont="1" applyBorder="1" applyAlignment="1">
      <alignment wrapText="1"/>
    </xf>
    <xf numFmtId="0" fontId="0" fillId="0" borderId="81" xfId="0" pivotButton="1" applyFont="1" applyBorder="1" applyAlignment="1">
      <alignment wrapText="1"/>
    </xf>
    <xf numFmtId="0" fontId="0" fillId="0" borderId="0" xfId="0" applyFont="1" applyBorder="1" applyAlignment="1">
      <alignment wrapText="1"/>
    </xf>
    <xf numFmtId="0" fontId="0" fillId="0" borderId="69" xfId="0" applyFont="1" applyBorder="1" applyAlignment="1">
      <alignment wrapText="1"/>
    </xf>
    <xf numFmtId="3" fontId="0" fillId="29" borderId="0" xfId="0" applyNumberFormat="1" applyFill="1"/>
    <xf numFmtId="168" fontId="0" fillId="34" borderId="0" xfId="0" applyNumberFormat="1" applyFill="1"/>
    <xf numFmtId="0" fontId="0" fillId="0" borderId="0" xfId="0" applyAlignment="1">
      <alignment wrapText="1"/>
    </xf>
    <xf numFmtId="0" fontId="71" fillId="0" borderId="0" xfId="0" applyFont="1"/>
    <xf numFmtId="0" fontId="71" fillId="0" borderId="0" xfId="0" pivotButton="1" applyFont="1" applyAlignment="1">
      <alignment wrapText="1"/>
    </xf>
    <xf numFmtId="2" fontId="71" fillId="0" borderId="0" xfId="0" applyNumberFormat="1" applyFont="1" applyAlignment="1">
      <alignment wrapText="1"/>
    </xf>
    <xf numFmtId="0" fontId="0" fillId="0" borderId="115" xfId="0" applyFont="1" applyBorder="1"/>
    <xf numFmtId="0" fontId="0" fillId="0" borderId="116" xfId="0" applyFont="1" applyBorder="1"/>
    <xf numFmtId="0" fontId="0" fillId="0" borderId="116" xfId="0" pivotButton="1" applyFont="1" applyBorder="1"/>
    <xf numFmtId="0" fontId="0" fillId="0" borderId="117" xfId="0" applyFont="1" applyBorder="1"/>
    <xf numFmtId="0" fontId="0" fillId="0" borderId="118" xfId="0" applyFont="1" applyBorder="1"/>
    <xf numFmtId="0" fontId="0" fillId="0" borderId="119" xfId="0" applyFont="1" applyBorder="1"/>
    <xf numFmtId="171" fontId="0" fillId="0" borderId="119" xfId="0" applyNumberFormat="1" applyFont="1" applyBorder="1"/>
    <xf numFmtId="172" fontId="0" fillId="0" borderId="119" xfId="0" applyNumberFormat="1" applyFont="1" applyBorder="1"/>
    <xf numFmtId="172" fontId="0" fillId="0" borderId="120" xfId="0" applyNumberFormat="1" applyFont="1" applyBorder="1"/>
    <xf numFmtId="0" fontId="11" fillId="25" borderId="89" xfId="0" applyFont="1" applyFill="1" applyBorder="1" applyAlignment="1" applyProtection="1">
      <alignment horizontal="center" vertical="center"/>
    </xf>
    <xf numFmtId="0" fontId="11" fillId="25" borderId="90" xfId="0" applyFont="1" applyFill="1" applyBorder="1" applyAlignment="1" applyProtection="1">
      <alignment horizontal="center" vertical="center"/>
    </xf>
    <xf numFmtId="0" fontId="8" fillId="0" borderId="0" xfId="0" applyFont="1" applyFill="1" applyBorder="1" applyAlignment="1" applyProtection="1">
      <alignment horizontal="left" vertical="center" wrapText="1"/>
    </xf>
    <xf numFmtId="0" fontId="8" fillId="31" borderId="0" xfId="0" applyFont="1" applyFill="1" applyBorder="1" applyAlignment="1">
      <alignment horizontal="center" wrapText="1"/>
    </xf>
    <xf numFmtId="0" fontId="6" fillId="0" borderId="0" xfId="0" applyFont="1" applyFill="1" applyAlignment="1">
      <alignment horizontal="center"/>
    </xf>
    <xf numFmtId="0" fontId="0" fillId="0" borderId="0" xfId="0" applyFill="1" applyAlignment="1">
      <alignment horizontal="center"/>
    </xf>
    <xf numFmtId="0" fontId="8" fillId="0" borderId="13" xfId="0" applyFont="1" applyBorder="1" applyAlignment="1">
      <alignment horizontal="left"/>
    </xf>
  </cellXfs>
  <cellStyles count="90">
    <cellStyle name="20 % - Dekorfärg1" xfId="1" builtinId="30" customBuiltin="1"/>
    <cellStyle name="20 % - Dekorfärg2" xfId="2" builtinId="34" customBuiltin="1"/>
    <cellStyle name="20 % - Dekorfärg3" xfId="3" builtinId="38" customBuiltin="1"/>
    <cellStyle name="20 % - Dekorfärg4" xfId="4" builtinId="42" customBuiltin="1"/>
    <cellStyle name="20 % - Dekorfärg5" xfId="5" builtinId="46" customBuiltin="1"/>
    <cellStyle name="20 % - Dekorfärg6" xfId="6" builtinId="50" customBuiltin="1"/>
    <cellStyle name="40 % - Dekorfärg1" xfId="7" builtinId="31" customBuiltin="1"/>
    <cellStyle name="40 % - Dekorfärg2" xfId="8" builtinId="35" customBuiltin="1"/>
    <cellStyle name="40 % - Dekorfärg3" xfId="9" builtinId="39" customBuiltin="1"/>
    <cellStyle name="40 % - Dekorfärg4" xfId="10" builtinId="43" customBuiltin="1"/>
    <cellStyle name="40 % - Dekorfärg5" xfId="11" builtinId="47" customBuiltin="1"/>
    <cellStyle name="40 % - Dekorfärg6" xfId="12" builtinId="51" customBuiltin="1"/>
    <cellStyle name="60 % - Dekorfärg1" xfId="13" builtinId="32" customBuiltin="1"/>
    <cellStyle name="60 % - Dekorfärg2" xfId="14" builtinId="36" customBuiltin="1"/>
    <cellStyle name="60 % - Dekorfärg3" xfId="15" builtinId="40" customBuiltin="1"/>
    <cellStyle name="60 % - Dekorfärg4" xfId="16" builtinId="44" customBuiltin="1"/>
    <cellStyle name="60 % - Dekorfärg5" xfId="17" builtinId="48" customBuiltin="1"/>
    <cellStyle name="60 % - Dekorfärg6" xfId="18" builtinId="52" customBuiltin="1"/>
    <cellStyle name="Anteckning" xfId="19" builtinId="10" customBuiltin="1"/>
    <cellStyle name="Beräkning" xfId="20" builtinId="22" customBuiltin="1"/>
    <cellStyle name="Bra" xfId="21" builtinId="26" customBuiltin="1"/>
    <cellStyle name="Dekorfärg1" xfId="23" builtinId="29" customBuiltin="1"/>
    <cellStyle name="Dekorfärg2" xfId="24" builtinId="33" customBuiltin="1"/>
    <cellStyle name="Dekorfärg3" xfId="25" builtinId="37" customBuiltin="1"/>
    <cellStyle name="Dekorfärg4" xfId="26" builtinId="41" customBuiltin="1"/>
    <cellStyle name="Dekorfärg5" xfId="27" builtinId="45" customBuiltin="1"/>
    <cellStyle name="Dekorfärg6" xfId="28" builtinId="49" customBuiltin="1"/>
    <cellStyle name="Dålig" xfId="22" builtinId="27" customBuiltin="1"/>
    <cellStyle name="Följd hyperlänk" xfId="50" builtinId="9" hidden="1"/>
    <cellStyle name="Följd hyperlänk" xfId="51" builtinId="9" hidden="1"/>
    <cellStyle name="Följd hyperlänk" xfId="52" builtinId="9" hidden="1"/>
    <cellStyle name="Följd hyperlänk" xfId="53" builtinId="9" hidden="1"/>
    <cellStyle name="Följd hyperlänk" xfId="54" builtinId="9" hidden="1"/>
    <cellStyle name="Följd hyperlänk" xfId="55" builtinId="9" hidden="1"/>
    <cellStyle name="Följd hyperlänk" xfId="56" builtinId="9" hidden="1"/>
    <cellStyle name="Följd hyperlänk" xfId="57" builtinId="9" hidden="1"/>
    <cellStyle name="Följd hyperlänk" xfId="58" builtinId="9" hidden="1"/>
    <cellStyle name="Följd hyperlänk" xfId="59" builtinId="9" hidden="1"/>
    <cellStyle name="Följd hyperlänk" xfId="60" builtinId="9" hidden="1"/>
    <cellStyle name="Följd hyperlänk" xfId="61" builtinId="9" hidden="1"/>
    <cellStyle name="Följd hyperlänk" xfId="62" builtinId="9" hidden="1"/>
    <cellStyle name="Följd hyperlänk" xfId="63" builtinId="9" hidden="1"/>
    <cellStyle name="Följd hyperlänk" xfId="64" builtinId="9" hidden="1"/>
    <cellStyle name="Följd hyperlänk" xfId="65" builtinId="9" hidden="1"/>
    <cellStyle name="Följd hyperlänk" xfId="66" builtinId="9" hidden="1"/>
    <cellStyle name="Följd hyperlänk" xfId="67" builtinId="9" hidden="1"/>
    <cellStyle name="Följd hyperlänk" xfId="68" builtinId="9" hidden="1"/>
    <cellStyle name="Följd hyperlänk" xfId="69" builtinId="9" hidden="1"/>
    <cellStyle name="Följd hyperlänk" xfId="70" builtinId="9" hidden="1"/>
    <cellStyle name="Följd hyperlänk" xfId="71" builtinId="9" hidden="1"/>
    <cellStyle name="Följd hyperlänk" xfId="72" builtinId="9" hidden="1"/>
    <cellStyle name="Följd hyperlänk" xfId="73" builtinId="9" hidden="1"/>
    <cellStyle name="Följd hyperlänk" xfId="74" builtinId="9" hidden="1"/>
    <cellStyle name="Följd hyperlänk" xfId="75" builtinId="9" hidden="1"/>
    <cellStyle name="Följd hyperlänk" xfId="76" builtinId="9" hidden="1"/>
    <cellStyle name="Följd hyperlänk" xfId="77" builtinId="9" hidden="1"/>
    <cellStyle name="Följd hyperlänk" xfId="78" builtinId="9" hidden="1"/>
    <cellStyle name="Följd hyperlänk" xfId="79" builtinId="9" hidden="1"/>
    <cellStyle name="Följd hyperlänk" xfId="80" builtinId="9" hidden="1"/>
    <cellStyle name="Följd hyperlänk" xfId="81" builtinId="9" hidden="1"/>
    <cellStyle name="Följd hyperlänk" xfId="82" builtinId="9" hidden="1"/>
    <cellStyle name="Följd hyperlänk" xfId="83" builtinId="9" hidden="1"/>
    <cellStyle name="Följd hyperlänk" xfId="84" builtinId="9" hidden="1"/>
    <cellStyle name="Förklarande text" xfId="29" builtinId="53" customBuiltin="1"/>
    <cellStyle name="Hyperlänk" xfId="48" builtinId="8"/>
    <cellStyle name="Indata" xfId="30" builtinId="20" customBuiltin="1"/>
    <cellStyle name="Kontrollcell" xfId="31" builtinId="23" customBuiltin="1"/>
    <cellStyle name="Länkad cell" xfId="32" builtinId="24" customBuiltin="1"/>
    <cellStyle name="Neutral" xfId="33" builtinId="28" customBuiltin="1"/>
    <cellStyle name="Normal" xfId="0" builtinId="0"/>
    <cellStyle name="Normal 2" xfId="34"/>
    <cellStyle name="Normal 3" xfId="49"/>
    <cellStyle name="Normal 4" xfId="35"/>
    <cellStyle name="Normal 5" xfId="86"/>
    <cellStyle name="Normal 6" xfId="88"/>
    <cellStyle name="Normal 7" xfId="89"/>
    <cellStyle name="Normal_Material" xfId="36"/>
    <cellStyle name="Normal_Test på estetiska" xfId="37"/>
    <cellStyle name="Procent" xfId="38" builtinId="5"/>
    <cellStyle name="Procent 2" xfId="39"/>
    <cellStyle name="Rubrik" xfId="40" builtinId="15" customBuiltin="1"/>
    <cellStyle name="Rubrik 1" xfId="41" builtinId="16" customBuiltin="1"/>
    <cellStyle name="Rubrik 2" xfId="42" builtinId="17" customBuiltin="1"/>
    <cellStyle name="Rubrik 3" xfId="43" builtinId="18" customBuiltin="1"/>
    <cellStyle name="Rubrik 4" xfId="44" builtinId="19" customBuiltin="1"/>
    <cellStyle name="Summa" xfId="45" builtinId="25" customBuiltin="1"/>
    <cellStyle name="Tusental" xfId="85" builtinId="3"/>
    <cellStyle name="Utdata" xfId="46" builtinId="21" customBuiltin="1"/>
    <cellStyle name="Valuta" xfId="87" builtinId="4"/>
    <cellStyle name="Varningstext" xfId="47" builtinId="11" customBuiltin="1"/>
  </cellStyles>
  <dxfs count="76">
    <dxf>
      <fill>
        <patternFill patternType="solid">
          <fgColor rgb="FFCCFFCC"/>
          <bgColor rgb="FF000000"/>
        </patternFill>
      </fill>
    </dxf>
    <dxf>
      <alignment wrapText="1" readingOrder="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71" formatCode="#,##0,&quot; tkr&quot;;[Red]\-#,##0,&quot; tkr&quot;"/>
    </dxf>
    <dxf>
      <numFmt numFmtId="171" formatCode="#,##0,&quot; tkr&quot;;[Red]\-#,##0,&quot; tkr&quot;"/>
    </dxf>
    <dxf>
      <numFmt numFmtId="171" formatCode="#,##0,&quot; tkr&quot;;[Red]\-#,##0,&quot; tkr&quot;"/>
    </dxf>
    <dxf>
      <numFmt numFmtId="172" formatCode="#,##0.0_ ;[Red]\-#,##0.0\ "/>
    </dxf>
    <dxf>
      <numFmt numFmtId="172" formatCode="#,##0.0_ ;[Red]\-#,##0.0\ "/>
    </dxf>
    <dxf>
      <numFmt numFmtId="171" formatCode="#,##0,&quot; tkr&quot;;[Red]\-#,##0,&quot; tkr&quot;"/>
    </dxf>
    <dxf>
      <alignment wrapText="1" readingOrder="0"/>
    </dxf>
    <dxf>
      <alignment wrapText="1" readingOrder="0"/>
    </dxf>
    <dxf>
      <alignment wrapText="1" readingOrder="0"/>
    </dxf>
    <dxf>
      <alignment wrapText="1" readingOrder="0"/>
    </dxf>
    <dxf>
      <alignment wrapText="1" readingOrder="0"/>
    </dxf>
    <dxf>
      <font>
        <b val="0"/>
      </font>
    </dxf>
    <dxf>
      <border>
        <left style="thin">
          <color indexed="64"/>
        </left>
        <right style="thin">
          <color indexed="64"/>
        </right>
        <top style="thin">
          <color indexed="64"/>
        </top>
        <bottom style="thin">
          <color indexed="64"/>
        </bottom>
      </border>
    </dxf>
    <dxf>
      <numFmt numFmtId="165" formatCode="#,##0.0"/>
    </dxf>
    <dxf>
      <numFmt numFmtId="165" formatCode="#,##0.0"/>
    </dxf>
    <dxf>
      <alignment wrapText="1" readingOrder="0"/>
    </dxf>
    <dxf>
      <numFmt numFmtId="171" formatCode="#,##0,&quot; tkr&quot;;[Red]\-#,##0,&quot; tkr&quot;"/>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71" formatCode="#,##0,&quot; tkr&quot;;[Red]\-#,##0,&quot; tkr&quot;"/>
    </dxf>
    <dxf>
      <font>
        <b/>
      </font>
    </dxf>
    <dxf>
      <font>
        <b/>
      </font>
    </dxf>
    <dxf>
      <font>
        <b/>
      </font>
    </dxf>
    <dxf>
      <font>
        <b/>
      </font>
    </dxf>
    <dxf>
      <font>
        <b/>
      </font>
    </dxf>
    <dxf>
      <font>
        <b/>
      </font>
    </dxf>
    <dxf>
      <font>
        <b/>
      </font>
    </dxf>
    <dxf>
      <font>
        <b/>
      </font>
    </dxf>
    <dxf>
      <alignment wrapText="1" readingOrder="0"/>
    </dxf>
    <dxf>
      <alignment wrapText="1" readingOrder="0"/>
    </dxf>
    <dxf>
      <alignment wrapText="1" readingOrder="0"/>
    </dxf>
    <dxf>
      <alignment wrapText="1" readingOrder="0"/>
    </dxf>
    <dxf>
      <numFmt numFmtId="171" formatCode="#,##0,&quot; tkr&quot;;[Red]\-#,##0,&quot; tkr&quot;"/>
    </dxf>
    <dxf>
      <numFmt numFmtId="171" formatCode="#,##0,&quot; tkr&quot;;[Red]\-#,##0,&quot; tkr&quot;"/>
    </dxf>
    <dxf>
      <numFmt numFmtId="3" formatCode="#,##0"/>
    </dxf>
    <dxf>
      <numFmt numFmtId="171" formatCode="#,##0,&quot; tkr&quot;;[Red]\-#,##0,&quot; tkr&quot;"/>
    </dxf>
  </dxfs>
  <tableStyles count="0" defaultTableStyle="TableStyleMedium9" defaultPivotStyle="PivotStyleLight16"/>
  <colors>
    <mruColors>
      <color rgb="FFFFFFCC"/>
      <color rgb="FFCCFFFF"/>
      <color rgb="FFCCFFCC"/>
      <color rgb="FF99FFCC"/>
      <color rgb="FFFFD653"/>
      <color rgb="FFFC8E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Agnetha Simm" refreshedDate="43558.329147916666" createdVersion="5" refreshedVersion="6" minRefreshableVersion="3" recordCount="132">
  <cacheSource type="worksheet">
    <worksheetSource ref="A1:T116" sheet="underlag medverkande 2"/>
  </cacheSource>
  <cacheFields count="20">
    <cacheField name="Kurskod NyA" numFmtId="0">
      <sharedItems containsBlank="1" count="122">
        <s v="6ES072"/>
        <s v="6HI015"/>
        <s v="6HI035"/>
        <s v="6ID017"/>
        <s v="6ID018"/>
        <s v="6ID303"/>
        <s v="6ID314"/>
        <s v="6KG002"/>
        <s v="6KG004"/>
        <s v="6KG006"/>
        <s v="6LI005"/>
        <s v="6LI013"/>
        <s v="6LU002"/>
        <s v="6LU003"/>
        <s v="6LU005"/>
        <s v="6LU006"/>
        <s v="6LU007"/>
        <s v="6LÄ046"/>
        <s v="6LÄ048"/>
        <s v="6LÄ055"/>
        <s v="6LÄ058"/>
        <s v="6MN041"/>
        <s v="6MN043"/>
        <s v="6MN044"/>
        <s v="6MN045"/>
        <s v="6NO043"/>
        <s v="6PE096"/>
        <s v="6PE098"/>
        <s v="6PE099"/>
        <s v="6PE103"/>
        <s v="6PE104"/>
        <s v="6PE107"/>
        <s v="6PE108"/>
        <s v="6PE111"/>
        <s v="6PE115"/>
        <s v="6PE129"/>
        <s v="6PE131"/>
        <s v="6PE135"/>
        <s v="6PE136"/>
        <s v="6PE143"/>
        <s v="6PE144"/>
        <s v="6PE145"/>
        <s v="6PE147"/>
        <s v="6PE183"/>
        <s v="6PE185"/>
        <s v="6PE187"/>
        <s v="6PE202"/>
        <s v="6PE209"/>
        <s v="6PE215"/>
        <s v="6PE216"/>
        <s v="6PE218"/>
        <s v="6PE219"/>
        <s v="6PE220"/>
        <s v="6PE221"/>
        <s v="6PE222"/>
        <s v="6PE223"/>
        <s v="6PE224"/>
        <s v="6PE225"/>
        <s v="6PE226"/>
        <s v="6PE227"/>
        <s v="6PE228"/>
        <s v="6PE236"/>
        <s v="6PE237"/>
        <s v="6PE238"/>
        <s v="6PE256"/>
        <s v="6PE257"/>
        <s v="6PE258"/>
        <s v="6PE260"/>
        <s v="6PE261"/>
        <s v="6PE262"/>
        <s v="6PE264"/>
        <s v="6PE265"/>
        <s v="6PE266"/>
        <s v="6PE268"/>
        <s v="6PE279"/>
        <s v="6PE302"/>
        <s v="6SD002"/>
        <s v="6SH009"/>
        <s v="6SH010"/>
        <s v="6SH011"/>
        <s v="6SH014"/>
        <s v="6SP050"/>
        <s v="6SP051"/>
        <s v="6SP052"/>
        <s v="6SP053"/>
        <s v="6SV020"/>
        <s v="6SV027"/>
        <s v="6SV028"/>
        <s v="6SY035"/>
        <s v="6SY038"/>
        <m/>
        <s v="6PE148" u="1"/>
        <s v="6PE303c" u="1"/>
        <s v="6PE303d" u="1"/>
        <s v="6MN028" u="1"/>
        <s v="6PE303e" u="1"/>
        <s v="6PE110" u="1"/>
        <s v="6PE196" u="1"/>
        <s v="6PE303f" u="1"/>
        <s v="6PE170" u="1"/>
        <s v="6PE303" u="1"/>
        <s v="6PE114" u="1"/>
        <s v="6PE189" u="1"/>
        <s v="6LÄ045" u="1"/>
        <s v="6SY027" u="1"/>
        <s v="6MN042" u="1"/>
        <s v="6LÄ047" u="1"/>
        <s v="6PE151" u="1"/>
        <s v="6GExx1" u="1"/>
        <s v="6PE152" u="1"/>
        <s v="6PE153" u="1"/>
        <s v="6SP040" u="1"/>
        <s v="6PE109" u="1"/>
        <s v="6PE154" u="1"/>
        <s v="6GExx4" u="1"/>
        <s v="6PE169" u="1"/>
        <s v="6PE130" u="1"/>
        <s v="6PE158" u="1"/>
        <s v="6PE159" u="1"/>
        <s v="6GExx9" u="1"/>
        <s v="6PE303b" u="1"/>
        <s v="6MN025" u="1"/>
      </sharedItems>
    </cacheField>
    <cacheField name="Benämning" numFmtId="0">
      <sharedItems containsBlank="1" count="115">
        <s v="Skapande lek i förskolan 1"/>
        <s v="Historia III forts."/>
        <s v="Historia 3"/>
        <s v="Idrott och hälsa 1"/>
        <s v="Idrott och hälsa 3"/>
        <s v="Idrott och hälsa III"/>
        <s v="Idrott och hälsa II för gymnasieskolan"/>
        <s v="Geografi II"/>
        <s v="Introduktion till geografi"/>
        <s v="Kartor och GIS"/>
        <s v="Specialpedagogik med fokus på svenska och matematik för F-3"/>
        <s v="Demokrati, individ och samhälle"/>
        <s v="Kunskap, undervisning och lärande I"/>
        <s v="Samhällsorientering åk 4-6"/>
        <s v="Kunskap, vetenskap och forskningsmetodik, 7,5 hp"/>
        <s v="Etik, demokrati och det heterogena klassrummet, 7,5 hp"/>
        <s v="Att undervisa i åk 4-6"/>
        <s v="Att undervisa i F-3"/>
        <s v="Språk, kommunikation och språkutveckling i förskolans verksamhet"/>
        <s v="Kommunikation och språkutveckling för fritidshem"/>
        <s v="Matematik 4 för förskoleklass och grundskolans årskurs 1-3"/>
        <s v="Matematik 3 för grundskolans årskurs 4-6"/>
        <s v="Matematik 4 för grundskolans årskurs 4-6"/>
        <s v="Matematik för förskolan"/>
        <s v="Naturvetenskap och teknik i förskolan"/>
        <s v="Kunskap, undervisning och lärande för förskolan (UK)"/>
        <s v="Lärande, lek och utveckling i förskolan I"/>
        <s v="Bedömning för lärande för förskolan 1 (UK)"/>
        <s v="Lärande, lek och utveckling i förskolan II"/>
        <s v="Lärande, lek och utveckling i förskolan III. Skapande och lek i förskolan I:II"/>
        <s v="Profession och vetenskap för förskolan (UK)"/>
        <s v="Profession och vetenskap i fritidshem (UK III)"/>
        <s v="Grupprocesser och samverkan ur ett fritidshemsperspektiv"/>
        <s v="Bedömning för lärande i fritidshem (UK II)"/>
        <s v="Kunskap, undervisning och lärande för yrkeslärare II"/>
        <s v="Bedömning för lärande för ämneslärare för åk 7-9 och gymnasium"/>
        <s v="Ämnesdidaktik för yrkeslärare"/>
        <s v="Profession och vetenskap för yrkeslärare"/>
        <s v="Läraryrkets dimensioner för åk 4-6 (VFU III)"/>
        <s v="Läraryrkets dimensioner för F-3 (VFU III)"/>
        <s v="Verksamhetsförlagd utbildning för yrkeslärare"/>
        <s v="Kunskap undervisning och lärande II"/>
        <s v="Förskollärare som profession"/>
        <s v="Ämneslärare som profession"/>
        <s v="Lärande och undervisning"/>
        <s v="Barns lärande och omsorg"/>
        <s v="Verksamhetsförlagd utbildning för yrkeslärare (VFU)"/>
        <s v="Vetenskap och kunskap (UK)"/>
        <s v="Bedömning (UK)"/>
        <s v="Utbildningens villkor och samhälleliga funktion (UK)"/>
        <s v="Den professionella läraren 1: Barns utveckling, specialpedagogik, sociala relationer och kommunikation (UK)"/>
        <s v="Utbildningsvetenskap, undervisning och lärande för förskolan (UK)"/>
        <s v="Specialpedagogik för förskolan (UK)"/>
        <s v="Specialpedagogik för grundskolan (UK)"/>
        <s v="Specialpedagogik - åk 7-9 och gymnasieskolan (UK)"/>
        <s v="Utbildningsvetenskap, undervisning och lärande för grundskolan - fritidshem (UK)"/>
        <s v="Utbildningsvetenskap, undervisning och lärande för grundskolan (UK)"/>
        <s v="Utbildningsvetenskap, undervisning och lärande - Ämneslärarprogrammet (UK)"/>
        <s v="Den professionella läraren 2: Uppdrag, ledarskap och undervisning (UK)"/>
        <s v="Barnet, omvärlden och fritidshemmets uppdrag"/>
        <s v="Bedömning för och av lärande i grundskolan (UK)"/>
        <s v="Bedömning för lärande i förskolan (UK)"/>
        <s v="Bedömning för och av lärande för åk 7-9 och gymnasium (UK)"/>
        <s v="Kunskap, undervisning och lärande 2"/>
        <s v="Läraryrkets dimensioner för förskoleklass och grundskolans årskurs 1-3 (VFU)"/>
        <s v="Läraryrkets dimensioner för grundskolans årskurs 4-6 (VFU)"/>
        <s v="Samhällsorientering för förskolan"/>
        <s v="Profession och vetenskap för fritidshem (UK)"/>
        <s v="Grundlärare som profession (UK)"/>
        <s v="Profession och vetenskap för åk 4-6 (UK III)"/>
        <s v="Profession och vetenskap för F-3 (UK III)"/>
        <s v="Att vara grundlärare (VFU)"/>
        <s v="Språk och matematik i ett specialpedagogiskt perspektiv"/>
        <s v="Pedagogiskt ledarskap, sociala relationer och konflikthantering"/>
        <s v="Examensarbete i svenska för ämneslärarexamen"/>
        <s v="Samhällskunskap 1"/>
        <s v="Samhällskunskap 2"/>
        <s v="Samhällskunskap 3"/>
        <s v="Profession och vetenskap"/>
        <s v="Introduktion till det specialpedagogiska fältet"/>
        <s v="Neuropsykiatriska svårigheter i olika lärmiljöer"/>
        <s v="Speciallärarens och specialpedagogens yrkesfunktion"/>
        <s v="Utvärdering, ledarskap och förändringsarbete"/>
        <s v="Svenska I för ämneslärare"/>
        <s v="Svenska II för ämneslärare"/>
        <s v="Svenska III för ämneslärare"/>
        <s v="Samhällsvetenskap"/>
        <s v="Beteendevetenskapliga grunder"/>
        <m/>
        <s v="Kunskap, undervisning och lärande II (7-9)(Gy), Mom 2 (Ma), 3 hp" u="1"/>
        <s v="Utbildningens villkor och samhälleliga funktion" u="1"/>
        <s v="Vetenskapliga metoder i geografi" u="1"/>
        <s v="Ämnesdidaktik i skolpraktiken, del 1" u="1"/>
        <s v="Kunskap, undervisning och lärande II (7-9)(Gy), Mom 2 (Bild+Mu+Slöjd), 3 hp" u="1"/>
        <s v="Kunskap, undervisning och lärande II (7-9)(Gy), Mom 2 (Hi+Re), 3 hp" u="1"/>
        <s v="Matematik för åk 4-6, kurs 4" u="1"/>
        <s v="Vetenskap och kunskap" u="1"/>
        <s v="Kunskap, undervisning och lärande II för åk 4-6" u="1"/>
        <s v="Kunskap, undervisning och lärande i fritidshem II" u="1"/>
        <s v="Matematik 2 för grundskolans årskurs 4-6" u="1"/>
        <s v="Kunskap, undervisning och lärande II (7-9)(Gy), Mom 2 (Hk), 3 hp" u="1"/>
        <s v="Kunskap, undervisning och lärande II (7-9)(Gy), Mom 2 (Sv+Eng), 3 hp" u="1"/>
        <s v="Den professionella läraren I: Barns och ungas utveckling, specialpedagogik, sociala relationer och kommunikation" u="1"/>
        <e v="#N/A" u="1"/>
        <s v="Barnet och omvärlden" u="1"/>
        <s v="Grundlärare som profession" u="1"/>
        <s v="Kunskap, undervisning och lärande II för 7-9 och gymnasiet" u="1"/>
        <s v="Kunskap undervisning och lärande II för F-3" u="1"/>
        <s v="Bedömning för lärande för åk F-3 och 4-6" u="1"/>
        <s v="Verksamhetsförlagd utbildning (KPU)" u="1"/>
        <s v="Bedömning" u="1"/>
        <s v="Matematik för åk F-3, kurs 4" u="1"/>
        <s v="Den professionella läraren II: Uppdrag, ledarskap och undervisning" u="1"/>
        <s v="Examensarbete" u="1"/>
        <s v="Barns lärande och utveckling i ett fritidshemsperspektiv" u="1"/>
      </sharedItems>
    </cacheField>
    <cacheField name="Org 1" numFmtId="0">
      <sharedItems containsString="0" containsBlank="1" containsNumber="1" containsInteger="1" minValue="1620" maxValue="5740"/>
    </cacheField>
    <cacheField name="Medv namn" numFmtId="0">
      <sharedItems containsBlank="1" count="22">
        <s v="Pedagogik                     "/>
        <s v="TUV "/>
        <s v="Ekonomisk historia            "/>
        <s v="Idrottsmedicin                "/>
        <s v="Kostvetenskap                 "/>
        <s v="Epidemiologi och global hälsa"/>
        <s v="EMG"/>
        <s v="NMD"/>
        <s v="Inst för kultur- o medievetenskap"/>
        <s v="Inst för psykologi            "/>
        <s v="Statistik                     "/>
        <s v="Geografi"/>
        <s v="Inst för MA och MA statistik"/>
        <s v="Inst för språkstudier"/>
        <s v="Estetiska ämnen               "/>
        <s v="Juridiska institutionen       "/>
        <s v="Inst för ide- o samhällsstudier"/>
        <s v="Statsvetenskap                "/>
        <s v="Nationalekonomi               "/>
        <s v="Sociologi                     "/>
        <m/>
        <s v="Geografi och ekonomisk historia" u="1"/>
      </sharedItems>
    </cacheField>
    <cacheField name="Fak medv" numFmtId="0">
      <sharedItems containsBlank="1"/>
    </cacheField>
    <cacheField name="% org 1" numFmtId="0">
      <sharedItems containsString="0" containsBlank="1" containsNumber="1" minValue="0.05" maxValue="1" count="36">
        <n v="0.2"/>
        <n v="0.25"/>
        <n v="0.15"/>
        <n v="0.16666666666666666"/>
        <n v="0.5"/>
        <n v="0.05"/>
        <n v="0.13333333333333333"/>
        <n v="0.46666666666666667"/>
        <n v="0.33333333333333331"/>
        <n v="0.26666666666666666"/>
        <n v="0.4"/>
        <n v="9.166666666666666E-2"/>
        <n v="7.4999999999999997E-2"/>
        <n v="0.8"/>
        <n v="0.1"/>
        <n v="0.17857142857142858"/>
        <n v="0.35555555555555557"/>
        <n v="0.48888888888888887"/>
        <n v="0.125"/>
        <n v="0.41666666666666669"/>
        <n v="8.3333333333333329E-2"/>
        <n v="0.375"/>
        <n v="0.22727272727272727"/>
        <n v="9.0909090909090912E-2"/>
        <n v="0.3"/>
        <n v="0.16"/>
        <n v="0.24000000000000002"/>
        <n v="0.18000000000000002"/>
        <n v="0.26999999999999996"/>
        <n v="0.7"/>
        <n v="0.6"/>
        <m/>
        <n v="0.2857142857142857" u="1"/>
        <n v="0.35" u="1"/>
        <n v="0.14285714285714285" u="1"/>
        <n v="1" u="1"/>
      </sharedItems>
    </cacheField>
    <cacheField name="Ansv org" numFmtId="0">
      <sharedItems containsString="0" containsBlank="1" containsNumber="1" containsInteger="1" minValue="1620" maxValue="5740"/>
    </cacheField>
    <cacheField name="Kursansvar namn" numFmtId="0">
      <sharedItems containsBlank="1" count="12">
        <s v="Estetiska ämnen               "/>
        <s v="Inst för ide- o samhällsstudier"/>
        <s v="Pedagogik                     "/>
        <s v="Geografi"/>
        <s v="Inst för språkstudier"/>
        <s v="NMD"/>
        <s v="TUV "/>
        <s v="Statsvetenskap                "/>
        <m/>
        <s v="EMG" u="1"/>
        <s v="Geografi och ekonomisk historia" u="1"/>
        <e v="#N/A" u="1"/>
      </sharedItems>
    </cacheField>
    <cacheField name="Fak kursansvar" numFmtId="0">
      <sharedItems containsBlank="1"/>
    </cacheField>
    <cacheField name="Total HST" numFmtId="0">
      <sharedItems containsString="0" containsBlank="1" containsNumber="1" minValue="0" maxValue="48.618749999999999"/>
    </cacheField>
    <cacheField name="HST Medv" numFmtId="0">
      <sharedItems containsString="0" containsBlank="1" containsNumber="1" minValue="0" maxValue="19.447500000000002"/>
    </cacheField>
    <cacheField name="Total HPR" numFmtId="0">
      <sharedItems containsString="0" containsBlank="1" containsNumber="1" minValue="0" maxValue="41.325937499999995"/>
    </cacheField>
    <cacheField name="HPR Medv" numFmtId="0">
      <sharedItems containsString="0" containsBlank="1" containsNumber="1" minValue="0" maxValue="16.530374999999999"/>
    </cacheField>
    <cacheField name="Prislapp HST" numFmtId="0">
      <sharedItems containsString="0" containsBlank="1" containsNumber="1" minValue="15846" maxValue="45034"/>
    </cacheField>
    <cacheField name="Prislapp HPR" numFmtId="0">
      <sharedItems containsString="0" containsBlank="1" containsNumber="1" minValue="15773" maxValue="34806"/>
    </cacheField>
    <cacheField name="Lokalin/hst" numFmtId="0">
      <sharedItems containsString="0" containsBlank="1" containsNumber="1" containsInteger="1" minValue="3400" maxValue="34500"/>
    </cacheField>
    <cacheField name="Kursintäkt" numFmtId="0">
      <sharedItems containsString="0" containsBlank="1" containsNumber="1" minValue="0" maxValue="935601.72224999999"/>
    </cacheField>
    <cacheField name="Avdrag" numFmtId="0">
      <sharedItems containsString="0" containsBlank="1" containsNumber="1" minValue="-65492.120557500006" maxValue="0"/>
    </cacheField>
    <cacheField name="Kursintäkt efter avdrag" numFmtId="0">
      <sharedItems containsString="0" containsBlank="1" containsNumber="1" minValue="0" maxValue="870109.60169249994"/>
    </cacheField>
    <cacheField name="Lokalintäkt" numFmtId="0">
      <sharedItems containsString="0" containsBlank="1" containsNumber="1" minValue="0" maxValue="133687.5"/>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gnetha Simm" refreshedDate="43733.598074189817" createdVersion="6" refreshedVersion="6" minRefreshableVersion="3" recordCount="1277">
  <cacheSource type="worksheet">
    <worksheetSource ref="A1:BN1278" sheet="kurser alla"/>
  </cacheSource>
  <cacheFields count="66">
    <cacheField name="Kurskod NyA" numFmtId="0">
      <sharedItems count="435">
        <s v="2ID004"/>
        <s v="2IT029"/>
        <s v="5BI137"/>
        <s v="5BI184"/>
        <s v="5BI194"/>
        <s v="5BI234"/>
        <s v="5BI235"/>
        <s v="5DV157"/>
        <s v="5EL204"/>
        <s v="5FY001"/>
        <s v="5FY020"/>
        <s v="5FY040"/>
        <s v="5FY041"/>
        <s v="5FY083"/>
        <s v="5FY091"/>
        <s v="5FY127"/>
        <s v="5FY140"/>
        <s v="5FY154"/>
        <s v="5FY178"/>
        <s v="5FY185"/>
        <s v="5FY205"/>
        <s v="5KE002"/>
        <s v="5KE011"/>
        <s v="5KE020"/>
        <s v="5KE034"/>
        <s v="5KE038"/>
        <s v="5KE111"/>
        <s v="5KE165"/>
        <s v="5KE177"/>
        <s v="5KE180"/>
        <s v="5MA121"/>
        <s v="5MA143"/>
        <s v="6BI009"/>
        <s v="6BI020"/>
        <s v="6BI022"/>
        <s v="6BI023"/>
        <s v="6BI100"/>
        <s v="6BI101"/>
        <s v="6BI102"/>
        <s v="6DV000"/>
        <s v="6EN019"/>
        <s v="6EN035"/>
        <s v="6EN036"/>
        <s v="6EN038"/>
        <s v="6EN039"/>
        <s v="6EN040"/>
        <s v="6EN041"/>
        <s v="6EN042"/>
        <s v="6EN043"/>
        <s v="6EN044"/>
        <s v="6ES026"/>
        <s v="6ES034"/>
        <s v="6ES037"/>
        <s v="6ES038"/>
        <s v="6ES051"/>
        <s v="6ES066"/>
        <s v="6ES067"/>
        <s v="6ES068"/>
        <s v="6ES070"/>
        <s v="6ES071"/>
        <s v="6ES072"/>
        <s v="6ES075"/>
        <s v="6ES077"/>
        <s v="6ES079"/>
        <s v="6ES080"/>
        <s v="6ES082"/>
        <s v="6ES084"/>
        <s v="6ES085"/>
        <s v="6ES087"/>
        <s v="6ES089"/>
        <s v="6ES091"/>
        <s v="6ES092"/>
        <s v="6ES093"/>
        <s v="6ES094"/>
        <s v="6ES095"/>
        <s v="6ES097"/>
        <s v="6ES099"/>
        <s v="6ES100"/>
        <s v="6ES101"/>
        <s v="6ES102"/>
        <s v="6ES103"/>
        <s v="6ES104"/>
        <s v="6ES105"/>
        <s v="6FA005"/>
        <s v="6FA008"/>
        <s v="6FRIPED1"/>
        <s v="6FRISPRÅK1"/>
        <s v="6FRISPRÅK2"/>
        <s v="6FRISPRÅK3"/>
        <s v="6FY008"/>
        <s v="6FY009"/>
        <s v="6FY011"/>
        <s v="6FY101"/>
        <s v="6FY102"/>
        <s v="6GV000"/>
        <s v="6GV001"/>
        <s v="6GV002"/>
        <s v="6GV003"/>
        <s v="6HI014"/>
        <s v="6HI023"/>
        <s v="6HI029"/>
        <s v="6HI032"/>
        <s v="6HI033"/>
        <s v="6HI034"/>
        <s v="6HI035"/>
        <s v="6ID013"/>
        <s v="6ID015"/>
        <s v="6ID016"/>
        <s v="6ID017"/>
        <s v="6ID018"/>
        <s v="6ID314"/>
        <s v="6IT023"/>
        <s v="6IT047"/>
        <s v="6KE004"/>
        <s v="6KE101"/>
        <s v="6KE102"/>
        <s v="6KG003"/>
        <s v="6KG004"/>
        <s v="6KG005"/>
        <s v="6KG006"/>
        <s v="6KG007"/>
        <s v="6KG008"/>
        <s v="6KN011"/>
        <s v="6KN015"/>
        <s v="6KN016"/>
        <s v="6KN022"/>
        <s v="6KN023"/>
        <s v="6KS000"/>
        <s v="6KS001"/>
        <s v="6LI009"/>
        <s v="6LI010"/>
        <s v="6LI011"/>
        <s v="6LI013"/>
        <s v="6LU002"/>
        <s v="6LU003"/>
        <s v="6LU005"/>
        <s v="6LU006"/>
        <s v="6LU007"/>
        <s v="6LÄ046"/>
        <s v="6LÄ048"/>
        <s v="6LÄ053"/>
        <s v="6LÄ054"/>
        <s v="6LÄ055"/>
        <s v="6LÄ058"/>
        <s v="6MA034"/>
        <s v="6MA036"/>
        <s v="6MA037"/>
        <s v="6MA038"/>
        <s v="6MA040"/>
        <s v="6MA041"/>
        <s v="6MA042"/>
        <s v="6MA043"/>
        <s v="6MA044"/>
        <s v="6MA045"/>
        <s v="6MA046"/>
        <s v="6MA047"/>
        <s v="6MA048"/>
        <s v="6MA049"/>
        <s v="6MA050"/>
        <s v="6MN036"/>
        <s v="6MN039"/>
        <s v="6MN040"/>
        <s v="6MN041"/>
        <s v="6MN042"/>
        <s v="6MN043"/>
        <s v="6MN044"/>
        <s v="6MN045"/>
        <s v="6MN047"/>
        <s v="6MN048"/>
        <s v="6MN049"/>
        <s v="6MN050"/>
        <s v="6MN051"/>
        <s v="6MS002"/>
        <s v="6MS003"/>
        <s v="6MU018"/>
        <s v="6MU019"/>
        <s v="6MU020"/>
        <s v="6MU021"/>
        <s v="6MU023"/>
        <s v="6MU033"/>
        <s v="6MU034"/>
        <s v="6MU044"/>
        <s v="6MU047"/>
        <s v="6MU048"/>
        <s v="6MU052"/>
        <s v="6MU061"/>
        <s v="6MU065"/>
        <s v="6NE001"/>
        <s v="6NK000"/>
        <s v="6NK036"/>
        <s v="6NK101"/>
        <s v="6NK102"/>
        <s v="6NO023"/>
        <s v="6NO031"/>
        <s v="6NO036"/>
        <s v="6NO039"/>
        <s v="6NO040"/>
        <s v="6NO041"/>
        <s v="6NO042"/>
        <s v="6NO043"/>
        <s v="6NO044"/>
        <s v="6PE055"/>
        <s v="6PE111"/>
        <s v="6PE118"/>
        <s v="6PE129"/>
        <s v="6PE134"/>
        <s v="6PE135"/>
        <s v="6PE136"/>
        <s v="6PE138"/>
        <s v="6PE146"/>
        <s v="6PE182"/>
        <s v="6PE183"/>
        <s v="6PE184"/>
        <s v="6PE185"/>
        <s v="6PE186"/>
        <s v="6PE187"/>
        <s v="6PE192"/>
        <s v="6PE193"/>
        <s v="6PE194"/>
        <s v="6PE195"/>
        <s v="6PE198"/>
        <s v="6PE199"/>
        <s v="6PE200"/>
        <s v="6PE201"/>
        <s v="6PE202"/>
        <s v="6PE203"/>
        <s v="6PE205"/>
        <s v="6PE206"/>
        <s v="6PE207"/>
        <s v="6PE208"/>
        <s v="6PE209"/>
        <s v="6PE212"/>
        <s v="6PE213"/>
        <s v="6PE214"/>
        <s v="6PE216"/>
        <s v="6PE218"/>
        <s v="6PE219"/>
        <s v="6PE220"/>
        <s v="6PE221"/>
        <s v="6PE222"/>
        <s v="6PE223"/>
        <s v="6PE224"/>
        <s v="6PE225"/>
        <s v="6PE226"/>
        <s v="6PE227"/>
        <s v="6PE228"/>
        <s v="6PE229"/>
        <s v="6PE234"/>
        <s v="6PE235"/>
        <s v="6PE236"/>
        <s v="6PE237"/>
        <s v="6PE238"/>
        <s v="6PE239"/>
        <s v="6PE240"/>
        <s v="6PE241"/>
        <s v="6PE242"/>
        <s v="6PE243"/>
        <s v="6PE244"/>
        <s v="6PE245"/>
        <s v="6PE246"/>
        <s v="6PE249"/>
        <s v="6PE250"/>
        <s v="6PE251"/>
        <s v="6PE252"/>
        <s v="6PE253"/>
        <s v="6PE254"/>
        <s v="6PE255"/>
        <s v="6PE256"/>
        <s v="6PE257"/>
        <s v="6PE258"/>
        <s v="6PE259"/>
        <s v="6PE260"/>
        <s v="6PE261"/>
        <s v="6PE262"/>
        <s v="6PE263"/>
        <s v="6PE264"/>
        <s v="6PE265"/>
        <s v="6PE266"/>
        <s v="6PE267"/>
        <s v="6PE268"/>
        <s v="6PE269"/>
        <s v="6PE271"/>
        <s v="6PE272"/>
        <s v="6PE273"/>
        <s v="6PE274"/>
        <s v="6PE275"/>
        <s v="6PE276"/>
        <s v="6PE277"/>
        <s v="6PE278"/>
        <s v="6PE279"/>
        <s v="6PE280"/>
        <s v="6PE302"/>
        <s v="6RV001"/>
        <s v="6RV011"/>
        <s v="6RV018"/>
        <s v="6RV019"/>
        <s v="6RV020"/>
        <s v="6RV021"/>
        <s v="6RV022"/>
        <s v="6RV023"/>
        <s v="6SA008"/>
        <s v="6SA011"/>
        <s v="6SA012"/>
        <s v="6SA013"/>
        <s v="6SA014"/>
        <s v="6SD002"/>
        <s v="6SD003"/>
        <s v="6SD004"/>
        <s v="6SD005"/>
        <s v="6SD007"/>
        <s v="6SD008"/>
        <s v="6SD010"/>
        <s v="6SD011"/>
        <s v="6SD012"/>
        <s v="6SH009"/>
        <s v="6SH010"/>
        <s v="6SH011"/>
        <s v="6SH013"/>
        <s v="6SH014"/>
        <s v="6SL021"/>
        <s v="6SL022"/>
        <s v="6SL030"/>
        <s v="6SL035"/>
        <s v="6SL036"/>
        <s v="6SL037"/>
        <s v="6SL038"/>
        <s v="6SM007"/>
        <s v="6SOMKostv1"/>
        <s v="6SP050"/>
        <s v="6SP051"/>
        <s v="6SP052"/>
        <s v="6SP053"/>
        <s v="6SP054"/>
        <s v="6SP055"/>
        <s v="6SP056"/>
        <s v="6SP057"/>
        <s v="6SP058"/>
        <s v="6SP059"/>
        <s v="6SP060"/>
        <s v="6ST000"/>
        <s v="6ST001"/>
        <s v="6SV020"/>
        <s v="6SV021"/>
        <s v="6SV022"/>
        <s v="6SV023"/>
        <s v="6SV024"/>
        <s v="6SV025"/>
        <s v="6SV026"/>
        <s v="6SV027"/>
        <s v="6SV028"/>
        <s v="6SV057"/>
        <s v="6SV058"/>
        <s v="6SV060"/>
        <s v="6SV063"/>
        <s v="6SV066"/>
        <s v="6SV067"/>
        <s v="6SV068"/>
        <s v="6SV069"/>
        <s v="6SV070"/>
        <s v="6SV072"/>
        <s v="6SV073"/>
        <s v="6SV074"/>
        <s v="6SY003"/>
        <s v="6SY013"/>
        <s v="6SY016"/>
        <s v="6SY018"/>
        <s v="6SY028"/>
        <s v="6SY029"/>
        <s v="6SY030"/>
        <s v="6SY031"/>
        <s v="6SY032"/>
        <s v="6SY033"/>
        <s v="6SY034"/>
        <s v="6SY035"/>
        <s v="6SY036"/>
        <s v="6SY037"/>
        <s v="6SY038"/>
        <s v="6TE004"/>
        <s v="6TX003"/>
        <s v="6TX016"/>
        <s v="6TX017"/>
        <s v="6TX020"/>
        <s v="6TX021"/>
        <s v="6TX023"/>
        <s v="6TX025"/>
        <s v="6TX026"/>
        <s v="6TX027"/>
        <s v="6TX028"/>
        <s v="6TX029"/>
        <s v="6TX030"/>
        <s v="6TX031"/>
        <s v="6TX032"/>
        <s v="6TX033"/>
        <s v="6TY012"/>
        <s v="6TY013"/>
        <s v="6TY014"/>
        <s v="6TY021"/>
        <s v="6TY023"/>
        <s v="6FRIEST3" u="1"/>
        <s v="6FRIPED2" u="1"/>
        <s v="6SOMSpråk1" u="1"/>
        <s v="6MU022" u="1"/>
        <s v="6ES086" u="1"/>
        <s v="6FRITUV2" u="1"/>
        <s v="6SOMSpråk2" u="1"/>
        <s v="5KE081" u="1"/>
        <s v="6TX018" u="1"/>
        <s v="6FRIEST2" u="1"/>
        <s v="6SOMSpråk3" u="1"/>
        <s v="6ES076" u="1"/>
        <s v="6KG009" u="1"/>
        <s v="6FA004" u="1"/>
        <s v="6GEund" u="1"/>
        <s v="5MS042" u="1"/>
        <s v="6FRITUV1" u="1"/>
        <s v="5FY129" u="1"/>
        <s v="6FA006" u="1"/>
        <s v="6ES052" u="1"/>
        <s v="6FRIEST1" u="1"/>
        <s v="5MA164" u="1"/>
        <s v="6ES069" u="1"/>
        <s v="6MU050" u="1"/>
        <s v="6SOMPed1" u="1"/>
        <s v="6PE107" u="1"/>
        <s v="6FY100" u="1"/>
        <s v="5FY155" u="1"/>
        <s v="6KE100" u="1"/>
        <s v="6PE230" u="1"/>
        <s v="6TY020" u="1"/>
        <s v="6PE231" u="1"/>
        <s v="6MA029" u="1"/>
        <s v="6PE232" u="1"/>
        <s v="6EX30" u="1"/>
        <s v="6PE233" u="1"/>
        <s v="6RV000" u="1"/>
      </sharedItems>
    </cacheField>
    <cacheField name="Benämn" numFmtId="0">
      <sharedItems count="410">
        <s v="Anpassad fysisk aktivitet med inriktning mot rörelsehinder"/>
        <s v="Digital kompetens och lärande I"/>
        <s v="Fysiologi och cellbiologi"/>
        <s v="Naturens mångfald"/>
        <s v="Genetik och evolution"/>
        <s v="Ekologi"/>
        <s v="Ekologi A"/>
        <s v="Programmeringsteknik med C och Matlab"/>
        <s v="Analog kretsteknik"/>
        <s v="Analytisk mekanik, 6 hp"/>
        <s v="Fasta tillståndets fysik C, 7,5 hp"/>
        <s v="Klassisk mekanik A"/>
        <s v="Termodynamik B"/>
        <s v="Vågfysik och optik B"/>
        <s v="Elektromagnetismens grunder"/>
        <s v="Kvantfysik, 6 hp"/>
        <s v="Fördjupning i termodynamik"/>
        <s v="Avancerade material, 7,5 hp"/>
        <s v="Solceller, 7,5 hp"/>
        <s v="Modern fysik"/>
        <s v="Akvatisk kemi"/>
        <s v="Bioorganisk kemi, 15 hp"/>
        <s v="Biokemi 15 hp"/>
        <s v="Biofysikalisk kemi: Termodynamik"/>
        <s v="Biofysikalisk kemi: Spektroskopi"/>
        <s v="Biologisk kemi"/>
        <s v="Kemins grunder"/>
        <s v="Avancerad miljökemi"/>
        <s v="Organisk kemi"/>
        <s v="Differentialekvationer för teknologer"/>
        <s v="Introduktion till diskret matematik"/>
        <s v="Examensarbete för ämneslärarexamen - Biologi"/>
        <s v="Läraryrkets dimensioner - ingångsämne biologi (VFU)"/>
        <s v="Naturens mångfald för naturkunskapslärare"/>
        <s v="Artkunskap och systematik för biologilärare"/>
        <s v="Biologididaktik för ämneslärare för åk 7-9"/>
        <s v="Biologididaktik 1 för ämneslärare för gymnasium"/>
        <s v="Biologididaktik 2 för ämneslärare för gymnasium"/>
        <s v="Engelska I för ämneslärare med inriktning mot gymnasiet"/>
        <s v="Engelska 3 för ämneslärare med inriktning mot gymnasiet"/>
        <s v="Engelska 2 för ämneslärare med inriktning mot gymnasiet"/>
        <s v="Att undervisa i engelska (VFU)"/>
        <s v="Engelska för F-3, kurs 1"/>
        <s v="Engelska för åk 4-6, kurs 1"/>
        <s v="Engelska för F-3, kurs 2"/>
        <s v="Engelska för åk 4-6, kurs 2"/>
        <s v="Engelska för åk 4-6, kurs 3"/>
        <s v="Kommunikativ kompetens i engelska för grundlärare"/>
        <s v="Skapande bild, distans"/>
        <s v="Bild 3"/>
        <s v="Läraryrkets dimensioner (Estetiska ämnen)"/>
        <s v="Examensarbete - estetiska ämnen"/>
        <s v="Bild 2a, distans"/>
        <s v="Ämnesdidaktik i skolpraktiken, del 1"/>
        <s v="Ämnesdidaktik i skolpraktiken, del 2"/>
        <s v="Examensarbete med ämnesdidaktisk inriktning"/>
        <s v="Bild 2, fristående "/>
        <s v="Forskning och utvecklingsarbete i skolan 1"/>
        <s v="Skapande lek i förskolan 1"/>
        <s v="Praktiskt estetiskt ämne - Bild 1"/>
        <s v="Praktiskt estetiskt ämne - Bild 2"/>
        <s v="Undervisning och lärande 1"/>
        <s v="Läraryrkets dimensioner för fritidshem 2 (VFU)"/>
        <s v="Bild 1, distans"/>
        <s v="Undervisning och lärande 2"/>
        <s v="Bild 3, fristående"/>
        <s v="Vetenskaplig teori och metod 1"/>
        <s v="Bild fördjupning 2 fristående"/>
        <s v="Bild 2b, distans"/>
        <s v="Bild 2a"/>
        <s v="Bild 2b"/>
        <s v="Skapande och lek för förskolan 2"/>
        <s v="Att undervisa i musik"/>
        <s v="Att undervisa i slöjd - textil"/>
        <s v="Magisteruppsats i pedagogisk yrkesverksamhet"/>
        <s v="Bild 1"/>
        <s v="Bild 1, fristående "/>
        <s v="Vetenskaplig teori och metod 2"/>
        <s v="Bild fördjupning 3"/>
        <s v="Bild fördjupning 3, fristående"/>
        <s v="Franska II för ämneslärare"/>
        <s v="Franska för ämneslärare, kurs 1"/>
        <s v="Idrott, fostran och socialisation"/>
        <s v="Svenska som andraspråk A, del 1"/>
        <s v="Språkdidaktik: Undervisning för elever i språk-,  läs- och skrivsvårigheter"/>
        <s v="Språkdidaktik, Examensarbete för magisterexamen"/>
        <s v="Examensarbete för ämneslärarexamen - Fysik"/>
        <s v="Astronomi och meteorologi"/>
        <s v="Matematiska metoder i fysik"/>
        <s v="Fysikdidaktik 1 för ämneslärare för gymnasium"/>
        <s v="Fysikdidaktik 2 för ämneslärare för gymnasium"/>
        <s v="Processer i naturen"/>
        <s v="Klimatförändringar"/>
        <s v="Vetenskapliga metoder i geografi"/>
        <s v="Historia II forts."/>
        <s v="Läraryrketes dimensioner"/>
        <s v="Examensarbete för ämneslärarexamen - historia"/>
        <s v="Att undervisa i historia (VFU)"/>
        <s v="Historia 2"/>
        <s v="Historia 1"/>
        <s v="Historia 3"/>
        <s v="Examensarbete i Idrott och hälsa för ämneslärarexamen"/>
        <s v="Praktiskt estetiskt ämne - Idrott och hälsa 2"/>
        <s v="Praktiskt estetiskt ämne - Idrott och hälsa 1"/>
        <s v="Idrott och hälsa 1"/>
        <s v="Idrott och hälsa 3"/>
        <s v="Idrott och hälsa II för gymnasieskolan"/>
        <s v="Matematikundervisning med IT"/>
        <s v="Design av digital didaktik"/>
        <s v="Examensarbete för ämneslärarexamen - Kemi"/>
        <s v="Kemididaktik 1 för ämneslärare för gymnasium"/>
        <s v="Kemididaktik 2 för ämneslärare för gymnasium"/>
        <s v="Ekonomisk och soial geografi"/>
        <s v="Introduktion till geografi"/>
        <s v="Befolkningsgeografi"/>
        <s v="Kartor och GIS"/>
        <s v="Geografididaktik 1"/>
        <s v="Geografididaktik 2"/>
        <s v="Hem- och konsumentkunskap B, distans"/>
        <s v="Hem- och konsumentkunskap B15, distans"/>
        <s v="Hem- och konsumentkunskap C - fördjupning"/>
        <s v="Examensarbete i kostvetenskap för ämneslärarexamen med inriktning hem- och konsumentkunskap"/>
        <s v="Hem- och konsumentkunskap, distans A"/>
        <s v="Kulturslöjd - tradition, hantverk och nytänkande"/>
        <s v="Folkmusikdidaktik"/>
        <s v="Ditt barns språk 2. Språkutveckling mellan 2 och 4 år"/>
        <s v="Ditt barns språk I - Språkutvecklingen mellan 0 och 2 år"/>
        <s v="Människans språk: Lingvistik för lärare"/>
        <s v="Specialpedagogik med fokus på svenska och matematik för F-3"/>
        <s v="Demokrati, individ och samhälle"/>
        <s v="Kunskap, undervisning och lärande I"/>
        <s v="Samhällsorientering åk 4-6"/>
        <s v="Kunskap, vetenskap och forskningsmetodik, 7,5 hp"/>
        <s v="Etik, demokrati och det heterogena klassrummet, 7,5 hp"/>
        <s v="Att undervisa i åk 4-6"/>
        <s v="Att undervisa i F-3"/>
        <s v="Läraryrkets dimensioner - ingångsämne engelska"/>
        <s v="Läraryrkets dimensioner - ingångsämne svenska"/>
        <s v="Språk, kommunikation och språkutveckling i förskolans verksamhet"/>
        <s v="Kommunikation och språkutveckling för fritidshem"/>
        <s v="Läraryrkets dimensioner - ingångsämne matematik"/>
        <s v="Linjär algebra"/>
        <s v="Matematik 2 för förskoleklass och grundskolans årskurs 1-3"/>
        <s v="Matematik 1 för grundskolans årskurs 4-6"/>
        <s v="Algebra"/>
        <s v="Envariabelanalys 1"/>
        <s v="Matematiska metoder"/>
        <s v="Diskret matematik"/>
        <s v="Problemlösning och matematiska resonemang"/>
        <s v="Differentialekvationer och flervariabelanalys"/>
        <s v="Envariabelanalys 2"/>
        <s v="Flervariabelanalys"/>
        <s v="Matematikens historia"/>
        <s v="Att undervisa i matematik (VFU)"/>
        <s v="Differentialekvationer"/>
        <s v="Examensarbete för ämneslärarexamen - Matematik"/>
        <s v="Matematik 1 för förskoleklass och grundskolans årskurs 1-3"/>
        <s v="Matematik 3 för förskoleklass och grundskolans årskurs 1-3"/>
        <s v="Matematik 4 för förskoleklass och grundskolans årskurs 1-3"/>
        <s v="Matematik 2 för grundskolans årskurs 4-6"/>
        <s v="Matematik 3 för grundskolans årskurs 4-6"/>
        <s v="Matematik 4 för grundskolans årskurs 4-6"/>
        <s v="Matematik för förskolan"/>
        <s v="Matematik 2 för lärande och undervisning för förskoleklass och grundskolans årskurs 1-3"/>
        <s v="Matematik 2 för lärande och undervisning för grundskolans årskurs 4-6"/>
        <s v="Matematik 1 för lärande och undervisning för förskoleklass och grundskolans årskurs 1-6"/>
        <s v="Matematikdidaktik 1 för grundskolans åk 7-9 och gymnasiet"/>
        <s v="Matematikdidaktik 2 för grundskolans åk 7-9 och gymnasiet"/>
        <s v="Statistik för lärare"/>
        <s v="Statistik för naturvetare"/>
        <s v="Musik &amp; skapande, kommunikation"/>
        <s v="Musik 1a"/>
        <s v="Musik 1b"/>
        <s v="Musik 1"/>
        <s v="Musik 3"/>
        <s v="Musik 2a, distans"/>
        <s v="Musik 2b, distans"/>
        <s v="Musik 1 30 hp, fristående"/>
        <s v="Musik 2 30.0 hp, fristående"/>
        <s v="Musik 3, fristående "/>
        <s v="Musik fördjupning 1"/>
        <s v="Musik 2"/>
        <s v="Musik fördjupning 2"/>
        <s v="Makroekonomi och arbetsmarknad A23"/>
        <s v="Att undervisa i naturkunskap (VFU)"/>
        <s v="Examensarbete - Naturkunskap"/>
        <s v="Naturkunskapsdidaktik 1 för ämneslärare för gymnasiet"/>
        <s v="Naturkunskapsdidaktik 2 för ämneslärare för gymnasiet"/>
        <s v="Naturorientering och teknik för lärande och undervisning för åk F-3 och 4-6"/>
        <s v="Naturorientering och teknik för lärande och undervisning för åk 4-6, del II"/>
        <s v="Matematik, naturvetenskap och utomhuspedagogik för fritidshem"/>
        <s v="Naturorientering och teknik för förskoleklass och grundskolans årskurs 1-3"/>
        <s v="Naturorientering och teknik för förskoleklass och grundskolans årskurs 4-6"/>
        <s v="Matematik, naturvetenskap och utomhuspedagogik - Sommar"/>
        <s v="Utomhuspedagogik, naturvetenskap och matematik i förskola, fritidshem och grundskola"/>
        <s v="Naturvetenskap och teknik i förskolan"/>
        <s v="Utomhuspedagogik och naturvetenskap - Sommar"/>
        <s v="Examensarbete för Studie- och yrkesvägledarprogrammet"/>
        <s v="Grupprocesser och samverkan ur ett fritidshemsperspektiv"/>
        <s v="Examensarbete grundlärare - fritidshem"/>
        <s v="Kunskap, undervisning och lärande för yrkeslärare II"/>
        <s v="Vetenskapsteori och vetenskaplig metod"/>
        <s v="Ämnesdidaktik för yrkeslärare"/>
        <s v="Profession och vetenskap för yrkeslärare"/>
        <s v="Utbildningsvetenskap i pedagogisk praktik"/>
        <s v="Samhällsorientering, F-3"/>
        <s v="Sex och samlevnad, 7,5 hp"/>
        <s v="Förskollärare som profession"/>
        <s v="Att vara förskollärare (VFU)"/>
        <s v="Ämneslärare som profession"/>
        <s v="Att vara ämneslärare (VFU)"/>
        <s v="Lärande och undervisning"/>
        <s v="Undervisning och lärande inom det svenska skolsystemet"/>
        <s v="Utbildning: Undervisning och lärande i en internationell kontext"/>
        <s v="Demokrati, mänskliga rättigheter och hållbar utveckling: globala perspektiv i utbildning"/>
        <s v="Forskningsdesign och metod inom utbildningsvetenskap"/>
        <s v="Matematikutveckling och lärande i ett specialpedagogiskt perspektiv"/>
        <s v="Identifiering och kartläggning av undervisning och lärande med fokus på elever i behov av särskilda utbildningsinsatser"/>
        <s v="Stöd och stimulans i arbetet med elever i behov av särskilda utbildningsinsatser"/>
        <s v="Läraryrkets dimensioner - ingångsämne idrott och hälsa"/>
        <s v="Barns lärande och omsorg"/>
        <s v="Förskolans uppdrag och arbetssätt 1"/>
        <s v="Läraryrkets dimensioner - ingångsämne Samhällskunskap"/>
        <s v="Handledarutbildning för VFU-handledare, bedömning"/>
        <s v="Att undervisa i fritidshem (VFU)"/>
        <s v="Handledarutbildning för VFU-handledare, handledningssamtal"/>
        <s v="Verksamhetsförlagd utbildning för yrkeslärare (VFU)"/>
        <s v="Examensarbete för grundlärarexamen med inriktning mot förskoleklass och grundskolans år 1-3"/>
        <s v="Examensarbete för grundlärarexamen med inriktning mot grundskolans år 4-6"/>
        <s v="Undervisning och lärande - läroplansteori och didaktik inklusive VFU (UK och VFU)"/>
        <s v="Bedömning (UK)"/>
        <s v="Utbildningens villkor och samhälleliga funktion (UK)"/>
        <s v="Den professionella läraren 1: Barns utveckling, specialpedagogik, sociala relationer och kommunikation (UK)"/>
        <s v="Utbildningsvetenskap, undervisning och lärande för förskolan (UK)"/>
        <s v="Specialpedagogik för förskolan (UK)"/>
        <s v="Specialpedagogik för grundskolan (UK)"/>
        <s v="Specialpedagogik - åk 7-9 och gymnasieskolan (UK)"/>
        <s v="Utbildningsvetenskap, undervisning och lärande för grundskolan - fritidshem (UK)"/>
        <s v="Utbildningsvetenskap, undervisning och lärande för grundskolan (UK)"/>
        <s v="Utbildningsvetenskap, undervisning och lärande - Ämneslärarprogrammet (UK)"/>
        <s v="Den professionella läraren 2: Uppdrag, ledarskap och undervisning (UK)"/>
        <s v="Barnet, omvärlden och fritidshemmets uppdrag"/>
        <s v="Läraryrkets dimensioner för fritidshem 1 (VFU)"/>
        <s v="Verksamhets förlagd utbildning (VFU)"/>
        <s v="Examensarbete med ämnesdidaktisk inriktning (UK)"/>
        <s v="Bedömning för och av lärande i grundskolan (UK)"/>
        <s v="Bedömning för lärande i förskolan (UK)"/>
        <s v="Bedömning för och av lärande för åk 7-9 och gymnasium (UK)"/>
        <s v="Utbildningspolicy och pedagogisk praktik ur internationella perspektiv"/>
        <s v="Formativ bedömning och motivation"/>
        <s v="Trygga lärmiljöer, identitet och intersektionalitet"/>
        <s v="Normkritisk genuspedagogik"/>
        <s v="Barns och ungas identitetsskapande på nätet"/>
        <s v="Mobbning och kränkande handlingar i teori och praktik"/>
        <s v="Elever i behov av extra anpassningar och särskilt stöd ur ett fritidshemsperspektiv"/>
        <s v="Att undervisa i förskolan (VFU)"/>
        <s v="Förskolans uppdrag och arbetssätt 2"/>
        <s v="Läraryrkets dimensioner för förskolan 1 (VFU)"/>
        <s v="Läraryrkets dimensioner för förskolan 2 (VFU)"/>
        <s v="Examensarbete för förskollärarexamen"/>
        <s v="Kunskap, undervisning och lärande 2"/>
        <s v="Läraryrkets dimensioner för förskoleklass och grundskolans årskurs 1-3 (VFU)"/>
        <s v="Läraryrkets dimensioner för grundskolans årskurs 4-6 (VFU)"/>
        <s v="Läraryrkets dimensioner för fritidshem 3 (VFU)"/>
        <s v="Samhällsorientering för förskolan"/>
        <s v="Profession och vetenskap för förskolan (UK)"/>
        <s v="Profession och vetenskap för fritidshem (UK)"/>
        <s v="Utbildningspolicy i nationell och internationell kontext"/>
        <s v="Grundlärare som profession (UK)"/>
        <s v="Profession och vetenskap för åk 4-6 (UK III)"/>
        <s v="Profession och vetenskap för F-3 (UK III)"/>
        <s v="Ämnesdidaktik (UK)"/>
        <s v="Att vara grundlärare (VFU)"/>
        <s v="Att undervisa i biologi (VFU)"/>
        <s v="Att undervisa i Idrott och hälsa (VFU)"/>
        <s v="Att undervisa i Samhällskunskap (VFU)"/>
        <s v="Fjärrundervisning"/>
        <s v="Skolans digitalisering"/>
        <s v="Genuspedagogik i lärmiljöer"/>
        <s v="Mobbning i lärmiljöer"/>
        <s v="Kurs i examensarbete - Matematikutveckling"/>
        <s v="Undervisning och kvalitetsutveckling i förskola respektive fritidshem"/>
        <s v="Språk och matematik i ett specialpedagogiskt perspektiv"/>
        <s v="Matematik i specialpedagogiskt perspektiv"/>
        <s v="Pedagogiskt ledarskap, sociala relationer och konflikthantering"/>
        <s v="Religionsvetenskap II: fortsättningskurs"/>
        <s v="Examensarbete för ämneslärarexamen - religion"/>
        <s v="Läraryrkets dimensioner- ingångsämne religion (VFU)"/>
        <s v="Att undervisa i religionskunskap (VFU)"/>
        <s v="Religionsvetenskap 2"/>
        <s v="Religionsvetenskap 1"/>
        <s v="Religionsvetenskap 3"/>
        <s v="Religionsvetenskap 3, med kandidatuppsats"/>
        <s v="Spanska I för ämneslärare"/>
        <s v="Spanska för ämneslärare, kurs III"/>
        <s v="Spanska för ämneslärare, kurs II"/>
        <s v="Att undervisa i Spanska (VFU)"/>
        <s v="Spanska för ämneslärare, kurs 2"/>
        <s v="Examensarbete i svenska för ämneslärarexamen"/>
        <s v="Examensarbete i språkdidaktik för ämneslärarexamen"/>
        <s v="Ämnesdidaktik, Att utveckla lärande och undervisning i språkliga kontexter"/>
        <s v="Examensarbete med språkdidaktisk inriktning för lärarexamen"/>
        <s v="Didaktik för det flerspråkiga klassrummet"/>
        <s v="Språkdidaktik: Aktuella frågor och metoder i språkdidaktisk forskning"/>
        <s v="Språk-, skriv- och läsutveckling för speciallärare"/>
        <s v="Examensarbete för speciallärarexamen med specialisering mot språk-, skriv- och läsutveckling"/>
        <s v="Språk-, skriv- och läsutveckling i ett specialpedagogiskt perspektiv"/>
        <s v="Samhällskunskap 1"/>
        <s v="Samhällskunskap 2"/>
        <s v="Samhällskunskap 3"/>
        <s v="Examensarbete"/>
        <s v="Profession och vetenskap"/>
        <s v="Slöjd, Trä- och metall 2a, distans"/>
        <s v="Slöjd, Trä- och metall 2b, distans"/>
        <s v="Slöjd trä och metall 1 30 hp, fristående"/>
        <s v="Slöjd 1, trä- och metall"/>
        <s v="Form, färg, estetik och uttryck - Utveckla ditt formspråk i trä"/>
        <s v="Slöjd trä och metall 2, fristående"/>
        <s v="Skapandets intryck - utveckla och tala om hantverkets tysta kunskap"/>
        <s v="&quot;Fatta Sapmi&quot; (prel. namn)"/>
        <s v="Ämnesmetodik inom mat, måltider och hälsa"/>
        <s v="Introduktion till det specialpedagogiska fältet"/>
        <s v="Neuropsykiatriska svårigheter i olika lärmiljöer"/>
        <s v="Speciallärarens och specialpedagogens yrkesfunktion"/>
        <s v="Utvärdering, ledarskap och förändringsarbete"/>
        <s v="Att utveckla lärande i skola och vardag - Utvecklingsstörning"/>
        <s v="Undervisning, kommunikation och kunskapsutveckling - Utvecklingsstörning"/>
        <s v="Neuropsykiatriska svårigheter - förhållningsätt, bemötande och strategier i pedagogisk verksamhet"/>
        <s v="Specialpedagogiska kunskapsområden"/>
        <s v="Vetenskaplig metodkurs Speciallärar- och specialpedagogprogrammen"/>
        <s v="Examensarbete speciallärarprogrammet med specialisering mot utvecklingsstörning"/>
        <s v="Eamensarbete specialpedagogprogrammet"/>
        <s v="Politik och samhälle"/>
        <s v="Utbildning och arbetsmarknad I"/>
        <s v="Svenska I för ämneslärare"/>
        <s v="Svenska för F-3, kurs 1"/>
        <s v="Svenska för F-3, kurs 2"/>
        <s v="Svenska för F-3, kurs 3"/>
        <s v="Svenska för åk 4-6, kurs 1"/>
        <s v="Svenska för åk 4-6, kurs 2"/>
        <s v="Svenska för åk 4-6, kurs 3"/>
        <s v="Svenska II för ämneslärare"/>
        <s v="Svenska III för ämneslärare"/>
        <s v="Att undervisa i svenska som andraspråk (VFU)"/>
        <s v="Att undervisa i svenska (VFU)"/>
        <s v="Svenska som andraspråk A"/>
        <s v="Svenska som andraspråk B"/>
        <s v="Svenska som andraspråk C, Diskriminerande strukturer och skönlitteratur"/>
        <s v="Svenska som andraspråk C, Examensarbete för kandidatexamen"/>
        <s v="Svenska som andraspråk för ämneslärare, kurs 1"/>
        <s v="Svenska som andraspråk för ämneslärare, kurs 2"/>
        <s v="Svenska som andraspråk för ämneslärare, kurs 3"/>
        <s v="Att läsa och skriva i lärarutbildning och läraryrket - fokus grundlärare"/>
        <s v="Att läsa och skriva i lärarutbildning och läraryrket - fokus ämneslärare"/>
        <s v="Flerspråkighet i förskoleklassen och grundskolans tidigare år"/>
        <s v="Studie- och yrkesvägledningens grunder"/>
        <s v="Vetenskapliga perspektiv på studie- och yrkesvägledning"/>
        <s v="Utbildningssystem i Sverige och andra länder"/>
        <s v="Studie- och yrkesvägledningens praktik"/>
        <s v="Karriärutveckling i socialt och kulturellt perspektiv"/>
        <s v="Karriärvägledning och andra insatser för människor i behov av särskilt stöd"/>
        <s v="Karriärteori och vägledning"/>
        <s v="Gruppvägledning med inriktning mot karriärutveckling"/>
        <s v="Kommunikation och undervisning"/>
        <s v="Introduktion till studie- och yrkesvägledning"/>
        <s v="Teorier, modeller och metoder för karriärvägledning"/>
        <s v="Samhällsvetenskap"/>
        <s v="Arbetsliv och lärande"/>
        <s v="Teorier, modeller och metoder för vägledning och dess praktik"/>
        <s v="Beteendevetenskapliga grunder"/>
        <s v="Teknik för lärare F-6"/>
        <s v="Textila uttryck II"/>
        <s v="Slöjd, textil 2a, distans"/>
        <s v="Slöjd textil 1 30 hp"/>
        <s v="Slöjd, textil 2b, distans"/>
        <s v="Vävdesign, fördjupning"/>
        <s v="Slöjd textil 1 30 hp, fristående"/>
        <s v="Textila uttryck"/>
        <s v="Slöjd 1, textil"/>
        <s v="Kläddesign"/>
        <s v="Vävdesign"/>
        <s v="Väv- och kläddesign: Estetiska skapandeprocesser"/>
        <s v="Väv- och kläddesign fördjupning"/>
        <s v="Slöjd - textil 3"/>
        <s v="Slöjd, textil 3, fristående"/>
        <s v="Slöjd textil 2"/>
        <s v="Tyska I för ämneslärare"/>
        <s v="Tyska II för ämneslärare"/>
        <s v="Tyska III för ämneslärare med inriktning mot gymnasiet"/>
        <s v="Att undervisa i tyska (VFU)"/>
        <s v="Tyska för ämneslärare, kurs 2"/>
        <s v="Genuspedagogik och lärande I" u="1"/>
        <s v="Examensarbete - Ämne 1/Ämne 2" u="1"/>
        <s v="Kemididaktik för ämneslärare för åk 7-9" u="1"/>
        <s v="Att undervisa i geografi (VFU)" u="1"/>
        <s v="Franska III för ämneslärare med inriktning mot gymnasiet" u="1"/>
        <s v="Tyska C, Deutsch lernen und lehren III" u="1"/>
        <s v="Svenska som andraspråk för grundlärare" u="1"/>
        <s v="Tala och skriva engelska" u="1"/>
        <s v="Analytisk kemi" u="1"/>
        <s v="Religionsvetenskap I" u="1"/>
        <s v="Slöjd textil 2 30 hp" u="1"/>
        <s v="Forskning och utvecklingsarbete i skolan 2" u="1"/>
        <s v="Fysikdidaktik för ämneslärare för åk 7-9" u="1"/>
        <s v="Mobbning i lärandemiljöer I" u="1"/>
        <s v="Magisteruppsats 1" u="1"/>
        <s v="Statistik för teknologer" u="1"/>
        <s v="Att läsa och skriva akademiska texter" u="1"/>
        <s v="Franska I för ämneslärare" u="1"/>
        <s v="Bild fördjupning 1 fristående" u="1"/>
      </sharedItems>
    </cacheField>
    <cacheField name="anmkod" numFmtId="0">
      <sharedItems containsNonDate="0" containsString="0" containsBlank="1"/>
    </cacheField>
    <cacheField name="Prkod" numFmtId="0">
      <sharedItems count="15">
        <s v="FRIST"/>
        <s v="LYAGY"/>
        <s v="LYGFT"/>
        <s v="LYGRM"/>
        <s v="LYAGR"/>
        <s v="LYKGR"/>
        <s v="LYKGY"/>
        <s v="LYFSK"/>
        <s v="LYGFR"/>
        <s v="LYYRK"/>
        <s v="LYSYV"/>
        <s v="LYSPL"/>
        <s v="LYKFO"/>
        <s v="LYSPE"/>
        <s v="LYKGR/GY" u="1"/>
      </sharedItems>
    </cacheField>
    <cacheField name="Kull" numFmtId="0">
      <sharedItems containsBlank="1"/>
    </cacheField>
    <cacheField name="HtVt" numFmtId="0">
      <sharedItems count="3">
        <s v="Sommar"/>
        <s v="V19"/>
        <s v="H19"/>
      </sharedItems>
    </cacheField>
    <cacheField name="Studieveckor" numFmtId="0">
      <sharedItems containsBlank="1"/>
    </cacheField>
    <cacheField name="Ort" numFmtId="0">
      <sharedItems containsBlank="1"/>
    </cacheField>
    <cacheField name="Form" numFmtId="0">
      <sharedItems containsBlank="1"/>
    </cacheField>
    <cacheField name="Inriktning" numFmtId="0">
      <sharedItems containsBlank="1"/>
    </cacheField>
    <cacheField name="Verksamhetsområde" numFmtId="0">
      <sharedItems containsNonDate="0" containsString="0" containsBlank="1"/>
    </cacheField>
    <cacheField name="Studie takt" numFmtId="0">
      <sharedItems containsSemiMixedTypes="0" containsString="0" containsNumber="1" containsInteger="1" minValue="10" maxValue="150"/>
    </cacheField>
    <cacheField name="Poäng" numFmtId="0">
      <sharedItems containsSemiMixedTypes="0" containsString="0" containsNumber="1" minValue="1.5" maxValue="30" count="21">
        <n v="7.5"/>
        <n v="15"/>
        <n v="6"/>
        <n v="9"/>
        <n v="1.5"/>
        <n v="4.5"/>
        <n v="22.5"/>
        <n v="30"/>
        <n v="2.5"/>
        <n v="5"/>
        <n v="10"/>
        <n v="8"/>
        <n v="12"/>
        <n v="3.5"/>
        <n v="4"/>
        <n v="11"/>
        <n v="28.5"/>
        <n v="2.2999999999999998"/>
        <n v="12.7"/>
        <n v="12.5"/>
        <n v="20"/>
      </sharedItems>
    </cacheField>
    <cacheField name="Prognos avhopp %" numFmtId="0">
      <sharedItems containsString="0" containsBlank="1" containsNumber="1" minValue="-0.15" maxValue="-0.05"/>
    </cacheField>
    <cacheField name="Utgångs-värde 1:a kurs" numFmtId="0">
      <sharedItems containsString="0" containsBlank="1" containsNumber="1" containsInteger="1" minValue="25" maxValue="74"/>
    </cacheField>
    <cacheField name="Ant" numFmtId="0">
      <sharedItems containsSemiMixedTypes="0" containsString="0" containsNumber="1" minValue="0" maxValue="74"/>
    </cacheField>
    <cacheField name="HST" numFmtId="2">
      <sharedItems containsSemiMixedTypes="0" containsString="0" containsNumber="1" minValue="0" maxValue="17.5"/>
    </cacheField>
    <cacheField name="HPR %" numFmtId="9">
      <sharedItems containsSemiMixedTypes="0" containsString="0" containsNumber="1" minValue="0.8" maxValue="0.85"/>
    </cacheField>
    <cacheField name="HPR" numFmtId="2">
      <sharedItems containsSemiMixedTypes="0" containsString="0" containsNumber="1" minValue="0" maxValue="14.6625"/>
    </cacheField>
    <cacheField name="Kursansvar" numFmtId="0">
      <sharedItems containsSemiMixedTypes="0" containsString="0" containsNumber="1" containsInteger="1" minValue="1620" maxValue="5740"/>
    </cacheField>
    <cacheField name="Kursansvar namn" numFmtId="0">
      <sharedItems count="19">
        <s v="Pedagogik                     "/>
        <s v="TUV "/>
        <s v="Inst för Fysiologisk botanik  "/>
        <s v="EMG"/>
        <s v="Inst för datavetenskap        "/>
        <s v="TFE"/>
        <s v="Inst för Fysik                "/>
        <s v="Kemiska institutionen         "/>
        <s v="Inst för MA och MA statistik"/>
        <s v="NMD"/>
        <s v="Inst för språkstudier"/>
        <s v="Estetiska ämnen               "/>
        <s v="Inst för ide- o samhällsstudier"/>
        <s v="Geografi"/>
        <s v="Kostvetenskap                 "/>
        <s v="Nationalekonomi               "/>
        <s v="Statsvetenskap                "/>
        <s v="Lärarutbildningarna gem       " u="1"/>
        <s v="Geografi och ekonomisk historia" u="1"/>
      </sharedItems>
    </cacheField>
    <cacheField name="Fakultet" numFmtId="0">
      <sharedItems/>
    </cacheField>
    <cacheField name="Utbildning" numFmtId="0">
      <sharedItems count="15">
        <s v="Fristående och övriga kurser"/>
        <s v="Ämneslärarprogrammet - Gy"/>
        <s v="Grundlärarprogrammet - förskoleklass och åk 1-3"/>
        <s v="Grundlärarprogrammet - grundskolans åk 4-6"/>
        <s v="Ämneslärarprogrammet - åk 7-9"/>
        <s v="KPU - åk 7-9"/>
        <s v="KPU - Gy"/>
        <s v="Förskollärarprogrammet"/>
        <s v="Grundlärarprogrammet - fritidshem"/>
        <s v="Yrkeslärarprogrammet"/>
        <s v="Studie- och yrkesvägledarprogram"/>
        <s v="Speciallärarprogrammet"/>
        <s v="KPU - Förhöjd studietakt - utbildningsbidrag"/>
        <s v="Specialpedagogprogrammet"/>
        <s v="KPU - Förhöjd studietakt" u="1"/>
      </sharedItems>
    </cacheField>
    <cacheField name="Kurspris HST" numFmtId="3">
      <sharedItems containsSemiMixedTypes="0" containsString="0" containsNumber="1" minValue="15846" maxValue="47957"/>
    </cacheField>
    <cacheField name="Kurspris HPR" numFmtId="3">
      <sharedItems containsSemiMixedTypes="0" containsString="0" containsNumber="1" minValue="15773" maxValue="63797"/>
    </cacheField>
    <cacheField name="Total ersättning" numFmtId="3">
      <sharedItems containsSemiMixedTypes="0" containsString="0" containsNumber="1" minValue="0" maxValue="846252.22499999998"/>
    </cacheField>
    <cacheField name="Hyrespris" numFmtId="3">
      <sharedItems containsSemiMixedTypes="0" containsString="0" containsNumber="1" containsInteger="1" minValue="3400" maxValue="70100"/>
    </cacheField>
    <cacheField name="Lokalintäkt" numFmtId="3">
      <sharedItems containsSemiMixedTypes="0" containsString="0" containsNumber="1" minValue="0" maxValue="381500"/>
    </cacheField>
    <cacheField name="Totala intäkter" numFmtId="3">
      <sharedItems containsSemiMixedTypes="0" containsString="0" containsNumber="1" minValue="0" maxValue="1222302.2250000001"/>
    </cacheField>
    <cacheField name="DE" numFmtId="0">
      <sharedItems containsSemiMixedTypes="0" containsString="0" containsNumber="1" minValue="0" maxValue="1"/>
    </cacheField>
    <cacheField name="HU" numFmtId="0">
      <sharedItems containsSemiMixedTypes="0" containsString="0" containsNumber="1" minValue="0" maxValue="1"/>
    </cacheField>
    <cacheField name="ID" numFmtId="0">
      <sharedItems containsSemiMixedTypes="0" containsString="0" containsNumber="1" minValue="0" maxValue="1"/>
    </cacheField>
    <cacheField name="LU" numFmtId="0">
      <sharedItems containsSemiMixedTypes="0" containsString="0" containsNumber="1" minValue="0" maxValue="1"/>
    </cacheField>
    <cacheField name="MU" numFmtId="0">
      <sharedItems containsSemiMixedTypes="0" containsString="0" containsNumber="1" minValue="0" maxValue="1"/>
    </cacheField>
    <cacheField name="NA" numFmtId="0">
      <sharedItems containsSemiMixedTypes="0" containsString="0" containsNumber="1" minValue="0" maxValue="1"/>
    </cacheField>
    <cacheField name="SA" numFmtId="0">
      <sharedItems containsSemiMixedTypes="0" containsString="0" containsNumber="1" minValue="0" maxValue="1"/>
    </cacheField>
    <cacheField name="TE" numFmtId="0">
      <sharedItems containsSemiMixedTypes="0" containsString="0" containsNumber="1" minValue="0" maxValue="1"/>
    </cacheField>
    <cacheField name="VFU" numFmtId="0">
      <sharedItems containsSemiMixedTypes="0" containsString="0" containsNumber="1" minValue="0" maxValue="1"/>
    </cacheField>
    <cacheField name="XXX" numFmtId="0">
      <sharedItems containsSemiMixedTypes="0" containsString="0" containsNumber="1" containsInteger="1" minValue="0" maxValue="0"/>
    </cacheField>
    <cacheField name="ÖV" numFmtId="0">
      <sharedItems containsSemiMixedTypes="0" containsString="0" containsNumber="1" minValue="0" maxValue="1"/>
    </cacheField>
    <cacheField name="VÅ" numFmtId="0">
      <sharedItems containsSemiMixedTypes="0" containsString="0" containsNumber="1" minValue="0" maxValue="0.8"/>
    </cacheField>
    <cacheField name="Hämtat ur" numFmtId="0">
      <sharedItems/>
    </cacheField>
    <cacheField name="Anm" numFmtId="0">
      <sharedItems containsBlank="1"/>
    </cacheField>
    <cacheField name="DE HST" numFmtId="0">
      <sharedItems containsSemiMixedTypes="0" containsString="0" containsNumber="1" minValue="0" maxValue="5.5"/>
    </cacheField>
    <cacheField name="DE HPR" numFmtId="167">
      <sharedItems containsSemiMixedTypes="0" containsString="0" containsNumber="1" minValue="0" maxValue="4.6749999999999998"/>
    </cacheField>
    <cacheField name="HU HST" numFmtId="0">
      <sharedItems containsSemiMixedTypes="0" containsString="0" containsNumber="1" minValue="0" maxValue="13"/>
    </cacheField>
    <cacheField name="HU HPR" numFmtId="167">
      <sharedItems containsSemiMixedTypes="0" containsString="0" containsNumber="1" minValue="0" maxValue="11.049999999999999"/>
    </cacheField>
    <cacheField name="ID HST" numFmtId="0">
      <sharedItems containsSemiMixedTypes="0" containsString="0" containsNumber="1" minValue="0" maxValue="10"/>
    </cacheField>
    <cacheField name="ID HPR" numFmtId="0">
      <sharedItems containsSemiMixedTypes="0" containsString="0" containsNumber="1" minValue="0" maxValue="8.5"/>
    </cacheField>
    <cacheField name="LU HST" numFmtId="0">
      <sharedItems containsSemiMixedTypes="0" containsString="0" containsNumber="1" minValue="0" maxValue="12.333333333333332"/>
    </cacheField>
    <cacheField name="LU HPR" numFmtId="167">
      <sharedItems containsSemiMixedTypes="0" containsString="0" containsNumber="1" minValue="0" maxValue="10.483333333333333"/>
    </cacheField>
    <cacheField name="MU HST" numFmtId="2">
      <sharedItems containsSemiMixedTypes="0" containsString="0" containsNumber="1" minValue="0" maxValue="2.5"/>
    </cacheField>
    <cacheField name="MU HPR" numFmtId="167">
      <sharedItems containsSemiMixedTypes="0" containsString="0" containsNumber="1" minValue="0" maxValue="2.125"/>
    </cacheField>
    <cacheField name="NA HST" numFmtId="0">
      <sharedItems containsSemiMixedTypes="0" containsString="0" containsNumber="1" minValue="0" maxValue="17.5"/>
    </cacheField>
    <cacheField name="NA HPR" numFmtId="167">
      <sharedItems containsSemiMixedTypes="0" containsString="0" containsNumber="1" minValue="0" maxValue="14.6625"/>
    </cacheField>
    <cacheField name="SA HST" numFmtId="0">
      <sharedItems containsSemiMixedTypes="0" containsString="0" containsNumber="1" minValue="0" maxValue="15"/>
    </cacheField>
    <cacheField name="SA HPR" numFmtId="167">
      <sharedItems containsSemiMixedTypes="0" containsString="0" containsNumber="1" minValue="0" maxValue="12.5375"/>
    </cacheField>
    <cacheField name="TE HST" numFmtId="0">
      <sharedItems containsSemiMixedTypes="0" containsString="0" containsNumber="1" minValue="0" maxValue="9.5"/>
    </cacheField>
    <cacheField name="TE HPR" numFmtId="167">
      <sharedItems containsSemiMixedTypes="0" containsString="0" containsNumber="1" minValue="0" maxValue="7.6000000000000005"/>
    </cacheField>
    <cacheField name="VFU HST" numFmtId="0">
      <sharedItems containsSemiMixedTypes="0" containsString="0" containsNumber="1" minValue="0" maxValue="14.25"/>
    </cacheField>
    <cacheField name="VFU HPR" numFmtId="167">
      <sharedItems containsSemiMixedTypes="0" containsString="0" containsNumber="1" minValue="0" maxValue="12.112499999999999"/>
    </cacheField>
    <cacheField name="XXX HST" numFmtId="0">
      <sharedItems containsSemiMixedTypes="0" containsString="0" containsNumber="1" containsInteger="1" minValue="0" maxValue="0"/>
    </cacheField>
    <cacheField name="ÖV HST" numFmtId="0">
      <sharedItems containsSemiMixedTypes="0" containsString="0" containsNumber="1" minValue="0" maxValue="14.25"/>
    </cacheField>
    <cacheField name="ÖV HPR" numFmtId="167">
      <sharedItems containsSemiMixedTypes="0" containsString="0" containsNumber="1" minValue="0" maxValue="12.112499999999999"/>
    </cacheField>
    <cacheField name="VÅ HST" numFmtId="0">
      <sharedItems containsSemiMixedTypes="0" containsString="0" containsNumber="1" minValue="0" maxValue="6.46"/>
    </cacheField>
    <cacheField name="VÅ HPR" numFmtId="167">
      <sharedItems containsSemiMixedTypes="0" containsString="0" containsNumber="1" minValue="0" maxValue="5.4909999999999997"/>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Agnetha Simm" refreshedDate="43733.598429513891" createdVersion="6" refreshedVersion="6" minRefreshableVersion="3" recordCount="1277">
  <cacheSource type="worksheet">
    <worksheetSource ref="A1:AO1278" sheet="kurser alla"/>
  </cacheSource>
  <cacheFields count="41">
    <cacheField name="Kurskod NyA" numFmtId="0">
      <sharedItems/>
    </cacheField>
    <cacheField name="Benämn" numFmtId="0">
      <sharedItems/>
    </cacheField>
    <cacheField name="anmkod" numFmtId="0">
      <sharedItems containsNonDate="0" containsString="0" containsBlank="1"/>
    </cacheField>
    <cacheField name="Prkod" numFmtId="0">
      <sharedItems/>
    </cacheField>
    <cacheField name="Kull" numFmtId="0">
      <sharedItems containsBlank="1"/>
    </cacheField>
    <cacheField name="HtVt" numFmtId="0">
      <sharedItems/>
    </cacheField>
    <cacheField name="Studieveckor" numFmtId="0">
      <sharedItems containsBlank="1"/>
    </cacheField>
    <cacheField name="Ort" numFmtId="0">
      <sharedItems containsBlank="1"/>
    </cacheField>
    <cacheField name="Form" numFmtId="0">
      <sharedItems containsBlank="1"/>
    </cacheField>
    <cacheField name="Inriktning" numFmtId="0">
      <sharedItems containsBlank="1"/>
    </cacheField>
    <cacheField name="Verksamhetsområde" numFmtId="0">
      <sharedItems containsNonDate="0" containsString="0" containsBlank="1"/>
    </cacheField>
    <cacheField name="Studie takt" numFmtId="0">
      <sharedItems containsSemiMixedTypes="0" containsString="0" containsNumber="1" containsInteger="1" minValue="10" maxValue="150"/>
    </cacheField>
    <cacheField name="Poäng" numFmtId="0">
      <sharedItems containsSemiMixedTypes="0" containsString="0" containsNumber="1" minValue="1.5" maxValue="30"/>
    </cacheField>
    <cacheField name="Prognos avhopp %" numFmtId="0">
      <sharedItems containsString="0" containsBlank="1" containsNumber="1" minValue="-0.15" maxValue="-0.05"/>
    </cacheField>
    <cacheField name="Utgångs-värde 1:a kurs" numFmtId="0">
      <sharedItems containsString="0" containsBlank="1" containsNumber="1" containsInteger="1" minValue="25" maxValue="74"/>
    </cacheField>
    <cacheField name="Ant" numFmtId="0">
      <sharedItems containsSemiMixedTypes="0" containsString="0" containsNumber="1" minValue="0" maxValue="74"/>
    </cacheField>
    <cacheField name="HST" numFmtId="2">
      <sharedItems containsSemiMixedTypes="0" containsString="0" containsNumber="1" minValue="0" maxValue="17.5"/>
    </cacheField>
    <cacheField name="HPR %" numFmtId="9">
      <sharedItems containsSemiMixedTypes="0" containsString="0" containsNumber="1" minValue="0.8" maxValue="0.85"/>
    </cacheField>
    <cacheField name="HPR" numFmtId="2">
      <sharedItems containsSemiMixedTypes="0" containsString="0" containsNumber="1" minValue="0" maxValue="14.6625"/>
    </cacheField>
    <cacheField name="Kursansvar" numFmtId="0">
      <sharedItems containsSemiMixedTypes="0" containsString="0" containsNumber="1" containsInteger="1" minValue="1620" maxValue="6000" count="18">
        <n v="2180"/>
        <n v="2193"/>
        <n v="5160"/>
        <n v="5100"/>
        <n v="5700"/>
        <n v="5410"/>
        <n v="5400"/>
        <n v="5500"/>
        <n v="5730"/>
        <n v="5740"/>
        <n v="1620"/>
        <n v="1650"/>
        <n v="1630"/>
        <n v="2500"/>
        <n v="2750"/>
        <n v="2271"/>
        <n v="2340"/>
        <n v="6000" u="1"/>
      </sharedItems>
    </cacheField>
    <cacheField name="Kursansvar namn" numFmtId="0">
      <sharedItems/>
    </cacheField>
    <cacheField name="Fakultet" numFmtId="0">
      <sharedItems/>
    </cacheField>
    <cacheField name="Utbildning" numFmtId="0">
      <sharedItems/>
    </cacheField>
    <cacheField name="Kurspris HST" numFmtId="3">
      <sharedItems containsSemiMixedTypes="0" containsString="0" containsNumber="1" minValue="15846" maxValue="47957"/>
    </cacheField>
    <cacheField name="Kurspris HPR" numFmtId="3">
      <sharedItems containsSemiMixedTypes="0" containsString="0" containsNumber="1" minValue="15773" maxValue="63797"/>
    </cacheField>
    <cacheField name="Total ersättning" numFmtId="3">
      <sharedItems containsSemiMixedTypes="0" containsString="0" containsNumber="1" minValue="0" maxValue="846252.22499999998"/>
    </cacheField>
    <cacheField name="Hyrespris" numFmtId="3">
      <sharedItems containsSemiMixedTypes="0" containsString="0" containsNumber="1" containsInteger="1" minValue="3400" maxValue="70100"/>
    </cacheField>
    <cacheField name="Lokalintäkt" numFmtId="3">
      <sharedItems containsSemiMixedTypes="0" containsString="0" containsNumber="1" minValue="0" maxValue="381500"/>
    </cacheField>
    <cacheField name="Totala intäkter" numFmtId="3">
      <sharedItems containsSemiMixedTypes="0" containsString="0" containsNumber="1" minValue="0" maxValue="1222302.2250000001"/>
    </cacheField>
    <cacheField name="DE" numFmtId="0">
      <sharedItems containsSemiMixedTypes="0" containsString="0" containsNumber="1" minValue="0" maxValue="1"/>
    </cacheField>
    <cacheField name="HU" numFmtId="0">
      <sharedItems containsSemiMixedTypes="0" containsString="0" containsNumber="1" minValue="0" maxValue="1"/>
    </cacheField>
    <cacheField name="ID" numFmtId="0">
      <sharedItems containsSemiMixedTypes="0" containsString="0" containsNumber="1" minValue="0" maxValue="1"/>
    </cacheField>
    <cacheField name="LU" numFmtId="0">
      <sharedItems containsSemiMixedTypes="0" containsString="0" containsNumber="1" minValue="0" maxValue="1"/>
    </cacheField>
    <cacheField name="MU" numFmtId="0">
      <sharedItems containsSemiMixedTypes="0" containsString="0" containsNumber="1" minValue="0" maxValue="1"/>
    </cacheField>
    <cacheField name="NA" numFmtId="0">
      <sharedItems containsSemiMixedTypes="0" containsString="0" containsNumber="1" minValue="0" maxValue="1"/>
    </cacheField>
    <cacheField name="SA" numFmtId="0">
      <sharedItems containsSemiMixedTypes="0" containsString="0" containsNumber="1" minValue="0" maxValue="1"/>
    </cacheField>
    <cacheField name="TE" numFmtId="0">
      <sharedItems containsSemiMixedTypes="0" containsString="0" containsNumber="1" minValue="0" maxValue="1"/>
    </cacheField>
    <cacheField name="VFU" numFmtId="0">
      <sharedItems containsSemiMixedTypes="0" containsString="0" containsNumber="1" minValue="0" maxValue="1"/>
    </cacheField>
    <cacheField name="XXX" numFmtId="0">
      <sharedItems containsSemiMixedTypes="0" containsString="0" containsNumber="1" containsInteger="1" minValue="0" maxValue="0"/>
    </cacheField>
    <cacheField name="ÖV" numFmtId="0">
      <sharedItems containsSemiMixedTypes="0" containsString="0" containsNumber="1" minValue="0" maxValue="1"/>
    </cacheField>
    <cacheField name="VÅ" numFmtId="0">
      <sharedItems containsSemiMixedTypes="0" containsString="0" containsNumber="1" minValue="0" maxValue="0.8"/>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Agnetha Simm" refreshedDate="43733.598524652778" createdVersion="5" refreshedVersion="6" minRefreshableVersion="3" recordCount="104">
  <cacheSource type="worksheet">
    <worksheetSource ref="A1:T105" sheet="underlag medverkande 2"/>
  </cacheSource>
  <cacheFields count="20">
    <cacheField name="Kurskod NyA" numFmtId="0">
      <sharedItems count="121">
        <s v="6ES072"/>
        <s v="6HI035"/>
        <s v="6ID017"/>
        <s v="6ID018"/>
        <s v="6ID314"/>
        <s v="6KG004"/>
        <s v="6KG006"/>
        <s v="6LI013"/>
        <s v="6LU002"/>
        <s v="6LU003"/>
        <s v="6LU005"/>
        <s v="6LU006"/>
        <s v="6LU007"/>
        <s v="6LÄ046"/>
        <s v="6LÄ048"/>
        <s v="6LÄ055"/>
        <s v="6LÄ058"/>
        <s v="6MN041"/>
        <s v="6MN043"/>
        <s v="6MN044"/>
        <s v="6MN045"/>
        <s v="6NO043"/>
        <s v="6PE111"/>
        <s v="6PE129"/>
        <s v="6PE135"/>
        <s v="6PE136"/>
        <s v="6PE183"/>
        <s v="6PE185"/>
        <s v="6PE187"/>
        <s v="6PE202"/>
        <s v="6PE209"/>
        <s v="6PE216"/>
        <s v="6PE218"/>
        <s v="6PE219"/>
        <s v="6PE220"/>
        <s v="6PE221"/>
        <s v="6PE222"/>
        <s v="6PE223"/>
        <s v="6PE224"/>
        <s v="6PE225"/>
        <s v="6PE226"/>
        <s v="6PE227"/>
        <s v="6PE228"/>
        <s v="6PE236"/>
        <s v="6PE237"/>
        <s v="6PE238"/>
        <s v="6PE256"/>
        <s v="6PE257"/>
        <s v="6PE258"/>
        <s v="6PE260"/>
        <s v="6PE261"/>
        <s v="6PE262"/>
        <s v="6PE264"/>
        <s v="6PE265"/>
        <s v="6PE266"/>
        <s v="6PE268"/>
        <s v="6PE279"/>
        <s v="6PE302"/>
        <s v="6SD002"/>
        <s v="6SH009"/>
        <s v="6SH010"/>
        <s v="6SH011"/>
        <s v="6SH014"/>
        <s v="6SP050"/>
        <s v="6SP051"/>
        <s v="6SP052"/>
        <s v="6SP053"/>
        <s v="6SV020"/>
        <s v="6SV027"/>
        <s v="6SV028"/>
        <s v="6SY035"/>
        <s v="6SY038"/>
        <s v="6PE148" u="1"/>
        <s v="6PE303c" u="1"/>
        <s v="6PE303d" u="1"/>
        <s v="6MN028" u="1"/>
        <s v="6PE303e" u="1"/>
        <s v="6PE110" u="1"/>
        <s v="6PE196" u="1"/>
        <s v="6PE303f" u="1"/>
        <s v="6PE170" u="1"/>
        <s v="6PE303" u="1"/>
        <s v="6PE096" u="1"/>
        <s v="6PE215" u="1"/>
        <s v="6PE114" u="1"/>
        <s v="6PE098" u="1"/>
        <s v="6PE115" u="1"/>
        <s v="6PE099" u="1"/>
        <s v="6HI015" u="1"/>
        <s v="6PE103" u="1"/>
        <s v="6PE189" u="1"/>
        <s v="6PE104" u="1"/>
        <s v="6LÄ045" u="1"/>
        <s v="6SY027" u="1"/>
        <s v="6ID303" u="1"/>
        <s v="6MN042" u="1"/>
        <s v="6LÄ047" u="1"/>
        <s v="6PE151" u="1"/>
        <s v="6PE107" u="1"/>
        <s v="6GExx1" u="1"/>
        <s v="6PE152" u="1"/>
        <s v="6LI005" u="1"/>
        <s v="6PE108" u="1"/>
        <s v="6PE153" u="1"/>
        <s v="6SP040" u="1"/>
        <s v="6PE109" u="1"/>
        <s v="6PE154" u="1"/>
        <s v="6GExx4" u="1"/>
        <s v="6PE169" u="1"/>
        <s v="6PE143" u="1"/>
        <s v="6PE130" u="1"/>
        <s v="6PE144" u="1"/>
        <s v="6PE158" u="1"/>
        <s v="6PE131" u="1"/>
        <s v="6PE145" u="1"/>
        <s v="6PE159" u="1"/>
        <s v="6KG002" u="1"/>
        <s v="6GExx9" u="1"/>
        <s v="6PE303b" u="1"/>
        <s v="6PE147" u="1"/>
        <s v="6MN025" u="1"/>
      </sharedItems>
    </cacheField>
    <cacheField name="Benämning" numFmtId="0">
      <sharedItems count="114">
        <s v="Skapande lek i förskolan 1"/>
        <s v="Historia 3"/>
        <s v="Idrott och hälsa 1"/>
        <s v="Idrott och hälsa 3"/>
        <s v="Idrott och hälsa II för gymnasieskolan"/>
        <s v="Introduktion till geografi"/>
        <s v="Kartor och GIS"/>
        <s v="Specialpedagogik med fokus på svenska och matematik för F-3"/>
        <s v="Demokrati, individ och samhälle"/>
        <s v="Kunskap, undervisning och lärande I"/>
        <s v="Samhällsorientering åk 4-6"/>
        <s v="Kunskap, vetenskap och forskningsmetodik, 7,5 hp"/>
        <s v="Etik, demokrati och det heterogena klassrummet, 7,5 hp"/>
        <s v="Att undervisa i åk 4-6"/>
        <s v="Att undervisa i F-3"/>
        <s v="Språk, kommunikation och språkutveckling i förskolans verksamhet"/>
        <s v="Kommunikation och språkutveckling för fritidshem"/>
        <s v="Matematik 4 för förskoleklass och grundskolans årskurs 1-3"/>
        <s v="Matematik 3 för grundskolans årskurs 4-6"/>
        <s v="Matematik 4 för grundskolans årskurs 4-6"/>
        <s v="Matematik för förskolan"/>
        <s v="Naturvetenskap och teknik i förskolan"/>
        <s v="Grupprocesser och samverkan ur ett fritidshemsperspektiv"/>
        <s v="Kunskap, undervisning och lärande för yrkeslärare II"/>
        <s v="Ämnesdidaktik för yrkeslärare"/>
        <s v="Profession och vetenskap för yrkeslärare"/>
        <s v="Förskollärare som profession"/>
        <s v="Ämneslärare som profession"/>
        <s v="Lärande och undervisning"/>
        <s v="Barns lärande och omsorg"/>
        <s v="Verksamhetsförlagd utbildning för yrkeslärare (VFU)"/>
        <s v="Bedömning (UK)"/>
        <s v="Utbildningens villkor och samhälleliga funktion (UK)"/>
        <s v="Den professionella läraren 1: Barns utveckling, specialpedagogik, sociala relationer och kommunikation (UK)"/>
        <s v="Utbildningsvetenskap, undervisning och lärande för förskolan (UK)"/>
        <s v="Specialpedagogik för förskolan (UK)"/>
        <s v="Specialpedagogik för grundskolan (UK)"/>
        <s v="Specialpedagogik - åk 7-9 och gymnasieskolan (UK)"/>
        <s v="Utbildningsvetenskap, undervisning och lärande för grundskolan - fritidshem (UK)"/>
        <s v="Utbildningsvetenskap, undervisning och lärande för grundskolan (UK)"/>
        <s v="Utbildningsvetenskap, undervisning och lärande - Ämneslärarprogrammet (UK)"/>
        <s v="Den professionella läraren 2: Uppdrag, ledarskap och undervisning (UK)"/>
        <s v="Barnet, omvärlden och fritidshemmets uppdrag"/>
        <s v="Bedömning för och av lärande i grundskolan (UK)"/>
        <s v="Bedömning för lärande i förskolan (UK)"/>
        <s v="Bedömning för och av lärande för åk 7-9 och gymnasium (UK)"/>
        <s v="Kunskap, undervisning och lärande 2"/>
        <s v="Läraryrkets dimensioner för förskoleklass och grundskolans årskurs 1-3 (VFU)"/>
        <s v="Läraryrkets dimensioner för grundskolans årskurs 4-6 (VFU)"/>
        <s v="Samhällsorientering för förskolan"/>
        <s v="Profession och vetenskap för förskolan (UK)"/>
        <s v="Profession och vetenskap för fritidshem (UK)"/>
        <s v="Grundlärare som profession (UK)"/>
        <s v="Profession och vetenskap för åk 4-6 (UK III)"/>
        <s v="Profession och vetenskap för F-3 (UK III)"/>
        <s v="Att vara grundlärare (VFU)"/>
        <s v="Språk och matematik i ett specialpedagogiskt perspektiv"/>
        <s v="Pedagogiskt ledarskap, sociala relationer och konflikthantering"/>
        <s v="Examensarbete i svenska för ämneslärarexamen"/>
        <s v="Samhällskunskap 1"/>
        <s v="Samhällskunskap 2"/>
        <s v="Samhällskunskap 3"/>
        <s v="Profession och vetenskap"/>
        <s v="Introduktion till det specialpedagogiska fältet"/>
        <s v="Neuropsykiatriska svårigheter i olika lärmiljöer"/>
        <s v="Speciallärarens och specialpedagogens yrkesfunktion"/>
        <s v="Utvärdering, ledarskap och förändringsarbete"/>
        <s v="Svenska I för ämneslärare"/>
        <s v="Svenska II för ämneslärare"/>
        <s v="Svenska III för ämneslärare"/>
        <s v="Samhällsvetenskap"/>
        <s v="Beteendevetenskapliga grunder"/>
        <s v="Kunskap, undervisning och lärande II (7-9)(Gy), Mom 2 (Ma), 3 hp" u="1"/>
        <s v="Utbildningens villkor och samhälleliga funktion" u="1"/>
        <s v="Vetenskapliga metoder i geografi" u="1"/>
        <s v="Ämnesdidaktik i skolpraktiken, del 1" u="1"/>
        <s v="Kunskap, undervisning och lärande II (7-9)(Gy), Mom 2 (Bild+Mu+Slöjd), 3 hp" u="1"/>
        <s v="Bedömning för lärande för förskolan 1 (UK)" u="1"/>
        <s v="Kunskap, undervisning och lärande II (7-9)(Gy), Mom 2 (Hi+Re), 3 hp" u="1"/>
        <s v="Historia III forts." u="1"/>
        <s v="Matematik för åk 4-6, kurs 4" u="1"/>
        <s v="Lärande, lek och utveckling i förskolan II" u="1"/>
        <s v="Vetenskap och kunskap" u="1"/>
        <s v="Lärande, lek och utveckling i förskolan I" u="1"/>
        <s v="Kunskap, undervisning och lärande II för åk 4-6" u="1"/>
        <s v="Bedömning för lärande i fritidshem (UK II)" u="1"/>
        <s v="Verksamhetsförlagd utbildning för yrkeslärare" u="1"/>
        <s v="Geografi II" u="1"/>
        <s v="Kunskap, undervisning och lärande i fritidshem II" u="1"/>
        <s v="Kunskap undervisning och lärande II" u="1"/>
        <s v="Matematik 2 för grundskolans årskurs 4-6" u="1"/>
        <s v="Kunskap, undervisning och lärande II (7-9)(Gy), Mom 2 (Hk), 3 hp" u="1"/>
        <s v="Kunskap, undervisning och lärande för förskolan (UK)" u="1"/>
        <s v="Kunskap, undervisning och lärande II (7-9)(Gy), Mom 2 (Sv+Eng), 3 hp" u="1"/>
        <s v="Den professionella läraren I: Barns och ungas utveckling, specialpedagogik, sociala relationer och kommunikation" u="1"/>
        <e v="#N/A" u="1"/>
        <s v="Idrott och hälsa III" u="1"/>
        <s v="Vetenskap och kunskap (UK)" u="1"/>
        <s v="Barnet och omvärlden" u="1"/>
        <s v="Lärande, lek och utveckling i förskolan III. Skapande och lek i förskolan I:II" u="1"/>
        <s v="Grundlärare som profession" u="1"/>
        <s v="Läraryrkets dimensioner för F-3 (VFU III)" u="1"/>
        <s v="Kunskap, undervisning och lärande II för 7-9 och gymnasiet" u="1"/>
        <s v="Kunskap undervisning och lärande II för F-3" u="1"/>
        <s v="Bedömning för lärande för åk F-3 och 4-6" u="1"/>
        <s v="Verksamhetsförlagd utbildning (KPU)" u="1"/>
        <s v="Läraryrkets dimensioner för åk 4-6 (VFU III)" u="1"/>
        <s v="Bedömning" u="1"/>
        <s v="Profession och vetenskap i fritidshem (UK III)" u="1"/>
        <s v="Matematik för åk F-3, kurs 4" u="1"/>
        <s v="Bedömning för lärande för ämneslärare för åk 7-9 och gymnasium" u="1"/>
        <s v="Den professionella läraren II: Uppdrag, ledarskap och undervisning" u="1"/>
        <s v="Examensarbete" u="1"/>
        <s v="Barns lärande och utveckling i ett fritidshemsperspektiv" u="1"/>
      </sharedItems>
    </cacheField>
    <cacheField name="Org 1" numFmtId="0">
      <sharedItems containsSemiMixedTypes="0" containsString="0" containsNumber="1" containsInteger="1" minValue="1620" maxValue="5740" count="21">
        <n v="2180"/>
        <n v="2193"/>
        <n v="2360"/>
        <n v="3306"/>
        <n v="2750"/>
        <n v="3850"/>
        <n v="5100"/>
        <n v="5740"/>
        <n v="1640"/>
        <n v="2200"/>
        <n v="2272"/>
        <n v="2500"/>
        <n v="5730"/>
        <n v="1650"/>
        <n v="2300"/>
        <n v="2340"/>
        <n v="1620"/>
        <n v="2271"/>
        <n v="2220"/>
        <n v="1630" u="1"/>
        <n v="3704" u="1"/>
      </sharedItems>
    </cacheField>
    <cacheField name="Medv namn" numFmtId="0">
      <sharedItems count="21">
        <s v="Pedagogik                     "/>
        <s v="TUV "/>
        <s v="Ekonomisk historia            "/>
        <s v="Idrottsmedicin                "/>
        <s v="Kostvetenskap                 "/>
        <s v="Epidemiologi och global hälsa"/>
        <s v="EMG"/>
        <s v="NMD"/>
        <s v="Inst för kultur- o medievetenskap"/>
        <s v="Inst för psykologi            "/>
        <s v="Statistik                     "/>
        <s v="Geografi"/>
        <s v="Inst för MA och MA statistik"/>
        <s v="Estetiska ämnen               "/>
        <s v="Juridiska institutionen       "/>
        <s v="Statsvetenskap                "/>
        <s v="Inst för språkstudier"/>
        <s v="Nationalekonomi               "/>
        <s v="Sociologi                     "/>
        <s v="Geografi och ekonomisk historia" u="1"/>
        <s v="Inst för ide- o samhällsstudier" u="1"/>
      </sharedItems>
    </cacheField>
    <cacheField name="Fak medv" numFmtId="0">
      <sharedItems count="4">
        <s v="Sam"/>
        <s v="Med"/>
        <s v="TekNat"/>
        <s v="Hum"/>
      </sharedItems>
    </cacheField>
    <cacheField name="% org 1" numFmtId="10">
      <sharedItems containsSemiMixedTypes="0" containsString="0" containsNumber="1" minValue="0.05" maxValue="1" count="35">
        <n v="0.2"/>
        <n v="0.25"/>
        <n v="0.15"/>
        <n v="0.16666666666666666"/>
        <n v="0.5"/>
        <n v="0.05"/>
        <n v="0.13333333333333333"/>
        <n v="0.46666666666666667"/>
        <n v="0.33333333333333331"/>
        <n v="0.26666666666666666"/>
        <n v="0.4"/>
        <n v="0.125"/>
        <n v="0.41666666666666669"/>
        <n v="8.3333333333333329E-2"/>
        <n v="0.1"/>
        <n v="0.375"/>
        <n v="0.22727272727272727"/>
        <n v="9.0909090909090912E-2"/>
        <n v="0.3"/>
        <n v="0.35555555555555557"/>
        <n v="0.16"/>
        <n v="0.24000000000000002"/>
        <n v="0.18000000000000002"/>
        <n v="0.26999999999999996"/>
        <n v="0.7"/>
        <n v="0.6"/>
        <n v="7.4999999999999997E-2" u="1"/>
        <n v="0.2857142857142857" u="1"/>
        <n v="0.8" u="1"/>
        <n v="0.17857142857142858" u="1"/>
        <n v="0.48888888888888887" u="1"/>
        <n v="0.35" u="1"/>
        <n v="0.14285714285714285" u="1"/>
        <n v="1" u="1"/>
        <n v="9.166666666666666E-2" u="1"/>
      </sharedItems>
    </cacheField>
    <cacheField name="Ansv org" numFmtId="0">
      <sharedItems containsSemiMixedTypes="0" containsString="0" containsNumber="1" containsInteger="1" minValue="1620" maxValue="5740" count="9">
        <n v="1650"/>
        <n v="1630"/>
        <n v="2180"/>
        <n v="2500"/>
        <n v="1620"/>
        <n v="5740"/>
        <n v="2193"/>
        <n v="2340"/>
        <n v="5100" u="1"/>
      </sharedItems>
    </cacheField>
    <cacheField name="Kursansvar namn" numFmtId="0">
      <sharedItems count="11">
        <s v="Estetiska ämnen               "/>
        <s v="Inst för ide- o samhällsstudier"/>
        <s v="Pedagogik                     "/>
        <s v="Geografi"/>
        <s v="Inst för språkstudier"/>
        <s v="NMD"/>
        <s v="TUV "/>
        <s v="Statsvetenskap                "/>
        <s v="EMG" u="1"/>
        <s v="Geografi och ekonomisk historia" u="1"/>
        <e v="#N/A" u="1"/>
      </sharedItems>
    </cacheField>
    <cacheField name="Fak kursansvar" numFmtId="0">
      <sharedItems/>
    </cacheField>
    <cacheField name="Total HST" numFmtId="166">
      <sharedItems containsSemiMixedTypes="0" containsString="0" containsNumber="1" minValue="0.75" maxValue="40.931249999999999"/>
    </cacheField>
    <cacheField name="HST Medv" numFmtId="166">
      <sharedItems containsSemiMixedTypes="0" containsString="0" containsNumber="1" minValue="0.32500000000000001" maxValue="18.740750000000002"/>
    </cacheField>
    <cacheField name="Total HPR" numFmtId="166">
      <sharedItems containsSemiMixedTypes="0" containsString="0" containsNumber="1" minValue="0.63749999999999996" maxValue="34.791562499999991"/>
    </cacheField>
    <cacheField name="HPR Medv" numFmtId="166">
      <sharedItems containsSemiMixedTypes="0" containsString="0" containsNumber="1" minValue="0.27625000000000005" maxValue="15.929637499999997"/>
    </cacheField>
    <cacheField name="Prislapp HST" numFmtId="168">
      <sharedItems containsSemiMixedTypes="0" containsString="0" containsNumber="1" minValue="15846" maxValue="45034"/>
    </cacheField>
    <cacheField name="Prislapp HPR" numFmtId="168">
      <sharedItems containsSemiMixedTypes="0" containsString="0" containsNumber="1" minValue="15773" maxValue="34806"/>
    </cacheField>
    <cacheField name="Lokalin/hst" numFmtId="168">
      <sharedItems containsSemiMixedTypes="0" containsString="0" containsNumber="1" containsInteger="1" minValue="3400" maxValue="34500"/>
    </cacheField>
    <cacheField name="Kursintäkt" numFmtId="168">
      <sharedItems containsSemiMixedTypes="0" containsString="0" containsNumber="1" minValue="10338.916250000002" maxValue="901600.61582499999"/>
    </cacheField>
    <cacheField name="Avdrag" numFmtId="168">
      <sharedItems containsSemiMixedTypes="0" containsString="0" containsNumber="1" minValue="-63112.043107750003" maxValue="-723.72413750000021"/>
    </cacheField>
    <cacheField name="Kursintäkt efter avdrag" numFmtId="168">
      <sharedItems containsSemiMixedTypes="0" containsString="0" containsNumber="1" minValue="9615.1921125000026" maxValue="838488.57271724998"/>
    </cacheField>
    <cacheField name="Lokalintäkt" numFmtId="168">
      <sharedItems containsSemiMixedTypes="0" containsString="0" containsNumber="1" minValue="1885" maxValue="12937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32">
  <r>
    <x v="0"/>
    <x v="0"/>
    <n v="2180"/>
    <x v="0"/>
    <s v="Sam"/>
    <x v="0"/>
    <n v="1650"/>
    <x v="0"/>
    <s v="Hum"/>
    <n v="11.125"/>
    <n v="2.2250000000000001"/>
    <n v="9.4562499999999989"/>
    <n v="1.8912499999999999"/>
    <n v="15846"/>
    <n v="26926"/>
    <n v="17300"/>
    <n v="86181.147499999992"/>
    <n v="-6032.6803250000003"/>
    <n v="80148.467174999998"/>
    <n v="38492.5"/>
  </r>
  <r>
    <x v="0"/>
    <x v="0"/>
    <n v="2193"/>
    <x v="1"/>
    <s v="Sam"/>
    <x v="0"/>
    <n v="1650"/>
    <x v="0"/>
    <s v="Hum"/>
    <n v="11.125"/>
    <n v="2.2250000000000001"/>
    <n v="9.4562499999999989"/>
    <n v="1.8912499999999999"/>
    <n v="15846"/>
    <n v="26926"/>
    <n v="17300"/>
    <n v="86181.147499999992"/>
    <n v="-6032.6803250000003"/>
    <n v="80148.467174999998"/>
    <n v="38492.5"/>
  </r>
  <r>
    <x v="1"/>
    <x v="1"/>
    <n v="2360"/>
    <x v="2"/>
    <s v="Sam"/>
    <x v="1"/>
    <n v="1630"/>
    <x v="1"/>
    <s v="Hum"/>
    <n v="0"/>
    <n v="0"/>
    <n v="0"/>
    <n v="0"/>
    <n v="18405"/>
    <n v="15773"/>
    <n v="5800"/>
    <n v="0"/>
    <n v="0"/>
    <n v="0"/>
    <n v="0"/>
  </r>
  <r>
    <x v="2"/>
    <x v="2"/>
    <n v="2360"/>
    <x v="2"/>
    <s v="Sam"/>
    <x v="1"/>
    <n v="1630"/>
    <x v="1"/>
    <s v="Hum"/>
    <n v="12"/>
    <n v="3"/>
    <n v="10.199999999999999"/>
    <n v="2.5499999999999998"/>
    <n v="18405"/>
    <n v="15773"/>
    <n v="5800"/>
    <n v="95436.15"/>
    <n v="-6680.5304999999998"/>
    <n v="88755.619500000001"/>
    <n v="17400"/>
  </r>
  <r>
    <x v="3"/>
    <x v="3"/>
    <n v="3306"/>
    <x v="3"/>
    <s v="Med"/>
    <x v="1"/>
    <n v="2180"/>
    <x v="2"/>
    <s v="Sam"/>
    <n v="14.5"/>
    <n v="3.625"/>
    <n v="12.225"/>
    <n v="3.0562499999999999"/>
    <n v="45034"/>
    <n v="31547"/>
    <n v="34500"/>
    <n v="259663.76874999999"/>
    <n v="-18176.463812500002"/>
    <n v="241487.30493749998"/>
    <n v="125062.5"/>
  </r>
  <r>
    <x v="3"/>
    <x v="3"/>
    <n v="2750"/>
    <x v="4"/>
    <s v="Sam"/>
    <x v="2"/>
    <n v="2180"/>
    <x v="2"/>
    <s v="Sam"/>
    <n v="14.5"/>
    <n v="2.1749999999999998"/>
    <n v="12.225"/>
    <n v="1.8337499999999998"/>
    <n v="45034"/>
    <n v="31547"/>
    <n v="34500"/>
    <n v="155798.26124999998"/>
    <n v="-10905.8782875"/>
    <n v="144892.38296249998"/>
    <n v="75037.5"/>
  </r>
  <r>
    <x v="4"/>
    <x v="4"/>
    <n v="3850"/>
    <x v="5"/>
    <s v="Med"/>
    <x v="3"/>
    <n v="2180"/>
    <x v="2"/>
    <s v="Sam"/>
    <n v="11.5"/>
    <n v="1.9166666666666665"/>
    <n v="9.6749999999999989"/>
    <n v="1.6124999999999998"/>
    <n v="45034"/>
    <n v="31547"/>
    <n v="34500"/>
    <n v="137184.70416666666"/>
    <n v="-9602.9292916666673"/>
    <n v="127581.774875"/>
    <n v="66125"/>
  </r>
  <r>
    <x v="5"/>
    <x v="5"/>
    <n v="3850"/>
    <x v="5"/>
    <s v="Med"/>
    <x v="3"/>
    <n v="2180"/>
    <x v="2"/>
    <s v="Sam"/>
    <n v="0"/>
    <n v="0"/>
    <n v="0"/>
    <n v="0"/>
    <n v="45034"/>
    <n v="31547"/>
    <n v="34500"/>
    <n v="0"/>
    <n v="0"/>
    <n v="0"/>
    <n v="0"/>
  </r>
  <r>
    <x v="6"/>
    <x v="6"/>
    <n v="3306"/>
    <x v="3"/>
    <s v="Med"/>
    <x v="1"/>
    <n v="2180"/>
    <x v="2"/>
    <s v="Sam"/>
    <n v="15.5"/>
    <n v="3.875"/>
    <n v="13.05"/>
    <n v="3.2625000000000002"/>
    <n v="45034"/>
    <n v="31547"/>
    <n v="34500"/>
    <n v="277428.83750000002"/>
    <n v="-19420.018625000004"/>
    <n v="258008.81887500003"/>
    <n v="133687.5"/>
  </r>
  <r>
    <x v="7"/>
    <x v="7"/>
    <n v="5100"/>
    <x v="6"/>
    <s v="TekNat"/>
    <x v="4"/>
    <n v="2500"/>
    <x v="3"/>
    <s v="Sam"/>
    <n v="0"/>
    <n v="0"/>
    <n v="0"/>
    <n v="0"/>
    <n v="18939"/>
    <n v="25289.5"/>
    <n v="13800"/>
    <n v="0"/>
    <n v="0"/>
    <n v="0"/>
    <n v="0"/>
  </r>
  <r>
    <x v="8"/>
    <x v="8"/>
    <n v="5100"/>
    <x v="6"/>
    <s v="TekNat"/>
    <x v="4"/>
    <n v="2500"/>
    <x v="3"/>
    <s v="Sam"/>
    <n v="0.75"/>
    <n v="0.375"/>
    <n v="0.63749999999999996"/>
    <n v="0.31874999999999998"/>
    <n v="18405"/>
    <n v="15773"/>
    <n v="5800"/>
    <n v="11929.518749999999"/>
    <n v="-835.06631249999998"/>
    <n v="11094.4524375"/>
    <n v="2175"/>
  </r>
  <r>
    <x v="9"/>
    <x v="9"/>
    <n v="5100"/>
    <x v="6"/>
    <s v="TekNat"/>
    <x v="4"/>
    <n v="2500"/>
    <x v="3"/>
    <s v="Sam"/>
    <n v="0.75"/>
    <n v="0.375"/>
    <n v="0.63749999999999996"/>
    <n v="0.31874999999999998"/>
    <n v="18672"/>
    <n v="20531.25"/>
    <n v="9800"/>
    <n v="13546.3359375"/>
    <n v="-948.2435156250001"/>
    <n v="12598.092421875001"/>
    <n v="3675"/>
  </r>
  <r>
    <x v="10"/>
    <x v="10"/>
    <n v="5740"/>
    <x v="7"/>
    <s v="TekNat"/>
    <x v="4"/>
    <n v="1620"/>
    <x v="4"/>
    <s v="Hum"/>
    <n v="0"/>
    <n v="0"/>
    <n v="0"/>
    <n v="0"/>
    <n v="18405"/>
    <n v="15773"/>
    <n v="5800"/>
    <n v="0"/>
    <n v="0"/>
    <n v="0"/>
    <n v="0"/>
  </r>
  <r>
    <x v="11"/>
    <x v="10"/>
    <n v="5740"/>
    <x v="7"/>
    <s v="TekNat"/>
    <x v="4"/>
    <n v="1620"/>
    <x v="4"/>
    <s v="Hum"/>
    <n v="8.75"/>
    <n v="4.375"/>
    <n v="7.4375"/>
    <n v="3.71875"/>
    <n v="18405"/>
    <n v="15773"/>
    <n v="5800"/>
    <n v="139177.71875"/>
    <n v="-9742.4403125000008"/>
    <n v="129435.2784375"/>
    <n v="25375"/>
  </r>
  <r>
    <x v="12"/>
    <x v="11"/>
    <n v="1640"/>
    <x v="8"/>
    <s v="Hum"/>
    <x v="4"/>
    <n v="1630"/>
    <x v="1"/>
    <s v="Hum"/>
    <n v="11.958333333333332"/>
    <n v="5.9791666666666661"/>
    <n v="10.164583333333331"/>
    <n v="5.0822916666666655"/>
    <n v="23641"/>
    <n v="28786"/>
    <n v="5800"/>
    <n v="287652.32708333328"/>
    <n v="-20135.662895833331"/>
    <n v="267516.66418749996"/>
    <n v="34679.166666666664"/>
  </r>
  <r>
    <x v="13"/>
    <x v="12"/>
    <n v="2200"/>
    <x v="9"/>
    <s v="Sam"/>
    <x v="0"/>
    <n v="1630"/>
    <x v="1"/>
    <s v="Hum"/>
    <n v="13.333333333333332"/>
    <n v="2.6666666666666665"/>
    <n v="11.333333333333332"/>
    <n v="2.2666666666666666"/>
    <n v="23641"/>
    <n v="28786"/>
    <n v="5800"/>
    <n v="128290.93333333332"/>
    <n v="-8980.3653333333332"/>
    <n v="119310.56799999998"/>
    <n v="15466.666666666666"/>
  </r>
  <r>
    <x v="13"/>
    <x v="12"/>
    <n v="2272"/>
    <x v="10"/>
    <s v="Sam"/>
    <x v="5"/>
    <n v="1630"/>
    <x v="1"/>
    <s v="Hum"/>
    <n v="13.333333333333332"/>
    <n v="0.66666666666666663"/>
    <n v="11.333333333333332"/>
    <n v="0.56666666666666665"/>
    <n v="23641"/>
    <n v="28786"/>
    <n v="5800"/>
    <n v="32072.73333333333"/>
    <n v="-2245.0913333333333"/>
    <n v="29827.641999999996"/>
    <n v="3866.6666666666665"/>
  </r>
  <r>
    <x v="14"/>
    <x v="13"/>
    <n v="2500"/>
    <x v="11"/>
    <s v="Sam"/>
    <x v="3"/>
    <n v="1630"/>
    <x v="1"/>
    <s v="Hum"/>
    <n v="7"/>
    <n v="1.1666666666666665"/>
    <n v="5.9499999999999993"/>
    <n v="0.99166666666666647"/>
    <n v="18405"/>
    <n v="15773"/>
    <n v="5800"/>
    <n v="37114.058333333327"/>
    <n v="-2597.9840833333333"/>
    <n v="34516.074249999991"/>
    <n v="6766.6666666666661"/>
  </r>
  <r>
    <x v="14"/>
    <x v="13"/>
    <n v="2180"/>
    <x v="0"/>
    <s v="Sam"/>
    <x v="4"/>
    <n v="1630"/>
    <x v="1"/>
    <s v="Hum"/>
    <n v="7"/>
    <n v="3.5"/>
    <n v="5.9499999999999993"/>
    <n v="2.9749999999999996"/>
    <n v="18405"/>
    <n v="15773"/>
    <n v="5800"/>
    <n v="111342.17499999999"/>
    <n v="-7793.9522500000003"/>
    <n v="103548.22274999999"/>
    <n v="20300"/>
  </r>
  <r>
    <x v="15"/>
    <x v="14"/>
    <n v="2272"/>
    <x v="10"/>
    <s v="Sam"/>
    <x v="0"/>
    <n v="1630"/>
    <x v="1"/>
    <s v="Hum"/>
    <n v="48.050000000000004"/>
    <n v="9.6100000000000012"/>
    <n v="40.842500000000001"/>
    <n v="8.1684999999999999"/>
    <n v="23641"/>
    <n v="28786"/>
    <n v="5800"/>
    <n v="462328.451"/>
    <n v="-32362.991570000002"/>
    <n v="429965.45942999999"/>
    <n v="55738.000000000007"/>
  </r>
  <r>
    <x v="15"/>
    <x v="14"/>
    <n v="2180"/>
    <x v="0"/>
    <s v="Sam"/>
    <x v="6"/>
    <n v="1630"/>
    <x v="1"/>
    <s v="Hum"/>
    <n v="48.050000000000004"/>
    <n v="6.4066666666666672"/>
    <n v="40.842500000000001"/>
    <n v="5.4456666666666669"/>
    <n v="23641"/>
    <n v="28786"/>
    <n v="5800"/>
    <n v="308218.96733333333"/>
    <n v="-21575.327713333336"/>
    <n v="286643.63961999997"/>
    <n v="37158.666666666672"/>
  </r>
  <r>
    <x v="16"/>
    <x v="15"/>
    <n v="1640"/>
    <x v="8"/>
    <s v="Hum"/>
    <x v="7"/>
    <n v="1630"/>
    <x v="1"/>
    <s v="Hum"/>
    <n v="40.949999999999996"/>
    <n v="19.11"/>
    <n v="34.807499999999997"/>
    <n v="16.243499999999997"/>
    <n v="23641"/>
    <n v="28786"/>
    <n v="5800"/>
    <n v="919364.90099999995"/>
    <n v="-64355.54307"/>
    <n v="855009.35792999994"/>
    <n v="110838"/>
  </r>
  <r>
    <x v="17"/>
    <x v="16"/>
    <n v="5740"/>
    <x v="7"/>
    <s v="TekNat"/>
    <x v="8"/>
    <n v="1620"/>
    <x v="4"/>
    <s v="Hum"/>
    <n v="3.2"/>
    <n v="1.0666666666666667"/>
    <n v="2.7199999999999998"/>
    <n v="0.90666666666666651"/>
    <n v="21634"/>
    <n v="26986"/>
    <n v="3400"/>
    <n v="47543.573333333334"/>
    <n v="-3328.0501333333336"/>
    <n v="44215.523200000003"/>
    <n v="3626.6666666666665"/>
  </r>
  <r>
    <x v="18"/>
    <x v="17"/>
    <n v="5740"/>
    <x v="7"/>
    <s v="TekNat"/>
    <x v="8"/>
    <n v="1620"/>
    <x v="4"/>
    <s v="Hum"/>
    <n v="3.4000000000000004"/>
    <n v="1.1333333333333333"/>
    <n v="2.89"/>
    <n v="0.96333333333333337"/>
    <n v="21634"/>
    <n v="26986"/>
    <n v="3400"/>
    <n v="50515.046666666669"/>
    <n v="-3536.0532666666672"/>
    <n v="46978.993399999999"/>
    <n v="3853.333333333333"/>
  </r>
  <r>
    <x v="19"/>
    <x v="18"/>
    <n v="2193"/>
    <x v="1"/>
    <s v="Sam"/>
    <x v="0"/>
    <n v="1620"/>
    <x v="4"/>
    <s v="Hum"/>
    <n v="22.75"/>
    <n v="4.55"/>
    <n v="19.337499999999999"/>
    <n v="3.8674999999999997"/>
    <n v="18405"/>
    <n v="15773"/>
    <n v="5800"/>
    <n v="144744.82749999998"/>
    <n v="-10132.137924999999"/>
    <n v="134612.689575"/>
    <n v="26390"/>
  </r>
  <r>
    <x v="20"/>
    <x v="19"/>
    <n v="2193"/>
    <x v="1"/>
    <s v="Sam"/>
    <x v="8"/>
    <n v="1620"/>
    <x v="4"/>
    <s v="Hum"/>
    <n v="3.25"/>
    <n v="1.0833333333333333"/>
    <n v="2.7625000000000002"/>
    <n v="0.92083333333333339"/>
    <n v="18405"/>
    <n v="15773"/>
    <n v="5800"/>
    <n v="34463.054166666669"/>
    <n v="-2412.4137916666668"/>
    <n v="32050.640375000003"/>
    <n v="6283.333333333333"/>
  </r>
  <r>
    <x v="21"/>
    <x v="20"/>
    <n v="5730"/>
    <x v="12"/>
    <s v="TekNat"/>
    <x v="8"/>
    <n v="5740"/>
    <x v="5"/>
    <s v="TekNat"/>
    <n v="4.375"/>
    <n v="1.4583333333333333"/>
    <n v="3.71875"/>
    <n v="1.2395833333333333"/>
    <n v="19473"/>
    <n v="34806"/>
    <n v="21800"/>
    <n v="71543.0625"/>
    <n v="-5008.0143750000007"/>
    <n v="66535.048125000001"/>
    <n v="31791.666666666664"/>
  </r>
  <r>
    <x v="22"/>
    <x v="21"/>
    <n v="5730"/>
    <x v="12"/>
    <s v="TekNat"/>
    <x v="8"/>
    <n v="5740"/>
    <x v="5"/>
    <s v="TekNat"/>
    <n v="3.375"/>
    <n v="1.125"/>
    <n v="2.8687499999999999"/>
    <n v="0.95624999999999993"/>
    <n v="19473"/>
    <n v="34806"/>
    <n v="21800"/>
    <n v="55190.362499999996"/>
    <n v="-3863.3253749999999"/>
    <n v="51327.037124999995"/>
    <n v="24525"/>
  </r>
  <r>
    <x v="23"/>
    <x v="22"/>
    <n v="5730"/>
    <x v="12"/>
    <s v="TekNat"/>
    <x v="8"/>
    <n v="5740"/>
    <x v="5"/>
    <s v="TekNat"/>
    <n v="4.125"/>
    <n v="1.375"/>
    <n v="3.5062500000000001"/>
    <n v="1.16875"/>
    <n v="19473"/>
    <n v="34806"/>
    <n v="21800"/>
    <n v="67454.887499999997"/>
    <n v="-4721.8421250000001"/>
    <n v="62733.045374999994"/>
    <n v="29975"/>
  </r>
  <r>
    <x v="24"/>
    <x v="23"/>
    <n v="2193"/>
    <x v="1"/>
    <s v="Sam"/>
    <x v="9"/>
    <n v="5740"/>
    <x v="5"/>
    <s v="TekNat"/>
    <n v="11.125"/>
    <n v="2.9666666666666668"/>
    <n v="9.4562499999999989"/>
    <n v="2.5216666666666665"/>
    <n v="19473"/>
    <n v="34806"/>
    <n v="21800"/>
    <n v="145539.03"/>
    <n v="-10187.732100000001"/>
    <n v="135351.29790000001"/>
    <n v="64673.333333333336"/>
  </r>
  <r>
    <x v="25"/>
    <x v="24"/>
    <n v="2193"/>
    <x v="1"/>
    <s v="Sam"/>
    <x v="0"/>
    <n v="5740"/>
    <x v="5"/>
    <s v="TekNat"/>
    <n v="16.5"/>
    <n v="3.3000000000000003"/>
    <n v="14.025000000000002"/>
    <n v="2.8050000000000006"/>
    <n v="19473"/>
    <n v="34806"/>
    <n v="21800"/>
    <n v="161891.73000000004"/>
    <n v="-11332.421100000003"/>
    <n v="150559.30890000003"/>
    <n v="71940"/>
  </r>
  <r>
    <x v="26"/>
    <x v="25"/>
    <n v="2180"/>
    <x v="0"/>
    <s v="Sam"/>
    <x v="10"/>
    <n v="2193"/>
    <x v="6"/>
    <s v="Sam"/>
    <n v="0"/>
    <n v="0"/>
    <n v="0"/>
    <n v="0"/>
    <n v="23641"/>
    <n v="28786"/>
    <n v="5800"/>
    <n v="0"/>
    <n v="0"/>
    <n v="0"/>
    <n v="0"/>
  </r>
  <r>
    <x v="27"/>
    <x v="26"/>
    <n v="5740"/>
    <x v="7"/>
    <s v="TekNat"/>
    <x v="11"/>
    <n v="2193"/>
    <x v="6"/>
    <s v="Sam"/>
    <n v="0"/>
    <n v="0"/>
    <n v="0"/>
    <n v="0"/>
    <n v="18533.16"/>
    <n v="18056.96"/>
    <n v="7720"/>
    <n v="0"/>
    <n v="0"/>
    <n v="0"/>
    <n v="0"/>
  </r>
  <r>
    <x v="27"/>
    <x v="26"/>
    <n v="1620"/>
    <x v="13"/>
    <s v="Hum"/>
    <x v="0"/>
    <n v="2193"/>
    <x v="6"/>
    <s v="Sam"/>
    <n v="0"/>
    <n v="0"/>
    <n v="0"/>
    <n v="0"/>
    <n v="18533.16"/>
    <n v="18056.96"/>
    <n v="7720"/>
    <n v="0"/>
    <n v="0"/>
    <n v="0"/>
    <n v="0"/>
  </r>
  <r>
    <x v="27"/>
    <x v="26"/>
    <n v="1650"/>
    <x v="14"/>
    <s v="Hum"/>
    <x v="12"/>
    <n v="2193"/>
    <x v="6"/>
    <s v="Sam"/>
    <n v="0"/>
    <n v="0"/>
    <n v="0"/>
    <n v="0"/>
    <n v="18533.16"/>
    <n v="18056.96"/>
    <n v="7720"/>
    <n v="0"/>
    <n v="0"/>
    <n v="0"/>
    <n v="0"/>
  </r>
  <r>
    <x v="27"/>
    <x v="26"/>
    <n v="2180"/>
    <x v="0"/>
    <s v="Sam"/>
    <x v="12"/>
    <n v="2193"/>
    <x v="6"/>
    <s v="Sam"/>
    <n v="0"/>
    <n v="0"/>
    <n v="0"/>
    <n v="0"/>
    <n v="18533.16"/>
    <n v="18056.96"/>
    <n v="7720"/>
    <n v="0"/>
    <n v="0"/>
    <n v="0"/>
    <n v="0"/>
  </r>
  <r>
    <x v="28"/>
    <x v="27"/>
    <n v="2180"/>
    <x v="0"/>
    <s v="Sam"/>
    <x v="4"/>
    <n v="2193"/>
    <x v="6"/>
    <s v="Sam"/>
    <n v="0"/>
    <n v="0"/>
    <n v="0"/>
    <n v="0"/>
    <n v="23641"/>
    <n v="28786"/>
    <n v="5800"/>
    <n v="0"/>
    <n v="0"/>
    <n v="0"/>
    <n v="0"/>
  </r>
  <r>
    <x v="29"/>
    <x v="28"/>
    <n v="5740"/>
    <x v="7"/>
    <s v="TekNat"/>
    <x v="7"/>
    <n v="2193"/>
    <x v="6"/>
    <s v="Sam"/>
    <n v="0"/>
    <n v="0"/>
    <n v="0"/>
    <n v="0"/>
    <n v="18906.96"/>
    <n v="24718.510000000002"/>
    <n v="13320"/>
    <n v="0"/>
    <n v="0"/>
    <n v="0"/>
    <n v="0"/>
  </r>
  <r>
    <x v="29"/>
    <x v="28"/>
    <n v="2180"/>
    <x v="0"/>
    <s v="Sam"/>
    <x v="2"/>
    <n v="2193"/>
    <x v="6"/>
    <s v="Sam"/>
    <n v="0"/>
    <n v="0"/>
    <n v="0"/>
    <n v="0"/>
    <n v="18906.96"/>
    <n v="24718.510000000002"/>
    <n v="13320"/>
    <n v="0"/>
    <n v="0"/>
    <n v="0"/>
    <n v="0"/>
  </r>
  <r>
    <x v="30"/>
    <x v="29"/>
    <n v="1650"/>
    <x v="14"/>
    <s v="Hum"/>
    <x v="13"/>
    <n v="2193"/>
    <x v="6"/>
    <s v="Sam"/>
    <n v="0"/>
    <n v="0"/>
    <n v="0"/>
    <n v="0"/>
    <n v="18405"/>
    <n v="15773"/>
    <n v="5800"/>
    <n v="0"/>
    <n v="0"/>
    <n v="0"/>
    <n v="0"/>
  </r>
  <r>
    <x v="30"/>
    <x v="29"/>
    <n v="2180"/>
    <x v="0"/>
    <s v="Sam"/>
    <x v="14"/>
    <n v="2193"/>
    <x v="6"/>
    <s v="Sam"/>
    <n v="0"/>
    <n v="0"/>
    <n v="0"/>
    <n v="0"/>
    <n v="18405"/>
    <n v="15773"/>
    <n v="5800"/>
    <n v="0"/>
    <n v="0"/>
    <n v="0"/>
    <n v="0"/>
  </r>
  <r>
    <x v="31"/>
    <x v="30"/>
    <n v="2180"/>
    <x v="0"/>
    <s v="Sam"/>
    <x v="7"/>
    <n v="2193"/>
    <x v="6"/>
    <s v="Sam"/>
    <n v="0.125"/>
    <n v="5.8333333333333334E-2"/>
    <n v="0.10625"/>
    <n v="4.9583333333333333E-2"/>
    <n v="23641"/>
    <n v="28786"/>
    <n v="5800"/>
    <n v="2806.3641666666667"/>
    <n v="-196.4454916666667"/>
    <n v="2609.9186749999999"/>
    <n v="338.33333333333331"/>
  </r>
  <r>
    <x v="32"/>
    <x v="31"/>
    <n v="2180"/>
    <x v="0"/>
    <s v="Sam"/>
    <x v="7"/>
    <n v="2193"/>
    <x v="6"/>
    <s v="Sam"/>
    <n v="0"/>
    <n v="0"/>
    <n v="0"/>
    <n v="0"/>
    <n v="23641"/>
    <n v="28786"/>
    <n v="5800"/>
    <n v="0"/>
    <n v="0"/>
    <n v="0"/>
    <n v="0"/>
  </r>
  <r>
    <x v="33"/>
    <x v="32"/>
    <n v="1650"/>
    <x v="14"/>
    <s v="Hum"/>
    <x v="10"/>
    <n v="2193"/>
    <x v="6"/>
    <s v="Sam"/>
    <n v="3.25"/>
    <n v="1.3"/>
    <n v="2.7625000000000002"/>
    <n v="1.1050000000000002"/>
    <n v="18405"/>
    <n v="15773"/>
    <n v="5800"/>
    <n v="41355.665000000008"/>
    <n v="-2894.8965500000008"/>
    <n v="38460.76845000001"/>
    <n v="7540"/>
  </r>
  <r>
    <x v="34"/>
    <x v="33"/>
    <n v="2180"/>
    <x v="0"/>
    <s v="Sam"/>
    <x v="8"/>
    <n v="2193"/>
    <x v="6"/>
    <s v="Sam"/>
    <n v="0"/>
    <n v="0"/>
    <n v="0"/>
    <n v="0"/>
    <n v="23641"/>
    <n v="28786"/>
    <n v="5800"/>
    <n v="0"/>
    <n v="0"/>
    <n v="0"/>
    <n v="0"/>
  </r>
  <r>
    <x v="35"/>
    <x v="34"/>
    <n v="2193"/>
    <x v="1"/>
    <s v="Sam"/>
    <x v="10"/>
    <n v="2180"/>
    <x v="2"/>
    <s v="Sam"/>
    <n v="11.5"/>
    <n v="4.6000000000000005"/>
    <n v="9.7749999999999986"/>
    <n v="3.9099999999999997"/>
    <n v="23641"/>
    <n v="28786"/>
    <n v="5800"/>
    <n v="221301.86"/>
    <n v="-15491.1302"/>
    <n v="205810.72979999997"/>
    <n v="26680.000000000004"/>
  </r>
  <r>
    <x v="36"/>
    <x v="35"/>
    <n v="2193"/>
    <x v="1"/>
    <s v="Sam"/>
    <x v="15"/>
    <n v="5740"/>
    <x v="5"/>
    <s v="TekNat"/>
    <n v="0"/>
    <n v="0"/>
    <n v="0"/>
    <n v="0"/>
    <n v="23641"/>
    <n v="28786"/>
    <n v="5800"/>
    <n v="0"/>
    <n v="0"/>
    <n v="0"/>
    <n v="0"/>
  </r>
  <r>
    <x v="36"/>
    <x v="35"/>
    <n v="2180"/>
    <x v="0"/>
    <s v="Sam"/>
    <x v="15"/>
    <n v="5740"/>
    <x v="5"/>
    <s v="TekNat"/>
    <n v="0"/>
    <n v="0"/>
    <n v="0"/>
    <n v="0"/>
    <n v="23641"/>
    <n v="28786"/>
    <n v="5800"/>
    <n v="0"/>
    <n v="0"/>
    <n v="0"/>
    <n v="0"/>
  </r>
  <r>
    <x v="37"/>
    <x v="36"/>
    <n v="2180"/>
    <x v="0"/>
    <s v="Sam"/>
    <x v="10"/>
    <n v="2193"/>
    <x v="6"/>
    <s v="Sam"/>
    <n v="4.3333333333333339"/>
    <n v="1.7333333333333336"/>
    <n v="3.6833333333333331"/>
    <n v="1.4733333333333334"/>
    <n v="23641"/>
    <n v="28786"/>
    <n v="5800"/>
    <n v="83389.106666666674"/>
    <n v="-5837.2374666666674"/>
    <n v="77551.869200000001"/>
    <n v="10053.333333333336"/>
  </r>
  <r>
    <x v="38"/>
    <x v="37"/>
    <n v="2180"/>
    <x v="0"/>
    <s v="Sam"/>
    <x v="10"/>
    <n v="2193"/>
    <x v="6"/>
    <s v="Sam"/>
    <n v="2.1666666666666665"/>
    <n v="0.8666666666666667"/>
    <n v="1.8416666666666663"/>
    <n v="0.73666666666666658"/>
    <n v="23641"/>
    <n v="28786"/>
    <n v="5800"/>
    <n v="41694.55333333333"/>
    <n v="-2918.6187333333332"/>
    <n v="38775.934599999993"/>
    <n v="5026.666666666667"/>
  </r>
  <r>
    <x v="39"/>
    <x v="38"/>
    <n v="1620"/>
    <x v="13"/>
    <s v="Hum"/>
    <x v="16"/>
    <n v="5740"/>
    <x v="5"/>
    <s v="TekNat"/>
    <n v="0"/>
    <n v="0"/>
    <n v="0"/>
    <n v="0"/>
    <n v="21634"/>
    <n v="26986"/>
    <n v="3400"/>
    <n v="0"/>
    <n v="0"/>
    <n v="0"/>
    <n v="0"/>
  </r>
  <r>
    <x v="39"/>
    <x v="38"/>
    <n v="2180"/>
    <x v="0"/>
    <s v="Sam"/>
    <x v="6"/>
    <n v="5740"/>
    <x v="5"/>
    <s v="TekNat"/>
    <n v="0"/>
    <n v="0"/>
    <n v="0"/>
    <n v="0"/>
    <n v="21634"/>
    <n v="26986"/>
    <n v="3400"/>
    <n v="0"/>
    <n v="0"/>
    <n v="0"/>
    <n v="0"/>
  </r>
  <r>
    <x v="40"/>
    <x v="39"/>
    <n v="1620"/>
    <x v="13"/>
    <s v="Hum"/>
    <x v="17"/>
    <n v="5740"/>
    <x v="5"/>
    <s v="TekNat"/>
    <n v="0"/>
    <n v="0"/>
    <n v="0"/>
    <n v="0"/>
    <n v="21634"/>
    <n v="26986"/>
    <n v="3400"/>
    <n v="0"/>
    <n v="0"/>
    <n v="0"/>
    <n v="0"/>
  </r>
  <r>
    <x v="41"/>
    <x v="40"/>
    <n v="2193"/>
    <x v="1"/>
    <s v="Sam"/>
    <x v="4"/>
    <n v="2180"/>
    <x v="2"/>
    <s v="Sam"/>
    <n v="0"/>
    <n v="0"/>
    <n v="0"/>
    <n v="0"/>
    <n v="21634"/>
    <n v="26986"/>
    <n v="3400"/>
    <n v="0"/>
    <n v="0"/>
    <n v="0"/>
    <n v="0"/>
  </r>
  <r>
    <x v="42"/>
    <x v="41"/>
    <n v="1650"/>
    <x v="14"/>
    <s v="Hum"/>
    <x v="9"/>
    <n v="5740"/>
    <x v="5"/>
    <s v="TekNat"/>
    <n v="0"/>
    <n v="0"/>
    <n v="0"/>
    <n v="0"/>
    <n v="23641"/>
    <n v="28786"/>
    <n v="5800"/>
    <n v="0"/>
    <n v="0"/>
    <n v="0"/>
    <n v="0"/>
  </r>
  <r>
    <x v="42"/>
    <x v="41"/>
    <n v="2193"/>
    <x v="1"/>
    <s v="Sam"/>
    <x v="0"/>
    <n v="5740"/>
    <x v="5"/>
    <s v="TekNat"/>
    <n v="0"/>
    <n v="0"/>
    <n v="0"/>
    <n v="0"/>
    <n v="23641"/>
    <n v="28786"/>
    <n v="5800"/>
    <n v="0"/>
    <n v="0"/>
    <n v="0"/>
    <n v="0"/>
  </r>
  <r>
    <x v="42"/>
    <x v="41"/>
    <n v="2180"/>
    <x v="0"/>
    <s v="Sam"/>
    <x v="0"/>
    <n v="5740"/>
    <x v="5"/>
    <s v="TekNat"/>
    <n v="0"/>
    <n v="0"/>
    <n v="0"/>
    <n v="0"/>
    <n v="23641"/>
    <n v="28786"/>
    <n v="5800"/>
    <n v="0"/>
    <n v="0"/>
    <n v="0"/>
    <n v="0"/>
  </r>
  <r>
    <x v="43"/>
    <x v="42"/>
    <n v="2300"/>
    <x v="15"/>
    <s v="Sam"/>
    <x v="1"/>
    <n v="2193"/>
    <x v="6"/>
    <s v="Sam"/>
    <n v="8.3000000000000007"/>
    <n v="2.0750000000000002"/>
    <n v="7.0549999999999997"/>
    <n v="1.7637499999999999"/>
    <n v="23641"/>
    <n v="28786"/>
    <n v="5800"/>
    <n v="99826.382500000007"/>
    <n v="-6987.8467750000009"/>
    <n v="92838.535725000009"/>
    <n v="12035.000000000002"/>
  </r>
  <r>
    <x v="44"/>
    <x v="43"/>
    <n v="2300"/>
    <x v="15"/>
    <s v="Sam"/>
    <x v="1"/>
    <n v="2180"/>
    <x v="2"/>
    <s v="Sam"/>
    <n v="20.5"/>
    <n v="5.125"/>
    <n v="17.425000000000001"/>
    <n v="4.3562500000000002"/>
    <n v="23641"/>
    <n v="28786"/>
    <n v="5800"/>
    <n v="246559.13750000001"/>
    <n v="-17259.139625000003"/>
    <n v="229299.997875"/>
    <n v="29725"/>
  </r>
  <r>
    <x v="45"/>
    <x v="44"/>
    <n v="2200"/>
    <x v="9"/>
    <s v="Sam"/>
    <x v="10"/>
    <n v="2180"/>
    <x v="2"/>
    <s v="Sam"/>
    <n v="48.618749999999999"/>
    <n v="19.447500000000002"/>
    <n v="41.325937499999995"/>
    <n v="16.530374999999999"/>
    <n v="23641"/>
    <n v="28786"/>
    <n v="5800"/>
    <n v="935601.72224999999"/>
    <n v="-65492.120557500006"/>
    <n v="870109.60169249994"/>
    <n v="112795.50000000001"/>
  </r>
  <r>
    <x v="46"/>
    <x v="45"/>
    <n v="2180"/>
    <x v="0"/>
    <s v="Sam"/>
    <x v="0"/>
    <n v="2193"/>
    <x v="6"/>
    <s v="Sam"/>
    <n v="17.75"/>
    <n v="3.5500000000000003"/>
    <n v="15.087499999999999"/>
    <n v="3.0175000000000001"/>
    <n v="18405"/>
    <n v="15773"/>
    <n v="5800"/>
    <n v="112932.77750000001"/>
    <n v="-7905.2944250000019"/>
    <n v="105027.48307500001"/>
    <n v="20590"/>
  </r>
  <r>
    <x v="47"/>
    <x v="46"/>
    <n v="2193"/>
    <x v="1"/>
    <s v="Sam"/>
    <x v="4"/>
    <n v="2180"/>
    <x v="2"/>
    <s v="Sam"/>
    <n v="9.75"/>
    <n v="4.875"/>
    <n v="8.2874999999999996"/>
    <n v="4.1437499999999998"/>
    <n v="21634"/>
    <n v="26986"/>
    <n v="3400"/>
    <n v="217288.98749999999"/>
    <n v="-15210.229125"/>
    <n v="202078.75837499998"/>
    <n v="16575"/>
  </r>
  <r>
    <x v="48"/>
    <x v="47"/>
    <n v="1630"/>
    <x v="16"/>
    <s v="Hum"/>
    <x v="8"/>
    <n v="5740"/>
    <x v="5"/>
    <s v="TekNat"/>
    <n v="0"/>
    <n v="0"/>
    <n v="0"/>
    <n v="0"/>
    <n v="23641"/>
    <n v="28786"/>
    <n v="5800"/>
    <n v="0"/>
    <n v="0"/>
    <n v="0"/>
    <n v="0"/>
  </r>
  <r>
    <x v="49"/>
    <x v="48"/>
    <n v="2193"/>
    <x v="1"/>
    <s v="Sam"/>
    <x v="9"/>
    <n v="5740"/>
    <x v="5"/>
    <s v="TekNat"/>
    <n v="7.5"/>
    <n v="2"/>
    <n v="6.375"/>
    <n v="1.7"/>
    <n v="23641"/>
    <n v="28786"/>
    <n v="5800"/>
    <n v="96218.2"/>
    <n v="-6735.2740000000003"/>
    <n v="89482.925999999992"/>
    <n v="11600"/>
  </r>
  <r>
    <x v="49"/>
    <x v="48"/>
    <n v="2180"/>
    <x v="0"/>
    <s v="Sam"/>
    <x v="9"/>
    <n v="5740"/>
    <x v="5"/>
    <s v="TekNat"/>
    <n v="7.5"/>
    <n v="2"/>
    <n v="6.375"/>
    <n v="1.7"/>
    <n v="23641"/>
    <n v="28786"/>
    <n v="5800"/>
    <n v="96218.2"/>
    <n v="-6735.2740000000003"/>
    <n v="89482.925999999992"/>
    <n v="11600"/>
  </r>
  <r>
    <x v="50"/>
    <x v="49"/>
    <n v="2340"/>
    <x v="17"/>
    <s v="Sam"/>
    <x v="0"/>
    <n v="2193"/>
    <x v="6"/>
    <s v="Sam"/>
    <n v="7.625"/>
    <n v="1.5250000000000001"/>
    <n v="6.4812500000000002"/>
    <n v="1.2962500000000001"/>
    <n v="23641"/>
    <n v="28786"/>
    <n v="5800"/>
    <n v="73366.377500000002"/>
    <n v="-5135.6464250000008"/>
    <n v="68230.731075000003"/>
    <n v="8845"/>
  </r>
  <r>
    <x v="51"/>
    <x v="50"/>
    <n v="2180"/>
    <x v="0"/>
    <s v="Sam"/>
    <x v="9"/>
    <n v="2193"/>
    <x v="6"/>
    <s v="Sam"/>
    <n v="7.375"/>
    <n v="1.9666666666666666"/>
    <n v="6.2687499999999998"/>
    <n v="1.6716666666666666"/>
    <n v="23641"/>
    <n v="28786"/>
    <n v="5800"/>
    <n v="94614.563333333324"/>
    <n v="-6623.0194333333329"/>
    <n v="87991.54389999999"/>
    <n v="11406.666666666666"/>
  </r>
  <r>
    <x v="52"/>
    <x v="51"/>
    <n v="2180"/>
    <x v="0"/>
    <s v="Sam"/>
    <x v="18"/>
    <n v="2193"/>
    <x v="6"/>
    <s v="Sam"/>
    <n v="9.8666666666666671"/>
    <n v="1.2333333333333334"/>
    <n v="8.3866666666666649"/>
    <n v="1.0483333333333331"/>
    <n v="23641"/>
    <n v="28786"/>
    <n v="5800"/>
    <n v="59334.556666666656"/>
    <n v="-4153.4189666666662"/>
    <n v="55181.137699999992"/>
    <n v="7153.3333333333339"/>
  </r>
  <r>
    <x v="52"/>
    <x v="51"/>
    <n v="2200"/>
    <x v="9"/>
    <s v="Sam"/>
    <x v="1"/>
    <n v="2193"/>
    <x v="6"/>
    <s v="Sam"/>
    <n v="9.8666666666666671"/>
    <n v="2.4666666666666668"/>
    <n v="8.3866666666666649"/>
    <n v="2.0966666666666662"/>
    <n v="23641"/>
    <n v="28786"/>
    <n v="5800"/>
    <n v="118669.11333333331"/>
    <n v="-8306.8379333333323"/>
    <n v="110362.27539999998"/>
    <n v="14306.666666666668"/>
  </r>
  <r>
    <x v="53"/>
    <x v="52"/>
    <n v="2180"/>
    <x v="0"/>
    <s v="Sam"/>
    <x v="19"/>
    <n v="2193"/>
    <x v="6"/>
    <s v="Sam"/>
    <n v="8"/>
    <n v="3.3333333333333335"/>
    <n v="6.8"/>
    <n v="2.8333333333333335"/>
    <n v="23641"/>
    <n v="28786"/>
    <n v="5800"/>
    <n v="160363.66666666669"/>
    <n v="-11225.456666666669"/>
    <n v="149138.21000000002"/>
    <n v="19333.333333333336"/>
  </r>
  <r>
    <x v="53"/>
    <x v="52"/>
    <n v="2200"/>
    <x v="9"/>
    <s v="Sam"/>
    <x v="20"/>
    <n v="2193"/>
    <x v="6"/>
    <s v="Sam"/>
    <n v="8"/>
    <n v="0.66666666666666663"/>
    <n v="6.8"/>
    <n v="0.56666666666666665"/>
    <n v="23641"/>
    <n v="28786"/>
    <n v="5800"/>
    <n v="32072.73333333333"/>
    <n v="-2245.0913333333333"/>
    <n v="29827.641999999996"/>
    <n v="3866.6666666666665"/>
  </r>
  <r>
    <x v="54"/>
    <x v="53"/>
    <n v="2193"/>
    <x v="1"/>
    <s v="Sam"/>
    <x v="10"/>
    <n v="2180"/>
    <x v="2"/>
    <s v="Sam"/>
    <n v="7.4999999999999982"/>
    <n v="2.9999999999999996"/>
    <n v="6.354166666666667"/>
    <n v="2.541666666666667"/>
    <n v="23641"/>
    <n v="28786"/>
    <n v="5800"/>
    <n v="144087.41666666666"/>
    <n v="-10086.119166666667"/>
    <n v="134001.29749999999"/>
    <n v="17399.999999999996"/>
  </r>
  <r>
    <x v="54"/>
    <x v="53"/>
    <n v="2200"/>
    <x v="9"/>
    <s v="Sam"/>
    <x v="14"/>
    <n v="2180"/>
    <x v="2"/>
    <s v="Sam"/>
    <n v="7.4999999999999982"/>
    <n v="0.74999999999999989"/>
    <n v="6.354166666666667"/>
    <n v="0.63541666666666674"/>
    <n v="23641"/>
    <n v="28786"/>
    <n v="5800"/>
    <n v="36021.854166666664"/>
    <n v="-2521.5297916666668"/>
    <n v="33500.324374999997"/>
    <n v="4349.9999999999991"/>
  </r>
  <r>
    <x v="55"/>
    <x v="54"/>
    <n v="2193"/>
    <x v="1"/>
    <s v="Sam"/>
    <x v="10"/>
    <n v="2180"/>
    <x v="2"/>
    <s v="Sam"/>
    <n v="10.083333333333334"/>
    <n v="4.0333333333333341"/>
    <n v="8.5500000000000007"/>
    <n v="3.4200000000000004"/>
    <n v="23641"/>
    <n v="28786"/>
    <n v="5800"/>
    <n v="193800.15333333338"/>
    <n v="-13566.010733333338"/>
    <n v="180234.14260000005"/>
    <n v="23393.333333333339"/>
  </r>
  <r>
    <x v="55"/>
    <x v="54"/>
    <n v="2200"/>
    <x v="9"/>
    <s v="Sam"/>
    <x v="14"/>
    <n v="2180"/>
    <x v="2"/>
    <s v="Sam"/>
    <n v="10.083333333333334"/>
    <n v="1.0083333333333335"/>
    <n v="8.5500000000000007"/>
    <n v="0.85500000000000009"/>
    <n v="23641"/>
    <n v="28786"/>
    <n v="5800"/>
    <n v="48450.038333333345"/>
    <n v="-3391.5026833333345"/>
    <n v="45058.535650000013"/>
    <n v="5848.3333333333348"/>
  </r>
  <r>
    <x v="56"/>
    <x v="55"/>
    <n v="2193"/>
    <x v="1"/>
    <s v="Sam"/>
    <x v="21"/>
    <n v="2180"/>
    <x v="2"/>
    <s v="Sam"/>
    <n v="2"/>
    <n v="0.75"/>
    <n v="1.7"/>
    <n v="0.63749999999999996"/>
    <n v="23641"/>
    <n v="28786"/>
    <n v="5800"/>
    <n v="36081.824999999997"/>
    <n v="-2525.72775"/>
    <n v="33556.097249999999"/>
    <n v="4350"/>
  </r>
  <r>
    <x v="56"/>
    <x v="55"/>
    <n v="2200"/>
    <x v="9"/>
    <s v="Sam"/>
    <x v="1"/>
    <n v="2180"/>
    <x v="2"/>
    <s v="Sam"/>
    <n v="2"/>
    <n v="0.5"/>
    <n v="1.7"/>
    <n v="0.42499999999999999"/>
    <n v="23641"/>
    <n v="28786"/>
    <n v="5800"/>
    <n v="24054.55"/>
    <n v="-1683.8185000000001"/>
    <n v="22370.731499999998"/>
    <n v="2900"/>
  </r>
  <r>
    <x v="57"/>
    <x v="56"/>
    <n v="5740"/>
    <x v="7"/>
    <s v="TekNat"/>
    <x v="21"/>
    <n v="2180"/>
    <x v="2"/>
    <s v="Sam"/>
    <n v="9.4666666666666686"/>
    <n v="3.5500000000000007"/>
    <n v="8.0466666666666669"/>
    <n v="3.0175000000000001"/>
    <n v="23641"/>
    <n v="28786"/>
    <n v="5800"/>
    <n v="170787.30500000002"/>
    <n v="-11955.111350000003"/>
    <n v="158832.19365000003"/>
    <n v="20590.000000000004"/>
  </r>
  <r>
    <x v="57"/>
    <x v="56"/>
    <n v="2200"/>
    <x v="9"/>
    <s v="Sam"/>
    <x v="1"/>
    <n v="2180"/>
    <x v="2"/>
    <s v="Sam"/>
    <n v="9.4666666666666686"/>
    <n v="2.3666666666666671"/>
    <n v="8.0466666666666669"/>
    <n v="2.0116666666666667"/>
    <n v="23641"/>
    <n v="28786"/>
    <n v="5800"/>
    <n v="113858.20333333334"/>
    <n v="-7970.0742333333346"/>
    <n v="105888.12910000001"/>
    <n v="13726.66666666667"/>
  </r>
  <r>
    <x v="58"/>
    <x v="57"/>
    <n v="2200"/>
    <x v="9"/>
    <s v="Sam"/>
    <x v="1"/>
    <n v="2180"/>
    <x v="2"/>
    <s v="Sam"/>
    <n v="15.466666666666667"/>
    <n v="3.8666666666666667"/>
    <n v="13.146666666666665"/>
    <n v="3.2866666666666662"/>
    <n v="23641"/>
    <n v="28786"/>
    <n v="5800"/>
    <n v="186021.85333333333"/>
    <n v="-13021.529733333335"/>
    <n v="173000.3236"/>
    <n v="22426.666666666668"/>
  </r>
  <r>
    <x v="58"/>
    <x v="57"/>
    <n v="5740"/>
    <x v="7"/>
    <s v="TekNat"/>
    <x v="18"/>
    <n v="2180"/>
    <x v="2"/>
    <s v="Sam"/>
    <n v="15.466666666666667"/>
    <n v="1.9333333333333333"/>
    <n v="13.146666666666665"/>
    <n v="1.6433333333333331"/>
    <n v="23641"/>
    <n v="28786"/>
    <n v="5800"/>
    <n v="93010.926666666666"/>
    <n v="-6510.7648666666673"/>
    <n v="86500.161800000002"/>
    <n v="11213.333333333334"/>
  </r>
  <r>
    <x v="59"/>
    <x v="58"/>
    <n v="2193"/>
    <x v="1"/>
    <s v="Sam"/>
    <x v="9"/>
    <n v="2180"/>
    <x v="2"/>
    <s v="Sam"/>
    <n v="7.5"/>
    <n v="2"/>
    <n v="6.375"/>
    <n v="1.7"/>
    <n v="23641"/>
    <n v="28786"/>
    <n v="5800"/>
    <n v="96218.2"/>
    <n v="-6735.2740000000003"/>
    <n v="89482.925999999992"/>
    <n v="11600"/>
  </r>
  <r>
    <x v="60"/>
    <x v="59"/>
    <n v="2180"/>
    <x v="0"/>
    <s v="Sam"/>
    <x v="0"/>
    <n v="2193"/>
    <x v="6"/>
    <s v="Sam"/>
    <n v="6.5"/>
    <n v="1.3"/>
    <n v="5.5250000000000004"/>
    <n v="1.1050000000000002"/>
    <n v="18405"/>
    <n v="15773"/>
    <n v="5800"/>
    <n v="41355.665000000008"/>
    <n v="-2894.8965500000008"/>
    <n v="38460.76845000001"/>
    <n v="7540"/>
  </r>
  <r>
    <x v="61"/>
    <x v="60"/>
    <n v="2180"/>
    <x v="0"/>
    <s v="Sam"/>
    <x v="22"/>
    <n v="5740"/>
    <x v="5"/>
    <s v="TekNat"/>
    <n v="15.399999999999999"/>
    <n v="3.4999999999999996"/>
    <n v="13.09"/>
    <n v="2.9750000000000001"/>
    <n v="23641"/>
    <n v="28786"/>
    <n v="5800"/>
    <n v="168381.84999999998"/>
    <n v="-11786.729499999999"/>
    <n v="156595.12049999999"/>
    <n v="20299.999999999996"/>
  </r>
  <r>
    <x v="61"/>
    <x v="60"/>
    <n v="2193"/>
    <x v="1"/>
    <s v="Sam"/>
    <x v="22"/>
    <n v="5740"/>
    <x v="5"/>
    <s v="TekNat"/>
    <n v="15.399999999999999"/>
    <n v="3.4999999999999996"/>
    <n v="13.09"/>
    <n v="2.9750000000000001"/>
    <n v="23641"/>
    <n v="28786"/>
    <n v="5800"/>
    <n v="168381.84999999998"/>
    <n v="-11786.729499999999"/>
    <n v="156595.12049999999"/>
    <n v="20299.999999999996"/>
  </r>
  <r>
    <x v="61"/>
    <x v="60"/>
    <n v="2300"/>
    <x v="15"/>
    <s v="Sam"/>
    <x v="23"/>
    <n v="5740"/>
    <x v="5"/>
    <s v="TekNat"/>
    <n v="15.399999999999999"/>
    <n v="1.4"/>
    <n v="13.09"/>
    <n v="1.19"/>
    <n v="23641"/>
    <n v="28786"/>
    <n v="5800"/>
    <n v="67352.739999999991"/>
    <n v="-4714.6917999999996"/>
    <n v="62638.04819999999"/>
    <n v="8119.9999999999991"/>
  </r>
  <r>
    <x v="62"/>
    <x v="61"/>
    <n v="2193"/>
    <x v="1"/>
    <s v="Sam"/>
    <x v="24"/>
    <n v="5740"/>
    <x v="5"/>
    <s v="TekNat"/>
    <n v="12.366666666666665"/>
    <n v="3.7099999999999995"/>
    <n v="10.511666666666667"/>
    <n v="3.1534999999999997"/>
    <n v="23641"/>
    <n v="28786"/>
    <n v="5800"/>
    <n v="178484.761"/>
    <n v="-12493.933270000001"/>
    <n v="165990.82772999999"/>
    <n v="21517.999999999996"/>
  </r>
  <r>
    <x v="62"/>
    <x v="61"/>
    <n v="2300"/>
    <x v="15"/>
    <s v="Sam"/>
    <x v="14"/>
    <n v="5740"/>
    <x v="5"/>
    <s v="TekNat"/>
    <n v="12.366666666666665"/>
    <n v="1.2366666666666666"/>
    <n v="10.511666666666667"/>
    <n v="1.0511666666666668"/>
    <n v="23641"/>
    <n v="28786"/>
    <n v="5800"/>
    <n v="59494.920333333335"/>
    <n v="-4164.6444233333341"/>
    <n v="55330.275910000004"/>
    <n v="7172.6666666666661"/>
  </r>
  <r>
    <x v="63"/>
    <x v="62"/>
    <n v="2180"/>
    <x v="0"/>
    <s v="Sam"/>
    <x v="22"/>
    <n v="5740"/>
    <x v="5"/>
    <s v="TekNat"/>
    <n v="21.266666666666666"/>
    <n v="4.833333333333333"/>
    <n v="18.076666666666664"/>
    <n v="4.1083333333333325"/>
    <n v="23641"/>
    <n v="28786"/>
    <n v="5800"/>
    <n v="232527.31666666665"/>
    <n v="-16276.912166666667"/>
    <n v="216250.40449999998"/>
    <n v="28033.333333333332"/>
  </r>
  <r>
    <x v="63"/>
    <x v="62"/>
    <n v="2193"/>
    <x v="1"/>
    <s v="Sam"/>
    <x v="22"/>
    <n v="5740"/>
    <x v="5"/>
    <s v="TekNat"/>
    <n v="21.266666666666666"/>
    <n v="4.833333333333333"/>
    <n v="18.076666666666664"/>
    <n v="4.1083333333333325"/>
    <n v="23641"/>
    <n v="28786"/>
    <n v="5800"/>
    <n v="232527.31666666665"/>
    <n v="-16276.912166666667"/>
    <n v="216250.40449999998"/>
    <n v="28033.333333333332"/>
  </r>
  <r>
    <x v="63"/>
    <x v="62"/>
    <n v="2300"/>
    <x v="15"/>
    <s v="Sam"/>
    <x v="23"/>
    <n v="5740"/>
    <x v="5"/>
    <s v="TekNat"/>
    <n v="21.266666666666666"/>
    <n v="1.9333333333333333"/>
    <n v="18.076666666666664"/>
    <n v="1.6433333333333331"/>
    <n v="23641"/>
    <n v="28786"/>
    <n v="5800"/>
    <n v="93010.926666666666"/>
    <n v="-6510.7648666666673"/>
    <n v="86500.161800000002"/>
    <n v="11213.333333333334"/>
  </r>
  <r>
    <x v="64"/>
    <x v="63"/>
    <n v="1650"/>
    <x v="14"/>
    <s v="Hum"/>
    <x v="9"/>
    <n v="5740"/>
    <x v="5"/>
    <s v="TekNat"/>
    <n v="6.25"/>
    <n v="1.6666666666666667"/>
    <n v="5.3125"/>
    <n v="1.4166666666666667"/>
    <n v="23641"/>
    <n v="28786"/>
    <n v="5800"/>
    <n v="80181.833333333343"/>
    <n v="-5612.7283333333344"/>
    <n v="74569.10500000001"/>
    <n v="9666.6666666666679"/>
  </r>
  <r>
    <x v="64"/>
    <x v="63"/>
    <n v="2193"/>
    <x v="1"/>
    <s v="Sam"/>
    <x v="0"/>
    <n v="5740"/>
    <x v="5"/>
    <s v="TekNat"/>
    <n v="6.25"/>
    <n v="1.25"/>
    <n v="5.3125"/>
    <n v="1.0625"/>
    <n v="23641"/>
    <n v="28786"/>
    <n v="5800"/>
    <n v="60136.375"/>
    <n v="-4209.5462500000003"/>
    <n v="55926.828750000001"/>
    <n v="7250"/>
  </r>
  <r>
    <x v="64"/>
    <x v="63"/>
    <n v="2180"/>
    <x v="0"/>
    <s v="Sam"/>
    <x v="0"/>
    <n v="5740"/>
    <x v="5"/>
    <s v="TekNat"/>
    <n v="6.25"/>
    <n v="1.25"/>
    <n v="5.3125"/>
    <n v="1.0625"/>
    <n v="23641"/>
    <n v="28786"/>
    <n v="5800"/>
    <n v="60136.375"/>
    <n v="-4209.5462500000003"/>
    <n v="55926.828750000001"/>
    <n v="7250"/>
  </r>
  <r>
    <x v="65"/>
    <x v="64"/>
    <n v="1620"/>
    <x v="13"/>
    <s v="Hum"/>
    <x v="16"/>
    <n v="5740"/>
    <x v="5"/>
    <s v="TekNat"/>
    <n v="15"/>
    <n v="5.3333333333333339"/>
    <n v="12.75"/>
    <n v="4.5333333333333332"/>
    <n v="21634"/>
    <n v="26986"/>
    <n v="3400"/>
    <n v="237717.86666666667"/>
    <n v="-16640.250666666667"/>
    <n v="221077.61600000001"/>
    <n v="18133.333333333336"/>
  </r>
  <r>
    <x v="65"/>
    <x v="64"/>
    <n v="2180"/>
    <x v="0"/>
    <s v="Sam"/>
    <x v="6"/>
    <n v="5740"/>
    <x v="5"/>
    <s v="TekNat"/>
    <n v="15"/>
    <n v="2"/>
    <n v="12.75"/>
    <n v="1.7"/>
    <n v="21634"/>
    <n v="26986"/>
    <n v="3400"/>
    <n v="89144.2"/>
    <n v="-6240.0940000000001"/>
    <n v="82904.106"/>
    <n v="6800"/>
  </r>
  <r>
    <x v="66"/>
    <x v="65"/>
    <n v="1620"/>
    <x v="13"/>
    <s v="Hum"/>
    <x v="10"/>
    <n v="5740"/>
    <x v="5"/>
    <s v="TekNat"/>
    <n v="9"/>
    <n v="3.6"/>
    <n v="7.65"/>
    <n v="3.0600000000000005"/>
    <n v="21634"/>
    <n v="26986"/>
    <n v="3400"/>
    <n v="160459.56000000003"/>
    <n v="-11232.169200000002"/>
    <n v="149227.39080000002"/>
    <n v="12240"/>
  </r>
  <r>
    <x v="67"/>
    <x v="66"/>
    <n v="2180"/>
    <x v="0"/>
    <s v="Sam"/>
    <x v="24"/>
    <n v="2193"/>
    <x v="6"/>
    <s v="Sam"/>
    <n v="21.75"/>
    <n v="6.5249999999999995"/>
    <n v="18.487500000000001"/>
    <n v="5.5462499999999997"/>
    <n v="18405"/>
    <n v="15773"/>
    <n v="5800"/>
    <n v="207573.62624999997"/>
    <n v="-14530.1538375"/>
    <n v="193043.47241249998"/>
    <n v="37845"/>
  </r>
  <r>
    <x v="67"/>
    <x v="66"/>
    <n v="5740"/>
    <x v="7"/>
    <s v="TekNat"/>
    <x v="6"/>
    <n v="2193"/>
    <x v="6"/>
    <s v="Sam"/>
    <n v="21.75"/>
    <n v="2.9"/>
    <n v="18.487500000000001"/>
    <n v="2.4649999999999999"/>
    <n v="18405"/>
    <n v="15773"/>
    <n v="5800"/>
    <n v="92254.945000000007"/>
    <n v="-6457.8461500000012"/>
    <n v="85797.098850000009"/>
    <n v="16820"/>
  </r>
  <r>
    <x v="68"/>
    <x v="30"/>
    <n v="2180"/>
    <x v="0"/>
    <s v="Sam"/>
    <x v="7"/>
    <n v="2193"/>
    <x v="6"/>
    <s v="Sam"/>
    <n v="10.75"/>
    <n v="5.0166666666666666"/>
    <n v="9.1374999999999993"/>
    <n v="4.2641666666666662"/>
    <n v="23641"/>
    <n v="28786"/>
    <n v="5800"/>
    <n v="241347.3183333333"/>
    <n v="-16894.312283333333"/>
    <n v="224453.00604999997"/>
    <n v="29096.666666666668"/>
  </r>
  <r>
    <x v="69"/>
    <x v="67"/>
    <n v="2180"/>
    <x v="0"/>
    <s v="Sam"/>
    <x v="7"/>
    <n v="2193"/>
    <x v="6"/>
    <s v="Sam"/>
    <n v="2.75"/>
    <n v="1.2833333333333334"/>
    <n v="2.3374999999999999"/>
    <n v="1.0908333333333333"/>
    <n v="23641"/>
    <n v="28786"/>
    <n v="5800"/>
    <n v="61740.011666666673"/>
    <n v="-4321.8008166666677"/>
    <n v="57418.210850000003"/>
    <n v="7443.3333333333339"/>
  </r>
  <r>
    <x v="70"/>
    <x v="68"/>
    <n v="1620"/>
    <x v="13"/>
    <s v="Hum"/>
    <x v="19"/>
    <n v="5740"/>
    <x v="5"/>
    <s v="TekNat"/>
    <n v="13.5"/>
    <n v="5.625"/>
    <n v="11.475"/>
    <n v="4.78125"/>
    <n v="23641"/>
    <n v="28786"/>
    <n v="5800"/>
    <n v="270613.6875"/>
    <n v="-18942.958125000001"/>
    <n v="251670.729375"/>
    <n v="32625"/>
  </r>
  <r>
    <x v="70"/>
    <x v="68"/>
    <n v="1650"/>
    <x v="14"/>
    <s v="Hum"/>
    <x v="3"/>
    <n v="5740"/>
    <x v="5"/>
    <s v="TekNat"/>
    <n v="13.5"/>
    <n v="2.25"/>
    <n v="11.475"/>
    <n v="1.9124999999999999"/>
    <n v="23641"/>
    <n v="28786"/>
    <n v="5800"/>
    <n v="108245.47500000001"/>
    <n v="-7577.183250000001"/>
    <n v="100668.29175"/>
    <n v="13050"/>
  </r>
  <r>
    <x v="71"/>
    <x v="69"/>
    <n v="1620"/>
    <x v="13"/>
    <s v="Hum"/>
    <x v="10"/>
    <n v="5740"/>
    <x v="5"/>
    <s v="TekNat"/>
    <n v="3.125"/>
    <n v="1.25"/>
    <n v="2.65625"/>
    <n v="1.0625"/>
    <n v="23641"/>
    <n v="28786"/>
    <n v="5800"/>
    <n v="60136.375"/>
    <n v="-4209.5462500000003"/>
    <n v="55926.828750000001"/>
    <n v="7250"/>
  </r>
  <r>
    <x v="72"/>
    <x v="70"/>
    <n v="1620"/>
    <x v="13"/>
    <s v="Hum"/>
    <x v="10"/>
    <n v="5740"/>
    <x v="5"/>
    <s v="TekNat"/>
    <n v="6.125"/>
    <n v="2.4500000000000002"/>
    <n v="5.2062499999999998"/>
    <n v="2.0825"/>
    <n v="23641"/>
    <n v="28786"/>
    <n v="5800"/>
    <n v="117867.29500000001"/>
    <n v="-8250.7106500000009"/>
    <n v="109616.58435000002"/>
    <n v="14210.000000000002"/>
  </r>
  <r>
    <x v="73"/>
    <x v="71"/>
    <n v="1620"/>
    <x v="13"/>
    <s v="Hum"/>
    <x v="8"/>
    <n v="5740"/>
    <x v="5"/>
    <s v="TekNat"/>
    <n v="3.1837500000000003"/>
    <n v="1.06125"/>
    <n v="2.7061875"/>
    <n v="0.90206249999999999"/>
    <n v="21634"/>
    <n v="26986"/>
    <n v="3400"/>
    <n v="47302.141125000002"/>
    <n v="-3311.1498787500004"/>
    <n v="43990.99124625"/>
    <n v="3608.25"/>
  </r>
  <r>
    <x v="73"/>
    <x v="71"/>
    <n v="1650"/>
    <x v="14"/>
    <s v="Hum"/>
    <x v="8"/>
    <n v="5740"/>
    <x v="5"/>
    <s v="TekNat"/>
    <n v="3.1837500000000003"/>
    <n v="1.06125"/>
    <n v="2.7061875"/>
    <n v="0.90206249999999999"/>
    <n v="21634"/>
    <n v="26986"/>
    <n v="3400"/>
    <n v="47302.141125000002"/>
    <n v="-3311.1498787500004"/>
    <n v="43990.99124625"/>
    <n v="3608.25"/>
  </r>
  <r>
    <x v="74"/>
    <x v="72"/>
    <n v="1620"/>
    <x v="13"/>
    <s v="Hum"/>
    <x v="7"/>
    <n v="5740"/>
    <x v="5"/>
    <s v="TekNat"/>
    <n v="5"/>
    <n v="2.3333333333333335"/>
    <n v="4.25"/>
    <n v="1.9833333333333334"/>
    <n v="19473"/>
    <n v="34806"/>
    <n v="21800"/>
    <n v="114468.90000000001"/>
    <n v="-8012.8230000000012"/>
    <n v="106456.077"/>
    <n v="50866.666666666672"/>
  </r>
  <r>
    <x v="75"/>
    <x v="73"/>
    <n v="2193"/>
    <x v="1"/>
    <s v="Sam"/>
    <x v="10"/>
    <n v="2180"/>
    <x v="2"/>
    <s v="Sam"/>
    <n v="10.833333333333332"/>
    <n v="4.333333333333333"/>
    <n v="9.2083333333333321"/>
    <n v="3.6833333333333331"/>
    <n v="23641"/>
    <n v="28786"/>
    <n v="5800"/>
    <n v="208472.76666666666"/>
    <n v="-14593.093666666668"/>
    <n v="193879.67300000001"/>
    <n v="25133.333333333332"/>
  </r>
  <r>
    <x v="76"/>
    <x v="74"/>
    <n v="1640"/>
    <x v="8"/>
    <s v="Hum"/>
    <x v="4"/>
    <n v="1620"/>
    <x v="4"/>
    <s v="Hum"/>
    <n v="6.5"/>
    <n v="3.25"/>
    <n v="5.5250000000000004"/>
    <n v="2.7625000000000002"/>
    <n v="18405"/>
    <n v="15773"/>
    <n v="5800"/>
    <n v="103389.16250000001"/>
    <n v="-7237.2413750000014"/>
    <n v="96151.921125000008"/>
    <n v="18850"/>
  </r>
  <r>
    <x v="77"/>
    <x v="75"/>
    <n v="2360"/>
    <x v="2"/>
    <s v="Sam"/>
    <x v="25"/>
    <n v="2340"/>
    <x v="7"/>
    <s v="Sam"/>
    <n v="11"/>
    <n v="1.76"/>
    <n v="9.35"/>
    <n v="1.496"/>
    <n v="18405"/>
    <n v="15773"/>
    <n v="5800"/>
    <n v="55989.207999999999"/>
    <n v="-3919.2445600000001"/>
    <n v="52069.96344"/>
    <n v="10208"/>
  </r>
  <r>
    <x v="77"/>
    <x v="75"/>
    <n v="2271"/>
    <x v="18"/>
    <s v="Sam"/>
    <x v="26"/>
    <n v="2340"/>
    <x v="7"/>
    <s v="Sam"/>
    <n v="11"/>
    <n v="2.64"/>
    <n v="9.35"/>
    <n v="2.2440000000000002"/>
    <n v="18405"/>
    <n v="15773"/>
    <n v="5800"/>
    <n v="83983.812000000005"/>
    <n v="-5878.8668400000006"/>
    <n v="78104.945160000003"/>
    <n v="15312"/>
  </r>
  <r>
    <x v="77"/>
    <x v="75"/>
    <n v="2180"/>
    <x v="0"/>
    <s v="Sam"/>
    <x v="0"/>
    <n v="2340"/>
    <x v="7"/>
    <s v="Sam"/>
    <n v="11"/>
    <n v="2.2000000000000002"/>
    <n v="9.35"/>
    <n v="1.87"/>
    <n v="18405"/>
    <n v="15773"/>
    <n v="5800"/>
    <n v="69986.510000000009"/>
    <n v="-4899.0557000000008"/>
    <n v="65087.454300000012"/>
    <n v="12760.000000000002"/>
  </r>
  <r>
    <x v="78"/>
    <x v="76"/>
    <n v="2220"/>
    <x v="19"/>
    <s v="Sam"/>
    <x v="10"/>
    <n v="2340"/>
    <x v="7"/>
    <s v="Sam"/>
    <n v="11.5"/>
    <n v="4.6000000000000005"/>
    <n v="9.7750000000000004"/>
    <n v="3.91"/>
    <n v="18405"/>
    <n v="15773"/>
    <n v="5800"/>
    <n v="146335.43000000002"/>
    <n v="-10243.480100000002"/>
    <n v="136091.94990000001"/>
    <n v="26680.000000000004"/>
  </r>
  <r>
    <x v="78"/>
    <x v="76"/>
    <n v="2180"/>
    <x v="0"/>
    <s v="Sam"/>
    <x v="0"/>
    <n v="2340"/>
    <x v="7"/>
    <s v="Sam"/>
    <n v="11.5"/>
    <n v="2.3000000000000003"/>
    <n v="9.7750000000000004"/>
    <n v="1.9550000000000001"/>
    <n v="18405"/>
    <n v="15773"/>
    <n v="5800"/>
    <n v="73167.715000000011"/>
    <n v="-5121.7400500000012"/>
    <n v="68045.974950000003"/>
    <n v="13340.000000000002"/>
  </r>
  <r>
    <x v="79"/>
    <x v="77"/>
    <n v="2360"/>
    <x v="2"/>
    <s v="Sam"/>
    <x v="27"/>
    <n v="2340"/>
    <x v="7"/>
    <s v="Sam"/>
    <n v="6.5"/>
    <n v="1.1700000000000002"/>
    <n v="5.5250000000000004"/>
    <n v="0.99450000000000016"/>
    <n v="18405"/>
    <n v="15773"/>
    <n v="5800"/>
    <n v="37220.098500000007"/>
    <n v="-2605.406895000001"/>
    <n v="34614.691605000007"/>
    <n v="6786.0000000000009"/>
  </r>
  <r>
    <x v="79"/>
    <x v="77"/>
    <n v="2271"/>
    <x v="18"/>
    <s v="Sam"/>
    <x v="28"/>
    <n v="2340"/>
    <x v="7"/>
    <s v="Sam"/>
    <n v="6.5"/>
    <n v="1.7549999999999997"/>
    <n v="5.5250000000000004"/>
    <n v="1.4917499999999999"/>
    <n v="18405"/>
    <n v="15773"/>
    <n v="5800"/>
    <n v="55830.147749999989"/>
    <n v="-3908.1103424999997"/>
    <n v="51922.037407499993"/>
    <n v="10178.999999999998"/>
  </r>
  <r>
    <x v="79"/>
    <x v="77"/>
    <n v="2180"/>
    <x v="0"/>
    <s v="Sam"/>
    <x v="5"/>
    <n v="2340"/>
    <x v="7"/>
    <s v="Sam"/>
    <n v="6.5"/>
    <n v="0.32500000000000001"/>
    <n v="5.5250000000000004"/>
    <n v="0.27625000000000005"/>
    <n v="18405"/>
    <n v="15773"/>
    <n v="5800"/>
    <n v="10338.916250000002"/>
    <n v="-723.72413750000021"/>
    <n v="9615.1921125000026"/>
    <n v="1885"/>
  </r>
  <r>
    <x v="80"/>
    <x v="78"/>
    <n v="2300"/>
    <x v="15"/>
    <s v="Sam"/>
    <x v="4"/>
    <n v="2340"/>
    <x v="7"/>
    <s v="Sam"/>
    <n v="9.375"/>
    <n v="4.6875"/>
    <n v="7.96875"/>
    <n v="3.984375"/>
    <n v="23641"/>
    <n v="28786"/>
    <n v="5800"/>
    <n v="225511.40625"/>
    <n v="-15785.798437500001"/>
    <n v="209725.60781250001"/>
    <n v="27187.5"/>
  </r>
  <r>
    <x v="81"/>
    <x v="79"/>
    <n v="1620"/>
    <x v="13"/>
    <s v="Hum"/>
    <x v="0"/>
    <n v="2180"/>
    <x v="2"/>
    <s v="Sam"/>
    <n v="11.25"/>
    <n v="2.25"/>
    <n v="9.5625"/>
    <n v="1.9125000000000001"/>
    <n v="18405"/>
    <n v="15773"/>
    <n v="5800"/>
    <n v="71577.112500000003"/>
    <n v="-5010.3978750000006"/>
    <n v="66566.714625000008"/>
    <n v="13050"/>
  </r>
  <r>
    <x v="81"/>
    <x v="79"/>
    <n v="2200"/>
    <x v="9"/>
    <s v="Sam"/>
    <x v="0"/>
    <n v="2180"/>
    <x v="2"/>
    <s v="Sam"/>
    <n v="11.25"/>
    <n v="2.25"/>
    <n v="9.5625"/>
    <n v="1.9125000000000001"/>
    <n v="18405"/>
    <n v="15773"/>
    <n v="5800"/>
    <n v="71577.112500000003"/>
    <n v="-5010.3978750000006"/>
    <n v="66566.714625000008"/>
    <n v="13050"/>
  </r>
  <r>
    <x v="82"/>
    <x v="80"/>
    <n v="2193"/>
    <x v="1"/>
    <s v="Sam"/>
    <x v="9"/>
    <n v="2180"/>
    <x v="2"/>
    <s v="Sam"/>
    <n v="11.5"/>
    <n v="3.0666666666666664"/>
    <n v="9.7124999999999986"/>
    <n v="2.5899999999999994"/>
    <n v="18405"/>
    <n v="15773"/>
    <n v="5800"/>
    <n v="97294.069999999978"/>
    <n v="-6810.5848999999989"/>
    <n v="90483.485099999976"/>
    <n v="17786.666666666664"/>
  </r>
  <r>
    <x v="82"/>
    <x v="80"/>
    <n v="2200"/>
    <x v="9"/>
    <s v="Sam"/>
    <x v="9"/>
    <n v="2180"/>
    <x v="2"/>
    <s v="Sam"/>
    <n v="11.5"/>
    <n v="3.0666666666666664"/>
    <n v="9.7124999999999986"/>
    <n v="2.5899999999999994"/>
    <n v="18405"/>
    <n v="15773"/>
    <n v="5800"/>
    <n v="97294.069999999978"/>
    <n v="-6810.5848999999989"/>
    <n v="90483.485099999976"/>
    <n v="17786.666666666664"/>
  </r>
  <r>
    <x v="83"/>
    <x v="81"/>
    <n v="2180"/>
    <x v="0"/>
    <s v="Sam"/>
    <x v="8"/>
    <n v="2193"/>
    <x v="6"/>
    <s v="Sam"/>
    <n v="21.375"/>
    <n v="7.125"/>
    <n v="18.168749999999999"/>
    <n v="6.0562499999999995"/>
    <n v="34144.199999999997"/>
    <n v="33557.800000000003"/>
    <n v="5800"/>
    <n v="446511.85124999995"/>
    <n v="-31255.8295875"/>
    <n v="415256.02166249993"/>
    <n v="41325"/>
  </r>
  <r>
    <x v="84"/>
    <x v="82"/>
    <n v="2200"/>
    <x v="9"/>
    <s v="Sam"/>
    <x v="4"/>
    <n v="2180"/>
    <x v="2"/>
    <s v="Sam"/>
    <n v="15"/>
    <n v="7.5"/>
    <n v="12.731249999999999"/>
    <n v="6.3656249999999996"/>
    <n v="18405"/>
    <n v="15773"/>
    <n v="5800"/>
    <n v="238442.50312499999"/>
    <n v="-16690.975218750002"/>
    <n v="221751.52790624998"/>
    <n v="43500"/>
  </r>
  <r>
    <x v="85"/>
    <x v="83"/>
    <n v="1640"/>
    <x v="8"/>
    <s v="Hum"/>
    <x v="4"/>
    <n v="1620"/>
    <x v="4"/>
    <s v="Hum"/>
    <n v="13.5"/>
    <n v="6.75"/>
    <n v="11.475"/>
    <n v="5.7374999999999998"/>
    <n v="18405"/>
    <n v="15773"/>
    <n v="5800"/>
    <n v="214731.33749999999"/>
    <n v="-15031.193625000002"/>
    <n v="199700.14387499998"/>
    <n v="39150"/>
  </r>
  <r>
    <x v="86"/>
    <x v="84"/>
    <n v="1640"/>
    <x v="8"/>
    <s v="Hum"/>
    <x v="4"/>
    <n v="1620"/>
    <x v="4"/>
    <s v="Hum"/>
    <n v="13.5"/>
    <n v="6.75"/>
    <n v="11.474999999999998"/>
    <n v="5.7374999999999989"/>
    <n v="18405"/>
    <n v="15773"/>
    <n v="5800"/>
    <n v="214731.33749999997"/>
    <n v="-15031.193625"/>
    <n v="199700.14387499995"/>
    <n v="39150"/>
  </r>
  <r>
    <x v="87"/>
    <x v="85"/>
    <n v="1640"/>
    <x v="8"/>
    <s v="Hum"/>
    <x v="4"/>
    <n v="1620"/>
    <x v="4"/>
    <s v="Hum"/>
    <n v="7"/>
    <n v="3.5"/>
    <n v="5.95"/>
    <n v="2.9750000000000001"/>
    <n v="18405"/>
    <n v="15773"/>
    <n v="5800"/>
    <n v="111342.175"/>
    <n v="-7793.9522500000012"/>
    <n v="103548.22275"/>
    <n v="20300"/>
  </r>
  <r>
    <x v="88"/>
    <x v="86"/>
    <n v="2340"/>
    <x v="17"/>
    <s v="Sam"/>
    <x v="29"/>
    <n v="2193"/>
    <x v="6"/>
    <s v="Sam"/>
    <n v="5.0599999999999996"/>
    <n v="3.5419999999999994"/>
    <n v="4.3009999999999993"/>
    <n v="3.0106999999999995"/>
    <n v="18405"/>
    <n v="15773"/>
    <n v="5800"/>
    <n v="112678.28109999998"/>
    <n v="-7887.4796769999994"/>
    <n v="104790.80142299998"/>
    <n v="20543.599999999995"/>
  </r>
  <r>
    <x v="88"/>
    <x v="86"/>
    <n v="2180"/>
    <x v="0"/>
    <s v="Sam"/>
    <x v="24"/>
    <n v="2193"/>
    <x v="6"/>
    <s v="Sam"/>
    <n v="5.0599999999999996"/>
    <n v="1.5179999999999998"/>
    <n v="4.3009999999999993"/>
    <n v="1.2902999999999998"/>
    <n v="18405"/>
    <n v="15773"/>
    <n v="5800"/>
    <n v="48290.691899999991"/>
    <n v="-3380.3484329999997"/>
    <n v="44910.343466999992"/>
    <n v="8804.4"/>
  </r>
  <r>
    <x v="89"/>
    <x v="87"/>
    <n v="2180"/>
    <x v="0"/>
    <s v="Sam"/>
    <x v="30"/>
    <n v="2193"/>
    <x v="6"/>
    <s v="Sam"/>
    <n v="6.4124999999999996"/>
    <n v="3.8474999999999997"/>
    <n v="5.4506249999999996"/>
    <n v="3.2703749999999996"/>
    <n v="18405"/>
    <n v="15773"/>
    <n v="5800"/>
    <n v="122396.86237499998"/>
    <n v="-8567.7803662499991"/>
    <n v="113829.08200874999"/>
    <n v="22315.5"/>
  </r>
  <r>
    <x v="90"/>
    <x v="88"/>
    <m/>
    <x v="20"/>
    <m/>
    <x v="31"/>
    <m/>
    <x v="8"/>
    <m/>
    <m/>
    <m/>
    <m/>
    <m/>
    <m/>
    <m/>
    <m/>
    <m/>
    <m/>
    <m/>
    <m/>
  </r>
</pivotCacheRecords>
</file>

<file path=xl/pivotCache/pivotCacheRecords2.xml><?xml version="1.0" encoding="utf-8"?>
<pivotCacheRecords xmlns="http://schemas.openxmlformats.org/spreadsheetml/2006/main" xmlns:r="http://schemas.openxmlformats.org/officeDocument/2006/relationships" count="1277">
  <r>
    <x v="0"/>
    <x v="0"/>
    <m/>
    <x v="0"/>
    <m/>
    <x v="0"/>
    <s v="Sommarkurs"/>
    <m/>
    <s v="Campus"/>
    <m/>
    <m/>
    <n v="50"/>
    <x v="0"/>
    <m/>
    <m/>
    <n v="0"/>
    <n v="0"/>
    <n v="0.8"/>
    <n v="0"/>
    <n v="2180"/>
    <x v="0"/>
    <s v="Sam"/>
    <x v="0"/>
    <n v="31719.5"/>
    <n v="23660"/>
    <n v="0"/>
    <n v="20150"/>
    <n v="0"/>
    <n v="0"/>
    <n v="0"/>
    <n v="0"/>
    <n v="0.5"/>
    <n v="0"/>
    <n v="0"/>
    <n v="0"/>
    <n v="0.5"/>
    <n v="0"/>
    <n v="0"/>
    <n v="0"/>
    <n v="0"/>
    <n v="0"/>
    <s v="Äskat - Beslut p43 180607"/>
    <s v="Ställs in enl uppg från inst 190207"/>
    <n v="0"/>
    <n v="0"/>
    <n v="0"/>
    <n v="0"/>
    <n v="0"/>
    <n v="0"/>
    <n v="0"/>
    <n v="0"/>
    <n v="0"/>
    <n v="0"/>
    <n v="0"/>
    <n v="0"/>
    <n v="0"/>
    <n v="0"/>
    <n v="0"/>
    <n v="0"/>
    <n v="0"/>
    <n v="0"/>
    <n v="0"/>
    <n v="0"/>
    <n v="0"/>
    <n v="0"/>
    <n v="0"/>
  </r>
  <r>
    <x v="1"/>
    <x v="1"/>
    <m/>
    <x v="0"/>
    <m/>
    <x v="0"/>
    <s v="Sommarkurs"/>
    <m/>
    <s v="Distans"/>
    <m/>
    <m/>
    <n v="50"/>
    <x v="0"/>
    <m/>
    <m/>
    <n v="0"/>
    <n v="0"/>
    <n v="0.8"/>
    <n v="0"/>
    <n v="2193"/>
    <x v="1"/>
    <s v="Sam"/>
    <x v="0"/>
    <n v="19473"/>
    <n v="34806"/>
    <n v="0"/>
    <n v="21800"/>
    <n v="0"/>
    <n v="0"/>
    <n v="0"/>
    <n v="0"/>
    <n v="0"/>
    <n v="0"/>
    <n v="0"/>
    <n v="1"/>
    <n v="0"/>
    <n v="0"/>
    <n v="0"/>
    <n v="0"/>
    <n v="0"/>
    <n v="0"/>
    <s v="Enl Ladok 190821"/>
    <s v="Äskat - Beslut p43 180607 Ny kursplan med kurskod 6* krävs"/>
    <n v="0"/>
    <n v="0"/>
    <n v="0"/>
    <n v="0"/>
    <n v="0"/>
    <n v="0"/>
    <n v="0"/>
    <n v="0"/>
    <n v="0"/>
    <n v="0"/>
    <n v="0"/>
    <n v="0"/>
    <n v="0"/>
    <n v="0"/>
    <n v="0"/>
    <n v="0"/>
    <n v="0"/>
    <n v="0"/>
    <n v="0"/>
    <n v="0"/>
    <n v="0"/>
    <n v="0"/>
    <n v="0"/>
  </r>
  <r>
    <x v="2"/>
    <x v="2"/>
    <m/>
    <x v="1"/>
    <s v="H15"/>
    <x v="1"/>
    <s v="V1911-20"/>
    <s v="Umeå"/>
    <m/>
    <s v="ENGS"/>
    <m/>
    <n v="100"/>
    <x v="1"/>
    <m/>
    <m/>
    <n v="1"/>
    <n v="0.25"/>
    <n v="0.85"/>
    <n v="0.21249999999999999"/>
    <n v="5160"/>
    <x v="2"/>
    <s v="TekNat"/>
    <x v="1"/>
    <n v="19473"/>
    <n v="34806"/>
    <n v="12264.525"/>
    <n v="21800"/>
    <n v="5450"/>
    <n v="17714.525000000001"/>
    <n v="0"/>
    <n v="0"/>
    <n v="0"/>
    <n v="0"/>
    <n v="0"/>
    <n v="1"/>
    <n v="0"/>
    <n v="0"/>
    <n v="0"/>
    <n v="0"/>
    <n v="0"/>
    <n v="0"/>
    <s v="Enl Ladok 190515"/>
    <m/>
    <n v="0"/>
    <n v="0"/>
    <n v="0"/>
    <n v="0"/>
    <n v="0"/>
    <n v="0"/>
    <n v="0"/>
    <n v="0"/>
    <n v="0"/>
    <n v="0"/>
    <n v="0.25"/>
    <n v="0.21249999999999999"/>
    <n v="0"/>
    <n v="0"/>
    <n v="0"/>
    <n v="0"/>
    <n v="0"/>
    <n v="0"/>
    <n v="0"/>
    <n v="0"/>
    <n v="0"/>
    <n v="0"/>
    <n v="0"/>
  </r>
  <r>
    <x v="2"/>
    <x v="2"/>
    <m/>
    <x v="1"/>
    <s v="H15"/>
    <x v="1"/>
    <s v="V1911-20"/>
    <s v="Umeå"/>
    <m/>
    <s v="MATT"/>
    <m/>
    <n v="100"/>
    <x v="1"/>
    <m/>
    <m/>
    <n v="2"/>
    <n v="0.5"/>
    <n v="0.85"/>
    <n v="0.42499999999999999"/>
    <n v="5160"/>
    <x v="2"/>
    <s v="TekNat"/>
    <x v="1"/>
    <n v="19473"/>
    <n v="34806"/>
    <n v="24529.05"/>
    <n v="21800"/>
    <n v="10900"/>
    <n v="35429.050000000003"/>
    <n v="0"/>
    <n v="0"/>
    <n v="0"/>
    <n v="0"/>
    <n v="0"/>
    <n v="1"/>
    <n v="0"/>
    <n v="0"/>
    <n v="0"/>
    <n v="0"/>
    <n v="0"/>
    <n v="0"/>
    <s v="Enl Ladok 190515"/>
    <m/>
    <n v="0"/>
    <n v="0"/>
    <n v="0"/>
    <n v="0"/>
    <n v="0"/>
    <n v="0"/>
    <n v="0"/>
    <n v="0"/>
    <n v="0"/>
    <n v="0"/>
    <n v="0.5"/>
    <n v="0.42499999999999999"/>
    <n v="0"/>
    <n v="0"/>
    <n v="0"/>
    <n v="0"/>
    <n v="0"/>
    <n v="0"/>
    <n v="0"/>
    <n v="0"/>
    <n v="0"/>
    <n v="0"/>
    <n v="0"/>
  </r>
  <r>
    <x v="2"/>
    <x v="2"/>
    <m/>
    <x v="1"/>
    <s v="H15"/>
    <x v="1"/>
    <s v="V1911-20"/>
    <s v="Umeå"/>
    <m/>
    <s v="MUSI"/>
    <m/>
    <n v="100"/>
    <x v="1"/>
    <m/>
    <m/>
    <n v="1"/>
    <n v="0.25"/>
    <n v="0.85"/>
    <n v="0.21249999999999999"/>
    <n v="5160"/>
    <x v="2"/>
    <s v="TekNat"/>
    <x v="1"/>
    <n v="19473"/>
    <n v="34806"/>
    <n v="12264.525"/>
    <n v="21800"/>
    <n v="5450"/>
    <n v="17714.525000000001"/>
    <n v="0"/>
    <n v="0"/>
    <n v="0"/>
    <n v="0"/>
    <n v="0"/>
    <n v="1"/>
    <n v="0"/>
    <n v="0"/>
    <n v="0"/>
    <n v="0"/>
    <n v="0"/>
    <n v="0"/>
    <s v="Enl Ladok 190515"/>
    <m/>
    <n v="0"/>
    <n v="0"/>
    <n v="0"/>
    <n v="0"/>
    <n v="0"/>
    <n v="0"/>
    <n v="0"/>
    <n v="0"/>
    <n v="0"/>
    <n v="0"/>
    <n v="0.25"/>
    <n v="0.21249999999999999"/>
    <n v="0"/>
    <n v="0"/>
    <n v="0"/>
    <n v="0"/>
    <n v="0"/>
    <n v="0"/>
    <n v="0"/>
    <n v="0"/>
    <n v="0"/>
    <n v="0"/>
    <n v="0"/>
  </r>
  <r>
    <x v="2"/>
    <x v="2"/>
    <m/>
    <x v="1"/>
    <s v="H15"/>
    <x v="1"/>
    <s v="V1911-20"/>
    <s v="Umeå"/>
    <m/>
    <s v="SVAA"/>
    <m/>
    <n v="100"/>
    <x v="1"/>
    <m/>
    <m/>
    <n v="1"/>
    <n v="0.25"/>
    <n v="0.85"/>
    <n v="0.21249999999999999"/>
    <n v="5160"/>
    <x v="2"/>
    <s v="TekNat"/>
    <x v="1"/>
    <n v="19473"/>
    <n v="34806"/>
    <n v="12264.525"/>
    <n v="21800"/>
    <n v="5450"/>
    <n v="17714.525000000001"/>
    <n v="0"/>
    <n v="0"/>
    <n v="0"/>
    <n v="0"/>
    <n v="0"/>
    <n v="1"/>
    <n v="0"/>
    <n v="0"/>
    <n v="0"/>
    <n v="0"/>
    <n v="0"/>
    <n v="0"/>
    <s v="Enl Ladok 190515"/>
    <m/>
    <n v="0"/>
    <n v="0"/>
    <n v="0"/>
    <n v="0"/>
    <n v="0"/>
    <n v="0"/>
    <n v="0"/>
    <n v="0"/>
    <n v="0"/>
    <n v="0"/>
    <n v="0.25"/>
    <n v="0.21249999999999999"/>
    <n v="0"/>
    <n v="0"/>
    <n v="0"/>
    <n v="0"/>
    <n v="0"/>
    <n v="0"/>
    <n v="0"/>
    <n v="0"/>
    <n v="0"/>
    <n v="0"/>
    <n v="0"/>
  </r>
  <r>
    <x v="2"/>
    <x v="2"/>
    <m/>
    <x v="1"/>
    <s v="H16"/>
    <x v="1"/>
    <s v="V1911-20"/>
    <s v="Umeå"/>
    <m/>
    <s v="BILÄ"/>
    <m/>
    <n v="100"/>
    <x v="1"/>
    <m/>
    <m/>
    <n v="1"/>
    <n v="0.25"/>
    <n v="0.85"/>
    <n v="0.21249999999999999"/>
    <n v="5160"/>
    <x v="2"/>
    <s v="TekNat"/>
    <x v="1"/>
    <n v="19473"/>
    <n v="34806"/>
    <n v="12264.525"/>
    <n v="21800"/>
    <n v="5450"/>
    <n v="17714.525000000001"/>
    <n v="0"/>
    <n v="0"/>
    <n v="0"/>
    <n v="0"/>
    <n v="0"/>
    <n v="1"/>
    <n v="0"/>
    <n v="0"/>
    <n v="0"/>
    <n v="0"/>
    <n v="0"/>
    <n v="0"/>
    <s v="Enl Ladok 190515"/>
    <m/>
    <n v="0"/>
    <n v="0"/>
    <n v="0"/>
    <n v="0"/>
    <n v="0"/>
    <n v="0"/>
    <n v="0"/>
    <n v="0"/>
    <n v="0"/>
    <n v="0"/>
    <n v="0.25"/>
    <n v="0.21249999999999999"/>
    <n v="0"/>
    <n v="0"/>
    <n v="0"/>
    <n v="0"/>
    <n v="0"/>
    <n v="0"/>
    <n v="0"/>
    <n v="0"/>
    <n v="0"/>
    <n v="0"/>
    <n v="0"/>
  </r>
  <r>
    <x v="2"/>
    <x v="2"/>
    <m/>
    <x v="1"/>
    <s v="H16"/>
    <x v="1"/>
    <s v="V1911-20"/>
    <s v="Umeå"/>
    <m/>
    <s v="MATT"/>
    <m/>
    <n v="100"/>
    <x v="1"/>
    <m/>
    <m/>
    <n v="1"/>
    <n v="0.25"/>
    <n v="0.85"/>
    <n v="0.21249999999999999"/>
    <n v="5160"/>
    <x v="2"/>
    <s v="TekNat"/>
    <x v="1"/>
    <n v="19473"/>
    <n v="34806"/>
    <n v="12264.525"/>
    <n v="21800"/>
    <n v="5450"/>
    <n v="17714.525000000001"/>
    <n v="0"/>
    <n v="0"/>
    <n v="0"/>
    <n v="0"/>
    <n v="0"/>
    <n v="1"/>
    <n v="0"/>
    <n v="0"/>
    <n v="0"/>
    <n v="0"/>
    <n v="0"/>
    <n v="0"/>
    <s v="Enl Ladok 190515"/>
    <m/>
    <n v="0"/>
    <n v="0"/>
    <n v="0"/>
    <n v="0"/>
    <n v="0"/>
    <n v="0"/>
    <n v="0"/>
    <n v="0"/>
    <n v="0"/>
    <n v="0"/>
    <n v="0.25"/>
    <n v="0.21249999999999999"/>
    <n v="0"/>
    <n v="0"/>
    <n v="0"/>
    <n v="0"/>
    <n v="0"/>
    <n v="0"/>
    <n v="0"/>
    <n v="0"/>
    <n v="0"/>
    <n v="0"/>
    <n v="0"/>
  </r>
  <r>
    <x v="2"/>
    <x v="2"/>
    <m/>
    <x v="1"/>
    <s v="H17"/>
    <x v="1"/>
    <s v="V1911-20"/>
    <s v="Umeå"/>
    <m/>
    <s v="BIOL"/>
    <m/>
    <n v="100"/>
    <x v="1"/>
    <m/>
    <m/>
    <n v="1"/>
    <n v="0.25"/>
    <n v="0.85"/>
    <n v="0.21249999999999999"/>
    <n v="5160"/>
    <x v="2"/>
    <s v="TekNat"/>
    <x v="1"/>
    <n v="19473"/>
    <n v="34806"/>
    <n v="12264.525"/>
    <n v="21800"/>
    <n v="5450"/>
    <n v="17714.525000000001"/>
    <n v="0"/>
    <n v="0"/>
    <n v="0"/>
    <n v="0"/>
    <n v="0"/>
    <n v="1"/>
    <n v="0"/>
    <n v="0"/>
    <n v="0"/>
    <n v="0"/>
    <n v="0"/>
    <n v="0"/>
    <s v="Enl Ladok 190515"/>
    <m/>
    <n v="0"/>
    <n v="0"/>
    <n v="0"/>
    <n v="0"/>
    <n v="0"/>
    <n v="0"/>
    <n v="0"/>
    <n v="0"/>
    <n v="0"/>
    <n v="0"/>
    <n v="0.25"/>
    <n v="0.21249999999999999"/>
    <n v="0"/>
    <n v="0"/>
    <n v="0"/>
    <n v="0"/>
    <n v="0"/>
    <n v="0"/>
    <n v="0"/>
    <n v="0"/>
    <n v="0"/>
    <n v="0"/>
    <n v="0"/>
  </r>
  <r>
    <x v="2"/>
    <x v="2"/>
    <m/>
    <x v="1"/>
    <s v="H18"/>
    <x v="1"/>
    <s v="V1911-20"/>
    <s v="Umeå"/>
    <m/>
    <s v="NATU"/>
    <m/>
    <n v="100"/>
    <x v="1"/>
    <m/>
    <m/>
    <n v="1"/>
    <n v="0.25"/>
    <n v="0.85"/>
    <n v="0.21249999999999999"/>
    <n v="5160"/>
    <x v="2"/>
    <s v="TekNat"/>
    <x v="1"/>
    <n v="19473"/>
    <n v="34806"/>
    <n v="12264.525"/>
    <n v="21800"/>
    <n v="5450"/>
    <n v="17714.525000000001"/>
    <n v="0"/>
    <n v="0"/>
    <n v="0"/>
    <n v="0"/>
    <n v="0"/>
    <n v="1"/>
    <n v="0"/>
    <n v="0"/>
    <n v="0"/>
    <n v="0"/>
    <n v="0"/>
    <n v="0"/>
    <s v="Enl Ladok 190515"/>
    <m/>
    <n v="0"/>
    <n v="0"/>
    <n v="0"/>
    <n v="0"/>
    <n v="0"/>
    <n v="0"/>
    <n v="0"/>
    <n v="0"/>
    <n v="0"/>
    <n v="0"/>
    <n v="0.25"/>
    <n v="0.21249999999999999"/>
    <n v="0"/>
    <n v="0"/>
    <n v="0"/>
    <n v="0"/>
    <n v="0"/>
    <n v="0"/>
    <n v="0"/>
    <n v="0"/>
    <n v="0"/>
    <n v="0"/>
    <n v="0"/>
  </r>
  <r>
    <x v="3"/>
    <x v="3"/>
    <m/>
    <x v="1"/>
    <s v="H15"/>
    <x v="2"/>
    <s v="H191-10"/>
    <m/>
    <m/>
    <s v="IDRH"/>
    <m/>
    <n v="100"/>
    <x v="1"/>
    <m/>
    <m/>
    <n v="1"/>
    <n v="0.25"/>
    <n v="0.85"/>
    <n v="0.21249999999999999"/>
    <n v="5100"/>
    <x v="3"/>
    <s v="TekNat"/>
    <x v="1"/>
    <n v="19473"/>
    <n v="34806"/>
    <n v="12264.525"/>
    <n v="21800"/>
    <n v="5450"/>
    <n v="17714.525000000001"/>
    <n v="0"/>
    <n v="0"/>
    <n v="0"/>
    <n v="0"/>
    <n v="0"/>
    <n v="1"/>
    <n v="0"/>
    <n v="0"/>
    <n v="0"/>
    <n v="0"/>
    <n v="0"/>
    <n v="0"/>
    <s v="Enligt SP 190924"/>
    <m/>
    <n v="0"/>
    <n v="0"/>
    <n v="0"/>
    <n v="0"/>
    <n v="0"/>
    <n v="0"/>
    <n v="0"/>
    <n v="0"/>
    <n v="0"/>
    <n v="0"/>
    <n v="0.25"/>
    <n v="0.21249999999999999"/>
    <n v="0"/>
    <n v="0"/>
    <n v="0"/>
    <n v="0"/>
    <n v="0"/>
    <n v="0"/>
    <n v="0"/>
    <n v="0"/>
    <n v="0"/>
    <n v="0"/>
    <n v="0"/>
  </r>
  <r>
    <x v="4"/>
    <x v="4"/>
    <m/>
    <x v="1"/>
    <s v="H16"/>
    <x v="2"/>
    <s v="H1911-20"/>
    <m/>
    <m/>
    <s v="BILÄ"/>
    <m/>
    <n v="100"/>
    <x v="1"/>
    <m/>
    <m/>
    <n v="1"/>
    <n v="0.25"/>
    <n v="0.85"/>
    <n v="0.21249999999999999"/>
    <n v="5100"/>
    <x v="3"/>
    <s v="TekNat"/>
    <x v="1"/>
    <n v="19473"/>
    <n v="34806"/>
    <n v="12264.525"/>
    <n v="21800"/>
    <n v="5450"/>
    <n v="17714.525000000001"/>
    <n v="0"/>
    <n v="0"/>
    <n v="0"/>
    <n v="0"/>
    <n v="0"/>
    <n v="0.5"/>
    <n v="0"/>
    <n v="0.5"/>
    <n v="0"/>
    <n v="0"/>
    <n v="0"/>
    <n v="0"/>
    <s v="Enligt SP 190924"/>
    <m/>
    <n v="0"/>
    <n v="0"/>
    <n v="0"/>
    <n v="0"/>
    <n v="0"/>
    <n v="0"/>
    <n v="0"/>
    <n v="0"/>
    <n v="0"/>
    <n v="0"/>
    <n v="0.125"/>
    <n v="0.10625"/>
    <n v="0"/>
    <n v="0"/>
    <n v="0.125"/>
    <n v="0.10625"/>
    <n v="0"/>
    <n v="0"/>
    <n v="0"/>
    <n v="0"/>
    <n v="0"/>
    <n v="0"/>
    <n v="0"/>
  </r>
  <r>
    <x v="4"/>
    <x v="4"/>
    <m/>
    <x v="1"/>
    <s v="H16"/>
    <x v="2"/>
    <s v="H1911-20"/>
    <m/>
    <m/>
    <s v="IDRH"/>
    <m/>
    <n v="100"/>
    <x v="1"/>
    <m/>
    <m/>
    <n v="1"/>
    <n v="0.25"/>
    <n v="0.85"/>
    <n v="0.21249999999999999"/>
    <n v="5100"/>
    <x v="3"/>
    <s v="TekNat"/>
    <x v="1"/>
    <n v="19473"/>
    <n v="34806"/>
    <n v="12264.525"/>
    <n v="21800"/>
    <n v="5450"/>
    <n v="17714.525000000001"/>
    <n v="0"/>
    <n v="0"/>
    <n v="0"/>
    <n v="0"/>
    <n v="0"/>
    <n v="0.5"/>
    <n v="0"/>
    <n v="0.5"/>
    <n v="0"/>
    <n v="0"/>
    <n v="0"/>
    <n v="0"/>
    <s v="Enligt SP 190924"/>
    <m/>
    <n v="0"/>
    <n v="0"/>
    <n v="0"/>
    <n v="0"/>
    <n v="0"/>
    <n v="0"/>
    <n v="0"/>
    <n v="0"/>
    <n v="0"/>
    <n v="0"/>
    <n v="0.125"/>
    <n v="0.10625"/>
    <n v="0"/>
    <n v="0"/>
    <n v="0.125"/>
    <n v="0.10625"/>
    <n v="0"/>
    <n v="0"/>
    <n v="0"/>
    <n v="0"/>
    <n v="0"/>
    <n v="0"/>
    <n v="0"/>
  </r>
  <r>
    <x v="4"/>
    <x v="4"/>
    <m/>
    <x v="1"/>
    <s v="H16"/>
    <x v="2"/>
    <s v="H1911-20"/>
    <m/>
    <m/>
    <s v="MATT"/>
    <m/>
    <n v="100"/>
    <x v="1"/>
    <m/>
    <m/>
    <n v="1"/>
    <n v="0.25"/>
    <n v="0.85"/>
    <n v="0.21249999999999999"/>
    <n v="5100"/>
    <x v="3"/>
    <s v="TekNat"/>
    <x v="1"/>
    <n v="19473"/>
    <n v="34806"/>
    <n v="12264.525"/>
    <n v="21800"/>
    <n v="5450"/>
    <n v="17714.525000000001"/>
    <n v="0"/>
    <n v="0"/>
    <n v="0"/>
    <n v="0"/>
    <n v="0"/>
    <n v="0.5"/>
    <n v="0"/>
    <n v="0.5"/>
    <n v="0"/>
    <n v="0"/>
    <n v="0"/>
    <n v="0"/>
    <s v="Enligt SP 190924"/>
    <m/>
    <n v="0"/>
    <n v="0"/>
    <n v="0"/>
    <n v="0"/>
    <n v="0"/>
    <n v="0"/>
    <n v="0"/>
    <n v="0"/>
    <n v="0"/>
    <n v="0"/>
    <n v="0.125"/>
    <n v="0.10625"/>
    <n v="0"/>
    <n v="0"/>
    <n v="0.125"/>
    <n v="0.10625"/>
    <n v="0"/>
    <n v="0"/>
    <n v="0"/>
    <n v="0"/>
    <n v="0"/>
    <n v="0"/>
    <n v="0"/>
  </r>
  <r>
    <x v="4"/>
    <x v="4"/>
    <m/>
    <x v="1"/>
    <s v="H17"/>
    <x v="2"/>
    <s v="H1911-20"/>
    <m/>
    <m/>
    <s v="ENGS"/>
    <m/>
    <n v="100"/>
    <x v="1"/>
    <m/>
    <m/>
    <n v="1"/>
    <n v="0.25"/>
    <n v="0.85"/>
    <n v="0.21249999999999999"/>
    <n v="5100"/>
    <x v="3"/>
    <s v="TekNat"/>
    <x v="1"/>
    <n v="19473"/>
    <n v="34806"/>
    <n v="12264.525"/>
    <n v="21800"/>
    <n v="5450"/>
    <n v="17714.525000000001"/>
    <n v="0"/>
    <n v="0"/>
    <n v="0"/>
    <n v="0"/>
    <n v="0"/>
    <n v="0.5"/>
    <n v="0"/>
    <n v="0.5"/>
    <n v="0"/>
    <n v="0"/>
    <n v="0"/>
    <n v="0"/>
    <s v="Enligt SP 190924"/>
    <m/>
    <n v="0"/>
    <n v="0"/>
    <n v="0"/>
    <n v="0"/>
    <n v="0"/>
    <n v="0"/>
    <n v="0"/>
    <n v="0"/>
    <n v="0"/>
    <n v="0"/>
    <n v="0.125"/>
    <n v="0.10625"/>
    <n v="0"/>
    <n v="0"/>
    <n v="0.125"/>
    <n v="0.10625"/>
    <n v="0"/>
    <n v="0"/>
    <n v="0"/>
    <n v="0"/>
    <n v="0"/>
    <n v="0"/>
    <n v="0"/>
  </r>
  <r>
    <x v="4"/>
    <x v="4"/>
    <m/>
    <x v="1"/>
    <s v="H18"/>
    <x v="2"/>
    <s v="H1911-20"/>
    <m/>
    <m/>
    <s v="BIOL"/>
    <m/>
    <n v="100"/>
    <x v="1"/>
    <m/>
    <m/>
    <n v="5"/>
    <n v="1.25"/>
    <n v="0.85"/>
    <n v="1.0625"/>
    <n v="5100"/>
    <x v="3"/>
    <s v="TekNat"/>
    <x v="1"/>
    <n v="19473"/>
    <n v="34806"/>
    <n v="61322.625"/>
    <n v="21800"/>
    <n v="27250"/>
    <n v="88572.625"/>
    <n v="0"/>
    <n v="0"/>
    <n v="0"/>
    <n v="0"/>
    <n v="0"/>
    <n v="0.5"/>
    <n v="0"/>
    <n v="0.5"/>
    <n v="0"/>
    <n v="0"/>
    <n v="0"/>
    <n v="0"/>
    <s v="Enligt SP 190924"/>
    <m/>
    <n v="0"/>
    <n v="0"/>
    <n v="0"/>
    <n v="0"/>
    <n v="0"/>
    <n v="0"/>
    <n v="0"/>
    <n v="0"/>
    <n v="0"/>
    <n v="0"/>
    <n v="0.625"/>
    <n v="0.53125"/>
    <n v="0"/>
    <n v="0"/>
    <n v="0.625"/>
    <n v="0.53125"/>
    <n v="0"/>
    <n v="0"/>
    <n v="0"/>
    <n v="0"/>
    <n v="0"/>
    <n v="0"/>
    <n v="0"/>
  </r>
  <r>
    <x v="5"/>
    <x v="5"/>
    <m/>
    <x v="1"/>
    <s v="H15"/>
    <x v="1"/>
    <s v="V1911-20"/>
    <s v="Umeå"/>
    <m/>
    <s v="IDRH"/>
    <m/>
    <n v="100"/>
    <x v="1"/>
    <m/>
    <m/>
    <n v="1"/>
    <n v="0.25"/>
    <n v="0.85"/>
    <n v="0.21249999999999999"/>
    <n v="5100"/>
    <x v="3"/>
    <s v="TekNat"/>
    <x v="1"/>
    <n v="19473"/>
    <n v="34806"/>
    <n v="12264.525"/>
    <n v="21800"/>
    <n v="5450"/>
    <n v="17714.525000000001"/>
    <n v="0"/>
    <n v="0"/>
    <n v="0"/>
    <n v="0"/>
    <n v="0"/>
    <n v="1"/>
    <n v="0"/>
    <n v="0"/>
    <n v="0"/>
    <n v="0"/>
    <n v="0"/>
    <n v="0"/>
    <s v="Enl Ladok 190515"/>
    <m/>
    <n v="0"/>
    <n v="0"/>
    <n v="0"/>
    <n v="0"/>
    <n v="0"/>
    <n v="0"/>
    <n v="0"/>
    <n v="0"/>
    <n v="0"/>
    <n v="0"/>
    <n v="0.25"/>
    <n v="0.21249999999999999"/>
    <n v="0"/>
    <n v="0"/>
    <n v="0"/>
    <n v="0"/>
    <n v="0"/>
    <n v="0"/>
    <n v="0"/>
    <n v="0"/>
    <n v="0"/>
    <n v="0"/>
    <n v="0"/>
  </r>
  <r>
    <x v="5"/>
    <x v="5"/>
    <m/>
    <x v="1"/>
    <s v="H16"/>
    <x v="1"/>
    <s v="V1911-20"/>
    <s v="Umeå"/>
    <m/>
    <s v="ENGS"/>
    <m/>
    <n v="100"/>
    <x v="1"/>
    <m/>
    <m/>
    <n v="1"/>
    <n v="0.25"/>
    <n v="0.85"/>
    <n v="0.21249999999999999"/>
    <n v="5100"/>
    <x v="3"/>
    <s v="TekNat"/>
    <x v="1"/>
    <n v="19473"/>
    <n v="34806"/>
    <n v="12264.525"/>
    <n v="21800"/>
    <n v="5450"/>
    <n v="17714.525000000001"/>
    <n v="0"/>
    <n v="0"/>
    <n v="0"/>
    <n v="0"/>
    <n v="0"/>
    <n v="1"/>
    <n v="0"/>
    <n v="0"/>
    <n v="0"/>
    <n v="0"/>
    <n v="0"/>
    <n v="0"/>
    <s v="Enl Ladok 190515"/>
    <m/>
    <n v="0"/>
    <n v="0"/>
    <n v="0"/>
    <n v="0"/>
    <n v="0"/>
    <n v="0"/>
    <n v="0"/>
    <n v="0"/>
    <n v="0"/>
    <n v="0"/>
    <n v="0.25"/>
    <n v="0.21249999999999999"/>
    <n v="0"/>
    <n v="0"/>
    <n v="0"/>
    <n v="0"/>
    <n v="0"/>
    <n v="0"/>
    <n v="0"/>
    <n v="0"/>
    <n v="0"/>
    <n v="0"/>
    <n v="0"/>
  </r>
  <r>
    <x v="5"/>
    <x v="5"/>
    <m/>
    <x v="1"/>
    <s v="H16"/>
    <x v="1"/>
    <s v="V1911-20"/>
    <s v="Umeå"/>
    <m/>
    <s v="IDRH"/>
    <m/>
    <n v="100"/>
    <x v="1"/>
    <m/>
    <m/>
    <n v="1"/>
    <n v="0.25"/>
    <n v="0.85"/>
    <n v="0.21249999999999999"/>
    <n v="5100"/>
    <x v="3"/>
    <s v="TekNat"/>
    <x v="1"/>
    <n v="19473"/>
    <n v="34806"/>
    <n v="12264.525"/>
    <n v="21800"/>
    <n v="5450"/>
    <n v="17714.525000000001"/>
    <n v="0"/>
    <n v="0"/>
    <n v="0"/>
    <n v="0"/>
    <n v="0"/>
    <n v="1"/>
    <n v="0"/>
    <n v="0"/>
    <n v="0"/>
    <n v="0"/>
    <n v="0"/>
    <n v="0"/>
    <s v="Enl Ladok 190515"/>
    <m/>
    <n v="0"/>
    <n v="0"/>
    <n v="0"/>
    <n v="0"/>
    <n v="0"/>
    <n v="0"/>
    <n v="0"/>
    <n v="0"/>
    <n v="0"/>
    <n v="0"/>
    <n v="0.25"/>
    <n v="0.21249999999999999"/>
    <n v="0"/>
    <n v="0"/>
    <n v="0"/>
    <n v="0"/>
    <n v="0"/>
    <n v="0"/>
    <n v="0"/>
    <n v="0"/>
    <n v="0"/>
    <n v="0"/>
    <n v="0"/>
  </r>
  <r>
    <x v="5"/>
    <x v="5"/>
    <m/>
    <x v="1"/>
    <s v="H16"/>
    <x v="1"/>
    <s v="V1911-20"/>
    <s v="Umeå"/>
    <m/>
    <s v="MATT"/>
    <m/>
    <n v="100"/>
    <x v="1"/>
    <m/>
    <m/>
    <n v="1"/>
    <n v="0.25"/>
    <n v="0.85"/>
    <n v="0.21249999999999999"/>
    <n v="5100"/>
    <x v="3"/>
    <s v="TekNat"/>
    <x v="1"/>
    <n v="19473"/>
    <n v="34806"/>
    <n v="12264.525"/>
    <n v="21800"/>
    <n v="5450"/>
    <n v="17714.525000000001"/>
    <n v="0"/>
    <n v="0"/>
    <n v="0"/>
    <n v="0"/>
    <n v="0"/>
    <n v="1"/>
    <n v="0"/>
    <n v="0"/>
    <n v="0"/>
    <n v="0"/>
    <n v="0"/>
    <n v="0"/>
    <s v="Enl Ladok 190515"/>
    <m/>
    <n v="0"/>
    <n v="0"/>
    <n v="0"/>
    <n v="0"/>
    <n v="0"/>
    <n v="0"/>
    <n v="0"/>
    <n v="0"/>
    <n v="0"/>
    <n v="0"/>
    <n v="0.25"/>
    <n v="0.21249999999999999"/>
    <n v="0"/>
    <n v="0"/>
    <n v="0"/>
    <n v="0"/>
    <n v="0"/>
    <n v="0"/>
    <n v="0"/>
    <n v="0"/>
    <n v="0"/>
    <n v="0"/>
    <n v="0"/>
  </r>
  <r>
    <x v="5"/>
    <x v="5"/>
    <m/>
    <x v="1"/>
    <s v="H18"/>
    <x v="1"/>
    <s v="V1911-20"/>
    <s v="Umeå"/>
    <m/>
    <s v="BIOL"/>
    <m/>
    <n v="100"/>
    <x v="1"/>
    <m/>
    <m/>
    <n v="6"/>
    <n v="1.5"/>
    <n v="0.85"/>
    <n v="1.2749999999999999"/>
    <n v="5100"/>
    <x v="3"/>
    <s v="TekNat"/>
    <x v="1"/>
    <n v="19473"/>
    <n v="34806"/>
    <n v="73587.149999999994"/>
    <n v="21800"/>
    <n v="32700"/>
    <n v="106287.15"/>
    <n v="0"/>
    <n v="0"/>
    <n v="0"/>
    <n v="0"/>
    <n v="0"/>
    <n v="1"/>
    <n v="0"/>
    <n v="0"/>
    <n v="0"/>
    <n v="0"/>
    <n v="0"/>
    <n v="0"/>
    <s v="Enl Ladok 190515"/>
    <m/>
    <n v="0"/>
    <n v="0"/>
    <n v="0"/>
    <n v="0"/>
    <n v="0"/>
    <n v="0"/>
    <n v="0"/>
    <n v="0"/>
    <n v="0"/>
    <n v="0"/>
    <n v="1.5"/>
    <n v="1.2749999999999999"/>
    <n v="0"/>
    <n v="0"/>
    <n v="0"/>
    <n v="0"/>
    <n v="0"/>
    <n v="0"/>
    <n v="0"/>
    <n v="0"/>
    <n v="0"/>
    <n v="0"/>
    <n v="0"/>
  </r>
  <r>
    <x v="6"/>
    <x v="6"/>
    <m/>
    <x v="1"/>
    <s v="H16"/>
    <x v="1"/>
    <s v="V191-10"/>
    <s v="Umeå"/>
    <m/>
    <s v="ENGS"/>
    <m/>
    <n v="100"/>
    <x v="1"/>
    <m/>
    <m/>
    <n v="1"/>
    <n v="0.25"/>
    <n v="0.85"/>
    <n v="0.21249999999999999"/>
    <n v="5100"/>
    <x v="3"/>
    <s v="TekNat"/>
    <x v="1"/>
    <n v="19473"/>
    <n v="34806"/>
    <n v="12264.525"/>
    <n v="21800"/>
    <n v="5450"/>
    <n v="17714.525000000001"/>
    <n v="0"/>
    <n v="0"/>
    <n v="0"/>
    <n v="0"/>
    <n v="0"/>
    <n v="1"/>
    <n v="0"/>
    <n v="0"/>
    <n v="0"/>
    <n v="0"/>
    <n v="0"/>
    <n v="0"/>
    <s v="Enl Ladok 190318"/>
    <m/>
    <n v="0"/>
    <n v="0"/>
    <n v="0"/>
    <n v="0"/>
    <n v="0"/>
    <n v="0"/>
    <n v="0"/>
    <n v="0"/>
    <n v="0"/>
    <n v="0"/>
    <n v="0.25"/>
    <n v="0.21249999999999999"/>
    <n v="0"/>
    <n v="0"/>
    <n v="0"/>
    <n v="0"/>
    <n v="0"/>
    <n v="0"/>
    <n v="0"/>
    <n v="0"/>
    <n v="0"/>
    <n v="0"/>
    <n v="0"/>
  </r>
  <r>
    <x v="6"/>
    <x v="6"/>
    <m/>
    <x v="1"/>
    <s v="H16"/>
    <x v="1"/>
    <s v="V191-10"/>
    <s v="Umeå"/>
    <m/>
    <s v="IDRH"/>
    <m/>
    <n v="100"/>
    <x v="1"/>
    <m/>
    <m/>
    <n v="1"/>
    <n v="0.25"/>
    <n v="0.85"/>
    <n v="0.21249999999999999"/>
    <n v="5100"/>
    <x v="3"/>
    <s v="TekNat"/>
    <x v="1"/>
    <n v="19473"/>
    <n v="34806"/>
    <n v="12264.525"/>
    <n v="21800"/>
    <n v="5450"/>
    <n v="17714.525000000001"/>
    <n v="0"/>
    <n v="0"/>
    <n v="0"/>
    <n v="0"/>
    <n v="0"/>
    <n v="1"/>
    <n v="0"/>
    <n v="0"/>
    <n v="0"/>
    <n v="0"/>
    <n v="0"/>
    <n v="0"/>
    <s v="Enl Ladok 190318"/>
    <m/>
    <n v="0"/>
    <n v="0"/>
    <n v="0"/>
    <n v="0"/>
    <n v="0"/>
    <n v="0"/>
    <n v="0"/>
    <n v="0"/>
    <n v="0"/>
    <n v="0"/>
    <n v="0.25"/>
    <n v="0.21249999999999999"/>
    <n v="0"/>
    <n v="0"/>
    <n v="0"/>
    <n v="0"/>
    <n v="0"/>
    <n v="0"/>
    <n v="0"/>
    <n v="0"/>
    <n v="0"/>
    <n v="0"/>
    <n v="0"/>
  </r>
  <r>
    <x v="6"/>
    <x v="6"/>
    <m/>
    <x v="1"/>
    <s v="H16"/>
    <x v="1"/>
    <s v="V191-10"/>
    <s v="Umeå"/>
    <m/>
    <s v="MATT"/>
    <m/>
    <n v="100"/>
    <x v="1"/>
    <m/>
    <m/>
    <n v="2"/>
    <n v="0.5"/>
    <n v="0.85"/>
    <n v="0.42499999999999999"/>
    <n v="5100"/>
    <x v="3"/>
    <s v="TekNat"/>
    <x v="1"/>
    <n v="19473"/>
    <n v="34806"/>
    <n v="24529.05"/>
    <n v="21800"/>
    <n v="10900"/>
    <n v="35429.050000000003"/>
    <n v="0"/>
    <n v="0"/>
    <n v="0"/>
    <n v="0"/>
    <n v="0"/>
    <n v="1"/>
    <n v="0"/>
    <n v="0"/>
    <n v="0"/>
    <n v="0"/>
    <n v="0"/>
    <n v="0"/>
    <s v="Enl Ladok 190318"/>
    <m/>
    <n v="0"/>
    <n v="0"/>
    <n v="0"/>
    <n v="0"/>
    <n v="0"/>
    <n v="0"/>
    <n v="0"/>
    <n v="0"/>
    <n v="0"/>
    <n v="0"/>
    <n v="0.5"/>
    <n v="0.42499999999999999"/>
    <n v="0"/>
    <n v="0"/>
    <n v="0"/>
    <n v="0"/>
    <n v="0"/>
    <n v="0"/>
    <n v="0"/>
    <n v="0"/>
    <n v="0"/>
    <n v="0"/>
    <n v="0"/>
  </r>
  <r>
    <x v="6"/>
    <x v="6"/>
    <m/>
    <x v="1"/>
    <s v="H17"/>
    <x v="1"/>
    <s v="V191-10"/>
    <s v="Umeå"/>
    <m/>
    <s v="MUSI"/>
    <m/>
    <n v="100"/>
    <x v="1"/>
    <m/>
    <m/>
    <n v="1"/>
    <n v="0.25"/>
    <n v="0.85"/>
    <n v="0.21249999999999999"/>
    <n v="5100"/>
    <x v="3"/>
    <s v="TekNat"/>
    <x v="1"/>
    <n v="19473"/>
    <n v="34806"/>
    <n v="12264.525"/>
    <n v="21800"/>
    <n v="5450"/>
    <n v="17714.525000000001"/>
    <n v="0"/>
    <n v="0"/>
    <n v="0"/>
    <n v="0"/>
    <n v="0"/>
    <n v="1"/>
    <n v="0"/>
    <n v="0"/>
    <n v="0"/>
    <n v="0"/>
    <n v="0"/>
    <n v="0"/>
    <s v="Enl Ladok 190318"/>
    <m/>
    <n v="0"/>
    <n v="0"/>
    <n v="0"/>
    <n v="0"/>
    <n v="0"/>
    <n v="0"/>
    <n v="0"/>
    <n v="0"/>
    <n v="0"/>
    <n v="0"/>
    <n v="0.25"/>
    <n v="0.21249999999999999"/>
    <n v="0"/>
    <n v="0"/>
    <n v="0"/>
    <n v="0"/>
    <n v="0"/>
    <n v="0"/>
    <n v="0"/>
    <n v="0"/>
    <n v="0"/>
    <n v="0"/>
    <n v="0"/>
  </r>
  <r>
    <x v="6"/>
    <x v="6"/>
    <m/>
    <x v="1"/>
    <s v="H18"/>
    <x v="1"/>
    <s v="V191-10"/>
    <s v="Umeå"/>
    <m/>
    <s v="BIOL"/>
    <m/>
    <n v="100"/>
    <x v="1"/>
    <m/>
    <m/>
    <n v="6"/>
    <n v="1.5"/>
    <n v="0.85"/>
    <n v="1.2749999999999999"/>
    <n v="5100"/>
    <x v="3"/>
    <s v="TekNat"/>
    <x v="1"/>
    <n v="19473"/>
    <n v="34806"/>
    <n v="73587.149999999994"/>
    <n v="21800"/>
    <n v="32700"/>
    <n v="106287.15"/>
    <n v="0"/>
    <n v="0"/>
    <n v="0"/>
    <n v="0"/>
    <n v="0"/>
    <n v="1"/>
    <n v="0"/>
    <n v="0"/>
    <n v="0"/>
    <n v="0"/>
    <n v="0"/>
    <n v="0"/>
    <s v="Enl Ladok 190318"/>
    <m/>
    <n v="0"/>
    <n v="0"/>
    <n v="0"/>
    <n v="0"/>
    <n v="0"/>
    <n v="0"/>
    <n v="0"/>
    <n v="0"/>
    <n v="0"/>
    <n v="0"/>
    <n v="1.5"/>
    <n v="1.2749999999999999"/>
    <n v="0"/>
    <n v="0"/>
    <n v="0"/>
    <n v="0"/>
    <n v="0"/>
    <n v="0"/>
    <n v="0"/>
    <n v="0"/>
    <n v="0"/>
    <n v="0"/>
    <n v="0"/>
  </r>
  <r>
    <x v="6"/>
    <x v="6"/>
    <m/>
    <x v="1"/>
    <s v="H18"/>
    <x v="1"/>
    <s v="V191-10"/>
    <s v="Umeå"/>
    <m/>
    <s v="NATU"/>
    <m/>
    <n v="100"/>
    <x v="1"/>
    <m/>
    <m/>
    <n v="1"/>
    <n v="0.25"/>
    <n v="0.85"/>
    <n v="0.21249999999999999"/>
    <n v="5100"/>
    <x v="3"/>
    <s v="TekNat"/>
    <x v="1"/>
    <n v="19473"/>
    <n v="34806"/>
    <n v="12264.525"/>
    <n v="21800"/>
    <n v="5450"/>
    <n v="17714.525000000001"/>
    <n v="0"/>
    <n v="0"/>
    <n v="0"/>
    <n v="0"/>
    <n v="0"/>
    <n v="1"/>
    <n v="0"/>
    <n v="0"/>
    <n v="0"/>
    <n v="0"/>
    <n v="0"/>
    <n v="0"/>
    <s v="Enl Ladok 190318"/>
    <m/>
    <n v="0"/>
    <n v="0"/>
    <n v="0"/>
    <n v="0"/>
    <n v="0"/>
    <n v="0"/>
    <n v="0"/>
    <n v="0"/>
    <n v="0"/>
    <n v="0"/>
    <n v="0.25"/>
    <n v="0.21249999999999999"/>
    <n v="0"/>
    <n v="0"/>
    <n v="0"/>
    <n v="0"/>
    <n v="0"/>
    <n v="0"/>
    <n v="0"/>
    <n v="0"/>
    <n v="0"/>
    <n v="0"/>
    <n v="0"/>
  </r>
  <r>
    <x v="7"/>
    <x v="7"/>
    <m/>
    <x v="1"/>
    <s v="H18"/>
    <x v="2"/>
    <s v="H196-10"/>
    <m/>
    <m/>
    <s v="MATT"/>
    <m/>
    <n v="100"/>
    <x v="0"/>
    <m/>
    <m/>
    <n v="1"/>
    <n v="0.125"/>
    <n v="0.85"/>
    <n v="0.10625"/>
    <n v="5700"/>
    <x v="4"/>
    <s v="TekNat"/>
    <x v="1"/>
    <n v="19473"/>
    <n v="34806"/>
    <n v="6132.2624999999998"/>
    <n v="21800"/>
    <n v="2725"/>
    <n v="8857.2625000000007"/>
    <n v="0"/>
    <n v="0"/>
    <n v="0"/>
    <n v="0"/>
    <n v="0"/>
    <n v="0.5"/>
    <n v="0"/>
    <n v="0.5"/>
    <n v="0"/>
    <n v="0"/>
    <n v="0"/>
    <n v="0"/>
    <s v="Enligt SP 190924"/>
    <m/>
    <n v="0"/>
    <n v="0"/>
    <n v="0"/>
    <n v="0"/>
    <n v="0"/>
    <n v="0"/>
    <n v="0"/>
    <n v="0"/>
    <n v="0"/>
    <n v="0"/>
    <n v="6.25E-2"/>
    <n v="5.3124999999999999E-2"/>
    <n v="0"/>
    <n v="0"/>
    <n v="6.25E-2"/>
    <n v="5.3124999999999999E-2"/>
    <n v="0"/>
    <n v="0"/>
    <n v="0"/>
    <n v="0"/>
    <n v="0"/>
    <n v="0"/>
    <n v="0"/>
  </r>
  <r>
    <x v="8"/>
    <x v="8"/>
    <m/>
    <x v="1"/>
    <s v="H15"/>
    <x v="1"/>
    <s v="V1911-20"/>
    <s v="Umeå"/>
    <m/>
    <s v="MATT"/>
    <m/>
    <n v="50"/>
    <x v="2"/>
    <m/>
    <m/>
    <n v="1"/>
    <n v="0.1"/>
    <n v="0.85"/>
    <n v="8.5000000000000006E-2"/>
    <n v="5410"/>
    <x v="5"/>
    <s v="TekNat"/>
    <x v="1"/>
    <n v="19473"/>
    <n v="34806"/>
    <n v="4905.8100000000004"/>
    <n v="21800"/>
    <n v="2180"/>
    <n v="7085.81"/>
    <n v="0"/>
    <n v="0"/>
    <n v="0"/>
    <n v="0"/>
    <n v="0"/>
    <n v="0"/>
    <n v="0"/>
    <n v="1"/>
    <n v="0"/>
    <n v="0"/>
    <n v="0"/>
    <n v="0"/>
    <s v="Enl Ladok 190515"/>
    <m/>
    <n v="0"/>
    <n v="0"/>
    <n v="0"/>
    <n v="0"/>
    <n v="0"/>
    <n v="0"/>
    <n v="0"/>
    <n v="0"/>
    <n v="0"/>
    <n v="0"/>
    <n v="0"/>
    <n v="0"/>
    <n v="0"/>
    <n v="0"/>
    <n v="0.1"/>
    <n v="8.5000000000000006E-2"/>
    <n v="0"/>
    <n v="0"/>
    <n v="0"/>
    <n v="0"/>
    <n v="0"/>
    <n v="0"/>
    <n v="0"/>
  </r>
  <r>
    <x v="9"/>
    <x v="9"/>
    <m/>
    <x v="1"/>
    <s v="H15"/>
    <x v="1"/>
    <s v="V1911-20"/>
    <s v="Umeå"/>
    <m/>
    <s v="MATT"/>
    <m/>
    <n v="50"/>
    <x v="2"/>
    <m/>
    <m/>
    <n v="1"/>
    <n v="0.1"/>
    <n v="0.85"/>
    <n v="8.5000000000000006E-2"/>
    <n v="5400"/>
    <x v="6"/>
    <s v="TekNat"/>
    <x v="1"/>
    <n v="19473"/>
    <n v="34806"/>
    <n v="4905.8100000000004"/>
    <n v="21800"/>
    <n v="2180"/>
    <n v="7085.81"/>
    <n v="0"/>
    <n v="0"/>
    <n v="0"/>
    <n v="0"/>
    <n v="0"/>
    <n v="0"/>
    <n v="0"/>
    <n v="1"/>
    <n v="0"/>
    <n v="0"/>
    <n v="0"/>
    <n v="0"/>
    <s v="Enl Ladok 190515"/>
    <m/>
    <n v="0"/>
    <n v="0"/>
    <n v="0"/>
    <n v="0"/>
    <n v="0"/>
    <n v="0"/>
    <n v="0"/>
    <n v="0"/>
    <n v="0"/>
    <n v="0"/>
    <n v="0"/>
    <n v="0"/>
    <n v="0"/>
    <n v="0"/>
    <n v="0.1"/>
    <n v="8.5000000000000006E-2"/>
    <n v="0"/>
    <n v="0"/>
    <n v="0"/>
    <n v="0"/>
    <n v="0"/>
    <n v="0"/>
    <n v="0"/>
  </r>
  <r>
    <x v="10"/>
    <x v="10"/>
    <m/>
    <x v="1"/>
    <s v="H15"/>
    <x v="1"/>
    <s v="V196-10"/>
    <s v="Umeå"/>
    <m/>
    <s v="MATT"/>
    <m/>
    <n v="100"/>
    <x v="0"/>
    <m/>
    <m/>
    <n v="5"/>
    <n v="0.625"/>
    <n v="0.85"/>
    <n v="0.53125"/>
    <n v="5400"/>
    <x v="6"/>
    <s v="TekNat"/>
    <x v="1"/>
    <n v="19473"/>
    <n v="34806"/>
    <n v="30661.3125"/>
    <n v="21800"/>
    <n v="13625"/>
    <n v="44286.3125"/>
    <n v="0"/>
    <n v="0"/>
    <n v="0"/>
    <n v="0"/>
    <n v="0"/>
    <n v="0"/>
    <n v="0"/>
    <n v="1"/>
    <n v="0"/>
    <n v="0"/>
    <n v="0"/>
    <n v="0"/>
    <s v="Enl Ladok 190318"/>
    <m/>
    <n v="0"/>
    <n v="0"/>
    <n v="0"/>
    <n v="0"/>
    <n v="0"/>
    <n v="0"/>
    <n v="0"/>
    <n v="0"/>
    <n v="0"/>
    <n v="0"/>
    <n v="0"/>
    <n v="0"/>
    <n v="0"/>
    <n v="0"/>
    <n v="0.625"/>
    <n v="0.53125"/>
    <n v="0"/>
    <n v="0"/>
    <n v="0"/>
    <n v="0"/>
    <n v="0"/>
    <n v="0"/>
    <n v="0"/>
  </r>
  <r>
    <x v="11"/>
    <x v="11"/>
    <m/>
    <x v="1"/>
    <s v="H17"/>
    <x v="1"/>
    <s v="V1911-20"/>
    <s v="Umeå"/>
    <m/>
    <s v="MATT"/>
    <m/>
    <n v="50"/>
    <x v="0"/>
    <m/>
    <m/>
    <n v="2"/>
    <n v="0.25"/>
    <n v="0.85"/>
    <n v="0.21249999999999999"/>
    <n v="5400"/>
    <x v="6"/>
    <s v="TekNat"/>
    <x v="1"/>
    <n v="19473"/>
    <n v="34806"/>
    <n v="12264.525"/>
    <n v="21800"/>
    <n v="5450"/>
    <n v="17714.525000000001"/>
    <n v="0"/>
    <n v="0"/>
    <n v="0"/>
    <n v="0"/>
    <n v="0"/>
    <n v="0"/>
    <n v="0"/>
    <n v="1"/>
    <n v="0"/>
    <n v="0"/>
    <n v="0"/>
    <n v="0"/>
    <s v="Enl Ladok 190515"/>
    <m/>
    <n v="0"/>
    <n v="0"/>
    <n v="0"/>
    <n v="0"/>
    <n v="0"/>
    <n v="0"/>
    <n v="0"/>
    <n v="0"/>
    <n v="0"/>
    <n v="0"/>
    <n v="0"/>
    <n v="0"/>
    <n v="0"/>
    <n v="0"/>
    <n v="0.25"/>
    <n v="0.21249999999999999"/>
    <n v="0"/>
    <n v="0"/>
    <n v="0"/>
    <n v="0"/>
    <n v="0"/>
    <n v="0"/>
    <n v="0"/>
  </r>
  <r>
    <x v="12"/>
    <x v="11"/>
    <m/>
    <x v="1"/>
    <s v="H16"/>
    <x v="1"/>
    <s v="V1911-20"/>
    <s v="Umeå"/>
    <m/>
    <s v="MATT"/>
    <m/>
    <n v="100"/>
    <x v="3"/>
    <m/>
    <m/>
    <n v="1"/>
    <n v="0.15"/>
    <n v="0.85"/>
    <n v="0.1275"/>
    <n v="5400"/>
    <x v="6"/>
    <s v="TekNat"/>
    <x v="1"/>
    <n v="19473"/>
    <n v="34806"/>
    <n v="7358.7150000000001"/>
    <n v="21800"/>
    <n v="3270"/>
    <n v="10628.715"/>
    <n v="0"/>
    <n v="0"/>
    <n v="0"/>
    <n v="0"/>
    <n v="0"/>
    <n v="0"/>
    <n v="0"/>
    <n v="1"/>
    <n v="0"/>
    <n v="0"/>
    <n v="0"/>
    <n v="0"/>
    <s v="Enl Ladok 190515"/>
    <m/>
    <n v="0"/>
    <n v="0"/>
    <n v="0"/>
    <n v="0"/>
    <n v="0"/>
    <n v="0"/>
    <n v="0"/>
    <n v="0"/>
    <n v="0"/>
    <n v="0"/>
    <n v="0"/>
    <n v="0"/>
    <n v="0"/>
    <n v="0"/>
    <n v="0.15"/>
    <n v="0.1275"/>
    <n v="0"/>
    <n v="0"/>
    <n v="0"/>
    <n v="0"/>
    <n v="0"/>
    <n v="0"/>
    <n v="0"/>
  </r>
  <r>
    <x v="13"/>
    <x v="12"/>
    <m/>
    <x v="1"/>
    <s v="H12"/>
    <x v="2"/>
    <s v="H1911-20"/>
    <m/>
    <m/>
    <s v="MATT"/>
    <m/>
    <n v="50"/>
    <x v="2"/>
    <m/>
    <m/>
    <n v="1"/>
    <n v="0.1"/>
    <n v="0.85"/>
    <n v="8.5000000000000006E-2"/>
    <n v="5400"/>
    <x v="6"/>
    <s v="TekNat"/>
    <x v="1"/>
    <n v="19473"/>
    <n v="34806"/>
    <n v="4905.8100000000004"/>
    <n v="21800"/>
    <n v="2180"/>
    <n v="7085.81"/>
    <n v="0"/>
    <n v="0"/>
    <n v="0"/>
    <n v="0"/>
    <n v="0"/>
    <n v="0"/>
    <n v="0"/>
    <n v="1"/>
    <n v="0"/>
    <n v="0"/>
    <n v="0"/>
    <n v="0"/>
    <s v="Enligt SP 190924"/>
    <m/>
    <n v="0"/>
    <n v="0"/>
    <n v="0"/>
    <n v="0"/>
    <n v="0"/>
    <n v="0"/>
    <n v="0"/>
    <n v="0"/>
    <n v="0"/>
    <n v="0"/>
    <n v="0"/>
    <n v="0"/>
    <n v="0"/>
    <n v="0"/>
    <n v="0.1"/>
    <n v="8.5000000000000006E-2"/>
    <n v="0"/>
    <n v="0"/>
    <n v="0"/>
    <n v="0"/>
    <n v="0"/>
    <n v="0"/>
    <n v="0"/>
  </r>
  <r>
    <x v="13"/>
    <x v="12"/>
    <m/>
    <x v="1"/>
    <s v="H17"/>
    <x v="2"/>
    <s v="H1911-20"/>
    <m/>
    <m/>
    <s v="MATT"/>
    <m/>
    <n v="50"/>
    <x v="2"/>
    <m/>
    <m/>
    <n v="2"/>
    <n v="0.2"/>
    <n v="0.85"/>
    <n v="0.17"/>
    <n v="5400"/>
    <x v="6"/>
    <s v="TekNat"/>
    <x v="1"/>
    <n v="19473"/>
    <n v="34806"/>
    <n v="9811.6200000000008"/>
    <n v="21800"/>
    <n v="4360"/>
    <n v="14171.62"/>
    <n v="0"/>
    <n v="0"/>
    <n v="0"/>
    <n v="0"/>
    <n v="0"/>
    <n v="0"/>
    <n v="0"/>
    <n v="1"/>
    <n v="0"/>
    <n v="0"/>
    <n v="0"/>
    <n v="0"/>
    <s v="Enligt SP 190924"/>
    <m/>
    <n v="0"/>
    <n v="0"/>
    <n v="0"/>
    <n v="0"/>
    <n v="0"/>
    <n v="0"/>
    <n v="0"/>
    <n v="0"/>
    <n v="0"/>
    <n v="0"/>
    <n v="0"/>
    <n v="0"/>
    <n v="0"/>
    <n v="0"/>
    <n v="0.2"/>
    <n v="0.17"/>
    <n v="0"/>
    <n v="0"/>
    <n v="0"/>
    <n v="0"/>
    <n v="0"/>
    <n v="0"/>
    <n v="0"/>
  </r>
  <r>
    <x v="13"/>
    <x v="12"/>
    <m/>
    <x v="1"/>
    <s v="H18"/>
    <x v="2"/>
    <s v="H1911-20"/>
    <m/>
    <m/>
    <s v="MATT"/>
    <m/>
    <n v="50"/>
    <x v="2"/>
    <m/>
    <m/>
    <n v="1"/>
    <n v="0.1"/>
    <n v="0.85"/>
    <n v="8.5000000000000006E-2"/>
    <n v="5400"/>
    <x v="6"/>
    <s v="TekNat"/>
    <x v="1"/>
    <n v="19473"/>
    <n v="34806"/>
    <n v="4905.8100000000004"/>
    <n v="21800"/>
    <n v="2180"/>
    <n v="7085.81"/>
    <n v="0"/>
    <n v="0"/>
    <n v="0"/>
    <n v="0"/>
    <n v="0"/>
    <n v="0"/>
    <n v="0"/>
    <n v="1"/>
    <n v="0"/>
    <n v="0"/>
    <n v="0"/>
    <n v="0"/>
    <s v="Enligt SP 190924"/>
    <m/>
    <n v="0"/>
    <n v="0"/>
    <n v="0"/>
    <n v="0"/>
    <n v="0"/>
    <n v="0"/>
    <n v="0"/>
    <n v="0"/>
    <n v="0"/>
    <n v="0"/>
    <n v="0"/>
    <n v="0"/>
    <n v="0"/>
    <n v="0"/>
    <n v="0.1"/>
    <n v="8.5000000000000006E-2"/>
    <n v="0"/>
    <n v="0"/>
    <n v="0"/>
    <n v="0"/>
    <n v="0"/>
    <n v="0"/>
    <n v="0"/>
  </r>
  <r>
    <x v="14"/>
    <x v="13"/>
    <m/>
    <x v="1"/>
    <s v="H13"/>
    <x v="1"/>
    <s v="V191-10"/>
    <s v="Umeå"/>
    <m/>
    <s v="MATT"/>
    <m/>
    <n v="50"/>
    <x v="2"/>
    <m/>
    <m/>
    <n v="0"/>
    <n v="0"/>
    <n v="0.85"/>
    <n v="0"/>
    <n v="5400"/>
    <x v="6"/>
    <s v="TekNat"/>
    <x v="1"/>
    <n v="19473"/>
    <n v="34806"/>
    <n v="0"/>
    <n v="21800"/>
    <n v="0"/>
    <n v="0"/>
    <n v="0"/>
    <n v="0"/>
    <n v="0"/>
    <n v="0"/>
    <n v="0"/>
    <n v="0"/>
    <n v="0"/>
    <n v="1"/>
    <n v="0"/>
    <n v="0"/>
    <n v="0"/>
    <n v="0"/>
    <s v="Enl Ladok 190318"/>
    <m/>
    <n v="0"/>
    <n v="0"/>
    <n v="0"/>
    <n v="0"/>
    <n v="0"/>
    <n v="0"/>
    <n v="0"/>
    <n v="0"/>
    <n v="0"/>
    <n v="0"/>
    <n v="0"/>
    <n v="0"/>
    <n v="0"/>
    <n v="0"/>
    <n v="0"/>
    <n v="0"/>
    <n v="0"/>
    <n v="0"/>
    <n v="0"/>
    <n v="0"/>
    <n v="0"/>
    <n v="0"/>
    <n v="0"/>
  </r>
  <r>
    <x v="14"/>
    <x v="13"/>
    <m/>
    <x v="1"/>
    <s v="H15"/>
    <x v="1"/>
    <s v="V191-10"/>
    <s v="Umeå"/>
    <m/>
    <s v="MATT"/>
    <m/>
    <n v="50"/>
    <x v="2"/>
    <m/>
    <m/>
    <n v="0"/>
    <n v="0"/>
    <n v="0.85"/>
    <n v="0"/>
    <n v="5400"/>
    <x v="6"/>
    <s v="TekNat"/>
    <x v="1"/>
    <n v="19473"/>
    <n v="34806"/>
    <n v="0"/>
    <n v="21800"/>
    <n v="0"/>
    <n v="0"/>
    <n v="0"/>
    <n v="0"/>
    <n v="0"/>
    <n v="0"/>
    <n v="0"/>
    <n v="0"/>
    <n v="0"/>
    <n v="1"/>
    <n v="0"/>
    <n v="0"/>
    <n v="0"/>
    <n v="0"/>
    <s v="Enl Ladok 190318"/>
    <m/>
    <n v="0"/>
    <n v="0"/>
    <n v="0"/>
    <n v="0"/>
    <n v="0"/>
    <n v="0"/>
    <n v="0"/>
    <n v="0"/>
    <n v="0"/>
    <n v="0"/>
    <n v="0"/>
    <n v="0"/>
    <n v="0"/>
    <n v="0"/>
    <n v="0"/>
    <n v="0"/>
    <n v="0"/>
    <n v="0"/>
    <n v="0"/>
    <n v="0"/>
    <n v="0"/>
    <n v="0"/>
    <n v="0"/>
  </r>
  <r>
    <x v="14"/>
    <x v="13"/>
    <m/>
    <x v="1"/>
    <s v="H16"/>
    <x v="1"/>
    <s v="V191-10"/>
    <s v="Umeå"/>
    <m/>
    <s v="MATT"/>
    <m/>
    <n v="50"/>
    <x v="2"/>
    <m/>
    <m/>
    <n v="1"/>
    <n v="0.1"/>
    <n v="0.85"/>
    <n v="8.5000000000000006E-2"/>
    <n v="5400"/>
    <x v="6"/>
    <s v="TekNat"/>
    <x v="1"/>
    <n v="19473"/>
    <n v="34806"/>
    <n v="4905.8100000000004"/>
    <n v="21800"/>
    <n v="2180"/>
    <n v="7085.81"/>
    <n v="0"/>
    <n v="0"/>
    <n v="0"/>
    <n v="0"/>
    <n v="0"/>
    <n v="0"/>
    <n v="0"/>
    <n v="1"/>
    <n v="0"/>
    <n v="0"/>
    <n v="0"/>
    <n v="0"/>
    <s v="Enl Ladok 190318"/>
    <m/>
    <n v="0"/>
    <n v="0"/>
    <n v="0"/>
    <n v="0"/>
    <n v="0"/>
    <n v="0"/>
    <n v="0"/>
    <n v="0"/>
    <n v="0"/>
    <n v="0"/>
    <n v="0"/>
    <n v="0"/>
    <n v="0"/>
    <n v="0"/>
    <n v="0.1"/>
    <n v="8.5000000000000006E-2"/>
    <n v="0"/>
    <n v="0"/>
    <n v="0"/>
    <n v="0"/>
    <n v="0"/>
    <n v="0"/>
    <n v="0"/>
  </r>
  <r>
    <x v="15"/>
    <x v="14"/>
    <m/>
    <x v="1"/>
    <s v="H15"/>
    <x v="1"/>
    <s v="V191-10"/>
    <s v="Umeå"/>
    <m/>
    <s v="MATT"/>
    <m/>
    <n v="50"/>
    <x v="2"/>
    <m/>
    <m/>
    <n v="0"/>
    <n v="0"/>
    <n v="0.85"/>
    <n v="0"/>
    <n v="5400"/>
    <x v="6"/>
    <s v="TekNat"/>
    <x v="1"/>
    <n v="19473"/>
    <n v="34806"/>
    <n v="0"/>
    <n v="21800"/>
    <n v="0"/>
    <n v="0"/>
    <n v="0"/>
    <n v="0"/>
    <n v="0"/>
    <n v="0"/>
    <n v="0"/>
    <n v="0.5"/>
    <n v="0"/>
    <n v="0.5"/>
    <n v="0"/>
    <n v="0"/>
    <n v="0"/>
    <n v="0"/>
    <s v="Enl Ladok 190318"/>
    <m/>
    <n v="0"/>
    <n v="0"/>
    <n v="0"/>
    <n v="0"/>
    <n v="0"/>
    <n v="0"/>
    <n v="0"/>
    <n v="0"/>
    <n v="0"/>
    <n v="0"/>
    <n v="0"/>
    <n v="0"/>
    <n v="0"/>
    <n v="0"/>
    <n v="0"/>
    <n v="0"/>
    <n v="0"/>
    <n v="0"/>
    <n v="0"/>
    <n v="0"/>
    <n v="0"/>
    <n v="0"/>
    <n v="0"/>
  </r>
  <r>
    <x v="15"/>
    <x v="14"/>
    <m/>
    <x v="1"/>
    <s v="H16"/>
    <x v="1"/>
    <s v="V191-10"/>
    <s v="Umeå"/>
    <m/>
    <s v="MATT"/>
    <m/>
    <n v="50"/>
    <x v="2"/>
    <m/>
    <m/>
    <n v="1"/>
    <n v="0.1"/>
    <n v="0.85"/>
    <n v="8.5000000000000006E-2"/>
    <n v="5400"/>
    <x v="6"/>
    <s v="TekNat"/>
    <x v="1"/>
    <n v="19473"/>
    <n v="34806"/>
    <n v="4905.8100000000004"/>
    <n v="21800"/>
    <n v="2180"/>
    <n v="7085.81"/>
    <n v="0"/>
    <n v="0"/>
    <n v="0"/>
    <n v="0"/>
    <n v="0"/>
    <n v="0.5"/>
    <n v="0"/>
    <n v="0.5"/>
    <n v="0"/>
    <n v="0"/>
    <n v="0"/>
    <n v="0"/>
    <s v="Enl Ladok 190318"/>
    <m/>
    <n v="0"/>
    <n v="0"/>
    <n v="0"/>
    <n v="0"/>
    <n v="0"/>
    <n v="0"/>
    <n v="0"/>
    <n v="0"/>
    <n v="0"/>
    <n v="0"/>
    <n v="0.05"/>
    <n v="4.2500000000000003E-2"/>
    <n v="0"/>
    <n v="0"/>
    <n v="0.05"/>
    <n v="4.2500000000000003E-2"/>
    <n v="0"/>
    <n v="0"/>
    <n v="0"/>
    <n v="0"/>
    <n v="0"/>
    <n v="0"/>
    <n v="0"/>
  </r>
  <r>
    <x v="16"/>
    <x v="15"/>
    <m/>
    <x v="1"/>
    <s v="H16"/>
    <x v="1"/>
    <s v="V191-20"/>
    <s v="Umeå"/>
    <m/>
    <s v="MATT"/>
    <m/>
    <n v="25"/>
    <x v="2"/>
    <m/>
    <m/>
    <n v="0"/>
    <n v="0"/>
    <n v="0.85"/>
    <n v="0"/>
    <n v="5400"/>
    <x v="6"/>
    <s v="TekNat"/>
    <x v="1"/>
    <n v="19473"/>
    <n v="34806"/>
    <n v="0"/>
    <n v="21800"/>
    <n v="0"/>
    <n v="0"/>
    <n v="0"/>
    <n v="0"/>
    <n v="0"/>
    <n v="0"/>
    <n v="0"/>
    <n v="0.5"/>
    <n v="0"/>
    <n v="0.5"/>
    <n v="0"/>
    <n v="0"/>
    <n v="0"/>
    <n v="0"/>
    <s v="Enl Ladok 190318"/>
    <m/>
    <n v="0"/>
    <n v="0"/>
    <n v="0"/>
    <n v="0"/>
    <n v="0"/>
    <n v="0"/>
    <n v="0"/>
    <n v="0"/>
    <n v="0"/>
    <n v="0"/>
    <n v="0"/>
    <n v="0"/>
    <n v="0"/>
    <n v="0"/>
    <n v="0"/>
    <n v="0"/>
    <n v="0"/>
    <n v="0"/>
    <n v="0"/>
    <n v="0"/>
    <n v="0"/>
    <n v="0"/>
    <n v="0"/>
  </r>
  <r>
    <x v="17"/>
    <x v="16"/>
    <m/>
    <x v="1"/>
    <s v="H12"/>
    <x v="2"/>
    <s v="H1911-20"/>
    <m/>
    <m/>
    <s v="MATT"/>
    <m/>
    <n v="10"/>
    <x v="4"/>
    <m/>
    <m/>
    <n v="1"/>
    <n v="2.5000000000000001E-2"/>
    <n v="0.85"/>
    <n v="2.1250000000000002E-2"/>
    <n v="5400"/>
    <x v="6"/>
    <s v="TekNat"/>
    <x v="1"/>
    <n v="19473"/>
    <n v="34806"/>
    <n v="1226.4525000000001"/>
    <n v="21800"/>
    <n v="545"/>
    <n v="1771.4525000000001"/>
    <n v="0"/>
    <n v="0"/>
    <n v="0"/>
    <n v="0"/>
    <n v="0"/>
    <n v="0.5"/>
    <n v="0"/>
    <n v="0.5"/>
    <n v="0"/>
    <n v="0"/>
    <n v="0"/>
    <n v="0"/>
    <s v="Enligt SP 190924"/>
    <m/>
    <n v="0"/>
    <n v="0"/>
    <n v="0"/>
    <n v="0"/>
    <n v="0"/>
    <n v="0"/>
    <n v="0"/>
    <n v="0"/>
    <n v="0"/>
    <n v="0"/>
    <n v="1.2500000000000001E-2"/>
    <n v="1.0625000000000001E-2"/>
    <n v="0"/>
    <n v="0"/>
    <n v="1.2500000000000001E-2"/>
    <n v="1.0625000000000001E-2"/>
    <n v="0"/>
    <n v="0"/>
    <n v="0"/>
    <n v="0"/>
    <n v="0"/>
    <n v="0"/>
    <n v="0"/>
  </r>
  <r>
    <x v="17"/>
    <x v="16"/>
    <m/>
    <x v="1"/>
    <s v="H17"/>
    <x v="2"/>
    <s v="H1911-20"/>
    <m/>
    <m/>
    <s v="MATT"/>
    <m/>
    <n v="10"/>
    <x v="4"/>
    <m/>
    <m/>
    <n v="2"/>
    <n v="0.05"/>
    <n v="0.85"/>
    <n v="4.2500000000000003E-2"/>
    <n v="5400"/>
    <x v="6"/>
    <s v="TekNat"/>
    <x v="1"/>
    <n v="19473"/>
    <n v="34806"/>
    <n v="2452.9050000000002"/>
    <n v="21800"/>
    <n v="1090"/>
    <n v="3542.9050000000002"/>
    <n v="0"/>
    <n v="0"/>
    <n v="0"/>
    <n v="0"/>
    <n v="0"/>
    <n v="0.5"/>
    <n v="0"/>
    <n v="0.5"/>
    <n v="0"/>
    <n v="0"/>
    <n v="0"/>
    <n v="0"/>
    <s v="Enligt SP 190924"/>
    <m/>
    <n v="0"/>
    <n v="0"/>
    <n v="0"/>
    <n v="0"/>
    <n v="0"/>
    <n v="0"/>
    <n v="0"/>
    <n v="0"/>
    <n v="0"/>
    <n v="0"/>
    <n v="2.5000000000000001E-2"/>
    <n v="2.1250000000000002E-2"/>
    <n v="0"/>
    <n v="0"/>
    <n v="2.5000000000000001E-2"/>
    <n v="2.1250000000000002E-2"/>
    <n v="0"/>
    <n v="0"/>
    <n v="0"/>
    <n v="0"/>
    <n v="0"/>
    <n v="0"/>
    <n v="0"/>
  </r>
  <r>
    <x v="18"/>
    <x v="17"/>
    <m/>
    <x v="1"/>
    <s v="H15"/>
    <x v="1"/>
    <s v="V1911-20"/>
    <s v="Umeå"/>
    <m/>
    <s v="MATT"/>
    <m/>
    <n v="50"/>
    <x v="0"/>
    <m/>
    <m/>
    <n v="2"/>
    <n v="0.25"/>
    <n v="0.85"/>
    <n v="0.21249999999999999"/>
    <n v="5400"/>
    <x v="6"/>
    <s v="TekNat"/>
    <x v="1"/>
    <n v="19473"/>
    <n v="34806"/>
    <n v="12264.525"/>
    <n v="21800"/>
    <n v="5450"/>
    <n v="17714.525000000001"/>
    <n v="0"/>
    <n v="0"/>
    <n v="0"/>
    <n v="0"/>
    <n v="0"/>
    <n v="0.5"/>
    <n v="0"/>
    <n v="0.5"/>
    <n v="0"/>
    <n v="0"/>
    <n v="0"/>
    <n v="0"/>
    <s v="Enl Ladok 190515"/>
    <m/>
    <n v="0"/>
    <n v="0"/>
    <n v="0"/>
    <n v="0"/>
    <n v="0"/>
    <n v="0"/>
    <n v="0"/>
    <n v="0"/>
    <n v="0"/>
    <n v="0"/>
    <n v="0.125"/>
    <n v="0.10625"/>
    <n v="0"/>
    <n v="0"/>
    <n v="0.125"/>
    <n v="0.10625"/>
    <n v="0"/>
    <n v="0"/>
    <n v="0"/>
    <n v="0"/>
    <n v="0"/>
    <n v="0"/>
    <n v="0"/>
  </r>
  <r>
    <x v="19"/>
    <x v="18"/>
    <m/>
    <x v="1"/>
    <s v="H15"/>
    <x v="1"/>
    <s v="V1911-20"/>
    <s v="Umeå"/>
    <m/>
    <s v="MATT"/>
    <m/>
    <n v="50"/>
    <x v="0"/>
    <m/>
    <m/>
    <n v="2"/>
    <n v="0.25"/>
    <n v="0.85"/>
    <n v="0.21249999999999999"/>
    <n v="5400"/>
    <x v="6"/>
    <s v="TekNat"/>
    <x v="1"/>
    <n v="19473"/>
    <n v="34806"/>
    <n v="12264.525"/>
    <n v="21800"/>
    <n v="5450"/>
    <n v="17714.525000000001"/>
    <n v="0"/>
    <n v="0"/>
    <n v="0"/>
    <n v="0"/>
    <n v="0"/>
    <n v="0.5"/>
    <n v="0"/>
    <n v="0.5"/>
    <n v="0"/>
    <n v="0"/>
    <n v="0"/>
    <n v="0"/>
    <s v="Enl Ladok 190515"/>
    <m/>
    <n v="0"/>
    <n v="0"/>
    <n v="0"/>
    <n v="0"/>
    <n v="0"/>
    <n v="0"/>
    <n v="0"/>
    <n v="0"/>
    <n v="0"/>
    <n v="0"/>
    <n v="0.125"/>
    <n v="0.10625"/>
    <n v="0"/>
    <n v="0"/>
    <n v="0.125"/>
    <n v="0.10625"/>
    <n v="0"/>
    <n v="0"/>
    <n v="0"/>
    <n v="0"/>
    <n v="0"/>
    <n v="0"/>
    <n v="0"/>
  </r>
  <r>
    <x v="20"/>
    <x v="19"/>
    <m/>
    <x v="1"/>
    <m/>
    <x v="1"/>
    <m/>
    <s v="Umeå"/>
    <m/>
    <s v="MATT"/>
    <m/>
    <n v="100"/>
    <x v="5"/>
    <m/>
    <m/>
    <n v="1"/>
    <n v="7.4999999999999997E-2"/>
    <n v="0.85"/>
    <n v="6.3750000000000001E-2"/>
    <n v="5400"/>
    <x v="6"/>
    <s v="TekNat"/>
    <x v="1"/>
    <n v="19473"/>
    <n v="34806"/>
    <n v="3679.3575000000001"/>
    <n v="21800"/>
    <n v="1635"/>
    <n v="5314.3575000000001"/>
    <n v="0"/>
    <n v="0"/>
    <n v="0"/>
    <n v="0"/>
    <n v="0"/>
    <n v="0.5"/>
    <n v="0"/>
    <n v="0.5"/>
    <n v="0"/>
    <n v="0"/>
    <n v="0"/>
    <n v="0"/>
    <s v="Enl Ladok 190318"/>
    <m/>
    <n v="0"/>
    <n v="0"/>
    <n v="0"/>
    <n v="0"/>
    <n v="0"/>
    <n v="0"/>
    <n v="0"/>
    <n v="0"/>
    <n v="0"/>
    <n v="0"/>
    <n v="3.7499999999999999E-2"/>
    <n v="3.1875000000000001E-2"/>
    <n v="0"/>
    <n v="0"/>
    <n v="3.7499999999999999E-2"/>
    <n v="3.1875000000000001E-2"/>
    <n v="0"/>
    <n v="0"/>
    <n v="0"/>
    <n v="0"/>
    <n v="0"/>
    <n v="0"/>
    <n v="0"/>
  </r>
  <r>
    <x v="21"/>
    <x v="20"/>
    <m/>
    <x v="1"/>
    <s v="H16"/>
    <x v="2"/>
    <s v="H1911-20"/>
    <m/>
    <m/>
    <s v="IDMA"/>
    <m/>
    <n v="100"/>
    <x v="1"/>
    <m/>
    <m/>
    <n v="1"/>
    <n v="0.25"/>
    <n v="0.85"/>
    <n v="0.21249999999999999"/>
    <n v="5500"/>
    <x v="7"/>
    <s v="TekNat"/>
    <x v="1"/>
    <n v="19473"/>
    <n v="34806"/>
    <n v="12264.525"/>
    <n v="21800"/>
    <n v="5450"/>
    <n v="17714.525000000001"/>
    <n v="0"/>
    <n v="0"/>
    <n v="0"/>
    <n v="0"/>
    <n v="0"/>
    <n v="0"/>
    <n v="0"/>
    <n v="1"/>
    <n v="0"/>
    <n v="0"/>
    <n v="0"/>
    <n v="0"/>
    <s v="Enligt SP 190924"/>
    <m/>
    <n v="0"/>
    <n v="0"/>
    <n v="0"/>
    <n v="0"/>
    <n v="0"/>
    <n v="0"/>
    <n v="0"/>
    <n v="0"/>
    <n v="0"/>
    <n v="0"/>
    <n v="0"/>
    <n v="0"/>
    <n v="0"/>
    <n v="0"/>
    <n v="0.25"/>
    <n v="0.21249999999999999"/>
    <n v="0"/>
    <n v="0"/>
    <n v="0"/>
    <n v="0"/>
    <n v="0"/>
    <n v="0"/>
    <n v="0"/>
  </r>
  <r>
    <x v="22"/>
    <x v="21"/>
    <m/>
    <x v="1"/>
    <s v="H15"/>
    <x v="1"/>
    <s v="V191-10"/>
    <s v="Umeå"/>
    <m/>
    <s v="IDRH"/>
    <m/>
    <n v="100"/>
    <x v="1"/>
    <m/>
    <m/>
    <n v="0"/>
    <n v="0"/>
    <n v="0.85"/>
    <n v="0"/>
    <n v="5500"/>
    <x v="7"/>
    <s v="TekNat"/>
    <x v="1"/>
    <n v="19473"/>
    <n v="34806"/>
    <n v="0"/>
    <n v="21800"/>
    <n v="0"/>
    <n v="0"/>
    <n v="0"/>
    <n v="0"/>
    <n v="0"/>
    <n v="0"/>
    <n v="0"/>
    <n v="0"/>
    <n v="0"/>
    <n v="1"/>
    <n v="0"/>
    <n v="0"/>
    <n v="0"/>
    <n v="0"/>
    <s v="Enl Ladok 190318"/>
    <m/>
    <n v="0"/>
    <n v="0"/>
    <n v="0"/>
    <n v="0"/>
    <n v="0"/>
    <n v="0"/>
    <n v="0"/>
    <n v="0"/>
    <n v="0"/>
    <n v="0"/>
    <n v="0"/>
    <n v="0"/>
    <n v="0"/>
    <n v="0"/>
    <n v="0"/>
    <n v="0"/>
    <n v="0"/>
    <n v="0"/>
    <n v="0"/>
    <n v="0"/>
    <n v="0"/>
    <n v="0"/>
    <n v="0"/>
  </r>
  <r>
    <x v="22"/>
    <x v="21"/>
    <m/>
    <x v="1"/>
    <s v="H18"/>
    <x v="1"/>
    <s v="V1911-20"/>
    <s v="Umeå"/>
    <m/>
    <s v="BIOL"/>
    <m/>
    <n v="100"/>
    <x v="1"/>
    <m/>
    <m/>
    <n v="2"/>
    <n v="0.5"/>
    <n v="0.85"/>
    <n v="0.42499999999999999"/>
    <n v="5500"/>
    <x v="7"/>
    <s v="TekNat"/>
    <x v="1"/>
    <n v="19473"/>
    <n v="34806"/>
    <n v="24529.05"/>
    <n v="21800"/>
    <n v="10900"/>
    <n v="35429.050000000003"/>
    <n v="0"/>
    <n v="0"/>
    <n v="0"/>
    <n v="0"/>
    <n v="0"/>
    <n v="0"/>
    <n v="0"/>
    <n v="1"/>
    <n v="0"/>
    <n v="0"/>
    <n v="0"/>
    <n v="0"/>
    <s v="Enl Ladok 190318"/>
    <m/>
    <n v="0"/>
    <n v="0"/>
    <n v="0"/>
    <n v="0"/>
    <n v="0"/>
    <n v="0"/>
    <n v="0"/>
    <n v="0"/>
    <n v="0"/>
    <n v="0"/>
    <n v="0"/>
    <n v="0"/>
    <n v="0"/>
    <n v="0"/>
    <n v="0.5"/>
    <n v="0.42499999999999999"/>
    <n v="0"/>
    <n v="0"/>
    <n v="0"/>
    <n v="0"/>
    <n v="0"/>
    <n v="0"/>
    <n v="0"/>
  </r>
  <r>
    <x v="23"/>
    <x v="22"/>
    <m/>
    <x v="1"/>
    <s v="H16"/>
    <x v="1"/>
    <s v="V1911-20"/>
    <s v="Umeå"/>
    <m/>
    <s v="IDMA"/>
    <m/>
    <n v="100"/>
    <x v="1"/>
    <m/>
    <m/>
    <n v="1"/>
    <n v="0.25"/>
    <n v="0.85"/>
    <n v="0.21249999999999999"/>
    <n v="5500"/>
    <x v="7"/>
    <s v="TekNat"/>
    <x v="1"/>
    <n v="19473"/>
    <n v="34806"/>
    <n v="12264.525"/>
    <n v="21800"/>
    <n v="5450"/>
    <n v="17714.525000000001"/>
    <n v="0"/>
    <n v="0"/>
    <n v="0"/>
    <n v="0"/>
    <n v="0"/>
    <n v="0"/>
    <n v="0"/>
    <n v="1"/>
    <n v="0"/>
    <n v="0"/>
    <n v="0"/>
    <n v="0"/>
    <s v="Enl Ladok 190515"/>
    <m/>
    <n v="0"/>
    <n v="0"/>
    <n v="0"/>
    <n v="0"/>
    <n v="0"/>
    <n v="0"/>
    <n v="0"/>
    <n v="0"/>
    <n v="0"/>
    <n v="0"/>
    <n v="0"/>
    <n v="0"/>
    <n v="0"/>
    <n v="0"/>
    <n v="0.25"/>
    <n v="0.21249999999999999"/>
    <n v="0"/>
    <n v="0"/>
    <n v="0"/>
    <n v="0"/>
    <n v="0"/>
    <n v="0"/>
    <n v="0"/>
  </r>
  <r>
    <x v="23"/>
    <x v="22"/>
    <m/>
    <x v="1"/>
    <s v="H18"/>
    <x v="1"/>
    <s v="V1911-20"/>
    <s v="Umeå"/>
    <m/>
    <s v="BIOL"/>
    <m/>
    <n v="100"/>
    <x v="1"/>
    <m/>
    <m/>
    <n v="1"/>
    <n v="0.25"/>
    <n v="0.85"/>
    <n v="0.21249999999999999"/>
    <n v="5500"/>
    <x v="7"/>
    <s v="TekNat"/>
    <x v="1"/>
    <n v="19473"/>
    <n v="34806"/>
    <n v="12264.525"/>
    <n v="21800"/>
    <n v="5450"/>
    <n v="17714.525000000001"/>
    <n v="0"/>
    <n v="0"/>
    <n v="0"/>
    <n v="0"/>
    <n v="0"/>
    <n v="0"/>
    <n v="0"/>
    <n v="1"/>
    <n v="0"/>
    <n v="0"/>
    <n v="0"/>
    <n v="0"/>
    <s v="Enl Ladok 190515"/>
    <m/>
    <n v="0"/>
    <n v="0"/>
    <n v="0"/>
    <n v="0"/>
    <n v="0"/>
    <n v="0"/>
    <n v="0"/>
    <n v="0"/>
    <n v="0"/>
    <n v="0"/>
    <n v="0"/>
    <n v="0"/>
    <n v="0"/>
    <n v="0"/>
    <n v="0.25"/>
    <n v="0.21249999999999999"/>
    <n v="0"/>
    <n v="0"/>
    <n v="0"/>
    <n v="0"/>
    <n v="0"/>
    <n v="0"/>
    <n v="0"/>
  </r>
  <r>
    <x v="24"/>
    <x v="23"/>
    <m/>
    <x v="1"/>
    <s v="H16"/>
    <x v="2"/>
    <s v="H191-5"/>
    <m/>
    <m/>
    <s v="IDMA"/>
    <m/>
    <n v="100"/>
    <x v="0"/>
    <m/>
    <m/>
    <n v="1"/>
    <n v="0.125"/>
    <n v="0.85"/>
    <n v="0.10625"/>
    <n v="5500"/>
    <x v="7"/>
    <s v="TekNat"/>
    <x v="1"/>
    <n v="19473"/>
    <n v="34806"/>
    <n v="6132.2624999999998"/>
    <n v="21800"/>
    <n v="2725"/>
    <n v="8857.2625000000007"/>
    <n v="0"/>
    <n v="0"/>
    <n v="0"/>
    <n v="0"/>
    <n v="0"/>
    <n v="1"/>
    <n v="0"/>
    <n v="0"/>
    <n v="0"/>
    <n v="0"/>
    <n v="0"/>
    <n v="0"/>
    <s v="Enligt SP 190924"/>
    <m/>
    <n v="0"/>
    <n v="0"/>
    <n v="0"/>
    <n v="0"/>
    <n v="0"/>
    <n v="0"/>
    <n v="0"/>
    <n v="0"/>
    <n v="0"/>
    <n v="0"/>
    <n v="0.125"/>
    <n v="0.10625"/>
    <n v="0"/>
    <n v="0"/>
    <n v="0"/>
    <n v="0"/>
    <n v="0"/>
    <n v="0"/>
    <n v="0"/>
    <n v="0"/>
    <n v="0"/>
    <n v="0"/>
    <n v="0"/>
  </r>
  <r>
    <x v="25"/>
    <x v="24"/>
    <m/>
    <x v="1"/>
    <s v="H16"/>
    <x v="2"/>
    <s v="H196-10"/>
    <m/>
    <m/>
    <s v="IDMA"/>
    <m/>
    <n v="100"/>
    <x v="0"/>
    <m/>
    <m/>
    <n v="1"/>
    <n v="0.125"/>
    <n v="0.85"/>
    <n v="0.10625"/>
    <n v="5500"/>
    <x v="7"/>
    <s v="TekNat"/>
    <x v="1"/>
    <n v="19473"/>
    <n v="34806"/>
    <n v="6132.2624999999998"/>
    <n v="21800"/>
    <n v="2725"/>
    <n v="8857.2625000000007"/>
    <n v="0"/>
    <n v="0"/>
    <n v="0"/>
    <n v="0"/>
    <n v="0"/>
    <n v="1"/>
    <n v="0"/>
    <n v="0"/>
    <n v="0"/>
    <n v="0"/>
    <n v="0"/>
    <n v="0"/>
    <s v="Enligt SP 190924"/>
    <m/>
    <n v="0"/>
    <n v="0"/>
    <n v="0"/>
    <n v="0"/>
    <n v="0"/>
    <n v="0"/>
    <n v="0"/>
    <n v="0"/>
    <n v="0"/>
    <n v="0"/>
    <n v="0.125"/>
    <n v="0.10625"/>
    <n v="0"/>
    <n v="0"/>
    <n v="0"/>
    <n v="0"/>
    <n v="0"/>
    <n v="0"/>
    <n v="0"/>
    <n v="0"/>
    <n v="0"/>
    <n v="0"/>
    <n v="0"/>
  </r>
  <r>
    <x v="26"/>
    <x v="25"/>
    <m/>
    <x v="1"/>
    <s v="H13"/>
    <x v="2"/>
    <s v="H191-10"/>
    <m/>
    <m/>
    <s v="IDRH"/>
    <m/>
    <n v="100"/>
    <x v="1"/>
    <m/>
    <m/>
    <n v="1"/>
    <n v="0.25"/>
    <n v="0.85"/>
    <n v="0.21249999999999999"/>
    <n v="5500"/>
    <x v="7"/>
    <s v="TekNat"/>
    <x v="1"/>
    <n v="19473"/>
    <n v="34806"/>
    <n v="12264.525"/>
    <n v="21800"/>
    <n v="5450"/>
    <n v="17714.525000000001"/>
    <n v="0"/>
    <n v="0"/>
    <n v="0"/>
    <n v="0"/>
    <n v="0"/>
    <n v="1"/>
    <n v="0"/>
    <n v="0"/>
    <n v="0"/>
    <n v="0"/>
    <n v="0"/>
    <n v="0"/>
    <s v="Enligt SP 190924"/>
    <m/>
    <n v="0"/>
    <n v="0"/>
    <n v="0"/>
    <n v="0"/>
    <n v="0"/>
    <n v="0"/>
    <n v="0"/>
    <n v="0"/>
    <n v="0"/>
    <n v="0"/>
    <n v="0.25"/>
    <n v="0.21249999999999999"/>
    <n v="0"/>
    <n v="0"/>
    <n v="0"/>
    <n v="0"/>
    <n v="0"/>
    <n v="0"/>
    <n v="0"/>
    <n v="0"/>
    <n v="0"/>
    <n v="0"/>
    <n v="0"/>
  </r>
  <r>
    <x v="26"/>
    <x v="25"/>
    <m/>
    <x v="1"/>
    <s v="H13"/>
    <x v="2"/>
    <s v="H191-10"/>
    <m/>
    <m/>
    <s v="SVAA"/>
    <m/>
    <n v="100"/>
    <x v="1"/>
    <m/>
    <m/>
    <n v="1"/>
    <n v="0.25"/>
    <n v="0.85"/>
    <n v="0.21249999999999999"/>
    <n v="5500"/>
    <x v="7"/>
    <s v="TekNat"/>
    <x v="1"/>
    <n v="19473"/>
    <n v="34806"/>
    <n v="12264.525"/>
    <n v="21800"/>
    <n v="5450"/>
    <n v="17714.525000000001"/>
    <n v="0"/>
    <n v="0"/>
    <n v="0"/>
    <n v="0"/>
    <n v="0"/>
    <n v="1"/>
    <n v="0"/>
    <n v="0"/>
    <n v="0"/>
    <n v="0"/>
    <n v="0"/>
    <n v="0"/>
    <s v="Enligt SP 190924"/>
    <m/>
    <n v="0"/>
    <n v="0"/>
    <n v="0"/>
    <n v="0"/>
    <n v="0"/>
    <n v="0"/>
    <n v="0"/>
    <n v="0"/>
    <n v="0"/>
    <n v="0"/>
    <n v="0.25"/>
    <n v="0.21249999999999999"/>
    <n v="0"/>
    <n v="0"/>
    <n v="0"/>
    <n v="0"/>
    <n v="0"/>
    <n v="0"/>
    <n v="0"/>
    <n v="0"/>
    <n v="0"/>
    <n v="0"/>
    <n v="0"/>
  </r>
  <r>
    <x v="26"/>
    <x v="25"/>
    <m/>
    <x v="1"/>
    <s v="H14"/>
    <x v="2"/>
    <s v="H191-10"/>
    <m/>
    <m/>
    <s v="ENGS"/>
    <m/>
    <n v="100"/>
    <x v="1"/>
    <m/>
    <m/>
    <n v="1"/>
    <n v="0.25"/>
    <n v="0.85"/>
    <n v="0.21249999999999999"/>
    <n v="5500"/>
    <x v="7"/>
    <s v="TekNat"/>
    <x v="1"/>
    <n v="19473"/>
    <n v="34806"/>
    <n v="12264.525"/>
    <n v="21800"/>
    <n v="5450"/>
    <n v="17714.525000000001"/>
    <n v="0"/>
    <n v="0"/>
    <n v="0"/>
    <n v="0"/>
    <n v="0"/>
    <n v="1"/>
    <n v="0"/>
    <n v="0"/>
    <n v="0"/>
    <n v="0"/>
    <n v="0"/>
    <n v="0"/>
    <s v="Enligt SP 190924"/>
    <m/>
    <n v="0"/>
    <n v="0"/>
    <n v="0"/>
    <n v="0"/>
    <n v="0"/>
    <n v="0"/>
    <n v="0"/>
    <n v="0"/>
    <n v="0"/>
    <n v="0"/>
    <n v="0.25"/>
    <n v="0.21249999999999999"/>
    <n v="0"/>
    <n v="0"/>
    <n v="0"/>
    <n v="0"/>
    <n v="0"/>
    <n v="0"/>
    <n v="0"/>
    <n v="0"/>
    <n v="0"/>
    <n v="0"/>
    <n v="0"/>
  </r>
  <r>
    <x v="26"/>
    <x v="25"/>
    <m/>
    <x v="1"/>
    <s v="H16"/>
    <x v="2"/>
    <s v="H191-10"/>
    <m/>
    <m/>
    <s v="NATU"/>
    <m/>
    <n v="100"/>
    <x v="1"/>
    <m/>
    <m/>
    <n v="1"/>
    <n v="0.25"/>
    <n v="0.85"/>
    <n v="0.21249999999999999"/>
    <n v="5500"/>
    <x v="7"/>
    <s v="TekNat"/>
    <x v="1"/>
    <n v="19473"/>
    <n v="34806"/>
    <n v="12264.525"/>
    <n v="21800"/>
    <n v="5450"/>
    <n v="17714.525000000001"/>
    <n v="0"/>
    <n v="0"/>
    <n v="0"/>
    <n v="0"/>
    <n v="0"/>
    <n v="1"/>
    <n v="0"/>
    <n v="0"/>
    <n v="0"/>
    <n v="0"/>
    <n v="0"/>
    <n v="0"/>
    <s v="Enligt SP 190924"/>
    <m/>
    <n v="0"/>
    <n v="0"/>
    <n v="0"/>
    <n v="0"/>
    <n v="0"/>
    <n v="0"/>
    <n v="0"/>
    <n v="0"/>
    <n v="0"/>
    <n v="0"/>
    <n v="0.25"/>
    <n v="0.21249999999999999"/>
    <n v="0"/>
    <n v="0"/>
    <n v="0"/>
    <n v="0"/>
    <n v="0"/>
    <n v="0"/>
    <n v="0"/>
    <n v="0"/>
    <n v="0"/>
    <n v="0"/>
    <n v="0"/>
  </r>
  <r>
    <x v="27"/>
    <x v="26"/>
    <m/>
    <x v="1"/>
    <s v="H16"/>
    <x v="1"/>
    <s v="V191-10"/>
    <s v="Umeå"/>
    <m/>
    <s v="BILÄ"/>
    <m/>
    <n v="100"/>
    <x v="1"/>
    <m/>
    <m/>
    <n v="1"/>
    <n v="0.25"/>
    <n v="0.85"/>
    <n v="0.21249999999999999"/>
    <n v="5500"/>
    <x v="7"/>
    <s v="TekNat"/>
    <x v="1"/>
    <n v="19473"/>
    <n v="34806"/>
    <n v="12264.525"/>
    <n v="21800"/>
    <n v="5450"/>
    <n v="17714.525000000001"/>
    <n v="0"/>
    <n v="0"/>
    <n v="0"/>
    <n v="0"/>
    <n v="0"/>
    <n v="0.5"/>
    <n v="0"/>
    <n v="0.5"/>
    <n v="0"/>
    <n v="0"/>
    <n v="0"/>
    <n v="0"/>
    <s v="Enl Ladok 190318"/>
    <m/>
    <n v="0"/>
    <n v="0"/>
    <n v="0"/>
    <n v="0"/>
    <n v="0"/>
    <n v="0"/>
    <n v="0"/>
    <n v="0"/>
    <n v="0"/>
    <n v="0"/>
    <n v="0.125"/>
    <n v="0.10625"/>
    <n v="0"/>
    <n v="0"/>
    <n v="0.125"/>
    <n v="0.10625"/>
    <n v="0"/>
    <n v="0"/>
    <n v="0"/>
    <n v="0"/>
    <n v="0"/>
    <n v="0"/>
    <n v="0"/>
  </r>
  <r>
    <x v="27"/>
    <x v="26"/>
    <m/>
    <x v="1"/>
    <s v="H16"/>
    <x v="1"/>
    <s v="V191-10"/>
    <s v="Umeå"/>
    <m/>
    <s v="IDMA"/>
    <m/>
    <n v="100"/>
    <x v="1"/>
    <m/>
    <m/>
    <n v="1"/>
    <n v="0.25"/>
    <n v="0.85"/>
    <n v="0.21249999999999999"/>
    <n v="5500"/>
    <x v="7"/>
    <s v="TekNat"/>
    <x v="1"/>
    <n v="19473"/>
    <n v="34806"/>
    <n v="12264.525"/>
    <n v="21800"/>
    <n v="5450"/>
    <n v="17714.525000000001"/>
    <n v="0"/>
    <n v="0"/>
    <n v="0"/>
    <n v="0"/>
    <n v="0"/>
    <n v="0.5"/>
    <n v="0"/>
    <n v="0.5"/>
    <n v="0"/>
    <n v="0"/>
    <n v="0"/>
    <n v="0"/>
    <s v="Enl Ladok 190318"/>
    <m/>
    <n v="0"/>
    <n v="0"/>
    <n v="0"/>
    <n v="0"/>
    <n v="0"/>
    <n v="0"/>
    <n v="0"/>
    <n v="0"/>
    <n v="0"/>
    <n v="0"/>
    <n v="0.125"/>
    <n v="0.10625"/>
    <n v="0"/>
    <n v="0"/>
    <n v="0.125"/>
    <n v="0.10625"/>
    <n v="0"/>
    <n v="0"/>
    <n v="0"/>
    <n v="0"/>
    <n v="0"/>
    <n v="0"/>
    <n v="0"/>
  </r>
  <r>
    <x v="27"/>
    <x v="26"/>
    <m/>
    <x v="1"/>
    <s v="H17"/>
    <x v="1"/>
    <s v="V191-10"/>
    <s v="Umeå"/>
    <m/>
    <s v="MATT"/>
    <m/>
    <n v="100"/>
    <x v="1"/>
    <m/>
    <m/>
    <n v="2"/>
    <n v="0.5"/>
    <n v="0.85"/>
    <n v="0.42499999999999999"/>
    <n v="5500"/>
    <x v="7"/>
    <s v="TekNat"/>
    <x v="1"/>
    <n v="19473"/>
    <n v="34806"/>
    <n v="24529.05"/>
    <n v="21800"/>
    <n v="10900"/>
    <n v="35429.050000000003"/>
    <n v="0"/>
    <n v="0"/>
    <n v="0"/>
    <n v="0"/>
    <n v="0"/>
    <n v="0.5"/>
    <n v="0"/>
    <n v="0.5"/>
    <n v="0"/>
    <n v="0"/>
    <n v="0"/>
    <n v="0"/>
    <s v="Enl Ladok 190318"/>
    <m/>
    <n v="0"/>
    <n v="0"/>
    <n v="0"/>
    <n v="0"/>
    <n v="0"/>
    <n v="0"/>
    <n v="0"/>
    <n v="0"/>
    <n v="0"/>
    <n v="0"/>
    <n v="0.25"/>
    <n v="0.21249999999999999"/>
    <n v="0"/>
    <n v="0"/>
    <n v="0.25"/>
    <n v="0.21249999999999999"/>
    <n v="0"/>
    <n v="0"/>
    <n v="0"/>
    <n v="0"/>
    <n v="0"/>
    <n v="0"/>
    <n v="0"/>
  </r>
  <r>
    <x v="27"/>
    <x v="26"/>
    <m/>
    <x v="1"/>
    <s v="H18"/>
    <x v="1"/>
    <s v="V191-10"/>
    <s v="Umeå"/>
    <m/>
    <s v="BIOL"/>
    <m/>
    <n v="100"/>
    <x v="1"/>
    <m/>
    <m/>
    <n v="1"/>
    <n v="0.25"/>
    <n v="0.85"/>
    <n v="0.21249999999999999"/>
    <n v="5500"/>
    <x v="7"/>
    <s v="TekNat"/>
    <x v="1"/>
    <n v="19473"/>
    <n v="34806"/>
    <n v="12264.525"/>
    <n v="21800"/>
    <n v="5450"/>
    <n v="17714.525000000001"/>
    <n v="0"/>
    <n v="0"/>
    <n v="0"/>
    <n v="0"/>
    <n v="0"/>
    <n v="0.5"/>
    <n v="0"/>
    <n v="0.5"/>
    <n v="0"/>
    <n v="0"/>
    <n v="0"/>
    <n v="0"/>
    <s v="Enl Ladok 190318"/>
    <m/>
    <n v="0"/>
    <n v="0"/>
    <n v="0"/>
    <n v="0"/>
    <n v="0"/>
    <n v="0"/>
    <n v="0"/>
    <n v="0"/>
    <n v="0"/>
    <n v="0"/>
    <n v="0.125"/>
    <n v="0.10625"/>
    <n v="0"/>
    <n v="0"/>
    <n v="0.125"/>
    <n v="0.10625"/>
    <n v="0"/>
    <n v="0"/>
    <n v="0"/>
    <n v="0"/>
    <n v="0"/>
    <n v="0"/>
    <n v="0"/>
  </r>
  <r>
    <x v="28"/>
    <x v="27"/>
    <m/>
    <x v="1"/>
    <s v="H17"/>
    <x v="1"/>
    <s v="V1911-20"/>
    <s v="Umeå"/>
    <m/>
    <s v="BIOL"/>
    <m/>
    <n v="100"/>
    <x v="1"/>
    <m/>
    <m/>
    <n v="1"/>
    <n v="0.25"/>
    <n v="0.85"/>
    <n v="0.21249999999999999"/>
    <n v="5500"/>
    <x v="7"/>
    <s v="TekNat"/>
    <x v="1"/>
    <n v="19473"/>
    <n v="34806"/>
    <n v="12264.525"/>
    <n v="21800"/>
    <n v="5450"/>
    <n v="17714.525000000001"/>
    <n v="0"/>
    <n v="0"/>
    <n v="0"/>
    <n v="0"/>
    <n v="0"/>
    <n v="0.5"/>
    <n v="0"/>
    <n v="0.5"/>
    <n v="0"/>
    <n v="0"/>
    <n v="0"/>
    <n v="0"/>
    <s v="Enl Ladok 190515"/>
    <m/>
    <n v="0"/>
    <n v="0"/>
    <n v="0"/>
    <n v="0"/>
    <n v="0"/>
    <n v="0"/>
    <n v="0"/>
    <n v="0"/>
    <n v="0"/>
    <n v="0"/>
    <n v="0.125"/>
    <n v="0.10625"/>
    <n v="0"/>
    <n v="0"/>
    <n v="0.125"/>
    <n v="0.10625"/>
    <n v="0"/>
    <n v="0"/>
    <n v="0"/>
    <n v="0"/>
    <n v="0"/>
    <n v="0"/>
    <n v="0"/>
  </r>
  <r>
    <x v="29"/>
    <x v="28"/>
    <m/>
    <x v="1"/>
    <m/>
    <x v="1"/>
    <m/>
    <s v="Umeå"/>
    <m/>
    <s v="BIOL"/>
    <m/>
    <n v="100"/>
    <x v="1"/>
    <m/>
    <m/>
    <n v="1"/>
    <n v="0.25"/>
    <n v="0.85"/>
    <n v="0.21249999999999999"/>
    <n v="5500"/>
    <x v="7"/>
    <s v="TekNat"/>
    <x v="1"/>
    <n v="19473"/>
    <n v="34806"/>
    <n v="12264.525"/>
    <n v="21800"/>
    <n v="5450"/>
    <n v="17714.525000000001"/>
    <n v="0"/>
    <n v="0"/>
    <n v="0"/>
    <n v="0"/>
    <n v="0"/>
    <n v="1"/>
    <n v="0"/>
    <n v="0"/>
    <n v="0"/>
    <n v="0"/>
    <n v="0"/>
    <n v="0"/>
    <s v="Enl Ladok 190318"/>
    <m/>
    <n v="0"/>
    <n v="0"/>
    <n v="0"/>
    <n v="0"/>
    <n v="0"/>
    <n v="0"/>
    <n v="0"/>
    <n v="0"/>
    <n v="0"/>
    <n v="0"/>
    <n v="0.25"/>
    <n v="0.21249999999999999"/>
    <n v="0"/>
    <n v="0"/>
    <n v="0"/>
    <n v="0"/>
    <n v="0"/>
    <n v="0"/>
    <n v="0"/>
    <n v="0"/>
    <n v="0"/>
    <n v="0"/>
    <n v="0"/>
  </r>
  <r>
    <x v="29"/>
    <x v="28"/>
    <m/>
    <x v="1"/>
    <m/>
    <x v="1"/>
    <m/>
    <s v="Umeå"/>
    <m/>
    <s v="IDRH"/>
    <m/>
    <n v="100"/>
    <x v="1"/>
    <m/>
    <m/>
    <n v="1"/>
    <n v="0.25"/>
    <n v="0.85"/>
    <n v="0.21249999999999999"/>
    <n v="5500"/>
    <x v="7"/>
    <s v="TekNat"/>
    <x v="1"/>
    <n v="19473"/>
    <n v="34806"/>
    <n v="12264.525"/>
    <n v="21800"/>
    <n v="5450"/>
    <n v="17714.525000000001"/>
    <n v="0"/>
    <n v="0"/>
    <n v="0"/>
    <n v="0"/>
    <n v="0"/>
    <n v="1"/>
    <n v="0"/>
    <n v="0"/>
    <n v="0"/>
    <n v="0"/>
    <n v="0"/>
    <n v="0"/>
    <s v="Enl Ladok 190318"/>
    <m/>
    <n v="0"/>
    <n v="0"/>
    <n v="0"/>
    <n v="0"/>
    <n v="0"/>
    <n v="0"/>
    <n v="0"/>
    <n v="0"/>
    <n v="0"/>
    <n v="0"/>
    <n v="0.25"/>
    <n v="0.21249999999999999"/>
    <n v="0"/>
    <n v="0"/>
    <n v="0"/>
    <n v="0"/>
    <n v="0"/>
    <n v="0"/>
    <n v="0"/>
    <n v="0"/>
    <n v="0"/>
    <n v="0"/>
    <n v="0"/>
  </r>
  <r>
    <x v="30"/>
    <x v="29"/>
    <m/>
    <x v="1"/>
    <s v="H12"/>
    <x v="2"/>
    <s v="H191-5"/>
    <m/>
    <m/>
    <s v="MATT"/>
    <m/>
    <n v="100"/>
    <x v="0"/>
    <m/>
    <m/>
    <n v="1"/>
    <n v="0.125"/>
    <n v="0.85"/>
    <n v="0.10625"/>
    <n v="5730"/>
    <x v="8"/>
    <s v="TekNat"/>
    <x v="1"/>
    <n v="19473"/>
    <n v="34806"/>
    <n v="6132.2624999999998"/>
    <n v="21800"/>
    <n v="2725"/>
    <n v="8857.2625000000007"/>
    <n v="0"/>
    <n v="0"/>
    <n v="0"/>
    <n v="0"/>
    <n v="0"/>
    <n v="0.5"/>
    <n v="0"/>
    <n v="0.5"/>
    <n v="0"/>
    <n v="0"/>
    <n v="0"/>
    <n v="0"/>
    <s v="Enligt SP 190924"/>
    <m/>
    <n v="0"/>
    <n v="0"/>
    <n v="0"/>
    <n v="0"/>
    <n v="0"/>
    <n v="0"/>
    <n v="0"/>
    <n v="0"/>
    <n v="0"/>
    <n v="0"/>
    <n v="6.25E-2"/>
    <n v="5.3124999999999999E-2"/>
    <n v="0"/>
    <n v="0"/>
    <n v="6.25E-2"/>
    <n v="5.3124999999999999E-2"/>
    <n v="0"/>
    <n v="0"/>
    <n v="0"/>
    <n v="0"/>
    <n v="0"/>
    <n v="0"/>
    <n v="0"/>
  </r>
  <r>
    <x v="31"/>
    <x v="30"/>
    <m/>
    <x v="1"/>
    <m/>
    <x v="1"/>
    <m/>
    <s v="Umeå"/>
    <m/>
    <s v="IDRH"/>
    <m/>
    <n v="50"/>
    <x v="0"/>
    <m/>
    <m/>
    <n v="1"/>
    <n v="0.125"/>
    <n v="0.85"/>
    <n v="0.10625"/>
    <n v="5730"/>
    <x v="8"/>
    <s v="TekNat"/>
    <x v="1"/>
    <n v="19473"/>
    <n v="34806"/>
    <n v="6132.2624999999998"/>
    <n v="21800"/>
    <n v="2725"/>
    <n v="8857.2625000000007"/>
    <n v="0"/>
    <n v="0"/>
    <n v="0"/>
    <n v="0"/>
    <n v="0"/>
    <n v="0.5"/>
    <n v="0"/>
    <n v="0.5"/>
    <n v="0"/>
    <n v="0"/>
    <n v="0"/>
    <n v="0"/>
    <s v="Enl Ladok 190318"/>
    <m/>
    <n v="0"/>
    <n v="0"/>
    <n v="0"/>
    <n v="0"/>
    <n v="0"/>
    <n v="0"/>
    <n v="0"/>
    <n v="0"/>
    <n v="0"/>
    <n v="0"/>
    <n v="6.25E-2"/>
    <n v="5.3124999999999999E-2"/>
    <n v="0"/>
    <n v="0"/>
    <n v="6.25E-2"/>
    <n v="5.3124999999999999E-2"/>
    <n v="0"/>
    <n v="0"/>
    <n v="0"/>
    <n v="0"/>
    <n v="0"/>
    <n v="0"/>
    <n v="0"/>
  </r>
  <r>
    <x v="31"/>
    <x v="30"/>
    <m/>
    <x v="1"/>
    <m/>
    <x v="1"/>
    <m/>
    <s v="Umeå"/>
    <m/>
    <s v="MATT"/>
    <m/>
    <n v="50"/>
    <x v="0"/>
    <m/>
    <m/>
    <n v="1"/>
    <n v="0.125"/>
    <n v="0.85"/>
    <n v="0.10625"/>
    <n v="5730"/>
    <x v="8"/>
    <s v="TekNat"/>
    <x v="1"/>
    <n v="19473"/>
    <n v="34806"/>
    <n v="6132.2624999999998"/>
    <n v="21800"/>
    <n v="2725"/>
    <n v="8857.2625000000007"/>
    <n v="0"/>
    <n v="0"/>
    <n v="0"/>
    <n v="0"/>
    <n v="0"/>
    <n v="0.5"/>
    <n v="0"/>
    <n v="0.5"/>
    <n v="0"/>
    <n v="0"/>
    <n v="0"/>
    <n v="0"/>
    <s v="Enl Ladok 190318"/>
    <m/>
    <n v="0"/>
    <n v="0"/>
    <n v="0"/>
    <n v="0"/>
    <n v="0"/>
    <n v="0"/>
    <n v="0"/>
    <n v="0"/>
    <n v="0"/>
    <n v="0"/>
    <n v="6.25E-2"/>
    <n v="5.3124999999999999E-2"/>
    <n v="0"/>
    <n v="0"/>
    <n v="6.25E-2"/>
    <n v="5.3124999999999999E-2"/>
    <n v="0"/>
    <n v="0"/>
    <n v="0"/>
    <n v="0"/>
    <n v="0"/>
    <n v="0"/>
    <n v="0"/>
  </r>
  <r>
    <x v="32"/>
    <x v="31"/>
    <m/>
    <x v="1"/>
    <s v="H12"/>
    <x v="1"/>
    <s v="H1816-20:V191-15"/>
    <s v="Umeå"/>
    <m/>
    <s v="MATT"/>
    <m/>
    <n v="100"/>
    <x v="6"/>
    <m/>
    <m/>
    <n v="1"/>
    <n v="0.375"/>
    <n v="0.85"/>
    <n v="0.31874999999999998"/>
    <n v="5740"/>
    <x v="9"/>
    <s v="TekNat"/>
    <x v="1"/>
    <n v="19473"/>
    <n v="34806"/>
    <n v="18396.787499999999"/>
    <n v="21800"/>
    <n v="8175"/>
    <n v="26571.787499999999"/>
    <n v="0"/>
    <n v="0"/>
    <n v="0"/>
    <n v="0"/>
    <n v="0"/>
    <n v="1"/>
    <n v="0"/>
    <n v="0"/>
    <n v="0"/>
    <n v="0"/>
    <n v="0"/>
    <n v="0"/>
    <s v="Enl Ladok 190318"/>
    <s v="Läser 22,5 av 30 hp denna termin"/>
    <n v="0"/>
    <n v="0"/>
    <n v="0"/>
    <n v="0"/>
    <n v="0"/>
    <n v="0"/>
    <n v="0"/>
    <n v="0"/>
    <n v="0"/>
    <n v="0"/>
    <n v="0.375"/>
    <n v="0.31874999999999998"/>
    <n v="0"/>
    <n v="0"/>
    <n v="0"/>
    <n v="0"/>
    <n v="0"/>
    <n v="0"/>
    <n v="0"/>
    <n v="0"/>
    <n v="0"/>
    <n v="0"/>
    <n v="0"/>
  </r>
  <r>
    <x v="32"/>
    <x v="31"/>
    <m/>
    <x v="1"/>
    <s v="H14"/>
    <x v="1"/>
    <s v="H1816-20:V191-15"/>
    <s v="Umeå"/>
    <m/>
    <s v="ENGS"/>
    <m/>
    <n v="100"/>
    <x v="6"/>
    <m/>
    <m/>
    <n v="1"/>
    <n v="0.375"/>
    <n v="0.85"/>
    <n v="0.31874999999999998"/>
    <n v="5740"/>
    <x v="9"/>
    <s v="TekNat"/>
    <x v="1"/>
    <n v="19473"/>
    <n v="34806"/>
    <n v="18396.787499999999"/>
    <n v="21800"/>
    <n v="8175"/>
    <n v="26571.787499999999"/>
    <n v="0"/>
    <n v="0"/>
    <n v="0"/>
    <n v="0"/>
    <n v="0"/>
    <n v="1"/>
    <n v="0"/>
    <n v="0"/>
    <n v="0"/>
    <n v="0"/>
    <n v="0"/>
    <n v="0"/>
    <s v="Enl Ladok 190318"/>
    <s v="Läser 22,5 av 30 hp denna termin"/>
    <n v="0"/>
    <n v="0"/>
    <n v="0"/>
    <n v="0"/>
    <n v="0"/>
    <n v="0"/>
    <n v="0"/>
    <n v="0"/>
    <n v="0"/>
    <n v="0"/>
    <n v="0.375"/>
    <n v="0.31874999999999998"/>
    <n v="0"/>
    <n v="0"/>
    <n v="0"/>
    <n v="0"/>
    <n v="0"/>
    <n v="0"/>
    <n v="0"/>
    <n v="0"/>
    <n v="0"/>
    <n v="0"/>
    <n v="0"/>
  </r>
  <r>
    <x v="32"/>
    <x v="31"/>
    <m/>
    <x v="1"/>
    <s v="H15"/>
    <x v="2"/>
    <s v="H1916-20:V201-15"/>
    <m/>
    <m/>
    <s v="ENGS"/>
    <m/>
    <n v="100"/>
    <x v="0"/>
    <m/>
    <m/>
    <n v="1"/>
    <n v="0.125"/>
    <n v="0.85"/>
    <n v="0.10625"/>
    <n v="5740"/>
    <x v="9"/>
    <s v="TekNat"/>
    <x v="1"/>
    <n v="19473"/>
    <n v="34806"/>
    <n v="6132.2624999999998"/>
    <n v="21800"/>
    <n v="2725"/>
    <n v="8857.2625000000007"/>
    <n v="0"/>
    <n v="0"/>
    <n v="0"/>
    <n v="0"/>
    <n v="0"/>
    <n v="1"/>
    <n v="0"/>
    <n v="0"/>
    <n v="0"/>
    <n v="0"/>
    <n v="0"/>
    <n v="0"/>
    <s v="Enligt SP 190924"/>
    <s v="Läser 7,5 av 30 denna termin"/>
    <n v="0"/>
    <n v="0"/>
    <n v="0"/>
    <n v="0"/>
    <n v="0"/>
    <n v="0"/>
    <n v="0"/>
    <n v="0"/>
    <n v="0"/>
    <n v="0"/>
    <n v="0.125"/>
    <n v="0.10625"/>
    <n v="0"/>
    <n v="0"/>
    <n v="0"/>
    <n v="0"/>
    <n v="0"/>
    <n v="0"/>
    <n v="0"/>
    <n v="0"/>
    <n v="0"/>
    <n v="0"/>
    <n v="0"/>
  </r>
  <r>
    <x v="32"/>
    <x v="31"/>
    <m/>
    <x v="1"/>
    <s v="H16"/>
    <x v="2"/>
    <s v="H1916-20:V201-15"/>
    <m/>
    <m/>
    <s v="BIOL"/>
    <m/>
    <n v="100"/>
    <x v="0"/>
    <m/>
    <m/>
    <n v="1"/>
    <n v="0.125"/>
    <n v="0.85"/>
    <n v="0.10625"/>
    <n v="5740"/>
    <x v="9"/>
    <s v="TekNat"/>
    <x v="1"/>
    <n v="19473"/>
    <n v="34806"/>
    <n v="6132.2624999999998"/>
    <n v="21800"/>
    <n v="2725"/>
    <n v="8857.2625000000007"/>
    <n v="0"/>
    <n v="0"/>
    <n v="0"/>
    <n v="0"/>
    <n v="0"/>
    <n v="1"/>
    <n v="0"/>
    <n v="0"/>
    <n v="0"/>
    <n v="0"/>
    <n v="0"/>
    <n v="0"/>
    <s v="Enligt SP 190924"/>
    <s v="Läser 7,5 av 30 denna termin"/>
    <n v="0"/>
    <n v="0"/>
    <n v="0"/>
    <n v="0"/>
    <n v="0"/>
    <n v="0"/>
    <n v="0"/>
    <n v="0"/>
    <n v="0"/>
    <n v="0"/>
    <n v="0.125"/>
    <n v="0.10625"/>
    <n v="0"/>
    <n v="0"/>
    <n v="0"/>
    <n v="0"/>
    <n v="0"/>
    <n v="0"/>
    <n v="0"/>
    <n v="0"/>
    <n v="0"/>
    <n v="0"/>
    <n v="0"/>
  </r>
  <r>
    <x v="32"/>
    <x v="31"/>
    <m/>
    <x v="1"/>
    <s v="H17"/>
    <x v="2"/>
    <s v="H1916-20:V201-15"/>
    <m/>
    <m/>
    <s v="BIOL"/>
    <m/>
    <n v="100"/>
    <x v="0"/>
    <m/>
    <m/>
    <n v="1"/>
    <n v="0.125"/>
    <n v="0.85"/>
    <n v="0.10625"/>
    <n v="5740"/>
    <x v="9"/>
    <s v="TekNat"/>
    <x v="1"/>
    <n v="19473"/>
    <n v="34806"/>
    <n v="6132.2624999999998"/>
    <n v="21800"/>
    <n v="2725"/>
    <n v="8857.2625000000007"/>
    <n v="0"/>
    <n v="0"/>
    <n v="0"/>
    <n v="0"/>
    <n v="0"/>
    <n v="1"/>
    <n v="0"/>
    <n v="0"/>
    <n v="0"/>
    <n v="0"/>
    <n v="0"/>
    <n v="0"/>
    <s v="Enligt SP 190924"/>
    <s v="Läser 7,5 av 30 denna termin"/>
    <n v="0"/>
    <n v="0"/>
    <n v="0"/>
    <n v="0"/>
    <n v="0"/>
    <n v="0"/>
    <n v="0"/>
    <n v="0"/>
    <n v="0"/>
    <n v="0"/>
    <n v="0.125"/>
    <n v="0.10625"/>
    <n v="0"/>
    <n v="0"/>
    <n v="0"/>
    <n v="0"/>
    <n v="0"/>
    <n v="0"/>
    <n v="0"/>
    <n v="0"/>
    <n v="0"/>
    <n v="0"/>
    <n v="0"/>
  </r>
  <r>
    <x v="33"/>
    <x v="32"/>
    <m/>
    <x v="1"/>
    <s v="H16"/>
    <x v="2"/>
    <s v="H191-15"/>
    <m/>
    <m/>
    <s v="BIOL"/>
    <m/>
    <n v="100"/>
    <x v="6"/>
    <m/>
    <m/>
    <n v="1"/>
    <n v="0.375"/>
    <n v="0.85"/>
    <n v="0.31874999999999998"/>
    <n v="5740"/>
    <x v="9"/>
    <s v="TekNat"/>
    <x v="1"/>
    <n v="21634"/>
    <n v="26986"/>
    <n v="16714.537499999999"/>
    <n v="3400"/>
    <n v="1275"/>
    <n v="17989.537499999999"/>
    <n v="0"/>
    <n v="0"/>
    <n v="0"/>
    <n v="0"/>
    <n v="0"/>
    <n v="0"/>
    <n v="0"/>
    <n v="0"/>
    <n v="1"/>
    <n v="0"/>
    <n v="0"/>
    <n v="0"/>
    <s v="Enligt SP 190924"/>
    <m/>
    <n v="0"/>
    <n v="0"/>
    <n v="0"/>
    <n v="0"/>
    <n v="0"/>
    <n v="0"/>
    <n v="0"/>
    <n v="0"/>
    <n v="0"/>
    <n v="0"/>
    <n v="0"/>
    <n v="0"/>
    <n v="0"/>
    <n v="0"/>
    <n v="0"/>
    <n v="0"/>
    <n v="0.375"/>
    <n v="0.31874999999999998"/>
    <n v="0"/>
    <n v="0"/>
    <n v="0"/>
    <n v="0"/>
    <n v="0"/>
  </r>
  <r>
    <x v="33"/>
    <x v="32"/>
    <m/>
    <x v="1"/>
    <s v="H17"/>
    <x v="2"/>
    <s v="H191-15"/>
    <m/>
    <m/>
    <s v="BIOL"/>
    <m/>
    <n v="100"/>
    <x v="6"/>
    <m/>
    <m/>
    <n v="2"/>
    <n v="0.75"/>
    <n v="0.85"/>
    <n v="0.63749999999999996"/>
    <n v="5740"/>
    <x v="9"/>
    <s v="TekNat"/>
    <x v="1"/>
    <n v="21634"/>
    <n v="26986"/>
    <n v="33429.074999999997"/>
    <n v="3400"/>
    <n v="2550"/>
    <n v="35979.074999999997"/>
    <n v="0"/>
    <n v="0"/>
    <n v="0"/>
    <n v="0"/>
    <n v="0"/>
    <n v="0"/>
    <n v="0"/>
    <n v="0"/>
    <n v="1"/>
    <n v="0"/>
    <n v="0"/>
    <n v="0"/>
    <s v="Enligt SP 190924"/>
    <m/>
    <n v="0"/>
    <n v="0"/>
    <n v="0"/>
    <n v="0"/>
    <n v="0"/>
    <n v="0"/>
    <n v="0"/>
    <n v="0"/>
    <n v="0"/>
    <n v="0"/>
    <n v="0"/>
    <n v="0"/>
    <n v="0"/>
    <n v="0"/>
    <n v="0"/>
    <n v="0"/>
    <n v="0.75"/>
    <n v="0.63749999999999996"/>
    <n v="0"/>
    <n v="0"/>
    <n v="0"/>
    <n v="0"/>
    <n v="0"/>
  </r>
  <r>
    <x v="34"/>
    <x v="33"/>
    <m/>
    <x v="1"/>
    <s v="H15"/>
    <x v="2"/>
    <s v="H191-15"/>
    <m/>
    <m/>
    <s v="MUSI"/>
    <m/>
    <n v="100"/>
    <x v="1"/>
    <m/>
    <m/>
    <n v="1"/>
    <n v="0.25"/>
    <n v="0.85"/>
    <n v="0.21249999999999999"/>
    <n v="5100"/>
    <x v="3"/>
    <s v="TekNat"/>
    <x v="1"/>
    <n v="19473"/>
    <n v="34806"/>
    <n v="12264.525"/>
    <n v="21800"/>
    <n v="5450"/>
    <n v="17714.525000000001"/>
    <n v="0"/>
    <n v="0"/>
    <n v="0"/>
    <n v="0"/>
    <n v="0"/>
    <n v="1"/>
    <n v="0"/>
    <n v="0"/>
    <n v="0"/>
    <n v="0"/>
    <n v="0"/>
    <n v="0"/>
    <s v="Enligt SP 190924"/>
    <m/>
    <n v="0"/>
    <n v="0"/>
    <n v="0"/>
    <n v="0"/>
    <n v="0"/>
    <n v="0"/>
    <n v="0"/>
    <n v="0"/>
    <n v="0"/>
    <n v="0"/>
    <n v="0.25"/>
    <n v="0.21249999999999999"/>
    <n v="0"/>
    <n v="0"/>
    <n v="0"/>
    <n v="0"/>
    <n v="0"/>
    <n v="0"/>
    <n v="0"/>
    <n v="0"/>
    <n v="0"/>
    <n v="0"/>
    <n v="0"/>
  </r>
  <r>
    <x v="34"/>
    <x v="33"/>
    <m/>
    <x v="1"/>
    <s v="H16"/>
    <x v="2"/>
    <s v="H191-15"/>
    <m/>
    <m/>
    <s v="MATT"/>
    <m/>
    <n v="100"/>
    <x v="1"/>
    <m/>
    <m/>
    <n v="1"/>
    <n v="0.25"/>
    <n v="0.85"/>
    <n v="0.21249999999999999"/>
    <n v="5100"/>
    <x v="3"/>
    <s v="TekNat"/>
    <x v="1"/>
    <n v="19473"/>
    <n v="34806"/>
    <n v="12264.525"/>
    <n v="21800"/>
    <n v="5450"/>
    <n v="17714.525000000001"/>
    <n v="0"/>
    <n v="0"/>
    <n v="0"/>
    <n v="0"/>
    <n v="0"/>
    <n v="1"/>
    <n v="0"/>
    <n v="0"/>
    <n v="0"/>
    <n v="0"/>
    <n v="0"/>
    <n v="0"/>
    <s v="Enligt SP 190924"/>
    <m/>
    <n v="0"/>
    <n v="0"/>
    <n v="0"/>
    <n v="0"/>
    <n v="0"/>
    <n v="0"/>
    <n v="0"/>
    <n v="0"/>
    <n v="0"/>
    <n v="0"/>
    <n v="0.25"/>
    <n v="0.21249999999999999"/>
    <n v="0"/>
    <n v="0"/>
    <n v="0"/>
    <n v="0"/>
    <n v="0"/>
    <n v="0"/>
    <n v="0"/>
    <n v="0"/>
    <n v="0"/>
    <n v="0"/>
    <n v="0"/>
  </r>
  <r>
    <x v="34"/>
    <x v="33"/>
    <m/>
    <x v="1"/>
    <s v="H18"/>
    <x v="2"/>
    <s v="H191-15"/>
    <m/>
    <m/>
    <s v="NATU"/>
    <m/>
    <n v="100"/>
    <x v="1"/>
    <m/>
    <m/>
    <n v="1"/>
    <n v="0.25"/>
    <n v="0.85"/>
    <n v="0.21249999999999999"/>
    <n v="5100"/>
    <x v="3"/>
    <s v="TekNat"/>
    <x v="1"/>
    <n v="19473"/>
    <n v="34806"/>
    <n v="12264.525"/>
    <n v="21800"/>
    <n v="5450"/>
    <n v="17714.525000000001"/>
    <n v="0"/>
    <n v="0"/>
    <n v="0"/>
    <n v="0"/>
    <n v="0"/>
    <n v="1"/>
    <n v="0"/>
    <n v="0"/>
    <n v="0"/>
    <n v="0"/>
    <n v="0"/>
    <n v="0"/>
    <s v="Enligt SP 190924"/>
    <m/>
    <n v="0"/>
    <n v="0"/>
    <n v="0"/>
    <n v="0"/>
    <n v="0"/>
    <n v="0"/>
    <n v="0"/>
    <n v="0"/>
    <n v="0"/>
    <n v="0"/>
    <n v="0.25"/>
    <n v="0.21249999999999999"/>
    <n v="0"/>
    <n v="0"/>
    <n v="0"/>
    <n v="0"/>
    <n v="0"/>
    <n v="0"/>
    <n v="0"/>
    <n v="0"/>
    <n v="0"/>
    <n v="0"/>
    <n v="0"/>
  </r>
  <r>
    <x v="35"/>
    <x v="34"/>
    <m/>
    <x v="1"/>
    <s v="H16"/>
    <x v="2"/>
    <s v="H191-15"/>
    <m/>
    <m/>
    <s v="BILÄ"/>
    <m/>
    <n v="100"/>
    <x v="1"/>
    <m/>
    <m/>
    <n v="1"/>
    <n v="0.25"/>
    <n v="0.85"/>
    <n v="0.21249999999999999"/>
    <n v="5100"/>
    <x v="3"/>
    <s v="TekNat"/>
    <x v="1"/>
    <n v="19473"/>
    <n v="34806"/>
    <n v="12264.525"/>
    <n v="21800"/>
    <n v="5450"/>
    <n v="17714.525000000001"/>
    <n v="0"/>
    <n v="0"/>
    <n v="0"/>
    <n v="0"/>
    <n v="0"/>
    <n v="1"/>
    <n v="0"/>
    <n v="0"/>
    <n v="0"/>
    <n v="0"/>
    <n v="0"/>
    <n v="0"/>
    <s v="Enligt SP 190924"/>
    <m/>
    <n v="0"/>
    <n v="0"/>
    <n v="0"/>
    <n v="0"/>
    <n v="0"/>
    <n v="0"/>
    <n v="0"/>
    <n v="0"/>
    <n v="0"/>
    <n v="0"/>
    <n v="0.25"/>
    <n v="0.21249999999999999"/>
    <n v="0"/>
    <n v="0"/>
    <n v="0"/>
    <n v="0"/>
    <n v="0"/>
    <n v="0"/>
    <n v="0"/>
    <n v="0"/>
    <n v="0"/>
    <n v="0"/>
    <n v="0"/>
  </r>
  <r>
    <x v="35"/>
    <x v="34"/>
    <m/>
    <x v="1"/>
    <s v="H16"/>
    <x v="2"/>
    <s v="H191-15"/>
    <m/>
    <m/>
    <s v="IDRH"/>
    <m/>
    <n v="100"/>
    <x v="1"/>
    <m/>
    <m/>
    <n v="1"/>
    <n v="0.25"/>
    <n v="0.85"/>
    <n v="0.21249999999999999"/>
    <n v="5100"/>
    <x v="3"/>
    <s v="TekNat"/>
    <x v="1"/>
    <n v="19473"/>
    <n v="34806"/>
    <n v="12264.525"/>
    <n v="21800"/>
    <n v="5450"/>
    <n v="17714.525000000001"/>
    <n v="0"/>
    <n v="0"/>
    <n v="0"/>
    <n v="0"/>
    <n v="0"/>
    <n v="1"/>
    <n v="0"/>
    <n v="0"/>
    <n v="0"/>
    <n v="0"/>
    <n v="0"/>
    <n v="0"/>
    <s v="Enligt SP 190924"/>
    <m/>
    <n v="0"/>
    <n v="0"/>
    <n v="0"/>
    <n v="0"/>
    <n v="0"/>
    <n v="0"/>
    <n v="0"/>
    <n v="0"/>
    <n v="0"/>
    <n v="0"/>
    <n v="0.25"/>
    <n v="0.21249999999999999"/>
    <n v="0"/>
    <n v="0"/>
    <n v="0"/>
    <n v="0"/>
    <n v="0"/>
    <n v="0"/>
    <n v="0"/>
    <n v="0"/>
    <n v="0"/>
    <n v="0"/>
    <n v="0"/>
  </r>
  <r>
    <x v="35"/>
    <x v="34"/>
    <m/>
    <x v="1"/>
    <s v="H16"/>
    <x v="2"/>
    <s v="H191-15"/>
    <m/>
    <m/>
    <s v="MATT"/>
    <m/>
    <n v="100"/>
    <x v="1"/>
    <m/>
    <m/>
    <n v="1"/>
    <n v="0.25"/>
    <n v="0.85"/>
    <n v="0.21249999999999999"/>
    <n v="5100"/>
    <x v="3"/>
    <s v="TekNat"/>
    <x v="1"/>
    <n v="19473"/>
    <n v="34806"/>
    <n v="12264.525"/>
    <n v="21800"/>
    <n v="5450"/>
    <n v="17714.525000000001"/>
    <n v="0"/>
    <n v="0"/>
    <n v="0"/>
    <n v="0"/>
    <n v="0"/>
    <n v="1"/>
    <n v="0"/>
    <n v="0"/>
    <n v="0"/>
    <n v="0"/>
    <n v="0"/>
    <n v="0"/>
    <s v="Enligt SP 190924"/>
    <m/>
    <n v="0"/>
    <n v="0"/>
    <n v="0"/>
    <n v="0"/>
    <n v="0"/>
    <n v="0"/>
    <n v="0"/>
    <n v="0"/>
    <n v="0"/>
    <n v="0"/>
    <n v="0.25"/>
    <n v="0.21249999999999999"/>
    <n v="0"/>
    <n v="0"/>
    <n v="0"/>
    <n v="0"/>
    <n v="0"/>
    <n v="0"/>
    <n v="0"/>
    <n v="0"/>
    <n v="0"/>
    <n v="0"/>
    <n v="0"/>
  </r>
  <r>
    <x v="35"/>
    <x v="34"/>
    <m/>
    <x v="1"/>
    <s v="H18"/>
    <x v="2"/>
    <s v="H191-15"/>
    <m/>
    <m/>
    <s v="BIOL"/>
    <m/>
    <n v="100"/>
    <x v="1"/>
    <m/>
    <m/>
    <n v="5"/>
    <n v="1.25"/>
    <n v="0.85"/>
    <n v="1.0625"/>
    <n v="5100"/>
    <x v="3"/>
    <s v="TekNat"/>
    <x v="1"/>
    <n v="19473"/>
    <n v="34806"/>
    <n v="61322.625"/>
    <n v="21800"/>
    <n v="27250"/>
    <n v="88572.625"/>
    <n v="0"/>
    <n v="0"/>
    <n v="0"/>
    <n v="0"/>
    <n v="0"/>
    <n v="1"/>
    <n v="0"/>
    <n v="0"/>
    <n v="0"/>
    <n v="0"/>
    <n v="0"/>
    <n v="0"/>
    <s v="Enligt SP 190924"/>
    <m/>
    <n v="0"/>
    <n v="0"/>
    <n v="0"/>
    <n v="0"/>
    <n v="0"/>
    <n v="0"/>
    <n v="0"/>
    <n v="0"/>
    <n v="0"/>
    <n v="0"/>
    <n v="1.25"/>
    <n v="1.0625"/>
    <n v="0"/>
    <n v="0"/>
    <n v="0"/>
    <n v="0"/>
    <n v="0"/>
    <n v="0"/>
    <n v="0"/>
    <n v="0"/>
    <n v="0"/>
    <n v="0"/>
    <n v="0"/>
  </r>
  <r>
    <x v="36"/>
    <x v="35"/>
    <m/>
    <x v="0"/>
    <m/>
    <x v="1"/>
    <m/>
    <m/>
    <s v="Campus"/>
    <m/>
    <m/>
    <n v="50"/>
    <x v="0"/>
    <m/>
    <m/>
    <n v="0"/>
    <n v="0"/>
    <n v="0.8"/>
    <n v="0"/>
    <n v="5740"/>
    <x v="9"/>
    <s v="TekNat"/>
    <x v="0"/>
    <n v="19473"/>
    <n v="34806"/>
    <n v="0"/>
    <n v="21800"/>
    <n v="0"/>
    <n v="0"/>
    <n v="0"/>
    <n v="0"/>
    <n v="0"/>
    <n v="0"/>
    <n v="0"/>
    <n v="1"/>
    <n v="0"/>
    <n v="0"/>
    <n v="0"/>
    <n v="0"/>
    <n v="0"/>
    <n v="0"/>
    <s v="Enl Ladok 190515"/>
    <s v="Äskat - Beslut p43 180607"/>
    <n v="0"/>
    <n v="0"/>
    <n v="0"/>
    <n v="0"/>
    <n v="0"/>
    <n v="0"/>
    <n v="0"/>
    <n v="0"/>
    <n v="0"/>
    <n v="0"/>
    <n v="0"/>
    <n v="0"/>
    <n v="0"/>
    <n v="0"/>
    <n v="0"/>
    <n v="0"/>
    <n v="0"/>
    <n v="0"/>
    <n v="0"/>
    <n v="0"/>
    <n v="0"/>
    <n v="0"/>
    <n v="0"/>
  </r>
  <r>
    <x v="37"/>
    <x v="36"/>
    <m/>
    <x v="0"/>
    <m/>
    <x v="1"/>
    <m/>
    <m/>
    <s v="Campus"/>
    <m/>
    <m/>
    <n v="50"/>
    <x v="0"/>
    <m/>
    <m/>
    <n v="0"/>
    <n v="0"/>
    <n v="0.8"/>
    <n v="0"/>
    <n v="5740"/>
    <x v="9"/>
    <s v="TekNat"/>
    <x v="0"/>
    <n v="19473"/>
    <n v="34806"/>
    <n v="0"/>
    <n v="21800"/>
    <n v="0"/>
    <n v="0"/>
    <n v="0"/>
    <n v="0"/>
    <n v="0"/>
    <n v="0"/>
    <n v="0"/>
    <n v="1"/>
    <n v="0"/>
    <n v="0"/>
    <n v="0"/>
    <n v="0"/>
    <n v="0"/>
    <n v="0"/>
    <s v="Enl Ladok 190515"/>
    <s v="Äskat - Beslut p43 180607"/>
    <n v="0"/>
    <n v="0"/>
    <n v="0"/>
    <n v="0"/>
    <n v="0"/>
    <n v="0"/>
    <n v="0"/>
    <n v="0"/>
    <n v="0"/>
    <n v="0"/>
    <n v="0"/>
    <n v="0"/>
    <n v="0"/>
    <n v="0"/>
    <n v="0"/>
    <n v="0"/>
    <n v="0"/>
    <n v="0"/>
    <n v="0"/>
    <n v="0"/>
    <n v="0"/>
    <n v="0"/>
    <n v="0"/>
  </r>
  <r>
    <x v="37"/>
    <x v="36"/>
    <m/>
    <x v="1"/>
    <s v="H15"/>
    <x v="1"/>
    <s v="V191-10"/>
    <s v="Umeå"/>
    <m/>
    <s v="ENGS"/>
    <m/>
    <n v="50"/>
    <x v="0"/>
    <m/>
    <m/>
    <n v="1"/>
    <n v="0.125"/>
    <n v="0.85"/>
    <n v="0.10625"/>
    <n v="5740"/>
    <x v="9"/>
    <s v="TekNat"/>
    <x v="1"/>
    <n v="19473"/>
    <n v="34806"/>
    <n v="6132.2624999999998"/>
    <n v="21800"/>
    <n v="2725"/>
    <n v="8857.2625000000007"/>
    <n v="0"/>
    <n v="0"/>
    <n v="0"/>
    <n v="0"/>
    <n v="0"/>
    <n v="1"/>
    <n v="0"/>
    <n v="0"/>
    <n v="0"/>
    <n v="0"/>
    <n v="0"/>
    <n v="0"/>
    <s v="Enl Ladok 190318"/>
    <m/>
    <n v="0"/>
    <n v="0"/>
    <n v="0"/>
    <n v="0"/>
    <n v="0"/>
    <n v="0"/>
    <n v="0"/>
    <n v="0"/>
    <n v="0"/>
    <n v="0"/>
    <n v="0.125"/>
    <n v="0.10625"/>
    <n v="0"/>
    <n v="0"/>
    <n v="0"/>
    <n v="0"/>
    <n v="0"/>
    <n v="0"/>
    <n v="0"/>
    <n v="0"/>
    <n v="0"/>
    <n v="0"/>
    <n v="0"/>
  </r>
  <r>
    <x v="37"/>
    <x v="36"/>
    <m/>
    <x v="1"/>
    <s v="H15"/>
    <x v="1"/>
    <s v="V191-10"/>
    <s v="Umeå"/>
    <m/>
    <s v="IDRH"/>
    <m/>
    <n v="50"/>
    <x v="0"/>
    <m/>
    <m/>
    <n v="1"/>
    <n v="0.125"/>
    <n v="0.85"/>
    <n v="0.10625"/>
    <n v="5740"/>
    <x v="9"/>
    <s v="TekNat"/>
    <x v="1"/>
    <n v="19473"/>
    <n v="34806"/>
    <n v="6132.2624999999998"/>
    <n v="21800"/>
    <n v="2725"/>
    <n v="8857.2625000000007"/>
    <n v="0"/>
    <n v="0"/>
    <n v="0"/>
    <n v="0"/>
    <n v="0"/>
    <n v="1"/>
    <n v="0"/>
    <n v="0"/>
    <n v="0"/>
    <n v="0"/>
    <n v="0"/>
    <n v="0"/>
    <s v="Enl Ladok 190318"/>
    <m/>
    <n v="0"/>
    <n v="0"/>
    <n v="0"/>
    <n v="0"/>
    <n v="0"/>
    <n v="0"/>
    <n v="0"/>
    <n v="0"/>
    <n v="0"/>
    <n v="0"/>
    <n v="0.125"/>
    <n v="0.10625"/>
    <n v="0"/>
    <n v="0"/>
    <n v="0"/>
    <n v="0"/>
    <n v="0"/>
    <n v="0"/>
    <n v="0"/>
    <n v="0"/>
    <n v="0"/>
    <n v="0"/>
    <n v="0"/>
  </r>
  <r>
    <x v="37"/>
    <x v="36"/>
    <m/>
    <x v="1"/>
    <s v="H15"/>
    <x v="1"/>
    <s v="V191-10"/>
    <s v="Umeå"/>
    <m/>
    <s v="MATT"/>
    <m/>
    <n v="50"/>
    <x v="0"/>
    <m/>
    <m/>
    <n v="2"/>
    <n v="0.25"/>
    <n v="0.85"/>
    <n v="0.21249999999999999"/>
    <n v="5740"/>
    <x v="9"/>
    <s v="TekNat"/>
    <x v="1"/>
    <n v="19473"/>
    <n v="34806"/>
    <n v="12264.525"/>
    <n v="21800"/>
    <n v="5450"/>
    <n v="17714.525000000001"/>
    <n v="0"/>
    <n v="0"/>
    <n v="0"/>
    <n v="0"/>
    <n v="0"/>
    <n v="1"/>
    <n v="0"/>
    <n v="0"/>
    <n v="0"/>
    <n v="0"/>
    <n v="0"/>
    <n v="0"/>
    <s v="Enl Ladok 190318"/>
    <m/>
    <n v="0"/>
    <n v="0"/>
    <n v="0"/>
    <n v="0"/>
    <n v="0"/>
    <n v="0"/>
    <n v="0"/>
    <n v="0"/>
    <n v="0"/>
    <n v="0"/>
    <n v="0.25"/>
    <n v="0.21249999999999999"/>
    <n v="0"/>
    <n v="0"/>
    <n v="0"/>
    <n v="0"/>
    <n v="0"/>
    <n v="0"/>
    <n v="0"/>
    <n v="0"/>
    <n v="0"/>
    <n v="0"/>
    <n v="0"/>
  </r>
  <r>
    <x v="37"/>
    <x v="36"/>
    <m/>
    <x v="1"/>
    <s v="H15"/>
    <x v="1"/>
    <s v="V191-10"/>
    <s v="Umeå"/>
    <m/>
    <s v="SVAA"/>
    <m/>
    <n v="50"/>
    <x v="0"/>
    <m/>
    <m/>
    <n v="1"/>
    <n v="0.125"/>
    <n v="0.85"/>
    <n v="0.10625"/>
    <n v="5740"/>
    <x v="9"/>
    <s v="TekNat"/>
    <x v="1"/>
    <n v="19473"/>
    <n v="34806"/>
    <n v="6132.2624999999998"/>
    <n v="21800"/>
    <n v="2725"/>
    <n v="8857.2625000000007"/>
    <n v="0"/>
    <n v="0"/>
    <n v="0"/>
    <n v="0"/>
    <n v="0"/>
    <n v="1"/>
    <n v="0"/>
    <n v="0"/>
    <n v="0"/>
    <n v="0"/>
    <n v="0"/>
    <n v="0"/>
    <s v="Enl Ladok 190318"/>
    <m/>
    <n v="0"/>
    <n v="0"/>
    <n v="0"/>
    <n v="0"/>
    <n v="0"/>
    <n v="0"/>
    <n v="0"/>
    <n v="0"/>
    <n v="0"/>
    <n v="0"/>
    <n v="0.125"/>
    <n v="0.10625"/>
    <n v="0"/>
    <n v="0"/>
    <n v="0"/>
    <n v="0"/>
    <n v="0"/>
    <n v="0"/>
    <n v="0"/>
    <n v="0"/>
    <n v="0"/>
    <n v="0"/>
    <n v="0"/>
  </r>
  <r>
    <x v="37"/>
    <x v="36"/>
    <m/>
    <x v="1"/>
    <s v="H17"/>
    <x v="1"/>
    <s v="V191-10"/>
    <s v="Umeå"/>
    <m/>
    <s v="BIOL"/>
    <m/>
    <n v="50"/>
    <x v="0"/>
    <m/>
    <m/>
    <n v="2"/>
    <n v="0.25"/>
    <n v="0.85"/>
    <n v="0.21249999999999999"/>
    <n v="5740"/>
    <x v="9"/>
    <s v="TekNat"/>
    <x v="1"/>
    <n v="19473"/>
    <n v="34806"/>
    <n v="12264.525"/>
    <n v="21800"/>
    <n v="5450"/>
    <n v="17714.525000000001"/>
    <n v="0"/>
    <n v="0"/>
    <n v="0"/>
    <n v="0"/>
    <n v="0"/>
    <n v="1"/>
    <n v="0"/>
    <n v="0"/>
    <n v="0"/>
    <n v="0"/>
    <n v="0"/>
    <n v="0"/>
    <s v="Enl Ladok 190318"/>
    <m/>
    <n v="0"/>
    <n v="0"/>
    <n v="0"/>
    <n v="0"/>
    <n v="0"/>
    <n v="0"/>
    <n v="0"/>
    <n v="0"/>
    <n v="0"/>
    <n v="0"/>
    <n v="0.25"/>
    <n v="0.21249999999999999"/>
    <n v="0"/>
    <n v="0"/>
    <n v="0"/>
    <n v="0"/>
    <n v="0"/>
    <n v="0"/>
    <n v="0"/>
    <n v="0"/>
    <n v="0"/>
    <n v="0"/>
    <n v="0"/>
  </r>
  <r>
    <x v="37"/>
    <x v="36"/>
    <m/>
    <x v="1"/>
    <s v="H18"/>
    <x v="1"/>
    <s v="V191-10"/>
    <s v="Umeå"/>
    <m/>
    <s v="BIOL"/>
    <m/>
    <n v="50"/>
    <x v="0"/>
    <m/>
    <m/>
    <n v="1"/>
    <n v="0.125"/>
    <n v="0.85"/>
    <n v="0.10625"/>
    <n v="5740"/>
    <x v="9"/>
    <s v="TekNat"/>
    <x v="1"/>
    <n v="19473"/>
    <n v="34806"/>
    <n v="6132.2624999999998"/>
    <n v="21800"/>
    <n v="2725"/>
    <n v="8857.2625000000007"/>
    <n v="0"/>
    <n v="0"/>
    <n v="0"/>
    <n v="0"/>
    <n v="0"/>
    <n v="1"/>
    <n v="0"/>
    <n v="0"/>
    <n v="0"/>
    <n v="0"/>
    <n v="0"/>
    <n v="0"/>
    <s v="Enl Ladok 190318"/>
    <m/>
    <n v="0"/>
    <n v="0"/>
    <n v="0"/>
    <n v="0"/>
    <n v="0"/>
    <n v="0"/>
    <n v="0"/>
    <n v="0"/>
    <n v="0"/>
    <n v="0"/>
    <n v="0.125"/>
    <n v="0.10625"/>
    <n v="0"/>
    <n v="0"/>
    <n v="0"/>
    <n v="0"/>
    <n v="0"/>
    <n v="0"/>
    <n v="0"/>
    <n v="0"/>
    <n v="0"/>
    <n v="0"/>
    <n v="0"/>
  </r>
  <r>
    <x v="38"/>
    <x v="37"/>
    <m/>
    <x v="0"/>
    <m/>
    <x v="1"/>
    <m/>
    <m/>
    <s v="Campus"/>
    <m/>
    <m/>
    <n v="50"/>
    <x v="0"/>
    <m/>
    <m/>
    <n v="0"/>
    <n v="0"/>
    <n v="0.8"/>
    <n v="0"/>
    <n v="5740"/>
    <x v="9"/>
    <s v="TekNat"/>
    <x v="0"/>
    <n v="19473"/>
    <n v="34806"/>
    <n v="0"/>
    <n v="21800"/>
    <n v="0"/>
    <n v="0"/>
    <n v="0"/>
    <n v="0"/>
    <n v="0"/>
    <n v="0"/>
    <n v="0"/>
    <n v="1"/>
    <n v="0"/>
    <n v="0"/>
    <n v="0"/>
    <n v="0"/>
    <n v="0"/>
    <n v="0"/>
    <s v="Enl Ladok 190515"/>
    <s v="Äskat - Beslut p43 180607"/>
    <n v="0"/>
    <n v="0"/>
    <n v="0"/>
    <n v="0"/>
    <n v="0"/>
    <n v="0"/>
    <n v="0"/>
    <n v="0"/>
    <n v="0"/>
    <n v="0"/>
    <n v="0"/>
    <n v="0"/>
    <n v="0"/>
    <n v="0"/>
    <n v="0"/>
    <n v="0"/>
    <n v="0"/>
    <n v="0"/>
    <n v="0"/>
    <n v="0"/>
    <n v="0"/>
    <n v="0"/>
    <n v="0"/>
  </r>
  <r>
    <x v="38"/>
    <x v="37"/>
    <m/>
    <x v="1"/>
    <s v="H15"/>
    <x v="1"/>
    <s v="V1911-20"/>
    <s v="Umeå"/>
    <m/>
    <s v="ENGS"/>
    <m/>
    <n v="50"/>
    <x v="0"/>
    <m/>
    <m/>
    <n v="1"/>
    <n v="0.125"/>
    <n v="0.85"/>
    <n v="0.10625"/>
    <n v="5740"/>
    <x v="9"/>
    <s v="TekNat"/>
    <x v="1"/>
    <n v="19473"/>
    <n v="34806"/>
    <n v="6132.2624999999998"/>
    <n v="21800"/>
    <n v="2725"/>
    <n v="8857.2625000000007"/>
    <n v="0"/>
    <n v="0"/>
    <n v="0"/>
    <n v="0"/>
    <n v="0"/>
    <n v="1"/>
    <n v="0"/>
    <n v="0"/>
    <n v="0"/>
    <n v="0"/>
    <n v="0"/>
    <n v="0"/>
    <s v="Enl Ladok 190515"/>
    <m/>
    <n v="0"/>
    <n v="0"/>
    <n v="0"/>
    <n v="0"/>
    <n v="0"/>
    <n v="0"/>
    <n v="0"/>
    <n v="0"/>
    <n v="0"/>
    <n v="0"/>
    <n v="0.125"/>
    <n v="0.10625"/>
    <n v="0"/>
    <n v="0"/>
    <n v="0"/>
    <n v="0"/>
    <n v="0"/>
    <n v="0"/>
    <n v="0"/>
    <n v="0"/>
    <n v="0"/>
    <n v="0"/>
    <n v="0"/>
  </r>
  <r>
    <x v="38"/>
    <x v="37"/>
    <m/>
    <x v="1"/>
    <s v="H15"/>
    <x v="1"/>
    <s v="V1911-20"/>
    <s v="Umeå"/>
    <m/>
    <s v="IDRH"/>
    <m/>
    <n v="50"/>
    <x v="0"/>
    <m/>
    <m/>
    <n v="1"/>
    <n v="0.125"/>
    <n v="0.85"/>
    <n v="0.10625"/>
    <n v="5740"/>
    <x v="9"/>
    <s v="TekNat"/>
    <x v="1"/>
    <n v="19473"/>
    <n v="34806"/>
    <n v="6132.2624999999998"/>
    <n v="21800"/>
    <n v="2725"/>
    <n v="8857.2625000000007"/>
    <n v="0"/>
    <n v="0"/>
    <n v="0"/>
    <n v="0"/>
    <n v="0"/>
    <n v="1"/>
    <n v="0"/>
    <n v="0"/>
    <n v="0"/>
    <n v="0"/>
    <n v="0"/>
    <n v="0"/>
    <s v="Enl Ladok 190515"/>
    <m/>
    <n v="0"/>
    <n v="0"/>
    <n v="0"/>
    <n v="0"/>
    <n v="0"/>
    <n v="0"/>
    <n v="0"/>
    <n v="0"/>
    <n v="0"/>
    <n v="0"/>
    <n v="0.125"/>
    <n v="0.10625"/>
    <n v="0"/>
    <n v="0"/>
    <n v="0"/>
    <n v="0"/>
    <n v="0"/>
    <n v="0"/>
    <n v="0"/>
    <n v="0"/>
    <n v="0"/>
    <n v="0"/>
    <n v="0"/>
  </r>
  <r>
    <x v="38"/>
    <x v="37"/>
    <m/>
    <x v="1"/>
    <s v="H15"/>
    <x v="1"/>
    <s v="V1911-20"/>
    <s v="Umeå"/>
    <m/>
    <s v="MATT"/>
    <m/>
    <n v="50"/>
    <x v="0"/>
    <m/>
    <m/>
    <n v="2"/>
    <n v="0.25"/>
    <n v="0.85"/>
    <n v="0.21249999999999999"/>
    <n v="5740"/>
    <x v="9"/>
    <s v="TekNat"/>
    <x v="1"/>
    <n v="19473"/>
    <n v="34806"/>
    <n v="12264.525"/>
    <n v="21800"/>
    <n v="5450"/>
    <n v="17714.525000000001"/>
    <n v="0"/>
    <n v="0"/>
    <n v="0"/>
    <n v="0"/>
    <n v="0"/>
    <n v="1"/>
    <n v="0"/>
    <n v="0"/>
    <n v="0"/>
    <n v="0"/>
    <n v="0"/>
    <n v="0"/>
    <s v="Enl Ladok 190515"/>
    <m/>
    <n v="0"/>
    <n v="0"/>
    <n v="0"/>
    <n v="0"/>
    <n v="0"/>
    <n v="0"/>
    <n v="0"/>
    <n v="0"/>
    <n v="0"/>
    <n v="0"/>
    <n v="0.25"/>
    <n v="0.21249999999999999"/>
    <n v="0"/>
    <n v="0"/>
    <n v="0"/>
    <n v="0"/>
    <n v="0"/>
    <n v="0"/>
    <n v="0"/>
    <n v="0"/>
    <n v="0"/>
    <n v="0"/>
    <n v="0"/>
  </r>
  <r>
    <x v="38"/>
    <x v="37"/>
    <m/>
    <x v="1"/>
    <s v="H15"/>
    <x v="1"/>
    <s v="V1911-20"/>
    <s v="Umeå"/>
    <m/>
    <s v="SVAA"/>
    <m/>
    <n v="50"/>
    <x v="0"/>
    <m/>
    <m/>
    <n v="1"/>
    <n v="0.125"/>
    <n v="0.85"/>
    <n v="0.10625"/>
    <n v="5740"/>
    <x v="9"/>
    <s v="TekNat"/>
    <x v="1"/>
    <n v="19473"/>
    <n v="34806"/>
    <n v="6132.2624999999998"/>
    <n v="21800"/>
    <n v="2725"/>
    <n v="8857.2625000000007"/>
    <n v="0"/>
    <n v="0"/>
    <n v="0"/>
    <n v="0"/>
    <n v="0"/>
    <n v="1"/>
    <n v="0"/>
    <n v="0"/>
    <n v="0"/>
    <n v="0"/>
    <n v="0"/>
    <n v="0"/>
    <s v="Enl Ladok 190515"/>
    <m/>
    <n v="0"/>
    <n v="0"/>
    <n v="0"/>
    <n v="0"/>
    <n v="0"/>
    <n v="0"/>
    <n v="0"/>
    <n v="0"/>
    <n v="0"/>
    <n v="0"/>
    <n v="0.125"/>
    <n v="0.10625"/>
    <n v="0"/>
    <n v="0"/>
    <n v="0"/>
    <n v="0"/>
    <n v="0"/>
    <n v="0"/>
    <n v="0"/>
    <n v="0"/>
    <n v="0"/>
    <n v="0"/>
    <n v="0"/>
  </r>
  <r>
    <x v="38"/>
    <x v="37"/>
    <m/>
    <x v="1"/>
    <s v="H17"/>
    <x v="1"/>
    <s v="V1911-20"/>
    <s v="Umeå"/>
    <m/>
    <s v="BIOL"/>
    <m/>
    <n v="50"/>
    <x v="0"/>
    <m/>
    <m/>
    <n v="2"/>
    <n v="0.25"/>
    <n v="0.85"/>
    <n v="0.21249999999999999"/>
    <n v="5740"/>
    <x v="9"/>
    <s v="TekNat"/>
    <x v="1"/>
    <n v="19473"/>
    <n v="34806"/>
    <n v="12264.525"/>
    <n v="21800"/>
    <n v="5450"/>
    <n v="17714.525000000001"/>
    <n v="0"/>
    <n v="0"/>
    <n v="0"/>
    <n v="0"/>
    <n v="0"/>
    <n v="1"/>
    <n v="0"/>
    <n v="0"/>
    <n v="0"/>
    <n v="0"/>
    <n v="0"/>
    <n v="0"/>
    <s v="Enl Ladok 190515"/>
    <m/>
    <n v="0"/>
    <n v="0"/>
    <n v="0"/>
    <n v="0"/>
    <n v="0"/>
    <n v="0"/>
    <n v="0"/>
    <n v="0"/>
    <n v="0"/>
    <n v="0"/>
    <n v="0.25"/>
    <n v="0.21249999999999999"/>
    <n v="0"/>
    <n v="0"/>
    <n v="0"/>
    <n v="0"/>
    <n v="0"/>
    <n v="0"/>
    <n v="0"/>
    <n v="0"/>
    <n v="0"/>
    <n v="0"/>
    <n v="0"/>
  </r>
  <r>
    <x v="38"/>
    <x v="37"/>
    <m/>
    <x v="1"/>
    <s v="H18"/>
    <x v="1"/>
    <s v="V1911-20"/>
    <s v="Umeå"/>
    <m/>
    <s v="BIOL"/>
    <m/>
    <n v="50"/>
    <x v="0"/>
    <m/>
    <m/>
    <n v="1"/>
    <n v="0.125"/>
    <n v="0.85"/>
    <n v="0.10625"/>
    <n v="5740"/>
    <x v="9"/>
    <s v="TekNat"/>
    <x v="1"/>
    <n v="19473"/>
    <n v="34806"/>
    <n v="6132.2624999999998"/>
    <n v="21800"/>
    <n v="2725"/>
    <n v="8857.2625000000007"/>
    <n v="0"/>
    <n v="0"/>
    <n v="0"/>
    <n v="0"/>
    <n v="0"/>
    <n v="1"/>
    <n v="0"/>
    <n v="0"/>
    <n v="0"/>
    <n v="0"/>
    <n v="0"/>
    <n v="0"/>
    <s v="Enl Ladok 190515"/>
    <m/>
    <n v="0"/>
    <n v="0"/>
    <n v="0"/>
    <n v="0"/>
    <n v="0"/>
    <n v="0"/>
    <n v="0"/>
    <n v="0"/>
    <n v="0"/>
    <n v="0"/>
    <n v="0.125"/>
    <n v="0.10625"/>
    <n v="0"/>
    <n v="0"/>
    <n v="0"/>
    <n v="0"/>
    <n v="0"/>
    <n v="0"/>
    <n v="0"/>
    <n v="0"/>
    <n v="0"/>
    <n v="0"/>
    <n v="0"/>
  </r>
  <r>
    <x v="39"/>
    <x v="7"/>
    <m/>
    <x v="0"/>
    <m/>
    <x v="2"/>
    <m/>
    <m/>
    <s v="Campus"/>
    <m/>
    <m/>
    <n v="100"/>
    <x v="0"/>
    <m/>
    <m/>
    <n v="10"/>
    <n v="1.25"/>
    <n v="0.8"/>
    <n v="1"/>
    <n v="5700"/>
    <x v="4"/>
    <s v="TekNat"/>
    <x v="0"/>
    <n v="19473"/>
    <n v="34806"/>
    <n v="59147.25"/>
    <n v="21800"/>
    <n v="27250"/>
    <n v="86397.25"/>
    <n v="0"/>
    <n v="0"/>
    <n v="0"/>
    <n v="0"/>
    <n v="0"/>
    <n v="0.5"/>
    <n v="0"/>
    <n v="0.5"/>
    <n v="0"/>
    <n v="0"/>
    <n v="0"/>
    <n v="0"/>
    <s v="Äskat - Beslut p43 180607"/>
    <m/>
    <n v="0"/>
    <n v="0"/>
    <n v="0"/>
    <n v="0"/>
    <n v="0"/>
    <n v="0"/>
    <n v="0"/>
    <n v="0"/>
    <n v="0"/>
    <n v="0"/>
    <n v="0.625"/>
    <n v="0.5"/>
    <n v="0"/>
    <n v="0"/>
    <n v="0.625"/>
    <n v="0.5"/>
    <n v="0"/>
    <n v="0"/>
    <n v="0"/>
    <n v="0"/>
    <n v="0"/>
    <n v="0"/>
    <n v="0"/>
  </r>
  <r>
    <x v="40"/>
    <x v="38"/>
    <m/>
    <x v="0"/>
    <m/>
    <x v="1"/>
    <m/>
    <m/>
    <s v="Campus"/>
    <m/>
    <m/>
    <n v="100"/>
    <x v="7"/>
    <m/>
    <m/>
    <n v="2"/>
    <n v="1"/>
    <n v="0.8"/>
    <n v="0.8"/>
    <n v="1620"/>
    <x v="10"/>
    <s v="Hum"/>
    <x v="0"/>
    <n v="18405"/>
    <n v="15773"/>
    <n v="31023.4"/>
    <n v="5800"/>
    <n v="5800"/>
    <n v="36823.4"/>
    <n v="0"/>
    <n v="1"/>
    <n v="0"/>
    <n v="0"/>
    <n v="0"/>
    <n v="0"/>
    <n v="0"/>
    <n v="0"/>
    <n v="0"/>
    <n v="0"/>
    <n v="0"/>
    <n v="0"/>
    <s v="Enl Ladok 190515"/>
    <s v="Äskat - Beslut p43 180607"/>
    <n v="0"/>
    <n v="0"/>
    <n v="1"/>
    <n v="0.8"/>
    <n v="0"/>
    <n v="0"/>
    <n v="0"/>
    <n v="0"/>
    <n v="0"/>
    <n v="0"/>
    <n v="0"/>
    <n v="0"/>
    <n v="0"/>
    <n v="0"/>
    <n v="0"/>
    <n v="0"/>
    <n v="0"/>
    <n v="0"/>
    <n v="0"/>
    <n v="0"/>
    <n v="0"/>
    <n v="0"/>
    <n v="0"/>
  </r>
  <r>
    <x v="40"/>
    <x v="38"/>
    <m/>
    <x v="1"/>
    <s v="H16"/>
    <x v="1"/>
    <s v="V191-20"/>
    <s v="Umeå"/>
    <m/>
    <s v="BIOL"/>
    <m/>
    <n v="100"/>
    <x v="7"/>
    <m/>
    <m/>
    <n v="1"/>
    <n v="0.5"/>
    <n v="0.85"/>
    <n v="0.42499999999999999"/>
    <n v="1620"/>
    <x v="10"/>
    <s v="Hum"/>
    <x v="1"/>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40"/>
    <x v="38"/>
    <m/>
    <x v="1"/>
    <s v="H16"/>
    <x v="1"/>
    <s v="V191-20"/>
    <s v="Umeå"/>
    <m/>
    <s v="IDRH"/>
    <m/>
    <n v="100"/>
    <x v="7"/>
    <m/>
    <m/>
    <n v="2"/>
    <n v="1"/>
    <n v="0.85"/>
    <n v="0.85"/>
    <n v="1620"/>
    <x v="10"/>
    <s v="Hum"/>
    <x v="1"/>
    <n v="18405"/>
    <n v="15773"/>
    <n v="31812.05"/>
    <n v="5800"/>
    <n v="5800"/>
    <n v="37612.050000000003"/>
    <n v="0"/>
    <n v="1"/>
    <n v="0"/>
    <n v="0"/>
    <n v="0"/>
    <n v="0"/>
    <n v="0"/>
    <n v="0"/>
    <n v="0"/>
    <n v="0"/>
    <n v="0"/>
    <n v="0"/>
    <s v="Enl Ladok 190318"/>
    <m/>
    <n v="0"/>
    <n v="0"/>
    <n v="1"/>
    <n v="0.85"/>
    <n v="0"/>
    <n v="0"/>
    <n v="0"/>
    <n v="0"/>
    <n v="0"/>
    <n v="0"/>
    <n v="0"/>
    <n v="0"/>
    <n v="0"/>
    <n v="0"/>
    <n v="0"/>
    <n v="0"/>
    <n v="0"/>
    <n v="0"/>
    <n v="0"/>
    <n v="0"/>
    <n v="0"/>
    <n v="0"/>
    <n v="0"/>
  </r>
  <r>
    <x v="40"/>
    <x v="38"/>
    <m/>
    <x v="1"/>
    <s v="H16"/>
    <x v="1"/>
    <s v="V191-20"/>
    <s v="Umeå"/>
    <m/>
    <s v="MATT"/>
    <m/>
    <n v="100"/>
    <x v="7"/>
    <m/>
    <m/>
    <n v="1"/>
    <n v="0.5"/>
    <n v="0.85"/>
    <n v="0.42499999999999999"/>
    <n v="1620"/>
    <x v="10"/>
    <s v="Hum"/>
    <x v="1"/>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40"/>
    <x v="38"/>
    <m/>
    <x v="1"/>
    <s v="H16"/>
    <x v="1"/>
    <s v="V191-20"/>
    <s v="Umeå"/>
    <m/>
    <s v="SPAN"/>
    <m/>
    <n v="100"/>
    <x v="7"/>
    <m/>
    <m/>
    <n v="1"/>
    <n v="0.5"/>
    <n v="0.85"/>
    <n v="0.42499999999999999"/>
    <n v="1620"/>
    <x v="10"/>
    <s v="Hum"/>
    <x v="1"/>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40"/>
    <x v="38"/>
    <m/>
    <x v="1"/>
    <s v="H16"/>
    <x v="1"/>
    <s v="V191-20"/>
    <s v="Umeå"/>
    <m/>
    <s v="SVAN"/>
    <m/>
    <n v="100"/>
    <x v="7"/>
    <m/>
    <m/>
    <n v="1"/>
    <n v="0.5"/>
    <n v="0.85"/>
    <n v="0.42499999999999999"/>
    <n v="1620"/>
    <x v="10"/>
    <s v="Hum"/>
    <x v="1"/>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40"/>
    <x v="38"/>
    <m/>
    <x v="1"/>
    <s v="H16"/>
    <x v="1"/>
    <s v="V191-20"/>
    <s v="Umeå"/>
    <m/>
    <s v="TYSK"/>
    <m/>
    <n v="100"/>
    <x v="7"/>
    <m/>
    <m/>
    <n v="1"/>
    <n v="0.5"/>
    <n v="0.85"/>
    <n v="0.42499999999999999"/>
    <n v="1620"/>
    <x v="10"/>
    <s v="Hum"/>
    <x v="1"/>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40"/>
    <x v="38"/>
    <m/>
    <x v="1"/>
    <s v="H17"/>
    <x v="1"/>
    <s v="V191-20"/>
    <s v="Umeå"/>
    <m/>
    <s v="ENGS"/>
    <m/>
    <n v="100"/>
    <x v="7"/>
    <m/>
    <m/>
    <n v="1"/>
    <n v="0.5"/>
    <n v="0.85"/>
    <n v="0.42499999999999999"/>
    <n v="1620"/>
    <x v="10"/>
    <s v="Hum"/>
    <x v="1"/>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40"/>
    <x v="38"/>
    <m/>
    <x v="1"/>
    <s v="H18"/>
    <x v="1"/>
    <s v="V191-20"/>
    <s v="Umeå"/>
    <m/>
    <s v="ENGS"/>
    <m/>
    <n v="100"/>
    <x v="7"/>
    <m/>
    <m/>
    <n v="26"/>
    <n v="13"/>
    <n v="0.85"/>
    <n v="11.049999999999999"/>
    <n v="1620"/>
    <x v="10"/>
    <s v="Hum"/>
    <x v="1"/>
    <n v="18405"/>
    <n v="15773"/>
    <n v="413556.65"/>
    <n v="5800"/>
    <n v="75400"/>
    <n v="488956.65"/>
    <n v="0"/>
    <n v="1"/>
    <n v="0"/>
    <n v="0"/>
    <n v="0"/>
    <n v="0"/>
    <n v="0"/>
    <n v="0"/>
    <n v="0"/>
    <n v="0"/>
    <n v="0"/>
    <n v="0"/>
    <s v="Enl Ladok 190318"/>
    <m/>
    <n v="0"/>
    <n v="0"/>
    <n v="13"/>
    <n v="11.049999999999999"/>
    <n v="0"/>
    <n v="0"/>
    <n v="0"/>
    <n v="0"/>
    <n v="0"/>
    <n v="0"/>
    <n v="0"/>
    <n v="0"/>
    <n v="0"/>
    <n v="0"/>
    <n v="0"/>
    <n v="0"/>
    <n v="0"/>
    <n v="0"/>
    <n v="0"/>
    <n v="0"/>
    <n v="0"/>
    <n v="0"/>
    <n v="0"/>
  </r>
  <r>
    <x v="40"/>
    <x v="38"/>
    <m/>
    <x v="1"/>
    <s v="H18"/>
    <x v="1"/>
    <s v="V191-20"/>
    <s v="Umeå"/>
    <m/>
    <s v="SVAN"/>
    <m/>
    <n v="100"/>
    <x v="7"/>
    <m/>
    <m/>
    <n v="1"/>
    <n v="0.5"/>
    <n v="0.85"/>
    <n v="0.42499999999999999"/>
    <n v="1620"/>
    <x v="10"/>
    <s v="Hum"/>
    <x v="1"/>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41"/>
    <x v="39"/>
    <m/>
    <x v="0"/>
    <m/>
    <x v="1"/>
    <m/>
    <m/>
    <s v="Campus"/>
    <m/>
    <m/>
    <n v="100"/>
    <x v="7"/>
    <m/>
    <m/>
    <n v="2"/>
    <n v="1"/>
    <n v="0.8"/>
    <n v="0.8"/>
    <n v="1620"/>
    <x v="10"/>
    <s v="Hum"/>
    <x v="0"/>
    <n v="18405"/>
    <n v="15773"/>
    <n v="31023.4"/>
    <n v="5800"/>
    <n v="5800"/>
    <n v="36823.4"/>
    <n v="0"/>
    <n v="1"/>
    <n v="0"/>
    <n v="0"/>
    <n v="0"/>
    <n v="0"/>
    <n v="0"/>
    <n v="0"/>
    <n v="0"/>
    <n v="0"/>
    <n v="0"/>
    <n v="0"/>
    <s v="Enl Ladok 190515"/>
    <s v="Äskat - Beslut p43 180607"/>
    <n v="0"/>
    <n v="0"/>
    <n v="1"/>
    <n v="0.8"/>
    <n v="0"/>
    <n v="0"/>
    <n v="0"/>
    <n v="0"/>
    <n v="0"/>
    <n v="0"/>
    <n v="0"/>
    <n v="0"/>
    <n v="0"/>
    <n v="0"/>
    <n v="0"/>
    <n v="0"/>
    <n v="0"/>
    <n v="0"/>
    <n v="0"/>
    <n v="0"/>
    <n v="0"/>
    <n v="0"/>
    <n v="0"/>
  </r>
  <r>
    <x v="41"/>
    <x v="39"/>
    <m/>
    <x v="1"/>
    <s v="H15"/>
    <x v="1"/>
    <s v="V191-20"/>
    <s v="Umeå"/>
    <m/>
    <s v="BILÄ"/>
    <m/>
    <n v="100"/>
    <x v="7"/>
    <m/>
    <m/>
    <n v="1"/>
    <n v="0.5"/>
    <n v="0.85"/>
    <n v="0.42499999999999999"/>
    <n v="1620"/>
    <x v="10"/>
    <s v="Hum"/>
    <x v="1"/>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41"/>
    <x v="39"/>
    <m/>
    <x v="1"/>
    <s v="H15"/>
    <x v="1"/>
    <s v="V191-20"/>
    <s v="Umeå"/>
    <m/>
    <s v="HIST"/>
    <m/>
    <n v="100"/>
    <x v="7"/>
    <m/>
    <m/>
    <n v="1"/>
    <n v="0.5"/>
    <n v="0.85"/>
    <n v="0.42499999999999999"/>
    <n v="1620"/>
    <x v="10"/>
    <s v="Hum"/>
    <x v="1"/>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41"/>
    <x v="39"/>
    <m/>
    <x v="1"/>
    <s v="H15"/>
    <x v="1"/>
    <s v="V191-20"/>
    <s v="Umeå"/>
    <m/>
    <s v="IDRH"/>
    <m/>
    <n v="100"/>
    <x v="7"/>
    <m/>
    <m/>
    <n v="1"/>
    <n v="0.5"/>
    <n v="0.85"/>
    <n v="0.42499999999999999"/>
    <n v="1620"/>
    <x v="10"/>
    <s v="Hum"/>
    <x v="1"/>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41"/>
    <x v="39"/>
    <m/>
    <x v="1"/>
    <s v="H15"/>
    <x v="1"/>
    <s v="V191-20"/>
    <s v="Umeå"/>
    <m/>
    <s v="RELK"/>
    <m/>
    <n v="100"/>
    <x v="7"/>
    <m/>
    <m/>
    <n v="0"/>
    <n v="0"/>
    <n v="0.85"/>
    <n v="0"/>
    <n v="1620"/>
    <x v="10"/>
    <s v="Hum"/>
    <x v="1"/>
    <n v="18405"/>
    <n v="15773"/>
    <n v="0"/>
    <n v="5800"/>
    <n v="0"/>
    <n v="0"/>
    <n v="0"/>
    <n v="1"/>
    <n v="0"/>
    <n v="0"/>
    <n v="0"/>
    <n v="0"/>
    <n v="0"/>
    <n v="0"/>
    <n v="0"/>
    <n v="0"/>
    <n v="0"/>
    <n v="0"/>
    <s v="Enl Ladok 190318"/>
    <m/>
    <n v="0"/>
    <n v="0"/>
    <n v="0"/>
    <n v="0"/>
    <n v="0"/>
    <n v="0"/>
    <n v="0"/>
    <n v="0"/>
    <n v="0"/>
    <n v="0"/>
    <n v="0"/>
    <n v="0"/>
    <n v="0"/>
    <n v="0"/>
    <n v="0"/>
    <n v="0"/>
    <n v="0"/>
    <n v="0"/>
    <n v="0"/>
    <n v="0"/>
    <n v="0"/>
    <n v="0"/>
    <n v="0"/>
  </r>
  <r>
    <x v="41"/>
    <x v="39"/>
    <m/>
    <x v="1"/>
    <s v="H15"/>
    <x v="1"/>
    <s v="V191-20"/>
    <s v="Umeå"/>
    <m/>
    <s v="SVAA"/>
    <m/>
    <n v="100"/>
    <x v="7"/>
    <m/>
    <m/>
    <n v="3"/>
    <n v="1.5"/>
    <n v="0.85"/>
    <n v="1.2749999999999999"/>
    <n v="1620"/>
    <x v="10"/>
    <s v="Hum"/>
    <x v="1"/>
    <n v="18405"/>
    <n v="15773"/>
    <n v="47718.074999999997"/>
    <n v="5800"/>
    <n v="8700"/>
    <n v="56418.074999999997"/>
    <n v="0"/>
    <n v="1"/>
    <n v="0"/>
    <n v="0"/>
    <n v="0"/>
    <n v="0"/>
    <n v="0"/>
    <n v="0"/>
    <n v="0"/>
    <n v="0"/>
    <n v="0"/>
    <n v="0"/>
    <s v="Enl Ladok 190318"/>
    <m/>
    <n v="0"/>
    <n v="0"/>
    <n v="1.5"/>
    <n v="1.2749999999999999"/>
    <n v="0"/>
    <n v="0"/>
    <n v="0"/>
    <n v="0"/>
    <n v="0"/>
    <n v="0"/>
    <n v="0"/>
    <n v="0"/>
    <n v="0"/>
    <n v="0"/>
    <n v="0"/>
    <n v="0"/>
    <n v="0"/>
    <n v="0"/>
    <n v="0"/>
    <n v="0"/>
    <n v="0"/>
    <n v="0"/>
    <n v="0"/>
  </r>
  <r>
    <x v="41"/>
    <x v="39"/>
    <m/>
    <x v="1"/>
    <s v="H16"/>
    <x v="1"/>
    <s v="V191-20"/>
    <s v="Umeå"/>
    <m/>
    <s v="ENGS"/>
    <m/>
    <n v="100"/>
    <x v="7"/>
    <m/>
    <m/>
    <n v="0"/>
    <n v="0"/>
    <n v="0.85"/>
    <n v="0"/>
    <n v="1620"/>
    <x v="10"/>
    <s v="Hum"/>
    <x v="1"/>
    <n v="18405"/>
    <n v="15773"/>
    <n v="0"/>
    <n v="5800"/>
    <n v="0"/>
    <n v="0"/>
    <n v="0"/>
    <n v="1"/>
    <n v="0"/>
    <n v="0"/>
    <n v="0"/>
    <n v="0"/>
    <n v="0"/>
    <n v="0"/>
    <n v="0"/>
    <n v="0"/>
    <n v="0"/>
    <n v="0"/>
    <s v="Enl Ladok 190318"/>
    <m/>
    <n v="0"/>
    <n v="0"/>
    <n v="0"/>
    <n v="0"/>
    <n v="0"/>
    <n v="0"/>
    <n v="0"/>
    <n v="0"/>
    <n v="0"/>
    <n v="0"/>
    <n v="0"/>
    <n v="0"/>
    <n v="0"/>
    <n v="0"/>
    <n v="0"/>
    <n v="0"/>
    <n v="0"/>
    <n v="0"/>
    <n v="0"/>
    <n v="0"/>
    <n v="0"/>
    <n v="0"/>
    <n v="0"/>
  </r>
  <r>
    <x v="41"/>
    <x v="39"/>
    <m/>
    <x v="1"/>
    <s v="H17"/>
    <x v="1"/>
    <s v="V191-20"/>
    <s v="Umeå"/>
    <m/>
    <s v="ENGS"/>
    <m/>
    <n v="100"/>
    <x v="7"/>
    <m/>
    <m/>
    <n v="17"/>
    <n v="8.5"/>
    <n v="0.85"/>
    <n v="7.2249999999999996"/>
    <n v="1620"/>
    <x v="10"/>
    <s v="Hum"/>
    <x v="1"/>
    <n v="18405"/>
    <n v="15773"/>
    <n v="270402.42499999999"/>
    <n v="5800"/>
    <n v="49300"/>
    <n v="319702.42499999999"/>
    <n v="0"/>
    <n v="1"/>
    <n v="0"/>
    <n v="0"/>
    <n v="0"/>
    <n v="0"/>
    <n v="0"/>
    <n v="0"/>
    <n v="0"/>
    <n v="0"/>
    <n v="0"/>
    <n v="0"/>
    <s v="Enl Ladok 190318"/>
    <m/>
    <n v="0"/>
    <n v="0"/>
    <n v="8.5"/>
    <n v="7.2249999999999996"/>
    <n v="0"/>
    <n v="0"/>
    <n v="0"/>
    <n v="0"/>
    <n v="0"/>
    <n v="0"/>
    <n v="0"/>
    <n v="0"/>
    <n v="0"/>
    <n v="0"/>
    <n v="0"/>
    <n v="0"/>
    <n v="0"/>
    <n v="0"/>
    <n v="0"/>
    <n v="0"/>
    <n v="0"/>
    <n v="0"/>
    <n v="0"/>
  </r>
  <r>
    <x v="42"/>
    <x v="40"/>
    <m/>
    <x v="0"/>
    <m/>
    <x v="2"/>
    <m/>
    <m/>
    <s v="Campus"/>
    <m/>
    <m/>
    <n v="100"/>
    <x v="7"/>
    <m/>
    <m/>
    <n v="2"/>
    <n v="1"/>
    <n v="0.8"/>
    <n v="0.8"/>
    <n v="1620"/>
    <x v="10"/>
    <s v="Hum"/>
    <x v="0"/>
    <n v="18405"/>
    <n v="15773"/>
    <n v="31023.4"/>
    <n v="5800"/>
    <n v="5800"/>
    <n v="36823.4"/>
    <n v="0"/>
    <n v="1"/>
    <n v="0"/>
    <n v="0"/>
    <n v="0"/>
    <n v="0"/>
    <n v="0"/>
    <n v="0"/>
    <n v="0"/>
    <n v="0"/>
    <n v="0"/>
    <n v="0"/>
    <s v="Äskat - Beslut p43 180607"/>
    <m/>
    <n v="0"/>
    <n v="0"/>
    <n v="1"/>
    <n v="0.8"/>
    <n v="0"/>
    <n v="0"/>
    <n v="0"/>
    <n v="0"/>
    <n v="0"/>
    <n v="0"/>
    <n v="0"/>
    <n v="0"/>
    <n v="0"/>
    <n v="0"/>
    <n v="0"/>
    <n v="0"/>
    <n v="0"/>
    <n v="0"/>
    <n v="0"/>
    <n v="0"/>
    <n v="0"/>
    <n v="0"/>
    <n v="0"/>
  </r>
  <r>
    <x v="42"/>
    <x v="40"/>
    <m/>
    <x v="1"/>
    <s v="H15"/>
    <x v="2"/>
    <s v="H191-20"/>
    <m/>
    <m/>
    <s v="ENGS"/>
    <m/>
    <n v="100"/>
    <x v="7"/>
    <m/>
    <m/>
    <n v="1"/>
    <n v="0.5"/>
    <n v="0.85"/>
    <n v="0.42499999999999999"/>
    <n v="1620"/>
    <x v="10"/>
    <s v="Hum"/>
    <x v="1"/>
    <n v="18405"/>
    <n v="15773"/>
    <n v="15906.025"/>
    <n v="5800"/>
    <n v="2900"/>
    <n v="18806.025000000001"/>
    <n v="0"/>
    <n v="1"/>
    <n v="0"/>
    <n v="0"/>
    <n v="0"/>
    <n v="0"/>
    <n v="0"/>
    <n v="0"/>
    <n v="0"/>
    <n v="0"/>
    <n v="0"/>
    <n v="0"/>
    <s v="Enligt SP 190924"/>
    <m/>
    <n v="0"/>
    <n v="0"/>
    <n v="0.5"/>
    <n v="0.42499999999999999"/>
    <n v="0"/>
    <n v="0"/>
    <n v="0"/>
    <n v="0"/>
    <n v="0"/>
    <n v="0"/>
    <n v="0"/>
    <n v="0"/>
    <n v="0"/>
    <n v="0"/>
    <n v="0"/>
    <n v="0"/>
    <n v="0"/>
    <n v="0"/>
    <n v="0"/>
    <n v="0"/>
    <n v="0"/>
    <n v="0"/>
    <n v="0"/>
  </r>
  <r>
    <x v="42"/>
    <x v="40"/>
    <m/>
    <x v="1"/>
    <s v="H16"/>
    <x v="2"/>
    <s v="H191-20"/>
    <m/>
    <m/>
    <s v="BIOL"/>
    <m/>
    <n v="100"/>
    <x v="7"/>
    <m/>
    <m/>
    <n v="1"/>
    <n v="0.5"/>
    <n v="0.85"/>
    <n v="0.42499999999999999"/>
    <n v="1620"/>
    <x v="10"/>
    <s v="Hum"/>
    <x v="1"/>
    <n v="18405"/>
    <n v="15773"/>
    <n v="15906.025"/>
    <n v="5800"/>
    <n v="2900"/>
    <n v="18806.025000000001"/>
    <n v="0"/>
    <n v="1"/>
    <n v="0"/>
    <n v="0"/>
    <n v="0"/>
    <n v="0"/>
    <n v="0"/>
    <n v="0"/>
    <n v="0"/>
    <n v="0"/>
    <n v="0"/>
    <n v="0"/>
    <s v="Enligt SP 190924"/>
    <m/>
    <n v="0"/>
    <n v="0"/>
    <n v="0.5"/>
    <n v="0.42499999999999999"/>
    <n v="0"/>
    <n v="0"/>
    <n v="0"/>
    <n v="0"/>
    <n v="0"/>
    <n v="0"/>
    <n v="0"/>
    <n v="0"/>
    <n v="0"/>
    <n v="0"/>
    <n v="0"/>
    <n v="0"/>
    <n v="0"/>
    <n v="0"/>
    <n v="0"/>
    <n v="0"/>
    <n v="0"/>
    <n v="0"/>
    <n v="0"/>
  </r>
  <r>
    <x v="42"/>
    <x v="40"/>
    <m/>
    <x v="1"/>
    <s v="H16"/>
    <x v="2"/>
    <s v="H191-20"/>
    <m/>
    <m/>
    <s v="IDRH"/>
    <m/>
    <n v="100"/>
    <x v="7"/>
    <m/>
    <m/>
    <n v="3"/>
    <n v="1.5"/>
    <n v="0.85"/>
    <n v="1.2749999999999999"/>
    <n v="1620"/>
    <x v="10"/>
    <s v="Hum"/>
    <x v="1"/>
    <n v="18405"/>
    <n v="15773"/>
    <n v="47718.074999999997"/>
    <n v="5800"/>
    <n v="8700"/>
    <n v="56418.074999999997"/>
    <n v="0"/>
    <n v="1"/>
    <n v="0"/>
    <n v="0"/>
    <n v="0"/>
    <n v="0"/>
    <n v="0"/>
    <n v="0"/>
    <n v="0"/>
    <n v="0"/>
    <n v="0"/>
    <n v="0"/>
    <s v="Enligt SP 190924"/>
    <m/>
    <n v="0"/>
    <n v="0"/>
    <n v="1.5"/>
    <n v="1.2749999999999999"/>
    <n v="0"/>
    <n v="0"/>
    <n v="0"/>
    <n v="0"/>
    <n v="0"/>
    <n v="0"/>
    <n v="0"/>
    <n v="0"/>
    <n v="0"/>
    <n v="0"/>
    <n v="0"/>
    <n v="0"/>
    <n v="0"/>
    <n v="0"/>
    <n v="0"/>
    <n v="0"/>
    <n v="0"/>
    <n v="0"/>
    <n v="0"/>
  </r>
  <r>
    <x v="42"/>
    <x v="40"/>
    <m/>
    <x v="1"/>
    <s v="H16"/>
    <x v="2"/>
    <s v="H191-20"/>
    <m/>
    <m/>
    <s v="MATT"/>
    <m/>
    <n v="100"/>
    <x v="7"/>
    <m/>
    <m/>
    <n v="1"/>
    <n v="0.5"/>
    <n v="0.85"/>
    <n v="0.42499999999999999"/>
    <n v="1620"/>
    <x v="10"/>
    <s v="Hum"/>
    <x v="1"/>
    <n v="18405"/>
    <n v="15773"/>
    <n v="15906.025"/>
    <n v="5800"/>
    <n v="2900"/>
    <n v="18806.025000000001"/>
    <n v="0"/>
    <n v="1"/>
    <n v="0"/>
    <n v="0"/>
    <n v="0"/>
    <n v="0"/>
    <n v="0"/>
    <n v="0"/>
    <n v="0"/>
    <n v="0"/>
    <n v="0"/>
    <n v="0"/>
    <s v="Enligt SP 190924"/>
    <m/>
    <n v="0"/>
    <n v="0"/>
    <n v="0.5"/>
    <n v="0.42499999999999999"/>
    <n v="0"/>
    <n v="0"/>
    <n v="0"/>
    <n v="0"/>
    <n v="0"/>
    <n v="0"/>
    <n v="0"/>
    <n v="0"/>
    <n v="0"/>
    <n v="0"/>
    <n v="0"/>
    <n v="0"/>
    <n v="0"/>
    <n v="0"/>
    <n v="0"/>
    <n v="0"/>
    <n v="0"/>
    <n v="0"/>
    <n v="0"/>
  </r>
  <r>
    <x v="42"/>
    <x v="40"/>
    <m/>
    <x v="1"/>
    <s v="H16"/>
    <x v="2"/>
    <s v="H191-20"/>
    <m/>
    <m/>
    <s v="SPAN"/>
    <m/>
    <n v="100"/>
    <x v="7"/>
    <m/>
    <m/>
    <n v="1"/>
    <n v="0.5"/>
    <n v="0.85"/>
    <n v="0.42499999999999999"/>
    <n v="1620"/>
    <x v="10"/>
    <s v="Hum"/>
    <x v="1"/>
    <n v="18405"/>
    <n v="15773"/>
    <n v="15906.025"/>
    <n v="5800"/>
    <n v="2900"/>
    <n v="18806.025000000001"/>
    <n v="0"/>
    <n v="1"/>
    <n v="0"/>
    <n v="0"/>
    <n v="0"/>
    <n v="0"/>
    <n v="0"/>
    <n v="0"/>
    <n v="0"/>
    <n v="0"/>
    <n v="0"/>
    <n v="0"/>
    <s v="Enligt SP 190924"/>
    <m/>
    <n v="0"/>
    <n v="0"/>
    <n v="0.5"/>
    <n v="0.42499999999999999"/>
    <n v="0"/>
    <n v="0"/>
    <n v="0"/>
    <n v="0"/>
    <n v="0"/>
    <n v="0"/>
    <n v="0"/>
    <n v="0"/>
    <n v="0"/>
    <n v="0"/>
    <n v="0"/>
    <n v="0"/>
    <n v="0"/>
    <n v="0"/>
    <n v="0"/>
    <n v="0"/>
    <n v="0"/>
    <n v="0"/>
    <n v="0"/>
  </r>
  <r>
    <x v="42"/>
    <x v="40"/>
    <m/>
    <x v="1"/>
    <s v="H16"/>
    <x v="2"/>
    <s v="H191-20"/>
    <m/>
    <m/>
    <s v="SVAA"/>
    <m/>
    <n v="100"/>
    <x v="7"/>
    <m/>
    <m/>
    <n v="1"/>
    <n v="0.5"/>
    <n v="0.85"/>
    <n v="0.42499999999999999"/>
    <n v="1620"/>
    <x v="10"/>
    <s v="Hum"/>
    <x v="1"/>
    <n v="18405"/>
    <n v="15773"/>
    <n v="15906.025"/>
    <n v="5800"/>
    <n v="2900"/>
    <n v="18806.025000000001"/>
    <n v="0"/>
    <n v="1"/>
    <n v="0"/>
    <n v="0"/>
    <n v="0"/>
    <n v="0"/>
    <n v="0"/>
    <n v="0"/>
    <n v="0"/>
    <n v="0"/>
    <n v="0"/>
    <n v="0"/>
    <s v="Enligt SP 190924"/>
    <m/>
    <n v="0"/>
    <n v="0"/>
    <n v="0.5"/>
    <n v="0.42499999999999999"/>
    <n v="0"/>
    <n v="0"/>
    <n v="0"/>
    <n v="0"/>
    <n v="0"/>
    <n v="0"/>
    <n v="0"/>
    <n v="0"/>
    <n v="0"/>
    <n v="0"/>
    <n v="0"/>
    <n v="0"/>
    <n v="0"/>
    <n v="0"/>
    <n v="0"/>
    <n v="0"/>
    <n v="0"/>
    <n v="0"/>
    <n v="0"/>
  </r>
  <r>
    <x v="42"/>
    <x v="40"/>
    <m/>
    <x v="1"/>
    <s v="H16"/>
    <x v="2"/>
    <s v="H191-20"/>
    <m/>
    <m/>
    <s v="SVAN"/>
    <m/>
    <n v="100"/>
    <x v="7"/>
    <m/>
    <m/>
    <n v="1"/>
    <n v="0.5"/>
    <n v="0.85"/>
    <n v="0.42499999999999999"/>
    <n v="1620"/>
    <x v="10"/>
    <s v="Hum"/>
    <x v="1"/>
    <n v="18405"/>
    <n v="15773"/>
    <n v="15906.025"/>
    <n v="5800"/>
    <n v="2900"/>
    <n v="18806.025000000001"/>
    <n v="0"/>
    <n v="1"/>
    <n v="0"/>
    <n v="0"/>
    <n v="0"/>
    <n v="0"/>
    <n v="0"/>
    <n v="0"/>
    <n v="0"/>
    <n v="0"/>
    <n v="0"/>
    <n v="0"/>
    <s v="Enligt SP 190924"/>
    <m/>
    <n v="0"/>
    <n v="0"/>
    <n v="0.5"/>
    <n v="0.42499999999999999"/>
    <n v="0"/>
    <n v="0"/>
    <n v="0"/>
    <n v="0"/>
    <n v="0"/>
    <n v="0"/>
    <n v="0"/>
    <n v="0"/>
    <n v="0"/>
    <n v="0"/>
    <n v="0"/>
    <n v="0"/>
    <n v="0"/>
    <n v="0"/>
    <n v="0"/>
    <n v="0"/>
    <n v="0"/>
    <n v="0"/>
    <n v="0"/>
  </r>
  <r>
    <x v="42"/>
    <x v="40"/>
    <m/>
    <x v="1"/>
    <s v="H16"/>
    <x v="2"/>
    <s v="H191-20"/>
    <m/>
    <m/>
    <s v="TYSK"/>
    <m/>
    <n v="100"/>
    <x v="7"/>
    <m/>
    <m/>
    <n v="1"/>
    <n v="0.5"/>
    <n v="0.85"/>
    <n v="0.42499999999999999"/>
    <n v="1620"/>
    <x v="10"/>
    <s v="Hum"/>
    <x v="1"/>
    <n v="18405"/>
    <n v="15773"/>
    <n v="15906.025"/>
    <n v="5800"/>
    <n v="2900"/>
    <n v="18806.025000000001"/>
    <n v="0"/>
    <n v="1"/>
    <n v="0"/>
    <n v="0"/>
    <n v="0"/>
    <n v="0"/>
    <n v="0"/>
    <n v="0"/>
    <n v="0"/>
    <n v="0"/>
    <n v="0"/>
    <n v="0"/>
    <s v="Enligt SP 190924"/>
    <m/>
    <n v="0"/>
    <n v="0"/>
    <n v="0.5"/>
    <n v="0.42499999999999999"/>
    <n v="0"/>
    <n v="0"/>
    <n v="0"/>
    <n v="0"/>
    <n v="0"/>
    <n v="0"/>
    <n v="0"/>
    <n v="0"/>
    <n v="0"/>
    <n v="0"/>
    <n v="0"/>
    <n v="0"/>
    <n v="0"/>
    <n v="0"/>
    <n v="0"/>
    <n v="0"/>
    <n v="0"/>
    <n v="0"/>
    <n v="0"/>
  </r>
  <r>
    <x v="42"/>
    <x v="40"/>
    <m/>
    <x v="1"/>
    <s v="H17"/>
    <x v="2"/>
    <s v="H191-20"/>
    <m/>
    <m/>
    <s v="ENGS"/>
    <m/>
    <n v="100"/>
    <x v="7"/>
    <m/>
    <m/>
    <n v="2"/>
    <n v="1"/>
    <n v="0.85"/>
    <n v="0.85"/>
    <n v="1620"/>
    <x v="10"/>
    <s v="Hum"/>
    <x v="1"/>
    <n v="18405"/>
    <n v="15773"/>
    <n v="31812.05"/>
    <n v="5800"/>
    <n v="5800"/>
    <n v="37612.050000000003"/>
    <n v="0"/>
    <n v="1"/>
    <n v="0"/>
    <n v="0"/>
    <n v="0"/>
    <n v="0"/>
    <n v="0"/>
    <n v="0"/>
    <n v="0"/>
    <n v="0"/>
    <n v="0"/>
    <n v="0"/>
    <s v="Enligt SP 190924"/>
    <m/>
    <n v="0"/>
    <n v="0"/>
    <n v="1"/>
    <n v="0.85"/>
    <n v="0"/>
    <n v="0"/>
    <n v="0"/>
    <n v="0"/>
    <n v="0"/>
    <n v="0"/>
    <n v="0"/>
    <n v="0"/>
    <n v="0"/>
    <n v="0"/>
    <n v="0"/>
    <n v="0"/>
    <n v="0"/>
    <n v="0"/>
    <n v="0"/>
    <n v="0"/>
    <n v="0"/>
    <n v="0"/>
    <n v="0"/>
  </r>
  <r>
    <x v="42"/>
    <x v="40"/>
    <m/>
    <x v="1"/>
    <s v="H18"/>
    <x v="2"/>
    <s v="H191-20"/>
    <m/>
    <m/>
    <s v="ENGS"/>
    <m/>
    <n v="100"/>
    <x v="7"/>
    <m/>
    <m/>
    <n v="26"/>
    <n v="13"/>
    <n v="0.85"/>
    <n v="11.049999999999999"/>
    <n v="1620"/>
    <x v="10"/>
    <s v="Hum"/>
    <x v="1"/>
    <n v="18405"/>
    <n v="15773"/>
    <n v="413556.65"/>
    <n v="5800"/>
    <n v="75400"/>
    <n v="488956.65"/>
    <n v="0"/>
    <n v="1"/>
    <n v="0"/>
    <n v="0"/>
    <n v="0"/>
    <n v="0"/>
    <n v="0"/>
    <n v="0"/>
    <n v="0"/>
    <n v="0"/>
    <n v="0"/>
    <n v="0"/>
    <s v="Enligt SP 190924"/>
    <m/>
    <n v="0"/>
    <n v="0"/>
    <n v="13"/>
    <n v="11.049999999999999"/>
    <n v="0"/>
    <n v="0"/>
    <n v="0"/>
    <n v="0"/>
    <n v="0"/>
    <n v="0"/>
    <n v="0"/>
    <n v="0"/>
    <n v="0"/>
    <n v="0"/>
    <n v="0"/>
    <n v="0"/>
    <n v="0"/>
    <n v="0"/>
    <n v="0"/>
    <n v="0"/>
    <n v="0"/>
    <n v="0"/>
    <n v="0"/>
  </r>
  <r>
    <x v="42"/>
    <x v="40"/>
    <m/>
    <x v="1"/>
    <s v="H18"/>
    <x v="2"/>
    <s v="H191-20"/>
    <m/>
    <m/>
    <s v="HIST"/>
    <m/>
    <n v="100"/>
    <x v="7"/>
    <m/>
    <m/>
    <n v="1"/>
    <n v="0.5"/>
    <n v="0.85"/>
    <n v="0.42499999999999999"/>
    <n v="1620"/>
    <x v="10"/>
    <s v="Hum"/>
    <x v="1"/>
    <n v="18405"/>
    <n v="15773"/>
    <n v="15906.025"/>
    <n v="5800"/>
    <n v="2900"/>
    <n v="18806.025000000001"/>
    <n v="0"/>
    <n v="1"/>
    <n v="0"/>
    <n v="0"/>
    <n v="0"/>
    <n v="0"/>
    <n v="0"/>
    <n v="0"/>
    <n v="0"/>
    <n v="0"/>
    <n v="0"/>
    <n v="0"/>
    <s v="Enligt SP 190924"/>
    <m/>
    <n v="0"/>
    <n v="0"/>
    <n v="0.5"/>
    <n v="0.42499999999999999"/>
    <n v="0"/>
    <n v="0"/>
    <n v="0"/>
    <n v="0"/>
    <n v="0"/>
    <n v="0"/>
    <n v="0"/>
    <n v="0"/>
    <n v="0"/>
    <n v="0"/>
    <n v="0"/>
    <n v="0"/>
    <n v="0"/>
    <n v="0"/>
    <n v="0"/>
    <n v="0"/>
    <n v="0"/>
    <n v="0"/>
    <n v="0"/>
  </r>
  <r>
    <x v="43"/>
    <x v="41"/>
    <m/>
    <x v="1"/>
    <s v="H16"/>
    <x v="2"/>
    <s v="H1913-16"/>
    <m/>
    <m/>
    <s v="ENGS"/>
    <m/>
    <n v="100"/>
    <x v="2"/>
    <m/>
    <m/>
    <n v="1"/>
    <n v="0.1"/>
    <n v="0.85"/>
    <n v="8.5000000000000006E-2"/>
    <n v="1620"/>
    <x v="10"/>
    <s v="Hum"/>
    <x v="1"/>
    <n v="21634"/>
    <n v="26986"/>
    <n v="4457.21"/>
    <n v="3400"/>
    <n v="340"/>
    <n v="4797.21"/>
    <n v="0"/>
    <n v="0"/>
    <n v="0"/>
    <n v="0"/>
    <n v="0"/>
    <n v="0"/>
    <n v="0"/>
    <n v="0"/>
    <n v="1"/>
    <n v="0"/>
    <n v="0"/>
    <n v="0"/>
    <s v="Enligt SP 190924"/>
    <m/>
    <n v="0"/>
    <n v="0"/>
    <n v="0"/>
    <n v="0"/>
    <n v="0"/>
    <n v="0"/>
    <n v="0"/>
    <n v="0"/>
    <n v="0"/>
    <n v="0"/>
    <n v="0"/>
    <n v="0"/>
    <n v="0"/>
    <n v="0"/>
    <n v="0"/>
    <n v="0"/>
    <n v="0.1"/>
    <n v="8.5000000000000006E-2"/>
    <n v="0"/>
    <n v="0"/>
    <n v="0"/>
    <n v="0"/>
    <n v="0"/>
  </r>
  <r>
    <x v="43"/>
    <x v="41"/>
    <m/>
    <x v="1"/>
    <s v="H17"/>
    <x v="2"/>
    <s v="H1913-16"/>
    <m/>
    <m/>
    <s v="ENGS"/>
    <m/>
    <n v="100"/>
    <x v="2"/>
    <m/>
    <m/>
    <n v="16"/>
    <n v="1.6"/>
    <n v="0.85"/>
    <n v="1.36"/>
    <n v="1620"/>
    <x v="10"/>
    <s v="Hum"/>
    <x v="1"/>
    <n v="21634"/>
    <n v="26986"/>
    <n v="71315.360000000001"/>
    <n v="3400"/>
    <n v="5440"/>
    <n v="76755.360000000001"/>
    <n v="0"/>
    <n v="0"/>
    <n v="0"/>
    <n v="0"/>
    <n v="0"/>
    <n v="0"/>
    <n v="0"/>
    <n v="0"/>
    <n v="1"/>
    <n v="0"/>
    <n v="0"/>
    <n v="0"/>
    <s v="Enligt SP 190924"/>
    <m/>
    <n v="0"/>
    <n v="0"/>
    <n v="0"/>
    <n v="0"/>
    <n v="0"/>
    <n v="0"/>
    <n v="0"/>
    <n v="0"/>
    <n v="0"/>
    <n v="0"/>
    <n v="0"/>
    <n v="0"/>
    <n v="0"/>
    <n v="0"/>
    <n v="0"/>
    <n v="0"/>
    <n v="1.6"/>
    <n v="1.36"/>
    <n v="0"/>
    <n v="0"/>
    <n v="0"/>
    <n v="0"/>
    <n v="0"/>
  </r>
  <r>
    <x v="43"/>
    <x v="41"/>
    <m/>
    <x v="1"/>
    <s v="H17"/>
    <x v="2"/>
    <s v="H1913-16"/>
    <m/>
    <m/>
    <s v="RELK"/>
    <m/>
    <n v="100"/>
    <x v="2"/>
    <m/>
    <m/>
    <n v="1"/>
    <n v="0.1"/>
    <n v="0.85"/>
    <n v="8.5000000000000006E-2"/>
    <n v="1620"/>
    <x v="10"/>
    <s v="Hum"/>
    <x v="1"/>
    <n v="21634"/>
    <n v="26986"/>
    <n v="4457.21"/>
    <n v="3400"/>
    <n v="340"/>
    <n v="4797.21"/>
    <n v="0"/>
    <n v="0"/>
    <n v="0"/>
    <n v="0"/>
    <n v="0"/>
    <n v="0"/>
    <n v="0"/>
    <n v="0"/>
    <n v="1"/>
    <n v="0"/>
    <n v="0"/>
    <n v="0"/>
    <s v="Enligt SP 190924"/>
    <m/>
    <n v="0"/>
    <n v="0"/>
    <n v="0"/>
    <n v="0"/>
    <n v="0"/>
    <n v="0"/>
    <n v="0"/>
    <n v="0"/>
    <n v="0"/>
    <n v="0"/>
    <n v="0"/>
    <n v="0"/>
    <n v="0"/>
    <n v="0"/>
    <n v="0"/>
    <n v="0"/>
    <n v="0.1"/>
    <n v="8.5000000000000006E-2"/>
    <n v="0"/>
    <n v="0"/>
    <n v="0"/>
    <n v="0"/>
    <n v="0"/>
  </r>
  <r>
    <x v="43"/>
    <x v="41"/>
    <m/>
    <x v="1"/>
    <s v="H18"/>
    <x v="2"/>
    <s v="H1913-16"/>
    <m/>
    <m/>
    <s v="SVAN"/>
    <m/>
    <n v="100"/>
    <x v="2"/>
    <m/>
    <m/>
    <n v="1"/>
    <n v="0.1"/>
    <n v="0.85"/>
    <n v="8.5000000000000006E-2"/>
    <n v="1620"/>
    <x v="10"/>
    <s v="Hum"/>
    <x v="1"/>
    <n v="21634"/>
    <n v="26986"/>
    <n v="4457.21"/>
    <n v="3400"/>
    <n v="340"/>
    <n v="4797.21"/>
    <n v="0"/>
    <n v="0"/>
    <n v="0"/>
    <n v="0"/>
    <n v="0"/>
    <n v="0"/>
    <n v="0"/>
    <n v="0"/>
    <n v="1"/>
    <n v="0"/>
    <n v="0"/>
    <n v="0"/>
    <s v="Enligt SP 190924"/>
    <m/>
    <n v="0"/>
    <n v="0"/>
    <n v="0"/>
    <n v="0"/>
    <n v="0"/>
    <n v="0"/>
    <n v="0"/>
    <n v="0"/>
    <n v="0"/>
    <n v="0"/>
    <n v="0"/>
    <n v="0"/>
    <n v="0"/>
    <n v="0"/>
    <n v="0"/>
    <n v="0"/>
    <n v="0.1"/>
    <n v="8.5000000000000006E-2"/>
    <n v="0"/>
    <n v="0"/>
    <n v="0"/>
    <n v="0"/>
    <n v="0"/>
  </r>
  <r>
    <x v="44"/>
    <x v="42"/>
    <m/>
    <x v="2"/>
    <s v="H18"/>
    <x v="1"/>
    <s v="V1911-15"/>
    <s v="Umeå"/>
    <m/>
    <m/>
    <m/>
    <n v="100"/>
    <x v="0"/>
    <m/>
    <m/>
    <n v="47"/>
    <n v="5.875"/>
    <n v="0.85"/>
    <n v="4.9937499999999995"/>
    <n v="1620"/>
    <x v="10"/>
    <s v="Hum"/>
    <x v="2"/>
    <n v="18405"/>
    <n v="15773"/>
    <n v="186895.79375000001"/>
    <n v="5800"/>
    <n v="34075"/>
    <n v="220970.79375000001"/>
    <n v="0"/>
    <n v="1"/>
    <n v="0"/>
    <n v="0"/>
    <n v="0"/>
    <n v="0"/>
    <n v="0"/>
    <n v="0"/>
    <n v="0"/>
    <n v="0"/>
    <n v="0"/>
    <n v="0"/>
    <s v="Enl Ladok 190515"/>
    <m/>
    <n v="0"/>
    <n v="0"/>
    <n v="5.875"/>
    <n v="4.9937499999999995"/>
    <n v="0"/>
    <n v="0"/>
    <n v="0"/>
    <n v="0"/>
    <n v="0"/>
    <n v="0"/>
    <n v="0"/>
    <n v="0"/>
    <n v="0"/>
    <n v="0"/>
    <n v="0"/>
    <n v="0"/>
    <n v="0"/>
    <n v="0"/>
    <n v="0"/>
    <n v="0"/>
    <n v="0"/>
    <n v="0"/>
    <n v="0"/>
  </r>
  <r>
    <x v="45"/>
    <x v="43"/>
    <m/>
    <x v="3"/>
    <s v="H18"/>
    <x v="1"/>
    <s v="V1911-15"/>
    <s v="Umeå"/>
    <m/>
    <m/>
    <m/>
    <n v="100"/>
    <x v="0"/>
    <m/>
    <m/>
    <n v="26"/>
    <n v="3.25"/>
    <n v="0.85"/>
    <n v="2.7624999999999997"/>
    <n v="1620"/>
    <x v="10"/>
    <s v="Hum"/>
    <x v="3"/>
    <n v="18405"/>
    <n v="15773"/>
    <n v="103389.16250000001"/>
    <n v="5800"/>
    <n v="18850"/>
    <n v="122239.16250000001"/>
    <n v="0"/>
    <n v="1"/>
    <n v="0"/>
    <n v="0"/>
    <n v="0"/>
    <n v="0"/>
    <n v="0"/>
    <n v="0"/>
    <n v="0"/>
    <n v="0"/>
    <n v="0"/>
    <n v="0"/>
    <s v="Enl Ladok 190515"/>
    <m/>
    <n v="0"/>
    <n v="0"/>
    <n v="3.25"/>
    <n v="2.7624999999999997"/>
    <n v="0"/>
    <n v="0"/>
    <n v="0"/>
    <n v="0"/>
    <n v="0"/>
    <n v="0"/>
    <n v="0"/>
    <n v="0"/>
    <n v="0"/>
    <n v="0"/>
    <n v="0"/>
    <n v="0"/>
    <n v="0"/>
    <n v="0"/>
    <n v="0"/>
    <n v="0"/>
    <n v="0"/>
    <n v="0"/>
    <n v="0"/>
  </r>
  <r>
    <x v="46"/>
    <x v="44"/>
    <m/>
    <x v="2"/>
    <s v="H18"/>
    <x v="2"/>
    <s v="H1911-15"/>
    <m/>
    <m/>
    <m/>
    <m/>
    <n v="100"/>
    <x v="0"/>
    <m/>
    <m/>
    <n v="44"/>
    <n v="5.5"/>
    <n v="0.85"/>
    <n v="4.6749999999999998"/>
    <n v="1620"/>
    <x v="10"/>
    <s v="Hum"/>
    <x v="2"/>
    <n v="18405"/>
    <n v="15773"/>
    <n v="174966.27499999999"/>
    <n v="5800"/>
    <n v="31900"/>
    <n v="206866.27499999999"/>
    <n v="0"/>
    <n v="1"/>
    <n v="0"/>
    <n v="0"/>
    <n v="0"/>
    <n v="0"/>
    <n v="0"/>
    <n v="0"/>
    <n v="0"/>
    <n v="0"/>
    <n v="0"/>
    <n v="0"/>
    <s v="Enligt SP 190924"/>
    <m/>
    <n v="0"/>
    <n v="0"/>
    <n v="5.5"/>
    <n v="4.6749999999999998"/>
    <n v="0"/>
    <n v="0"/>
    <n v="0"/>
    <n v="0"/>
    <n v="0"/>
    <n v="0"/>
    <n v="0"/>
    <n v="0"/>
    <n v="0"/>
    <n v="0"/>
    <n v="0"/>
    <n v="0"/>
    <n v="0"/>
    <n v="0"/>
    <n v="0"/>
    <n v="0"/>
    <n v="0"/>
    <n v="0"/>
    <n v="0"/>
  </r>
  <r>
    <x v="47"/>
    <x v="45"/>
    <m/>
    <x v="3"/>
    <s v="H18"/>
    <x v="2"/>
    <s v="H1911-15"/>
    <m/>
    <m/>
    <m/>
    <m/>
    <n v="100"/>
    <x v="0"/>
    <m/>
    <m/>
    <n v="21"/>
    <n v="2.625"/>
    <n v="0.85"/>
    <n v="2.2312499999999997"/>
    <n v="1620"/>
    <x v="10"/>
    <s v="Hum"/>
    <x v="3"/>
    <n v="18405"/>
    <n v="15773"/>
    <n v="83506.631250000006"/>
    <n v="5800"/>
    <n v="15225"/>
    <n v="98731.631250000006"/>
    <n v="0"/>
    <n v="1"/>
    <n v="0"/>
    <n v="0"/>
    <n v="0"/>
    <n v="0"/>
    <n v="0"/>
    <n v="0"/>
    <n v="0"/>
    <n v="0"/>
    <n v="0"/>
    <n v="0"/>
    <s v="Enligt SP 190924"/>
    <m/>
    <n v="0"/>
    <n v="0"/>
    <n v="2.625"/>
    <n v="2.2312499999999997"/>
    <n v="0"/>
    <n v="0"/>
    <n v="0"/>
    <n v="0"/>
    <n v="0"/>
    <n v="0"/>
    <n v="0"/>
    <n v="0"/>
    <n v="0"/>
    <n v="0"/>
    <n v="0"/>
    <n v="0"/>
    <n v="0"/>
    <n v="0"/>
    <n v="0"/>
    <n v="0"/>
    <n v="0"/>
    <n v="0"/>
    <n v="0"/>
  </r>
  <r>
    <x v="48"/>
    <x v="46"/>
    <m/>
    <x v="3"/>
    <s v="H17"/>
    <x v="2"/>
    <s v="H191-10"/>
    <m/>
    <m/>
    <m/>
    <m/>
    <n v="100"/>
    <x v="1"/>
    <m/>
    <m/>
    <n v="28"/>
    <n v="7"/>
    <n v="0.85"/>
    <n v="5.95"/>
    <n v="1620"/>
    <x v="10"/>
    <s v="Hum"/>
    <x v="3"/>
    <n v="18405"/>
    <n v="15773"/>
    <n v="222684.35"/>
    <n v="5800"/>
    <n v="40600"/>
    <n v="263284.34999999998"/>
    <n v="0"/>
    <n v="1"/>
    <n v="0"/>
    <n v="0"/>
    <n v="0"/>
    <n v="0"/>
    <n v="0"/>
    <n v="0"/>
    <n v="0"/>
    <n v="0"/>
    <n v="0"/>
    <n v="0"/>
    <s v="Enligt SP 190924"/>
    <m/>
    <n v="0"/>
    <n v="0"/>
    <n v="7"/>
    <n v="5.95"/>
    <n v="0"/>
    <n v="0"/>
    <n v="0"/>
    <n v="0"/>
    <n v="0"/>
    <n v="0"/>
    <n v="0"/>
    <n v="0"/>
    <n v="0"/>
    <n v="0"/>
    <n v="0"/>
    <n v="0"/>
    <n v="0"/>
    <n v="0"/>
    <n v="0"/>
    <n v="0"/>
    <n v="0"/>
    <n v="0"/>
    <n v="0"/>
  </r>
  <r>
    <x v="49"/>
    <x v="47"/>
    <m/>
    <x v="0"/>
    <m/>
    <x v="0"/>
    <s v="Sommarkurs"/>
    <m/>
    <s v="Distans"/>
    <m/>
    <m/>
    <n v="50"/>
    <x v="0"/>
    <m/>
    <m/>
    <n v="27"/>
    <n v="3.375"/>
    <n v="0.8"/>
    <n v="2.7"/>
    <n v="1620"/>
    <x v="10"/>
    <s v="Hum"/>
    <x v="0"/>
    <n v="18405"/>
    <n v="15773"/>
    <n v="104703.97500000001"/>
    <n v="5800"/>
    <n v="19575"/>
    <n v="124278.97500000001"/>
    <n v="0"/>
    <n v="1"/>
    <n v="0"/>
    <n v="0"/>
    <n v="0"/>
    <n v="0"/>
    <n v="0"/>
    <n v="0"/>
    <n v="0"/>
    <n v="0"/>
    <n v="0"/>
    <n v="0"/>
    <s v="Enl Ladok 190821"/>
    <s v="Äskat - Beslut p43 180607"/>
    <n v="0"/>
    <n v="0"/>
    <n v="3.375"/>
    <n v="2.7"/>
    <n v="0"/>
    <n v="0"/>
    <n v="0"/>
    <n v="0"/>
    <n v="0"/>
    <n v="0"/>
    <n v="0"/>
    <n v="0"/>
    <n v="0"/>
    <n v="0"/>
    <n v="0"/>
    <n v="0"/>
    <n v="0"/>
    <n v="0"/>
    <n v="0"/>
    <n v="0"/>
    <n v="0"/>
    <n v="0"/>
    <n v="0"/>
  </r>
  <r>
    <x v="50"/>
    <x v="48"/>
    <m/>
    <x v="0"/>
    <m/>
    <x v="1"/>
    <m/>
    <m/>
    <s v="Distans"/>
    <m/>
    <m/>
    <n v="50"/>
    <x v="1"/>
    <m/>
    <m/>
    <n v="17"/>
    <n v="4.25"/>
    <n v="0.8"/>
    <n v="3.4000000000000004"/>
    <n v="1650"/>
    <x v="11"/>
    <s v="Hum"/>
    <x v="0"/>
    <n v="40569"/>
    <n v="46697.75"/>
    <n v="331190.59999999998"/>
    <n v="53200"/>
    <n v="226100"/>
    <n v="557290.6"/>
    <n v="0.75"/>
    <n v="0.25"/>
    <n v="0"/>
    <n v="0"/>
    <n v="0"/>
    <n v="0"/>
    <n v="0"/>
    <n v="0"/>
    <n v="0"/>
    <n v="0"/>
    <n v="0"/>
    <n v="0"/>
    <s v="Enl Ladok 190515"/>
    <s v="Äskat - Beslut p43 180607"/>
    <n v="3.1875"/>
    <n v="2.5500000000000003"/>
    <n v="1.0625"/>
    <n v="0.85000000000000009"/>
    <n v="0"/>
    <n v="0"/>
    <n v="0"/>
    <n v="0"/>
    <n v="0"/>
    <n v="0"/>
    <n v="0"/>
    <n v="0"/>
    <n v="0"/>
    <n v="0"/>
    <n v="0"/>
    <n v="0"/>
    <n v="0"/>
    <n v="0"/>
    <n v="0"/>
    <n v="0"/>
    <n v="0"/>
    <n v="0"/>
    <n v="0"/>
  </r>
  <r>
    <x v="50"/>
    <x v="48"/>
    <m/>
    <x v="0"/>
    <m/>
    <x v="2"/>
    <m/>
    <m/>
    <s v="Distans"/>
    <m/>
    <m/>
    <n v="50"/>
    <x v="1"/>
    <m/>
    <m/>
    <n v="18"/>
    <n v="4.5"/>
    <n v="0.8"/>
    <n v="3.6"/>
    <n v="1650"/>
    <x v="11"/>
    <s v="Hum"/>
    <x v="0"/>
    <n v="40569"/>
    <n v="46697.75"/>
    <n v="350672.4"/>
    <n v="53200"/>
    <n v="239400"/>
    <n v="590072.4"/>
    <n v="0.75"/>
    <n v="0.25"/>
    <n v="0"/>
    <n v="0"/>
    <n v="0"/>
    <n v="0"/>
    <n v="0"/>
    <n v="0"/>
    <n v="0"/>
    <n v="0"/>
    <n v="0"/>
    <n v="0"/>
    <s v="Äskat - Beslut p43 180607"/>
    <m/>
    <n v="3.375"/>
    <n v="2.7"/>
    <n v="1.125"/>
    <n v="0.9"/>
    <n v="0"/>
    <n v="0"/>
    <n v="0"/>
    <n v="0"/>
    <n v="0"/>
    <n v="0"/>
    <n v="0"/>
    <n v="0"/>
    <n v="0"/>
    <n v="0"/>
    <n v="0"/>
    <n v="0"/>
    <n v="0"/>
    <n v="0"/>
    <n v="0"/>
    <n v="0"/>
    <n v="0"/>
    <n v="0"/>
    <n v="0"/>
  </r>
  <r>
    <x v="51"/>
    <x v="49"/>
    <m/>
    <x v="1"/>
    <s v="H15"/>
    <x v="1"/>
    <s v="V191-20"/>
    <s v="Umeå"/>
    <m/>
    <s v="SAMK"/>
    <m/>
    <n v="100"/>
    <x v="7"/>
    <m/>
    <m/>
    <n v="1"/>
    <n v="0.5"/>
    <n v="0.85"/>
    <n v="0.42499999999999999"/>
    <n v="1650"/>
    <x v="11"/>
    <s v="Hum"/>
    <x v="1"/>
    <n v="47957"/>
    <n v="57006"/>
    <n v="48206.05"/>
    <n v="69000"/>
    <n v="34500"/>
    <n v="82706.05"/>
    <n v="1"/>
    <n v="0"/>
    <n v="0"/>
    <n v="0"/>
    <n v="0"/>
    <n v="0"/>
    <n v="0"/>
    <n v="0"/>
    <n v="0"/>
    <n v="0"/>
    <n v="0"/>
    <n v="0"/>
    <s v="Enl Ladok 190318"/>
    <m/>
    <n v="0.5"/>
    <n v="0.42499999999999999"/>
    <n v="0"/>
    <n v="0"/>
    <n v="0"/>
    <n v="0"/>
    <n v="0"/>
    <n v="0"/>
    <n v="0"/>
    <n v="0"/>
    <n v="0"/>
    <n v="0"/>
    <n v="0"/>
    <n v="0"/>
    <n v="0"/>
    <n v="0"/>
    <n v="0"/>
    <n v="0"/>
    <n v="0"/>
    <n v="0"/>
    <n v="0"/>
    <n v="0"/>
    <n v="0"/>
  </r>
  <r>
    <x v="51"/>
    <x v="49"/>
    <m/>
    <x v="1"/>
    <s v="H15"/>
    <x v="1"/>
    <s v="V191-20"/>
    <s v="Umeå"/>
    <m/>
    <s v="SVAA"/>
    <m/>
    <n v="100"/>
    <x v="7"/>
    <m/>
    <m/>
    <n v="1"/>
    <n v="0.5"/>
    <n v="0.85"/>
    <n v="0.42499999999999999"/>
    <n v="1650"/>
    <x v="11"/>
    <s v="Hum"/>
    <x v="1"/>
    <n v="47957"/>
    <n v="57006"/>
    <n v="48206.05"/>
    <n v="69000"/>
    <n v="34500"/>
    <n v="82706.05"/>
    <n v="1"/>
    <n v="0"/>
    <n v="0"/>
    <n v="0"/>
    <n v="0"/>
    <n v="0"/>
    <n v="0"/>
    <n v="0"/>
    <n v="0"/>
    <n v="0"/>
    <n v="0"/>
    <n v="0"/>
    <s v="Enl Ladok 190318"/>
    <m/>
    <n v="0.5"/>
    <n v="0.42499999999999999"/>
    <n v="0"/>
    <n v="0"/>
    <n v="0"/>
    <n v="0"/>
    <n v="0"/>
    <n v="0"/>
    <n v="0"/>
    <n v="0"/>
    <n v="0"/>
    <n v="0"/>
    <n v="0"/>
    <n v="0"/>
    <n v="0"/>
    <n v="0"/>
    <n v="0"/>
    <n v="0"/>
    <n v="0"/>
    <n v="0"/>
    <n v="0"/>
    <n v="0"/>
    <n v="0"/>
  </r>
  <r>
    <x v="52"/>
    <x v="50"/>
    <m/>
    <x v="4"/>
    <s v="H14"/>
    <x v="2"/>
    <s v="H191-15"/>
    <m/>
    <m/>
    <s v="BILÄ"/>
    <m/>
    <n v="100"/>
    <x v="6"/>
    <m/>
    <m/>
    <n v="1"/>
    <n v="0.375"/>
    <n v="0.85"/>
    <n v="0.31874999999999998"/>
    <n v="1650"/>
    <x v="11"/>
    <s v="Hum"/>
    <x v="4"/>
    <n v="21634"/>
    <n v="26986"/>
    <n v="16714.537499999999"/>
    <n v="3400"/>
    <n v="1275"/>
    <n v="17989.537499999999"/>
    <n v="0"/>
    <n v="0"/>
    <n v="0"/>
    <n v="0"/>
    <n v="0"/>
    <n v="0"/>
    <n v="0"/>
    <n v="0"/>
    <n v="1"/>
    <n v="0"/>
    <n v="0"/>
    <n v="0"/>
    <s v="Enligt SP 190924"/>
    <m/>
    <n v="0"/>
    <n v="0"/>
    <n v="0"/>
    <n v="0"/>
    <n v="0"/>
    <n v="0"/>
    <n v="0"/>
    <n v="0"/>
    <n v="0"/>
    <n v="0"/>
    <n v="0"/>
    <n v="0"/>
    <n v="0"/>
    <n v="0"/>
    <n v="0"/>
    <n v="0"/>
    <n v="0.375"/>
    <n v="0.31874999999999998"/>
    <n v="0"/>
    <n v="0"/>
    <n v="0"/>
    <n v="0"/>
    <n v="0"/>
  </r>
  <r>
    <x v="52"/>
    <x v="50"/>
    <m/>
    <x v="1"/>
    <s v="H14"/>
    <x v="2"/>
    <s v="H191-15"/>
    <m/>
    <m/>
    <s v="BILÄ"/>
    <m/>
    <n v="100"/>
    <x v="6"/>
    <m/>
    <m/>
    <n v="2"/>
    <n v="0.75"/>
    <n v="0.85"/>
    <n v="0.63749999999999996"/>
    <n v="1650"/>
    <x v="11"/>
    <s v="Hum"/>
    <x v="1"/>
    <n v="21634"/>
    <n v="26986"/>
    <n v="33429.074999999997"/>
    <n v="3400"/>
    <n v="2550"/>
    <n v="35979.074999999997"/>
    <n v="0"/>
    <n v="0"/>
    <n v="0"/>
    <n v="0"/>
    <n v="0"/>
    <n v="0"/>
    <n v="0"/>
    <n v="0"/>
    <n v="1"/>
    <n v="0"/>
    <n v="0"/>
    <n v="0"/>
    <s v="Enligt SP 190924"/>
    <m/>
    <n v="0"/>
    <n v="0"/>
    <n v="0"/>
    <n v="0"/>
    <n v="0"/>
    <n v="0"/>
    <n v="0"/>
    <n v="0"/>
    <n v="0"/>
    <n v="0"/>
    <n v="0"/>
    <n v="0"/>
    <n v="0"/>
    <n v="0"/>
    <n v="0"/>
    <n v="0"/>
    <n v="0.75"/>
    <n v="0.63749999999999996"/>
    <n v="0"/>
    <n v="0"/>
    <n v="0"/>
    <n v="0"/>
    <n v="0"/>
  </r>
  <r>
    <x v="52"/>
    <x v="50"/>
    <m/>
    <x v="1"/>
    <s v="H15"/>
    <x v="2"/>
    <s v="H191-15"/>
    <m/>
    <m/>
    <s v="BILÄ"/>
    <m/>
    <n v="100"/>
    <x v="6"/>
    <m/>
    <m/>
    <n v="6"/>
    <n v="2.25"/>
    <n v="0.85"/>
    <n v="1.9124999999999999"/>
    <n v="1650"/>
    <x v="11"/>
    <s v="Hum"/>
    <x v="1"/>
    <n v="21634"/>
    <n v="26986"/>
    <n v="100287.22500000001"/>
    <n v="3400"/>
    <n v="7650"/>
    <n v="107937.22500000001"/>
    <n v="0"/>
    <n v="0"/>
    <n v="0"/>
    <n v="0"/>
    <n v="0"/>
    <n v="0"/>
    <n v="0"/>
    <n v="0"/>
    <n v="1"/>
    <n v="0"/>
    <n v="0"/>
    <n v="0"/>
    <s v="Enligt SP 190924"/>
    <m/>
    <n v="0"/>
    <n v="0"/>
    <n v="0"/>
    <n v="0"/>
    <n v="0"/>
    <n v="0"/>
    <n v="0"/>
    <n v="0"/>
    <n v="0"/>
    <n v="0"/>
    <n v="0"/>
    <n v="0"/>
    <n v="0"/>
    <n v="0"/>
    <n v="0"/>
    <n v="0"/>
    <n v="2.25"/>
    <n v="1.9124999999999999"/>
    <n v="0"/>
    <n v="0"/>
    <n v="0"/>
    <n v="0"/>
    <n v="0"/>
  </r>
  <r>
    <x v="53"/>
    <x v="51"/>
    <m/>
    <x v="0"/>
    <s v="H14"/>
    <x v="1"/>
    <s v="H1816-20:V191-15"/>
    <s v="Umeå"/>
    <m/>
    <s v="MUSI"/>
    <m/>
    <n v="100"/>
    <x v="6"/>
    <m/>
    <m/>
    <n v="1"/>
    <n v="0.375"/>
    <n v="0.85"/>
    <n v="0.31874999999999998"/>
    <n v="1650"/>
    <x v="11"/>
    <s v="Hum"/>
    <x v="0"/>
    <n v="18405"/>
    <n v="15773"/>
    <n v="11929.518749999999"/>
    <n v="5800"/>
    <n v="2175"/>
    <n v="14104.518749999999"/>
    <n v="0"/>
    <n v="1"/>
    <n v="0"/>
    <n v="0"/>
    <n v="0"/>
    <n v="0"/>
    <n v="0"/>
    <n v="0"/>
    <n v="0"/>
    <n v="0"/>
    <n v="0"/>
    <n v="0"/>
    <s v="Enl Ladok 190515"/>
    <s v="Läser 22,5 av 30 hp denna termin"/>
    <n v="0"/>
    <n v="0"/>
    <n v="0.375"/>
    <n v="0.31874999999999998"/>
    <n v="0"/>
    <n v="0"/>
    <n v="0"/>
    <n v="0"/>
    <n v="0"/>
    <n v="0"/>
    <n v="0"/>
    <n v="0"/>
    <n v="0"/>
    <n v="0"/>
    <n v="0"/>
    <n v="0"/>
    <n v="0"/>
    <n v="0"/>
    <n v="0"/>
    <n v="0"/>
    <n v="0"/>
    <n v="0"/>
    <n v="0"/>
  </r>
  <r>
    <x v="53"/>
    <x v="51"/>
    <m/>
    <x v="4"/>
    <s v="H14"/>
    <x v="2"/>
    <s v="H1916-20:V201-15"/>
    <m/>
    <m/>
    <s v="BILÄ"/>
    <m/>
    <n v="100"/>
    <x v="0"/>
    <m/>
    <m/>
    <n v="1"/>
    <n v="0.125"/>
    <n v="0.85"/>
    <n v="0.10625"/>
    <n v="1650"/>
    <x v="11"/>
    <s v="Hum"/>
    <x v="4"/>
    <n v="18405"/>
    <n v="15773"/>
    <n v="3976.5062499999999"/>
    <n v="5800"/>
    <n v="725"/>
    <n v="4701.5062500000004"/>
    <n v="0"/>
    <n v="1"/>
    <n v="0"/>
    <n v="0"/>
    <n v="0"/>
    <n v="0"/>
    <n v="0"/>
    <n v="0"/>
    <n v="0"/>
    <n v="0"/>
    <n v="0"/>
    <n v="0"/>
    <s v="Enligt SP 190924"/>
    <s v="Läser 7,5 av 30 denna termin"/>
    <n v="0"/>
    <n v="0"/>
    <n v="0.125"/>
    <n v="0.10625"/>
    <n v="0"/>
    <n v="0"/>
    <n v="0"/>
    <n v="0"/>
    <n v="0"/>
    <n v="0"/>
    <n v="0"/>
    <n v="0"/>
    <n v="0"/>
    <n v="0"/>
    <n v="0"/>
    <n v="0"/>
    <n v="0"/>
    <n v="0"/>
    <n v="0"/>
    <n v="0"/>
    <n v="0"/>
    <n v="0"/>
    <n v="0"/>
  </r>
  <r>
    <x v="53"/>
    <x v="51"/>
    <m/>
    <x v="1"/>
    <s v="H13"/>
    <x v="1"/>
    <s v="H1816-20:V191-15"/>
    <s v="Umeå"/>
    <m/>
    <s v="MUSI"/>
    <m/>
    <n v="100"/>
    <x v="6"/>
    <m/>
    <m/>
    <n v="1"/>
    <n v="0.375"/>
    <n v="0.85"/>
    <n v="0.31874999999999998"/>
    <n v="1650"/>
    <x v="11"/>
    <s v="Hum"/>
    <x v="1"/>
    <n v="18405"/>
    <n v="15773"/>
    <n v="11929.518749999999"/>
    <n v="5800"/>
    <n v="2175"/>
    <n v="14104.518749999999"/>
    <n v="0"/>
    <n v="1"/>
    <n v="0"/>
    <n v="0"/>
    <n v="0"/>
    <n v="0"/>
    <n v="0"/>
    <n v="0"/>
    <n v="0"/>
    <n v="0"/>
    <n v="0"/>
    <n v="0"/>
    <s v="Enl Ladok 190318"/>
    <s v="Läser 22,5 av 30 hp denna termin"/>
    <n v="0"/>
    <n v="0"/>
    <n v="0.375"/>
    <n v="0.31874999999999998"/>
    <n v="0"/>
    <n v="0"/>
    <n v="0"/>
    <n v="0"/>
    <n v="0"/>
    <n v="0"/>
    <n v="0"/>
    <n v="0"/>
    <n v="0"/>
    <n v="0"/>
    <n v="0"/>
    <n v="0"/>
    <n v="0"/>
    <n v="0"/>
    <n v="0"/>
    <n v="0"/>
    <n v="0"/>
    <n v="0"/>
    <n v="0"/>
  </r>
  <r>
    <x v="53"/>
    <x v="51"/>
    <m/>
    <x v="1"/>
    <s v="H14"/>
    <x v="1"/>
    <s v="H1816-20:V191-15"/>
    <s v="Umeå"/>
    <m/>
    <s v="MUSI"/>
    <m/>
    <n v="100"/>
    <x v="6"/>
    <m/>
    <m/>
    <n v="1"/>
    <n v="0.375"/>
    <n v="0.85"/>
    <n v="0.31874999999999998"/>
    <n v="1650"/>
    <x v="11"/>
    <s v="Hum"/>
    <x v="1"/>
    <n v="18405"/>
    <n v="15773"/>
    <n v="11929.518749999999"/>
    <n v="5800"/>
    <n v="2175"/>
    <n v="14104.518749999999"/>
    <n v="0"/>
    <n v="1"/>
    <n v="0"/>
    <n v="0"/>
    <n v="0"/>
    <n v="0"/>
    <n v="0"/>
    <n v="0"/>
    <n v="0"/>
    <n v="0"/>
    <n v="0"/>
    <n v="0"/>
    <s v="Enl Ladok 190318"/>
    <s v="Läser 22,5 av 30 hp denna termin"/>
    <n v="0"/>
    <n v="0"/>
    <n v="0.375"/>
    <n v="0.31874999999999998"/>
    <n v="0"/>
    <n v="0"/>
    <n v="0"/>
    <n v="0"/>
    <n v="0"/>
    <n v="0"/>
    <n v="0"/>
    <n v="0"/>
    <n v="0"/>
    <n v="0"/>
    <n v="0"/>
    <n v="0"/>
    <n v="0"/>
    <n v="0"/>
    <n v="0"/>
    <n v="0"/>
    <n v="0"/>
    <n v="0"/>
    <n v="0"/>
  </r>
  <r>
    <x v="53"/>
    <x v="51"/>
    <m/>
    <x v="1"/>
    <s v="H14"/>
    <x v="2"/>
    <s v="H1916-20:V201-15"/>
    <m/>
    <m/>
    <s v="BILÄ"/>
    <m/>
    <n v="100"/>
    <x v="0"/>
    <m/>
    <m/>
    <n v="2"/>
    <n v="0.25"/>
    <n v="0.85"/>
    <n v="0.21249999999999999"/>
    <n v="1650"/>
    <x v="11"/>
    <s v="Hum"/>
    <x v="1"/>
    <n v="18405"/>
    <n v="15773"/>
    <n v="7953.0124999999998"/>
    <n v="5800"/>
    <n v="1450"/>
    <n v="9403.0125000000007"/>
    <n v="0"/>
    <n v="1"/>
    <n v="0"/>
    <n v="0"/>
    <n v="0"/>
    <n v="0"/>
    <n v="0"/>
    <n v="0"/>
    <n v="0"/>
    <n v="0"/>
    <n v="0"/>
    <n v="0"/>
    <s v="Enligt SP 190924"/>
    <s v="Läser 7,5 av 30 denna termin"/>
    <n v="0"/>
    <n v="0"/>
    <n v="0.25"/>
    <n v="0.21249999999999999"/>
    <n v="0"/>
    <n v="0"/>
    <n v="0"/>
    <n v="0"/>
    <n v="0"/>
    <n v="0"/>
    <n v="0"/>
    <n v="0"/>
    <n v="0"/>
    <n v="0"/>
    <n v="0"/>
    <n v="0"/>
    <n v="0"/>
    <n v="0"/>
    <n v="0"/>
    <n v="0"/>
    <n v="0"/>
    <n v="0"/>
    <n v="0"/>
  </r>
  <r>
    <x v="53"/>
    <x v="51"/>
    <m/>
    <x v="1"/>
    <s v="H15"/>
    <x v="2"/>
    <s v="H1916-20:V201-15"/>
    <m/>
    <m/>
    <s v="BILÄ"/>
    <m/>
    <n v="100"/>
    <x v="0"/>
    <m/>
    <m/>
    <n v="6"/>
    <n v="0.75"/>
    <n v="0.85"/>
    <n v="0.63749999999999996"/>
    <n v="1650"/>
    <x v="11"/>
    <s v="Hum"/>
    <x v="1"/>
    <n v="18405"/>
    <n v="15773"/>
    <n v="23859.037499999999"/>
    <n v="5800"/>
    <n v="4350"/>
    <n v="28209.037499999999"/>
    <n v="0"/>
    <n v="1"/>
    <n v="0"/>
    <n v="0"/>
    <n v="0"/>
    <n v="0"/>
    <n v="0"/>
    <n v="0"/>
    <n v="0"/>
    <n v="0"/>
    <n v="0"/>
    <n v="0"/>
    <s v="Enligt SP 190924"/>
    <s v="Läser 7,5 av 30 denna termin"/>
    <n v="0"/>
    <n v="0"/>
    <n v="0.75"/>
    <n v="0.63749999999999996"/>
    <n v="0"/>
    <n v="0"/>
    <n v="0"/>
    <n v="0"/>
    <n v="0"/>
    <n v="0"/>
    <n v="0"/>
    <n v="0"/>
    <n v="0"/>
    <n v="0"/>
    <n v="0"/>
    <n v="0"/>
    <n v="0"/>
    <n v="0"/>
    <n v="0"/>
    <n v="0"/>
    <n v="0"/>
    <n v="0"/>
    <n v="0"/>
  </r>
  <r>
    <x v="54"/>
    <x v="52"/>
    <m/>
    <x v="0"/>
    <m/>
    <x v="2"/>
    <m/>
    <m/>
    <s v="Distans"/>
    <m/>
    <m/>
    <n v="50"/>
    <x v="1"/>
    <m/>
    <m/>
    <n v="12"/>
    <n v="3"/>
    <n v="0.8"/>
    <n v="2.4000000000000004"/>
    <n v="1650"/>
    <x v="11"/>
    <s v="Hum"/>
    <x v="0"/>
    <n v="47957"/>
    <n v="57006"/>
    <n v="280685.40000000002"/>
    <n v="69000"/>
    <n v="207000"/>
    <n v="487685.4"/>
    <n v="1"/>
    <n v="0"/>
    <n v="0"/>
    <n v="0"/>
    <n v="0"/>
    <n v="0"/>
    <n v="0"/>
    <n v="0"/>
    <n v="0"/>
    <n v="0"/>
    <n v="0"/>
    <n v="0"/>
    <s v="Äskat - Beslut p43 180607"/>
    <m/>
    <n v="3"/>
    <n v="2.4000000000000004"/>
    <n v="0"/>
    <n v="0"/>
    <n v="0"/>
    <n v="0"/>
    <n v="0"/>
    <n v="0"/>
    <n v="0"/>
    <n v="0"/>
    <n v="0"/>
    <n v="0"/>
    <n v="0"/>
    <n v="0"/>
    <n v="0"/>
    <n v="0"/>
    <n v="0"/>
    <n v="0"/>
    <n v="0"/>
    <n v="0"/>
    <n v="0"/>
    <n v="0"/>
    <n v="0"/>
  </r>
  <r>
    <x v="55"/>
    <x v="53"/>
    <m/>
    <x v="5"/>
    <s v="H17"/>
    <x v="1"/>
    <s v="V191-20"/>
    <s v="Umeå"/>
    <m/>
    <m/>
    <m/>
    <n v="50"/>
    <x v="1"/>
    <m/>
    <m/>
    <n v="13"/>
    <n v="3.25"/>
    <n v="0.85"/>
    <n v="2.7624999999999997"/>
    <n v="1650"/>
    <x v="11"/>
    <s v="Hum"/>
    <x v="5"/>
    <n v="21634"/>
    <n v="26986"/>
    <n v="144859.32500000001"/>
    <n v="3400"/>
    <n v="11050"/>
    <n v="155909.32500000001"/>
    <n v="0"/>
    <n v="0"/>
    <n v="0"/>
    <n v="0"/>
    <n v="0"/>
    <n v="0"/>
    <n v="0"/>
    <n v="0"/>
    <n v="1"/>
    <n v="0"/>
    <n v="0"/>
    <n v="0"/>
    <s v="Enl Ladok 190318"/>
    <m/>
    <n v="0"/>
    <n v="0"/>
    <n v="0"/>
    <n v="0"/>
    <n v="0"/>
    <n v="0"/>
    <n v="0"/>
    <n v="0"/>
    <n v="0"/>
    <n v="0"/>
    <n v="0"/>
    <n v="0"/>
    <n v="0"/>
    <n v="0"/>
    <n v="0"/>
    <n v="0"/>
    <n v="3.25"/>
    <n v="2.7624999999999997"/>
    <n v="0"/>
    <n v="0"/>
    <n v="0"/>
    <n v="0"/>
    <n v="0"/>
  </r>
  <r>
    <x v="55"/>
    <x v="53"/>
    <m/>
    <x v="6"/>
    <s v="H17"/>
    <x v="1"/>
    <s v="V191-20"/>
    <s v="Umeå"/>
    <m/>
    <m/>
    <m/>
    <n v="50"/>
    <x v="1"/>
    <m/>
    <m/>
    <n v="1"/>
    <n v="0.25"/>
    <n v="0.85"/>
    <n v="0.21249999999999999"/>
    <n v="1650"/>
    <x v="11"/>
    <s v="Hum"/>
    <x v="6"/>
    <n v="21634"/>
    <n v="26986"/>
    <n v="11143.025"/>
    <n v="3400"/>
    <n v="850"/>
    <n v="11993.025"/>
    <n v="0"/>
    <n v="0"/>
    <n v="0"/>
    <n v="0"/>
    <n v="0"/>
    <n v="0"/>
    <n v="0"/>
    <n v="0"/>
    <n v="1"/>
    <n v="0"/>
    <n v="0"/>
    <n v="0"/>
    <s v="Enl Ladok 190318"/>
    <m/>
    <n v="0"/>
    <n v="0"/>
    <n v="0"/>
    <n v="0"/>
    <n v="0"/>
    <n v="0"/>
    <n v="0"/>
    <n v="0"/>
    <n v="0"/>
    <n v="0"/>
    <n v="0"/>
    <n v="0"/>
    <n v="0"/>
    <n v="0"/>
    <n v="0"/>
    <n v="0"/>
    <n v="0.25"/>
    <n v="0.21249999999999999"/>
    <n v="0"/>
    <n v="0"/>
    <n v="0"/>
    <n v="0"/>
    <n v="0"/>
  </r>
  <r>
    <x v="55"/>
    <x v="53"/>
    <m/>
    <x v="6"/>
    <s v="H17"/>
    <x v="1"/>
    <s v="V191-20"/>
    <s v="Umeå"/>
    <m/>
    <m/>
    <m/>
    <n v="50"/>
    <x v="1"/>
    <m/>
    <m/>
    <n v="8"/>
    <n v="2"/>
    <n v="0.85"/>
    <n v="1.7"/>
    <n v="1650"/>
    <x v="11"/>
    <s v="Hum"/>
    <x v="6"/>
    <n v="21634"/>
    <n v="26986"/>
    <n v="89144.2"/>
    <n v="3400"/>
    <n v="6800"/>
    <n v="95944.2"/>
    <n v="0"/>
    <n v="0"/>
    <n v="0"/>
    <n v="0"/>
    <n v="0"/>
    <n v="0"/>
    <n v="0"/>
    <n v="0"/>
    <n v="1"/>
    <n v="0"/>
    <n v="0"/>
    <n v="0"/>
    <s v="Enl Ladok 190318"/>
    <m/>
    <n v="0"/>
    <n v="0"/>
    <n v="0"/>
    <n v="0"/>
    <n v="0"/>
    <n v="0"/>
    <n v="0"/>
    <n v="0"/>
    <n v="0"/>
    <n v="0"/>
    <n v="0"/>
    <n v="0"/>
    <n v="0"/>
    <n v="0"/>
    <n v="0"/>
    <n v="0"/>
    <n v="2"/>
    <n v="1.7"/>
    <n v="0"/>
    <n v="0"/>
    <n v="0"/>
    <n v="0"/>
    <n v="0"/>
  </r>
  <r>
    <x v="56"/>
    <x v="54"/>
    <m/>
    <x v="3"/>
    <s v="H17"/>
    <x v="2"/>
    <s v="H191-20"/>
    <m/>
    <m/>
    <m/>
    <m/>
    <n v="50"/>
    <x v="1"/>
    <m/>
    <m/>
    <n v="1"/>
    <n v="0.25"/>
    <n v="0.85"/>
    <n v="0.21249999999999999"/>
    <n v="1650"/>
    <x v="11"/>
    <s v="Hum"/>
    <x v="3"/>
    <n v="21634"/>
    <n v="26986"/>
    <n v="11143.025"/>
    <n v="3400"/>
    <n v="850"/>
    <n v="11993.025"/>
    <n v="0"/>
    <n v="0"/>
    <n v="0"/>
    <n v="0"/>
    <n v="0"/>
    <n v="0"/>
    <n v="0"/>
    <n v="0"/>
    <n v="1"/>
    <n v="0"/>
    <n v="0"/>
    <n v="0"/>
    <s v="Enligt SP 190924"/>
    <m/>
    <n v="0"/>
    <n v="0"/>
    <n v="0"/>
    <n v="0"/>
    <n v="0"/>
    <n v="0"/>
    <n v="0"/>
    <n v="0"/>
    <n v="0"/>
    <n v="0"/>
    <n v="0"/>
    <n v="0"/>
    <n v="0"/>
    <n v="0"/>
    <n v="0"/>
    <n v="0"/>
    <n v="0.25"/>
    <n v="0.21249999999999999"/>
    <n v="0"/>
    <n v="0"/>
    <n v="0"/>
    <n v="0"/>
    <n v="0"/>
  </r>
  <r>
    <x v="56"/>
    <x v="54"/>
    <m/>
    <x v="5"/>
    <s v="H17"/>
    <x v="2"/>
    <s v="H191-20"/>
    <m/>
    <m/>
    <s v="GRHF"/>
    <m/>
    <n v="50"/>
    <x v="1"/>
    <m/>
    <m/>
    <n v="12"/>
    <n v="3"/>
    <n v="0.85"/>
    <n v="2.5499999999999998"/>
    <n v="1650"/>
    <x v="11"/>
    <s v="Hum"/>
    <x v="5"/>
    <n v="21634"/>
    <n v="26986"/>
    <n v="133716.29999999999"/>
    <n v="3400"/>
    <n v="10200"/>
    <n v="143916.29999999999"/>
    <n v="0"/>
    <n v="0"/>
    <n v="0"/>
    <n v="0"/>
    <n v="0"/>
    <n v="0"/>
    <n v="0"/>
    <n v="0"/>
    <n v="1"/>
    <n v="0"/>
    <n v="0"/>
    <n v="0"/>
    <s v="Enligt SP 190924"/>
    <m/>
    <n v="0"/>
    <n v="0"/>
    <n v="0"/>
    <n v="0"/>
    <n v="0"/>
    <n v="0"/>
    <n v="0"/>
    <n v="0"/>
    <n v="0"/>
    <n v="0"/>
    <n v="0"/>
    <n v="0"/>
    <n v="0"/>
    <n v="0"/>
    <n v="0"/>
    <n v="0"/>
    <n v="3"/>
    <n v="2.5499999999999998"/>
    <n v="0"/>
    <n v="0"/>
    <n v="0"/>
    <n v="0"/>
    <n v="0"/>
  </r>
  <r>
    <x v="56"/>
    <x v="54"/>
    <m/>
    <x v="5"/>
    <s v="H18"/>
    <x v="2"/>
    <s v="H191-20"/>
    <m/>
    <m/>
    <s v="GRHF"/>
    <m/>
    <n v="50"/>
    <x v="1"/>
    <m/>
    <m/>
    <n v="1"/>
    <n v="0.25"/>
    <n v="0.85"/>
    <n v="0.21249999999999999"/>
    <n v="1650"/>
    <x v="11"/>
    <s v="Hum"/>
    <x v="5"/>
    <n v="21634"/>
    <n v="26986"/>
    <n v="11143.025"/>
    <n v="3400"/>
    <n v="850"/>
    <n v="11993.025"/>
    <n v="0"/>
    <n v="0"/>
    <n v="0"/>
    <n v="0"/>
    <n v="0"/>
    <n v="0"/>
    <n v="0"/>
    <n v="0"/>
    <n v="1"/>
    <n v="0"/>
    <n v="0"/>
    <n v="0"/>
    <s v="Enligt SP 190924"/>
    <m/>
    <n v="0"/>
    <n v="0"/>
    <n v="0"/>
    <n v="0"/>
    <n v="0"/>
    <n v="0"/>
    <n v="0"/>
    <n v="0"/>
    <n v="0"/>
    <n v="0"/>
    <n v="0"/>
    <n v="0"/>
    <n v="0"/>
    <n v="0"/>
    <n v="0"/>
    <n v="0"/>
    <n v="0.25"/>
    <n v="0.21249999999999999"/>
    <n v="0"/>
    <n v="0"/>
    <n v="0"/>
    <n v="0"/>
    <n v="0"/>
  </r>
  <r>
    <x v="56"/>
    <x v="54"/>
    <m/>
    <x v="6"/>
    <s v="H17"/>
    <x v="2"/>
    <s v="H191-20"/>
    <m/>
    <m/>
    <s v="ESTE"/>
    <m/>
    <n v="50"/>
    <x v="1"/>
    <m/>
    <m/>
    <n v="1"/>
    <n v="0.25"/>
    <n v="0.85"/>
    <n v="0.21249999999999999"/>
    <n v="1650"/>
    <x v="11"/>
    <s v="Hum"/>
    <x v="6"/>
    <n v="21634"/>
    <n v="26986"/>
    <n v="11143.025"/>
    <n v="3400"/>
    <n v="850"/>
    <n v="11993.025"/>
    <n v="0"/>
    <n v="0"/>
    <n v="0"/>
    <n v="0"/>
    <n v="0"/>
    <n v="0"/>
    <n v="0"/>
    <n v="0"/>
    <n v="1"/>
    <n v="0"/>
    <n v="0"/>
    <n v="0"/>
    <s v="Enligt SP 190924"/>
    <m/>
    <n v="0"/>
    <n v="0"/>
    <n v="0"/>
    <n v="0"/>
    <n v="0"/>
    <n v="0"/>
    <n v="0"/>
    <n v="0"/>
    <n v="0"/>
    <n v="0"/>
    <n v="0"/>
    <n v="0"/>
    <n v="0"/>
    <n v="0"/>
    <n v="0"/>
    <n v="0"/>
    <n v="0.25"/>
    <n v="0.21249999999999999"/>
    <n v="0"/>
    <n v="0"/>
    <n v="0"/>
    <n v="0"/>
    <n v="0"/>
  </r>
  <r>
    <x v="56"/>
    <x v="54"/>
    <m/>
    <x v="6"/>
    <s v="H17"/>
    <x v="2"/>
    <s v="H191-20"/>
    <m/>
    <m/>
    <s v="GYHF"/>
    <m/>
    <n v="50"/>
    <x v="1"/>
    <m/>
    <m/>
    <n v="8"/>
    <n v="2"/>
    <n v="0.85"/>
    <n v="1.7"/>
    <n v="1650"/>
    <x v="11"/>
    <s v="Hum"/>
    <x v="6"/>
    <n v="21634"/>
    <n v="26986"/>
    <n v="89144.2"/>
    <n v="3400"/>
    <n v="6800"/>
    <n v="95944.2"/>
    <n v="0"/>
    <n v="0"/>
    <n v="0"/>
    <n v="0"/>
    <n v="0"/>
    <n v="0"/>
    <n v="0"/>
    <n v="0"/>
    <n v="1"/>
    <n v="0"/>
    <n v="0"/>
    <n v="0"/>
    <s v="Enligt SP 190924"/>
    <m/>
    <n v="0"/>
    <n v="0"/>
    <n v="0"/>
    <n v="0"/>
    <n v="0"/>
    <n v="0"/>
    <n v="0"/>
    <n v="0"/>
    <n v="0"/>
    <n v="0"/>
    <n v="0"/>
    <n v="0"/>
    <n v="0"/>
    <n v="0"/>
    <n v="0"/>
    <n v="0"/>
    <n v="2"/>
    <n v="1.7"/>
    <n v="0"/>
    <n v="0"/>
    <n v="0"/>
    <n v="0"/>
    <n v="0"/>
  </r>
  <r>
    <x v="57"/>
    <x v="55"/>
    <m/>
    <x v="5"/>
    <s v="H15"/>
    <x v="1"/>
    <s v="V191-20"/>
    <s v="Umeå"/>
    <m/>
    <m/>
    <m/>
    <n v="50"/>
    <x v="1"/>
    <m/>
    <m/>
    <n v="1"/>
    <n v="0.25"/>
    <n v="0.85"/>
    <n v="0.21249999999999999"/>
    <n v="1650"/>
    <x v="11"/>
    <s v="Hum"/>
    <x v="5"/>
    <n v="23641"/>
    <n v="28786"/>
    <n v="12027.275"/>
    <n v="5800"/>
    <n v="1450"/>
    <n v="13477.275"/>
    <n v="0"/>
    <n v="0"/>
    <n v="0"/>
    <n v="1"/>
    <n v="0"/>
    <n v="0"/>
    <n v="0"/>
    <n v="0"/>
    <n v="0"/>
    <n v="0"/>
    <n v="0"/>
    <n v="0"/>
    <s v="Enl Ladok 190318"/>
    <m/>
    <n v="0"/>
    <n v="0"/>
    <n v="0"/>
    <n v="0"/>
    <n v="0"/>
    <n v="0"/>
    <n v="0.25"/>
    <n v="0.21249999999999999"/>
    <n v="0"/>
    <n v="0"/>
    <n v="0"/>
    <n v="0"/>
    <n v="0"/>
    <n v="0"/>
    <n v="0"/>
    <n v="0"/>
    <n v="0"/>
    <n v="0"/>
    <n v="0"/>
    <n v="0"/>
    <n v="0"/>
    <n v="0"/>
    <n v="0"/>
  </r>
  <r>
    <x v="57"/>
    <x v="55"/>
    <m/>
    <x v="5"/>
    <s v="H16"/>
    <x v="1"/>
    <s v="V191-20"/>
    <s v="Umeå"/>
    <m/>
    <m/>
    <m/>
    <n v="50"/>
    <x v="1"/>
    <m/>
    <m/>
    <n v="4"/>
    <n v="1"/>
    <n v="0.85"/>
    <n v="0.85"/>
    <n v="1650"/>
    <x v="11"/>
    <s v="Hum"/>
    <x v="5"/>
    <n v="23641"/>
    <n v="28786"/>
    <n v="48109.1"/>
    <n v="5800"/>
    <n v="5800"/>
    <n v="53909.1"/>
    <n v="0"/>
    <n v="0"/>
    <n v="0"/>
    <n v="1"/>
    <n v="0"/>
    <n v="0"/>
    <n v="0"/>
    <n v="0"/>
    <n v="0"/>
    <n v="0"/>
    <n v="0"/>
    <n v="0"/>
    <s v="Enl Ladok 190318"/>
    <m/>
    <n v="0"/>
    <n v="0"/>
    <n v="0"/>
    <n v="0"/>
    <n v="0"/>
    <n v="0"/>
    <n v="1"/>
    <n v="0.85"/>
    <n v="0"/>
    <n v="0"/>
    <n v="0"/>
    <n v="0"/>
    <n v="0"/>
    <n v="0"/>
    <n v="0"/>
    <n v="0"/>
    <n v="0"/>
    <n v="0"/>
    <n v="0"/>
    <n v="0"/>
    <n v="0"/>
    <n v="0"/>
    <n v="0"/>
  </r>
  <r>
    <x v="57"/>
    <x v="55"/>
    <m/>
    <x v="5"/>
    <s v="H16"/>
    <x v="1"/>
    <s v="V191-20"/>
    <s v="Umeå"/>
    <m/>
    <m/>
    <m/>
    <n v="50"/>
    <x v="1"/>
    <m/>
    <m/>
    <n v="1"/>
    <n v="0.25"/>
    <n v="0.85"/>
    <n v="0.21249999999999999"/>
    <n v="1650"/>
    <x v="11"/>
    <s v="Hum"/>
    <x v="5"/>
    <n v="23641"/>
    <n v="28786"/>
    <n v="12027.275"/>
    <n v="5800"/>
    <n v="1450"/>
    <n v="13477.275"/>
    <n v="0"/>
    <n v="0"/>
    <n v="0"/>
    <n v="1"/>
    <n v="0"/>
    <n v="0"/>
    <n v="0"/>
    <n v="0"/>
    <n v="0"/>
    <n v="0"/>
    <n v="0"/>
    <n v="0"/>
    <s v="Enl Ladok 190318"/>
    <m/>
    <n v="0"/>
    <n v="0"/>
    <n v="0"/>
    <n v="0"/>
    <n v="0"/>
    <n v="0"/>
    <n v="0.25"/>
    <n v="0.21249999999999999"/>
    <n v="0"/>
    <n v="0"/>
    <n v="0"/>
    <n v="0"/>
    <n v="0"/>
    <n v="0"/>
    <n v="0"/>
    <n v="0"/>
    <n v="0"/>
    <n v="0"/>
    <n v="0"/>
    <n v="0"/>
    <n v="0"/>
    <n v="0"/>
    <n v="0"/>
  </r>
  <r>
    <x v="57"/>
    <x v="55"/>
    <m/>
    <x v="5"/>
    <s v="H17"/>
    <x v="1"/>
    <s v="V191-20"/>
    <s v="Umeå"/>
    <m/>
    <m/>
    <m/>
    <n v="50"/>
    <x v="1"/>
    <m/>
    <m/>
    <n v="1"/>
    <n v="0.25"/>
    <n v="0.85"/>
    <n v="0.21249999999999999"/>
    <n v="1650"/>
    <x v="11"/>
    <s v="Hum"/>
    <x v="5"/>
    <n v="23641"/>
    <n v="28786"/>
    <n v="12027.275"/>
    <n v="5800"/>
    <n v="1450"/>
    <n v="13477.275"/>
    <n v="0"/>
    <n v="0"/>
    <n v="0"/>
    <n v="1"/>
    <n v="0"/>
    <n v="0"/>
    <n v="0"/>
    <n v="0"/>
    <n v="0"/>
    <n v="0"/>
    <n v="0"/>
    <n v="0"/>
    <s v="Enl Ladok 190318"/>
    <m/>
    <n v="0"/>
    <n v="0"/>
    <n v="0"/>
    <n v="0"/>
    <n v="0"/>
    <n v="0"/>
    <n v="0.25"/>
    <n v="0.21249999999999999"/>
    <n v="0"/>
    <n v="0"/>
    <n v="0"/>
    <n v="0"/>
    <n v="0"/>
    <n v="0"/>
    <n v="0"/>
    <n v="0"/>
    <n v="0"/>
    <n v="0"/>
    <n v="0"/>
    <n v="0"/>
    <n v="0"/>
    <n v="0"/>
    <n v="0"/>
  </r>
  <r>
    <x v="57"/>
    <x v="55"/>
    <m/>
    <x v="6"/>
    <s v="H15"/>
    <x v="1"/>
    <s v="V191-20"/>
    <s v="Umeå"/>
    <m/>
    <m/>
    <m/>
    <n v="50"/>
    <x v="1"/>
    <m/>
    <m/>
    <n v="1"/>
    <n v="0.25"/>
    <n v="0.85"/>
    <n v="0.21249999999999999"/>
    <n v="1650"/>
    <x v="11"/>
    <s v="Hum"/>
    <x v="6"/>
    <n v="23641"/>
    <n v="28786"/>
    <n v="12027.275"/>
    <n v="5800"/>
    <n v="1450"/>
    <n v="13477.275"/>
    <n v="0"/>
    <n v="0"/>
    <n v="0"/>
    <n v="1"/>
    <n v="0"/>
    <n v="0"/>
    <n v="0"/>
    <n v="0"/>
    <n v="0"/>
    <n v="0"/>
    <n v="0"/>
    <n v="0"/>
    <s v="Enl Ladok 190318"/>
    <m/>
    <n v="0"/>
    <n v="0"/>
    <n v="0"/>
    <n v="0"/>
    <n v="0"/>
    <n v="0"/>
    <n v="0.25"/>
    <n v="0.21249999999999999"/>
    <n v="0"/>
    <n v="0"/>
    <n v="0"/>
    <n v="0"/>
    <n v="0"/>
    <n v="0"/>
    <n v="0"/>
    <n v="0"/>
    <n v="0"/>
    <n v="0"/>
    <n v="0"/>
    <n v="0"/>
    <n v="0"/>
    <n v="0"/>
    <n v="0"/>
  </r>
  <r>
    <x v="57"/>
    <x v="55"/>
    <m/>
    <x v="6"/>
    <s v="H16"/>
    <x v="1"/>
    <s v="V191-20"/>
    <s v="Umeå"/>
    <m/>
    <m/>
    <m/>
    <n v="50"/>
    <x v="1"/>
    <m/>
    <m/>
    <n v="8"/>
    <n v="2"/>
    <n v="0.85"/>
    <n v="1.7"/>
    <n v="1650"/>
    <x v="11"/>
    <s v="Hum"/>
    <x v="6"/>
    <n v="23641"/>
    <n v="28786"/>
    <n v="96218.2"/>
    <n v="5800"/>
    <n v="11600"/>
    <n v="107818.2"/>
    <n v="0"/>
    <n v="0"/>
    <n v="0"/>
    <n v="1"/>
    <n v="0"/>
    <n v="0"/>
    <n v="0"/>
    <n v="0"/>
    <n v="0"/>
    <n v="0"/>
    <n v="0"/>
    <n v="0"/>
    <s v="Enl Ladok 190318"/>
    <m/>
    <n v="0"/>
    <n v="0"/>
    <n v="0"/>
    <n v="0"/>
    <n v="0"/>
    <n v="0"/>
    <n v="2"/>
    <n v="1.7"/>
    <n v="0"/>
    <n v="0"/>
    <n v="0"/>
    <n v="0"/>
    <n v="0"/>
    <n v="0"/>
    <n v="0"/>
    <n v="0"/>
    <n v="0"/>
    <n v="0"/>
    <n v="0"/>
    <n v="0"/>
    <n v="0"/>
    <n v="0"/>
    <n v="0"/>
  </r>
  <r>
    <x v="58"/>
    <x v="56"/>
    <m/>
    <x v="0"/>
    <m/>
    <x v="2"/>
    <m/>
    <m/>
    <s v="Campus"/>
    <m/>
    <m/>
    <n v="100"/>
    <x v="7"/>
    <m/>
    <m/>
    <n v="3"/>
    <n v="1.5"/>
    <n v="0.8"/>
    <n v="1.2000000000000002"/>
    <n v="1650"/>
    <x v="11"/>
    <s v="Hum"/>
    <x v="0"/>
    <n v="47957"/>
    <n v="57006"/>
    <n v="140342.70000000001"/>
    <n v="69000"/>
    <n v="103500"/>
    <n v="243842.7"/>
    <n v="1"/>
    <n v="0"/>
    <n v="0"/>
    <n v="0"/>
    <n v="0"/>
    <n v="0"/>
    <n v="0"/>
    <n v="0"/>
    <n v="0"/>
    <n v="0"/>
    <n v="0"/>
    <n v="0"/>
    <s v="Äskat - Beslut p43 180607"/>
    <m/>
    <n v="1.5"/>
    <n v="1.2000000000000002"/>
    <n v="0"/>
    <n v="0"/>
    <n v="0"/>
    <n v="0"/>
    <n v="0"/>
    <n v="0"/>
    <n v="0"/>
    <n v="0"/>
    <n v="0"/>
    <n v="0"/>
    <n v="0"/>
    <n v="0"/>
    <n v="0"/>
    <n v="0"/>
    <n v="0"/>
    <n v="0"/>
    <n v="0"/>
    <n v="0"/>
    <n v="0"/>
    <n v="0"/>
    <n v="0"/>
  </r>
  <r>
    <x v="59"/>
    <x v="57"/>
    <m/>
    <x v="0"/>
    <m/>
    <x v="2"/>
    <m/>
    <s v="Piteå"/>
    <s v="Distans"/>
    <m/>
    <m/>
    <n v="25"/>
    <x v="0"/>
    <m/>
    <m/>
    <n v="5"/>
    <n v="0.625"/>
    <n v="0.8"/>
    <n v="0.5"/>
    <n v="1650"/>
    <x v="11"/>
    <s v="Hum"/>
    <x v="0"/>
    <n v="18405"/>
    <n v="15773"/>
    <n v="19389.625"/>
    <n v="5800"/>
    <n v="3625"/>
    <n v="23014.625"/>
    <n v="0"/>
    <n v="1"/>
    <n v="0"/>
    <n v="0"/>
    <n v="0"/>
    <n v="0"/>
    <n v="0"/>
    <n v="0"/>
    <n v="0"/>
    <n v="0"/>
    <n v="0"/>
    <n v="0"/>
    <s v="Äskat - Beslut p43 180607"/>
    <m/>
    <n v="0"/>
    <n v="0"/>
    <n v="0.625"/>
    <n v="0.5"/>
    <n v="0"/>
    <n v="0"/>
    <n v="0"/>
    <n v="0"/>
    <n v="0"/>
    <n v="0"/>
    <n v="0"/>
    <n v="0"/>
    <n v="0"/>
    <n v="0"/>
    <n v="0"/>
    <n v="0"/>
    <n v="0"/>
    <n v="0"/>
    <n v="0"/>
    <n v="0"/>
    <n v="0"/>
    <n v="0"/>
    <n v="0"/>
  </r>
  <r>
    <x v="60"/>
    <x v="58"/>
    <m/>
    <x v="7"/>
    <s v="H17"/>
    <x v="2"/>
    <s v="H1916-20"/>
    <m/>
    <m/>
    <m/>
    <m/>
    <n v="100"/>
    <x v="0"/>
    <m/>
    <m/>
    <n v="1"/>
    <n v="0.125"/>
    <n v="0.85"/>
    <n v="0.10625"/>
    <n v="1650"/>
    <x v="11"/>
    <s v="Hum"/>
    <x v="7"/>
    <n v="15846"/>
    <n v="26926"/>
    <n v="4841.6374999999998"/>
    <n v="17300"/>
    <n v="2162.5"/>
    <n v="7004.1374999999998"/>
    <n v="0"/>
    <n v="0"/>
    <n v="0"/>
    <n v="0"/>
    <n v="0"/>
    <n v="0"/>
    <n v="0"/>
    <n v="0"/>
    <n v="0"/>
    <n v="0"/>
    <n v="1"/>
    <n v="0"/>
    <s v="Enligt SP 190924"/>
    <m/>
    <n v="0"/>
    <n v="0"/>
    <n v="0"/>
    <n v="0"/>
    <n v="0"/>
    <n v="0"/>
    <n v="0"/>
    <n v="0"/>
    <n v="0"/>
    <n v="0"/>
    <n v="0"/>
    <n v="0"/>
    <n v="0"/>
    <n v="0"/>
    <n v="0"/>
    <n v="0"/>
    <n v="0"/>
    <n v="0"/>
    <n v="0"/>
    <n v="0.125"/>
    <n v="0.10625"/>
    <n v="0"/>
    <n v="0"/>
  </r>
  <r>
    <x v="60"/>
    <x v="58"/>
    <m/>
    <x v="7"/>
    <s v="H18"/>
    <x v="2"/>
    <s v="H1916-20"/>
    <m/>
    <m/>
    <m/>
    <m/>
    <n v="100"/>
    <x v="0"/>
    <m/>
    <m/>
    <n v="46"/>
    <n v="5.75"/>
    <n v="0.85"/>
    <n v="4.8875000000000002"/>
    <n v="1650"/>
    <x v="11"/>
    <s v="Hum"/>
    <x v="7"/>
    <n v="15846"/>
    <n v="26926"/>
    <n v="222715.32500000001"/>
    <n v="17300"/>
    <n v="99475"/>
    <n v="322190.32500000001"/>
    <n v="0"/>
    <n v="0"/>
    <n v="0"/>
    <n v="0"/>
    <n v="0"/>
    <n v="0"/>
    <n v="0"/>
    <n v="0"/>
    <n v="0"/>
    <n v="0"/>
    <n v="1"/>
    <n v="0"/>
    <s v="Enligt SP 190924"/>
    <m/>
    <n v="0"/>
    <n v="0"/>
    <n v="0"/>
    <n v="0"/>
    <n v="0"/>
    <n v="0"/>
    <n v="0"/>
    <n v="0"/>
    <n v="0"/>
    <n v="0"/>
    <n v="0"/>
    <n v="0"/>
    <n v="0"/>
    <n v="0"/>
    <n v="0"/>
    <n v="0"/>
    <n v="0"/>
    <n v="0"/>
    <n v="0"/>
    <n v="5.75"/>
    <n v="4.8875000000000002"/>
    <n v="0"/>
    <n v="0"/>
  </r>
  <r>
    <x v="60"/>
    <x v="58"/>
    <m/>
    <x v="7"/>
    <s v="V18"/>
    <x v="1"/>
    <s v="V1916-20"/>
    <s v="Umeå"/>
    <m/>
    <m/>
    <m/>
    <n v="100"/>
    <x v="0"/>
    <m/>
    <m/>
    <n v="21"/>
    <n v="2.625"/>
    <n v="0.85"/>
    <n v="2.2312499999999997"/>
    <n v="1650"/>
    <x v="11"/>
    <s v="Hum"/>
    <x v="7"/>
    <n v="15846"/>
    <n v="26926"/>
    <n v="101674.38749999998"/>
    <n v="17300"/>
    <n v="45412.5"/>
    <n v="147086.88749999998"/>
    <n v="0"/>
    <n v="0"/>
    <n v="0"/>
    <n v="0"/>
    <n v="0"/>
    <n v="0"/>
    <n v="0"/>
    <n v="0"/>
    <n v="0"/>
    <n v="0"/>
    <n v="1"/>
    <n v="0"/>
    <s v="Enl Ladok 190515"/>
    <m/>
    <n v="0"/>
    <n v="0"/>
    <n v="0"/>
    <n v="0"/>
    <n v="0"/>
    <n v="0"/>
    <n v="0"/>
    <n v="0"/>
    <n v="0"/>
    <n v="0"/>
    <n v="0"/>
    <n v="0"/>
    <n v="0"/>
    <n v="0"/>
    <n v="0"/>
    <n v="0"/>
    <n v="0"/>
    <n v="0"/>
    <n v="0"/>
    <n v="2.625"/>
    <n v="2.2312499999999997"/>
    <n v="0"/>
    <n v="0"/>
  </r>
  <r>
    <x v="60"/>
    <x v="58"/>
    <m/>
    <x v="7"/>
    <s v="V18"/>
    <x v="1"/>
    <s v="V1916-20"/>
    <s v="Örnsköldsvik"/>
    <m/>
    <m/>
    <m/>
    <n v="100"/>
    <x v="0"/>
    <m/>
    <m/>
    <n v="15"/>
    <n v="1.875"/>
    <n v="0.85"/>
    <n v="1.59375"/>
    <n v="1650"/>
    <x v="11"/>
    <s v="Hum"/>
    <x v="7"/>
    <n v="15846"/>
    <n v="26926"/>
    <n v="72624.5625"/>
    <n v="17300"/>
    <n v="32437.5"/>
    <n v="105062.0625"/>
    <n v="0"/>
    <n v="0"/>
    <n v="0"/>
    <n v="0"/>
    <n v="0"/>
    <n v="0"/>
    <n v="0"/>
    <n v="0"/>
    <n v="0"/>
    <n v="0"/>
    <n v="1"/>
    <n v="0"/>
    <s v="Enl Ladok 190515"/>
    <m/>
    <n v="0"/>
    <n v="0"/>
    <n v="0"/>
    <n v="0"/>
    <n v="0"/>
    <n v="0"/>
    <n v="0"/>
    <n v="0"/>
    <n v="0"/>
    <n v="0"/>
    <n v="0"/>
    <n v="0"/>
    <n v="0"/>
    <n v="0"/>
    <n v="0"/>
    <n v="0"/>
    <n v="0"/>
    <n v="0"/>
    <n v="0"/>
    <n v="1.875"/>
    <n v="1.59375"/>
    <n v="0"/>
    <n v="0"/>
  </r>
  <r>
    <x v="61"/>
    <x v="59"/>
    <m/>
    <x v="8"/>
    <s v="H18"/>
    <x v="2"/>
    <s v="H1911-20"/>
    <m/>
    <m/>
    <m/>
    <m/>
    <n v="100"/>
    <x v="1"/>
    <m/>
    <m/>
    <n v="7"/>
    <n v="1.75"/>
    <n v="0.85"/>
    <n v="1.4875"/>
    <n v="1650"/>
    <x v="11"/>
    <s v="Hum"/>
    <x v="8"/>
    <n v="15846"/>
    <n v="26926"/>
    <n v="67782.925000000003"/>
    <n v="17300"/>
    <n v="30275"/>
    <n v="98057.925000000003"/>
    <n v="0"/>
    <n v="0"/>
    <n v="0"/>
    <n v="0"/>
    <n v="0"/>
    <n v="0"/>
    <n v="0"/>
    <n v="0"/>
    <n v="0"/>
    <n v="0"/>
    <n v="1"/>
    <n v="0"/>
    <s v="Enligt SP 190924"/>
    <m/>
    <n v="0"/>
    <n v="0"/>
    <n v="0"/>
    <n v="0"/>
    <n v="0"/>
    <n v="0"/>
    <n v="0"/>
    <n v="0"/>
    <n v="0"/>
    <n v="0"/>
    <n v="0"/>
    <n v="0"/>
    <n v="0"/>
    <n v="0"/>
    <n v="0"/>
    <n v="0"/>
    <n v="0"/>
    <n v="0"/>
    <n v="0"/>
    <n v="1.75"/>
    <n v="1.4875"/>
    <n v="0"/>
    <n v="0"/>
  </r>
  <r>
    <x v="62"/>
    <x v="60"/>
    <m/>
    <x v="8"/>
    <s v="H17"/>
    <x v="2"/>
    <s v="H191-10"/>
    <m/>
    <m/>
    <m/>
    <m/>
    <n v="100"/>
    <x v="1"/>
    <m/>
    <m/>
    <n v="6"/>
    <n v="1.5"/>
    <n v="0.85"/>
    <n v="1.2749999999999999"/>
    <n v="1650"/>
    <x v="11"/>
    <s v="Hum"/>
    <x v="8"/>
    <n v="15846"/>
    <n v="26926"/>
    <n v="58099.649999999994"/>
    <n v="17300"/>
    <n v="25950"/>
    <n v="84049.65"/>
    <n v="0"/>
    <n v="0"/>
    <n v="0"/>
    <n v="0"/>
    <n v="0"/>
    <n v="0"/>
    <n v="0"/>
    <n v="0"/>
    <n v="0"/>
    <n v="0"/>
    <n v="1"/>
    <n v="0"/>
    <s v="Enligt SP 190924"/>
    <m/>
    <n v="0"/>
    <n v="0"/>
    <n v="0"/>
    <n v="0"/>
    <n v="0"/>
    <n v="0"/>
    <n v="0"/>
    <n v="0"/>
    <n v="0"/>
    <n v="0"/>
    <n v="0"/>
    <n v="0"/>
    <n v="0"/>
    <n v="0"/>
    <n v="0"/>
    <n v="0"/>
    <n v="0"/>
    <n v="0"/>
    <n v="0"/>
    <n v="1.5"/>
    <n v="1.2749999999999999"/>
    <n v="0"/>
    <n v="0"/>
  </r>
  <r>
    <x v="63"/>
    <x v="61"/>
    <m/>
    <x v="0"/>
    <m/>
    <x v="2"/>
    <m/>
    <s v="Piteå"/>
    <s v="Distans"/>
    <m/>
    <m/>
    <n v="25"/>
    <x v="0"/>
    <m/>
    <m/>
    <n v="5"/>
    <n v="0.625"/>
    <n v="0.8"/>
    <n v="0.5"/>
    <n v="1650"/>
    <x v="11"/>
    <s v="Hum"/>
    <x v="0"/>
    <n v="18405"/>
    <n v="15773"/>
    <n v="19389.625"/>
    <n v="5800"/>
    <n v="3625"/>
    <n v="23014.625"/>
    <n v="0"/>
    <n v="1"/>
    <n v="0"/>
    <n v="0"/>
    <n v="0"/>
    <n v="0"/>
    <n v="0"/>
    <n v="0"/>
    <n v="0"/>
    <n v="0"/>
    <n v="0"/>
    <n v="0"/>
    <s v="Äskat - Beslut p43 180607"/>
    <m/>
    <n v="0"/>
    <n v="0"/>
    <n v="0.625"/>
    <n v="0.5"/>
    <n v="0"/>
    <n v="0"/>
    <n v="0"/>
    <n v="0"/>
    <n v="0"/>
    <n v="0"/>
    <n v="0"/>
    <n v="0"/>
    <n v="0"/>
    <n v="0"/>
    <n v="0"/>
    <n v="0"/>
    <n v="0"/>
    <n v="0"/>
    <n v="0"/>
    <n v="0"/>
    <n v="0"/>
    <n v="0"/>
    <n v="0"/>
  </r>
  <r>
    <x v="64"/>
    <x v="62"/>
    <m/>
    <x v="8"/>
    <s v="H17"/>
    <x v="2"/>
    <s v="H1911-12"/>
    <m/>
    <m/>
    <m/>
    <m/>
    <n v="100"/>
    <x v="8"/>
    <m/>
    <m/>
    <n v="6"/>
    <n v="0.25"/>
    <n v="0.85"/>
    <n v="0.21249999999999999"/>
    <n v="1650"/>
    <x v="11"/>
    <s v="Hum"/>
    <x v="8"/>
    <n v="21634"/>
    <n v="26986"/>
    <n v="11143.025"/>
    <n v="3400"/>
    <n v="850"/>
    <n v="11993.025"/>
    <n v="0"/>
    <n v="0"/>
    <n v="0"/>
    <n v="0"/>
    <n v="0"/>
    <n v="0"/>
    <n v="0"/>
    <n v="0"/>
    <n v="1"/>
    <n v="0"/>
    <n v="0"/>
    <n v="0"/>
    <s v="Enligt SP 190924"/>
    <m/>
    <n v="0"/>
    <n v="0"/>
    <n v="0"/>
    <n v="0"/>
    <n v="0"/>
    <n v="0"/>
    <n v="0"/>
    <n v="0"/>
    <n v="0"/>
    <n v="0"/>
    <n v="0"/>
    <n v="0"/>
    <n v="0"/>
    <n v="0"/>
    <n v="0"/>
    <n v="0"/>
    <n v="0.25"/>
    <n v="0.21249999999999999"/>
    <n v="0"/>
    <n v="0"/>
    <n v="0"/>
    <n v="0"/>
    <n v="0"/>
  </r>
  <r>
    <x v="65"/>
    <x v="63"/>
    <m/>
    <x v="0"/>
    <m/>
    <x v="1"/>
    <m/>
    <m/>
    <s v="Distans"/>
    <m/>
    <m/>
    <n v="50"/>
    <x v="1"/>
    <m/>
    <m/>
    <n v="15"/>
    <n v="3.75"/>
    <n v="0.8"/>
    <n v="3"/>
    <n v="1650"/>
    <x v="11"/>
    <s v="Hum"/>
    <x v="0"/>
    <n v="47957"/>
    <n v="57006"/>
    <n v="350856.75"/>
    <n v="69000"/>
    <n v="258750"/>
    <n v="609606.75"/>
    <n v="1"/>
    <n v="0"/>
    <n v="0"/>
    <n v="0"/>
    <n v="0"/>
    <n v="0"/>
    <n v="0"/>
    <n v="0"/>
    <n v="0"/>
    <n v="0"/>
    <n v="0"/>
    <n v="0"/>
    <s v="Enl Ladok 190515"/>
    <s v="Äskat - Beslut p43 180607"/>
    <n v="3.75"/>
    <n v="3"/>
    <n v="0"/>
    <n v="0"/>
    <n v="0"/>
    <n v="0"/>
    <n v="0"/>
    <n v="0"/>
    <n v="0"/>
    <n v="0"/>
    <n v="0"/>
    <n v="0"/>
    <n v="0"/>
    <n v="0"/>
    <n v="0"/>
    <n v="0"/>
    <n v="0"/>
    <n v="0"/>
    <n v="0"/>
    <n v="0"/>
    <n v="0"/>
    <n v="0"/>
    <n v="0"/>
  </r>
  <r>
    <x v="65"/>
    <x v="63"/>
    <m/>
    <x v="0"/>
    <m/>
    <x v="2"/>
    <m/>
    <m/>
    <s v="Distans"/>
    <m/>
    <m/>
    <n v="50"/>
    <x v="1"/>
    <m/>
    <m/>
    <n v="15"/>
    <n v="3.75"/>
    <n v="0.8"/>
    <n v="3"/>
    <n v="1650"/>
    <x v="11"/>
    <s v="Hum"/>
    <x v="0"/>
    <n v="47957"/>
    <n v="57006"/>
    <n v="350856.75"/>
    <n v="69000"/>
    <n v="258750"/>
    <n v="609606.75"/>
    <n v="1"/>
    <n v="0"/>
    <n v="0"/>
    <n v="0"/>
    <n v="0"/>
    <n v="0"/>
    <n v="0"/>
    <n v="0"/>
    <n v="0"/>
    <n v="0"/>
    <n v="0"/>
    <n v="0"/>
    <s v="Äskat - Beslut p43 180607"/>
    <m/>
    <n v="3.75"/>
    <n v="3"/>
    <n v="0"/>
    <n v="0"/>
    <n v="0"/>
    <n v="0"/>
    <n v="0"/>
    <n v="0"/>
    <n v="0"/>
    <n v="0"/>
    <n v="0"/>
    <n v="0"/>
    <n v="0"/>
    <n v="0"/>
    <n v="0"/>
    <n v="0"/>
    <n v="0"/>
    <n v="0"/>
    <n v="0"/>
    <n v="0"/>
    <n v="0"/>
    <n v="0"/>
    <n v="0"/>
  </r>
  <r>
    <x v="66"/>
    <x v="64"/>
    <m/>
    <x v="0"/>
    <m/>
    <x v="1"/>
    <m/>
    <s v="Piteå"/>
    <s v="Distans"/>
    <m/>
    <m/>
    <n v="25"/>
    <x v="0"/>
    <m/>
    <m/>
    <n v="5"/>
    <n v="0.625"/>
    <n v="0.8"/>
    <n v="0.5"/>
    <n v="1650"/>
    <x v="11"/>
    <s v="Hum"/>
    <x v="0"/>
    <n v="18405"/>
    <n v="15773"/>
    <n v="19389.625"/>
    <n v="5800"/>
    <n v="3625"/>
    <n v="23014.625"/>
    <n v="0"/>
    <n v="1"/>
    <n v="0"/>
    <n v="0"/>
    <n v="0"/>
    <n v="0"/>
    <n v="0"/>
    <n v="0"/>
    <n v="0"/>
    <n v="0"/>
    <n v="0"/>
    <n v="0"/>
    <s v="Enl Ladok 190515"/>
    <s v="Äskat - Beslut p43 180607"/>
    <n v="0"/>
    <n v="0"/>
    <n v="0.625"/>
    <n v="0.5"/>
    <n v="0"/>
    <n v="0"/>
    <n v="0"/>
    <n v="0"/>
    <n v="0"/>
    <n v="0"/>
    <n v="0"/>
    <n v="0"/>
    <n v="0"/>
    <n v="0"/>
    <n v="0"/>
    <n v="0"/>
    <n v="0"/>
    <n v="0"/>
    <n v="0"/>
    <n v="0"/>
    <n v="0"/>
    <n v="0"/>
    <n v="0"/>
  </r>
  <r>
    <x v="67"/>
    <x v="65"/>
    <m/>
    <x v="0"/>
    <m/>
    <x v="1"/>
    <m/>
    <m/>
    <s v="Campus"/>
    <m/>
    <m/>
    <n v="100"/>
    <x v="7"/>
    <m/>
    <m/>
    <n v="1"/>
    <n v="0.5"/>
    <n v="0.8"/>
    <n v="0.4"/>
    <n v="1650"/>
    <x v="11"/>
    <s v="Hum"/>
    <x v="0"/>
    <n v="47957"/>
    <n v="57006"/>
    <n v="46780.9"/>
    <n v="69000"/>
    <n v="34500"/>
    <n v="81280.899999999994"/>
    <n v="1"/>
    <n v="0"/>
    <n v="0"/>
    <n v="0"/>
    <n v="0"/>
    <n v="0"/>
    <n v="0"/>
    <n v="0"/>
    <n v="0"/>
    <n v="0"/>
    <n v="0"/>
    <n v="0"/>
    <s v="Enl Ladok 190318"/>
    <s v="Äskat - Beslut p43 180607"/>
    <n v="0.5"/>
    <n v="0.4"/>
    <n v="0"/>
    <n v="0"/>
    <n v="0"/>
    <n v="0"/>
    <n v="0"/>
    <n v="0"/>
    <n v="0"/>
    <n v="0"/>
    <n v="0"/>
    <n v="0"/>
    <n v="0"/>
    <n v="0"/>
    <n v="0"/>
    <n v="0"/>
    <n v="0"/>
    <n v="0"/>
    <n v="0"/>
    <n v="0"/>
    <n v="0"/>
    <n v="0"/>
    <n v="0"/>
  </r>
  <r>
    <x v="68"/>
    <x v="66"/>
    <m/>
    <x v="0"/>
    <m/>
    <x v="2"/>
    <m/>
    <s v="Piteå"/>
    <s v="Distans"/>
    <m/>
    <m/>
    <n v="25"/>
    <x v="0"/>
    <m/>
    <m/>
    <n v="4"/>
    <n v="0.5"/>
    <n v="0.8"/>
    <n v="0.4"/>
    <n v="1650"/>
    <x v="11"/>
    <s v="Hum"/>
    <x v="0"/>
    <n v="18405"/>
    <n v="15773"/>
    <n v="15511.7"/>
    <n v="5800"/>
    <n v="2900"/>
    <n v="18411.7"/>
    <n v="0"/>
    <n v="1"/>
    <n v="0"/>
    <n v="0"/>
    <n v="0"/>
    <n v="0"/>
    <n v="0"/>
    <n v="0"/>
    <n v="0"/>
    <n v="0"/>
    <n v="0"/>
    <n v="0"/>
    <s v="Äskat - Beslut p43 180607"/>
    <m/>
    <n v="0"/>
    <n v="0"/>
    <n v="0.5"/>
    <n v="0.4"/>
    <n v="0"/>
    <n v="0"/>
    <n v="0"/>
    <n v="0"/>
    <n v="0"/>
    <n v="0"/>
    <n v="0"/>
    <n v="0"/>
    <n v="0"/>
    <n v="0"/>
    <n v="0"/>
    <n v="0"/>
    <n v="0"/>
    <n v="0"/>
    <n v="0"/>
    <n v="0"/>
    <n v="0"/>
    <n v="0"/>
    <n v="0"/>
  </r>
  <r>
    <x v="69"/>
    <x v="67"/>
    <m/>
    <x v="0"/>
    <m/>
    <x v="2"/>
    <m/>
    <m/>
    <s v="Campus"/>
    <m/>
    <m/>
    <n v="100"/>
    <x v="7"/>
    <m/>
    <m/>
    <n v="2"/>
    <n v="1"/>
    <n v="0.8"/>
    <n v="0.8"/>
    <n v="1650"/>
    <x v="11"/>
    <s v="Hum"/>
    <x v="0"/>
    <n v="47957"/>
    <n v="57006"/>
    <n v="93561.8"/>
    <n v="69000"/>
    <n v="69000"/>
    <n v="162561.79999999999"/>
    <n v="1"/>
    <n v="0"/>
    <n v="0"/>
    <n v="0"/>
    <n v="0"/>
    <n v="0"/>
    <n v="0"/>
    <n v="0"/>
    <n v="0"/>
    <n v="0"/>
    <n v="0"/>
    <n v="0"/>
    <s v="Äskat - Beslut p43 180607"/>
    <m/>
    <n v="1"/>
    <n v="0.8"/>
    <n v="0"/>
    <n v="0"/>
    <n v="0"/>
    <n v="0"/>
    <n v="0"/>
    <n v="0"/>
    <n v="0"/>
    <n v="0"/>
    <n v="0"/>
    <n v="0"/>
    <n v="0"/>
    <n v="0"/>
    <n v="0"/>
    <n v="0"/>
    <n v="0"/>
    <n v="0"/>
    <n v="0"/>
    <n v="0"/>
    <n v="0"/>
    <n v="0"/>
    <n v="0"/>
  </r>
  <r>
    <x v="70"/>
    <x v="68"/>
    <m/>
    <x v="0"/>
    <m/>
    <x v="1"/>
    <m/>
    <m/>
    <s v="Distans"/>
    <m/>
    <m/>
    <n v="50"/>
    <x v="1"/>
    <m/>
    <m/>
    <n v="8"/>
    <n v="2"/>
    <n v="0.8"/>
    <n v="1.6"/>
    <n v="1650"/>
    <x v="11"/>
    <s v="Hum"/>
    <x v="0"/>
    <n v="47957"/>
    <n v="57006"/>
    <n v="187123.6"/>
    <n v="69000"/>
    <n v="138000"/>
    <n v="325123.59999999998"/>
    <n v="1"/>
    <n v="0"/>
    <n v="0"/>
    <n v="0"/>
    <n v="0"/>
    <n v="0"/>
    <n v="0"/>
    <n v="0"/>
    <n v="0"/>
    <n v="0"/>
    <n v="0"/>
    <n v="0"/>
    <s v="Enl Ladok 190318"/>
    <s v="Äskat - Beslut p43 180607"/>
    <n v="2"/>
    <n v="1.6"/>
    <n v="0"/>
    <n v="0"/>
    <n v="0"/>
    <n v="0"/>
    <n v="0"/>
    <n v="0"/>
    <n v="0"/>
    <n v="0"/>
    <n v="0"/>
    <n v="0"/>
    <n v="0"/>
    <n v="0"/>
    <n v="0"/>
    <n v="0"/>
    <n v="0"/>
    <n v="0"/>
    <n v="0"/>
    <n v="0"/>
    <n v="0"/>
    <n v="0"/>
    <n v="0"/>
  </r>
  <r>
    <x v="71"/>
    <x v="69"/>
    <m/>
    <x v="4"/>
    <s v="H16"/>
    <x v="2"/>
    <s v="H191-10"/>
    <m/>
    <m/>
    <s v="TMBI"/>
    <m/>
    <n v="100"/>
    <x v="1"/>
    <m/>
    <m/>
    <n v="1"/>
    <n v="0.25"/>
    <n v="0.85"/>
    <n v="0.21249999999999999"/>
    <n v="1650"/>
    <x v="11"/>
    <s v="Hum"/>
    <x v="4"/>
    <n v="47957"/>
    <n v="57006"/>
    <n v="24103.025000000001"/>
    <n v="69000"/>
    <n v="17250"/>
    <n v="41353.025000000001"/>
    <n v="1"/>
    <n v="0"/>
    <n v="0"/>
    <n v="0"/>
    <n v="0"/>
    <n v="0"/>
    <n v="0"/>
    <n v="0"/>
    <n v="0"/>
    <n v="0"/>
    <n v="0"/>
    <n v="0"/>
    <s v="Enligt SP 190924"/>
    <m/>
    <n v="0.25"/>
    <n v="0.21249999999999999"/>
    <n v="0"/>
    <n v="0"/>
    <n v="0"/>
    <n v="0"/>
    <n v="0"/>
    <n v="0"/>
    <n v="0"/>
    <n v="0"/>
    <n v="0"/>
    <n v="0"/>
    <n v="0"/>
    <n v="0"/>
    <n v="0"/>
    <n v="0"/>
    <n v="0"/>
    <n v="0"/>
    <n v="0"/>
    <n v="0"/>
    <n v="0"/>
    <n v="0"/>
    <n v="0"/>
  </r>
  <r>
    <x v="71"/>
    <x v="69"/>
    <m/>
    <x v="4"/>
    <s v="H16"/>
    <x v="2"/>
    <s v="H191-10"/>
    <m/>
    <m/>
    <s v="TXBI"/>
    <m/>
    <n v="100"/>
    <x v="1"/>
    <m/>
    <m/>
    <n v="2"/>
    <n v="0.5"/>
    <n v="0.85"/>
    <n v="0.42499999999999999"/>
    <n v="1650"/>
    <x v="11"/>
    <s v="Hum"/>
    <x v="4"/>
    <n v="47957"/>
    <n v="57006"/>
    <n v="48206.05"/>
    <n v="69000"/>
    <n v="34500"/>
    <n v="82706.05"/>
    <n v="1"/>
    <n v="0"/>
    <n v="0"/>
    <n v="0"/>
    <n v="0"/>
    <n v="0"/>
    <n v="0"/>
    <n v="0"/>
    <n v="0"/>
    <n v="0"/>
    <n v="0"/>
    <n v="0"/>
    <s v="Enligt SP 190924"/>
    <m/>
    <n v="0.5"/>
    <n v="0.42499999999999999"/>
    <n v="0"/>
    <n v="0"/>
    <n v="0"/>
    <n v="0"/>
    <n v="0"/>
    <n v="0"/>
    <n v="0"/>
    <n v="0"/>
    <n v="0"/>
    <n v="0"/>
    <n v="0"/>
    <n v="0"/>
    <n v="0"/>
    <n v="0"/>
    <n v="0"/>
    <n v="0"/>
    <n v="0"/>
    <n v="0"/>
    <n v="0"/>
    <n v="0"/>
    <n v="0"/>
  </r>
  <r>
    <x v="71"/>
    <x v="69"/>
    <m/>
    <x v="1"/>
    <s v="H16"/>
    <x v="2"/>
    <s v="H191-10"/>
    <m/>
    <m/>
    <s v="RELK"/>
    <m/>
    <n v="100"/>
    <x v="1"/>
    <m/>
    <m/>
    <n v="1"/>
    <n v="0.25"/>
    <n v="0.85"/>
    <n v="0.21249999999999999"/>
    <n v="1650"/>
    <x v="11"/>
    <s v="Hum"/>
    <x v="1"/>
    <n v="47957"/>
    <n v="57006"/>
    <n v="24103.025000000001"/>
    <n v="69000"/>
    <n v="17250"/>
    <n v="41353.025000000001"/>
    <n v="1"/>
    <n v="0"/>
    <n v="0"/>
    <n v="0"/>
    <n v="0"/>
    <n v="0"/>
    <n v="0"/>
    <n v="0"/>
    <n v="0"/>
    <n v="0"/>
    <n v="0"/>
    <n v="0"/>
    <s v="Enligt SP 190924"/>
    <m/>
    <n v="0.25"/>
    <n v="0.21249999999999999"/>
    <n v="0"/>
    <n v="0"/>
    <n v="0"/>
    <n v="0"/>
    <n v="0"/>
    <n v="0"/>
    <n v="0"/>
    <n v="0"/>
    <n v="0"/>
    <n v="0"/>
    <n v="0"/>
    <n v="0"/>
    <n v="0"/>
    <n v="0"/>
    <n v="0"/>
    <n v="0"/>
    <n v="0"/>
    <n v="0"/>
    <n v="0"/>
    <n v="0"/>
    <n v="0"/>
  </r>
  <r>
    <x v="71"/>
    <x v="69"/>
    <m/>
    <x v="1"/>
    <s v="H16"/>
    <x v="2"/>
    <s v="H191-10"/>
    <m/>
    <m/>
    <s v="SVAA"/>
    <m/>
    <n v="100"/>
    <x v="1"/>
    <m/>
    <m/>
    <n v="1"/>
    <n v="0.25"/>
    <n v="0.85"/>
    <n v="0.21249999999999999"/>
    <n v="1650"/>
    <x v="11"/>
    <s v="Hum"/>
    <x v="1"/>
    <n v="47957"/>
    <n v="57006"/>
    <n v="24103.025000000001"/>
    <n v="69000"/>
    <n v="17250"/>
    <n v="41353.025000000001"/>
    <n v="1"/>
    <n v="0"/>
    <n v="0"/>
    <n v="0"/>
    <n v="0"/>
    <n v="0"/>
    <n v="0"/>
    <n v="0"/>
    <n v="0"/>
    <n v="0"/>
    <n v="0"/>
    <n v="0"/>
    <s v="Enligt SP 190924"/>
    <m/>
    <n v="0.25"/>
    <n v="0.21249999999999999"/>
    <n v="0"/>
    <n v="0"/>
    <n v="0"/>
    <n v="0"/>
    <n v="0"/>
    <n v="0"/>
    <n v="0"/>
    <n v="0"/>
    <n v="0"/>
    <n v="0"/>
    <n v="0"/>
    <n v="0"/>
    <n v="0"/>
    <n v="0"/>
    <n v="0"/>
    <n v="0"/>
    <n v="0"/>
    <n v="0"/>
    <n v="0"/>
    <n v="0"/>
    <n v="0"/>
  </r>
  <r>
    <x v="71"/>
    <x v="69"/>
    <m/>
    <x v="1"/>
    <s v="H18"/>
    <x v="2"/>
    <s v="H191-10"/>
    <m/>
    <m/>
    <s v="BILÄ"/>
    <m/>
    <n v="100"/>
    <x v="1"/>
    <m/>
    <m/>
    <n v="10"/>
    <n v="2.5"/>
    <n v="0.85"/>
    <n v="2.125"/>
    <n v="1650"/>
    <x v="11"/>
    <s v="Hum"/>
    <x v="1"/>
    <n v="47957"/>
    <n v="57006"/>
    <n v="241030.25"/>
    <n v="69000"/>
    <n v="172500"/>
    <n v="413530.25"/>
    <n v="1"/>
    <n v="0"/>
    <n v="0"/>
    <n v="0"/>
    <n v="0"/>
    <n v="0"/>
    <n v="0"/>
    <n v="0"/>
    <n v="0"/>
    <n v="0"/>
    <n v="0"/>
    <n v="0"/>
    <s v="Enligt SP 190924"/>
    <m/>
    <n v="2.5"/>
    <n v="2.125"/>
    <n v="0"/>
    <n v="0"/>
    <n v="0"/>
    <n v="0"/>
    <n v="0"/>
    <n v="0"/>
    <n v="0"/>
    <n v="0"/>
    <n v="0"/>
    <n v="0"/>
    <n v="0"/>
    <n v="0"/>
    <n v="0"/>
    <n v="0"/>
    <n v="0"/>
    <n v="0"/>
    <n v="0"/>
    <n v="0"/>
    <n v="0"/>
    <n v="0"/>
    <n v="0"/>
  </r>
  <r>
    <x v="72"/>
    <x v="70"/>
    <m/>
    <x v="4"/>
    <s v="H16"/>
    <x v="2"/>
    <s v="H1911-20"/>
    <m/>
    <m/>
    <s v="TMBI"/>
    <m/>
    <n v="100"/>
    <x v="1"/>
    <m/>
    <m/>
    <n v="1"/>
    <n v="0.25"/>
    <n v="0.85"/>
    <n v="0.21249999999999999"/>
    <n v="1650"/>
    <x v="11"/>
    <s v="Hum"/>
    <x v="4"/>
    <n v="47957"/>
    <n v="57006"/>
    <n v="24103.025000000001"/>
    <n v="69000"/>
    <n v="17250"/>
    <n v="41353.025000000001"/>
    <n v="1"/>
    <n v="0"/>
    <n v="0"/>
    <n v="0"/>
    <n v="0"/>
    <n v="0"/>
    <n v="0"/>
    <n v="0"/>
    <n v="0"/>
    <n v="0"/>
    <n v="0"/>
    <n v="0"/>
    <s v="Enligt SP 190924"/>
    <m/>
    <n v="0.25"/>
    <n v="0.21249999999999999"/>
    <n v="0"/>
    <n v="0"/>
    <n v="0"/>
    <n v="0"/>
    <n v="0"/>
    <n v="0"/>
    <n v="0"/>
    <n v="0"/>
    <n v="0"/>
    <n v="0"/>
    <n v="0"/>
    <n v="0"/>
    <n v="0"/>
    <n v="0"/>
    <n v="0"/>
    <n v="0"/>
    <n v="0"/>
    <n v="0"/>
    <n v="0"/>
    <n v="0"/>
    <n v="0"/>
  </r>
  <r>
    <x v="72"/>
    <x v="70"/>
    <m/>
    <x v="4"/>
    <s v="H16"/>
    <x v="2"/>
    <s v="H1911-20"/>
    <m/>
    <m/>
    <s v="TXBI"/>
    <m/>
    <n v="100"/>
    <x v="1"/>
    <m/>
    <m/>
    <n v="2"/>
    <n v="0.5"/>
    <n v="0.85"/>
    <n v="0.42499999999999999"/>
    <n v="1650"/>
    <x v="11"/>
    <s v="Hum"/>
    <x v="4"/>
    <n v="47957"/>
    <n v="57006"/>
    <n v="48206.05"/>
    <n v="69000"/>
    <n v="34500"/>
    <n v="82706.05"/>
    <n v="1"/>
    <n v="0"/>
    <n v="0"/>
    <n v="0"/>
    <n v="0"/>
    <n v="0"/>
    <n v="0"/>
    <n v="0"/>
    <n v="0"/>
    <n v="0"/>
    <n v="0"/>
    <n v="0"/>
    <s v="Enligt SP 190924"/>
    <m/>
    <n v="0.5"/>
    <n v="0.42499999999999999"/>
    <n v="0"/>
    <n v="0"/>
    <n v="0"/>
    <n v="0"/>
    <n v="0"/>
    <n v="0"/>
    <n v="0"/>
    <n v="0"/>
    <n v="0"/>
    <n v="0"/>
    <n v="0"/>
    <n v="0"/>
    <n v="0"/>
    <n v="0"/>
    <n v="0"/>
    <n v="0"/>
    <n v="0"/>
    <n v="0"/>
    <n v="0"/>
    <n v="0"/>
    <n v="0"/>
  </r>
  <r>
    <x v="72"/>
    <x v="70"/>
    <m/>
    <x v="1"/>
    <s v="H16"/>
    <x v="2"/>
    <s v="H1911-20"/>
    <m/>
    <m/>
    <s v="RELK"/>
    <m/>
    <n v="100"/>
    <x v="1"/>
    <m/>
    <m/>
    <n v="1"/>
    <n v="0.25"/>
    <n v="0.85"/>
    <n v="0.21249999999999999"/>
    <n v="1650"/>
    <x v="11"/>
    <s v="Hum"/>
    <x v="1"/>
    <n v="47957"/>
    <n v="57006"/>
    <n v="24103.025000000001"/>
    <n v="69000"/>
    <n v="17250"/>
    <n v="41353.025000000001"/>
    <n v="1"/>
    <n v="0"/>
    <n v="0"/>
    <n v="0"/>
    <n v="0"/>
    <n v="0"/>
    <n v="0"/>
    <n v="0"/>
    <n v="0"/>
    <n v="0"/>
    <n v="0"/>
    <n v="0"/>
    <s v="Enligt SP 190924"/>
    <m/>
    <n v="0.25"/>
    <n v="0.21249999999999999"/>
    <n v="0"/>
    <n v="0"/>
    <n v="0"/>
    <n v="0"/>
    <n v="0"/>
    <n v="0"/>
    <n v="0"/>
    <n v="0"/>
    <n v="0"/>
    <n v="0"/>
    <n v="0"/>
    <n v="0"/>
    <n v="0"/>
    <n v="0"/>
    <n v="0"/>
    <n v="0"/>
    <n v="0"/>
    <n v="0"/>
    <n v="0"/>
    <n v="0"/>
    <n v="0"/>
  </r>
  <r>
    <x v="72"/>
    <x v="70"/>
    <m/>
    <x v="1"/>
    <s v="H16"/>
    <x v="2"/>
    <s v="H1911-20"/>
    <m/>
    <m/>
    <s v="SVAA"/>
    <m/>
    <n v="100"/>
    <x v="1"/>
    <m/>
    <m/>
    <n v="1"/>
    <n v="0.25"/>
    <n v="0.85"/>
    <n v="0.21249999999999999"/>
    <n v="1650"/>
    <x v="11"/>
    <s v="Hum"/>
    <x v="1"/>
    <n v="47957"/>
    <n v="57006"/>
    <n v="24103.025000000001"/>
    <n v="69000"/>
    <n v="17250"/>
    <n v="41353.025000000001"/>
    <n v="1"/>
    <n v="0"/>
    <n v="0"/>
    <n v="0"/>
    <n v="0"/>
    <n v="0"/>
    <n v="0"/>
    <n v="0"/>
    <n v="0"/>
    <n v="0"/>
    <n v="0"/>
    <n v="0"/>
    <s v="Enligt SP 190924"/>
    <m/>
    <n v="0.25"/>
    <n v="0.21249999999999999"/>
    <n v="0"/>
    <n v="0"/>
    <n v="0"/>
    <n v="0"/>
    <n v="0"/>
    <n v="0"/>
    <n v="0"/>
    <n v="0"/>
    <n v="0"/>
    <n v="0"/>
    <n v="0"/>
    <n v="0"/>
    <n v="0"/>
    <n v="0"/>
    <n v="0"/>
    <n v="0"/>
    <n v="0"/>
    <n v="0"/>
    <n v="0"/>
    <n v="0"/>
    <n v="0"/>
  </r>
  <r>
    <x v="72"/>
    <x v="70"/>
    <m/>
    <x v="1"/>
    <s v="H18"/>
    <x v="2"/>
    <s v="H1911-20"/>
    <m/>
    <m/>
    <s v="BILÄ"/>
    <m/>
    <n v="100"/>
    <x v="1"/>
    <m/>
    <m/>
    <n v="10"/>
    <n v="2.5"/>
    <n v="0.85"/>
    <n v="2.125"/>
    <n v="1650"/>
    <x v="11"/>
    <s v="Hum"/>
    <x v="1"/>
    <n v="47957"/>
    <n v="57006"/>
    <n v="241030.25"/>
    <n v="69000"/>
    <n v="172500"/>
    <n v="413530.25"/>
    <n v="1"/>
    <n v="0"/>
    <n v="0"/>
    <n v="0"/>
    <n v="0"/>
    <n v="0"/>
    <n v="0"/>
    <n v="0"/>
    <n v="0"/>
    <n v="0"/>
    <n v="0"/>
    <n v="0"/>
    <s v="Enligt SP 190924"/>
    <m/>
    <n v="2.5"/>
    <n v="2.125"/>
    <n v="0"/>
    <n v="0"/>
    <n v="0"/>
    <n v="0"/>
    <n v="0"/>
    <n v="0"/>
    <n v="0"/>
    <n v="0"/>
    <n v="0"/>
    <n v="0"/>
    <n v="0"/>
    <n v="0"/>
    <n v="0"/>
    <n v="0"/>
    <n v="0"/>
    <n v="0"/>
    <n v="0"/>
    <n v="0"/>
    <n v="0"/>
    <n v="0"/>
    <n v="0"/>
  </r>
  <r>
    <x v="73"/>
    <x v="71"/>
    <m/>
    <x v="7"/>
    <s v="H15"/>
    <x v="1"/>
    <s v="V1911-20"/>
    <s v="Umeå"/>
    <m/>
    <m/>
    <m/>
    <n v="100"/>
    <x v="1"/>
    <m/>
    <m/>
    <n v="1"/>
    <n v="0.25"/>
    <n v="0.85"/>
    <n v="0.21249999999999999"/>
    <n v="1650"/>
    <x v="11"/>
    <s v="Hum"/>
    <x v="7"/>
    <n v="15846"/>
    <n v="26926"/>
    <n v="9683.2749999999996"/>
    <n v="17300"/>
    <n v="4325"/>
    <n v="14008.275"/>
    <n v="0"/>
    <n v="0"/>
    <n v="0"/>
    <n v="0"/>
    <n v="0"/>
    <n v="0"/>
    <n v="0"/>
    <n v="0"/>
    <n v="0"/>
    <n v="0"/>
    <n v="1"/>
    <n v="0"/>
    <s v="Enl Ladok 190515"/>
    <m/>
    <n v="0"/>
    <n v="0"/>
    <n v="0"/>
    <n v="0"/>
    <n v="0"/>
    <n v="0"/>
    <n v="0"/>
    <n v="0"/>
    <n v="0"/>
    <n v="0"/>
    <n v="0"/>
    <n v="0"/>
    <n v="0"/>
    <n v="0"/>
    <n v="0"/>
    <n v="0"/>
    <n v="0"/>
    <n v="0"/>
    <n v="0"/>
    <n v="0.25"/>
    <n v="0.21249999999999999"/>
    <n v="0"/>
    <n v="0"/>
  </r>
  <r>
    <x v="73"/>
    <x v="71"/>
    <m/>
    <x v="7"/>
    <s v="H16"/>
    <x v="1"/>
    <s v="V1911-20"/>
    <s v="Umeå"/>
    <m/>
    <m/>
    <m/>
    <n v="100"/>
    <x v="1"/>
    <m/>
    <m/>
    <n v="57"/>
    <n v="14.25"/>
    <n v="0.85"/>
    <n v="12.112499999999999"/>
    <n v="1650"/>
    <x v="11"/>
    <s v="Hum"/>
    <x v="7"/>
    <n v="15846"/>
    <n v="26926"/>
    <n v="551946.67500000005"/>
    <n v="17300"/>
    <n v="246525"/>
    <n v="798471.67500000005"/>
    <n v="0"/>
    <n v="0"/>
    <n v="0"/>
    <n v="0"/>
    <n v="0"/>
    <n v="0"/>
    <n v="0"/>
    <n v="0"/>
    <n v="0"/>
    <n v="0"/>
    <n v="1"/>
    <n v="0"/>
    <s v="Enl Ladok 190515"/>
    <m/>
    <n v="0"/>
    <n v="0"/>
    <n v="0"/>
    <n v="0"/>
    <n v="0"/>
    <n v="0"/>
    <n v="0"/>
    <n v="0"/>
    <n v="0"/>
    <n v="0"/>
    <n v="0"/>
    <n v="0"/>
    <n v="0"/>
    <n v="0"/>
    <n v="0"/>
    <n v="0"/>
    <n v="0"/>
    <n v="0"/>
    <n v="0"/>
    <n v="14.25"/>
    <n v="12.112499999999999"/>
    <n v="0"/>
    <n v="0"/>
  </r>
  <r>
    <x v="73"/>
    <x v="71"/>
    <m/>
    <x v="7"/>
    <s v="H16"/>
    <x v="2"/>
    <s v="H1911-20"/>
    <m/>
    <m/>
    <m/>
    <m/>
    <n v="100"/>
    <x v="1"/>
    <m/>
    <m/>
    <n v="3"/>
    <n v="0.75"/>
    <n v="0.85"/>
    <n v="0.63749999999999996"/>
    <n v="1650"/>
    <x v="11"/>
    <s v="Hum"/>
    <x v="7"/>
    <n v="15846"/>
    <n v="26926"/>
    <n v="29049.824999999997"/>
    <n v="17300"/>
    <n v="12975"/>
    <n v="42024.824999999997"/>
    <n v="0"/>
    <n v="0"/>
    <n v="0"/>
    <n v="0"/>
    <n v="0"/>
    <n v="0"/>
    <n v="0"/>
    <n v="0"/>
    <n v="0"/>
    <n v="0"/>
    <n v="1"/>
    <n v="0"/>
    <s v="Enligt SP 190924"/>
    <m/>
    <n v="0"/>
    <n v="0"/>
    <n v="0"/>
    <n v="0"/>
    <n v="0"/>
    <n v="0"/>
    <n v="0"/>
    <n v="0"/>
    <n v="0"/>
    <n v="0"/>
    <n v="0"/>
    <n v="0"/>
    <n v="0"/>
    <n v="0"/>
    <n v="0"/>
    <n v="0"/>
    <n v="0"/>
    <n v="0"/>
    <n v="0"/>
    <n v="0.75"/>
    <n v="0.63749999999999996"/>
    <n v="0"/>
    <n v="0"/>
  </r>
  <r>
    <x v="73"/>
    <x v="71"/>
    <m/>
    <x v="7"/>
    <s v="V16"/>
    <x v="1"/>
    <s v="V1911-20"/>
    <s v="Umeå"/>
    <m/>
    <m/>
    <m/>
    <n v="100"/>
    <x v="1"/>
    <m/>
    <m/>
    <n v="1"/>
    <n v="0.25"/>
    <n v="0.85"/>
    <n v="0.21249999999999999"/>
    <n v="1650"/>
    <x v="11"/>
    <s v="Hum"/>
    <x v="7"/>
    <n v="15846"/>
    <n v="26926"/>
    <n v="9683.2749999999996"/>
    <n v="17300"/>
    <n v="4325"/>
    <n v="14008.275"/>
    <n v="0"/>
    <n v="0"/>
    <n v="0"/>
    <n v="0"/>
    <n v="0"/>
    <n v="0"/>
    <n v="0"/>
    <n v="0"/>
    <n v="0"/>
    <n v="0"/>
    <n v="1"/>
    <n v="0"/>
    <s v="Enl Ladok 190515"/>
    <m/>
    <n v="0"/>
    <n v="0"/>
    <n v="0"/>
    <n v="0"/>
    <n v="0"/>
    <n v="0"/>
    <n v="0"/>
    <n v="0"/>
    <n v="0"/>
    <n v="0"/>
    <n v="0"/>
    <n v="0"/>
    <n v="0"/>
    <n v="0"/>
    <n v="0"/>
    <n v="0"/>
    <n v="0"/>
    <n v="0"/>
    <n v="0"/>
    <n v="0.25"/>
    <n v="0.21249999999999999"/>
    <n v="0"/>
    <n v="0"/>
  </r>
  <r>
    <x v="73"/>
    <x v="71"/>
    <m/>
    <x v="7"/>
    <s v="V16"/>
    <x v="1"/>
    <s v="V1911-20"/>
    <s v="Umeå"/>
    <m/>
    <m/>
    <m/>
    <n v="100"/>
    <x v="1"/>
    <m/>
    <m/>
    <n v="2"/>
    <n v="0.5"/>
    <n v="0.85"/>
    <n v="0.42499999999999999"/>
    <n v="1650"/>
    <x v="11"/>
    <s v="Hum"/>
    <x v="7"/>
    <n v="15846"/>
    <n v="26926"/>
    <n v="19366.55"/>
    <n v="17300"/>
    <n v="8650"/>
    <n v="28016.55"/>
    <n v="0"/>
    <n v="0"/>
    <n v="0"/>
    <n v="0"/>
    <n v="0"/>
    <n v="0"/>
    <n v="0"/>
    <n v="0"/>
    <n v="0"/>
    <n v="0"/>
    <n v="1"/>
    <n v="0"/>
    <s v="Enl Ladok 190515"/>
    <m/>
    <n v="0"/>
    <n v="0"/>
    <n v="0"/>
    <n v="0"/>
    <n v="0"/>
    <n v="0"/>
    <n v="0"/>
    <n v="0"/>
    <n v="0"/>
    <n v="0"/>
    <n v="0"/>
    <n v="0"/>
    <n v="0"/>
    <n v="0"/>
    <n v="0"/>
    <n v="0"/>
    <n v="0"/>
    <n v="0"/>
    <n v="0"/>
    <n v="0.5"/>
    <n v="0.42499999999999999"/>
    <n v="0"/>
    <n v="0"/>
  </r>
  <r>
    <x v="73"/>
    <x v="71"/>
    <m/>
    <x v="7"/>
    <s v="V16"/>
    <x v="2"/>
    <s v="H1911-20"/>
    <m/>
    <m/>
    <m/>
    <m/>
    <n v="100"/>
    <x v="1"/>
    <m/>
    <m/>
    <n v="1"/>
    <n v="0.25"/>
    <n v="0.85"/>
    <n v="0.21249999999999999"/>
    <n v="1650"/>
    <x v="11"/>
    <s v="Hum"/>
    <x v="7"/>
    <n v="15846"/>
    <n v="26926"/>
    <n v="9683.2749999999996"/>
    <n v="17300"/>
    <n v="4325"/>
    <n v="14008.275"/>
    <n v="0"/>
    <n v="0"/>
    <n v="0"/>
    <n v="0"/>
    <n v="0"/>
    <n v="0"/>
    <n v="0"/>
    <n v="0"/>
    <n v="0"/>
    <n v="0"/>
    <n v="1"/>
    <n v="0"/>
    <s v="Enligt SP 190924"/>
    <m/>
    <n v="0"/>
    <n v="0"/>
    <n v="0"/>
    <n v="0"/>
    <n v="0"/>
    <n v="0"/>
    <n v="0"/>
    <n v="0"/>
    <n v="0"/>
    <n v="0"/>
    <n v="0"/>
    <n v="0"/>
    <n v="0"/>
    <n v="0"/>
    <n v="0"/>
    <n v="0"/>
    <n v="0"/>
    <n v="0"/>
    <n v="0"/>
    <n v="0.25"/>
    <n v="0.21249999999999999"/>
    <n v="0"/>
    <n v="0"/>
  </r>
  <r>
    <x v="73"/>
    <x v="71"/>
    <m/>
    <x v="7"/>
    <s v="V17"/>
    <x v="2"/>
    <s v="H1911-20"/>
    <m/>
    <m/>
    <m/>
    <m/>
    <n v="100"/>
    <x v="1"/>
    <m/>
    <m/>
    <n v="19"/>
    <n v="4.75"/>
    <n v="0.85"/>
    <n v="4.0374999999999996"/>
    <n v="1650"/>
    <x v="11"/>
    <s v="Hum"/>
    <x v="7"/>
    <n v="15846"/>
    <n v="26926"/>
    <n v="183982.22499999998"/>
    <n v="17300"/>
    <n v="82175"/>
    <n v="266157.22499999998"/>
    <n v="0"/>
    <n v="0"/>
    <n v="0"/>
    <n v="0"/>
    <n v="0"/>
    <n v="0"/>
    <n v="0"/>
    <n v="0"/>
    <n v="0"/>
    <n v="0"/>
    <n v="1"/>
    <n v="0"/>
    <s v="Enligt SP 190924"/>
    <m/>
    <n v="0"/>
    <n v="0"/>
    <n v="0"/>
    <n v="0"/>
    <n v="0"/>
    <n v="0"/>
    <n v="0"/>
    <n v="0"/>
    <n v="0"/>
    <n v="0"/>
    <n v="0"/>
    <n v="0"/>
    <n v="0"/>
    <n v="0"/>
    <n v="0"/>
    <n v="0"/>
    <n v="0"/>
    <n v="0"/>
    <n v="0"/>
    <n v="4.75"/>
    <n v="4.0374999999999996"/>
    <n v="0"/>
    <n v="0"/>
  </r>
  <r>
    <x v="74"/>
    <x v="72"/>
    <m/>
    <x v="1"/>
    <s v="H15"/>
    <x v="2"/>
    <s v="H1913-16"/>
    <m/>
    <m/>
    <s v="MUSI"/>
    <m/>
    <n v="100"/>
    <x v="2"/>
    <m/>
    <m/>
    <n v="1"/>
    <n v="0.1"/>
    <n v="0.85"/>
    <n v="8.5000000000000006E-2"/>
    <n v="1650"/>
    <x v="11"/>
    <s v="Hum"/>
    <x v="1"/>
    <n v="21634"/>
    <n v="26986"/>
    <n v="4457.21"/>
    <n v="3400"/>
    <n v="340"/>
    <n v="4797.21"/>
    <n v="0"/>
    <n v="0"/>
    <n v="0"/>
    <n v="0"/>
    <n v="0"/>
    <n v="0"/>
    <n v="0"/>
    <n v="0"/>
    <n v="1"/>
    <n v="0"/>
    <n v="0"/>
    <n v="0"/>
    <s v="Enligt SP 190924"/>
    <m/>
    <n v="0"/>
    <n v="0"/>
    <n v="0"/>
    <n v="0"/>
    <n v="0"/>
    <n v="0"/>
    <n v="0"/>
    <n v="0"/>
    <n v="0"/>
    <n v="0"/>
    <n v="0"/>
    <n v="0"/>
    <n v="0"/>
    <n v="0"/>
    <n v="0"/>
    <n v="0"/>
    <n v="0.1"/>
    <n v="8.5000000000000006E-2"/>
    <n v="0"/>
    <n v="0"/>
    <n v="0"/>
    <n v="0"/>
    <n v="0"/>
  </r>
  <r>
    <x v="74"/>
    <x v="72"/>
    <m/>
    <x v="1"/>
    <s v="H16"/>
    <x v="2"/>
    <s v="H1913-16"/>
    <m/>
    <m/>
    <s v="MUSI"/>
    <m/>
    <n v="100"/>
    <x v="2"/>
    <m/>
    <m/>
    <n v="1"/>
    <n v="0.1"/>
    <n v="0.85"/>
    <n v="8.5000000000000006E-2"/>
    <n v="1650"/>
    <x v="11"/>
    <s v="Hum"/>
    <x v="1"/>
    <n v="21634"/>
    <n v="26986"/>
    <n v="4457.21"/>
    <n v="3400"/>
    <n v="340"/>
    <n v="4797.21"/>
    <n v="0"/>
    <n v="0"/>
    <n v="0"/>
    <n v="0"/>
    <n v="0"/>
    <n v="0"/>
    <n v="0"/>
    <n v="0"/>
    <n v="1"/>
    <n v="0"/>
    <n v="0"/>
    <n v="0"/>
    <s v="Enligt SP 190924"/>
    <m/>
    <n v="0"/>
    <n v="0"/>
    <n v="0"/>
    <n v="0"/>
    <n v="0"/>
    <n v="0"/>
    <n v="0"/>
    <n v="0"/>
    <n v="0"/>
    <n v="0"/>
    <n v="0"/>
    <n v="0"/>
    <n v="0"/>
    <n v="0"/>
    <n v="0"/>
    <n v="0"/>
    <n v="0.1"/>
    <n v="8.5000000000000006E-2"/>
    <n v="0"/>
    <n v="0"/>
    <n v="0"/>
    <n v="0"/>
    <n v="0"/>
  </r>
  <r>
    <x v="74"/>
    <x v="72"/>
    <m/>
    <x v="1"/>
    <s v="H17"/>
    <x v="2"/>
    <s v="H1913-16"/>
    <m/>
    <m/>
    <s v="MUSI"/>
    <m/>
    <n v="100"/>
    <x v="2"/>
    <m/>
    <m/>
    <n v="2"/>
    <n v="0.2"/>
    <n v="0.85"/>
    <n v="0.17"/>
    <n v="1650"/>
    <x v="11"/>
    <s v="Hum"/>
    <x v="1"/>
    <n v="21634"/>
    <n v="26986"/>
    <n v="8914.42"/>
    <n v="3400"/>
    <n v="680"/>
    <n v="9594.42"/>
    <n v="0"/>
    <n v="0"/>
    <n v="0"/>
    <n v="0"/>
    <n v="0"/>
    <n v="0"/>
    <n v="0"/>
    <n v="0"/>
    <n v="1"/>
    <n v="0"/>
    <n v="0"/>
    <n v="0"/>
    <s v="Enligt SP 190924"/>
    <m/>
    <n v="0"/>
    <n v="0"/>
    <n v="0"/>
    <n v="0"/>
    <n v="0"/>
    <n v="0"/>
    <n v="0"/>
    <n v="0"/>
    <n v="0"/>
    <n v="0"/>
    <n v="0"/>
    <n v="0"/>
    <n v="0"/>
    <n v="0"/>
    <n v="0"/>
    <n v="0"/>
    <n v="0.2"/>
    <n v="0.17"/>
    <n v="0"/>
    <n v="0"/>
    <n v="0"/>
    <n v="0"/>
    <n v="0"/>
  </r>
  <r>
    <x v="75"/>
    <x v="73"/>
    <m/>
    <x v="4"/>
    <s v="H17"/>
    <x v="2"/>
    <s v="H1913-16"/>
    <m/>
    <m/>
    <s v="TXBI"/>
    <m/>
    <n v="100"/>
    <x v="2"/>
    <m/>
    <m/>
    <n v="4"/>
    <n v="0.4"/>
    <n v="0.85"/>
    <n v="0.34"/>
    <n v="1650"/>
    <x v="11"/>
    <s v="Hum"/>
    <x v="4"/>
    <n v="21634"/>
    <n v="26986"/>
    <n v="17828.84"/>
    <n v="3400"/>
    <n v="1360"/>
    <n v="19188.84"/>
    <n v="0"/>
    <n v="0"/>
    <n v="0"/>
    <n v="0"/>
    <n v="0"/>
    <n v="0"/>
    <n v="0"/>
    <n v="0"/>
    <n v="1"/>
    <n v="0"/>
    <n v="0"/>
    <n v="0"/>
    <s v="Enligt SP 190924"/>
    <m/>
    <n v="0"/>
    <n v="0"/>
    <n v="0"/>
    <n v="0"/>
    <n v="0"/>
    <n v="0"/>
    <n v="0"/>
    <n v="0"/>
    <n v="0"/>
    <n v="0"/>
    <n v="0"/>
    <n v="0"/>
    <n v="0"/>
    <n v="0"/>
    <n v="0"/>
    <n v="0"/>
    <n v="0.4"/>
    <n v="0.34"/>
    <n v="0"/>
    <n v="0"/>
    <n v="0"/>
    <n v="0"/>
    <n v="0"/>
  </r>
  <r>
    <x v="76"/>
    <x v="74"/>
    <m/>
    <x v="0"/>
    <m/>
    <x v="2"/>
    <m/>
    <s v="Piteå"/>
    <s v="Distans"/>
    <m/>
    <m/>
    <n v="25"/>
    <x v="0"/>
    <m/>
    <m/>
    <n v="14"/>
    <n v="1.75"/>
    <n v="0.8"/>
    <n v="1.4000000000000001"/>
    <n v="1650"/>
    <x v="11"/>
    <s v="Hum"/>
    <x v="0"/>
    <n v="18405"/>
    <n v="15773"/>
    <n v="54290.95"/>
    <n v="5800"/>
    <n v="10150"/>
    <n v="64440.95"/>
    <n v="0"/>
    <n v="1"/>
    <n v="0"/>
    <n v="0"/>
    <n v="0"/>
    <n v="0"/>
    <n v="0"/>
    <n v="0"/>
    <n v="0"/>
    <n v="0"/>
    <n v="0"/>
    <n v="0"/>
    <s v="Äskat - Beslut p43 180607"/>
    <m/>
    <n v="0"/>
    <n v="0"/>
    <n v="1.75"/>
    <n v="1.4000000000000001"/>
    <n v="0"/>
    <n v="0"/>
    <n v="0"/>
    <n v="0"/>
    <n v="0"/>
    <n v="0"/>
    <n v="0"/>
    <n v="0"/>
    <n v="0"/>
    <n v="0"/>
    <n v="0"/>
    <n v="0"/>
    <n v="0"/>
    <n v="0"/>
    <n v="0"/>
    <n v="0"/>
    <n v="0"/>
    <n v="0"/>
    <n v="0"/>
  </r>
  <r>
    <x v="77"/>
    <x v="75"/>
    <m/>
    <x v="4"/>
    <s v="H16"/>
    <x v="1"/>
    <s v="V191-20"/>
    <s v="Umeå"/>
    <m/>
    <s v="TMBI"/>
    <m/>
    <n v="100"/>
    <x v="7"/>
    <m/>
    <m/>
    <n v="1"/>
    <n v="0.5"/>
    <n v="0.85"/>
    <n v="0.42499999999999999"/>
    <n v="1650"/>
    <x v="11"/>
    <s v="Hum"/>
    <x v="4"/>
    <n v="47957"/>
    <n v="57006"/>
    <n v="48206.05"/>
    <n v="69000"/>
    <n v="34500"/>
    <n v="82706.05"/>
    <n v="1"/>
    <n v="0"/>
    <n v="0"/>
    <n v="0"/>
    <n v="0"/>
    <n v="0"/>
    <n v="0"/>
    <n v="0"/>
    <n v="0"/>
    <n v="0"/>
    <n v="0"/>
    <n v="0"/>
    <s v="Enl Ladok 190318"/>
    <m/>
    <n v="0.5"/>
    <n v="0.42499999999999999"/>
    <n v="0"/>
    <n v="0"/>
    <n v="0"/>
    <n v="0"/>
    <n v="0"/>
    <n v="0"/>
    <n v="0"/>
    <n v="0"/>
    <n v="0"/>
    <n v="0"/>
    <n v="0"/>
    <n v="0"/>
    <n v="0"/>
    <n v="0"/>
    <n v="0"/>
    <n v="0"/>
    <n v="0"/>
    <n v="0"/>
    <n v="0"/>
    <n v="0"/>
    <n v="0"/>
  </r>
  <r>
    <x v="77"/>
    <x v="75"/>
    <m/>
    <x v="4"/>
    <s v="H16"/>
    <x v="1"/>
    <s v="V191-20"/>
    <s v="Umeå"/>
    <m/>
    <s v="TXBI"/>
    <m/>
    <n v="100"/>
    <x v="7"/>
    <m/>
    <m/>
    <n v="2"/>
    <n v="1"/>
    <n v="0.85"/>
    <n v="0.85"/>
    <n v="1650"/>
    <x v="11"/>
    <s v="Hum"/>
    <x v="4"/>
    <n v="47957"/>
    <n v="57006"/>
    <n v="96412.1"/>
    <n v="69000"/>
    <n v="69000"/>
    <n v="165412.1"/>
    <n v="1"/>
    <n v="0"/>
    <n v="0"/>
    <n v="0"/>
    <n v="0"/>
    <n v="0"/>
    <n v="0"/>
    <n v="0"/>
    <n v="0"/>
    <n v="0"/>
    <n v="0"/>
    <n v="0"/>
    <s v="Enl Ladok 190318"/>
    <m/>
    <n v="1"/>
    <n v="0.85"/>
    <n v="0"/>
    <n v="0"/>
    <n v="0"/>
    <n v="0"/>
    <n v="0"/>
    <n v="0"/>
    <n v="0"/>
    <n v="0"/>
    <n v="0"/>
    <n v="0"/>
    <n v="0"/>
    <n v="0"/>
    <n v="0"/>
    <n v="0"/>
    <n v="0"/>
    <n v="0"/>
    <n v="0"/>
    <n v="0"/>
    <n v="0"/>
    <n v="0"/>
    <n v="0"/>
  </r>
  <r>
    <x v="77"/>
    <x v="75"/>
    <m/>
    <x v="1"/>
    <s v="H16"/>
    <x v="1"/>
    <s v="V191-20"/>
    <s v="Umeå"/>
    <m/>
    <s v="RELK"/>
    <m/>
    <n v="100"/>
    <x v="7"/>
    <m/>
    <m/>
    <n v="1"/>
    <n v="0.5"/>
    <n v="0.85"/>
    <n v="0.42499999999999999"/>
    <n v="1650"/>
    <x v="11"/>
    <s v="Hum"/>
    <x v="1"/>
    <n v="47957"/>
    <n v="57006"/>
    <n v="48206.05"/>
    <n v="69000"/>
    <n v="34500"/>
    <n v="82706.05"/>
    <n v="1"/>
    <n v="0"/>
    <n v="0"/>
    <n v="0"/>
    <n v="0"/>
    <n v="0"/>
    <n v="0"/>
    <n v="0"/>
    <n v="0"/>
    <n v="0"/>
    <n v="0"/>
    <n v="0"/>
    <s v="Enl Ladok 190318"/>
    <m/>
    <n v="0.5"/>
    <n v="0.42499999999999999"/>
    <n v="0"/>
    <n v="0"/>
    <n v="0"/>
    <n v="0"/>
    <n v="0"/>
    <n v="0"/>
    <n v="0"/>
    <n v="0"/>
    <n v="0"/>
    <n v="0"/>
    <n v="0"/>
    <n v="0"/>
    <n v="0"/>
    <n v="0"/>
    <n v="0"/>
    <n v="0"/>
    <n v="0"/>
    <n v="0"/>
    <n v="0"/>
    <n v="0"/>
    <n v="0"/>
  </r>
  <r>
    <x v="77"/>
    <x v="75"/>
    <m/>
    <x v="1"/>
    <s v="H16"/>
    <x v="1"/>
    <s v="V191-20"/>
    <s v="Umeå"/>
    <m/>
    <s v="SVAA"/>
    <m/>
    <n v="100"/>
    <x v="7"/>
    <m/>
    <m/>
    <n v="1"/>
    <n v="0.5"/>
    <n v="0.85"/>
    <n v="0.42499999999999999"/>
    <n v="1650"/>
    <x v="11"/>
    <s v="Hum"/>
    <x v="1"/>
    <n v="47957"/>
    <n v="57006"/>
    <n v="48206.05"/>
    <n v="69000"/>
    <n v="34500"/>
    <n v="82706.05"/>
    <n v="1"/>
    <n v="0"/>
    <n v="0"/>
    <n v="0"/>
    <n v="0"/>
    <n v="0"/>
    <n v="0"/>
    <n v="0"/>
    <n v="0"/>
    <n v="0"/>
    <n v="0"/>
    <n v="0"/>
    <s v="Enl Ladok 190318"/>
    <m/>
    <n v="0.5"/>
    <n v="0.42499999999999999"/>
    <n v="0"/>
    <n v="0"/>
    <n v="0"/>
    <n v="0"/>
    <n v="0"/>
    <n v="0"/>
    <n v="0"/>
    <n v="0"/>
    <n v="0"/>
    <n v="0"/>
    <n v="0"/>
    <n v="0"/>
    <n v="0"/>
    <n v="0"/>
    <n v="0"/>
    <n v="0"/>
    <n v="0"/>
    <n v="0"/>
    <n v="0"/>
    <n v="0"/>
    <n v="0"/>
  </r>
  <r>
    <x v="77"/>
    <x v="75"/>
    <m/>
    <x v="1"/>
    <s v="H18"/>
    <x v="1"/>
    <s v="V191-20"/>
    <s v="Umeå"/>
    <m/>
    <s v="BILÄ"/>
    <m/>
    <n v="100"/>
    <x v="7"/>
    <m/>
    <m/>
    <n v="11"/>
    <n v="5.5"/>
    <n v="0.85"/>
    <n v="4.6749999999999998"/>
    <n v="1650"/>
    <x v="11"/>
    <s v="Hum"/>
    <x v="1"/>
    <n v="47957"/>
    <n v="57006"/>
    <n v="530266.55000000005"/>
    <n v="69000"/>
    <n v="379500"/>
    <n v="909766.55"/>
    <n v="1"/>
    <n v="0"/>
    <n v="0"/>
    <n v="0"/>
    <n v="0"/>
    <n v="0"/>
    <n v="0"/>
    <n v="0"/>
    <n v="0"/>
    <n v="0"/>
    <n v="0"/>
    <n v="0"/>
    <s v="Enl Ladok 190318"/>
    <m/>
    <n v="5.5"/>
    <n v="4.6749999999999998"/>
    <n v="0"/>
    <n v="0"/>
    <n v="0"/>
    <n v="0"/>
    <n v="0"/>
    <n v="0"/>
    <n v="0"/>
    <n v="0"/>
    <n v="0"/>
    <n v="0"/>
    <n v="0"/>
    <n v="0"/>
    <n v="0"/>
    <n v="0"/>
    <n v="0"/>
    <n v="0"/>
    <n v="0"/>
    <n v="0"/>
    <n v="0"/>
    <n v="0"/>
    <n v="0"/>
  </r>
  <r>
    <x v="78"/>
    <x v="76"/>
    <m/>
    <x v="0"/>
    <m/>
    <x v="1"/>
    <m/>
    <m/>
    <s v="Campus"/>
    <m/>
    <m/>
    <n v="100"/>
    <x v="7"/>
    <m/>
    <m/>
    <n v="1"/>
    <n v="0.5"/>
    <n v="0.8"/>
    <n v="0.4"/>
    <n v="1650"/>
    <x v="11"/>
    <s v="Hum"/>
    <x v="0"/>
    <n v="47957"/>
    <n v="57006"/>
    <n v="46780.9"/>
    <n v="69000"/>
    <n v="34500"/>
    <n v="81280.899999999994"/>
    <n v="1"/>
    <n v="0"/>
    <n v="0"/>
    <n v="0"/>
    <n v="0"/>
    <n v="0"/>
    <n v="0"/>
    <n v="0"/>
    <n v="0"/>
    <n v="0"/>
    <n v="0"/>
    <n v="0"/>
    <s v="Enl Ladok 190318"/>
    <s v="Äskat - Beslut p43 180607"/>
    <n v="0.5"/>
    <n v="0.4"/>
    <n v="0"/>
    <n v="0"/>
    <n v="0"/>
    <n v="0"/>
    <n v="0"/>
    <n v="0"/>
    <n v="0"/>
    <n v="0"/>
    <n v="0"/>
    <n v="0"/>
    <n v="0"/>
    <n v="0"/>
    <n v="0"/>
    <n v="0"/>
    <n v="0"/>
    <n v="0"/>
    <n v="0"/>
    <n v="0"/>
    <n v="0"/>
    <n v="0"/>
    <n v="0"/>
  </r>
  <r>
    <x v="79"/>
    <x v="77"/>
    <m/>
    <x v="0"/>
    <m/>
    <x v="1"/>
    <m/>
    <s v="Piteå"/>
    <s v="Distans"/>
    <m/>
    <m/>
    <n v="25"/>
    <x v="0"/>
    <m/>
    <m/>
    <n v="15"/>
    <n v="1.875"/>
    <n v="0.8"/>
    <n v="1.5"/>
    <n v="1650"/>
    <x v="11"/>
    <s v="Hum"/>
    <x v="0"/>
    <n v="18405"/>
    <n v="15773"/>
    <n v="58168.875"/>
    <n v="5800"/>
    <n v="10875"/>
    <n v="69043.875"/>
    <n v="0"/>
    <n v="1"/>
    <n v="0"/>
    <n v="0"/>
    <n v="0"/>
    <n v="0"/>
    <n v="0"/>
    <n v="0"/>
    <n v="0"/>
    <n v="0"/>
    <n v="0"/>
    <n v="0"/>
    <s v="Enl Ladok 190515"/>
    <s v="Äskat - Beslut p43 180607"/>
    <n v="0"/>
    <n v="0"/>
    <n v="1.875"/>
    <n v="1.5"/>
    <n v="0"/>
    <n v="0"/>
    <n v="0"/>
    <n v="0"/>
    <n v="0"/>
    <n v="0"/>
    <n v="0"/>
    <n v="0"/>
    <n v="0"/>
    <n v="0"/>
    <n v="0"/>
    <n v="0"/>
    <n v="0"/>
    <n v="0"/>
    <n v="0"/>
    <n v="0"/>
    <n v="0"/>
    <n v="0"/>
    <n v="0"/>
  </r>
  <r>
    <x v="80"/>
    <x v="78"/>
    <m/>
    <x v="1"/>
    <s v="H14"/>
    <x v="1"/>
    <s v="V191-20"/>
    <s v="Umeå"/>
    <m/>
    <s v="BILÄ"/>
    <m/>
    <n v="100"/>
    <x v="7"/>
    <m/>
    <m/>
    <n v="0"/>
    <n v="0"/>
    <n v="0.85"/>
    <n v="0"/>
    <n v="1650"/>
    <x v="11"/>
    <s v="Hum"/>
    <x v="1"/>
    <n v="47957"/>
    <n v="57006"/>
    <n v="0"/>
    <n v="69000"/>
    <n v="0"/>
    <n v="0"/>
    <n v="1"/>
    <n v="0"/>
    <n v="0"/>
    <n v="0"/>
    <n v="0"/>
    <n v="0"/>
    <n v="0"/>
    <n v="0"/>
    <n v="0"/>
    <n v="0"/>
    <n v="0"/>
    <n v="0"/>
    <s v="Enl Ladok 190318"/>
    <m/>
    <n v="0"/>
    <n v="0"/>
    <n v="0"/>
    <n v="0"/>
    <n v="0"/>
    <n v="0"/>
    <n v="0"/>
    <n v="0"/>
    <n v="0"/>
    <n v="0"/>
    <n v="0"/>
    <n v="0"/>
    <n v="0"/>
    <n v="0"/>
    <n v="0"/>
    <n v="0"/>
    <n v="0"/>
    <n v="0"/>
    <n v="0"/>
    <n v="0"/>
    <n v="0"/>
    <n v="0"/>
    <n v="0"/>
  </r>
  <r>
    <x v="80"/>
    <x v="78"/>
    <m/>
    <x v="1"/>
    <s v="H15"/>
    <x v="1"/>
    <s v="V191-20"/>
    <s v="Umeå"/>
    <m/>
    <s v="BILÄ"/>
    <m/>
    <n v="100"/>
    <x v="7"/>
    <m/>
    <m/>
    <n v="5"/>
    <n v="2.5"/>
    <n v="0.85"/>
    <n v="2.125"/>
    <n v="1650"/>
    <x v="11"/>
    <s v="Hum"/>
    <x v="1"/>
    <n v="47957"/>
    <n v="57006"/>
    <n v="241030.25"/>
    <n v="69000"/>
    <n v="172500"/>
    <n v="413530.25"/>
    <n v="1"/>
    <n v="0"/>
    <n v="0"/>
    <n v="0"/>
    <n v="0"/>
    <n v="0"/>
    <n v="0"/>
    <n v="0"/>
    <n v="0"/>
    <n v="0"/>
    <n v="0"/>
    <n v="0"/>
    <s v="Enl Ladok 190318"/>
    <m/>
    <n v="2.5"/>
    <n v="2.125"/>
    <n v="0"/>
    <n v="0"/>
    <n v="0"/>
    <n v="0"/>
    <n v="0"/>
    <n v="0"/>
    <n v="0"/>
    <n v="0"/>
    <n v="0"/>
    <n v="0"/>
    <n v="0"/>
    <n v="0"/>
    <n v="0"/>
    <n v="0"/>
    <n v="0"/>
    <n v="0"/>
    <n v="0"/>
    <n v="0"/>
    <n v="0"/>
    <n v="0"/>
    <n v="0"/>
  </r>
  <r>
    <x v="81"/>
    <x v="79"/>
    <m/>
    <x v="0"/>
    <m/>
    <x v="1"/>
    <m/>
    <m/>
    <s v="Campus"/>
    <m/>
    <m/>
    <n v="100"/>
    <x v="7"/>
    <m/>
    <m/>
    <n v="1"/>
    <n v="0.5"/>
    <n v="0.8"/>
    <n v="0.4"/>
    <n v="1650"/>
    <x v="11"/>
    <s v="Hum"/>
    <x v="0"/>
    <n v="47957"/>
    <n v="57006"/>
    <n v="46780.9"/>
    <n v="69000"/>
    <n v="34500"/>
    <n v="81280.899999999994"/>
    <n v="1"/>
    <n v="0"/>
    <n v="0"/>
    <n v="0"/>
    <n v="0"/>
    <n v="0"/>
    <n v="0"/>
    <n v="0"/>
    <n v="0"/>
    <n v="0"/>
    <n v="0"/>
    <n v="0"/>
    <s v="Enl Ladok 190318"/>
    <s v="Äskat - Beslut p43 180607"/>
    <n v="0.5"/>
    <n v="0.4"/>
    <n v="0"/>
    <n v="0"/>
    <n v="0"/>
    <n v="0"/>
    <n v="0"/>
    <n v="0"/>
    <n v="0"/>
    <n v="0"/>
    <n v="0"/>
    <n v="0"/>
    <n v="0"/>
    <n v="0"/>
    <n v="0"/>
    <n v="0"/>
    <n v="0"/>
    <n v="0"/>
    <n v="0"/>
    <n v="0"/>
    <n v="0"/>
    <n v="0"/>
    <n v="0"/>
  </r>
  <r>
    <x v="82"/>
    <x v="49"/>
    <m/>
    <x v="1"/>
    <m/>
    <x v="1"/>
    <m/>
    <s v="Umeå"/>
    <m/>
    <m/>
    <m/>
    <n v="100"/>
    <x v="7"/>
    <m/>
    <m/>
    <n v="1"/>
    <n v="0.5"/>
    <n v="0.85"/>
    <n v="0.42499999999999999"/>
    <n v="1650"/>
    <x v="11"/>
    <s v="Hum"/>
    <x v="1"/>
    <n v="47957"/>
    <n v="57006"/>
    <n v="48206.05"/>
    <n v="69000"/>
    <n v="34500"/>
    <n v="82706.05"/>
    <n v="1"/>
    <n v="0"/>
    <n v="0"/>
    <n v="0"/>
    <n v="0"/>
    <n v="0"/>
    <n v="0"/>
    <n v="0"/>
    <n v="0"/>
    <n v="0"/>
    <n v="0"/>
    <n v="0"/>
    <s v="Enl Ladok 190318"/>
    <m/>
    <n v="0.5"/>
    <n v="0.42499999999999999"/>
    <n v="0"/>
    <n v="0"/>
    <n v="0"/>
    <n v="0"/>
    <n v="0"/>
    <n v="0"/>
    <n v="0"/>
    <n v="0"/>
    <n v="0"/>
    <n v="0"/>
    <n v="0"/>
    <n v="0"/>
    <n v="0"/>
    <n v="0"/>
    <n v="0"/>
    <n v="0"/>
    <n v="0"/>
    <n v="0"/>
    <n v="0"/>
    <n v="0"/>
    <n v="0"/>
  </r>
  <r>
    <x v="82"/>
    <x v="49"/>
    <m/>
    <x v="1"/>
    <m/>
    <x v="1"/>
    <m/>
    <s v="Umeå"/>
    <m/>
    <m/>
    <m/>
    <n v="100"/>
    <x v="7"/>
    <m/>
    <m/>
    <n v="1"/>
    <n v="0.5"/>
    <n v="0.85"/>
    <n v="0.42499999999999999"/>
    <n v="1650"/>
    <x v="11"/>
    <s v="Hum"/>
    <x v="1"/>
    <n v="47957"/>
    <n v="57006"/>
    <n v="48206.05"/>
    <n v="69000"/>
    <n v="34500"/>
    <n v="82706.05"/>
    <n v="1"/>
    <n v="0"/>
    <n v="0"/>
    <n v="0"/>
    <n v="0"/>
    <n v="0"/>
    <n v="0"/>
    <n v="0"/>
    <n v="0"/>
    <n v="0"/>
    <n v="0"/>
    <n v="0"/>
    <s v="Enl Ladok 190318"/>
    <m/>
    <n v="0.5"/>
    <n v="0.42499999999999999"/>
    <n v="0"/>
    <n v="0"/>
    <n v="0"/>
    <n v="0"/>
    <n v="0"/>
    <n v="0"/>
    <n v="0"/>
    <n v="0"/>
    <n v="0"/>
    <n v="0"/>
    <n v="0"/>
    <n v="0"/>
    <n v="0"/>
    <n v="0"/>
    <n v="0"/>
    <n v="0"/>
    <n v="0"/>
    <n v="0"/>
    <n v="0"/>
    <n v="0"/>
    <n v="0"/>
  </r>
  <r>
    <x v="83"/>
    <x v="80"/>
    <m/>
    <x v="0"/>
    <m/>
    <x v="2"/>
    <m/>
    <m/>
    <s v="Campus"/>
    <m/>
    <m/>
    <n v="100"/>
    <x v="7"/>
    <m/>
    <m/>
    <n v="1"/>
    <n v="0.5"/>
    <n v="0.8"/>
    <n v="0.4"/>
    <n v="1620"/>
    <x v="10"/>
    <s v="Hum"/>
    <x v="0"/>
    <n v="18405"/>
    <n v="15773"/>
    <n v="15511.7"/>
    <n v="5800"/>
    <n v="2900"/>
    <n v="18411.7"/>
    <n v="0"/>
    <n v="1"/>
    <n v="0"/>
    <n v="0"/>
    <n v="0"/>
    <n v="0"/>
    <n v="0"/>
    <n v="0"/>
    <n v="0"/>
    <n v="0"/>
    <n v="0"/>
    <n v="0"/>
    <s v="Äskat - Beslut p43 180607"/>
    <m/>
    <n v="0"/>
    <n v="0"/>
    <n v="0.5"/>
    <n v="0.4"/>
    <n v="0"/>
    <n v="0"/>
    <n v="0"/>
    <n v="0"/>
    <n v="0"/>
    <n v="0"/>
    <n v="0"/>
    <n v="0"/>
    <n v="0"/>
    <n v="0"/>
    <n v="0"/>
    <n v="0"/>
    <n v="0"/>
    <n v="0"/>
    <n v="0"/>
    <n v="0"/>
    <n v="0"/>
    <n v="0"/>
    <n v="0"/>
  </r>
  <r>
    <x v="84"/>
    <x v="81"/>
    <m/>
    <x v="0"/>
    <m/>
    <x v="1"/>
    <m/>
    <m/>
    <s v="Campus"/>
    <m/>
    <m/>
    <n v="100"/>
    <x v="7"/>
    <m/>
    <m/>
    <n v="2"/>
    <n v="1"/>
    <n v="0.8"/>
    <n v="0.8"/>
    <n v="1620"/>
    <x v="10"/>
    <s v="Hum"/>
    <x v="0"/>
    <n v="18405"/>
    <n v="15773"/>
    <n v="31023.4"/>
    <n v="5800"/>
    <n v="5800"/>
    <n v="36823.4"/>
    <n v="0"/>
    <n v="1"/>
    <n v="0"/>
    <n v="0"/>
    <n v="0"/>
    <n v="0"/>
    <n v="0"/>
    <n v="0"/>
    <n v="0"/>
    <n v="0"/>
    <n v="0"/>
    <n v="0"/>
    <s v="Enl Ladok 190318"/>
    <s v="Äskat - Beslut p43 180607"/>
    <n v="0"/>
    <n v="0"/>
    <n v="1"/>
    <n v="0.8"/>
    <n v="0"/>
    <n v="0"/>
    <n v="0"/>
    <n v="0"/>
    <n v="0"/>
    <n v="0"/>
    <n v="0"/>
    <n v="0"/>
    <n v="0"/>
    <n v="0"/>
    <n v="0"/>
    <n v="0"/>
    <n v="0"/>
    <n v="0"/>
    <n v="0"/>
    <n v="0"/>
    <n v="0"/>
    <n v="0"/>
    <n v="0"/>
  </r>
  <r>
    <x v="85"/>
    <x v="82"/>
    <m/>
    <x v="0"/>
    <m/>
    <x v="2"/>
    <m/>
    <m/>
    <s v="Campus"/>
    <m/>
    <m/>
    <n v="100"/>
    <x v="0"/>
    <m/>
    <m/>
    <n v="5"/>
    <n v="0.625"/>
    <n v="0.8"/>
    <n v="0.5"/>
    <n v="2180"/>
    <x v="0"/>
    <s v="Sam"/>
    <x v="0"/>
    <n v="18405"/>
    <n v="15773"/>
    <n v="19389.625"/>
    <n v="5800"/>
    <n v="3625"/>
    <n v="23014.625"/>
    <n v="0"/>
    <n v="0"/>
    <n v="0"/>
    <n v="0"/>
    <n v="0"/>
    <n v="0"/>
    <n v="1"/>
    <n v="0"/>
    <n v="0"/>
    <n v="0"/>
    <n v="0"/>
    <n v="0"/>
    <s v="Äskat - Beslut p43 180607"/>
    <s v="Kursen beställd av LH"/>
    <n v="0"/>
    <n v="0"/>
    <n v="0"/>
    <n v="0"/>
    <n v="0"/>
    <n v="0"/>
    <n v="0"/>
    <n v="0"/>
    <n v="0"/>
    <n v="0"/>
    <n v="0"/>
    <n v="0"/>
    <n v="0.625"/>
    <n v="0.5"/>
    <n v="0"/>
    <n v="0"/>
    <n v="0"/>
    <n v="0"/>
    <n v="0"/>
    <n v="0"/>
    <n v="0"/>
    <n v="0"/>
    <n v="0"/>
  </r>
  <r>
    <x v="86"/>
    <x v="83"/>
    <m/>
    <x v="0"/>
    <m/>
    <x v="2"/>
    <m/>
    <m/>
    <s v="Campus"/>
    <m/>
    <m/>
    <n v="50"/>
    <x v="1"/>
    <m/>
    <m/>
    <n v="15"/>
    <n v="3.75"/>
    <n v="0.8"/>
    <n v="3"/>
    <n v="1620"/>
    <x v="10"/>
    <s v="Hum"/>
    <x v="0"/>
    <n v="18405"/>
    <n v="15773"/>
    <n v="116337.75"/>
    <n v="5800"/>
    <n v="21750"/>
    <n v="138087.75"/>
    <n v="0"/>
    <n v="1"/>
    <n v="0"/>
    <n v="0"/>
    <n v="0"/>
    <n v="0"/>
    <n v="0"/>
    <n v="0"/>
    <n v="0"/>
    <n v="0"/>
    <n v="0"/>
    <n v="0"/>
    <s v="Äskat - Beslut p43 180607"/>
    <m/>
    <n v="0"/>
    <n v="0"/>
    <n v="3.75"/>
    <n v="3"/>
    <n v="0"/>
    <n v="0"/>
    <n v="0"/>
    <n v="0"/>
    <n v="0"/>
    <n v="0"/>
    <n v="0"/>
    <n v="0"/>
    <n v="0"/>
    <n v="0"/>
    <n v="0"/>
    <n v="0"/>
    <n v="0"/>
    <n v="0"/>
    <n v="0"/>
    <n v="0"/>
    <n v="0"/>
    <n v="0"/>
    <n v="0"/>
  </r>
  <r>
    <x v="87"/>
    <x v="84"/>
    <m/>
    <x v="0"/>
    <m/>
    <x v="1"/>
    <m/>
    <m/>
    <s v="Distans"/>
    <m/>
    <m/>
    <n v="25"/>
    <x v="0"/>
    <m/>
    <m/>
    <n v="0"/>
    <n v="0"/>
    <n v="0.8"/>
    <n v="0"/>
    <n v="1620"/>
    <x v="10"/>
    <s v="Hum"/>
    <x v="0"/>
    <n v="18405"/>
    <n v="15773"/>
    <n v="0"/>
    <n v="5800"/>
    <n v="0"/>
    <n v="0"/>
    <n v="0"/>
    <n v="1"/>
    <n v="0"/>
    <n v="0"/>
    <n v="0"/>
    <n v="0"/>
    <n v="0"/>
    <n v="0"/>
    <n v="0"/>
    <n v="0"/>
    <n v="0"/>
    <n v="0"/>
    <s v="Enl Ladok 190515"/>
    <s v="Äskat - Beslut p43 180607"/>
    <n v="0"/>
    <n v="0"/>
    <n v="0"/>
    <n v="0"/>
    <n v="0"/>
    <n v="0"/>
    <n v="0"/>
    <n v="0"/>
    <n v="0"/>
    <n v="0"/>
    <n v="0"/>
    <n v="0"/>
    <n v="0"/>
    <n v="0"/>
    <n v="0"/>
    <n v="0"/>
    <n v="0"/>
    <n v="0"/>
    <n v="0"/>
    <n v="0"/>
    <n v="0"/>
    <n v="0"/>
    <n v="0"/>
  </r>
  <r>
    <x v="88"/>
    <x v="85"/>
    <m/>
    <x v="0"/>
    <m/>
    <x v="2"/>
    <m/>
    <m/>
    <m/>
    <m/>
    <m/>
    <n v="25"/>
    <x v="0"/>
    <m/>
    <m/>
    <n v="0"/>
    <n v="0"/>
    <n v="0.8"/>
    <n v="0"/>
    <n v="1620"/>
    <x v="10"/>
    <s v="Hum"/>
    <x v="0"/>
    <n v="18405"/>
    <n v="15773"/>
    <n v="0"/>
    <n v="5800"/>
    <n v="0"/>
    <n v="0"/>
    <n v="0"/>
    <n v="1"/>
    <n v="0"/>
    <n v="0"/>
    <n v="0"/>
    <n v="0"/>
    <n v="0"/>
    <n v="0"/>
    <n v="0"/>
    <n v="0"/>
    <n v="0"/>
    <n v="0"/>
    <s v="Kompl.äskande se Beslut p6 190121"/>
    <s v="Ställs in enl uppg från inst"/>
    <n v="0"/>
    <n v="0"/>
    <n v="0"/>
    <n v="0"/>
    <n v="0"/>
    <n v="0"/>
    <n v="0"/>
    <n v="0"/>
    <n v="0"/>
    <n v="0"/>
    <n v="0"/>
    <n v="0"/>
    <n v="0"/>
    <n v="0"/>
    <n v="0"/>
    <n v="0"/>
    <n v="0"/>
    <n v="0"/>
    <n v="0"/>
    <n v="0"/>
    <n v="0"/>
    <n v="0"/>
    <n v="0"/>
  </r>
  <r>
    <x v="89"/>
    <x v="86"/>
    <m/>
    <x v="1"/>
    <s v="H15"/>
    <x v="2"/>
    <s v="H1916-20:V201-15"/>
    <m/>
    <m/>
    <s v="MATT"/>
    <m/>
    <n v="100"/>
    <x v="0"/>
    <m/>
    <m/>
    <n v="2"/>
    <n v="0.25"/>
    <n v="0.85"/>
    <n v="0.21249999999999999"/>
    <n v="5740"/>
    <x v="9"/>
    <s v="TekNat"/>
    <x v="1"/>
    <n v="19473"/>
    <n v="34806"/>
    <n v="12264.525"/>
    <n v="21800"/>
    <n v="5450"/>
    <n v="17714.525000000001"/>
    <n v="0"/>
    <n v="0"/>
    <n v="0"/>
    <n v="0"/>
    <n v="0"/>
    <n v="1"/>
    <n v="0"/>
    <n v="0"/>
    <n v="0"/>
    <n v="0"/>
    <n v="0"/>
    <n v="0"/>
    <s v="Enligt SP 190924"/>
    <s v="Läser 7,5 av 30 denna termin"/>
    <n v="0"/>
    <n v="0"/>
    <n v="0"/>
    <n v="0"/>
    <n v="0"/>
    <n v="0"/>
    <n v="0"/>
    <n v="0"/>
    <n v="0"/>
    <n v="0"/>
    <n v="0.25"/>
    <n v="0.21249999999999999"/>
    <n v="0"/>
    <n v="0"/>
    <n v="0"/>
    <n v="0"/>
    <n v="0"/>
    <n v="0"/>
    <n v="0"/>
    <n v="0"/>
    <n v="0"/>
    <n v="0"/>
    <n v="0"/>
  </r>
  <r>
    <x v="90"/>
    <x v="87"/>
    <m/>
    <x v="1"/>
    <s v="H12"/>
    <x v="2"/>
    <s v="H191-20"/>
    <m/>
    <m/>
    <s v="MATT"/>
    <m/>
    <n v="25"/>
    <x v="0"/>
    <m/>
    <m/>
    <n v="1"/>
    <n v="0.125"/>
    <n v="0.85"/>
    <n v="0.10625"/>
    <n v="5400"/>
    <x v="6"/>
    <s v="TekNat"/>
    <x v="1"/>
    <n v="19473"/>
    <n v="34806"/>
    <n v="6132.2624999999998"/>
    <n v="21800"/>
    <n v="2725"/>
    <n v="8857.2625000000007"/>
    <n v="0"/>
    <n v="0"/>
    <n v="0"/>
    <n v="0"/>
    <n v="0"/>
    <n v="0.5"/>
    <n v="0"/>
    <n v="0.5"/>
    <n v="0"/>
    <n v="0"/>
    <n v="0"/>
    <n v="0"/>
    <s v="Enligt SP 190924"/>
    <m/>
    <n v="0"/>
    <n v="0"/>
    <n v="0"/>
    <n v="0"/>
    <n v="0"/>
    <n v="0"/>
    <n v="0"/>
    <n v="0"/>
    <n v="0"/>
    <n v="0"/>
    <n v="6.25E-2"/>
    <n v="5.3124999999999999E-2"/>
    <n v="0"/>
    <n v="0"/>
    <n v="6.25E-2"/>
    <n v="5.3124999999999999E-2"/>
    <n v="0"/>
    <n v="0"/>
    <n v="0"/>
    <n v="0"/>
    <n v="0"/>
    <n v="0"/>
    <n v="0"/>
  </r>
  <r>
    <x v="90"/>
    <x v="87"/>
    <m/>
    <x v="1"/>
    <s v="H15"/>
    <x v="2"/>
    <s v="H191-20"/>
    <m/>
    <m/>
    <s v="IDRH"/>
    <m/>
    <n v="25"/>
    <x v="0"/>
    <m/>
    <m/>
    <n v="1"/>
    <n v="0.125"/>
    <n v="0.85"/>
    <n v="0.10625"/>
    <n v="5400"/>
    <x v="6"/>
    <s v="TekNat"/>
    <x v="1"/>
    <n v="19473"/>
    <n v="34806"/>
    <n v="6132.2624999999998"/>
    <n v="21800"/>
    <n v="2725"/>
    <n v="8857.2625000000007"/>
    <n v="0"/>
    <n v="0"/>
    <n v="0"/>
    <n v="0"/>
    <n v="0"/>
    <n v="0.5"/>
    <n v="0"/>
    <n v="0.5"/>
    <n v="0"/>
    <n v="0"/>
    <n v="0"/>
    <n v="0"/>
    <s v="Enligt SP 190924"/>
    <m/>
    <n v="0"/>
    <n v="0"/>
    <n v="0"/>
    <n v="0"/>
    <n v="0"/>
    <n v="0"/>
    <n v="0"/>
    <n v="0"/>
    <n v="0"/>
    <n v="0"/>
    <n v="6.25E-2"/>
    <n v="5.3124999999999999E-2"/>
    <n v="0"/>
    <n v="0"/>
    <n v="6.25E-2"/>
    <n v="5.3124999999999999E-2"/>
    <n v="0"/>
    <n v="0"/>
    <n v="0"/>
    <n v="0"/>
    <n v="0"/>
    <n v="0"/>
    <n v="0"/>
  </r>
  <r>
    <x v="90"/>
    <x v="87"/>
    <m/>
    <x v="1"/>
    <s v="H15"/>
    <x v="2"/>
    <s v="H191-20"/>
    <m/>
    <m/>
    <s v="MUSI"/>
    <m/>
    <n v="25"/>
    <x v="0"/>
    <m/>
    <m/>
    <n v="1"/>
    <n v="0.125"/>
    <n v="0.85"/>
    <n v="0.10625"/>
    <n v="5400"/>
    <x v="6"/>
    <s v="TekNat"/>
    <x v="1"/>
    <n v="19473"/>
    <n v="34806"/>
    <n v="6132.2624999999998"/>
    <n v="21800"/>
    <n v="2725"/>
    <n v="8857.2625000000007"/>
    <n v="0"/>
    <n v="0"/>
    <n v="0"/>
    <n v="0"/>
    <n v="0"/>
    <n v="0.5"/>
    <n v="0"/>
    <n v="0.5"/>
    <n v="0"/>
    <n v="0"/>
    <n v="0"/>
    <n v="0"/>
    <s v="Enligt SP 190924"/>
    <m/>
    <n v="0"/>
    <n v="0"/>
    <n v="0"/>
    <n v="0"/>
    <n v="0"/>
    <n v="0"/>
    <n v="0"/>
    <n v="0"/>
    <n v="0"/>
    <n v="0"/>
    <n v="6.25E-2"/>
    <n v="5.3124999999999999E-2"/>
    <n v="0"/>
    <n v="0"/>
    <n v="6.25E-2"/>
    <n v="5.3124999999999999E-2"/>
    <n v="0"/>
    <n v="0"/>
    <n v="0"/>
    <n v="0"/>
    <n v="0"/>
    <n v="0"/>
    <n v="0"/>
  </r>
  <r>
    <x v="90"/>
    <x v="87"/>
    <m/>
    <x v="1"/>
    <s v="H16"/>
    <x v="2"/>
    <s v="H191-20"/>
    <m/>
    <m/>
    <s v="MATT"/>
    <m/>
    <n v="25"/>
    <x v="0"/>
    <m/>
    <m/>
    <n v="1"/>
    <n v="0.125"/>
    <n v="0.85"/>
    <n v="0.10625"/>
    <n v="5400"/>
    <x v="6"/>
    <s v="TekNat"/>
    <x v="1"/>
    <n v="19473"/>
    <n v="34806"/>
    <n v="6132.2624999999998"/>
    <n v="21800"/>
    <n v="2725"/>
    <n v="8857.2625000000007"/>
    <n v="0"/>
    <n v="0"/>
    <n v="0"/>
    <n v="0"/>
    <n v="0"/>
    <n v="0.5"/>
    <n v="0"/>
    <n v="0.5"/>
    <n v="0"/>
    <n v="0"/>
    <n v="0"/>
    <n v="0"/>
    <s v="Enligt SP 190924"/>
    <m/>
    <n v="0"/>
    <n v="0"/>
    <n v="0"/>
    <n v="0"/>
    <n v="0"/>
    <n v="0"/>
    <n v="0"/>
    <n v="0"/>
    <n v="0"/>
    <n v="0"/>
    <n v="6.25E-2"/>
    <n v="5.3124999999999999E-2"/>
    <n v="0"/>
    <n v="0"/>
    <n v="6.25E-2"/>
    <n v="5.3124999999999999E-2"/>
    <n v="0"/>
    <n v="0"/>
    <n v="0"/>
    <n v="0"/>
    <n v="0"/>
    <n v="0"/>
    <n v="0"/>
  </r>
  <r>
    <x v="90"/>
    <x v="87"/>
    <m/>
    <x v="1"/>
    <s v="H17"/>
    <x v="2"/>
    <s v="H191-20"/>
    <m/>
    <m/>
    <s v="MATT"/>
    <m/>
    <n v="25"/>
    <x v="0"/>
    <m/>
    <m/>
    <n v="3"/>
    <n v="0.375"/>
    <n v="0.85"/>
    <n v="0.31874999999999998"/>
    <n v="5400"/>
    <x v="6"/>
    <s v="TekNat"/>
    <x v="1"/>
    <n v="19473"/>
    <n v="34806"/>
    <n v="18396.787499999999"/>
    <n v="21800"/>
    <n v="8175"/>
    <n v="26571.787499999999"/>
    <n v="0"/>
    <n v="0"/>
    <n v="0"/>
    <n v="0"/>
    <n v="0"/>
    <n v="0.5"/>
    <n v="0"/>
    <n v="0.5"/>
    <n v="0"/>
    <n v="0"/>
    <n v="0"/>
    <n v="0"/>
    <s v="Enligt SP 190924"/>
    <m/>
    <n v="0"/>
    <n v="0"/>
    <n v="0"/>
    <n v="0"/>
    <n v="0"/>
    <n v="0"/>
    <n v="0"/>
    <n v="0"/>
    <n v="0"/>
    <n v="0"/>
    <n v="0.1875"/>
    <n v="0.15937499999999999"/>
    <n v="0"/>
    <n v="0"/>
    <n v="0.1875"/>
    <n v="0.15937499999999999"/>
    <n v="0"/>
    <n v="0"/>
    <n v="0"/>
    <n v="0"/>
    <n v="0"/>
    <n v="0"/>
    <n v="0"/>
  </r>
  <r>
    <x v="90"/>
    <x v="87"/>
    <m/>
    <x v="1"/>
    <s v="H18"/>
    <x v="2"/>
    <s v="H191-20"/>
    <m/>
    <m/>
    <s v="MATT"/>
    <m/>
    <n v="25"/>
    <x v="0"/>
    <m/>
    <m/>
    <n v="1"/>
    <n v="0.125"/>
    <n v="0.85"/>
    <n v="0.10625"/>
    <n v="5400"/>
    <x v="6"/>
    <s v="TekNat"/>
    <x v="1"/>
    <n v="19473"/>
    <n v="34806"/>
    <n v="6132.2624999999998"/>
    <n v="21800"/>
    <n v="2725"/>
    <n v="8857.2625000000007"/>
    <n v="0"/>
    <n v="0"/>
    <n v="0"/>
    <n v="0"/>
    <n v="0"/>
    <n v="0.5"/>
    <n v="0"/>
    <n v="0.5"/>
    <n v="0"/>
    <n v="0"/>
    <n v="0"/>
    <n v="0"/>
    <s v="Enligt SP 190924"/>
    <m/>
    <n v="0"/>
    <n v="0"/>
    <n v="0"/>
    <n v="0"/>
    <n v="0"/>
    <n v="0"/>
    <n v="0"/>
    <n v="0"/>
    <n v="0"/>
    <n v="0"/>
    <n v="6.25E-2"/>
    <n v="5.3124999999999999E-2"/>
    <n v="0"/>
    <n v="0"/>
    <n v="6.25E-2"/>
    <n v="5.3124999999999999E-2"/>
    <n v="0"/>
    <n v="0"/>
    <n v="0"/>
    <n v="0"/>
    <n v="0"/>
    <n v="0"/>
    <n v="0"/>
  </r>
  <r>
    <x v="90"/>
    <x v="87"/>
    <m/>
    <x v="1"/>
    <s v="H18"/>
    <x v="2"/>
    <s v="H191-20"/>
    <m/>
    <m/>
    <s v="NATU"/>
    <m/>
    <n v="25"/>
    <x v="0"/>
    <m/>
    <m/>
    <n v="1"/>
    <n v="0.125"/>
    <n v="0.85"/>
    <n v="0.10625"/>
    <n v="5400"/>
    <x v="6"/>
    <s v="TekNat"/>
    <x v="1"/>
    <n v="19473"/>
    <n v="34806"/>
    <n v="6132.2624999999998"/>
    <n v="21800"/>
    <n v="2725"/>
    <n v="8857.2625000000007"/>
    <n v="0"/>
    <n v="0"/>
    <n v="0"/>
    <n v="0"/>
    <n v="0"/>
    <n v="0.5"/>
    <n v="0"/>
    <n v="0.5"/>
    <n v="0"/>
    <n v="0"/>
    <n v="0"/>
    <n v="0"/>
    <s v="Enligt SP 190924"/>
    <m/>
    <n v="0"/>
    <n v="0"/>
    <n v="0"/>
    <n v="0"/>
    <n v="0"/>
    <n v="0"/>
    <n v="0"/>
    <n v="0"/>
    <n v="0"/>
    <n v="0"/>
    <n v="6.25E-2"/>
    <n v="5.3124999999999999E-2"/>
    <n v="0"/>
    <n v="0"/>
    <n v="6.25E-2"/>
    <n v="5.3124999999999999E-2"/>
    <n v="0"/>
    <n v="0"/>
    <n v="0"/>
    <n v="0"/>
    <n v="0"/>
    <n v="0"/>
    <n v="0"/>
  </r>
  <r>
    <x v="91"/>
    <x v="88"/>
    <m/>
    <x v="1"/>
    <s v="H12"/>
    <x v="2"/>
    <s v="H1911-20"/>
    <m/>
    <m/>
    <s v="MATT"/>
    <m/>
    <n v="50"/>
    <x v="0"/>
    <m/>
    <m/>
    <n v="1"/>
    <n v="0.125"/>
    <n v="0.85"/>
    <n v="0.10625"/>
    <n v="5400"/>
    <x v="6"/>
    <s v="TekNat"/>
    <x v="1"/>
    <n v="19473"/>
    <n v="34806"/>
    <n v="6132.2624999999998"/>
    <n v="21800"/>
    <n v="2725"/>
    <n v="8857.2625000000007"/>
    <n v="0"/>
    <n v="0"/>
    <n v="0"/>
    <n v="0"/>
    <n v="0"/>
    <n v="0"/>
    <n v="0"/>
    <n v="1"/>
    <n v="0"/>
    <n v="0"/>
    <n v="0"/>
    <n v="0"/>
    <s v="Enligt SP 190924"/>
    <m/>
    <n v="0"/>
    <n v="0"/>
    <n v="0"/>
    <n v="0"/>
    <n v="0"/>
    <n v="0"/>
    <n v="0"/>
    <n v="0"/>
    <n v="0"/>
    <n v="0"/>
    <n v="0"/>
    <n v="0"/>
    <n v="0"/>
    <n v="0"/>
    <n v="0.125"/>
    <n v="0.10625"/>
    <n v="0"/>
    <n v="0"/>
    <n v="0"/>
    <n v="0"/>
    <n v="0"/>
    <n v="0"/>
    <n v="0"/>
  </r>
  <r>
    <x v="91"/>
    <x v="88"/>
    <m/>
    <x v="1"/>
    <s v="H17"/>
    <x v="2"/>
    <s v="H1911-20"/>
    <m/>
    <m/>
    <s v="MATT"/>
    <m/>
    <n v="50"/>
    <x v="0"/>
    <m/>
    <m/>
    <n v="2"/>
    <n v="0.25"/>
    <n v="0.85"/>
    <n v="0.21249999999999999"/>
    <n v="5400"/>
    <x v="6"/>
    <s v="TekNat"/>
    <x v="1"/>
    <n v="19473"/>
    <n v="34806"/>
    <n v="12264.525"/>
    <n v="21800"/>
    <n v="5450"/>
    <n v="17714.525000000001"/>
    <n v="0"/>
    <n v="0"/>
    <n v="0"/>
    <n v="0"/>
    <n v="0"/>
    <n v="0"/>
    <n v="0"/>
    <n v="1"/>
    <n v="0"/>
    <n v="0"/>
    <n v="0"/>
    <n v="0"/>
    <s v="Enligt SP 190924"/>
    <m/>
    <n v="0"/>
    <n v="0"/>
    <n v="0"/>
    <n v="0"/>
    <n v="0"/>
    <n v="0"/>
    <n v="0"/>
    <n v="0"/>
    <n v="0"/>
    <n v="0"/>
    <n v="0"/>
    <n v="0"/>
    <n v="0"/>
    <n v="0"/>
    <n v="0.25"/>
    <n v="0.21249999999999999"/>
    <n v="0"/>
    <n v="0"/>
    <n v="0"/>
    <n v="0"/>
    <n v="0"/>
    <n v="0"/>
    <n v="0"/>
  </r>
  <r>
    <x v="92"/>
    <x v="89"/>
    <m/>
    <x v="0"/>
    <m/>
    <x v="1"/>
    <m/>
    <m/>
    <s v="Campus"/>
    <m/>
    <m/>
    <n v="50"/>
    <x v="0"/>
    <m/>
    <m/>
    <n v="2"/>
    <n v="0.25"/>
    <n v="0.8"/>
    <n v="0.2"/>
    <n v="5740"/>
    <x v="9"/>
    <s v="TekNat"/>
    <x v="0"/>
    <n v="19473"/>
    <n v="34806"/>
    <n v="11829.45"/>
    <n v="21800"/>
    <n v="5450"/>
    <n v="17279.45"/>
    <n v="0"/>
    <n v="0"/>
    <n v="0"/>
    <n v="0"/>
    <n v="0"/>
    <n v="1"/>
    <n v="0"/>
    <n v="0"/>
    <n v="0"/>
    <n v="0"/>
    <n v="0"/>
    <n v="0"/>
    <s v="Enl Ladok 190318"/>
    <s v="Äskat - Beslut p43 180607"/>
    <n v="0"/>
    <n v="0"/>
    <n v="0"/>
    <n v="0"/>
    <n v="0"/>
    <n v="0"/>
    <n v="0"/>
    <n v="0"/>
    <n v="0"/>
    <n v="0"/>
    <n v="0.25"/>
    <n v="0.2"/>
    <n v="0"/>
    <n v="0"/>
    <n v="0"/>
    <n v="0"/>
    <n v="0"/>
    <n v="0"/>
    <n v="0"/>
    <n v="0"/>
    <n v="0"/>
    <n v="0"/>
    <n v="0"/>
  </r>
  <r>
    <x v="92"/>
    <x v="89"/>
    <m/>
    <x v="1"/>
    <s v="H15"/>
    <x v="1"/>
    <s v="V191-10"/>
    <s v="Umeå"/>
    <m/>
    <s v="MATT"/>
    <m/>
    <n v="50"/>
    <x v="0"/>
    <m/>
    <m/>
    <n v="2"/>
    <n v="0.25"/>
    <n v="0.85"/>
    <n v="0.21249999999999999"/>
    <n v="5740"/>
    <x v="9"/>
    <s v="TekNat"/>
    <x v="1"/>
    <n v="19473"/>
    <n v="34806"/>
    <n v="12264.525"/>
    <n v="21800"/>
    <n v="5450"/>
    <n v="17714.525000000001"/>
    <n v="0"/>
    <n v="0"/>
    <n v="0"/>
    <n v="0"/>
    <n v="0"/>
    <n v="1"/>
    <n v="0"/>
    <n v="0"/>
    <n v="0"/>
    <n v="0"/>
    <n v="0"/>
    <n v="0"/>
    <s v="Enl Ladok 190318"/>
    <m/>
    <n v="0"/>
    <n v="0"/>
    <n v="0"/>
    <n v="0"/>
    <n v="0"/>
    <n v="0"/>
    <n v="0"/>
    <n v="0"/>
    <n v="0"/>
    <n v="0"/>
    <n v="0.25"/>
    <n v="0.21249999999999999"/>
    <n v="0"/>
    <n v="0"/>
    <n v="0"/>
    <n v="0"/>
    <n v="0"/>
    <n v="0"/>
    <n v="0"/>
    <n v="0"/>
    <n v="0"/>
    <n v="0"/>
    <n v="0"/>
  </r>
  <r>
    <x v="92"/>
    <x v="89"/>
    <m/>
    <x v="1"/>
    <s v="H15"/>
    <x v="1"/>
    <s v="V191-10"/>
    <s v="Umeå"/>
    <m/>
    <s v="MATT"/>
    <m/>
    <n v="50"/>
    <x v="0"/>
    <m/>
    <m/>
    <n v="2"/>
    <n v="0.25"/>
    <n v="0.85"/>
    <n v="0.21249999999999999"/>
    <n v="5740"/>
    <x v="9"/>
    <s v="TekNat"/>
    <x v="1"/>
    <n v="19473"/>
    <n v="34806"/>
    <n v="12264.525"/>
    <n v="21800"/>
    <n v="5450"/>
    <n v="17714.525000000001"/>
    <n v="0"/>
    <n v="0"/>
    <n v="0"/>
    <n v="0"/>
    <n v="0"/>
    <n v="1"/>
    <n v="0"/>
    <n v="0"/>
    <n v="0"/>
    <n v="0"/>
    <n v="0"/>
    <n v="0"/>
    <s v="Enl Ladok 190318"/>
    <m/>
    <n v="0"/>
    <n v="0"/>
    <n v="0"/>
    <n v="0"/>
    <n v="0"/>
    <n v="0"/>
    <n v="0"/>
    <n v="0"/>
    <n v="0"/>
    <n v="0"/>
    <n v="0.25"/>
    <n v="0.21249999999999999"/>
    <n v="0"/>
    <n v="0"/>
    <n v="0"/>
    <n v="0"/>
    <n v="0"/>
    <n v="0"/>
    <n v="0"/>
    <n v="0"/>
    <n v="0"/>
    <n v="0"/>
    <n v="0"/>
  </r>
  <r>
    <x v="93"/>
    <x v="90"/>
    <m/>
    <x v="0"/>
    <m/>
    <x v="1"/>
    <m/>
    <m/>
    <s v="Campus"/>
    <m/>
    <m/>
    <n v="50"/>
    <x v="0"/>
    <m/>
    <m/>
    <n v="2"/>
    <n v="0.25"/>
    <n v="0.8"/>
    <n v="0.2"/>
    <n v="5740"/>
    <x v="9"/>
    <s v="TekNat"/>
    <x v="0"/>
    <n v="19473"/>
    <n v="34806"/>
    <n v="11829.45"/>
    <n v="21800"/>
    <n v="5450"/>
    <n v="17279.45"/>
    <n v="0"/>
    <n v="0"/>
    <n v="0"/>
    <n v="0"/>
    <n v="0"/>
    <n v="1"/>
    <n v="0"/>
    <n v="0"/>
    <n v="0"/>
    <n v="0"/>
    <n v="0"/>
    <n v="0"/>
    <s v="Enl Ladok 190515"/>
    <s v="Äskat - Beslut p43 180607"/>
    <n v="0"/>
    <n v="0"/>
    <n v="0"/>
    <n v="0"/>
    <n v="0"/>
    <n v="0"/>
    <n v="0"/>
    <n v="0"/>
    <n v="0"/>
    <n v="0"/>
    <n v="0.25"/>
    <n v="0.2"/>
    <n v="0"/>
    <n v="0"/>
    <n v="0"/>
    <n v="0"/>
    <n v="0"/>
    <n v="0"/>
    <n v="0"/>
    <n v="0"/>
    <n v="0"/>
    <n v="0"/>
    <n v="0"/>
  </r>
  <r>
    <x v="93"/>
    <x v="90"/>
    <m/>
    <x v="1"/>
    <s v="H15"/>
    <x v="1"/>
    <s v="V1911-20"/>
    <s v="Umeå"/>
    <m/>
    <s v="MATT"/>
    <m/>
    <n v="50"/>
    <x v="0"/>
    <m/>
    <m/>
    <n v="2"/>
    <n v="0.25"/>
    <n v="0.85"/>
    <n v="0.21249999999999999"/>
    <n v="5740"/>
    <x v="9"/>
    <s v="TekNat"/>
    <x v="1"/>
    <n v="19473"/>
    <n v="34806"/>
    <n v="12264.525"/>
    <n v="21800"/>
    <n v="5450"/>
    <n v="17714.525000000001"/>
    <n v="0"/>
    <n v="0"/>
    <n v="0"/>
    <n v="0"/>
    <n v="0"/>
    <n v="1"/>
    <n v="0"/>
    <n v="0"/>
    <n v="0"/>
    <n v="0"/>
    <n v="0"/>
    <n v="0"/>
    <s v="Enl Ladok 190515"/>
    <m/>
    <n v="0"/>
    <n v="0"/>
    <n v="0"/>
    <n v="0"/>
    <n v="0"/>
    <n v="0"/>
    <n v="0"/>
    <n v="0"/>
    <n v="0"/>
    <n v="0"/>
    <n v="0.25"/>
    <n v="0.21249999999999999"/>
    <n v="0"/>
    <n v="0"/>
    <n v="0"/>
    <n v="0"/>
    <n v="0"/>
    <n v="0"/>
    <n v="0"/>
    <n v="0"/>
    <n v="0"/>
    <n v="0"/>
    <n v="0"/>
  </r>
  <r>
    <x v="93"/>
    <x v="90"/>
    <m/>
    <x v="1"/>
    <s v="H15"/>
    <x v="1"/>
    <s v="V1911-20"/>
    <s v="Umeå"/>
    <m/>
    <s v="MATT"/>
    <m/>
    <n v="50"/>
    <x v="0"/>
    <m/>
    <m/>
    <n v="2"/>
    <n v="0.25"/>
    <n v="0.85"/>
    <n v="0.21249999999999999"/>
    <n v="5740"/>
    <x v="9"/>
    <s v="TekNat"/>
    <x v="1"/>
    <n v="19473"/>
    <n v="34806"/>
    <n v="12264.525"/>
    <n v="21800"/>
    <n v="5450"/>
    <n v="17714.525000000001"/>
    <n v="0"/>
    <n v="0"/>
    <n v="0"/>
    <n v="0"/>
    <n v="0"/>
    <n v="1"/>
    <n v="0"/>
    <n v="0"/>
    <n v="0"/>
    <n v="0"/>
    <n v="0"/>
    <n v="0"/>
    <s v="Enl Ladok 190515"/>
    <m/>
    <n v="0"/>
    <n v="0"/>
    <n v="0"/>
    <n v="0"/>
    <n v="0"/>
    <n v="0"/>
    <n v="0"/>
    <n v="0"/>
    <n v="0"/>
    <n v="0"/>
    <n v="0.25"/>
    <n v="0.21249999999999999"/>
    <n v="0"/>
    <n v="0"/>
    <n v="0"/>
    <n v="0"/>
    <n v="0"/>
    <n v="0"/>
    <n v="0"/>
    <n v="0"/>
    <n v="0"/>
    <n v="0"/>
    <n v="0"/>
  </r>
  <r>
    <x v="94"/>
    <x v="3"/>
    <m/>
    <x v="1"/>
    <s v="H16"/>
    <x v="2"/>
    <s v="H196-10"/>
    <m/>
    <m/>
    <s v="IDRH"/>
    <m/>
    <n v="100"/>
    <x v="0"/>
    <m/>
    <m/>
    <n v="2"/>
    <n v="0.25"/>
    <n v="0.85"/>
    <n v="0.21249999999999999"/>
    <n v="5100"/>
    <x v="3"/>
    <s v="TekNat"/>
    <x v="1"/>
    <n v="19473"/>
    <n v="34806"/>
    <n v="12264.525"/>
    <n v="21800"/>
    <n v="5450"/>
    <n v="17714.525000000001"/>
    <n v="0"/>
    <n v="0"/>
    <n v="0"/>
    <n v="0"/>
    <n v="0"/>
    <n v="1"/>
    <n v="0"/>
    <n v="0"/>
    <n v="0"/>
    <n v="0"/>
    <n v="0"/>
    <n v="0"/>
    <s v="Enligt SP 190924"/>
    <m/>
    <n v="0"/>
    <n v="0"/>
    <n v="0"/>
    <n v="0"/>
    <n v="0"/>
    <n v="0"/>
    <n v="0"/>
    <n v="0"/>
    <n v="0"/>
    <n v="0"/>
    <n v="0.25"/>
    <n v="0.21249999999999999"/>
    <n v="0"/>
    <n v="0"/>
    <n v="0"/>
    <n v="0"/>
    <n v="0"/>
    <n v="0"/>
    <n v="0"/>
    <n v="0"/>
    <n v="0"/>
    <n v="0"/>
    <n v="0"/>
  </r>
  <r>
    <x v="94"/>
    <x v="3"/>
    <m/>
    <x v="1"/>
    <s v="H16"/>
    <x v="2"/>
    <s v="H196-10"/>
    <m/>
    <m/>
    <s v="SAMK"/>
    <m/>
    <n v="100"/>
    <x v="0"/>
    <m/>
    <m/>
    <n v="1"/>
    <n v="0.125"/>
    <n v="0.85"/>
    <n v="0.10625"/>
    <n v="5100"/>
    <x v="3"/>
    <s v="TekNat"/>
    <x v="1"/>
    <n v="19473"/>
    <n v="34806"/>
    <n v="6132.2624999999998"/>
    <n v="21800"/>
    <n v="2725"/>
    <n v="8857.2625000000007"/>
    <n v="0"/>
    <n v="0"/>
    <n v="0"/>
    <n v="0"/>
    <n v="0"/>
    <n v="1"/>
    <n v="0"/>
    <n v="0"/>
    <n v="0"/>
    <n v="0"/>
    <n v="0"/>
    <n v="0"/>
    <s v="Enligt SP 190924"/>
    <m/>
    <n v="0"/>
    <n v="0"/>
    <n v="0"/>
    <n v="0"/>
    <n v="0"/>
    <n v="0"/>
    <n v="0"/>
    <n v="0"/>
    <n v="0"/>
    <n v="0"/>
    <n v="0.125"/>
    <n v="0.10625"/>
    <n v="0"/>
    <n v="0"/>
    <n v="0"/>
    <n v="0"/>
    <n v="0"/>
    <n v="0"/>
    <n v="0"/>
    <n v="0"/>
    <n v="0"/>
    <n v="0"/>
    <n v="0"/>
  </r>
  <r>
    <x v="94"/>
    <x v="3"/>
    <m/>
    <x v="1"/>
    <s v="H18"/>
    <x v="2"/>
    <s v="H196-10"/>
    <m/>
    <m/>
    <s v="GEOG"/>
    <m/>
    <n v="100"/>
    <x v="0"/>
    <m/>
    <m/>
    <n v="2"/>
    <n v="0.25"/>
    <n v="0.85"/>
    <n v="0.21249999999999999"/>
    <n v="5100"/>
    <x v="3"/>
    <s v="TekNat"/>
    <x v="1"/>
    <n v="19473"/>
    <n v="34806"/>
    <n v="12264.525"/>
    <n v="21800"/>
    <n v="5450"/>
    <n v="17714.525000000001"/>
    <n v="0"/>
    <n v="0"/>
    <n v="0"/>
    <n v="0"/>
    <n v="0"/>
    <n v="1"/>
    <n v="0"/>
    <n v="0"/>
    <n v="0"/>
    <n v="0"/>
    <n v="0"/>
    <n v="0"/>
    <s v="Enligt SP 190924"/>
    <m/>
    <n v="0"/>
    <n v="0"/>
    <n v="0"/>
    <n v="0"/>
    <n v="0"/>
    <n v="0"/>
    <n v="0"/>
    <n v="0"/>
    <n v="0"/>
    <n v="0"/>
    <n v="0.25"/>
    <n v="0.21249999999999999"/>
    <n v="0"/>
    <n v="0"/>
    <n v="0"/>
    <n v="0"/>
    <n v="0"/>
    <n v="0"/>
    <n v="0"/>
    <n v="0"/>
    <n v="0"/>
    <n v="0"/>
    <n v="0"/>
  </r>
  <r>
    <x v="95"/>
    <x v="91"/>
    <m/>
    <x v="0"/>
    <m/>
    <x v="1"/>
    <m/>
    <s v="Umeå"/>
    <m/>
    <m/>
    <m/>
    <n v="100"/>
    <x v="0"/>
    <m/>
    <m/>
    <n v="1"/>
    <n v="0.125"/>
    <n v="0.85"/>
    <n v="0.10625"/>
    <n v="5100"/>
    <x v="3"/>
    <s v="TekNat"/>
    <x v="0"/>
    <n v="19473"/>
    <n v="34806"/>
    <n v="6132.2624999999998"/>
    <n v="21800"/>
    <n v="2725"/>
    <n v="8857.2625000000007"/>
    <n v="0"/>
    <n v="0"/>
    <n v="0"/>
    <n v="0"/>
    <n v="0"/>
    <n v="1"/>
    <n v="0"/>
    <n v="0"/>
    <n v="0"/>
    <n v="0"/>
    <n v="0"/>
    <n v="0"/>
    <s v="Enl Ladok 190515"/>
    <m/>
    <n v="0"/>
    <n v="0"/>
    <n v="0"/>
    <n v="0"/>
    <n v="0"/>
    <n v="0"/>
    <n v="0"/>
    <n v="0"/>
    <n v="0"/>
    <n v="0"/>
    <n v="0.125"/>
    <n v="0.10625"/>
    <n v="0"/>
    <n v="0"/>
    <n v="0"/>
    <n v="0"/>
    <n v="0"/>
    <n v="0"/>
    <n v="0"/>
    <n v="0"/>
    <n v="0"/>
    <n v="0"/>
    <n v="0"/>
  </r>
  <r>
    <x v="95"/>
    <x v="91"/>
    <m/>
    <x v="1"/>
    <s v="H16"/>
    <x v="1"/>
    <s v="V196-10"/>
    <s v="Umeå"/>
    <m/>
    <s v="IDRH"/>
    <m/>
    <n v="100"/>
    <x v="0"/>
    <m/>
    <m/>
    <n v="2"/>
    <n v="0.25"/>
    <n v="0.85"/>
    <n v="0.21249999999999999"/>
    <n v="5100"/>
    <x v="3"/>
    <s v="TekNat"/>
    <x v="1"/>
    <n v="19473"/>
    <n v="34806"/>
    <n v="12264.525"/>
    <n v="21800"/>
    <n v="5450"/>
    <n v="17714.525000000001"/>
    <n v="0"/>
    <n v="0"/>
    <n v="0"/>
    <n v="0"/>
    <n v="0"/>
    <n v="1"/>
    <n v="0"/>
    <n v="0"/>
    <n v="0"/>
    <n v="0"/>
    <n v="0"/>
    <n v="0"/>
    <s v="Enl Ladok 190318"/>
    <m/>
    <n v="0"/>
    <n v="0"/>
    <n v="0"/>
    <n v="0"/>
    <n v="0"/>
    <n v="0"/>
    <n v="0"/>
    <n v="0"/>
    <n v="0"/>
    <n v="0"/>
    <n v="0.25"/>
    <n v="0.21249999999999999"/>
    <n v="0"/>
    <n v="0"/>
    <n v="0"/>
    <n v="0"/>
    <n v="0"/>
    <n v="0"/>
    <n v="0"/>
    <n v="0"/>
    <n v="0"/>
    <n v="0"/>
    <n v="0"/>
  </r>
  <r>
    <x v="95"/>
    <x v="91"/>
    <m/>
    <x v="1"/>
    <s v="H16"/>
    <x v="1"/>
    <s v="V196-10"/>
    <s v="Umeå"/>
    <m/>
    <s v="SAMK"/>
    <m/>
    <n v="100"/>
    <x v="0"/>
    <m/>
    <m/>
    <n v="2"/>
    <n v="0.25"/>
    <n v="0.85"/>
    <n v="0.21249999999999999"/>
    <n v="5100"/>
    <x v="3"/>
    <s v="TekNat"/>
    <x v="1"/>
    <n v="19473"/>
    <n v="34806"/>
    <n v="12264.525"/>
    <n v="21800"/>
    <n v="5450"/>
    <n v="17714.525000000001"/>
    <n v="0"/>
    <n v="0"/>
    <n v="0"/>
    <n v="0"/>
    <n v="0"/>
    <n v="1"/>
    <n v="0"/>
    <n v="0"/>
    <n v="0"/>
    <n v="0"/>
    <n v="0"/>
    <n v="0"/>
    <s v="Enl Ladok 190318"/>
    <m/>
    <n v="0"/>
    <n v="0"/>
    <n v="0"/>
    <n v="0"/>
    <n v="0"/>
    <n v="0"/>
    <n v="0"/>
    <n v="0"/>
    <n v="0"/>
    <n v="0"/>
    <n v="0.25"/>
    <n v="0.21249999999999999"/>
    <n v="0"/>
    <n v="0"/>
    <n v="0"/>
    <n v="0"/>
    <n v="0"/>
    <n v="0"/>
    <n v="0"/>
    <n v="0"/>
    <n v="0"/>
    <n v="0"/>
    <n v="0"/>
  </r>
  <r>
    <x v="95"/>
    <x v="91"/>
    <m/>
    <x v="1"/>
    <s v="H18"/>
    <x v="1"/>
    <s v="V196-10"/>
    <s v="Umeå"/>
    <m/>
    <s v="GEOG"/>
    <m/>
    <n v="100"/>
    <x v="0"/>
    <m/>
    <m/>
    <n v="2"/>
    <n v="0.25"/>
    <n v="0.85"/>
    <n v="0.21249999999999999"/>
    <n v="5100"/>
    <x v="3"/>
    <s v="TekNat"/>
    <x v="1"/>
    <n v="19473"/>
    <n v="34806"/>
    <n v="12264.525"/>
    <n v="21800"/>
    <n v="5450"/>
    <n v="17714.525000000001"/>
    <n v="0"/>
    <n v="0"/>
    <n v="0"/>
    <n v="0"/>
    <n v="0"/>
    <n v="1"/>
    <n v="0"/>
    <n v="0"/>
    <n v="0"/>
    <n v="0"/>
    <n v="0"/>
    <n v="0"/>
    <s v="Enl Ladok 190318"/>
    <m/>
    <n v="0"/>
    <n v="0"/>
    <n v="0"/>
    <n v="0"/>
    <n v="0"/>
    <n v="0"/>
    <n v="0"/>
    <n v="0"/>
    <n v="0"/>
    <n v="0"/>
    <n v="0.25"/>
    <n v="0.21249999999999999"/>
    <n v="0"/>
    <n v="0"/>
    <n v="0"/>
    <n v="0"/>
    <n v="0"/>
    <n v="0"/>
    <n v="0"/>
    <n v="0"/>
    <n v="0"/>
    <n v="0"/>
    <n v="0"/>
  </r>
  <r>
    <x v="96"/>
    <x v="92"/>
    <m/>
    <x v="1"/>
    <s v="H14"/>
    <x v="2"/>
    <s v="H1911-15"/>
    <m/>
    <m/>
    <s v="ENGS"/>
    <m/>
    <n v="100"/>
    <x v="0"/>
    <m/>
    <m/>
    <n v="1"/>
    <n v="0.125"/>
    <n v="0.85"/>
    <n v="0.10625"/>
    <n v="5100"/>
    <x v="3"/>
    <s v="TekNat"/>
    <x v="1"/>
    <n v="19473"/>
    <n v="34806"/>
    <n v="6132.2624999999998"/>
    <n v="21800"/>
    <n v="2725"/>
    <n v="8857.2625000000007"/>
    <n v="0"/>
    <n v="0"/>
    <n v="0"/>
    <n v="0"/>
    <n v="0"/>
    <n v="1"/>
    <n v="0"/>
    <n v="0"/>
    <n v="0"/>
    <n v="0"/>
    <n v="0"/>
    <n v="0"/>
    <s v="Enligt SP 190924"/>
    <m/>
    <n v="0"/>
    <n v="0"/>
    <n v="0"/>
    <n v="0"/>
    <n v="0"/>
    <n v="0"/>
    <n v="0"/>
    <n v="0"/>
    <n v="0"/>
    <n v="0"/>
    <n v="0.125"/>
    <n v="0.10625"/>
    <n v="0"/>
    <n v="0"/>
    <n v="0"/>
    <n v="0"/>
    <n v="0"/>
    <n v="0"/>
    <n v="0"/>
    <n v="0"/>
    <n v="0"/>
    <n v="0"/>
    <n v="0"/>
  </r>
  <r>
    <x v="96"/>
    <x v="92"/>
    <m/>
    <x v="1"/>
    <s v="H16"/>
    <x v="2"/>
    <s v="H1911-15"/>
    <m/>
    <m/>
    <s v="IDRH"/>
    <m/>
    <n v="100"/>
    <x v="0"/>
    <m/>
    <m/>
    <n v="3"/>
    <n v="0.375"/>
    <n v="0.85"/>
    <n v="0.31874999999999998"/>
    <n v="5100"/>
    <x v="3"/>
    <s v="TekNat"/>
    <x v="1"/>
    <n v="19473"/>
    <n v="34806"/>
    <n v="18396.787499999999"/>
    <n v="21800"/>
    <n v="8175"/>
    <n v="26571.787499999999"/>
    <n v="0"/>
    <n v="0"/>
    <n v="0"/>
    <n v="0"/>
    <n v="0"/>
    <n v="1"/>
    <n v="0"/>
    <n v="0"/>
    <n v="0"/>
    <n v="0"/>
    <n v="0"/>
    <n v="0"/>
    <s v="Enligt SP 190924"/>
    <m/>
    <n v="0"/>
    <n v="0"/>
    <n v="0"/>
    <n v="0"/>
    <n v="0"/>
    <n v="0"/>
    <n v="0"/>
    <n v="0"/>
    <n v="0"/>
    <n v="0"/>
    <n v="0.375"/>
    <n v="0.31874999999999998"/>
    <n v="0"/>
    <n v="0"/>
    <n v="0"/>
    <n v="0"/>
    <n v="0"/>
    <n v="0"/>
    <n v="0"/>
    <n v="0"/>
    <n v="0"/>
    <n v="0"/>
    <n v="0"/>
  </r>
  <r>
    <x v="96"/>
    <x v="92"/>
    <m/>
    <x v="1"/>
    <s v="H16"/>
    <x v="2"/>
    <s v="H1911-15"/>
    <m/>
    <m/>
    <s v="SAMK"/>
    <m/>
    <n v="100"/>
    <x v="0"/>
    <m/>
    <m/>
    <n v="2"/>
    <n v="0.25"/>
    <n v="0.85"/>
    <n v="0.21249999999999999"/>
    <n v="5100"/>
    <x v="3"/>
    <s v="TekNat"/>
    <x v="1"/>
    <n v="19473"/>
    <n v="34806"/>
    <n v="12264.525"/>
    <n v="21800"/>
    <n v="5450"/>
    <n v="17714.525000000001"/>
    <n v="0"/>
    <n v="0"/>
    <n v="0"/>
    <n v="0"/>
    <n v="0"/>
    <n v="1"/>
    <n v="0"/>
    <n v="0"/>
    <n v="0"/>
    <n v="0"/>
    <n v="0"/>
    <n v="0"/>
    <s v="Enligt SP 190924"/>
    <m/>
    <n v="0"/>
    <n v="0"/>
    <n v="0"/>
    <n v="0"/>
    <n v="0"/>
    <n v="0"/>
    <n v="0"/>
    <n v="0"/>
    <n v="0"/>
    <n v="0"/>
    <n v="0.25"/>
    <n v="0.21249999999999999"/>
    <n v="0"/>
    <n v="0"/>
    <n v="0"/>
    <n v="0"/>
    <n v="0"/>
    <n v="0"/>
    <n v="0"/>
    <n v="0"/>
    <n v="0"/>
    <n v="0"/>
    <n v="0"/>
  </r>
  <r>
    <x v="96"/>
    <x v="92"/>
    <m/>
    <x v="1"/>
    <s v="H18"/>
    <x v="2"/>
    <s v="H1911-15"/>
    <m/>
    <m/>
    <s v="GEOG"/>
    <m/>
    <n v="100"/>
    <x v="0"/>
    <m/>
    <m/>
    <n v="2"/>
    <n v="0.25"/>
    <n v="0.85"/>
    <n v="0.21249999999999999"/>
    <n v="5100"/>
    <x v="3"/>
    <s v="TekNat"/>
    <x v="1"/>
    <n v="19473"/>
    <n v="34806"/>
    <n v="12264.525"/>
    <n v="21800"/>
    <n v="5450"/>
    <n v="17714.525000000001"/>
    <n v="0"/>
    <n v="0"/>
    <n v="0"/>
    <n v="0"/>
    <n v="0"/>
    <n v="1"/>
    <n v="0"/>
    <n v="0"/>
    <n v="0"/>
    <n v="0"/>
    <n v="0"/>
    <n v="0"/>
    <s v="Enligt SP 190924"/>
    <m/>
    <n v="0"/>
    <n v="0"/>
    <n v="0"/>
    <n v="0"/>
    <n v="0"/>
    <n v="0"/>
    <n v="0"/>
    <n v="0"/>
    <n v="0"/>
    <n v="0"/>
    <n v="0.25"/>
    <n v="0.21249999999999999"/>
    <n v="0"/>
    <n v="0"/>
    <n v="0"/>
    <n v="0"/>
    <n v="0"/>
    <n v="0"/>
    <n v="0"/>
    <n v="0"/>
    <n v="0"/>
    <n v="0"/>
    <n v="0"/>
  </r>
  <r>
    <x v="97"/>
    <x v="93"/>
    <m/>
    <x v="1"/>
    <s v="H15"/>
    <x v="1"/>
    <s v="V1911-15"/>
    <s v="Umeå"/>
    <m/>
    <s v="HIST"/>
    <m/>
    <n v="100"/>
    <x v="0"/>
    <m/>
    <m/>
    <n v="2"/>
    <n v="0.25"/>
    <n v="0.85"/>
    <n v="0.21249999999999999"/>
    <n v="5100"/>
    <x v="3"/>
    <s v="TekNat"/>
    <x v="1"/>
    <n v="19473"/>
    <n v="34806"/>
    <n v="12264.525"/>
    <n v="21800"/>
    <n v="5450"/>
    <n v="17714.525000000001"/>
    <n v="0"/>
    <n v="0"/>
    <n v="0"/>
    <n v="0"/>
    <n v="0"/>
    <n v="1"/>
    <n v="0"/>
    <n v="0"/>
    <n v="0"/>
    <n v="0"/>
    <n v="0"/>
    <n v="0"/>
    <s v="Enl Ladok 190515"/>
    <m/>
    <n v="0"/>
    <n v="0"/>
    <n v="0"/>
    <n v="0"/>
    <n v="0"/>
    <n v="0"/>
    <n v="0"/>
    <n v="0"/>
    <n v="0"/>
    <n v="0"/>
    <n v="0.25"/>
    <n v="0.21249999999999999"/>
    <n v="0"/>
    <n v="0"/>
    <n v="0"/>
    <n v="0"/>
    <n v="0"/>
    <n v="0"/>
    <n v="0"/>
    <n v="0"/>
    <n v="0"/>
    <n v="0"/>
    <n v="0"/>
  </r>
  <r>
    <x v="97"/>
    <x v="93"/>
    <m/>
    <x v="1"/>
    <s v="H15"/>
    <x v="1"/>
    <s v="V1911-15"/>
    <s v="Umeå"/>
    <m/>
    <s v="IDRH"/>
    <m/>
    <n v="100"/>
    <x v="0"/>
    <m/>
    <m/>
    <n v="1"/>
    <n v="0.125"/>
    <n v="0.85"/>
    <n v="0.10625"/>
    <n v="5100"/>
    <x v="3"/>
    <s v="TekNat"/>
    <x v="1"/>
    <n v="19473"/>
    <n v="34806"/>
    <n v="6132.2624999999998"/>
    <n v="21800"/>
    <n v="2725"/>
    <n v="8857.2625000000007"/>
    <n v="0"/>
    <n v="0"/>
    <n v="0"/>
    <n v="0"/>
    <n v="0"/>
    <n v="1"/>
    <n v="0"/>
    <n v="0"/>
    <n v="0"/>
    <n v="0"/>
    <n v="0"/>
    <n v="0"/>
    <s v="Enl Ladok 190515"/>
    <m/>
    <n v="0"/>
    <n v="0"/>
    <n v="0"/>
    <n v="0"/>
    <n v="0"/>
    <n v="0"/>
    <n v="0"/>
    <n v="0"/>
    <n v="0"/>
    <n v="0"/>
    <n v="0.125"/>
    <n v="0.10625"/>
    <n v="0"/>
    <n v="0"/>
    <n v="0"/>
    <n v="0"/>
    <n v="0"/>
    <n v="0"/>
    <n v="0"/>
    <n v="0"/>
    <n v="0"/>
    <n v="0"/>
    <n v="0"/>
  </r>
  <r>
    <x v="97"/>
    <x v="93"/>
    <m/>
    <x v="1"/>
    <s v="H17"/>
    <x v="1"/>
    <s v="V1911-15"/>
    <s v="Umeå"/>
    <m/>
    <s v="GEOG"/>
    <m/>
    <n v="100"/>
    <x v="0"/>
    <m/>
    <m/>
    <n v="2"/>
    <n v="0.25"/>
    <n v="0.85"/>
    <n v="0.21249999999999999"/>
    <n v="5100"/>
    <x v="3"/>
    <s v="TekNat"/>
    <x v="1"/>
    <n v="19473"/>
    <n v="34806"/>
    <n v="12264.525"/>
    <n v="21800"/>
    <n v="5450"/>
    <n v="17714.525000000001"/>
    <n v="0"/>
    <n v="0"/>
    <n v="0"/>
    <n v="0"/>
    <n v="0"/>
    <n v="1"/>
    <n v="0"/>
    <n v="0"/>
    <n v="0"/>
    <n v="0"/>
    <n v="0"/>
    <n v="0"/>
    <s v="Enl Ladok 190515"/>
    <m/>
    <n v="0"/>
    <n v="0"/>
    <n v="0"/>
    <n v="0"/>
    <n v="0"/>
    <n v="0"/>
    <n v="0"/>
    <n v="0"/>
    <n v="0"/>
    <n v="0"/>
    <n v="0.25"/>
    <n v="0.21249999999999999"/>
    <n v="0"/>
    <n v="0"/>
    <n v="0"/>
    <n v="0"/>
    <n v="0"/>
    <n v="0"/>
    <n v="0"/>
    <n v="0"/>
    <n v="0"/>
    <n v="0"/>
    <n v="0"/>
  </r>
  <r>
    <x v="98"/>
    <x v="94"/>
    <m/>
    <x v="1"/>
    <s v="H16"/>
    <x v="2"/>
    <s v="H191-20"/>
    <m/>
    <m/>
    <s v="RELK"/>
    <m/>
    <n v="100"/>
    <x v="7"/>
    <m/>
    <m/>
    <n v="1"/>
    <n v="0.5"/>
    <n v="0.85"/>
    <n v="0.42499999999999999"/>
    <n v="1630"/>
    <x v="12"/>
    <s v="Hum"/>
    <x v="1"/>
    <n v="18405"/>
    <n v="15773"/>
    <n v="15906.025"/>
    <n v="5800"/>
    <n v="2900"/>
    <n v="18806.025000000001"/>
    <n v="0"/>
    <n v="1"/>
    <n v="0"/>
    <n v="0"/>
    <n v="0"/>
    <n v="0"/>
    <n v="0"/>
    <n v="0"/>
    <n v="0"/>
    <n v="0"/>
    <n v="0"/>
    <n v="0"/>
    <s v="Enligt SP 190924"/>
    <m/>
    <n v="0"/>
    <n v="0"/>
    <n v="0.5"/>
    <n v="0.42499999999999999"/>
    <n v="0"/>
    <n v="0"/>
    <n v="0"/>
    <n v="0"/>
    <n v="0"/>
    <n v="0"/>
    <n v="0"/>
    <n v="0"/>
    <n v="0"/>
    <n v="0"/>
    <n v="0"/>
    <n v="0"/>
    <n v="0"/>
    <n v="0"/>
    <n v="0"/>
    <n v="0"/>
    <n v="0"/>
    <n v="0"/>
    <n v="0"/>
  </r>
  <r>
    <x v="98"/>
    <x v="94"/>
    <m/>
    <x v="1"/>
    <s v="H16"/>
    <x v="2"/>
    <s v="H191-20"/>
    <m/>
    <m/>
    <s v="SVAA"/>
    <m/>
    <n v="100"/>
    <x v="7"/>
    <m/>
    <m/>
    <n v="2"/>
    <n v="1"/>
    <n v="0.85"/>
    <n v="0.85"/>
    <n v="1630"/>
    <x v="12"/>
    <s v="Hum"/>
    <x v="1"/>
    <n v="18405"/>
    <n v="15773"/>
    <n v="31812.05"/>
    <n v="5800"/>
    <n v="5800"/>
    <n v="37612.050000000003"/>
    <n v="0"/>
    <n v="1"/>
    <n v="0"/>
    <n v="0"/>
    <n v="0"/>
    <n v="0"/>
    <n v="0"/>
    <n v="0"/>
    <n v="0"/>
    <n v="0"/>
    <n v="0"/>
    <n v="0"/>
    <s v="Enligt SP 190924"/>
    <m/>
    <n v="0"/>
    <n v="0"/>
    <n v="1"/>
    <n v="0.85"/>
    <n v="0"/>
    <n v="0"/>
    <n v="0"/>
    <n v="0"/>
    <n v="0"/>
    <n v="0"/>
    <n v="0"/>
    <n v="0"/>
    <n v="0"/>
    <n v="0"/>
    <n v="0"/>
    <n v="0"/>
    <n v="0"/>
    <n v="0"/>
    <n v="0"/>
    <n v="0"/>
    <n v="0"/>
    <n v="0"/>
    <n v="0"/>
  </r>
  <r>
    <x v="99"/>
    <x v="95"/>
    <m/>
    <x v="1"/>
    <s v="H15"/>
    <x v="2"/>
    <s v="H191-15"/>
    <m/>
    <m/>
    <s v="HIST"/>
    <m/>
    <n v="100"/>
    <x v="6"/>
    <m/>
    <m/>
    <n v="11"/>
    <n v="4.125"/>
    <n v="0.85"/>
    <n v="3.5062500000000001"/>
    <n v="1630"/>
    <x v="12"/>
    <s v="Hum"/>
    <x v="1"/>
    <n v="21634"/>
    <n v="26986"/>
    <n v="183859.91250000001"/>
    <n v="3400"/>
    <n v="14025"/>
    <n v="197884.91250000001"/>
    <n v="0"/>
    <n v="0"/>
    <n v="0"/>
    <n v="0"/>
    <n v="0"/>
    <n v="0"/>
    <n v="0"/>
    <n v="0"/>
    <n v="1"/>
    <n v="0"/>
    <n v="0"/>
    <n v="0"/>
    <s v="Enligt SP 190924"/>
    <m/>
    <n v="0"/>
    <n v="0"/>
    <n v="0"/>
    <n v="0"/>
    <n v="0"/>
    <n v="0"/>
    <n v="0"/>
    <n v="0"/>
    <n v="0"/>
    <n v="0"/>
    <n v="0"/>
    <n v="0"/>
    <n v="0"/>
    <n v="0"/>
    <n v="0"/>
    <n v="0"/>
    <n v="4.125"/>
    <n v="3.5062500000000001"/>
    <n v="0"/>
    <n v="0"/>
    <n v="0"/>
    <n v="0"/>
    <n v="0"/>
  </r>
  <r>
    <x v="100"/>
    <x v="96"/>
    <m/>
    <x v="1"/>
    <s v="H14"/>
    <x v="1"/>
    <s v="H1816-20:V191-15"/>
    <s v="Umeå"/>
    <m/>
    <s v="ENGS"/>
    <m/>
    <n v="100"/>
    <x v="6"/>
    <m/>
    <m/>
    <n v="0"/>
    <n v="0"/>
    <n v="0.85"/>
    <n v="0"/>
    <n v="1630"/>
    <x v="12"/>
    <s v="Hum"/>
    <x v="1"/>
    <n v="18405"/>
    <n v="15773"/>
    <n v="0"/>
    <n v="5800"/>
    <n v="0"/>
    <n v="0"/>
    <n v="0"/>
    <n v="1"/>
    <n v="0"/>
    <n v="0"/>
    <n v="0"/>
    <n v="0"/>
    <n v="0"/>
    <n v="0"/>
    <n v="0"/>
    <n v="0"/>
    <n v="0"/>
    <n v="0"/>
    <s v="Enl Ladok 190318"/>
    <s v="Läser 22,5 av 30 hp denna termin"/>
    <n v="0"/>
    <n v="0"/>
    <n v="0"/>
    <n v="0"/>
    <n v="0"/>
    <n v="0"/>
    <n v="0"/>
    <n v="0"/>
    <n v="0"/>
    <n v="0"/>
    <n v="0"/>
    <n v="0"/>
    <n v="0"/>
    <n v="0"/>
    <n v="0"/>
    <n v="0"/>
    <n v="0"/>
    <n v="0"/>
    <n v="0"/>
    <n v="0"/>
    <n v="0"/>
    <n v="0"/>
    <n v="0"/>
  </r>
  <r>
    <x v="100"/>
    <x v="96"/>
    <m/>
    <x v="1"/>
    <s v="H14"/>
    <x v="1"/>
    <s v="H1816-20:V191-15"/>
    <s v="Umeå"/>
    <m/>
    <s v="HIST"/>
    <m/>
    <n v="100"/>
    <x v="6"/>
    <m/>
    <m/>
    <n v="3"/>
    <n v="1.125"/>
    <n v="0.85"/>
    <n v="0.95624999999999993"/>
    <n v="1630"/>
    <x v="12"/>
    <s v="Hum"/>
    <x v="1"/>
    <n v="18405"/>
    <n v="15773"/>
    <n v="35788.556250000001"/>
    <n v="5800"/>
    <n v="6525"/>
    <n v="42313.556250000001"/>
    <n v="0"/>
    <n v="1"/>
    <n v="0"/>
    <n v="0"/>
    <n v="0"/>
    <n v="0"/>
    <n v="0"/>
    <n v="0"/>
    <n v="0"/>
    <n v="0"/>
    <n v="0"/>
    <n v="0"/>
    <s v="Enl Ladok 190318"/>
    <s v="Läser 22,5 av 30 hp denna termin"/>
    <n v="0"/>
    <n v="0"/>
    <n v="1.125"/>
    <n v="0.95624999999999993"/>
    <n v="0"/>
    <n v="0"/>
    <n v="0"/>
    <n v="0"/>
    <n v="0"/>
    <n v="0"/>
    <n v="0"/>
    <n v="0"/>
    <n v="0"/>
    <n v="0"/>
    <n v="0"/>
    <n v="0"/>
    <n v="0"/>
    <n v="0"/>
    <n v="0"/>
    <n v="0"/>
    <n v="0"/>
    <n v="0"/>
    <n v="0"/>
  </r>
  <r>
    <x v="100"/>
    <x v="96"/>
    <m/>
    <x v="1"/>
    <s v="H15"/>
    <x v="2"/>
    <s v="H1916-20:V201-15"/>
    <m/>
    <m/>
    <s v="HIST"/>
    <m/>
    <n v="100"/>
    <x v="0"/>
    <m/>
    <m/>
    <n v="9"/>
    <n v="1.125"/>
    <n v="0.85"/>
    <n v="0.95624999999999993"/>
    <n v="1630"/>
    <x v="12"/>
    <s v="Hum"/>
    <x v="1"/>
    <n v="18405"/>
    <n v="15773"/>
    <n v="35788.556250000001"/>
    <n v="5800"/>
    <n v="6525"/>
    <n v="42313.556250000001"/>
    <n v="0"/>
    <n v="1"/>
    <n v="0"/>
    <n v="0"/>
    <n v="0"/>
    <n v="0"/>
    <n v="0"/>
    <n v="0"/>
    <n v="0"/>
    <n v="0"/>
    <n v="0"/>
    <n v="0"/>
    <s v="Enligt SP 190924"/>
    <s v="Läser 7,5 av 30 denna termin"/>
    <n v="0"/>
    <n v="0"/>
    <n v="1.125"/>
    <n v="0.95624999999999993"/>
    <n v="0"/>
    <n v="0"/>
    <n v="0"/>
    <n v="0"/>
    <n v="0"/>
    <n v="0"/>
    <n v="0"/>
    <n v="0"/>
    <n v="0"/>
    <n v="0"/>
    <n v="0"/>
    <n v="0"/>
    <n v="0"/>
    <n v="0"/>
    <n v="0"/>
    <n v="0"/>
    <n v="0"/>
    <n v="0"/>
    <n v="0"/>
  </r>
  <r>
    <x v="101"/>
    <x v="97"/>
    <m/>
    <x v="1"/>
    <s v="H17"/>
    <x v="2"/>
    <s v="H1913-16"/>
    <m/>
    <m/>
    <s v="HIST"/>
    <m/>
    <n v="100"/>
    <x v="2"/>
    <m/>
    <m/>
    <n v="14"/>
    <n v="1.4000000000000001"/>
    <n v="0.85"/>
    <n v="1.1900000000000002"/>
    <n v="1630"/>
    <x v="12"/>
    <s v="Hum"/>
    <x v="1"/>
    <n v="21634"/>
    <n v="26986"/>
    <n v="62400.94"/>
    <n v="3400"/>
    <n v="4760"/>
    <n v="67160.94"/>
    <n v="0"/>
    <n v="0"/>
    <n v="0"/>
    <n v="0"/>
    <n v="0"/>
    <n v="0"/>
    <n v="0"/>
    <n v="0"/>
    <n v="1"/>
    <n v="0"/>
    <n v="0"/>
    <n v="0"/>
    <s v="Enligt SP 190924"/>
    <m/>
    <n v="0"/>
    <n v="0"/>
    <n v="0"/>
    <n v="0"/>
    <n v="0"/>
    <n v="0"/>
    <n v="0"/>
    <n v="0"/>
    <n v="0"/>
    <n v="0"/>
    <n v="0"/>
    <n v="0"/>
    <n v="0"/>
    <n v="0"/>
    <n v="0"/>
    <n v="0"/>
    <n v="1.4000000000000001"/>
    <n v="1.1900000000000002"/>
    <n v="0"/>
    <n v="0"/>
    <n v="0"/>
    <n v="0"/>
    <n v="0"/>
  </r>
  <r>
    <x v="101"/>
    <x v="97"/>
    <m/>
    <x v="1"/>
    <s v="H18"/>
    <x v="2"/>
    <s v="H1913-16"/>
    <m/>
    <m/>
    <s v="HIST"/>
    <m/>
    <n v="100"/>
    <x v="2"/>
    <m/>
    <m/>
    <n v="1"/>
    <n v="0.1"/>
    <n v="0.85"/>
    <n v="8.5000000000000006E-2"/>
    <n v="1630"/>
    <x v="12"/>
    <s v="Hum"/>
    <x v="1"/>
    <n v="21634"/>
    <n v="26986"/>
    <n v="4457.21"/>
    <n v="3400"/>
    <n v="340"/>
    <n v="4797.21"/>
    <n v="0"/>
    <n v="0"/>
    <n v="0"/>
    <n v="0"/>
    <n v="0"/>
    <n v="0"/>
    <n v="0"/>
    <n v="0"/>
    <n v="1"/>
    <n v="0"/>
    <n v="0"/>
    <n v="0"/>
    <s v="Enligt SP 190924"/>
    <m/>
    <n v="0"/>
    <n v="0"/>
    <n v="0"/>
    <n v="0"/>
    <n v="0"/>
    <n v="0"/>
    <n v="0"/>
    <n v="0"/>
    <n v="0"/>
    <n v="0"/>
    <n v="0"/>
    <n v="0"/>
    <n v="0"/>
    <n v="0"/>
    <n v="0"/>
    <n v="0"/>
    <n v="0.1"/>
    <n v="8.5000000000000006E-2"/>
    <n v="0"/>
    <n v="0"/>
    <n v="0"/>
    <n v="0"/>
    <n v="0"/>
  </r>
  <r>
    <x v="102"/>
    <x v="98"/>
    <m/>
    <x v="1"/>
    <s v="H15"/>
    <x v="2"/>
    <s v="H191-20"/>
    <m/>
    <m/>
    <s v="HIST"/>
    <m/>
    <n v="100"/>
    <x v="7"/>
    <m/>
    <m/>
    <n v="1"/>
    <n v="0.5"/>
    <n v="0.85"/>
    <n v="0.42499999999999999"/>
    <n v="1630"/>
    <x v="12"/>
    <s v="Hum"/>
    <x v="1"/>
    <n v="18405"/>
    <n v="15773"/>
    <n v="15906.025"/>
    <n v="5800"/>
    <n v="2900"/>
    <n v="18806.025000000001"/>
    <n v="0"/>
    <n v="1"/>
    <n v="0"/>
    <n v="0"/>
    <n v="0"/>
    <n v="0"/>
    <n v="0"/>
    <n v="0"/>
    <n v="0"/>
    <n v="0"/>
    <n v="0"/>
    <n v="0"/>
    <s v="Enligt SP 190924"/>
    <m/>
    <n v="0"/>
    <n v="0"/>
    <n v="0.5"/>
    <n v="0.42499999999999999"/>
    <n v="0"/>
    <n v="0"/>
    <n v="0"/>
    <n v="0"/>
    <n v="0"/>
    <n v="0"/>
    <n v="0"/>
    <n v="0"/>
    <n v="0"/>
    <n v="0"/>
    <n v="0"/>
    <n v="0"/>
    <n v="0"/>
    <n v="0"/>
    <n v="0"/>
    <n v="0"/>
    <n v="0"/>
    <n v="0"/>
    <n v="0"/>
  </r>
  <r>
    <x v="102"/>
    <x v="98"/>
    <m/>
    <x v="1"/>
    <s v="H16"/>
    <x v="2"/>
    <s v="H191-20"/>
    <m/>
    <m/>
    <s v="ENGS"/>
    <m/>
    <n v="100"/>
    <x v="7"/>
    <m/>
    <m/>
    <n v="1"/>
    <n v="0.5"/>
    <n v="0.85"/>
    <n v="0.42499999999999999"/>
    <n v="1630"/>
    <x v="12"/>
    <s v="Hum"/>
    <x v="1"/>
    <n v="18405"/>
    <n v="15773"/>
    <n v="15906.025"/>
    <n v="5800"/>
    <n v="2900"/>
    <n v="18806.025000000001"/>
    <n v="0"/>
    <n v="1"/>
    <n v="0"/>
    <n v="0"/>
    <n v="0"/>
    <n v="0"/>
    <n v="0"/>
    <n v="0"/>
    <n v="0"/>
    <n v="0"/>
    <n v="0"/>
    <n v="0"/>
    <s v="Enligt SP 190924"/>
    <m/>
    <n v="0"/>
    <n v="0"/>
    <n v="0.5"/>
    <n v="0.42499999999999999"/>
    <n v="0"/>
    <n v="0"/>
    <n v="0"/>
    <n v="0"/>
    <n v="0"/>
    <n v="0"/>
    <n v="0"/>
    <n v="0"/>
    <n v="0"/>
    <n v="0"/>
    <n v="0"/>
    <n v="0"/>
    <n v="0"/>
    <n v="0"/>
    <n v="0"/>
    <n v="0"/>
    <n v="0"/>
    <n v="0"/>
    <n v="0"/>
  </r>
  <r>
    <x v="102"/>
    <x v="98"/>
    <m/>
    <x v="1"/>
    <s v="H16"/>
    <x v="2"/>
    <s v="H191-20"/>
    <m/>
    <m/>
    <s v="SVAA"/>
    <m/>
    <n v="100"/>
    <x v="7"/>
    <m/>
    <m/>
    <n v="1"/>
    <n v="0.5"/>
    <n v="0.85"/>
    <n v="0.42499999999999999"/>
    <n v="1630"/>
    <x v="12"/>
    <s v="Hum"/>
    <x v="1"/>
    <n v="18405"/>
    <n v="15773"/>
    <n v="15906.025"/>
    <n v="5800"/>
    <n v="2900"/>
    <n v="18806.025000000001"/>
    <n v="0"/>
    <n v="1"/>
    <n v="0"/>
    <n v="0"/>
    <n v="0"/>
    <n v="0"/>
    <n v="0"/>
    <n v="0"/>
    <n v="0"/>
    <n v="0"/>
    <n v="0"/>
    <n v="0"/>
    <s v="Enligt SP 190924"/>
    <m/>
    <n v="0"/>
    <n v="0"/>
    <n v="0.5"/>
    <n v="0.42499999999999999"/>
    <n v="0"/>
    <n v="0"/>
    <n v="0"/>
    <n v="0"/>
    <n v="0"/>
    <n v="0"/>
    <n v="0"/>
    <n v="0"/>
    <n v="0"/>
    <n v="0"/>
    <n v="0"/>
    <n v="0"/>
    <n v="0"/>
    <n v="0"/>
    <n v="0"/>
    <n v="0"/>
    <n v="0"/>
    <n v="0"/>
    <n v="0"/>
  </r>
  <r>
    <x v="102"/>
    <x v="98"/>
    <m/>
    <x v="1"/>
    <s v="H18"/>
    <x v="2"/>
    <s v="H191-20"/>
    <m/>
    <m/>
    <s v="HIST"/>
    <m/>
    <n v="100"/>
    <x v="7"/>
    <m/>
    <m/>
    <n v="17"/>
    <n v="8.5"/>
    <n v="0.85"/>
    <n v="7.2249999999999996"/>
    <n v="1630"/>
    <x v="12"/>
    <s v="Hum"/>
    <x v="1"/>
    <n v="18405"/>
    <n v="15773"/>
    <n v="270402.42499999999"/>
    <n v="5800"/>
    <n v="49300"/>
    <n v="319702.42499999999"/>
    <n v="0"/>
    <n v="1"/>
    <n v="0"/>
    <n v="0"/>
    <n v="0"/>
    <n v="0"/>
    <n v="0"/>
    <n v="0"/>
    <n v="0"/>
    <n v="0"/>
    <n v="0"/>
    <n v="0"/>
    <s v="Enligt SP 190924"/>
    <m/>
    <n v="0"/>
    <n v="0"/>
    <n v="8.5"/>
    <n v="7.2249999999999996"/>
    <n v="0"/>
    <n v="0"/>
    <n v="0"/>
    <n v="0"/>
    <n v="0"/>
    <n v="0"/>
    <n v="0"/>
    <n v="0"/>
    <n v="0"/>
    <n v="0"/>
    <n v="0"/>
    <n v="0"/>
    <n v="0"/>
    <n v="0"/>
    <n v="0"/>
    <n v="0"/>
    <n v="0"/>
    <n v="0"/>
    <n v="0"/>
  </r>
  <r>
    <x v="102"/>
    <x v="98"/>
    <m/>
    <x v="1"/>
    <s v="H19"/>
    <x v="2"/>
    <s v="H191-20"/>
    <m/>
    <m/>
    <s v="HIST"/>
    <m/>
    <n v="100"/>
    <x v="7"/>
    <m/>
    <m/>
    <n v="1"/>
    <n v="0.5"/>
    <n v="0.85"/>
    <n v="0.42499999999999999"/>
    <n v="1630"/>
    <x v="12"/>
    <s v="Hum"/>
    <x v="1"/>
    <n v="18405"/>
    <n v="15773"/>
    <n v="15906.025"/>
    <n v="5800"/>
    <n v="2900"/>
    <n v="18806.025000000001"/>
    <n v="0"/>
    <n v="1"/>
    <n v="0"/>
    <n v="0"/>
    <n v="0"/>
    <n v="0"/>
    <n v="0"/>
    <n v="0"/>
    <n v="0"/>
    <n v="0"/>
    <n v="0"/>
    <n v="0"/>
    <s v="Enligt SP 190924"/>
    <m/>
    <n v="0"/>
    <n v="0"/>
    <n v="0.5"/>
    <n v="0.42499999999999999"/>
    <n v="0"/>
    <n v="0"/>
    <n v="0"/>
    <n v="0"/>
    <n v="0"/>
    <n v="0"/>
    <n v="0"/>
    <n v="0"/>
    <n v="0"/>
    <n v="0"/>
    <n v="0"/>
    <n v="0"/>
    <n v="0"/>
    <n v="0"/>
    <n v="0"/>
    <n v="0"/>
    <n v="0"/>
    <n v="0"/>
    <n v="0"/>
  </r>
  <r>
    <x v="103"/>
    <x v="99"/>
    <m/>
    <x v="1"/>
    <s v="H16"/>
    <x v="1"/>
    <s v="V191-20"/>
    <s v="Umeå"/>
    <m/>
    <s v="ENGS"/>
    <m/>
    <n v="100"/>
    <x v="7"/>
    <m/>
    <m/>
    <n v="1"/>
    <n v="0.5"/>
    <n v="0.85"/>
    <n v="0.42499999999999999"/>
    <n v="1630"/>
    <x v="12"/>
    <s v="Hum"/>
    <x v="1"/>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103"/>
    <x v="99"/>
    <m/>
    <x v="1"/>
    <s v="H16"/>
    <x v="1"/>
    <s v="V191-20"/>
    <s v="Umeå"/>
    <m/>
    <s v="RELK"/>
    <m/>
    <n v="100"/>
    <x v="7"/>
    <m/>
    <m/>
    <n v="1"/>
    <n v="0.5"/>
    <n v="0.85"/>
    <n v="0.42499999999999999"/>
    <n v="1630"/>
    <x v="12"/>
    <s v="Hum"/>
    <x v="1"/>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103"/>
    <x v="99"/>
    <m/>
    <x v="1"/>
    <s v="H16"/>
    <x v="1"/>
    <s v="V191-20"/>
    <s v="Umeå"/>
    <m/>
    <s v="SVAA"/>
    <m/>
    <n v="100"/>
    <x v="7"/>
    <m/>
    <m/>
    <n v="3"/>
    <n v="1.5"/>
    <n v="0.85"/>
    <n v="1.2749999999999999"/>
    <n v="1630"/>
    <x v="12"/>
    <s v="Hum"/>
    <x v="1"/>
    <n v="18405"/>
    <n v="15773"/>
    <n v="47718.074999999997"/>
    <n v="5800"/>
    <n v="8700"/>
    <n v="56418.074999999997"/>
    <n v="0"/>
    <n v="1"/>
    <n v="0"/>
    <n v="0"/>
    <n v="0"/>
    <n v="0"/>
    <n v="0"/>
    <n v="0"/>
    <n v="0"/>
    <n v="0"/>
    <n v="0"/>
    <n v="0"/>
    <s v="Enl Ladok 190318"/>
    <m/>
    <n v="0"/>
    <n v="0"/>
    <n v="1.5"/>
    <n v="1.2749999999999999"/>
    <n v="0"/>
    <n v="0"/>
    <n v="0"/>
    <n v="0"/>
    <n v="0"/>
    <n v="0"/>
    <n v="0"/>
    <n v="0"/>
    <n v="0"/>
    <n v="0"/>
    <n v="0"/>
    <n v="0"/>
    <n v="0"/>
    <n v="0"/>
    <n v="0"/>
    <n v="0"/>
    <n v="0"/>
    <n v="0"/>
    <n v="0"/>
  </r>
  <r>
    <x v="103"/>
    <x v="99"/>
    <m/>
    <x v="1"/>
    <s v="H18"/>
    <x v="1"/>
    <s v="V191-20"/>
    <s v="Umeå"/>
    <m/>
    <s v="HIST"/>
    <m/>
    <n v="100"/>
    <x v="7"/>
    <m/>
    <m/>
    <n v="20"/>
    <n v="10"/>
    <n v="0.85"/>
    <n v="8.5"/>
    <n v="1630"/>
    <x v="12"/>
    <s v="Hum"/>
    <x v="1"/>
    <n v="18405"/>
    <n v="15773"/>
    <n v="318120.5"/>
    <n v="5800"/>
    <n v="58000"/>
    <n v="376120.5"/>
    <n v="0"/>
    <n v="1"/>
    <n v="0"/>
    <n v="0"/>
    <n v="0"/>
    <n v="0"/>
    <n v="0"/>
    <n v="0"/>
    <n v="0"/>
    <n v="0"/>
    <n v="0"/>
    <n v="0"/>
    <s v="Enl Ladok 190318"/>
    <m/>
    <n v="0"/>
    <n v="0"/>
    <n v="10"/>
    <n v="8.5"/>
    <n v="0"/>
    <n v="0"/>
    <n v="0"/>
    <n v="0"/>
    <n v="0"/>
    <n v="0"/>
    <n v="0"/>
    <n v="0"/>
    <n v="0"/>
    <n v="0"/>
    <n v="0"/>
    <n v="0"/>
    <n v="0"/>
    <n v="0"/>
    <n v="0"/>
    <n v="0"/>
    <n v="0"/>
    <n v="0"/>
    <n v="0"/>
  </r>
  <r>
    <x v="104"/>
    <x v="100"/>
    <m/>
    <x v="1"/>
    <s v="H14"/>
    <x v="1"/>
    <s v="V191-20"/>
    <s v="Umeå"/>
    <m/>
    <s v="ENGS"/>
    <m/>
    <n v="100"/>
    <x v="7"/>
    <m/>
    <m/>
    <n v="1"/>
    <n v="0.5"/>
    <n v="0.85"/>
    <n v="0.42499999999999999"/>
    <n v="1630"/>
    <x v="12"/>
    <s v="Hum"/>
    <x v="1"/>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104"/>
    <x v="100"/>
    <m/>
    <x v="1"/>
    <s v="H15"/>
    <x v="1"/>
    <s v="V191-20"/>
    <s v="Umeå"/>
    <m/>
    <s v="IDRH"/>
    <m/>
    <n v="100"/>
    <x v="7"/>
    <m/>
    <m/>
    <n v="2"/>
    <n v="1"/>
    <n v="0.85"/>
    <n v="0.85"/>
    <n v="1630"/>
    <x v="12"/>
    <s v="Hum"/>
    <x v="1"/>
    <n v="18405"/>
    <n v="15773"/>
    <n v="31812.05"/>
    <n v="5800"/>
    <n v="5800"/>
    <n v="37612.050000000003"/>
    <n v="0"/>
    <n v="1"/>
    <n v="0"/>
    <n v="0"/>
    <n v="0"/>
    <n v="0"/>
    <n v="0"/>
    <n v="0"/>
    <n v="0"/>
    <n v="0"/>
    <n v="0"/>
    <n v="0"/>
    <s v="Enl Ladok 190318"/>
    <m/>
    <n v="0"/>
    <n v="0"/>
    <n v="1"/>
    <n v="0.85"/>
    <n v="0"/>
    <n v="0"/>
    <n v="0"/>
    <n v="0"/>
    <n v="0"/>
    <n v="0"/>
    <n v="0"/>
    <n v="0"/>
    <n v="0"/>
    <n v="0"/>
    <n v="0"/>
    <n v="0"/>
    <n v="0"/>
    <n v="0"/>
    <n v="0"/>
    <n v="0"/>
    <n v="0"/>
    <n v="0"/>
    <n v="0"/>
  </r>
  <r>
    <x v="104"/>
    <x v="100"/>
    <m/>
    <x v="1"/>
    <s v="H15"/>
    <x v="1"/>
    <s v="V191-20"/>
    <s v="Umeå"/>
    <m/>
    <s v="SAMK"/>
    <m/>
    <n v="100"/>
    <x v="7"/>
    <m/>
    <m/>
    <n v="2"/>
    <n v="1"/>
    <n v="0.85"/>
    <n v="0.85"/>
    <n v="1630"/>
    <x v="12"/>
    <s v="Hum"/>
    <x v="1"/>
    <n v="18405"/>
    <n v="15773"/>
    <n v="31812.05"/>
    <n v="5800"/>
    <n v="5800"/>
    <n v="37612.050000000003"/>
    <n v="0"/>
    <n v="1"/>
    <n v="0"/>
    <n v="0"/>
    <n v="0"/>
    <n v="0"/>
    <n v="0"/>
    <n v="0"/>
    <n v="0"/>
    <n v="0"/>
    <n v="0"/>
    <n v="0"/>
    <s v="Enl Ladok 190318"/>
    <m/>
    <n v="0"/>
    <n v="0"/>
    <n v="1"/>
    <n v="0.85"/>
    <n v="0"/>
    <n v="0"/>
    <n v="0"/>
    <n v="0"/>
    <n v="0"/>
    <n v="0"/>
    <n v="0"/>
    <n v="0"/>
    <n v="0"/>
    <n v="0"/>
    <n v="0"/>
    <n v="0"/>
    <n v="0"/>
    <n v="0"/>
    <n v="0"/>
    <n v="0"/>
    <n v="0"/>
    <n v="0"/>
    <n v="0"/>
  </r>
  <r>
    <x v="104"/>
    <x v="100"/>
    <m/>
    <x v="1"/>
    <s v="H15"/>
    <x v="1"/>
    <s v="V191-20"/>
    <s v="Umeå"/>
    <m/>
    <s v="SVAA"/>
    <m/>
    <n v="100"/>
    <x v="7"/>
    <m/>
    <m/>
    <n v="2"/>
    <n v="1"/>
    <n v="0.85"/>
    <n v="0.85"/>
    <n v="1630"/>
    <x v="12"/>
    <s v="Hum"/>
    <x v="1"/>
    <n v="18405"/>
    <n v="15773"/>
    <n v="31812.05"/>
    <n v="5800"/>
    <n v="5800"/>
    <n v="37612.050000000003"/>
    <n v="0"/>
    <n v="1"/>
    <n v="0"/>
    <n v="0"/>
    <n v="0"/>
    <n v="0"/>
    <n v="0"/>
    <n v="0"/>
    <n v="0"/>
    <n v="0"/>
    <n v="0"/>
    <n v="0"/>
    <s v="Enl Ladok 190318"/>
    <m/>
    <n v="0"/>
    <n v="0"/>
    <n v="1"/>
    <n v="0.85"/>
    <n v="0"/>
    <n v="0"/>
    <n v="0"/>
    <n v="0"/>
    <n v="0"/>
    <n v="0"/>
    <n v="0"/>
    <n v="0"/>
    <n v="0"/>
    <n v="0"/>
    <n v="0"/>
    <n v="0"/>
    <n v="0"/>
    <n v="0"/>
    <n v="0"/>
    <n v="0"/>
    <n v="0"/>
    <n v="0"/>
    <n v="0"/>
  </r>
  <r>
    <x v="104"/>
    <x v="100"/>
    <m/>
    <x v="1"/>
    <s v="H17"/>
    <x v="1"/>
    <s v="V191-20"/>
    <s v="Umeå"/>
    <m/>
    <s v="HIST"/>
    <m/>
    <n v="100"/>
    <x v="7"/>
    <m/>
    <m/>
    <n v="15"/>
    <n v="7.5"/>
    <n v="0.85"/>
    <n v="6.375"/>
    <n v="1630"/>
    <x v="12"/>
    <s v="Hum"/>
    <x v="1"/>
    <n v="18405"/>
    <n v="15773"/>
    <n v="238590.375"/>
    <n v="5800"/>
    <n v="43500"/>
    <n v="282090.375"/>
    <n v="0"/>
    <n v="1"/>
    <n v="0"/>
    <n v="0"/>
    <n v="0"/>
    <n v="0"/>
    <n v="0"/>
    <n v="0"/>
    <n v="0"/>
    <n v="0"/>
    <n v="0"/>
    <n v="0"/>
    <s v="Enl Ladok 190318"/>
    <m/>
    <n v="0"/>
    <n v="0"/>
    <n v="7.5"/>
    <n v="6.375"/>
    <n v="0"/>
    <n v="0"/>
    <n v="0"/>
    <n v="0"/>
    <n v="0"/>
    <n v="0"/>
    <n v="0"/>
    <n v="0"/>
    <n v="0"/>
    <n v="0"/>
    <n v="0"/>
    <n v="0"/>
    <n v="0"/>
    <n v="0"/>
    <n v="0"/>
    <n v="0"/>
    <n v="0"/>
    <n v="0"/>
    <n v="0"/>
  </r>
  <r>
    <x v="104"/>
    <x v="100"/>
    <m/>
    <x v="1"/>
    <s v="H18"/>
    <x v="1"/>
    <s v="V191-20"/>
    <s v="Umeå"/>
    <m/>
    <s v="HIST"/>
    <m/>
    <n v="100"/>
    <x v="7"/>
    <m/>
    <m/>
    <n v="2"/>
    <n v="1"/>
    <n v="0.85"/>
    <n v="0.85"/>
    <n v="1630"/>
    <x v="12"/>
    <s v="Hum"/>
    <x v="1"/>
    <n v="18405"/>
    <n v="15773"/>
    <n v="31812.05"/>
    <n v="5800"/>
    <n v="5800"/>
    <n v="37612.050000000003"/>
    <n v="0"/>
    <n v="1"/>
    <n v="0"/>
    <n v="0"/>
    <n v="0"/>
    <n v="0"/>
    <n v="0"/>
    <n v="0"/>
    <n v="0"/>
    <n v="0"/>
    <n v="0"/>
    <n v="0"/>
    <s v="Enl Ladok 190318"/>
    <m/>
    <n v="0"/>
    <n v="0"/>
    <n v="1"/>
    <n v="0.85"/>
    <n v="0"/>
    <n v="0"/>
    <n v="0"/>
    <n v="0"/>
    <n v="0"/>
    <n v="0"/>
    <n v="0"/>
    <n v="0"/>
    <n v="0"/>
    <n v="0"/>
    <n v="0"/>
    <n v="0"/>
    <n v="0"/>
    <n v="0"/>
    <n v="0"/>
    <n v="0"/>
    <n v="0"/>
    <n v="0"/>
    <n v="0"/>
  </r>
  <r>
    <x v="105"/>
    <x v="101"/>
    <m/>
    <x v="4"/>
    <s v="H14"/>
    <x v="1"/>
    <s v="H1816-20:V191-15"/>
    <s v="Umeå"/>
    <m/>
    <s v="IDRH"/>
    <m/>
    <n v="100"/>
    <x v="6"/>
    <m/>
    <m/>
    <n v="2"/>
    <n v="0.75"/>
    <n v="0.85"/>
    <n v="0.63749999999999996"/>
    <n v="2180"/>
    <x v="0"/>
    <s v="Sam"/>
    <x v="4"/>
    <n v="18405"/>
    <n v="15773"/>
    <n v="23859.037499999999"/>
    <n v="5800"/>
    <n v="4350"/>
    <n v="28209.037499999999"/>
    <n v="0"/>
    <n v="0"/>
    <n v="0"/>
    <n v="0"/>
    <n v="0"/>
    <n v="0"/>
    <n v="1"/>
    <n v="0"/>
    <n v="0"/>
    <n v="0"/>
    <n v="0"/>
    <n v="0"/>
    <s v="Enl Ladok 190318"/>
    <s v="Läser 22,5 av 30 hp denna termin"/>
    <n v="0"/>
    <n v="0"/>
    <n v="0"/>
    <n v="0"/>
    <n v="0"/>
    <n v="0"/>
    <n v="0"/>
    <n v="0"/>
    <n v="0"/>
    <n v="0"/>
    <n v="0"/>
    <n v="0"/>
    <n v="0.75"/>
    <n v="0.63749999999999996"/>
    <n v="0"/>
    <n v="0"/>
    <n v="0"/>
    <n v="0"/>
    <n v="0"/>
    <n v="0"/>
    <n v="0"/>
    <n v="0"/>
    <n v="0"/>
  </r>
  <r>
    <x v="105"/>
    <x v="101"/>
    <m/>
    <x v="4"/>
    <s v="H15"/>
    <x v="1"/>
    <s v="V1916-20:H191-15"/>
    <s v="Umeå"/>
    <m/>
    <s v="IDRH"/>
    <m/>
    <n v="100"/>
    <x v="0"/>
    <m/>
    <m/>
    <n v="1"/>
    <n v="0.125"/>
    <n v="0.85"/>
    <n v="0.10625"/>
    <n v="2180"/>
    <x v="0"/>
    <s v="Sam"/>
    <x v="4"/>
    <n v="18405"/>
    <n v="15773"/>
    <n v="3976.5062499999999"/>
    <n v="5800"/>
    <n v="725"/>
    <n v="4701.5062500000004"/>
    <n v="0"/>
    <n v="0"/>
    <n v="0"/>
    <n v="0"/>
    <n v="0"/>
    <n v="0"/>
    <n v="1"/>
    <n v="0"/>
    <n v="0"/>
    <n v="0"/>
    <n v="0"/>
    <n v="0"/>
    <s v="Enl Ladok 190515"/>
    <s v="Läser 7,5 av 30 hp denna termin"/>
    <n v="0"/>
    <n v="0"/>
    <n v="0"/>
    <n v="0"/>
    <n v="0"/>
    <n v="0"/>
    <n v="0"/>
    <n v="0"/>
    <n v="0"/>
    <n v="0"/>
    <n v="0"/>
    <n v="0"/>
    <n v="0.125"/>
    <n v="0.10625"/>
    <n v="0"/>
    <n v="0"/>
    <n v="0"/>
    <n v="0"/>
    <n v="0"/>
    <n v="0"/>
    <n v="0"/>
    <n v="0"/>
    <n v="0"/>
  </r>
  <r>
    <x v="105"/>
    <x v="101"/>
    <m/>
    <x v="4"/>
    <s v="H15"/>
    <x v="2"/>
    <s v="V1916-20:H191-15"/>
    <m/>
    <m/>
    <s v="IDRH"/>
    <m/>
    <n v="100"/>
    <x v="0"/>
    <m/>
    <m/>
    <n v="1"/>
    <n v="0.125"/>
    <n v="0.85"/>
    <n v="0.10625"/>
    <n v="2180"/>
    <x v="0"/>
    <s v="Sam"/>
    <x v="4"/>
    <n v="18405"/>
    <n v="15773"/>
    <n v="3976.5062499999999"/>
    <n v="5800"/>
    <n v="725"/>
    <n v="4701.5062500000004"/>
    <n v="0"/>
    <n v="0"/>
    <n v="0"/>
    <n v="0"/>
    <n v="0"/>
    <n v="0"/>
    <n v="1"/>
    <n v="0"/>
    <n v="0"/>
    <n v="0"/>
    <n v="0"/>
    <n v="0"/>
    <s v="Enligt SP 190924"/>
    <s v="Läser 7,5 av 30 denna termin"/>
    <n v="0"/>
    <n v="0"/>
    <n v="0"/>
    <n v="0"/>
    <n v="0"/>
    <n v="0"/>
    <n v="0"/>
    <n v="0"/>
    <n v="0"/>
    <n v="0"/>
    <n v="0"/>
    <n v="0"/>
    <n v="0.125"/>
    <n v="0.10625"/>
    <n v="0"/>
    <n v="0"/>
    <n v="0"/>
    <n v="0"/>
    <n v="0"/>
    <n v="0"/>
    <n v="0"/>
    <n v="0"/>
    <n v="0"/>
  </r>
  <r>
    <x v="105"/>
    <x v="101"/>
    <m/>
    <x v="1"/>
    <s v="H12"/>
    <x v="1"/>
    <s v="H1816-20:V191-15"/>
    <s v="Umeå"/>
    <m/>
    <s v="IDRH"/>
    <m/>
    <n v="100"/>
    <x v="6"/>
    <m/>
    <m/>
    <n v="1"/>
    <n v="0.375"/>
    <n v="0.85"/>
    <n v="0.31874999999999998"/>
    <n v="2180"/>
    <x v="0"/>
    <s v="Sam"/>
    <x v="1"/>
    <n v="18405"/>
    <n v="15773"/>
    <n v="11929.518749999999"/>
    <n v="5800"/>
    <n v="2175"/>
    <n v="14104.518749999999"/>
    <n v="0"/>
    <n v="0"/>
    <n v="0"/>
    <n v="0"/>
    <n v="0"/>
    <n v="0"/>
    <n v="1"/>
    <n v="0"/>
    <n v="0"/>
    <n v="0"/>
    <n v="0"/>
    <n v="0"/>
    <s v="Enl Ladok 190318"/>
    <s v="Läser 22,5 av 30 hp denna termin"/>
    <n v="0"/>
    <n v="0"/>
    <n v="0"/>
    <n v="0"/>
    <n v="0"/>
    <n v="0"/>
    <n v="0"/>
    <n v="0"/>
    <n v="0"/>
    <n v="0"/>
    <n v="0"/>
    <n v="0"/>
    <n v="0.375"/>
    <n v="0.31874999999999998"/>
    <n v="0"/>
    <n v="0"/>
    <n v="0"/>
    <n v="0"/>
    <n v="0"/>
    <n v="0"/>
    <n v="0"/>
    <n v="0"/>
    <n v="0"/>
  </r>
  <r>
    <x v="105"/>
    <x v="101"/>
    <m/>
    <x v="1"/>
    <s v="H12"/>
    <x v="2"/>
    <s v="H1916-20:V201-15"/>
    <m/>
    <m/>
    <s v="IDRH"/>
    <m/>
    <n v="100"/>
    <x v="0"/>
    <m/>
    <m/>
    <n v="1"/>
    <n v="0.125"/>
    <n v="0.85"/>
    <n v="0.10625"/>
    <n v="2180"/>
    <x v="0"/>
    <s v="Sam"/>
    <x v="1"/>
    <n v="18405"/>
    <n v="15773"/>
    <n v="3976.5062499999999"/>
    <n v="5800"/>
    <n v="725"/>
    <n v="4701.5062500000004"/>
    <n v="0"/>
    <n v="0"/>
    <n v="0"/>
    <n v="0"/>
    <n v="0"/>
    <n v="0"/>
    <n v="1"/>
    <n v="0"/>
    <n v="0"/>
    <n v="0"/>
    <n v="0"/>
    <n v="0"/>
    <s v="Enligt SP 190924"/>
    <s v="Läser 7,5 av 30 denna termin"/>
    <n v="0"/>
    <n v="0"/>
    <n v="0"/>
    <n v="0"/>
    <n v="0"/>
    <n v="0"/>
    <n v="0"/>
    <n v="0"/>
    <n v="0"/>
    <n v="0"/>
    <n v="0"/>
    <n v="0"/>
    <n v="0.125"/>
    <n v="0.10625"/>
    <n v="0"/>
    <n v="0"/>
    <n v="0"/>
    <n v="0"/>
    <n v="0"/>
    <n v="0"/>
    <n v="0"/>
    <n v="0"/>
    <n v="0"/>
  </r>
  <r>
    <x v="105"/>
    <x v="101"/>
    <m/>
    <x v="1"/>
    <s v="H13"/>
    <x v="1"/>
    <s v="H1816-20:V191-15"/>
    <s v="Umeå"/>
    <m/>
    <s v="HIST"/>
    <m/>
    <n v="100"/>
    <x v="6"/>
    <m/>
    <m/>
    <n v="1"/>
    <n v="0.375"/>
    <n v="0.85"/>
    <n v="0.31874999999999998"/>
    <n v="2180"/>
    <x v="0"/>
    <s v="Sam"/>
    <x v="1"/>
    <n v="18405"/>
    <n v="15773"/>
    <n v="11929.518749999999"/>
    <n v="5800"/>
    <n v="2175"/>
    <n v="14104.518749999999"/>
    <n v="0"/>
    <n v="0"/>
    <n v="0"/>
    <n v="0"/>
    <n v="0"/>
    <n v="0"/>
    <n v="1"/>
    <n v="0"/>
    <n v="0"/>
    <n v="0"/>
    <n v="0"/>
    <n v="0"/>
    <s v="Enl Ladok 190318"/>
    <s v="Läser 22,5 av 30 hp denna termin"/>
    <n v="0"/>
    <n v="0"/>
    <n v="0"/>
    <n v="0"/>
    <n v="0"/>
    <n v="0"/>
    <n v="0"/>
    <n v="0"/>
    <n v="0"/>
    <n v="0"/>
    <n v="0"/>
    <n v="0"/>
    <n v="0.375"/>
    <n v="0.31874999999999998"/>
    <n v="0"/>
    <n v="0"/>
    <n v="0"/>
    <n v="0"/>
    <n v="0"/>
    <n v="0"/>
    <n v="0"/>
    <n v="0"/>
    <n v="0"/>
  </r>
  <r>
    <x v="105"/>
    <x v="101"/>
    <m/>
    <x v="1"/>
    <s v="H13"/>
    <x v="1"/>
    <s v="H1816-20:V191-15"/>
    <s v="Umeå"/>
    <m/>
    <s v="IDRH"/>
    <m/>
    <n v="100"/>
    <x v="6"/>
    <m/>
    <m/>
    <n v="1"/>
    <n v="0.375"/>
    <n v="0.85"/>
    <n v="0.31874999999999998"/>
    <n v="2180"/>
    <x v="0"/>
    <s v="Sam"/>
    <x v="1"/>
    <n v="18405"/>
    <n v="15773"/>
    <n v="11929.518749999999"/>
    <n v="5800"/>
    <n v="2175"/>
    <n v="14104.518749999999"/>
    <n v="0"/>
    <n v="0"/>
    <n v="0"/>
    <n v="0"/>
    <n v="0"/>
    <n v="0"/>
    <n v="1"/>
    <n v="0"/>
    <n v="0"/>
    <n v="0"/>
    <n v="0"/>
    <n v="0"/>
    <s v="Enl Ladok 190318"/>
    <s v="Läser 22,5 av 30 hp denna termin"/>
    <n v="0"/>
    <n v="0"/>
    <n v="0"/>
    <n v="0"/>
    <n v="0"/>
    <n v="0"/>
    <n v="0"/>
    <n v="0"/>
    <n v="0"/>
    <n v="0"/>
    <n v="0"/>
    <n v="0"/>
    <n v="0.375"/>
    <n v="0.31874999999999998"/>
    <n v="0"/>
    <n v="0"/>
    <n v="0"/>
    <n v="0"/>
    <n v="0"/>
    <n v="0"/>
    <n v="0"/>
    <n v="0"/>
    <n v="0"/>
  </r>
  <r>
    <x v="105"/>
    <x v="101"/>
    <m/>
    <x v="1"/>
    <s v="H13"/>
    <x v="1"/>
    <s v="H1816-20:V191-15"/>
    <s v="Umeå"/>
    <m/>
    <s v="IDRH"/>
    <m/>
    <n v="100"/>
    <x v="6"/>
    <m/>
    <m/>
    <n v="1"/>
    <n v="0.375"/>
    <n v="0.85"/>
    <n v="0.31874999999999998"/>
    <n v="2180"/>
    <x v="0"/>
    <s v="Sam"/>
    <x v="1"/>
    <n v="18405"/>
    <n v="15773"/>
    <n v="11929.518749999999"/>
    <n v="5800"/>
    <n v="2175"/>
    <n v="14104.518749999999"/>
    <n v="0"/>
    <n v="0"/>
    <n v="0"/>
    <n v="0"/>
    <n v="0"/>
    <n v="0"/>
    <n v="1"/>
    <n v="0"/>
    <n v="0"/>
    <n v="0"/>
    <n v="0"/>
    <n v="0"/>
    <s v="Enl Ladok 190318"/>
    <s v="Läser 22,5 av 30 hp denna termin"/>
    <n v="0"/>
    <n v="0"/>
    <n v="0"/>
    <n v="0"/>
    <n v="0"/>
    <n v="0"/>
    <n v="0"/>
    <n v="0"/>
    <n v="0"/>
    <n v="0"/>
    <n v="0"/>
    <n v="0"/>
    <n v="0.375"/>
    <n v="0.31874999999999998"/>
    <n v="0"/>
    <n v="0"/>
    <n v="0"/>
    <n v="0"/>
    <n v="0"/>
    <n v="0"/>
    <n v="0"/>
    <n v="0"/>
    <n v="0"/>
  </r>
  <r>
    <x v="105"/>
    <x v="101"/>
    <m/>
    <x v="1"/>
    <s v="H14"/>
    <x v="1"/>
    <s v="H1816-20:V191-15"/>
    <s v="Umeå"/>
    <m/>
    <s v="ENGS"/>
    <m/>
    <n v="100"/>
    <x v="6"/>
    <m/>
    <m/>
    <n v="1"/>
    <n v="0.375"/>
    <n v="0.85"/>
    <n v="0.31874999999999998"/>
    <n v="2180"/>
    <x v="0"/>
    <s v="Sam"/>
    <x v="1"/>
    <n v="18405"/>
    <n v="15773"/>
    <n v="11929.518749999999"/>
    <n v="5800"/>
    <n v="2175"/>
    <n v="14104.518749999999"/>
    <n v="0"/>
    <n v="0"/>
    <n v="0"/>
    <n v="0"/>
    <n v="0"/>
    <n v="0"/>
    <n v="1"/>
    <n v="0"/>
    <n v="0"/>
    <n v="0"/>
    <n v="0"/>
    <n v="0"/>
    <s v="Enl Ladok 190318"/>
    <s v="Läser 22,5 av 30 hp denna termin"/>
    <n v="0"/>
    <n v="0"/>
    <n v="0"/>
    <n v="0"/>
    <n v="0"/>
    <n v="0"/>
    <n v="0"/>
    <n v="0"/>
    <n v="0"/>
    <n v="0"/>
    <n v="0"/>
    <n v="0"/>
    <n v="0.375"/>
    <n v="0.31874999999999998"/>
    <n v="0"/>
    <n v="0"/>
    <n v="0"/>
    <n v="0"/>
    <n v="0"/>
    <n v="0"/>
    <n v="0"/>
    <n v="0"/>
    <n v="0"/>
  </r>
  <r>
    <x v="105"/>
    <x v="101"/>
    <m/>
    <x v="1"/>
    <s v="H14"/>
    <x v="1"/>
    <s v="H1816-20:V191-15"/>
    <s v="Umeå"/>
    <m/>
    <s v="IDRH"/>
    <m/>
    <n v="100"/>
    <x v="6"/>
    <m/>
    <m/>
    <n v="8"/>
    <n v="3"/>
    <n v="0.85"/>
    <n v="2.5499999999999998"/>
    <n v="2180"/>
    <x v="0"/>
    <s v="Sam"/>
    <x v="1"/>
    <n v="18405"/>
    <n v="15773"/>
    <n v="95436.15"/>
    <n v="5800"/>
    <n v="17400"/>
    <n v="112836.15"/>
    <n v="0"/>
    <n v="0"/>
    <n v="0"/>
    <n v="0"/>
    <n v="0"/>
    <n v="0"/>
    <n v="1"/>
    <n v="0"/>
    <n v="0"/>
    <n v="0"/>
    <n v="0"/>
    <n v="0"/>
    <s v="Enl Ladok 190318"/>
    <s v="Läser 22,5 av 30 hp denna termin"/>
    <n v="0"/>
    <n v="0"/>
    <n v="0"/>
    <n v="0"/>
    <n v="0"/>
    <n v="0"/>
    <n v="0"/>
    <n v="0"/>
    <n v="0"/>
    <n v="0"/>
    <n v="0"/>
    <n v="0"/>
    <n v="3"/>
    <n v="2.5499999999999998"/>
    <n v="0"/>
    <n v="0"/>
    <n v="0"/>
    <n v="0"/>
    <n v="0"/>
    <n v="0"/>
    <n v="0"/>
    <n v="0"/>
    <n v="0"/>
  </r>
  <r>
    <x v="105"/>
    <x v="101"/>
    <m/>
    <x v="1"/>
    <s v="H15"/>
    <x v="1"/>
    <s v="H1816-20:V191-15"/>
    <s v="Umeå"/>
    <m/>
    <s v="IDRH"/>
    <m/>
    <n v="100"/>
    <x v="6"/>
    <m/>
    <m/>
    <n v="1"/>
    <n v="0.375"/>
    <n v="0.85"/>
    <n v="0.31874999999999998"/>
    <n v="2180"/>
    <x v="0"/>
    <s v="Sam"/>
    <x v="1"/>
    <n v="18405"/>
    <n v="15773"/>
    <n v="11929.518749999999"/>
    <n v="5800"/>
    <n v="2175"/>
    <n v="14104.518749999999"/>
    <n v="0"/>
    <n v="0"/>
    <n v="0"/>
    <n v="0"/>
    <n v="0"/>
    <n v="0"/>
    <n v="1"/>
    <n v="0"/>
    <n v="0"/>
    <n v="0"/>
    <n v="0"/>
    <n v="0"/>
    <s v="Enl Ladok 190318"/>
    <s v="Läser 22,5 av 30 hp denna termin"/>
    <n v="0"/>
    <n v="0"/>
    <n v="0"/>
    <n v="0"/>
    <n v="0"/>
    <n v="0"/>
    <n v="0"/>
    <n v="0"/>
    <n v="0"/>
    <n v="0"/>
    <n v="0"/>
    <n v="0"/>
    <n v="0.375"/>
    <n v="0.31874999999999998"/>
    <n v="0"/>
    <n v="0"/>
    <n v="0"/>
    <n v="0"/>
    <n v="0"/>
    <n v="0"/>
    <n v="0"/>
    <n v="0"/>
    <n v="0"/>
  </r>
  <r>
    <x v="105"/>
    <x v="101"/>
    <m/>
    <x v="1"/>
    <s v="H15"/>
    <x v="2"/>
    <s v="H1916-20:V201-15"/>
    <m/>
    <m/>
    <s v="IDRH"/>
    <m/>
    <n v="100"/>
    <x v="0"/>
    <m/>
    <m/>
    <n v="8"/>
    <n v="1"/>
    <n v="0.85"/>
    <n v="0.85"/>
    <n v="2180"/>
    <x v="0"/>
    <s v="Sam"/>
    <x v="1"/>
    <n v="18405"/>
    <n v="15773"/>
    <n v="31812.05"/>
    <n v="5800"/>
    <n v="5800"/>
    <n v="37612.050000000003"/>
    <n v="0"/>
    <n v="0"/>
    <n v="0"/>
    <n v="0"/>
    <n v="0"/>
    <n v="0"/>
    <n v="1"/>
    <n v="0"/>
    <n v="0"/>
    <n v="0"/>
    <n v="0"/>
    <n v="0"/>
    <s v="Enligt SP 190924"/>
    <s v="Läser 7,5 av 30 denna termin"/>
    <n v="0"/>
    <n v="0"/>
    <n v="0"/>
    <n v="0"/>
    <n v="0"/>
    <n v="0"/>
    <n v="0"/>
    <n v="0"/>
    <n v="0"/>
    <n v="0"/>
    <n v="0"/>
    <n v="0"/>
    <n v="1"/>
    <n v="0.85"/>
    <n v="0"/>
    <n v="0"/>
    <n v="0"/>
    <n v="0"/>
    <n v="0"/>
    <n v="0"/>
    <n v="0"/>
    <n v="0"/>
    <n v="0"/>
  </r>
  <r>
    <x v="105"/>
    <x v="101"/>
    <m/>
    <x v="1"/>
    <s v="H17"/>
    <x v="2"/>
    <s v="H1916-20:V201-15"/>
    <m/>
    <m/>
    <s v="IDRH"/>
    <m/>
    <n v="100"/>
    <x v="0"/>
    <m/>
    <m/>
    <n v="2"/>
    <n v="0.25"/>
    <n v="0.85"/>
    <n v="0.21249999999999999"/>
    <n v="2180"/>
    <x v="0"/>
    <s v="Sam"/>
    <x v="1"/>
    <n v="18405"/>
    <n v="15773"/>
    <n v="7953.0124999999998"/>
    <n v="5800"/>
    <n v="1450"/>
    <n v="9403.0125000000007"/>
    <n v="0"/>
    <n v="0"/>
    <n v="0"/>
    <n v="0"/>
    <n v="0"/>
    <n v="0"/>
    <n v="1"/>
    <n v="0"/>
    <n v="0"/>
    <n v="0"/>
    <n v="0"/>
    <n v="0"/>
    <s v="Enligt SP 190924"/>
    <s v="Läser 7,5 av 30 denna termin"/>
    <n v="0"/>
    <n v="0"/>
    <n v="0"/>
    <n v="0"/>
    <n v="0"/>
    <n v="0"/>
    <n v="0"/>
    <n v="0"/>
    <n v="0"/>
    <n v="0"/>
    <n v="0"/>
    <n v="0"/>
    <n v="0.25"/>
    <n v="0.21249999999999999"/>
    <n v="0"/>
    <n v="0"/>
    <n v="0"/>
    <n v="0"/>
    <n v="0"/>
    <n v="0"/>
    <n v="0"/>
    <n v="0"/>
    <n v="0"/>
  </r>
  <r>
    <x v="106"/>
    <x v="102"/>
    <m/>
    <x v="0"/>
    <m/>
    <x v="2"/>
    <m/>
    <m/>
    <s v="Campus"/>
    <m/>
    <m/>
    <n v="100"/>
    <x v="1"/>
    <m/>
    <m/>
    <n v="5"/>
    <n v="1.25"/>
    <n v="0.8"/>
    <n v="1"/>
    <n v="2180"/>
    <x v="0"/>
    <s v="Sam"/>
    <x v="0"/>
    <n v="15846"/>
    <n v="26926"/>
    <n v="46733.5"/>
    <n v="17300"/>
    <n v="21625"/>
    <n v="68358.5"/>
    <n v="0"/>
    <n v="0"/>
    <n v="0"/>
    <n v="0"/>
    <n v="0"/>
    <n v="0"/>
    <n v="0"/>
    <n v="0"/>
    <n v="0"/>
    <n v="0"/>
    <n v="1"/>
    <n v="0"/>
    <s v="Äskat - Beslut p43 180607"/>
    <m/>
    <n v="0"/>
    <n v="0"/>
    <n v="0"/>
    <n v="0"/>
    <n v="0"/>
    <n v="0"/>
    <n v="0"/>
    <n v="0"/>
    <n v="0"/>
    <n v="0"/>
    <n v="0"/>
    <n v="0"/>
    <n v="0"/>
    <n v="0"/>
    <n v="0"/>
    <n v="0"/>
    <n v="0"/>
    <n v="0"/>
    <n v="0"/>
    <n v="1.25"/>
    <n v="1"/>
    <n v="0"/>
    <n v="0"/>
  </r>
  <r>
    <x v="106"/>
    <x v="102"/>
    <m/>
    <x v="8"/>
    <s v="H17"/>
    <x v="2"/>
    <s v="H191-10"/>
    <m/>
    <m/>
    <m/>
    <m/>
    <n v="100"/>
    <x v="1"/>
    <m/>
    <m/>
    <n v="8"/>
    <n v="2"/>
    <n v="0.85"/>
    <n v="1.7"/>
    <n v="2180"/>
    <x v="0"/>
    <s v="Sam"/>
    <x v="8"/>
    <n v="15846"/>
    <n v="26926"/>
    <n v="77466.2"/>
    <n v="17300"/>
    <n v="34600"/>
    <n v="112066.2"/>
    <n v="0"/>
    <n v="0"/>
    <n v="0"/>
    <n v="0"/>
    <n v="0"/>
    <n v="0"/>
    <n v="0"/>
    <n v="0"/>
    <n v="0"/>
    <n v="0"/>
    <n v="1"/>
    <n v="0"/>
    <s v="Enligt SP 190924"/>
    <m/>
    <n v="0"/>
    <n v="0"/>
    <n v="0"/>
    <n v="0"/>
    <n v="0"/>
    <n v="0"/>
    <n v="0"/>
    <n v="0"/>
    <n v="0"/>
    <n v="0"/>
    <n v="0"/>
    <n v="0"/>
    <n v="0"/>
    <n v="0"/>
    <n v="0"/>
    <n v="0"/>
    <n v="0"/>
    <n v="0"/>
    <n v="0"/>
    <n v="2"/>
    <n v="1.7"/>
    <n v="0"/>
    <n v="0"/>
  </r>
  <r>
    <x v="106"/>
    <x v="102"/>
    <m/>
    <x v="8"/>
    <s v="H18"/>
    <x v="2"/>
    <s v="H191-10"/>
    <m/>
    <m/>
    <m/>
    <m/>
    <n v="100"/>
    <x v="1"/>
    <m/>
    <m/>
    <n v="1"/>
    <n v="0.25"/>
    <n v="0.85"/>
    <n v="0.21249999999999999"/>
    <n v="2180"/>
    <x v="0"/>
    <s v="Sam"/>
    <x v="8"/>
    <n v="15846"/>
    <n v="26926"/>
    <n v="9683.2749999999996"/>
    <n v="17300"/>
    <n v="4325"/>
    <n v="14008.275"/>
    <n v="0"/>
    <n v="0"/>
    <n v="0"/>
    <n v="0"/>
    <n v="0"/>
    <n v="0"/>
    <n v="0"/>
    <n v="0"/>
    <n v="0"/>
    <n v="0"/>
    <n v="1"/>
    <n v="0"/>
    <s v="Enligt SP 190924"/>
    <m/>
    <n v="0"/>
    <n v="0"/>
    <n v="0"/>
    <n v="0"/>
    <n v="0"/>
    <n v="0"/>
    <n v="0"/>
    <n v="0"/>
    <n v="0"/>
    <n v="0"/>
    <n v="0"/>
    <n v="0"/>
    <n v="0"/>
    <n v="0"/>
    <n v="0"/>
    <n v="0"/>
    <n v="0"/>
    <n v="0"/>
    <n v="0"/>
    <n v="0.25"/>
    <n v="0.21249999999999999"/>
    <n v="0"/>
    <n v="0"/>
  </r>
  <r>
    <x v="107"/>
    <x v="103"/>
    <m/>
    <x v="0"/>
    <m/>
    <x v="2"/>
    <m/>
    <m/>
    <s v="Campus"/>
    <m/>
    <m/>
    <n v="100"/>
    <x v="1"/>
    <m/>
    <m/>
    <n v="5"/>
    <n v="1.25"/>
    <n v="0.8"/>
    <n v="1"/>
    <n v="2180"/>
    <x v="0"/>
    <s v="Sam"/>
    <x v="0"/>
    <n v="15846"/>
    <n v="26926"/>
    <n v="46733.5"/>
    <n v="17300"/>
    <n v="21625"/>
    <n v="68358.5"/>
    <n v="0"/>
    <n v="0"/>
    <n v="0"/>
    <n v="0"/>
    <n v="0"/>
    <n v="0"/>
    <n v="0"/>
    <n v="0"/>
    <n v="0"/>
    <n v="0"/>
    <n v="1"/>
    <n v="0"/>
    <s v="Äskat - Beslut p43 180607"/>
    <m/>
    <n v="0"/>
    <n v="0"/>
    <n v="0"/>
    <n v="0"/>
    <n v="0"/>
    <n v="0"/>
    <n v="0"/>
    <n v="0"/>
    <n v="0"/>
    <n v="0"/>
    <n v="0"/>
    <n v="0"/>
    <n v="0"/>
    <n v="0"/>
    <n v="0"/>
    <n v="0"/>
    <n v="0"/>
    <n v="0"/>
    <n v="0"/>
    <n v="1.25"/>
    <n v="1"/>
    <n v="0"/>
    <n v="0"/>
  </r>
  <r>
    <x v="107"/>
    <x v="103"/>
    <m/>
    <x v="8"/>
    <s v="H18"/>
    <x v="2"/>
    <s v="H1911-20"/>
    <m/>
    <m/>
    <m/>
    <m/>
    <n v="100"/>
    <x v="1"/>
    <m/>
    <m/>
    <n v="18"/>
    <n v="4.5"/>
    <n v="0.85"/>
    <n v="3.8249999999999997"/>
    <n v="2180"/>
    <x v="0"/>
    <s v="Sam"/>
    <x v="8"/>
    <n v="15846"/>
    <n v="26926"/>
    <n v="174298.95"/>
    <n v="17300"/>
    <n v="77850"/>
    <n v="252148.95"/>
    <n v="0"/>
    <n v="0"/>
    <n v="0"/>
    <n v="0"/>
    <n v="0"/>
    <n v="0"/>
    <n v="0"/>
    <n v="0"/>
    <n v="0"/>
    <n v="0"/>
    <n v="1"/>
    <n v="0"/>
    <s v="Enligt SP 190924"/>
    <m/>
    <n v="0"/>
    <n v="0"/>
    <n v="0"/>
    <n v="0"/>
    <n v="0"/>
    <n v="0"/>
    <n v="0"/>
    <n v="0"/>
    <n v="0"/>
    <n v="0"/>
    <n v="0"/>
    <n v="0"/>
    <n v="0"/>
    <n v="0"/>
    <n v="0"/>
    <n v="0"/>
    <n v="0"/>
    <n v="0"/>
    <n v="0"/>
    <n v="4.5"/>
    <n v="3.8249999999999997"/>
    <n v="0"/>
    <n v="0"/>
  </r>
  <r>
    <x v="108"/>
    <x v="104"/>
    <m/>
    <x v="0"/>
    <m/>
    <x v="1"/>
    <m/>
    <m/>
    <s v="Campus"/>
    <m/>
    <m/>
    <n v="100"/>
    <x v="7"/>
    <m/>
    <m/>
    <n v="4"/>
    <n v="2"/>
    <n v="0.8"/>
    <n v="1.6"/>
    <n v="2180"/>
    <x v="0"/>
    <s v="Sam"/>
    <x v="0"/>
    <n v="45034"/>
    <n v="31547"/>
    <n v="140543.20000000001"/>
    <n v="34500"/>
    <n v="69000"/>
    <n v="209543.2"/>
    <n v="0"/>
    <n v="0"/>
    <n v="1"/>
    <n v="0"/>
    <n v="0"/>
    <n v="0"/>
    <n v="0"/>
    <n v="0"/>
    <n v="0"/>
    <n v="0"/>
    <n v="0"/>
    <n v="0"/>
    <s v="Enl Ladok 190515"/>
    <s v="Äskat - Beslut p43 180607"/>
    <n v="0"/>
    <n v="0"/>
    <n v="0"/>
    <n v="0"/>
    <n v="2"/>
    <n v="1.6"/>
    <n v="0"/>
    <n v="0"/>
    <n v="0"/>
    <n v="0"/>
    <n v="0"/>
    <n v="0"/>
    <n v="0"/>
    <n v="0"/>
    <n v="0"/>
    <n v="0"/>
    <n v="0"/>
    <n v="0"/>
    <n v="0"/>
    <n v="0"/>
    <n v="0"/>
    <n v="0"/>
    <n v="0"/>
  </r>
  <r>
    <x v="108"/>
    <x v="104"/>
    <m/>
    <x v="1"/>
    <s v="H15"/>
    <x v="1"/>
    <s v="V191-20"/>
    <s v="Umeå"/>
    <m/>
    <s v="RELK"/>
    <m/>
    <n v="100"/>
    <x v="7"/>
    <m/>
    <m/>
    <n v="1"/>
    <n v="0.5"/>
    <n v="0.85"/>
    <n v="0.42499999999999999"/>
    <n v="2180"/>
    <x v="0"/>
    <s v="Sam"/>
    <x v="1"/>
    <n v="45034"/>
    <n v="31547"/>
    <n v="35924.474999999999"/>
    <n v="34500"/>
    <n v="17250"/>
    <n v="53174.474999999999"/>
    <n v="0"/>
    <n v="0"/>
    <n v="1"/>
    <n v="0"/>
    <n v="0"/>
    <n v="0"/>
    <n v="0"/>
    <n v="0"/>
    <n v="0"/>
    <n v="0"/>
    <n v="0"/>
    <n v="0"/>
    <s v="Enl Ladok 190318"/>
    <m/>
    <n v="0"/>
    <n v="0"/>
    <n v="0"/>
    <n v="0"/>
    <n v="0.5"/>
    <n v="0.42499999999999999"/>
    <n v="0"/>
    <n v="0"/>
    <n v="0"/>
    <n v="0"/>
    <n v="0"/>
    <n v="0"/>
    <n v="0"/>
    <n v="0"/>
    <n v="0"/>
    <n v="0"/>
    <n v="0"/>
    <n v="0"/>
    <n v="0"/>
    <n v="0"/>
    <n v="0"/>
    <n v="0"/>
    <n v="0"/>
  </r>
  <r>
    <x v="108"/>
    <x v="104"/>
    <m/>
    <x v="1"/>
    <s v="H16"/>
    <x v="1"/>
    <s v="V191-20"/>
    <s v="Umeå"/>
    <m/>
    <s v="ENGS"/>
    <m/>
    <n v="100"/>
    <x v="7"/>
    <m/>
    <m/>
    <n v="3"/>
    <n v="1.5"/>
    <n v="0.85"/>
    <n v="1.2749999999999999"/>
    <n v="2180"/>
    <x v="0"/>
    <s v="Sam"/>
    <x v="1"/>
    <n v="45034"/>
    <n v="31547"/>
    <n v="107773.42499999999"/>
    <n v="34500"/>
    <n v="51750"/>
    <n v="159523.42499999999"/>
    <n v="0"/>
    <n v="0"/>
    <n v="1"/>
    <n v="0"/>
    <n v="0"/>
    <n v="0"/>
    <n v="0"/>
    <n v="0"/>
    <n v="0"/>
    <n v="0"/>
    <n v="0"/>
    <n v="0"/>
    <s v="Enl Ladok 190318"/>
    <m/>
    <n v="0"/>
    <n v="0"/>
    <n v="0"/>
    <n v="0"/>
    <n v="1.5"/>
    <n v="1.2749999999999999"/>
    <n v="0"/>
    <n v="0"/>
    <n v="0"/>
    <n v="0"/>
    <n v="0"/>
    <n v="0"/>
    <n v="0"/>
    <n v="0"/>
    <n v="0"/>
    <n v="0"/>
    <n v="0"/>
    <n v="0"/>
    <n v="0"/>
    <n v="0"/>
    <n v="0"/>
    <n v="0"/>
    <n v="0"/>
  </r>
  <r>
    <x v="108"/>
    <x v="104"/>
    <m/>
    <x v="1"/>
    <s v="H16"/>
    <x v="1"/>
    <s v="V191-20"/>
    <s v="Umeå"/>
    <m/>
    <s v="SVAA"/>
    <m/>
    <n v="100"/>
    <x v="7"/>
    <m/>
    <m/>
    <n v="1"/>
    <n v="0.5"/>
    <n v="0.85"/>
    <n v="0.42499999999999999"/>
    <n v="2180"/>
    <x v="0"/>
    <s v="Sam"/>
    <x v="1"/>
    <n v="45034"/>
    <n v="31547"/>
    <n v="35924.474999999999"/>
    <n v="34500"/>
    <n v="17250"/>
    <n v="53174.474999999999"/>
    <n v="0"/>
    <n v="0"/>
    <n v="1"/>
    <n v="0"/>
    <n v="0"/>
    <n v="0"/>
    <n v="0"/>
    <n v="0"/>
    <n v="0"/>
    <n v="0"/>
    <n v="0"/>
    <n v="0"/>
    <s v="Enl Ladok 190318"/>
    <m/>
    <n v="0"/>
    <n v="0"/>
    <n v="0"/>
    <n v="0"/>
    <n v="0.5"/>
    <n v="0.42499999999999999"/>
    <n v="0"/>
    <n v="0"/>
    <n v="0"/>
    <n v="0"/>
    <n v="0"/>
    <n v="0"/>
    <n v="0"/>
    <n v="0"/>
    <n v="0"/>
    <n v="0"/>
    <n v="0"/>
    <n v="0"/>
    <n v="0"/>
    <n v="0"/>
    <n v="0"/>
    <n v="0"/>
    <n v="0"/>
  </r>
  <r>
    <x v="108"/>
    <x v="104"/>
    <m/>
    <x v="1"/>
    <s v="H17"/>
    <x v="1"/>
    <s v="V191-20"/>
    <s v="Umeå"/>
    <m/>
    <s v="IDRH"/>
    <m/>
    <n v="100"/>
    <x v="7"/>
    <m/>
    <m/>
    <n v="0"/>
    <n v="0"/>
    <n v="0.85"/>
    <n v="0"/>
    <n v="2180"/>
    <x v="0"/>
    <s v="Sam"/>
    <x v="1"/>
    <n v="45034"/>
    <n v="31547"/>
    <n v="0"/>
    <n v="34500"/>
    <n v="0"/>
    <n v="0"/>
    <n v="0"/>
    <n v="0"/>
    <n v="1"/>
    <n v="0"/>
    <n v="0"/>
    <n v="0"/>
    <n v="0"/>
    <n v="0"/>
    <n v="0"/>
    <n v="0"/>
    <n v="0"/>
    <n v="0"/>
    <s v="Enl Ladok 190318"/>
    <m/>
    <n v="0"/>
    <n v="0"/>
    <n v="0"/>
    <n v="0"/>
    <n v="0"/>
    <n v="0"/>
    <n v="0"/>
    <n v="0"/>
    <n v="0"/>
    <n v="0"/>
    <n v="0"/>
    <n v="0"/>
    <n v="0"/>
    <n v="0"/>
    <n v="0"/>
    <n v="0"/>
    <n v="0"/>
    <n v="0"/>
    <n v="0"/>
    <n v="0"/>
    <n v="0"/>
    <n v="0"/>
    <n v="0"/>
  </r>
  <r>
    <x v="108"/>
    <x v="104"/>
    <m/>
    <x v="1"/>
    <s v="H18"/>
    <x v="1"/>
    <s v="V191-20"/>
    <s v="Umeå"/>
    <m/>
    <s v="IDRH"/>
    <m/>
    <n v="100"/>
    <x v="7"/>
    <m/>
    <m/>
    <n v="20"/>
    <n v="10"/>
    <n v="0.85"/>
    <n v="8.5"/>
    <n v="2180"/>
    <x v="0"/>
    <s v="Sam"/>
    <x v="1"/>
    <n v="45034"/>
    <n v="31547"/>
    <n v="718489.5"/>
    <n v="34500"/>
    <n v="345000"/>
    <n v="1063489.5"/>
    <n v="0"/>
    <n v="0"/>
    <n v="1"/>
    <n v="0"/>
    <n v="0"/>
    <n v="0"/>
    <n v="0"/>
    <n v="0"/>
    <n v="0"/>
    <n v="0"/>
    <n v="0"/>
    <n v="0"/>
    <s v="Enl Ladok 190318"/>
    <m/>
    <n v="0"/>
    <n v="0"/>
    <n v="0"/>
    <n v="0"/>
    <n v="10"/>
    <n v="8.5"/>
    <n v="0"/>
    <n v="0"/>
    <n v="0"/>
    <n v="0"/>
    <n v="0"/>
    <n v="0"/>
    <n v="0"/>
    <n v="0"/>
    <n v="0"/>
    <n v="0"/>
    <n v="0"/>
    <n v="0"/>
    <n v="0"/>
    <n v="0"/>
    <n v="0"/>
    <n v="0"/>
    <n v="0"/>
  </r>
  <r>
    <x v="109"/>
    <x v="105"/>
    <m/>
    <x v="0"/>
    <m/>
    <x v="1"/>
    <m/>
    <m/>
    <s v="Campus"/>
    <m/>
    <m/>
    <n v="100"/>
    <x v="7"/>
    <m/>
    <m/>
    <n v="3"/>
    <n v="1.5"/>
    <n v="0.8"/>
    <n v="1.2000000000000002"/>
    <n v="2180"/>
    <x v="0"/>
    <s v="Sam"/>
    <x v="0"/>
    <n v="45034"/>
    <n v="31547"/>
    <n v="105407.40000000001"/>
    <n v="34500"/>
    <n v="51750"/>
    <n v="157157.40000000002"/>
    <n v="0"/>
    <n v="0"/>
    <n v="1"/>
    <n v="0"/>
    <n v="0"/>
    <n v="0"/>
    <n v="0"/>
    <n v="0"/>
    <n v="0"/>
    <n v="0"/>
    <n v="0"/>
    <n v="0"/>
    <s v="Enl Ladok 190515"/>
    <s v="Äskat - Beslut p43 180607"/>
    <n v="0"/>
    <n v="0"/>
    <n v="0"/>
    <n v="0"/>
    <n v="1.5"/>
    <n v="1.2000000000000002"/>
    <n v="0"/>
    <n v="0"/>
    <n v="0"/>
    <n v="0"/>
    <n v="0"/>
    <n v="0"/>
    <n v="0"/>
    <n v="0"/>
    <n v="0"/>
    <n v="0"/>
    <n v="0"/>
    <n v="0"/>
    <n v="0"/>
    <n v="0"/>
    <n v="0"/>
    <n v="0"/>
    <n v="0"/>
  </r>
  <r>
    <x v="109"/>
    <x v="105"/>
    <m/>
    <x v="1"/>
    <s v="H15"/>
    <x v="1"/>
    <s v="V191-20"/>
    <s v="Umeå"/>
    <m/>
    <s v="ENGS"/>
    <m/>
    <n v="100"/>
    <x v="7"/>
    <m/>
    <m/>
    <n v="1"/>
    <n v="0.5"/>
    <n v="0.85"/>
    <n v="0.42499999999999999"/>
    <n v="2180"/>
    <x v="0"/>
    <s v="Sam"/>
    <x v="1"/>
    <n v="45034"/>
    <n v="31547"/>
    <n v="35924.474999999999"/>
    <n v="34500"/>
    <n v="17250"/>
    <n v="53174.474999999999"/>
    <n v="0"/>
    <n v="0"/>
    <n v="1"/>
    <n v="0"/>
    <n v="0"/>
    <n v="0"/>
    <n v="0"/>
    <n v="0"/>
    <n v="0"/>
    <n v="0"/>
    <n v="0"/>
    <n v="0"/>
    <s v="Enl Ladok 190318"/>
    <m/>
    <n v="0"/>
    <n v="0"/>
    <n v="0"/>
    <n v="0"/>
    <n v="0.5"/>
    <n v="0.42499999999999999"/>
    <n v="0"/>
    <n v="0"/>
    <n v="0"/>
    <n v="0"/>
    <n v="0"/>
    <n v="0"/>
    <n v="0"/>
    <n v="0"/>
    <n v="0"/>
    <n v="0"/>
    <n v="0"/>
    <n v="0"/>
    <n v="0"/>
    <n v="0"/>
    <n v="0"/>
    <n v="0"/>
    <n v="0"/>
  </r>
  <r>
    <x v="109"/>
    <x v="105"/>
    <m/>
    <x v="1"/>
    <s v="H15"/>
    <x v="1"/>
    <s v="V191-20"/>
    <s v="Umeå"/>
    <m/>
    <s v="MUSI"/>
    <m/>
    <n v="100"/>
    <x v="7"/>
    <m/>
    <m/>
    <n v="0"/>
    <n v="0"/>
    <n v="0.85"/>
    <n v="0"/>
    <n v="2180"/>
    <x v="0"/>
    <s v="Sam"/>
    <x v="1"/>
    <n v="45034"/>
    <n v="31547"/>
    <n v="0"/>
    <n v="34500"/>
    <n v="0"/>
    <n v="0"/>
    <n v="0"/>
    <n v="0"/>
    <n v="1"/>
    <n v="0"/>
    <n v="0"/>
    <n v="0"/>
    <n v="0"/>
    <n v="0"/>
    <n v="0"/>
    <n v="0"/>
    <n v="0"/>
    <n v="0"/>
    <s v="Enl Ladok 190318"/>
    <m/>
    <n v="0"/>
    <n v="0"/>
    <n v="0"/>
    <n v="0"/>
    <n v="0"/>
    <n v="0"/>
    <n v="0"/>
    <n v="0"/>
    <n v="0"/>
    <n v="0"/>
    <n v="0"/>
    <n v="0"/>
    <n v="0"/>
    <n v="0"/>
    <n v="0"/>
    <n v="0"/>
    <n v="0"/>
    <n v="0"/>
    <n v="0"/>
    <n v="0"/>
    <n v="0"/>
    <n v="0"/>
    <n v="0"/>
  </r>
  <r>
    <x v="109"/>
    <x v="105"/>
    <m/>
    <x v="1"/>
    <s v="H15"/>
    <x v="1"/>
    <s v="V191-20"/>
    <s v="Umeå"/>
    <m/>
    <s v="RELK"/>
    <m/>
    <n v="100"/>
    <x v="7"/>
    <m/>
    <m/>
    <n v="1"/>
    <n v="0.5"/>
    <n v="0.85"/>
    <n v="0.42499999999999999"/>
    <n v="2180"/>
    <x v="0"/>
    <s v="Sam"/>
    <x v="1"/>
    <n v="45034"/>
    <n v="31547"/>
    <n v="35924.474999999999"/>
    <n v="34500"/>
    <n v="17250"/>
    <n v="53174.474999999999"/>
    <n v="0"/>
    <n v="0"/>
    <n v="1"/>
    <n v="0"/>
    <n v="0"/>
    <n v="0"/>
    <n v="0"/>
    <n v="0"/>
    <n v="0"/>
    <n v="0"/>
    <n v="0"/>
    <n v="0"/>
    <s v="Enl Ladok 190318"/>
    <m/>
    <n v="0"/>
    <n v="0"/>
    <n v="0"/>
    <n v="0"/>
    <n v="0.5"/>
    <n v="0.42499999999999999"/>
    <n v="0"/>
    <n v="0"/>
    <n v="0"/>
    <n v="0"/>
    <n v="0"/>
    <n v="0"/>
    <n v="0"/>
    <n v="0"/>
    <n v="0"/>
    <n v="0"/>
    <n v="0"/>
    <n v="0"/>
    <n v="0"/>
    <n v="0"/>
    <n v="0"/>
    <n v="0"/>
    <n v="0"/>
  </r>
  <r>
    <x v="109"/>
    <x v="105"/>
    <m/>
    <x v="1"/>
    <s v="H17"/>
    <x v="1"/>
    <s v="V191-20"/>
    <s v="Umeå"/>
    <m/>
    <s v="IDRH"/>
    <m/>
    <n v="100"/>
    <x v="7"/>
    <m/>
    <m/>
    <n v="17"/>
    <n v="8.5"/>
    <n v="0.85"/>
    <n v="7.2249999999999996"/>
    <n v="2180"/>
    <x v="0"/>
    <s v="Sam"/>
    <x v="1"/>
    <n v="45034"/>
    <n v="31547"/>
    <n v="610716.07499999995"/>
    <n v="34500"/>
    <n v="293250"/>
    <n v="903966.07499999995"/>
    <n v="0"/>
    <n v="0"/>
    <n v="1"/>
    <n v="0"/>
    <n v="0"/>
    <n v="0"/>
    <n v="0"/>
    <n v="0"/>
    <n v="0"/>
    <n v="0"/>
    <n v="0"/>
    <n v="0"/>
    <s v="Enl Ladok 190318"/>
    <m/>
    <n v="0"/>
    <n v="0"/>
    <n v="0"/>
    <n v="0"/>
    <n v="8.5"/>
    <n v="7.2249999999999996"/>
    <n v="0"/>
    <n v="0"/>
    <n v="0"/>
    <n v="0"/>
    <n v="0"/>
    <n v="0"/>
    <n v="0"/>
    <n v="0"/>
    <n v="0"/>
    <n v="0"/>
    <n v="0"/>
    <n v="0"/>
    <n v="0"/>
    <n v="0"/>
    <n v="0"/>
    <n v="0"/>
    <n v="0"/>
  </r>
  <r>
    <x v="110"/>
    <x v="106"/>
    <m/>
    <x v="0"/>
    <m/>
    <x v="2"/>
    <m/>
    <m/>
    <s v="Campus"/>
    <m/>
    <m/>
    <n v="100"/>
    <x v="7"/>
    <m/>
    <m/>
    <n v="5"/>
    <n v="2.5"/>
    <n v="0.8"/>
    <n v="2"/>
    <n v="2180"/>
    <x v="0"/>
    <s v="Sam"/>
    <x v="0"/>
    <n v="45034"/>
    <n v="31547"/>
    <n v="175679"/>
    <n v="34500"/>
    <n v="86250"/>
    <n v="261929"/>
    <n v="0"/>
    <n v="0"/>
    <n v="1"/>
    <n v="0"/>
    <n v="0"/>
    <n v="0"/>
    <n v="0"/>
    <n v="0"/>
    <n v="0"/>
    <n v="0"/>
    <n v="0"/>
    <n v="0"/>
    <s v="Äskat - Beslut p43 180607"/>
    <m/>
    <n v="0"/>
    <n v="0"/>
    <n v="0"/>
    <n v="0"/>
    <n v="2.5"/>
    <n v="2"/>
    <n v="0"/>
    <n v="0"/>
    <n v="0"/>
    <n v="0"/>
    <n v="0"/>
    <n v="0"/>
    <n v="0"/>
    <n v="0"/>
    <n v="0"/>
    <n v="0"/>
    <n v="0"/>
    <n v="0"/>
    <n v="0"/>
    <n v="0"/>
    <n v="0"/>
    <n v="0"/>
    <n v="0"/>
  </r>
  <r>
    <x v="110"/>
    <x v="106"/>
    <m/>
    <x v="1"/>
    <s v="H15"/>
    <x v="2"/>
    <s v="H191-20"/>
    <m/>
    <m/>
    <s v="RELK"/>
    <m/>
    <n v="100"/>
    <x v="7"/>
    <m/>
    <m/>
    <n v="1"/>
    <n v="0.5"/>
    <n v="0.85"/>
    <n v="0.42499999999999999"/>
    <n v="2180"/>
    <x v="0"/>
    <s v="Sam"/>
    <x v="1"/>
    <n v="45034"/>
    <n v="31547"/>
    <n v="35924.474999999999"/>
    <n v="34500"/>
    <n v="17250"/>
    <n v="53174.474999999999"/>
    <n v="0"/>
    <n v="0"/>
    <n v="1"/>
    <n v="0"/>
    <n v="0"/>
    <n v="0"/>
    <n v="0"/>
    <n v="0"/>
    <n v="0"/>
    <n v="0"/>
    <n v="0"/>
    <n v="0"/>
    <s v="Enligt SP 190924"/>
    <m/>
    <n v="0"/>
    <n v="0"/>
    <n v="0"/>
    <n v="0"/>
    <n v="0.5"/>
    <n v="0.42499999999999999"/>
    <n v="0"/>
    <n v="0"/>
    <n v="0"/>
    <n v="0"/>
    <n v="0"/>
    <n v="0"/>
    <n v="0"/>
    <n v="0"/>
    <n v="0"/>
    <n v="0"/>
    <n v="0"/>
    <n v="0"/>
    <n v="0"/>
    <n v="0"/>
    <n v="0"/>
    <n v="0"/>
    <n v="0"/>
  </r>
  <r>
    <x v="110"/>
    <x v="106"/>
    <m/>
    <x v="1"/>
    <s v="H16"/>
    <x v="2"/>
    <s v="H191-20"/>
    <m/>
    <m/>
    <s v="ENGS"/>
    <m/>
    <n v="100"/>
    <x v="7"/>
    <m/>
    <m/>
    <n v="3"/>
    <n v="1.5"/>
    <n v="0.85"/>
    <n v="1.2749999999999999"/>
    <n v="2180"/>
    <x v="0"/>
    <s v="Sam"/>
    <x v="1"/>
    <n v="45034"/>
    <n v="31547"/>
    <n v="107773.42499999999"/>
    <n v="34500"/>
    <n v="51750"/>
    <n v="159523.42499999999"/>
    <n v="0"/>
    <n v="0"/>
    <n v="1"/>
    <n v="0"/>
    <n v="0"/>
    <n v="0"/>
    <n v="0"/>
    <n v="0"/>
    <n v="0"/>
    <n v="0"/>
    <n v="0"/>
    <n v="0"/>
    <s v="Enligt SP 190924"/>
    <m/>
    <n v="0"/>
    <n v="0"/>
    <n v="0"/>
    <n v="0"/>
    <n v="1.5"/>
    <n v="1.2749999999999999"/>
    <n v="0"/>
    <n v="0"/>
    <n v="0"/>
    <n v="0"/>
    <n v="0"/>
    <n v="0"/>
    <n v="0"/>
    <n v="0"/>
    <n v="0"/>
    <n v="0"/>
    <n v="0"/>
    <n v="0"/>
    <n v="0"/>
    <n v="0"/>
    <n v="0"/>
    <n v="0"/>
    <n v="0"/>
  </r>
  <r>
    <x v="110"/>
    <x v="106"/>
    <m/>
    <x v="1"/>
    <s v="H16"/>
    <x v="2"/>
    <s v="H191-20"/>
    <m/>
    <m/>
    <s v="SVAA"/>
    <m/>
    <n v="100"/>
    <x v="7"/>
    <m/>
    <m/>
    <n v="1"/>
    <n v="0.5"/>
    <n v="0.85"/>
    <n v="0.42499999999999999"/>
    <n v="2180"/>
    <x v="0"/>
    <s v="Sam"/>
    <x v="1"/>
    <n v="45034"/>
    <n v="31547"/>
    <n v="35924.474999999999"/>
    <n v="34500"/>
    <n v="17250"/>
    <n v="53174.474999999999"/>
    <n v="0"/>
    <n v="0"/>
    <n v="1"/>
    <n v="0"/>
    <n v="0"/>
    <n v="0"/>
    <n v="0"/>
    <n v="0"/>
    <n v="0"/>
    <n v="0"/>
    <n v="0"/>
    <n v="0"/>
    <s v="Enligt SP 190924"/>
    <m/>
    <n v="0"/>
    <n v="0"/>
    <n v="0"/>
    <n v="0"/>
    <n v="0.5"/>
    <n v="0.42499999999999999"/>
    <n v="0"/>
    <n v="0"/>
    <n v="0"/>
    <n v="0"/>
    <n v="0"/>
    <n v="0"/>
    <n v="0"/>
    <n v="0"/>
    <n v="0"/>
    <n v="0"/>
    <n v="0"/>
    <n v="0"/>
    <n v="0"/>
    <n v="0"/>
    <n v="0"/>
    <n v="0"/>
    <n v="0"/>
  </r>
  <r>
    <x v="110"/>
    <x v="106"/>
    <m/>
    <x v="1"/>
    <s v="H17"/>
    <x v="2"/>
    <s v="H191-20"/>
    <m/>
    <m/>
    <s v="IDRH"/>
    <m/>
    <n v="100"/>
    <x v="7"/>
    <m/>
    <m/>
    <n v="1"/>
    <n v="0.5"/>
    <n v="0.85"/>
    <n v="0.42499999999999999"/>
    <n v="2180"/>
    <x v="0"/>
    <s v="Sam"/>
    <x v="1"/>
    <n v="45034"/>
    <n v="31547"/>
    <n v="35924.474999999999"/>
    <n v="34500"/>
    <n v="17250"/>
    <n v="53174.474999999999"/>
    <n v="0"/>
    <n v="0"/>
    <n v="1"/>
    <n v="0"/>
    <n v="0"/>
    <n v="0"/>
    <n v="0"/>
    <n v="0"/>
    <n v="0"/>
    <n v="0"/>
    <n v="0"/>
    <n v="0"/>
    <s v="Enligt SP 190924"/>
    <m/>
    <n v="0"/>
    <n v="0"/>
    <n v="0"/>
    <n v="0"/>
    <n v="0.5"/>
    <n v="0.42499999999999999"/>
    <n v="0"/>
    <n v="0"/>
    <n v="0"/>
    <n v="0"/>
    <n v="0"/>
    <n v="0"/>
    <n v="0"/>
    <n v="0"/>
    <n v="0"/>
    <n v="0"/>
    <n v="0"/>
    <n v="0"/>
    <n v="0"/>
    <n v="0"/>
    <n v="0"/>
    <n v="0"/>
    <n v="0"/>
  </r>
  <r>
    <x v="110"/>
    <x v="106"/>
    <m/>
    <x v="1"/>
    <s v="H18"/>
    <x v="2"/>
    <s v="H191-20"/>
    <m/>
    <m/>
    <s v="IDRH"/>
    <m/>
    <n v="100"/>
    <x v="7"/>
    <m/>
    <m/>
    <n v="19"/>
    <n v="9.5"/>
    <n v="0.85"/>
    <n v="8.0749999999999993"/>
    <n v="2180"/>
    <x v="0"/>
    <s v="Sam"/>
    <x v="1"/>
    <n v="45034"/>
    <n v="31547"/>
    <n v="682565.02499999991"/>
    <n v="34500"/>
    <n v="327750"/>
    <n v="1010315.0249999999"/>
    <n v="0"/>
    <n v="0"/>
    <n v="1"/>
    <n v="0"/>
    <n v="0"/>
    <n v="0"/>
    <n v="0"/>
    <n v="0"/>
    <n v="0"/>
    <n v="0"/>
    <n v="0"/>
    <n v="0"/>
    <s v="Enligt SP 190924"/>
    <m/>
    <n v="0"/>
    <n v="0"/>
    <n v="0"/>
    <n v="0"/>
    <n v="9.5"/>
    <n v="8.0749999999999993"/>
    <n v="0"/>
    <n v="0"/>
    <n v="0"/>
    <n v="0"/>
    <n v="0"/>
    <n v="0"/>
    <n v="0"/>
    <n v="0"/>
    <n v="0"/>
    <n v="0"/>
    <n v="0"/>
    <n v="0"/>
    <n v="0"/>
    <n v="0"/>
    <n v="0"/>
    <n v="0"/>
    <n v="0"/>
  </r>
  <r>
    <x v="111"/>
    <x v="107"/>
    <m/>
    <x v="0"/>
    <m/>
    <x v="2"/>
    <m/>
    <m/>
    <s v="Distans"/>
    <m/>
    <m/>
    <n v="25"/>
    <x v="0"/>
    <m/>
    <m/>
    <n v="30"/>
    <n v="3.75"/>
    <n v="0.8"/>
    <n v="3"/>
    <n v="2193"/>
    <x v="1"/>
    <s v="Sam"/>
    <x v="0"/>
    <n v="18405"/>
    <n v="15773"/>
    <n v="116337.75"/>
    <n v="5800"/>
    <n v="21750"/>
    <n v="138087.75"/>
    <n v="0"/>
    <n v="0"/>
    <n v="0"/>
    <n v="0"/>
    <n v="0"/>
    <n v="0"/>
    <n v="1"/>
    <n v="0"/>
    <n v="0"/>
    <n v="0"/>
    <n v="0"/>
    <n v="0"/>
    <s v="Äskat - Beslut p43 180607"/>
    <m/>
    <n v="0"/>
    <n v="0"/>
    <n v="0"/>
    <n v="0"/>
    <n v="0"/>
    <n v="0"/>
    <n v="0"/>
    <n v="0"/>
    <n v="0"/>
    <n v="0"/>
    <n v="0"/>
    <n v="0"/>
    <n v="3.75"/>
    <n v="3"/>
    <n v="0"/>
    <n v="0"/>
    <n v="0"/>
    <n v="0"/>
    <n v="0"/>
    <n v="0"/>
    <n v="0"/>
    <n v="0"/>
    <n v="0"/>
  </r>
  <r>
    <x v="112"/>
    <x v="108"/>
    <m/>
    <x v="0"/>
    <m/>
    <x v="2"/>
    <m/>
    <m/>
    <s v="Distans"/>
    <m/>
    <m/>
    <n v="25"/>
    <x v="0"/>
    <m/>
    <m/>
    <n v="30"/>
    <n v="3.75"/>
    <n v="0.8"/>
    <n v="3"/>
    <n v="2193"/>
    <x v="1"/>
    <s v="Sam"/>
    <x v="0"/>
    <n v="18405"/>
    <n v="15773"/>
    <n v="116337.75"/>
    <n v="5800"/>
    <n v="21750"/>
    <n v="138087.75"/>
    <n v="0"/>
    <n v="0"/>
    <n v="0"/>
    <n v="0"/>
    <n v="0"/>
    <n v="0"/>
    <n v="1"/>
    <n v="0"/>
    <n v="0"/>
    <n v="0"/>
    <n v="0"/>
    <n v="0"/>
    <s v="Äskat - Beslut p43 180607"/>
    <m/>
    <n v="0"/>
    <n v="0"/>
    <n v="0"/>
    <n v="0"/>
    <n v="0"/>
    <n v="0"/>
    <n v="0"/>
    <n v="0"/>
    <n v="0"/>
    <n v="0"/>
    <n v="0"/>
    <n v="0"/>
    <n v="3.75"/>
    <n v="3"/>
    <n v="0"/>
    <n v="0"/>
    <n v="0"/>
    <n v="0"/>
    <n v="0"/>
    <n v="0"/>
    <n v="0"/>
    <n v="0"/>
    <n v="0"/>
  </r>
  <r>
    <x v="113"/>
    <x v="109"/>
    <m/>
    <x v="1"/>
    <s v="H17"/>
    <x v="2"/>
    <s v="H1916-20:V201-15"/>
    <m/>
    <m/>
    <s v="BIOL"/>
    <m/>
    <n v="100"/>
    <x v="0"/>
    <m/>
    <m/>
    <n v="1"/>
    <n v="0.125"/>
    <n v="0.85"/>
    <n v="0.10625"/>
    <n v="5740"/>
    <x v="9"/>
    <s v="TekNat"/>
    <x v="1"/>
    <n v="19473"/>
    <n v="34806"/>
    <n v="6132.2624999999998"/>
    <n v="21800"/>
    <n v="2725"/>
    <n v="8857.2625000000007"/>
    <n v="0"/>
    <n v="0"/>
    <n v="0"/>
    <n v="0"/>
    <n v="0"/>
    <n v="1"/>
    <n v="0"/>
    <n v="0"/>
    <n v="0"/>
    <n v="0"/>
    <n v="0"/>
    <n v="0"/>
    <s v="Enligt SP 190924"/>
    <s v="Läser 7,5 av 30 denna termin"/>
    <n v="0"/>
    <n v="0"/>
    <n v="0"/>
    <n v="0"/>
    <n v="0"/>
    <n v="0"/>
    <n v="0"/>
    <n v="0"/>
    <n v="0"/>
    <n v="0"/>
    <n v="0.125"/>
    <n v="0.10625"/>
    <n v="0"/>
    <n v="0"/>
    <n v="0"/>
    <n v="0"/>
    <n v="0"/>
    <n v="0"/>
    <n v="0"/>
    <n v="0"/>
    <n v="0"/>
    <n v="0"/>
    <n v="0"/>
  </r>
  <r>
    <x v="114"/>
    <x v="110"/>
    <m/>
    <x v="1"/>
    <s v="H15"/>
    <x v="1"/>
    <s v="V191-10"/>
    <s v="Umeå"/>
    <m/>
    <s v="IDRH"/>
    <m/>
    <n v="50"/>
    <x v="0"/>
    <m/>
    <m/>
    <n v="1"/>
    <n v="0.125"/>
    <n v="0.85"/>
    <n v="0.10625"/>
    <n v="5740"/>
    <x v="9"/>
    <s v="TekNat"/>
    <x v="1"/>
    <n v="19473"/>
    <n v="34806"/>
    <n v="6132.2624999999998"/>
    <n v="21800"/>
    <n v="2725"/>
    <n v="8857.2625000000007"/>
    <n v="0"/>
    <n v="0"/>
    <n v="0"/>
    <n v="0"/>
    <n v="0"/>
    <n v="1"/>
    <n v="0"/>
    <n v="0"/>
    <n v="0"/>
    <n v="0"/>
    <n v="0"/>
    <n v="0"/>
    <s v="Enl Ladok 190318"/>
    <m/>
    <n v="0"/>
    <n v="0"/>
    <n v="0"/>
    <n v="0"/>
    <n v="0"/>
    <n v="0"/>
    <n v="0"/>
    <n v="0"/>
    <n v="0"/>
    <n v="0"/>
    <n v="0.125"/>
    <n v="0.10625"/>
    <n v="0"/>
    <n v="0"/>
    <n v="0"/>
    <n v="0"/>
    <n v="0"/>
    <n v="0"/>
    <n v="0"/>
    <n v="0"/>
    <n v="0"/>
    <n v="0"/>
    <n v="0"/>
  </r>
  <r>
    <x v="114"/>
    <x v="110"/>
    <m/>
    <x v="1"/>
    <s v="H16"/>
    <x v="1"/>
    <s v="V191-10"/>
    <s v="Umeå"/>
    <m/>
    <s v="MATT"/>
    <m/>
    <n v="50"/>
    <x v="0"/>
    <m/>
    <m/>
    <n v="1"/>
    <n v="0.125"/>
    <n v="0.85"/>
    <n v="0.10625"/>
    <n v="5740"/>
    <x v="9"/>
    <s v="TekNat"/>
    <x v="1"/>
    <n v="19473"/>
    <n v="34806"/>
    <n v="6132.2624999999998"/>
    <n v="21800"/>
    <n v="2725"/>
    <n v="8857.2625000000007"/>
    <n v="0"/>
    <n v="0"/>
    <n v="0"/>
    <n v="0"/>
    <n v="0"/>
    <n v="1"/>
    <n v="0"/>
    <n v="0"/>
    <n v="0"/>
    <n v="0"/>
    <n v="0"/>
    <n v="0"/>
    <s v="Enl Ladok 190318"/>
    <m/>
    <n v="0"/>
    <n v="0"/>
    <n v="0"/>
    <n v="0"/>
    <n v="0"/>
    <n v="0"/>
    <n v="0"/>
    <n v="0"/>
    <n v="0"/>
    <n v="0"/>
    <n v="0.125"/>
    <n v="0.10625"/>
    <n v="0"/>
    <n v="0"/>
    <n v="0"/>
    <n v="0"/>
    <n v="0"/>
    <n v="0"/>
    <n v="0"/>
    <n v="0"/>
    <n v="0"/>
    <n v="0"/>
    <n v="0"/>
  </r>
  <r>
    <x v="114"/>
    <x v="110"/>
    <m/>
    <x v="1"/>
    <s v="H18"/>
    <x v="1"/>
    <s v="V191-10"/>
    <s v="Umeå"/>
    <m/>
    <s v="BIOL"/>
    <m/>
    <n v="50"/>
    <x v="0"/>
    <m/>
    <m/>
    <n v="1"/>
    <n v="0.125"/>
    <n v="0.85"/>
    <n v="0.10625"/>
    <n v="5740"/>
    <x v="9"/>
    <s v="TekNat"/>
    <x v="1"/>
    <n v="19473"/>
    <n v="34806"/>
    <n v="6132.2624999999998"/>
    <n v="21800"/>
    <n v="2725"/>
    <n v="8857.2625000000007"/>
    <n v="0"/>
    <n v="0"/>
    <n v="0"/>
    <n v="0"/>
    <n v="0"/>
    <n v="1"/>
    <n v="0"/>
    <n v="0"/>
    <n v="0"/>
    <n v="0"/>
    <n v="0"/>
    <n v="0"/>
    <s v="Enl Ladok 190318"/>
    <m/>
    <n v="0"/>
    <n v="0"/>
    <n v="0"/>
    <n v="0"/>
    <n v="0"/>
    <n v="0"/>
    <n v="0"/>
    <n v="0"/>
    <n v="0"/>
    <n v="0"/>
    <n v="0.125"/>
    <n v="0.10625"/>
    <n v="0"/>
    <n v="0"/>
    <n v="0"/>
    <n v="0"/>
    <n v="0"/>
    <n v="0"/>
    <n v="0"/>
    <n v="0"/>
    <n v="0"/>
    <n v="0"/>
    <n v="0"/>
  </r>
  <r>
    <x v="115"/>
    <x v="111"/>
    <m/>
    <x v="1"/>
    <s v="H15"/>
    <x v="1"/>
    <s v="V1911-20"/>
    <s v="Umeå"/>
    <m/>
    <s v="IDRH"/>
    <m/>
    <n v="50"/>
    <x v="0"/>
    <m/>
    <m/>
    <n v="1"/>
    <n v="0.125"/>
    <n v="0.85"/>
    <n v="0.10625"/>
    <n v="5740"/>
    <x v="9"/>
    <s v="TekNat"/>
    <x v="1"/>
    <n v="19473"/>
    <n v="34806"/>
    <n v="6132.2624999999998"/>
    <n v="21800"/>
    <n v="2725"/>
    <n v="8857.2625000000007"/>
    <n v="0"/>
    <n v="0"/>
    <n v="0"/>
    <n v="0"/>
    <n v="0"/>
    <n v="1"/>
    <n v="0"/>
    <n v="0"/>
    <n v="0"/>
    <n v="0"/>
    <n v="0"/>
    <n v="0"/>
    <s v="Enl Ladok 190515"/>
    <m/>
    <n v="0"/>
    <n v="0"/>
    <n v="0"/>
    <n v="0"/>
    <n v="0"/>
    <n v="0"/>
    <n v="0"/>
    <n v="0"/>
    <n v="0"/>
    <n v="0"/>
    <n v="0.125"/>
    <n v="0.10625"/>
    <n v="0"/>
    <n v="0"/>
    <n v="0"/>
    <n v="0"/>
    <n v="0"/>
    <n v="0"/>
    <n v="0"/>
    <n v="0"/>
    <n v="0"/>
    <n v="0"/>
    <n v="0"/>
  </r>
  <r>
    <x v="115"/>
    <x v="111"/>
    <m/>
    <x v="1"/>
    <s v="H16"/>
    <x v="1"/>
    <s v="V1911-20"/>
    <s v="Umeå"/>
    <m/>
    <s v="MATT"/>
    <m/>
    <n v="50"/>
    <x v="0"/>
    <m/>
    <m/>
    <n v="1"/>
    <n v="0.125"/>
    <n v="0.85"/>
    <n v="0.10625"/>
    <n v="5740"/>
    <x v="9"/>
    <s v="TekNat"/>
    <x v="1"/>
    <n v="19473"/>
    <n v="34806"/>
    <n v="6132.2624999999998"/>
    <n v="21800"/>
    <n v="2725"/>
    <n v="8857.2625000000007"/>
    <n v="0"/>
    <n v="0"/>
    <n v="0"/>
    <n v="0"/>
    <n v="0"/>
    <n v="1"/>
    <n v="0"/>
    <n v="0"/>
    <n v="0"/>
    <n v="0"/>
    <n v="0"/>
    <n v="0"/>
    <s v="Enl Ladok 190515"/>
    <m/>
    <n v="0"/>
    <n v="0"/>
    <n v="0"/>
    <n v="0"/>
    <n v="0"/>
    <n v="0"/>
    <n v="0"/>
    <n v="0"/>
    <n v="0"/>
    <n v="0"/>
    <n v="0.125"/>
    <n v="0.10625"/>
    <n v="0"/>
    <n v="0"/>
    <n v="0"/>
    <n v="0"/>
    <n v="0"/>
    <n v="0"/>
    <n v="0"/>
    <n v="0"/>
    <n v="0"/>
    <n v="0"/>
    <n v="0"/>
  </r>
  <r>
    <x v="116"/>
    <x v="112"/>
    <m/>
    <x v="1"/>
    <s v="H15"/>
    <x v="1"/>
    <s v="V191-10"/>
    <s v="Umeå"/>
    <m/>
    <s v="HIST"/>
    <m/>
    <n v="100"/>
    <x v="1"/>
    <m/>
    <m/>
    <n v="2"/>
    <n v="0.5"/>
    <n v="0.85"/>
    <n v="0.42499999999999999"/>
    <n v="2500"/>
    <x v="13"/>
    <s v="Sam"/>
    <x v="1"/>
    <n v="18672"/>
    <n v="20531.25"/>
    <n v="18061.78125"/>
    <n v="9800"/>
    <n v="4900"/>
    <n v="22961.78125"/>
    <n v="0"/>
    <n v="0"/>
    <n v="0"/>
    <n v="0"/>
    <n v="0"/>
    <n v="0.25"/>
    <n v="0.75"/>
    <n v="0"/>
    <n v="0"/>
    <n v="0"/>
    <n v="0"/>
    <n v="0"/>
    <s v="Enl Ladok 190318"/>
    <m/>
    <n v="0"/>
    <n v="0"/>
    <n v="0"/>
    <n v="0"/>
    <n v="0"/>
    <n v="0"/>
    <n v="0"/>
    <n v="0"/>
    <n v="0"/>
    <n v="0"/>
    <n v="0.125"/>
    <n v="0.10625"/>
    <n v="0.375"/>
    <n v="0.31874999999999998"/>
    <n v="0"/>
    <n v="0"/>
    <n v="0"/>
    <n v="0"/>
    <n v="0"/>
    <n v="0"/>
    <n v="0"/>
    <n v="0"/>
    <n v="0"/>
  </r>
  <r>
    <x v="116"/>
    <x v="112"/>
    <m/>
    <x v="1"/>
    <s v="H15"/>
    <x v="1"/>
    <s v="V191-10"/>
    <s v="Umeå"/>
    <m/>
    <s v="IDRH"/>
    <m/>
    <n v="100"/>
    <x v="1"/>
    <m/>
    <m/>
    <n v="1"/>
    <n v="0.25"/>
    <n v="0.85"/>
    <n v="0.21249999999999999"/>
    <n v="2500"/>
    <x v="13"/>
    <s v="Sam"/>
    <x v="1"/>
    <n v="18672"/>
    <n v="20531.25"/>
    <n v="9030.890625"/>
    <n v="9800"/>
    <n v="2450"/>
    <n v="11480.890625"/>
    <n v="0"/>
    <n v="0"/>
    <n v="0"/>
    <n v="0"/>
    <n v="0"/>
    <n v="0.25"/>
    <n v="0.75"/>
    <n v="0"/>
    <n v="0"/>
    <n v="0"/>
    <n v="0"/>
    <n v="0"/>
    <s v="Enl Ladok 190318"/>
    <m/>
    <n v="0"/>
    <n v="0"/>
    <n v="0"/>
    <n v="0"/>
    <n v="0"/>
    <n v="0"/>
    <n v="0"/>
    <n v="0"/>
    <n v="0"/>
    <n v="0"/>
    <n v="6.25E-2"/>
    <n v="5.3124999999999999E-2"/>
    <n v="0.1875"/>
    <n v="0.15937499999999999"/>
    <n v="0"/>
    <n v="0"/>
    <n v="0"/>
    <n v="0"/>
    <n v="0"/>
    <n v="0"/>
    <n v="0"/>
    <n v="0"/>
    <n v="0"/>
  </r>
  <r>
    <x v="116"/>
    <x v="112"/>
    <m/>
    <x v="1"/>
    <s v="H17"/>
    <x v="1"/>
    <s v="V191-10"/>
    <s v="Umeå"/>
    <m/>
    <s v="GEOG"/>
    <m/>
    <n v="100"/>
    <x v="1"/>
    <m/>
    <m/>
    <n v="2"/>
    <n v="0.5"/>
    <n v="0.85"/>
    <n v="0.42499999999999999"/>
    <n v="2500"/>
    <x v="13"/>
    <s v="Sam"/>
    <x v="1"/>
    <n v="18672"/>
    <n v="20531.25"/>
    <n v="18061.78125"/>
    <n v="9800"/>
    <n v="4900"/>
    <n v="22961.78125"/>
    <n v="0"/>
    <n v="0"/>
    <n v="0"/>
    <n v="0"/>
    <n v="0"/>
    <n v="0.25"/>
    <n v="0.75"/>
    <n v="0"/>
    <n v="0"/>
    <n v="0"/>
    <n v="0"/>
    <n v="0"/>
    <s v="Enl Ladok 190318"/>
    <m/>
    <n v="0"/>
    <n v="0"/>
    <n v="0"/>
    <n v="0"/>
    <n v="0"/>
    <n v="0"/>
    <n v="0"/>
    <n v="0"/>
    <n v="0"/>
    <n v="0"/>
    <n v="0.125"/>
    <n v="0.10625"/>
    <n v="0.375"/>
    <n v="0.31874999999999998"/>
    <n v="0"/>
    <n v="0"/>
    <n v="0"/>
    <n v="0"/>
    <n v="0"/>
    <n v="0"/>
    <n v="0"/>
    <n v="0"/>
    <n v="0"/>
  </r>
  <r>
    <x v="117"/>
    <x v="113"/>
    <m/>
    <x v="1"/>
    <s v="H16"/>
    <x v="1"/>
    <s v="V191-5"/>
    <s v="Umeå"/>
    <m/>
    <s v="IDRH"/>
    <m/>
    <n v="100"/>
    <x v="0"/>
    <m/>
    <m/>
    <n v="2"/>
    <n v="0.25"/>
    <n v="0.85"/>
    <n v="0.21249999999999999"/>
    <n v="2500"/>
    <x v="13"/>
    <s v="Sam"/>
    <x v="1"/>
    <n v="18405"/>
    <n v="15773"/>
    <n v="7953.0124999999998"/>
    <n v="5800"/>
    <n v="1450"/>
    <n v="9403.0125000000007"/>
    <n v="0"/>
    <n v="0"/>
    <n v="0"/>
    <n v="0"/>
    <n v="0"/>
    <n v="0"/>
    <n v="1"/>
    <n v="0"/>
    <n v="0"/>
    <n v="0"/>
    <n v="0"/>
    <n v="0"/>
    <s v="Enl Ladok 190318"/>
    <m/>
    <n v="0"/>
    <n v="0"/>
    <n v="0"/>
    <n v="0"/>
    <n v="0"/>
    <n v="0"/>
    <n v="0"/>
    <n v="0"/>
    <n v="0"/>
    <n v="0"/>
    <n v="0"/>
    <n v="0"/>
    <n v="0.25"/>
    <n v="0.21249999999999999"/>
    <n v="0"/>
    <n v="0"/>
    <n v="0"/>
    <n v="0"/>
    <n v="0"/>
    <n v="0"/>
    <n v="0"/>
    <n v="0"/>
    <n v="0"/>
  </r>
  <r>
    <x v="117"/>
    <x v="113"/>
    <m/>
    <x v="1"/>
    <s v="H16"/>
    <x v="1"/>
    <s v="V191-5"/>
    <s v="Umeå"/>
    <m/>
    <s v="SAMK"/>
    <m/>
    <n v="100"/>
    <x v="0"/>
    <m/>
    <m/>
    <n v="2"/>
    <n v="0.25"/>
    <n v="0.85"/>
    <n v="0.21249999999999999"/>
    <n v="2500"/>
    <x v="13"/>
    <s v="Sam"/>
    <x v="1"/>
    <n v="18405"/>
    <n v="15773"/>
    <n v="7953.0124999999998"/>
    <n v="5800"/>
    <n v="1450"/>
    <n v="9403.0125000000007"/>
    <n v="0"/>
    <n v="0"/>
    <n v="0"/>
    <n v="0"/>
    <n v="0"/>
    <n v="0"/>
    <n v="1"/>
    <n v="0"/>
    <n v="0"/>
    <n v="0"/>
    <n v="0"/>
    <n v="0"/>
    <s v="Enl Ladok 190318"/>
    <m/>
    <n v="0"/>
    <n v="0"/>
    <n v="0"/>
    <n v="0"/>
    <n v="0"/>
    <n v="0"/>
    <n v="0"/>
    <n v="0"/>
    <n v="0"/>
    <n v="0"/>
    <n v="0"/>
    <n v="0"/>
    <n v="0.25"/>
    <n v="0.21249999999999999"/>
    <n v="0"/>
    <n v="0"/>
    <n v="0"/>
    <n v="0"/>
    <n v="0"/>
    <n v="0"/>
    <n v="0"/>
    <n v="0"/>
    <n v="0"/>
  </r>
  <r>
    <x v="117"/>
    <x v="113"/>
    <m/>
    <x v="1"/>
    <s v="H18"/>
    <x v="1"/>
    <s v="V191-5"/>
    <s v="Umeå"/>
    <m/>
    <s v="GEOG"/>
    <m/>
    <n v="100"/>
    <x v="0"/>
    <m/>
    <m/>
    <n v="2"/>
    <n v="0.25"/>
    <n v="0.85"/>
    <n v="0.21249999999999999"/>
    <n v="2500"/>
    <x v="13"/>
    <s v="Sam"/>
    <x v="1"/>
    <n v="18405"/>
    <n v="15773"/>
    <n v="7953.0124999999998"/>
    <n v="5800"/>
    <n v="1450"/>
    <n v="9403.0125000000007"/>
    <n v="0"/>
    <n v="0"/>
    <n v="0"/>
    <n v="0"/>
    <n v="0"/>
    <n v="0"/>
    <n v="1"/>
    <n v="0"/>
    <n v="0"/>
    <n v="0"/>
    <n v="0"/>
    <n v="0"/>
    <s v="Enl Ladok 190318"/>
    <m/>
    <n v="0"/>
    <n v="0"/>
    <n v="0"/>
    <n v="0"/>
    <n v="0"/>
    <n v="0"/>
    <n v="0"/>
    <n v="0"/>
    <n v="0"/>
    <n v="0"/>
    <n v="0"/>
    <n v="0"/>
    <n v="0.25"/>
    <n v="0.21249999999999999"/>
    <n v="0"/>
    <n v="0"/>
    <n v="0"/>
    <n v="0"/>
    <n v="0"/>
    <n v="0"/>
    <n v="0"/>
    <n v="0"/>
    <n v="0"/>
  </r>
  <r>
    <x v="118"/>
    <x v="114"/>
    <m/>
    <x v="1"/>
    <s v="H16"/>
    <x v="1"/>
    <s v="V1911-20"/>
    <s v="Umeå"/>
    <m/>
    <s v="IDRH"/>
    <m/>
    <n v="100"/>
    <x v="1"/>
    <m/>
    <m/>
    <n v="2"/>
    <n v="0.5"/>
    <n v="0.85"/>
    <n v="0.42499999999999999"/>
    <n v="2500"/>
    <x v="13"/>
    <s v="Sam"/>
    <x v="1"/>
    <n v="18672"/>
    <n v="20531.25"/>
    <n v="18061.78125"/>
    <n v="9800"/>
    <n v="4900"/>
    <n v="22961.78125"/>
    <n v="0"/>
    <n v="0"/>
    <n v="0"/>
    <n v="0"/>
    <n v="0"/>
    <n v="0.25"/>
    <n v="0.75"/>
    <n v="0"/>
    <n v="0"/>
    <n v="0"/>
    <n v="0"/>
    <n v="0"/>
    <s v="Enl Ladok 190515"/>
    <m/>
    <n v="0"/>
    <n v="0"/>
    <n v="0"/>
    <n v="0"/>
    <n v="0"/>
    <n v="0"/>
    <n v="0"/>
    <n v="0"/>
    <n v="0"/>
    <n v="0"/>
    <n v="0.125"/>
    <n v="0.10625"/>
    <n v="0.375"/>
    <n v="0.31874999999999998"/>
    <n v="0"/>
    <n v="0"/>
    <n v="0"/>
    <n v="0"/>
    <n v="0"/>
    <n v="0"/>
    <n v="0"/>
    <n v="0"/>
    <n v="0"/>
  </r>
  <r>
    <x v="118"/>
    <x v="114"/>
    <m/>
    <x v="1"/>
    <s v="H16"/>
    <x v="1"/>
    <s v="V1911-20"/>
    <s v="Umeå"/>
    <m/>
    <s v="SAMK"/>
    <m/>
    <n v="100"/>
    <x v="1"/>
    <m/>
    <m/>
    <n v="2"/>
    <n v="0.5"/>
    <n v="0.85"/>
    <n v="0.42499999999999999"/>
    <n v="2500"/>
    <x v="13"/>
    <s v="Sam"/>
    <x v="1"/>
    <n v="18672"/>
    <n v="20531.25"/>
    <n v="18061.78125"/>
    <n v="9800"/>
    <n v="4900"/>
    <n v="22961.78125"/>
    <n v="0"/>
    <n v="0"/>
    <n v="0"/>
    <n v="0"/>
    <n v="0"/>
    <n v="0.25"/>
    <n v="0.75"/>
    <n v="0"/>
    <n v="0"/>
    <n v="0"/>
    <n v="0"/>
    <n v="0"/>
    <s v="Enl Ladok 190515"/>
    <m/>
    <n v="0"/>
    <n v="0"/>
    <n v="0"/>
    <n v="0"/>
    <n v="0"/>
    <n v="0"/>
    <n v="0"/>
    <n v="0"/>
    <n v="0"/>
    <n v="0"/>
    <n v="0.125"/>
    <n v="0.10625"/>
    <n v="0.375"/>
    <n v="0.31874999999999998"/>
    <n v="0"/>
    <n v="0"/>
    <n v="0"/>
    <n v="0"/>
    <n v="0"/>
    <n v="0"/>
    <n v="0"/>
    <n v="0"/>
    <n v="0"/>
  </r>
  <r>
    <x v="118"/>
    <x v="114"/>
    <m/>
    <x v="1"/>
    <s v="H18"/>
    <x v="1"/>
    <s v="V1911-20"/>
    <s v="Umeå"/>
    <m/>
    <s v="GEOG"/>
    <m/>
    <n v="100"/>
    <x v="1"/>
    <m/>
    <m/>
    <n v="2"/>
    <n v="0.5"/>
    <n v="0.85"/>
    <n v="0.42499999999999999"/>
    <n v="2500"/>
    <x v="13"/>
    <s v="Sam"/>
    <x v="1"/>
    <n v="18672"/>
    <n v="20531.25"/>
    <n v="18061.78125"/>
    <n v="9800"/>
    <n v="4900"/>
    <n v="22961.78125"/>
    <n v="0"/>
    <n v="0"/>
    <n v="0"/>
    <n v="0"/>
    <n v="0"/>
    <n v="0.25"/>
    <n v="0.75"/>
    <n v="0"/>
    <n v="0"/>
    <n v="0"/>
    <n v="0"/>
    <n v="0"/>
    <s v="Enl Ladok 190515"/>
    <m/>
    <n v="0"/>
    <n v="0"/>
    <n v="0"/>
    <n v="0"/>
    <n v="0"/>
    <n v="0"/>
    <n v="0"/>
    <n v="0"/>
    <n v="0"/>
    <n v="0"/>
    <n v="0.125"/>
    <n v="0.10625"/>
    <n v="0.375"/>
    <n v="0.31874999999999998"/>
    <n v="0"/>
    <n v="0"/>
    <n v="0"/>
    <n v="0"/>
    <n v="0"/>
    <n v="0"/>
    <n v="0"/>
    <n v="0"/>
    <n v="0"/>
  </r>
  <r>
    <x v="119"/>
    <x v="115"/>
    <m/>
    <x v="1"/>
    <s v="H16"/>
    <x v="2"/>
    <s v="H191-5"/>
    <m/>
    <m/>
    <s v="IDRH"/>
    <m/>
    <n v="100"/>
    <x v="0"/>
    <m/>
    <m/>
    <n v="3"/>
    <n v="0.375"/>
    <n v="0.85"/>
    <n v="0.31874999999999998"/>
    <n v="2500"/>
    <x v="13"/>
    <s v="Sam"/>
    <x v="1"/>
    <n v="18939"/>
    <n v="25289.5"/>
    <n v="15163.153125000001"/>
    <n v="13800"/>
    <n v="5175"/>
    <n v="20338.153125000001"/>
    <n v="0"/>
    <n v="0"/>
    <n v="0"/>
    <n v="0"/>
    <n v="0"/>
    <n v="0.5"/>
    <n v="0.5"/>
    <n v="0"/>
    <n v="0"/>
    <n v="0"/>
    <n v="0"/>
    <n v="0"/>
    <s v="Enligt SP 190924"/>
    <m/>
    <n v="0"/>
    <n v="0"/>
    <n v="0"/>
    <n v="0"/>
    <n v="0"/>
    <n v="0"/>
    <n v="0"/>
    <n v="0"/>
    <n v="0"/>
    <n v="0"/>
    <n v="0.1875"/>
    <n v="0.15937499999999999"/>
    <n v="0.1875"/>
    <n v="0.15937499999999999"/>
    <n v="0"/>
    <n v="0"/>
    <n v="0"/>
    <n v="0"/>
    <n v="0"/>
    <n v="0"/>
    <n v="0"/>
    <n v="0"/>
    <n v="0"/>
  </r>
  <r>
    <x v="119"/>
    <x v="115"/>
    <m/>
    <x v="1"/>
    <s v="H16"/>
    <x v="2"/>
    <s v="H191-5"/>
    <m/>
    <m/>
    <s v="SAMK"/>
    <m/>
    <n v="100"/>
    <x v="0"/>
    <m/>
    <m/>
    <n v="2"/>
    <n v="0.25"/>
    <n v="0.85"/>
    <n v="0.21249999999999999"/>
    <n v="2500"/>
    <x v="13"/>
    <s v="Sam"/>
    <x v="1"/>
    <n v="18939"/>
    <n v="25289.5"/>
    <n v="10108.768749999999"/>
    <n v="13800"/>
    <n v="3450"/>
    <n v="13558.768749999999"/>
    <n v="0"/>
    <n v="0"/>
    <n v="0"/>
    <n v="0"/>
    <n v="0"/>
    <n v="0.5"/>
    <n v="0.5"/>
    <n v="0"/>
    <n v="0"/>
    <n v="0"/>
    <n v="0"/>
    <n v="0"/>
    <s v="Enligt SP 190924"/>
    <m/>
    <n v="0"/>
    <n v="0"/>
    <n v="0"/>
    <n v="0"/>
    <n v="0"/>
    <n v="0"/>
    <n v="0"/>
    <n v="0"/>
    <n v="0"/>
    <n v="0"/>
    <n v="0.125"/>
    <n v="0.10625"/>
    <n v="0.125"/>
    <n v="0.10625"/>
    <n v="0"/>
    <n v="0"/>
    <n v="0"/>
    <n v="0"/>
    <n v="0"/>
    <n v="0"/>
    <n v="0"/>
    <n v="0"/>
    <n v="0"/>
  </r>
  <r>
    <x v="119"/>
    <x v="115"/>
    <m/>
    <x v="1"/>
    <s v="H18"/>
    <x v="2"/>
    <s v="H191-5"/>
    <m/>
    <m/>
    <s v="GEOG"/>
    <m/>
    <n v="100"/>
    <x v="0"/>
    <m/>
    <m/>
    <n v="2"/>
    <n v="0.25"/>
    <n v="0.85"/>
    <n v="0.21249999999999999"/>
    <n v="2500"/>
    <x v="13"/>
    <s v="Sam"/>
    <x v="1"/>
    <n v="18939"/>
    <n v="25289.5"/>
    <n v="10108.768749999999"/>
    <n v="13800"/>
    <n v="3450"/>
    <n v="13558.768749999999"/>
    <n v="0"/>
    <n v="0"/>
    <n v="0"/>
    <n v="0"/>
    <n v="0"/>
    <n v="0.5"/>
    <n v="0.5"/>
    <n v="0"/>
    <n v="0"/>
    <n v="0"/>
    <n v="0"/>
    <n v="0"/>
    <s v="Enligt SP 190924"/>
    <m/>
    <n v="0"/>
    <n v="0"/>
    <n v="0"/>
    <n v="0"/>
    <n v="0"/>
    <n v="0"/>
    <n v="0"/>
    <n v="0"/>
    <n v="0"/>
    <n v="0"/>
    <n v="0.125"/>
    <n v="0.10625"/>
    <n v="0.125"/>
    <n v="0.10625"/>
    <n v="0"/>
    <n v="0"/>
    <n v="0"/>
    <n v="0"/>
    <n v="0"/>
    <n v="0"/>
    <n v="0"/>
    <n v="0"/>
    <n v="0"/>
  </r>
  <r>
    <x v="120"/>
    <x v="116"/>
    <m/>
    <x v="1"/>
    <s v="H16"/>
    <x v="2"/>
    <s v="H1916-20"/>
    <m/>
    <m/>
    <s v="IDRH"/>
    <m/>
    <n v="100"/>
    <x v="0"/>
    <m/>
    <m/>
    <n v="3"/>
    <n v="0.375"/>
    <n v="0.85"/>
    <n v="0.31874999999999998"/>
    <n v="2500"/>
    <x v="13"/>
    <s v="Sam"/>
    <x v="1"/>
    <n v="18405"/>
    <n v="15773"/>
    <n v="11929.518749999999"/>
    <n v="5800"/>
    <n v="2175"/>
    <n v="14104.518749999999"/>
    <n v="0"/>
    <n v="0"/>
    <n v="0"/>
    <n v="0"/>
    <n v="0"/>
    <n v="0"/>
    <n v="1"/>
    <n v="0"/>
    <n v="0"/>
    <n v="0"/>
    <n v="0"/>
    <n v="0"/>
    <s v="Enligt SP 190924"/>
    <m/>
    <n v="0"/>
    <n v="0"/>
    <n v="0"/>
    <n v="0"/>
    <n v="0"/>
    <n v="0"/>
    <n v="0"/>
    <n v="0"/>
    <n v="0"/>
    <n v="0"/>
    <n v="0"/>
    <n v="0"/>
    <n v="0.375"/>
    <n v="0.31874999999999998"/>
    <n v="0"/>
    <n v="0"/>
    <n v="0"/>
    <n v="0"/>
    <n v="0"/>
    <n v="0"/>
    <n v="0"/>
    <n v="0"/>
    <n v="0"/>
  </r>
  <r>
    <x v="120"/>
    <x v="116"/>
    <m/>
    <x v="1"/>
    <s v="H16"/>
    <x v="2"/>
    <s v="H1916-20"/>
    <m/>
    <m/>
    <s v="SAMK"/>
    <m/>
    <n v="100"/>
    <x v="0"/>
    <m/>
    <m/>
    <n v="2"/>
    <n v="0.25"/>
    <n v="0.85"/>
    <n v="0.21249999999999999"/>
    <n v="2500"/>
    <x v="13"/>
    <s v="Sam"/>
    <x v="1"/>
    <n v="18405"/>
    <n v="15773"/>
    <n v="7953.0124999999998"/>
    <n v="5800"/>
    <n v="1450"/>
    <n v="9403.0125000000007"/>
    <n v="0"/>
    <n v="0"/>
    <n v="0"/>
    <n v="0"/>
    <n v="0"/>
    <n v="0"/>
    <n v="1"/>
    <n v="0"/>
    <n v="0"/>
    <n v="0"/>
    <n v="0"/>
    <n v="0"/>
    <s v="Enligt SP 190924"/>
    <m/>
    <n v="0"/>
    <n v="0"/>
    <n v="0"/>
    <n v="0"/>
    <n v="0"/>
    <n v="0"/>
    <n v="0"/>
    <n v="0"/>
    <n v="0"/>
    <n v="0"/>
    <n v="0"/>
    <n v="0"/>
    <n v="0.25"/>
    <n v="0.21249999999999999"/>
    <n v="0"/>
    <n v="0"/>
    <n v="0"/>
    <n v="0"/>
    <n v="0"/>
    <n v="0"/>
    <n v="0"/>
    <n v="0"/>
    <n v="0"/>
  </r>
  <r>
    <x v="120"/>
    <x v="116"/>
    <m/>
    <x v="1"/>
    <s v="H18"/>
    <x v="2"/>
    <s v="H1916-20"/>
    <m/>
    <m/>
    <s v="GEOG"/>
    <m/>
    <n v="100"/>
    <x v="0"/>
    <m/>
    <m/>
    <n v="2"/>
    <n v="0.25"/>
    <n v="0.85"/>
    <n v="0.21249999999999999"/>
    <n v="2500"/>
    <x v="13"/>
    <s v="Sam"/>
    <x v="1"/>
    <n v="18405"/>
    <n v="15773"/>
    <n v="7953.0124999999998"/>
    <n v="5800"/>
    <n v="1450"/>
    <n v="9403.0125000000007"/>
    <n v="0"/>
    <n v="0"/>
    <n v="0"/>
    <n v="0"/>
    <n v="0"/>
    <n v="0"/>
    <n v="1"/>
    <n v="0"/>
    <n v="0"/>
    <n v="0"/>
    <n v="0"/>
    <n v="0"/>
    <s v="Enligt SP 190924"/>
    <m/>
    <n v="0"/>
    <n v="0"/>
    <n v="0"/>
    <n v="0"/>
    <n v="0"/>
    <n v="0"/>
    <n v="0"/>
    <n v="0"/>
    <n v="0"/>
    <n v="0"/>
    <n v="0"/>
    <n v="0"/>
    <n v="0.25"/>
    <n v="0.21249999999999999"/>
    <n v="0"/>
    <n v="0"/>
    <n v="0"/>
    <n v="0"/>
    <n v="0"/>
    <n v="0"/>
    <n v="0"/>
    <n v="0"/>
    <n v="0"/>
  </r>
  <r>
    <x v="121"/>
    <x v="117"/>
    <m/>
    <x v="1"/>
    <s v="H15"/>
    <x v="1"/>
    <s v="V1916-20"/>
    <s v="Umeå"/>
    <m/>
    <s v="HIST"/>
    <m/>
    <n v="100"/>
    <x v="0"/>
    <m/>
    <m/>
    <n v="2"/>
    <n v="0.25"/>
    <n v="0.85"/>
    <n v="0.21249999999999999"/>
    <n v="2500"/>
    <x v="13"/>
    <s v="Sam"/>
    <x v="1"/>
    <n v="18405"/>
    <n v="15773"/>
    <n v="7953.0124999999998"/>
    <n v="5800"/>
    <n v="1450"/>
    <n v="9403.0125000000007"/>
    <n v="0"/>
    <n v="0"/>
    <n v="0"/>
    <n v="0"/>
    <n v="0"/>
    <n v="0"/>
    <n v="1"/>
    <n v="0"/>
    <n v="0"/>
    <n v="0"/>
    <n v="0"/>
    <n v="0"/>
    <s v="Enl Ladok 190515"/>
    <m/>
    <n v="0"/>
    <n v="0"/>
    <n v="0"/>
    <n v="0"/>
    <n v="0"/>
    <n v="0"/>
    <n v="0"/>
    <n v="0"/>
    <n v="0"/>
    <n v="0"/>
    <n v="0"/>
    <n v="0"/>
    <n v="0.25"/>
    <n v="0.21249999999999999"/>
    <n v="0"/>
    <n v="0"/>
    <n v="0"/>
    <n v="0"/>
    <n v="0"/>
    <n v="0"/>
    <n v="0"/>
    <n v="0"/>
    <n v="0"/>
  </r>
  <r>
    <x v="121"/>
    <x v="117"/>
    <m/>
    <x v="1"/>
    <s v="H15"/>
    <x v="1"/>
    <s v="V1916-20"/>
    <s v="Umeå"/>
    <m/>
    <s v="IDRH"/>
    <m/>
    <n v="100"/>
    <x v="0"/>
    <m/>
    <m/>
    <n v="1"/>
    <n v="0.125"/>
    <n v="0.85"/>
    <n v="0.10625"/>
    <n v="2500"/>
    <x v="13"/>
    <s v="Sam"/>
    <x v="1"/>
    <n v="18405"/>
    <n v="15773"/>
    <n v="3976.5062499999999"/>
    <n v="5800"/>
    <n v="725"/>
    <n v="4701.5062500000004"/>
    <n v="0"/>
    <n v="0"/>
    <n v="0"/>
    <n v="0"/>
    <n v="0"/>
    <n v="0"/>
    <n v="1"/>
    <n v="0"/>
    <n v="0"/>
    <n v="0"/>
    <n v="0"/>
    <n v="0"/>
    <s v="Enl Ladok 190515"/>
    <m/>
    <n v="0"/>
    <n v="0"/>
    <n v="0"/>
    <n v="0"/>
    <n v="0"/>
    <n v="0"/>
    <n v="0"/>
    <n v="0"/>
    <n v="0"/>
    <n v="0"/>
    <n v="0"/>
    <n v="0"/>
    <n v="0.125"/>
    <n v="0.10625"/>
    <n v="0"/>
    <n v="0"/>
    <n v="0"/>
    <n v="0"/>
    <n v="0"/>
    <n v="0"/>
    <n v="0"/>
    <n v="0"/>
    <n v="0"/>
  </r>
  <r>
    <x v="121"/>
    <x v="117"/>
    <m/>
    <x v="1"/>
    <s v="H17"/>
    <x v="1"/>
    <s v="V1916-20"/>
    <s v="Umeå"/>
    <m/>
    <s v="GEOG"/>
    <m/>
    <n v="100"/>
    <x v="0"/>
    <m/>
    <m/>
    <n v="2"/>
    <n v="0.25"/>
    <n v="0.85"/>
    <n v="0.21249999999999999"/>
    <n v="2500"/>
    <x v="13"/>
    <s v="Sam"/>
    <x v="1"/>
    <n v="18405"/>
    <n v="15773"/>
    <n v="7953.0124999999998"/>
    <n v="5800"/>
    <n v="1450"/>
    <n v="9403.0125000000007"/>
    <n v="0"/>
    <n v="0"/>
    <n v="0"/>
    <n v="0"/>
    <n v="0"/>
    <n v="0"/>
    <n v="1"/>
    <n v="0"/>
    <n v="0"/>
    <n v="0"/>
    <n v="0"/>
    <n v="0"/>
    <s v="Enl Ladok 190515"/>
    <m/>
    <n v="0"/>
    <n v="0"/>
    <n v="0"/>
    <n v="0"/>
    <n v="0"/>
    <n v="0"/>
    <n v="0"/>
    <n v="0"/>
    <n v="0"/>
    <n v="0"/>
    <n v="0"/>
    <n v="0"/>
    <n v="0.25"/>
    <n v="0.21249999999999999"/>
    <n v="0"/>
    <n v="0"/>
    <n v="0"/>
    <n v="0"/>
    <n v="0"/>
    <n v="0"/>
    <n v="0"/>
    <n v="0"/>
    <n v="0"/>
  </r>
  <r>
    <x v="122"/>
    <x v="118"/>
    <m/>
    <x v="0"/>
    <m/>
    <x v="2"/>
    <m/>
    <m/>
    <s v="Distans"/>
    <m/>
    <m/>
    <n v="100"/>
    <x v="7"/>
    <m/>
    <m/>
    <n v="25"/>
    <n v="12.5"/>
    <n v="0.8"/>
    <n v="10"/>
    <n v="2750"/>
    <x v="14"/>
    <s v="Sam"/>
    <x v="0"/>
    <n v="19473"/>
    <n v="34806"/>
    <n v="591472.5"/>
    <n v="21800"/>
    <n v="272500"/>
    <n v="863972.5"/>
    <n v="0"/>
    <n v="0"/>
    <n v="0"/>
    <n v="0"/>
    <n v="0"/>
    <n v="1"/>
    <n v="0"/>
    <n v="0"/>
    <n v="0"/>
    <n v="0"/>
    <n v="0"/>
    <n v="0"/>
    <s v="Äskat - Beslut p43 180607"/>
    <m/>
    <n v="0"/>
    <n v="0"/>
    <n v="0"/>
    <n v="0"/>
    <n v="0"/>
    <n v="0"/>
    <n v="0"/>
    <n v="0"/>
    <n v="0"/>
    <n v="0"/>
    <n v="12.5"/>
    <n v="10"/>
    <n v="0"/>
    <n v="0"/>
    <n v="0"/>
    <n v="0"/>
    <n v="0"/>
    <n v="0"/>
    <n v="0"/>
    <n v="0"/>
    <n v="0"/>
    <n v="0"/>
    <n v="0"/>
  </r>
  <r>
    <x v="123"/>
    <x v="119"/>
    <m/>
    <x v="0"/>
    <m/>
    <x v="2"/>
    <m/>
    <m/>
    <s v="Distans"/>
    <m/>
    <m/>
    <n v="50"/>
    <x v="1"/>
    <m/>
    <m/>
    <n v="15"/>
    <n v="3.75"/>
    <n v="0.8"/>
    <n v="3"/>
    <n v="2750"/>
    <x v="14"/>
    <s v="Sam"/>
    <x v="0"/>
    <n v="19473"/>
    <n v="34806"/>
    <n v="177441.75"/>
    <n v="21800"/>
    <n v="81750"/>
    <n v="259191.75"/>
    <n v="0"/>
    <n v="0"/>
    <n v="0"/>
    <n v="0"/>
    <n v="0"/>
    <n v="1"/>
    <n v="0"/>
    <n v="0"/>
    <n v="0"/>
    <n v="0"/>
    <n v="0"/>
    <n v="0"/>
    <s v="Äskat - Beslut p43 180607"/>
    <m/>
    <n v="0"/>
    <n v="0"/>
    <n v="0"/>
    <n v="0"/>
    <n v="0"/>
    <n v="0"/>
    <n v="0"/>
    <n v="0"/>
    <n v="0"/>
    <n v="0"/>
    <n v="3.75"/>
    <n v="3"/>
    <n v="0"/>
    <n v="0"/>
    <n v="0"/>
    <n v="0"/>
    <n v="0"/>
    <n v="0"/>
    <n v="0"/>
    <n v="0"/>
    <n v="0"/>
    <n v="0"/>
    <n v="0"/>
  </r>
  <r>
    <x v="123"/>
    <x v="119"/>
    <m/>
    <x v="0"/>
    <m/>
    <x v="2"/>
    <m/>
    <m/>
    <s v="Distans"/>
    <m/>
    <m/>
    <n v="25"/>
    <x v="0"/>
    <m/>
    <m/>
    <n v="50"/>
    <n v="6.25"/>
    <n v="0.8"/>
    <n v="5"/>
    <n v="2750"/>
    <x v="14"/>
    <s v="Sam"/>
    <x v="0"/>
    <n v="19473"/>
    <n v="34806"/>
    <n v="295736.25"/>
    <n v="21800"/>
    <n v="136250"/>
    <n v="431986.25"/>
    <n v="0"/>
    <n v="0"/>
    <n v="0"/>
    <n v="0"/>
    <n v="0"/>
    <n v="1"/>
    <n v="0"/>
    <n v="0"/>
    <n v="0"/>
    <n v="0"/>
    <n v="0"/>
    <n v="0"/>
    <s v="Äskat - Beslut p43 180607"/>
    <m/>
    <n v="0"/>
    <n v="0"/>
    <n v="0"/>
    <n v="0"/>
    <n v="0"/>
    <n v="0"/>
    <n v="0"/>
    <n v="0"/>
    <n v="0"/>
    <n v="0"/>
    <n v="6.25"/>
    <n v="5"/>
    <n v="0"/>
    <n v="0"/>
    <n v="0"/>
    <n v="0"/>
    <n v="0"/>
    <n v="0"/>
    <n v="0"/>
    <n v="0"/>
    <n v="0"/>
    <n v="0"/>
    <n v="0"/>
  </r>
  <r>
    <x v="124"/>
    <x v="120"/>
    <m/>
    <x v="0"/>
    <m/>
    <x v="1"/>
    <m/>
    <m/>
    <s v="Distans"/>
    <m/>
    <m/>
    <n v="100"/>
    <x v="7"/>
    <m/>
    <m/>
    <n v="11"/>
    <n v="5.5"/>
    <n v="0.8"/>
    <n v="4.4000000000000004"/>
    <n v="2750"/>
    <x v="14"/>
    <s v="Sam"/>
    <x v="0"/>
    <n v="18405"/>
    <n v="15773"/>
    <n v="170628.7"/>
    <n v="5800"/>
    <n v="31900"/>
    <n v="202528.7"/>
    <n v="0"/>
    <n v="0"/>
    <n v="0"/>
    <n v="0"/>
    <n v="0"/>
    <n v="0"/>
    <n v="1"/>
    <n v="0"/>
    <n v="0"/>
    <n v="0"/>
    <n v="0"/>
    <n v="0"/>
    <s v="Enl Ladok 190318"/>
    <s v="Äskat - Beslut p43 180607"/>
    <n v="0"/>
    <n v="0"/>
    <n v="0"/>
    <n v="0"/>
    <n v="0"/>
    <n v="0"/>
    <n v="0"/>
    <n v="0"/>
    <n v="0"/>
    <n v="0"/>
    <n v="0"/>
    <n v="0"/>
    <n v="5.5"/>
    <n v="4.4000000000000004"/>
    <n v="0"/>
    <n v="0"/>
    <n v="0"/>
    <n v="0"/>
    <n v="0"/>
    <n v="0"/>
    <n v="0"/>
    <n v="0"/>
    <n v="0"/>
  </r>
  <r>
    <x v="125"/>
    <x v="121"/>
    <m/>
    <x v="4"/>
    <s v="H14"/>
    <x v="1"/>
    <s v="H1816-20:V191-15"/>
    <s v="Umeå"/>
    <m/>
    <s v="HEMK"/>
    <m/>
    <n v="100"/>
    <x v="6"/>
    <m/>
    <m/>
    <n v="1"/>
    <n v="0.375"/>
    <n v="0.85"/>
    <n v="0.31874999999999998"/>
    <n v="2750"/>
    <x v="14"/>
    <s v="Sam"/>
    <x v="4"/>
    <n v="18405"/>
    <n v="15773"/>
    <n v="11929.518749999999"/>
    <n v="5800"/>
    <n v="2175"/>
    <n v="14104.518749999999"/>
    <n v="0"/>
    <n v="0"/>
    <n v="0"/>
    <n v="0"/>
    <n v="0"/>
    <n v="0"/>
    <n v="1"/>
    <n v="0"/>
    <n v="0"/>
    <n v="0"/>
    <n v="0"/>
    <n v="0"/>
    <s v="Enl Ladok 190318"/>
    <s v="Läser 22,5 av 30 hp denna termin"/>
    <n v="0"/>
    <n v="0"/>
    <n v="0"/>
    <n v="0"/>
    <n v="0"/>
    <n v="0"/>
    <n v="0"/>
    <n v="0"/>
    <n v="0"/>
    <n v="0"/>
    <n v="0"/>
    <n v="0"/>
    <n v="0.375"/>
    <n v="0.31874999999999998"/>
    <n v="0"/>
    <n v="0"/>
    <n v="0"/>
    <n v="0"/>
    <n v="0"/>
    <n v="0"/>
    <n v="0"/>
    <n v="0"/>
    <n v="0"/>
  </r>
  <r>
    <x v="126"/>
    <x v="122"/>
    <m/>
    <x v="0"/>
    <m/>
    <x v="1"/>
    <m/>
    <m/>
    <s v="Distans"/>
    <m/>
    <m/>
    <n v="100"/>
    <x v="7"/>
    <m/>
    <m/>
    <n v="35"/>
    <n v="17.5"/>
    <n v="0.8"/>
    <n v="14"/>
    <n v="2750"/>
    <x v="14"/>
    <s v="Sam"/>
    <x v="0"/>
    <n v="19473"/>
    <n v="34806"/>
    <n v="828061.5"/>
    <n v="21800"/>
    <n v="381500"/>
    <n v="1209561.5"/>
    <n v="0"/>
    <n v="0"/>
    <n v="0"/>
    <n v="0"/>
    <n v="0"/>
    <n v="1"/>
    <n v="0"/>
    <n v="0"/>
    <n v="0"/>
    <n v="0"/>
    <n v="0"/>
    <n v="0"/>
    <s v="Enl Ladok 190318"/>
    <s v="Äskat - Beslut p43 180607"/>
    <n v="0"/>
    <n v="0"/>
    <n v="0"/>
    <n v="0"/>
    <n v="0"/>
    <n v="0"/>
    <n v="0"/>
    <n v="0"/>
    <n v="0"/>
    <n v="0"/>
    <n v="17.5"/>
    <n v="14"/>
    <n v="0"/>
    <n v="0"/>
    <n v="0"/>
    <n v="0"/>
    <n v="0"/>
    <n v="0"/>
    <n v="0"/>
    <n v="0"/>
    <n v="0"/>
    <n v="0"/>
    <n v="0"/>
  </r>
  <r>
    <x v="127"/>
    <x v="123"/>
    <m/>
    <x v="0"/>
    <m/>
    <x v="0"/>
    <s v="Sommarkurs"/>
    <m/>
    <s v="Distans"/>
    <m/>
    <m/>
    <n v="50"/>
    <x v="0"/>
    <m/>
    <m/>
    <n v="28"/>
    <n v="3.5"/>
    <n v="0.8"/>
    <n v="2.8000000000000003"/>
    <n v="1650"/>
    <x v="11"/>
    <s v="Hum"/>
    <x v="0"/>
    <n v="17659.5"/>
    <n v="30866"/>
    <n v="148233.04999999999"/>
    <n v="19550"/>
    <n v="68425"/>
    <n v="216658.05"/>
    <n v="0"/>
    <n v="0"/>
    <n v="0"/>
    <n v="0"/>
    <n v="0"/>
    <n v="0"/>
    <n v="0"/>
    <n v="0.5"/>
    <n v="0"/>
    <n v="0"/>
    <n v="0.5"/>
    <n v="0"/>
    <s v="Enl Ladok 190821"/>
    <s v="Ej äskat"/>
    <n v="0"/>
    <n v="0"/>
    <n v="0"/>
    <n v="0"/>
    <n v="0"/>
    <n v="0"/>
    <n v="0"/>
    <n v="0"/>
    <n v="0"/>
    <n v="0"/>
    <n v="0"/>
    <n v="0"/>
    <n v="0"/>
    <n v="0"/>
    <n v="1.75"/>
    <n v="1.4000000000000001"/>
    <n v="0"/>
    <n v="0"/>
    <n v="0"/>
    <n v="1.75"/>
    <n v="1.4000000000000001"/>
    <n v="0"/>
    <n v="0"/>
  </r>
  <r>
    <x v="128"/>
    <x v="124"/>
    <m/>
    <x v="0"/>
    <m/>
    <x v="0"/>
    <s v="Sommarkurs"/>
    <m/>
    <s v="Distans"/>
    <m/>
    <m/>
    <n v="50"/>
    <x v="0"/>
    <m/>
    <m/>
    <n v="14"/>
    <n v="1.75"/>
    <n v="0.8"/>
    <n v="1.4000000000000001"/>
    <n v="1650"/>
    <x v="11"/>
    <s v="Hum"/>
    <x v="0"/>
    <n v="24603.5"/>
    <n v="39785"/>
    <n v="98755.125"/>
    <n v="37950"/>
    <n v="66412.5"/>
    <n v="165167.625"/>
    <n v="0"/>
    <n v="0.5"/>
    <n v="0"/>
    <n v="0"/>
    <n v="0.5"/>
    <n v="0"/>
    <n v="0"/>
    <n v="0"/>
    <n v="0"/>
    <n v="0"/>
    <n v="0"/>
    <n v="0"/>
    <s v="Enl Ladok 190821"/>
    <s v="Ej äskat"/>
    <n v="0"/>
    <n v="0"/>
    <n v="0.875"/>
    <n v="0.70000000000000007"/>
    <n v="0"/>
    <n v="0"/>
    <n v="0"/>
    <n v="0"/>
    <n v="0.875"/>
    <n v="0.70000000000000007"/>
    <n v="0"/>
    <n v="0"/>
    <n v="0"/>
    <n v="0"/>
    <n v="0"/>
    <n v="0"/>
    <n v="0"/>
    <n v="0"/>
    <n v="0"/>
    <n v="0"/>
    <n v="0"/>
    <n v="0"/>
    <n v="0"/>
  </r>
  <r>
    <x v="129"/>
    <x v="125"/>
    <m/>
    <x v="0"/>
    <m/>
    <x v="1"/>
    <m/>
    <m/>
    <s v="Distans"/>
    <m/>
    <m/>
    <n v="15"/>
    <x v="9"/>
    <m/>
    <m/>
    <n v="27"/>
    <n v="2.25"/>
    <n v="0.8"/>
    <n v="1.8"/>
    <n v="1620"/>
    <x v="10"/>
    <s v="Hum"/>
    <x v="0"/>
    <n v="18405"/>
    <n v="15773"/>
    <n v="69802.649999999994"/>
    <n v="5800"/>
    <n v="13050"/>
    <n v="82852.649999999994"/>
    <n v="0"/>
    <n v="1"/>
    <n v="0"/>
    <n v="0"/>
    <n v="0"/>
    <n v="0"/>
    <n v="0"/>
    <n v="0"/>
    <n v="0"/>
    <n v="0"/>
    <n v="0"/>
    <n v="0"/>
    <s v="Enl Ladok 190515"/>
    <m/>
    <n v="0"/>
    <n v="0"/>
    <n v="2.25"/>
    <n v="1.8"/>
    <n v="0"/>
    <n v="0"/>
    <n v="0"/>
    <n v="0"/>
    <n v="0"/>
    <n v="0"/>
    <n v="0"/>
    <n v="0"/>
    <n v="0"/>
    <n v="0"/>
    <n v="0"/>
    <n v="0"/>
    <n v="0"/>
    <n v="0"/>
    <n v="0"/>
    <n v="0"/>
    <n v="0"/>
    <n v="0"/>
    <n v="0"/>
  </r>
  <r>
    <x v="129"/>
    <x v="125"/>
    <m/>
    <x v="0"/>
    <m/>
    <x v="2"/>
    <m/>
    <m/>
    <s v="Campus"/>
    <m/>
    <m/>
    <n v="25"/>
    <x v="9"/>
    <m/>
    <m/>
    <n v="35"/>
    <n v="2.9166666666666665"/>
    <n v="0.8"/>
    <n v="2.3333333333333335"/>
    <n v="1620"/>
    <x v="10"/>
    <s v="Hum"/>
    <x v="0"/>
    <n v="18405"/>
    <n v="15773"/>
    <n v="90484.916666666672"/>
    <n v="5800"/>
    <n v="16916.666666666664"/>
    <n v="107401.58333333334"/>
    <n v="0"/>
    <n v="1"/>
    <n v="0"/>
    <n v="0"/>
    <n v="0"/>
    <n v="0"/>
    <n v="0"/>
    <n v="0"/>
    <n v="0"/>
    <n v="0"/>
    <n v="0"/>
    <n v="0"/>
    <s v="Äskat - Beslut p43 180607"/>
    <m/>
    <n v="0"/>
    <n v="0"/>
    <n v="2.9166666666666665"/>
    <n v="2.3333333333333335"/>
    <n v="0"/>
    <n v="0"/>
    <n v="0"/>
    <n v="0"/>
    <n v="0"/>
    <n v="0"/>
    <n v="0"/>
    <n v="0"/>
    <n v="0"/>
    <n v="0"/>
    <n v="0"/>
    <n v="0"/>
    <n v="0"/>
    <n v="0"/>
    <n v="0"/>
    <n v="0"/>
    <n v="0"/>
    <n v="0"/>
    <n v="0"/>
  </r>
  <r>
    <x v="130"/>
    <x v="126"/>
    <m/>
    <x v="0"/>
    <m/>
    <x v="1"/>
    <m/>
    <m/>
    <s v="Distans"/>
    <m/>
    <m/>
    <n v="25"/>
    <x v="0"/>
    <m/>
    <m/>
    <n v="0"/>
    <n v="0"/>
    <n v="0.8"/>
    <n v="0"/>
    <n v="1620"/>
    <x v="10"/>
    <s v="Hum"/>
    <x v="0"/>
    <n v="18405"/>
    <n v="15773"/>
    <n v="0"/>
    <n v="5800"/>
    <n v="0"/>
    <n v="0"/>
    <n v="0"/>
    <n v="1"/>
    <n v="0"/>
    <n v="0"/>
    <n v="0"/>
    <n v="0"/>
    <n v="0"/>
    <n v="0"/>
    <n v="0"/>
    <n v="0"/>
    <n v="0"/>
    <n v="0"/>
    <s v="Enl Ladok 190515"/>
    <s v="Äskat - Beslut p43 180607"/>
    <n v="0"/>
    <n v="0"/>
    <n v="0"/>
    <n v="0"/>
    <n v="0"/>
    <n v="0"/>
    <n v="0"/>
    <n v="0"/>
    <n v="0"/>
    <n v="0"/>
    <n v="0"/>
    <n v="0"/>
    <n v="0"/>
    <n v="0"/>
    <n v="0"/>
    <n v="0"/>
    <n v="0"/>
    <n v="0"/>
    <n v="0"/>
    <n v="0"/>
    <n v="0"/>
    <n v="0"/>
    <n v="0"/>
  </r>
  <r>
    <x v="131"/>
    <x v="127"/>
    <m/>
    <x v="0"/>
    <m/>
    <x v="1"/>
    <m/>
    <m/>
    <s v="Distans"/>
    <m/>
    <m/>
    <n v="50"/>
    <x v="1"/>
    <m/>
    <m/>
    <n v="2"/>
    <n v="0.5"/>
    <n v="0.8"/>
    <n v="0.4"/>
    <n v="1620"/>
    <x v="10"/>
    <s v="Hum"/>
    <x v="0"/>
    <n v="18405"/>
    <n v="15773"/>
    <n v="15511.7"/>
    <n v="5800"/>
    <n v="2900"/>
    <n v="18411.7"/>
    <n v="0"/>
    <n v="1"/>
    <n v="0"/>
    <n v="0"/>
    <n v="0"/>
    <n v="0"/>
    <n v="0"/>
    <n v="0"/>
    <n v="0"/>
    <n v="0"/>
    <n v="0"/>
    <n v="0"/>
    <s v="Enl Ladok 190318"/>
    <s v="Äskat - Beslut p43 180607"/>
    <n v="0"/>
    <n v="0"/>
    <n v="0.5"/>
    <n v="0.4"/>
    <n v="0"/>
    <n v="0"/>
    <n v="0"/>
    <n v="0"/>
    <n v="0"/>
    <n v="0"/>
    <n v="0"/>
    <n v="0"/>
    <n v="0"/>
    <n v="0"/>
    <n v="0"/>
    <n v="0"/>
    <n v="0"/>
    <n v="0"/>
    <n v="0"/>
    <n v="0"/>
    <n v="0"/>
    <n v="0"/>
    <n v="0"/>
  </r>
  <r>
    <x v="131"/>
    <x v="127"/>
    <m/>
    <x v="0"/>
    <m/>
    <x v="2"/>
    <m/>
    <m/>
    <s v="Distans"/>
    <m/>
    <m/>
    <n v="50"/>
    <x v="1"/>
    <m/>
    <m/>
    <n v="5"/>
    <n v="1.25"/>
    <n v="0.8"/>
    <n v="1"/>
    <n v="1620"/>
    <x v="10"/>
    <s v="Hum"/>
    <x v="0"/>
    <n v="18405"/>
    <n v="15773"/>
    <n v="38779.25"/>
    <n v="5800"/>
    <n v="7250"/>
    <n v="46029.25"/>
    <n v="0"/>
    <n v="1"/>
    <n v="0"/>
    <n v="0"/>
    <n v="0"/>
    <n v="0"/>
    <n v="0"/>
    <n v="0"/>
    <n v="0"/>
    <n v="0"/>
    <n v="0"/>
    <n v="0"/>
    <s v="Äskat - Beslut p43 180607"/>
    <m/>
    <n v="0"/>
    <n v="0"/>
    <n v="1.25"/>
    <n v="1"/>
    <n v="0"/>
    <n v="0"/>
    <n v="0"/>
    <n v="0"/>
    <n v="0"/>
    <n v="0"/>
    <n v="0"/>
    <n v="0"/>
    <n v="0"/>
    <n v="0"/>
    <n v="0"/>
    <n v="0"/>
    <n v="0"/>
    <n v="0"/>
    <n v="0"/>
    <n v="0"/>
    <n v="0"/>
    <n v="0"/>
    <n v="0"/>
  </r>
  <r>
    <x v="132"/>
    <x v="128"/>
    <m/>
    <x v="2"/>
    <s v="H15"/>
    <x v="2"/>
    <s v="H191-10"/>
    <m/>
    <m/>
    <m/>
    <m/>
    <n v="100"/>
    <x v="1"/>
    <m/>
    <m/>
    <n v="1"/>
    <n v="0.25"/>
    <n v="0.85"/>
    <n v="0.21249999999999999"/>
    <n v="1620"/>
    <x v="10"/>
    <s v="Hum"/>
    <x v="2"/>
    <n v="18405"/>
    <n v="15773"/>
    <n v="7953.0124999999998"/>
    <n v="5800"/>
    <n v="1450"/>
    <n v="9403.0125000000007"/>
    <n v="0"/>
    <n v="1"/>
    <n v="0"/>
    <n v="0"/>
    <n v="0"/>
    <n v="0"/>
    <n v="0"/>
    <n v="0"/>
    <n v="0"/>
    <n v="0"/>
    <n v="0"/>
    <n v="0"/>
    <s v="Enligt SP 190924"/>
    <m/>
    <n v="0"/>
    <n v="0"/>
    <n v="0.25"/>
    <n v="0.21249999999999999"/>
    <n v="0"/>
    <n v="0"/>
    <n v="0"/>
    <n v="0"/>
    <n v="0"/>
    <n v="0"/>
    <n v="0"/>
    <n v="0"/>
    <n v="0"/>
    <n v="0"/>
    <n v="0"/>
    <n v="0"/>
    <n v="0"/>
    <n v="0"/>
    <n v="0"/>
    <n v="0"/>
    <n v="0"/>
    <n v="0"/>
    <n v="0"/>
  </r>
  <r>
    <x v="132"/>
    <x v="128"/>
    <m/>
    <x v="2"/>
    <s v="H16"/>
    <x v="2"/>
    <s v="H191-10"/>
    <m/>
    <m/>
    <m/>
    <m/>
    <n v="100"/>
    <x v="1"/>
    <m/>
    <m/>
    <n v="1"/>
    <n v="0.25"/>
    <n v="0.85"/>
    <n v="0.21249999999999999"/>
    <n v="1620"/>
    <x v="10"/>
    <s v="Hum"/>
    <x v="2"/>
    <n v="18405"/>
    <n v="15773"/>
    <n v="7953.0124999999998"/>
    <n v="5800"/>
    <n v="1450"/>
    <n v="9403.0125000000007"/>
    <n v="0"/>
    <n v="1"/>
    <n v="0"/>
    <n v="0"/>
    <n v="0"/>
    <n v="0"/>
    <n v="0"/>
    <n v="0"/>
    <n v="0"/>
    <n v="0"/>
    <n v="0"/>
    <n v="0"/>
    <s v="Enligt SP 190924"/>
    <m/>
    <n v="0"/>
    <n v="0"/>
    <n v="0.25"/>
    <n v="0.21249999999999999"/>
    <n v="0"/>
    <n v="0"/>
    <n v="0"/>
    <n v="0"/>
    <n v="0"/>
    <n v="0"/>
    <n v="0"/>
    <n v="0"/>
    <n v="0"/>
    <n v="0"/>
    <n v="0"/>
    <n v="0"/>
    <n v="0"/>
    <n v="0"/>
    <n v="0"/>
    <n v="0"/>
    <n v="0"/>
    <n v="0"/>
    <n v="0"/>
  </r>
  <r>
    <x v="132"/>
    <x v="128"/>
    <m/>
    <x v="2"/>
    <s v="H17"/>
    <x v="2"/>
    <s v="H191-10"/>
    <m/>
    <m/>
    <m/>
    <m/>
    <n v="100"/>
    <x v="1"/>
    <m/>
    <m/>
    <n v="34"/>
    <n v="8.5"/>
    <n v="0.85"/>
    <n v="7.2249999999999996"/>
    <n v="1620"/>
    <x v="10"/>
    <s v="Hum"/>
    <x v="2"/>
    <n v="18405"/>
    <n v="15773"/>
    <n v="270402.42499999999"/>
    <n v="5800"/>
    <n v="49300"/>
    <n v="319702.42499999999"/>
    <n v="0"/>
    <n v="1"/>
    <n v="0"/>
    <n v="0"/>
    <n v="0"/>
    <n v="0"/>
    <n v="0"/>
    <n v="0"/>
    <n v="0"/>
    <n v="0"/>
    <n v="0"/>
    <n v="0"/>
    <s v="Enligt SP 190924"/>
    <m/>
    <n v="0"/>
    <n v="0"/>
    <n v="8.5"/>
    <n v="7.2249999999999996"/>
    <n v="0"/>
    <n v="0"/>
    <n v="0"/>
    <n v="0"/>
    <n v="0"/>
    <n v="0"/>
    <n v="0"/>
    <n v="0"/>
    <n v="0"/>
    <n v="0"/>
    <n v="0"/>
    <n v="0"/>
    <n v="0"/>
    <n v="0"/>
    <n v="0"/>
    <n v="0"/>
    <n v="0"/>
    <n v="0"/>
    <n v="0"/>
  </r>
  <r>
    <x v="133"/>
    <x v="129"/>
    <m/>
    <x v="5"/>
    <s v="H18"/>
    <x v="1"/>
    <s v="H1816-20:V191-9"/>
    <s v="Umeå"/>
    <m/>
    <m/>
    <m/>
    <n v="50"/>
    <x v="9"/>
    <m/>
    <m/>
    <n v="16"/>
    <n v="1.3333333333333333"/>
    <n v="0.85"/>
    <n v="1.1333333333333333"/>
    <n v="1630"/>
    <x v="12"/>
    <s v="Hum"/>
    <x v="5"/>
    <n v="23641"/>
    <n v="28786"/>
    <n v="64145.46666666666"/>
    <n v="5800"/>
    <n v="7733.333333333333"/>
    <n v="71878.799999999988"/>
    <n v="0"/>
    <n v="0"/>
    <n v="0"/>
    <n v="1"/>
    <n v="0"/>
    <n v="0"/>
    <n v="0"/>
    <n v="0"/>
    <n v="0"/>
    <n v="0"/>
    <n v="0"/>
    <n v="0"/>
    <s v="Enl Ladok 190318"/>
    <s v="Läser 5 av 10 hp denna termin"/>
    <n v="0"/>
    <n v="0"/>
    <n v="0"/>
    <n v="0"/>
    <n v="0"/>
    <n v="0"/>
    <n v="1.3333333333333333"/>
    <n v="1.1333333333333333"/>
    <n v="0"/>
    <n v="0"/>
    <n v="0"/>
    <n v="0"/>
    <n v="0"/>
    <n v="0"/>
    <n v="0"/>
    <n v="0"/>
    <n v="0"/>
    <n v="0"/>
    <n v="0"/>
    <n v="0"/>
    <n v="0"/>
    <n v="0"/>
    <n v="0"/>
  </r>
  <r>
    <x v="133"/>
    <x v="129"/>
    <m/>
    <x v="5"/>
    <s v="H19"/>
    <x v="2"/>
    <s v="H1916-20:V201-9"/>
    <m/>
    <m/>
    <s v="GRHF"/>
    <m/>
    <n v="50"/>
    <x v="9"/>
    <m/>
    <m/>
    <n v="18"/>
    <n v="1.5"/>
    <n v="0.85"/>
    <n v="1.2749999999999999"/>
    <n v="1630"/>
    <x v="12"/>
    <s v="Hum"/>
    <x v="5"/>
    <n v="23641"/>
    <n v="28786"/>
    <n v="72163.649999999994"/>
    <n v="5800"/>
    <n v="8700"/>
    <n v="80863.649999999994"/>
    <n v="0"/>
    <n v="0"/>
    <n v="0"/>
    <n v="1"/>
    <n v="0"/>
    <n v="0"/>
    <n v="0"/>
    <n v="0"/>
    <n v="0"/>
    <n v="0"/>
    <n v="0"/>
    <n v="0"/>
    <s v="Enligt SP 190924"/>
    <s v="Läser 5 av 10 hp denna termin"/>
    <n v="0"/>
    <n v="0"/>
    <n v="0"/>
    <n v="0"/>
    <n v="0"/>
    <n v="0"/>
    <n v="1.5"/>
    <n v="1.2749999999999999"/>
    <n v="0"/>
    <n v="0"/>
    <n v="0"/>
    <n v="0"/>
    <n v="0"/>
    <n v="0"/>
    <n v="0"/>
    <n v="0"/>
    <n v="0"/>
    <n v="0"/>
    <n v="0"/>
    <n v="0"/>
    <n v="0"/>
    <n v="0"/>
    <n v="0"/>
  </r>
  <r>
    <x v="133"/>
    <x v="129"/>
    <m/>
    <x v="5"/>
    <s v="V08"/>
    <x v="2"/>
    <s v="H1916-20:V201-9"/>
    <m/>
    <m/>
    <s v="GRHF"/>
    <m/>
    <n v="50"/>
    <x v="9"/>
    <m/>
    <m/>
    <n v="1"/>
    <n v="8.3333333333333329E-2"/>
    <n v="0.85"/>
    <n v="7.0833333333333331E-2"/>
    <n v="1630"/>
    <x v="12"/>
    <s v="Hum"/>
    <x v="5"/>
    <n v="23641"/>
    <n v="28786"/>
    <n v="4009.0916666666662"/>
    <n v="5800"/>
    <n v="483.33333333333331"/>
    <n v="4492.4249999999993"/>
    <n v="0"/>
    <n v="0"/>
    <n v="0"/>
    <n v="1"/>
    <n v="0"/>
    <n v="0"/>
    <n v="0"/>
    <n v="0"/>
    <n v="0"/>
    <n v="0"/>
    <n v="0"/>
    <n v="0"/>
    <s v="Enligt SP 190924"/>
    <s v="Läser 5 av 10 hp denna termin"/>
    <n v="0"/>
    <n v="0"/>
    <n v="0"/>
    <n v="0"/>
    <n v="0"/>
    <n v="0"/>
    <n v="8.3333333333333329E-2"/>
    <n v="7.0833333333333331E-2"/>
    <n v="0"/>
    <n v="0"/>
    <n v="0"/>
    <n v="0"/>
    <n v="0"/>
    <n v="0"/>
    <n v="0"/>
    <n v="0"/>
    <n v="0"/>
    <n v="0"/>
    <n v="0"/>
    <n v="0"/>
    <n v="0"/>
    <n v="0"/>
    <n v="0"/>
  </r>
  <r>
    <x v="133"/>
    <x v="129"/>
    <m/>
    <x v="6"/>
    <s v="H18"/>
    <x v="1"/>
    <s v="H1816-20:V191-9"/>
    <s v="Umeå"/>
    <m/>
    <m/>
    <m/>
    <n v="50"/>
    <x v="9"/>
    <m/>
    <m/>
    <n v="8"/>
    <n v="0.66666666666666663"/>
    <n v="0.85"/>
    <n v="0.56666666666666665"/>
    <n v="1630"/>
    <x v="12"/>
    <s v="Hum"/>
    <x v="6"/>
    <n v="23641"/>
    <n v="28786"/>
    <n v="32072.73333333333"/>
    <n v="5800"/>
    <n v="3866.6666666666665"/>
    <n v="35939.399999999994"/>
    <n v="0"/>
    <n v="0"/>
    <n v="0"/>
    <n v="1"/>
    <n v="0"/>
    <n v="0"/>
    <n v="0"/>
    <n v="0"/>
    <n v="0"/>
    <n v="0"/>
    <n v="0"/>
    <n v="0"/>
    <s v="Enl Ladok 190318"/>
    <s v="Läser 5 av 10 hp denna termin"/>
    <n v="0"/>
    <n v="0"/>
    <n v="0"/>
    <n v="0"/>
    <n v="0"/>
    <n v="0"/>
    <n v="0.66666666666666663"/>
    <n v="0.56666666666666665"/>
    <n v="0"/>
    <n v="0"/>
    <n v="0"/>
    <n v="0"/>
    <n v="0"/>
    <n v="0"/>
    <n v="0"/>
    <n v="0"/>
    <n v="0"/>
    <n v="0"/>
    <n v="0"/>
    <n v="0"/>
    <n v="0"/>
    <n v="0"/>
    <n v="0"/>
  </r>
  <r>
    <x v="133"/>
    <x v="129"/>
    <m/>
    <x v="6"/>
    <s v="H19"/>
    <x v="2"/>
    <s v="H1916-20:V201-9"/>
    <m/>
    <m/>
    <s v="GYHF"/>
    <m/>
    <n v="50"/>
    <x v="9"/>
    <m/>
    <m/>
    <n v="4"/>
    <n v="0.33333333333333331"/>
    <n v="0.85"/>
    <n v="0.28333333333333333"/>
    <n v="1630"/>
    <x v="12"/>
    <s v="Hum"/>
    <x v="6"/>
    <n v="23641"/>
    <n v="28786"/>
    <n v="16036.366666666665"/>
    <n v="5800"/>
    <n v="1933.3333333333333"/>
    <n v="17969.699999999997"/>
    <n v="0"/>
    <n v="0"/>
    <n v="0"/>
    <n v="1"/>
    <n v="0"/>
    <n v="0"/>
    <n v="0"/>
    <n v="0"/>
    <n v="0"/>
    <n v="0"/>
    <n v="0"/>
    <n v="0"/>
    <s v="Enligt SP 190924"/>
    <s v="Läser 5 av 10 hp denna termin"/>
    <n v="0"/>
    <n v="0"/>
    <n v="0"/>
    <n v="0"/>
    <n v="0"/>
    <n v="0"/>
    <n v="0.33333333333333331"/>
    <n v="0.28333333333333333"/>
    <n v="0"/>
    <n v="0"/>
    <n v="0"/>
    <n v="0"/>
    <n v="0"/>
    <n v="0"/>
    <n v="0"/>
    <n v="0"/>
    <n v="0"/>
    <n v="0"/>
    <n v="0"/>
    <n v="0"/>
    <n v="0"/>
    <n v="0"/>
    <n v="0"/>
  </r>
  <r>
    <x v="133"/>
    <x v="129"/>
    <m/>
    <x v="9"/>
    <s v="H17"/>
    <x v="1"/>
    <s v="H1816-20:V191-9"/>
    <s v="Umeå"/>
    <m/>
    <m/>
    <m/>
    <n v="50"/>
    <x v="9"/>
    <m/>
    <m/>
    <n v="0"/>
    <n v="0"/>
    <n v="0.85"/>
    <n v="0"/>
    <n v="1630"/>
    <x v="12"/>
    <s v="Hum"/>
    <x v="9"/>
    <n v="23641"/>
    <n v="28786"/>
    <n v="0"/>
    <n v="5800"/>
    <n v="0"/>
    <n v="0"/>
    <n v="0"/>
    <n v="0"/>
    <n v="0"/>
    <n v="1"/>
    <n v="0"/>
    <n v="0"/>
    <n v="0"/>
    <n v="0"/>
    <n v="0"/>
    <n v="0"/>
    <n v="0"/>
    <n v="0"/>
    <s v="Enl Ladok 190318"/>
    <s v="Läser 5 av 10 hp denna termin"/>
    <n v="0"/>
    <n v="0"/>
    <n v="0"/>
    <n v="0"/>
    <n v="0"/>
    <n v="0"/>
    <n v="0"/>
    <n v="0"/>
    <n v="0"/>
    <n v="0"/>
    <n v="0"/>
    <n v="0"/>
    <n v="0"/>
    <n v="0"/>
    <n v="0"/>
    <n v="0"/>
    <n v="0"/>
    <n v="0"/>
    <n v="0"/>
    <n v="0"/>
    <n v="0"/>
    <n v="0"/>
    <n v="0"/>
  </r>
  <r>
    <x v="133"/>
    <x v="129"/>
    <m/>
    <x v="9"/>
    <s v="H18"/>
    <x v="1"/>
    <s v="H1816-20:V191-9"/>
    <s v="Umeå"/>
    <m/>
    <m/>
    <m/>
    <n v="50"/>
    <x v="9"/>
    <m/>
    <m/>
    <n v="0"/>
    <n v="0"/>
    <n v="0.85"/>
    <n v="0"/>
    <n v="1630"/>
    <x v="12"/>
    <s v="Hum"/>
    <x v="9"/>
    <n v="23641"/>
    <n v="28786"/>
    <n v="0"/>
    <n v="5800"/>
    <n v="0"/>
    <n v="0"/>
    <n v="0"/>
    <n v="0"/>
    <n v="0"/>
    <n v="1"/>
    <n v="0"/>
    <n v="0"/>
    <n v="0"/>
    <n v="0"/>
    <n v="0"/>
    <n v="0"/>
    <n v="0"/>
    <n v="0"/>
    <s v="Enl Ladok 190318"/>
    <s v="Läser 5 av 10 hp denna termin"/>
    <n v="0"/>
    <n v="0"/>
    <n v="0"/>
    <n v="0"/>
    <n v="0"/>
    <n v="0"/>
    <n v="0"/>
    <n v="0"/>
    <n v="0"/>
    <n v="0"/>
    <n v="0"/>
    <n v="0"/>
    <n v="0"/>
    <n v="0"/>
    <n v="0"/>
    <n v="0"/>
    <n v="0"/>
    <n v="0"/>
    <n v="0"/>
    <n v="0"/>
    <n v="0"/>
    <n v="0"/>
    <n v="0"/>
  </r>
  <r>
    <x v="133"/>
    <x v="129"/>
    <m/>
    <x v="9"/>
    <s v="H18"/>
    <x v="1"/>
    <s v="H1816-20:V191-9"/>
    <s v="Umeå"/>
    <m/>
    <m/>
    <m/>
    <n v="50"/>
    <x v="9"/>
    <m/>
    <m/>
    <n v="43"/>
    <n v="3.583333333333333"/>
    <n v="0.85"/>
    <n v="3.0458333333333329"/>
    <n v="1630"/>
    <x v="12"/>
    <s v="Hum"/>
    <x v="9"/>
    <n v="23641"/>
    <n v="28786"/>
    <n v="172390.94166666665"/>
    <n v="5800"/>
    <n v="20783.333333333332"/>
    <n v="193174.27499999999"/>
    <n v="0"/>
    <n v="0"/>
    <n v="0"/>
    <n v="1"/>
    <n v="0"/>
    <n v="0"/>
    <n v="0"/>
    <n v="0"/>
    <n v="0"/>
    <n v="0"/>
    <n v="0"/>
    <n v="0"/>
    <s v="Enl Ladok 190318"/>
    <s v="Läser 5 av 10 hp denna termin"/>
    <n v="0"/>
    <n v="0"/>
    <n v="0"/>
    <n v="0"/>
    <n v="0"/>
    <n v="0"/>
    <n v="3.583333333333333"/>
    <n v="3.0458333333333329"/>
    <n v="0"/>
    <n v="0"/>
    <n v="0"/>
    <n v="0"/>
    <n v="0"/>
    <n v="0"/>
    <n v="0"/>
    <n v="0"/>
    <n v="0"/>
    <n v="0"/>
    <n v="0"/>
    <n v="0"/>
    <n v="0"/>
    <n v="0"/>
    <n v="0"/>
  </r>
  <r>
    <x v="133"/>
    <x v="129"/>
    <m/>
    <x v="9"/>
    <s v="H19"/>
    <x v="2"/>
    <s v="H1916-20:V201-9"/>
    <m/>
    <m/>
    <m/>
    <m/>
    <n v="50"/>
    <x v="9"/>
    <n v="-0.1"/>
    <n v="74"/>
    <n v="66.599999999999994"/>
    <n v="5.5499999999999989"/>
    <n v="0.85"/>
    <n v="4.7174999999999994"/>
    <n v="1630"/>
    <x v="12"/>
    <s v="Hum"/>
    <x v="9"/>
    <n v="23641"/>
    <n v="28786"/>
    <n v="267005.505"/>
    <n v="5800"/>
    <n v="32189.999999999993"/>
    <n v="299195.505"/>
    <n v="0"/>
    <n v="0"/>
    <n v="0"/>
    <n v="1"/>
    <n v="0"/>
    <n v="0"/>
    <n v="0"/>
    <n v="0"/>
    <n v="0"/>
    <n v="0"/>
    <n v="0"/>
    <n v="0"/>
    <s v="Prognostal"/>
    <s v="Läser 5 av 10 hp denna termin"/>
    <n v="0"/>
    <n v="0"/>
    <n v="0"/>
    <n v="0"/>
    <n v="0"/>
    <n v="0"/>
    <n v="5.5499999999999989"/>
    <n v="4.7174999999999994"/>
    <n v="0"/>
    <n v="0"/>
    <n v="0"/>
    <n v="0"/>
    <n v="0"/>
    <n v="0"/>
    <n v="0"/>
    <n v="0"/>
    <n v="0"/>
    <n v="0"/>
    <n v="0"/>
    <n v="0"/>
    <n v="0"/>
    <n v="0"/>
    <n v="0"/>
  </r>
  <r>
    <x v="134"/>
    <x v="130"/>
    <m/>
    <x v="5"/>
    <s v="H19"/>
    <x v="2"/>
    <s v="H191-15"/>
    <m/>
    <m/>
    <s v="GRHF"/>
    <m/>
    <n v="50"/>
    <x v="10"/>
    <m/>
    <m/>
    <n v="18"/>
    <n v="3"/>
    <n v="0.85"/>
    <n v="2.5499999999999998"/>
    <n v="1630"/>
    <x v="12"/>
    <s v="Hum"/>
    <x v="5"/>
    <n v="23641"/>
    <n v="28786"/>
    <n v="144327.29999999999"/>
    <n v="5800"/>
    <n v="17400"/>
    <n v="161727.29999999999"/>
    <n v="0"/>
    <n v="0"/>
    <n v="0"/>
    <n v="1"/>
    <n v="0"/>
    <n v="0"/>
    <n v="0"/>
    <n v="0"/>
    <n v="0"/>
    <n v="0"/>
    <n v="0"/>
    <n v="0"/>
    <s v="Enligt SP 190924"/>
    <m/>
    <n v="0"/>
    <n v="0"/>
    <n v="0"/>
    <n v="0"/>
    <n v="0"/>
    <n v="0"/>
    <n v="3"/>
    <n v="2.5499999999999998"/>
    <n v="0"/>
    <n v="0"/>
    <n v="0"/>
    <n v="0"/>
    <n v="0"/>
    <n v="0"/>
    <n v="0"/>
    <n v="0"/>
    <n v="0"/>
    <n v="0"/>
    <n v="0"/>
    <n v="0"/>
    <n v="0"/>
    <n v="0"/>
    <n v="0"/>
  </r>
  <r>
    <x v="134"/>
    <x v="130"/>
    <m/>
    <x v="5"/>
    <s v="V08"/>
    <x v="2"/>
    <s v="H191-15"/>
    <m/>
    <m/>
    <s v="GRHF"/>
    <m/>
    <n v="50"/>
    <x v="10"/>
    <m/>
    <m/>
    <n v="1"/>
    <n v="0.16666666666666666"/>
    <n v="0.85"/>
    <n v="0.14166666666666666"/>
    <n v="1630"/>
    <x v="12"/>
    <s v="Hum"/>
    <x v="5"/>
    <n v="23641"/>
    <n v="28786"/>
    <n v="8018.1833333333325"/>
    <n v="5800"/>
    <n v="966.66666666666663"/>
    <n v="8984.8499999999985"/>
    <n v="0"/>
    <n v="0"/>
    <n v="0"/>
    <n v="1"/>
    <n v="0"/>
    <n v="0"/>
    <n v="0"/>
    <n v="0"/>
    <n v="0"/>
    <n v="0"/>
    <n v="0"/>
    <n v="0"/>
    <s v="Enligt SP 190924"/>
    <m/>
    <n v="0"/>
    <n v="0"/>
    <n v="0"/>
    <n v="0"/>
    <n v="0"/>
    <n v="0"/>
    <n v="0.16666666666666666"/>
    <n v="0.14166666666666666"/>
    <n v="0"/>
    <n v="0"/>
    <n v="0"/>
    <n v="0"/>
    <n v="0"/>
    <n v="0"/>
    <n v="0"/>
    <n v="0"/>
    <n v="0"/>
    <n v="0"/>
    <n v="0"/>
    <n v="0"/>
    <n v="0"/>
    <n v="0"/>
    <n v="0"/>
  </r>
  <r>
    <x v="134"/>
    <x v="130"/>
    <m/>
    <x v="6"/>
    <s v="H19"/>
    <x v="2"/>
    <s v="H191-15"/>
    <m/>
    <m/>
    <s v="GYHF"/>
    <m/>
    <n v="50"/>
    <x v="10"/>
    <m/>
    <m/>
    <n v="4"/>
    <n v="0.66666666666666663"/>
    <n v="0.85"/>
    <n v="0.56666666666666665"/>
    <n v="1630"/>
    <x v="12"/>
    <s v="Hum"/>
    <x v="6"/>
    <n v="23641"/>
    <n v="28786"/>
    <n v="32072.73333333333"/>
    <n v="5800"/>
    <n v="3866.6666666666665"/>
    <n v="35939.399999999994"/>
    <n v="0"/>
    <n v="0"/>
    <n v="0"/>
    <n v="1"/>
    <n v="0"/>
    <n v="0"/>
    <n v="0"/>
    <n v="0"/>
    <n v="0"/>
    <n v="0"/>
    <n v="0"/>
    <n v="0"/>
    <s v="Enligt SP 190924"/>
    <m/>
    <n v="0"/>
    <n v="0"/>
    <n v="0"/>
    <n v="0"/>
    <n v="0"/>
    <n v="0"/>
    <n v="0.66666666666666663"/>
    <n v="0.56666666666666665"/>
    <n v="0"/>
    <n v="0"/>
    <n v="0"/>
    <n v="0"/>
    <n v="0"/>
    <n v="0"/>
    <n v="0"/>
    <n v="0"/>
    <n v="0"/>
    <n v="0"/>
    <n v="0"/>
    <n v="0"/>
    <n v="0"/>
    <n v="0"/>
    <n v="0"/>
  </r>
  <r>
    <x v="134"/>
    <x v="130"/>
    <m/>
    <x v="9"/>
    <s v="H19"/>
    <x v="2"/>
    <s v="H191-15"/>
    <m/>
    <m/>
    <m/>
    <m/>
    <n v="50"/>
    <x v="10"/>
    <m/>
    <m/>
    <n v="74"/>
    <n v="12.333333333333332"/>
    <n v="0.85"/>
    <n v="10.483333333333333"/>
    <n v="1630"/>
    <x v="12"/>
    <s v="Hum"/>
    <x v="9"/>
    <n v="23641"/>
    <n v="28786"/>
    <n v="593345.56666666665"/>
    <n v="5800"/>
    <n v="71533.333333333328"/>
    <n v="664878.9"/>
    <n v="0"/>
    <n v="0"/>
    <n v="0"/>
    <n v="1"/>
    <n v="0"/>
    <n v="0"/>
    <n v="0"/>
    <n v="0"/>
    <n v="0"/>
    <n v="0"/>
    <n v="0"/>
    <n v="0"/>
    <s v="Enligt SP 190924"/>
    <m/>
    <n v="0"/>
    <n v="0"/>
    <n v="0"/>
    <n v="0"/>
    <n v="0"/>
    <n v="0"/>
    <n v="12.333333333333332"/>
    <n v="10.483333333333333"/>
    <n v="0"/>
    <n v="0"/>
    <n v="0"/>
    <n v="0"/>
    <n v="0"/>
    <n v="0"/>
    <n v="0"/>
    <n v="0"/>
    <n v="0"/>
    <n v="0"/>
    <n v="0"/>
    <n v="0"/>
    <n v="0"/>
    <n v="0"/>
    <n v="0"/>
  </r>
  <r>
    <x v="135"/>
    <x v="131"/>
    <m/>
    <x v="3"/>
    <s v="H12"/>
    <x v="1"/>
    <s v="V191-20"/>
    <s v="Umeå"/>
    <m/>
    <m/>
    <m/>
    <n v="100"/>
    <x v="7"/>
    <m/>
    <m/>
    <n v="1"/>
    <n v="0.5"/>
    <n v="0.85"/>
    <n v="0.42499999999999999"/>
    <n v="1630"/>
    <x v="12"/>
    <s v="Hum"/>
    <x v="3"/>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135"/>
    <x v="131"/>
    <m/>
    <x v="3"/>
    <s v="H16"/>
    <x v="1"/>
    <s v="V191-20"/>
    <s v="Umeå"/>
    <m/>
    <m/>
    <m/>
    <n v="100"/>
    <x v="7"/>
    <m/>
    <m/>
    <n v="13"/>
    <n v="6.5"/>
    <n v="0.85"/>
    <n v="5.5249999999999995"/>
    <n v="1630"/>
    <x v="12"/>
    <s v="Hum"/>
    <x v="3"/>
    <n v="18405"/>
    <n v="15773"/>
    <n v="206778.32500000001"/>
    <n v="5800"/>
    <n v="37700"/>
    <n v="244478.32500000001"/>
    <n v="0"/>
    <n v="1"/>
    <n v="0"/>
    <n v="0"/>
    <n v="0"/>
    <n v="0"/>
    <n v="0"/>
    <n v="0"/>
    <n v="0"/>
    <n v="0"/>
    <n v="0"/>
    <n v="0"/>
    <s v="Enl Ladok 190318"/>
    <m/>
    <n v="0"/>
    <n v="0"/>
    <n v="6.5"/>
    <n v="5.5249999999999995"/>
    <n v="0"/>
    <n v="0"/>
    <n v="0"/>
    <n v="0"/>
    <n v="0"/>
    <n v="0"/>
    <n v="0"/>
    <n v="0"/>
    <n v="0"/>
    <n v="0"/>
    <n v="0"/>
    <n v="0"/>
    <n v="0"/>
    <n v="0"/>
    <n v="0"/>
    <n v="0"/>
    <n v="0"/>
    <n v="0"/>
    <n v="0"/>
  </r>
  <r>
    <x v="136"/>
    <x v="132"/>
    <m/>
    <x v="1"/>
    <s v="H17"/>
    <x v="2"/>
    <s v="H1911-15"/>
    <m/>
    <m/>
    <s v="TYSK"/>
    <m/>
    <n v="100"/>
    <x v="0"/>
    <m/>
    <m/>
    <n v="1"/>
    <n v="0.125"/>
    <n v="0.85"/>
    <n v="0.10625"/>
    <n v="1630"/>
    <x v="12"/>
    <s v="Hum"/>
    <x v="1"/>
    <n v="23641"/>
    <n v="28786"/>
    <n v="6013.6374999999998"/>
    <n v="5800"/>
    <n v="725"/>
    <n v="6738.6374999999998"/>
    <n v="0"/>
    <n v="0"/>
    <n v="0"/>
    <n v="1"/>
    <n v="0"/>
    <n v="0"/>
    <n v="0"/>
    <n v="0"/>
    <n v="0"/>
    <n v="0"/>
    <n v="0"/>
    <n v="0"/>
    <s v="Enligt SP 190924"/>
    <m/>
    <n v="0"/>
    <n v="0"/>
    <n v="0"/>
    <n v="0"/>
    <n v="0"/>
    <n v="0"/>
    <n v="0.125"/>
    <n v="0.10625"/>
    <n v="0"/>
    <n v="0"/>
    <n v="0"/>
    <n v="0"/>
    <n v="0"/>
    <n v="0"/>
    <n v="0"/>
    <n v="0"/>
    <n v="0"/>
    <n v="0"/>
    <n v="0"/>
    <n v="0"/>
    <n v="0"/>
    <n v="0"/>
    <n v="0"/>
  </r>
  <r>
    <x v="136"/>
    <x v="132"/>
    <m/>
    <x v="1"/>
    <s v="H18"/>
    <x v="2"/>
    <s v="H1911-15"/>
    <m/>
    <m/>
    <s v="ENGS"/>
    <m/>
    <n v="100"/>
    <x v="0"/>
    <m/>
    <m/>
    <n v="1"/>
    <n v="0.125"/>
    <n v="0.85"/>
    <n v="0.10625"/>
    <n v="1630"/>
    <x v="12"/>
    <s v="Hum"/>
    <x v="1"/>
    <n v="23641"/>
    <n v="28786"/>
    <n v="6013.6374999999998"/>
    <n v="5800"/>
    <n v="725"/>
    <n v="6738.6374999999998"/>
    <n v="0"/>
    <n v="0"/>
    <n v="0"/>
    <n v="1"/>
    <n v="0"/>
    <n v="0"/>
    <n v="0"/>
    <n v="0"/>
    <n v="0"/>
    <n v="0"/>
    <n v="0"/>
    <n v="0"/>
    <s v="Enligt SP 190924"/>
    <m/>
    <n v="0"/>
    <n v="0"/>
    <n v="0"/>
    <n v="0"/>
    <n v="0"/>
    <n v="0"/>
    <n v="0.125"/>
    <n v="0.10625"/>
    <n v="0"/>
    <n v="0"/>
    <n v="0"/>
    <n v="0"/>
    <n v="0"/>
    <n v="0"/>
    <n v="0"/>
    <n v="0"/>
    <n v="0"/>
    <n v="0"/>
    <n v="0"/>
    <n v="0"/>
    <n v="0"/>
    <n v="0"/>
    <n v="0"/>
  </r>
  <r>
    <x v="136"/>
    <x v="132"/>
    <m/>
    <x v="1"/>
    <s v="H18"/>
    <x v="2"/>
    <s v="H1911-15"/>
    <m/>
    <m/>
    <s v="SAMK"/>
    <m/>
    <n v="100"/>
    <x v="0"/>
    <m/>
    <m/>
    <n v="1"/>
    <n v="0.125"/>
    <n v="0.85"/>
    <n v="0.10625"/>
    <n v="1630"/>
    <x v="12"/>
    <s v="Hum"/>
    <x v="1"/>
    <n v="23641"/>
    <n v="28786"/>
    <n v="6013.6374999999998"/>
    <n v="5800"/>
    <n v="725"/>
    <n v="6738.6374999999998"/>
    <n v="0"/>
    <n v="0"/>
    <n v="0"/>
    <n v="1"/>
    <n v="0"/>
    <n v="0"/>
    <n v="0"/>
    <n v="0"/>
    <n v="0"/>
    <n v="0"/>
    <n v="0"/>
    <n v="0"/>
    <s v="Enligt SP 190924"/>
    <m/>
    <n v="0"/>
    <n v="0"/>
    <n v="0"/>
    <n v="0"/>
    <n v="0"/>
    <n v="0"/>
    <n v="0.125"/>
    <n v="0.10625"/>
    <n v="0"/>
    <n v="0"/>
    <n v="0"/>
    <n v="0"/>
    <n v="0"/>
    <n v="0"/>
    <n v="0"/>
    <n v="0"/>
    <n v="0"/>
    <n v="0"/>
    <n v="0"/>
    <n v="0"/>
    <n v="0"/>
    <n v="0"/>
    <n v="0"/>
  </r>
  <r>
    <x v="136"/>
    <x v="132"/>
    <m/>
    <x v="1"/>
    <s v="H19"/>
    <x v="2"/>
    <s v="H1911-15"/>
    <m/>
    <m/>
    <s v="BILÄ"/>
    <m/>
    <n v="100"/>
    <x v="0"/>
    <m/>
    <m/>
    <n v="4"/>
    <n v="0.5"/>
    <n v="0.85"/>
    <n v="0.42499999999999999"/>
    <n v="1630"/>
    <x v="12"/>
    <s v="Hum"/>
    <x v="1"/>
    <n v="23641"/>
    <n v="28786"/>
    <n v="24054.55"/>
    <n v="5800"/>
    <n v="2900"/>
    <n v="26954.55"/>
    <n v="0"/>
    <n v="0"/>
    <n v="0"/>
    <n v="1"/>
    <n v="0"/>
    <n v="0"/>
    <n v="0"/>
    <n v="0"/>
    <n v="0"/>
    <n v="0"/>
    <n v="0"/>
    <n v="0"/>
    <s v="Enligt SP 190924"/>
    <m/>
    <n v="0"/>
    <n v="0"/>
    <n v="0"/>
    <n v="0"/>
    <n v="0"/>
    <n v="0"/>
    <n v="0.5"/>
    <n v="0.42499999999999999"/>
    <n v="0"/>
    <n v="0"/>
    <n v="0"/>
    <n v="0"/>
    <n v="0"/>
    <n v="0"/>
    <n v="0"/>
    <n v="0"/>
    <n v="0"/>
    <n v="0"/>
    <n v="0"/>
    <n v="0"/>
    <n v="0"/>
    <n v="0"/>
    <n v="0"/>
  </r>
  <r>
    <x v="136"/>
    <x v="132"/>
    <m/>
    <x v="1"/>
    <s v="H19"/>
    <x v="2"/>
    <s v="H1911-15"/>
    <m/>
    <m/>
    <s v="BIOL"/>
    <m/>
    <n v="100"/>
    <x v="0"/>
    <m/>
    <m/>
    <n v="4"/>
    <n v="0.5"/>
    <n v="0.85"/>
    <n v="0.42499999999999999"/>
    <n v="1630"/>
    <x v="12"/>
    <s v="Hum"/>
    <x v="1"/>
    <n v="23641"/>
    <n v="28786"/>
    <n v="24054.55"/>
    <n v="5800"/>
    <n v="2900"/>
    <n v="26954.55"/>
    <n v="0"/>
    <n v="0"/>
    <n v="0"/>
    <n v="1"/>
    <n v="0"/>
    <n v="0"/>
    <n v="0"/>
    <n v="0"/>
    <n v="0"/>
    <n v="0"/>
    <n v="0"/>
    <n v="0"/>
    <s v="Enligt SP 190924"/>
    <m/>
    <n v="0"/>
    <n v="0"/>
    <n v="0"/>
    <n v="0"/>
    <n v="0"/>
    <n v="0"/>
    <n v="0.5"/>
    <n v="0.42499999999999999"/>
    <n v="0"/>
    <n v="0"/>
    <n v="0"/>
    <n v="0"/>
    <n v="0"/>
    <n v="0"/>
    <n v="0"/>
    <n v="0"/>
    <n v="0"/>
    <n v="0"/>
    <n v="0"/>
    <n v="0"/>
    <n v="0"/>
    <n v="0"/>
    <n v="0"/>
  </r>
  <r>
    <x v="136"/>
    <x v="132"/>
    <m/>
    <x v="1"/>
    <s v="H19"/>
    <x v="2"/>
    <s v="H1911-15"/>
    <m/>
    <m/>
    <s v="ENGS"/>
    <m/>
    <n v="100"/>
    <x v="0"/>
    <m/>
    <m/>
    <n v="17"/>
    <n v="2.125"/>
    <n v="0.85"/>
    <n v="1.8062499999999999"/>
    <n v="1630"/>
    <x v="12"/>
    <s v="Hum"/>
    <x v="1"/>
    <n v="23641"/>
    <n v="28786"/>
    <n v="102231.83749999999"/>
    <n v="5800"/>
    <n v="12325"/>
    <n v="114556.83749999999"/>
    <n v="0"/>
    <n v="0"/>
    <n v="0"/>
    <n v="1"/>
    <n v="0"/>
    <n v="0"/>
    <n v="0"/>
    <n v="0"/>
    <n v="0"/>
    <n v="0"/>
    <n v="0"/>
    <n v="0"/>
    <s v="Enligt SP 190924"/>
    <m/>
    <n v="0"/>
    <n v="0"/>
    <n v="0"/>
    <n v="0"/>
    <n v="0"/>
    <n v="0"/>
    <n v="2.125"/>
    <n v="1.8062499999999999"/>
    <n v="0"/>
    <n v="0"/>
    <n v="0"/>
    <n v="0"/>
    <n v="0"/>
    <n v="0"/>
    <n v="0"/>
    <n v="0"/>
    <n v="0"/>
    <n v="0"/>
    <n v="0"/>
    <n v="0"/>
    <n v="0"/>
    <n v="0"/>
    <n v="0"/>
  </r>
  <r>
    <x v="136"/>
    <x v="132"/>
    <m/>
    <x v="1"/>
    <s v="H19"/>
    <x v="2"/>
    <s v="H1911-15"/>
    <m/>
    <m/>
    <s v="GEOG"/>
    <m/>
    <n v="100"/>
    <x v="0"/>
    <m/>
    <m/>
    <n v="7"/>
    <n v="0.875"/>
    <n v="0.85"/>
    <n v="0.74375000000000002"/>
    <n v="1630"/>
    <x v="12"/>
    <s v="Hum"/>
    <x v="1"/>
    <n v="23641"/>
    <n v="28786"/>
    <n v="42095.462500000001"/>
    <n v="5800"/>
    <n v="5075"/>
    <n v="47170.462500000001"/>
    <n v="0"/>
    <n v="0"/>
    <n v="0"/>
    <n v="1"/>
    <n v="0"/>
    <n v="0"/>
    <n v="0"/>
    <n v="0"/>
    <n v="0"/>
    <n v="0"/>
    <n v="0"/>
    <n v="0"/>
    <s v="Enligt SP 190924"/>
    <m/>
    <n v="0"/>
    <n v="0"/>
    <n v="0"/>
    <n v="0"/>
    <n v="0"/>
    <n v="0"/>
    <n v="0.875"/>
    <n v="0.74375000000000002"/>
    <n v="0"/>
    <n v="0"/>
    <n v="0"/>
    <n v="0"/>
    <n v="0"/>
    <n v="0"/>
    <n v="0"/>
    <n v="0"/>
    <n v="0"/>
    <n v="0"/>
    <n v="0"/>
    <n v="0"/>
    <n v="0"/>
    <n v="0"/>
    <n v="0"/>
  </r>
  <r>
    <x v="136"/>
    <x v="132"/>
    <m/>
    <x v="1"/>
    <s v="H19"/>
    <x v="2"/>
    <s v="H1911-15"/>
    <m/>
    <m/>
    <s v="HIST"/>
    <m/>
    <n v="100"/>
    <x v="0"/>
    <m/>
    <m/>
    <n v="29"/>
    <n v="3.625"/>
    <n v="0.85"/>
    <n v="3.0812499999999998"/>
    <n v="1630"/>
    <x v="12"/>
    <s v="Hum"/>
    <x v="1"/>
    <n v="23641"/>
    <n v="28786"/>
    <n v="174395.48749999999"/>
    <n v="5800"/>
    <n v="21025"/>
    <n v="195420.48749999999"/>
    <n v="0"/>
    <n v="0"/>
    <n v="0"/>
    <n v="1"/>
    <n v="0"/>
    <n v="0"/>
    <n v="0"/>
    <n v="0"/>
    <n v="0"/>
    <n v="0"/>
    <n v="0"/>
    <n v="0"/>
    <s v="Enligt SP 190924"/>
    <m/>
    <n v="0"/>
    <n v="0"/>
    <n v="0"/>
    <n v="0"/>
    <n v="0"/>
    <n v="0"/>
    <n v="3.625"/>
    <n v="3.0812499999999998"/>
    <n v="0"/>
    <n v="0"/>
    <n v="0"/>
    <n v="0"/>
    <n v="0"/>
    <n v="0"/>
    <n v="0"/>
    <n v="0"/>
    <n v="0"/>
    <n v="0"/>
    <n v="0"/>
    <n v="0"/>
    <n v="0"/>
    <n v="0"/>
    <n v="0"/>
  </r>
  <r>
    <x v="136"/>
    <x v="132"/>
    <m/>
    <x v="1"/>
    <s v="H19"/>
    <x v="2"/>
    <s v="H1911-15"/>
    <m/>
    <m/>
    <s v="IDRH"/>
    <m/>
    <n v="100"/>
    <x v="0"/>
    <m/>
    <m/>
    <n v="21"/>
    <n v="2.625"/>
    <n v="0.85"/>
    <n v="2.2312499999999997"/>
    <n v="1630"/>
    <x v="12"/>
    <s v="Hum"/>
    <x v="1"/>
    <n v="23641"/>
    <n v="28786"/>
    <n v="126286.38749999998"/>
    <n v="5800"/>
    <n v="15225"/>
    <n v="141511.38749999998"/>
    <n v="0"/>
    <n v="0"/>
    <n v="0"/>
    <n v="1"/>
    <n v="0"/>
    <n v="0"/>
    <n v="0"/>
    <n v="0"/>
    <n v="0"/>
    <n v="0"/>
    <n v="0"/>
    <n v="0"/>
    <s v="Enligt SP 190924"/>
    <m/>
    <n v="0"/>
    <n v="0"/>
    <n v="0"/>
    <n v="0"/>
    <n v="0"/>
    <n v="0"/>
    <n v="2.625"/>
    <n v="2.2312499999999997"/>
    <n v="0"/>
    <n v="0"/>
    <n v="0"/>
    <n v="0"/>
    <n v="0"/>
    <n v="0"/>
    <n v="0"/>
    <n v="0"/>
    <n v="0"/>
    <n v="0"/>
    <n v="0"/>
    <n v="0"/>
    <n v="0"/>
    <n v="0"/>
    <n v="0"/>
  </r>
  <r>
    <x v="136"/>
    <x v="132"/>
    <m/>
    <x v="1"/>
    <s v="H19"/>
    <x v="2"/>
    <s v="H1911-15"/>
    <m/>
    <m/>
    <s v="MATT"/>
    <m/>
    <n v="100"/>
    <x v="0"/>
    <m/>
    <m/>
    <n v="18"/>
    <n v="2.25"/>
    <n v="0.85"/>
    <n v="1.9124999999999999"/>
    <n v="1630"/>
    <x v="12"/>
    <s v="Hum"/>
    <x v="1"/>
    <n v="23641"/>
    <n v="28786"/>
    <n v="108245.47500000001"/>
    <n v="5800"/>
    <n v="13050"/>
    <n v="121295.47500000001"/>
    <n v="0"/>
    <n v="0"/>
    <n v="0"/>
    <n v="1"/>
    <n v="0"/>
    <n v="0"/>
    <n v="0"/>
    <n v="0"/>
    <n v="0"/>
    <n v="0"/>
    <n v="0"/>
    <n v="0"/>
    <s v="Enligt SP 190924"/>
    <m/>
    <n v="0"/>
    <n v="0"/>
    <n v="0"/>
    <n v="0"/>
    <n v="0"/>
    <n v="0"/>
    <n v="2.25"/>
    <n v="1.9124999999999999"/>
    <n v="0"/>
    <n v="0"/>
    <n v="0"/>
    <n v="0"/>
    <n v="0"/>
    <n v="0"/>
    <n v="0"/>
    <n v="0"/>
    <n v="0"/>
    <n v="0"/>
    <n v="0"/>
    <n v="0"/>
    <n v="0"/>
    <n v="0"/>
    <n v="0"/>
  </r>
  <r>
    <x v="136"/>
    <x v="132"/>
    <m/>
    <x v="1"/>
    <s v="H19"/>
    <x v="2"/>
    <s v="H1911-15"/>
    <m/>
    <m/>
    <s v="NATU"/>
    <m/>
    <n v="100"/>
    <x v="0"/>
    <m/>
    <m/>
    <n v="1"/>
    <n v="0.125"/>
    <n v="0.85"/>
    <n v="0.10625"/>
    <n v="1630"/>
    <x v="12"/>
    <s v="Hum"/>
    <x v="1"/>
    <n v="23641"/>
    <n v="28786"/>
    <n v="6013.6374999999998"/>
    <n v="5800"/>
    <n v="725"/>
    <n v="6738.6374999999998"/>
    <n v="0"/>
    <n v="0"/>
    <n v="0"/>
    <n v="1"/>
    <n v="0"/>
    <n v="0"/>
    <n v="0"/>
    <n v="0"/>
    <n v="0"/>
    <n v="0"/>
    <n v="0"/>
    <n v="0"/>
    <s v="Enligt SP 190924"/>
    <m/>
    <n v="0"/>
    <n v="0"/>
    <n v="0"/>
    <n v="0"/>
    <n v="0"/>
    <n v="0"/>
    <n v="0.125"/>
    <n v="0.10625"/>
    <n v="0"/>
    <n v="0"/>
    <n v="0"/>
    <n v="0"/>
    <n v="0"/>
    <n v="0"/>
    <n v="0"/>
    <n v="0"/>
    <n v="0"/>
    <n v="0"/>
    <n v="0"/>
    <n v="0"/>
    <n v="0"/>
    <n v="0"/>
    <n v="0"/>
  </r>
  <r>
    <x v="136"/>
    <x v="132"/>
    <m/>
    <x v="1"/>
    <s v="H19"/>
    <x v="2"/>
    <s v="H1911-15"/>
    <m/>
    <m/>
    <s v="RELK"/>
    <m/>
    <n v="100"/>
    <x v="0"/>
    <m/>
    <m/>
    <n v="8"/>
    <n v="1"/>
    <n v="0.85"/>
    <n v="0.85"/>
    <n v="1630"/>
    <x v="12"/>
    <s v="Hum"/>
    <x v="1"/>
    <n v="23641"/>
    <n v="28786"/>
    <n v="48109.1"/>
    <n v="5800"/>
    <n v="5800"/>
    <n v="53909.1"/>
    <n v="0"/>
    <n v="0"/>
    <n v="0"/>
    <n v="1"/>
    <n v="0"/>
    <n v="0"/>
    <n v="0"/>
    <n v="0"/>
    <n v="0"/>
    <n v="0"/>
    <n v="0"/>
    <n v="0"/>
    <s v="Enligt SP 190924"/>
    <m/>
    <n v="0"/>
    <n v="0"/>
    <n v="0"/>
    <n v="0"/>
    <n v="0"/>
    <n v="0"/>
    <n v="1"/>
    <n v="0.85"/>
    <n v="0"/>
    <n v="0"/>
    <n v="0"/>
    <n v="0"/>
    <n v="0"/>
    <n v="0"/>
    <n v="0"/>
    <n v="0"/>
    <n v="0"/>
    <n v="0"/>
    <n v="0"/>
    <n v="0"/>
    <n v="0"/>
    <n v="0"/>
    <n v="0"/>
  </r>
  <r>
    <x v="136"/>
    <x v="132"/>
    <m/>
    <x v="1"/>
    <s v="H19"/>
    <x v="2"/>
    <s v="H1911-15"/>
    <m/>
    <m/>
    <s v="SAMK"/>
    <m/>
    <n v="100"/>
    <x v="0"/>
    <m/>
    <m/>
    <n v="18"/>
    <n v="2.25"/>
    <n v="0.85"/>
    <n v="1.9124999999999999"/>
    <n v="1630"/>
    <x v="12"/>
    <s v="Hum"/>
    <x v="1"/>
    <n v="23641"/>
    <n v="28786"/>
    <n v="108245.47500000001"/>
    <n v="5800"/>
    <n v="13050"/>
    <n v="121295.47500000001"/>
    <n v="0"/>
    <n v="0"/>
    <n v="0"/>
    <n v="1"/>
    <n v="0"/>
    <n v="0"/>
    <n v="0"/>
    <n v="0"/>
    <n v="0"/>
    <n v="0"/>
    <n v="0"/>
    <n v="0"/>
    <s v="Enligt SP 190924"/>
    <m/>
    <n v="0"/>
    <n v="0"/>
    <n v="0"/>
    <n v="0"/>
    <n v="0"/>
    <n v="0"/>
    <n v="2.25"/>
    <n v="1.9124999999999999"/>
    <n v="0"/>
    <n v="0"/>
    <n v="0"/>
    <n v="0"/>
    <n v="0"/>
    <n v="0"/>
    <n v="0"/>
    <n v="0"/>
    <n v="0"/>
    <n v="0"/>
    <n v="0"/>
    <n v="0"/>
    <n v="0"/>
    <n v="0"/>
    <n v="0"/>
  </r>
  <r>
    <x v="136"/>
    <x v="132"/>
    <m/>
    <x v="1"/>
    <s v="H19"/>
    <x v="2"/>
    <s v="H1911-15"/>
    <m/>
    <m/>
    <s v="SPAN"/>
    <m/>
    <n v="100"/>
    <x v="0"/>
    <m/>
    <m/>
    <n v="1"/>
    <n v="0.125"/>
    <n v="0.85"/>
    <n v="0.10625"/>
    <n v="1630"/>
    <x v="12"/>
    <s v="Hum"/>
    <x v="1"/>
    <n v="23641"/>
    <n v="28786"/>
    <n v="6013.6374999999998"/>
    <n v="5800"/>
    <n v="725"/>
    <n v="6738.6374999999998"/>
    <n v="0"/>
    <n v="0"/>
    <n v="0"/>
    <n v="1"/>
    <n v="0"/>
    <n v="0"/>
    <n v="0"/>
    <n v="0"/>
    <n v="0"/>
    <n v="0"/>
    <n v="0"/>
    <n v="0"/>
    <s v="Enligt SP 190924"/>
    <m/>
    <n v="0"/>
    <n v="0"/>
    <n v="0"/>
    <n v="0"/>
    <n v="0"/>
    <n v="0"/>
    <n v="0.125"/>
    <n v="0.10625"/>
    <n v="0"/>
    <n v="0"/>
    <n v="0"/>
    <n v="0"/>
    <n v="0"/>
    <n v="0"/>
    <n v="0"/>
    <n v="0"/>
    <n v="0"/>
    <n v="0"/>
    <n v="0"/>
    <n v="0"/>
    <n v="0"/>
    <n v="0"/>
    <n v="0"/>
  </r>
  <r>
    <x v="136"/>
    <x v="132"/>
    <m/>
    <x v="1"/>
    <s v="H19"/>
    <x v="2"/>
    <s v="H1911-15"/>
    <m/>
    <m/>
    <s v="SVAA"/>
    <m/>
    <n v="100"/>
    <x v="0"/>
    <m/>
    <m/>
    <n v="13"/>
    <n v="1.625"/>
    <n v="0.85"/>
    <n v="1.3812499999999999"/>
    <n v="1630"/>
    <x v="12"/>
    <s v="Hum"/>
    <x v="1"/>
    <n v="23641"/>
    <n v="28786"/>
    <n v="78177.287500000006"/>
    <n v="5800"/>
    <n v="9425"/>
    <n v="87602.287500000006"/>
    <n v="0"/>
    <n v="0"/>
    <n v="0"/>
    <n v="1"/>
    <n v="0"/>
    <n v="0"/>
    <n v="0"/>
    <n v="0"/>
    <n v="0"/>
    <n v="0"/>
    <n v="0"/>
    <n v="0"/>
    <s v="Enligt SP 190924"/>
    <m/>
    <n v="0"/>
    <n v="0"/>
    <n v="0"/>
    <n v="0"/>
    <n v="0"/>
    <n v="0"/>
    <n v="1.625"/>
    <n v="1.3812499999999999"/>
    <n v="0"/>
    <n v="0"/>
    <n v="0"/>
    <n v="0"/>
    <n v="0"/>
    <n v="0"/>
    <n v="0"/>
    <n v="0"/>
    <n v="0"/>
    <n v="0"/>
    <n v="0"/>
    <n v="0"/>
    <n v="0"/>
    <n v="0"/>
    <n v="0"/>
  </r>
  <r>
    <x v="136"/>
    <x v="132"/>
    <m/>
    <x v="1"/>
    <s v="H19"/>
    <x v="2"/>
    <s v="H1911-15"/>
    <m/>
    <m/>
    <s v="SVAN"/>
    <m/>
    <n v="100"/>
    <x v="0"/>
    <m/>
    <m/>
    <n v="3"/>
    <n v="0.375"/>
    <n v="0.85"/>
    <n v="0.31874999999999998"/>
    <n v="1630"/>
    <x v="12"/>
    <s v="Hum"/>
    <x v="1"/>
    <n v="23641"/>
    <n v="28786"/>
    <n v="18040.912499999999"/>
    <n v="5800"/>
    <n v="2175"/>
    <n v="20215.912499999999"/>
    <n v="0"/>
    <n v="0"/>
    <n v="0"/>
    <n v="1"/>
    <n v="0"/>
    <n v="0"/>
    <n v="0"/>
    <n v="0"/>
    <n v="0"/>
    <n v="0"/>
    <n v="0"/>
    <n v="0"/>
    <s v="Enligt SP 190924"/>
    <m/>
    <n v="0"/>
    <n v="0"/>
    <n v="0"/>
    <n v="0"/>
    <n v="0"/>
    <n v="0"/>
    <n v="0.375"/>
    <n v="0.31874999999999998"/>
    <n v="0"/>
    <n v="0"/>
    <n v="0"/>
    <n v="0"/>
    <n v="0"/>
    <n v="0"/>
    <n v="0"/>
    <n v="0"/>
    <n v="0"/>
    <n v="0"/>
    <n v="0"/>
    <n v="0"/>
    <n v="0"/>
    <n v="0"/>
    <n v="0"/>
  </r>
  <r>
    <x v="136"/>
    <x v="132"/>
    <m/>
    <x v="1"/>
    <s v="H19"/>
    <x v="2"/>
    <s v="H1911-15"/>
    <m/>
    <m/>
    <s v="TYSK"/>
    <m/>
    <n v="100"/>
    <x v="0"/>
    <m/>
    <m/>
    <n v="2"/>
    <n v="0.25"/>
    <n v="0.85"/>
    <n v="0.21249999999999999"/>
    <n v="1630"/>
    <x v="12"/>
    <s v="Hum"/>
    <x v="1"/>
    <n v="23641"/>
    <n v="28786"/>
    <n v="12027.275"/>
    <n v="5800"/>
    <n v="1450"/>
    <n v="13477.275"/>
    <n v="0"/>
    <n v="0"/>
    <n v="0"/>
    <n v="1"/>
    <n v="0"/>
    <n v="0"/>
    <n v="0"/>
    <n v="0"/>
    <n v="0"/>
    <n v="0"/>
    <n v="0"/>
    <n v="0"/>
    <s v="Enligt SP 190924"/>
    <m/>
    <n v="0"/>
    <n v="0"/>
    <n v="0"/>
    <n v="0"/>
    <n v="0"/>
    <n v="0"/>
    <n v="0.25"/>
    <n v="0.21249999999999999"/>
    <n v="0"/>
    <n v="0"/>
    <n v="0"/>
    <n v="0"/>
    <n v="0"/>
    <n v="0"/>
    <n v="0"/>
    <n v="0"/>
    <n v="0"/>
    <n v="0"/>
    <n v="0"/>
    <n v="0"/>
    <n v="0"/>
    <n v="0"/>
    <n v="0"/>
  </r>
  <r>
    <x v="136"/>
    <x v="132"/>
    <m/>
    <x v="7"/>
    <s v="H19"/>
    <x v="2"/>
    <s v="H1911-15"/>
    <m/>
    <m/>
    <m/>
    <m/>
    <n v="100"/>
    <x v="0"/>
    <n v="-0.1"/>
    <n v="57"/>
    <n v="51.3"/>
    <n v="6.4124999999999996"/>
    <n v="0.85"/>
    <n v="5.4506249999999996"/>
    <n v="1630"/>
    <x v="12"/>
    <s v="Hum"/>
    <x v="7"/>
    <n v="23641"/>
    <n v="28786"/>
    <n v="308499.60375000001"/>
    <n v="5800"/>
    <n v="37192.5"/>
    <n v="345692.10375000001"/>
    <n v="0"/>
    <n v="0"/>
    <n v="0"/>
    <n v="1"/>
    <n v="0"/>
    <n v="0"/>
    <n v="0"/>
    <n v="0"/>
    <n v="0"/>
    <n v="0"/>
    <n v="0"/>
    <n v="0"/>
    <s v="Prognostal"/>
    <m/>
    <n v="0"/>
    <n v="0"/>
    <n v="0"/>
    <n v="0"/>
    <n v="0"/>
    <n v="0"/>
    <n v="6.4124999999999996"/>
    <n v="5.4506249999999996"/>
    <n v="0"/>
    <n v="0"/>
    <n v="0"/>
    <n v="0"/>
    <n v="0"/>
    <n v="0"/>
    <n v="0"/>
    <n v="0"/>
    <n v="0"/>
    <n v="0"/>
    <n v="0"/>
    <n v="0"/>
    <n v="0"/>
    <n v="0"/>
    <n v="0"/>
  </r>
  <r>
    <x v="136"/>
    <x v="132"/>
    <m/>
    <x v="7"/>
    <s v="V19"/>
    <x v="1"/>
    <s v="V1911-15"/>
    <s v="Umeå"/>
    <m/>
    <m/>
    <m/>
    <n v="100"/>
    <x v="0"/>
    <m/>
    <m/>
    <n v="20"/>
    <n v="2.5"/>
    <n v="0.85"/>
    <n v="2.125"/>
    <n v="1630"/>
    <x v="12"/>
    <s v="Hum"/>
    <x v="7"/>
    <n v="23641"/>
    <n v="28786"/>
    <n v="120272.75"/>
    <n v="5800"/>
    <n v="14500"/>
    <n v="134772.75"/>
    <n v="0"/>
    <n v="0"/>
    <n v="0"/>
    <n v="1"/>
    <n v="0"/>
    <n v="0"/>
    <n v="0"/>
    <n v="0"/>
    <n v="0"/>
    <n v="0"/>
    <n v="0"/>
    <n v="0"/>
    <s v="Enl Ladok 190515"/>
    <m/>
    <n v="0"/>
    <n v="0"/>
    <n v="0"/>
    <n v="0"/>
    <n v="0"/>
    <n v="0"/>
    <n v="2.5"/>
    <n v="2.125"/>
    <n v="0"/>
    <n v="0"/>
    <n v="0"/>
    <n v="0"/>
    <n v="0"/>
    <n v="0"/>
    <n v="0"/>
    <n v="0"/>
    <n v="0"/>
    <n v="0"/>
    <n v="0"/>
    <n v="0"/>
    <n v="0"/>
    <n v="0"/>
    <n v="0"/>
  </r>
  <r>
    <x v="136"/>
    <x v="132"/>
    <m/>
    <x v="8"/>
    <s v="H19"/>
    <x v="2"/>
    <s v="H1911-15"/>
    <m/>
    <m/>
    <m/>
    <m/>
    <n v="100"/>
    <x v="0"/>
    <n v="-0.12"/>
    <n v="25"/>
    <n v="22"/>
    <n v="2.75"/>
    <n v="0.85"/>
    <n v="2.3374999999999999"/>
    <n v="1630"/>
    <x v="12"/>
    <s v="Hum"/>
    <x v="8"/>
    <n v="23641"/>
    <n v="28786"/>
    <n v="132300.02499999999"/>
    <n v="5800"/>
    <n v="15950"/>
    <n v="148250.02499999999"/>
    <n v="0"/>
    <n v="0"/>
    <n v="0"/>
    <n v="1"/>
    <n v="0"/>
    <n v="0"/>
    <n v="0"/>
    <n v="0"/>
    <n v="0"/>
    <n v="0"/>
    <n v="0"/>
    <n v="0"/>
    <s v="Prognostal"/>
    <m/>
    <n v="0"/>
    <n v="0"/>
    <n v="0"/>
    <n v="0"/>
    <n v="0"/>
    <n v="0"/>
    <n v="2.75"/>
    <n v="2.3374999999999999"/>
    <n v="0"/>
    <n v="0"/>
    <n v="0"/>
    <n v="0"/>
    <n v="0"/>
    <n v="0"/>
    <n v="0"/>
    <n v="0"/>
    <n v="0"/>
    <n v="0"/>
    <n v="0"/>
    <n v="0"/>
    <n v="0"/>
    <n v="0"/>
    <n v="0"/>
  </r>
  <r>
    <x v="136"/>
    <x v="132"/>
    <m/>
    <x v="2"/>
    <s v="H14"/>
    <x v="2"/>
    <s v="H1911-15"/>
    <m/>
    <m/>
    <m/>
    <m/>
    <n v="100"/>
    <x v="0"/>
    <m/>
    <m/>
    <n v="1"/>
    <n v="0.125"/>
    <n v="0.85"/>
    <n v="0.10625"/>
    <n v="1630"/>
    <x v="12"/>
    <s v="Hum"/>
    <x v="2"/>
    <n v="23641"/>
    <n v="28786"/>
    <n v="6013.6374999999998"/>
    <n v="5800"/>
    <n v="725"/>
    <n v="6738.6374999999998"/>
    <n v="0"/>
    <n v="0"/>
    <n v="0"/>
    <n v="1"/>
    <n v="0"/>
    <n v="0"/>
    <n v="0"/>
    <n v="0"/>
    <n v="0"/>
    <n v="0"/>
    <n v="0"/>
    <n v="0"/>
    <s v="Enligt SP 190924"/>
    <m/>
    <n v="0"/>
    <n v="0"/>
    <n v="0"/>
    <n v="0"/>
    <n v="0"/>
    <n v="0"/>
    <n v="0.125"/>
    <n v="0.10625"/>
    <n v="0"/>
    <n v="0"/>
    <n v="0"/>
    <n v="0"/>
    <n v="0"/>
    <n v="0"/>
    <n v="0"/>
    <n v="0"/>
    <n v="0"/>
    <n v="0"/>
    <n v="0"/>
    <n v="0"/>
    <n v="0"/>
    <n v="0"/>
    <n v="0"/>
  </r>
  <r>
    <x v="136"/>
    <x v="132"/>
    <m/>
    <x v="2"/>
    <s v="H18"/>
    <x v="2"/>
    <s v="H1911-15"/>
    <m/>
    <m/>
    <m/>
    <m/>
    <n v="100"/>
    <x v="0"/>
    <m/>
    <m/>
    <n v="1"/>
    <n v="0.125"/>
    <n v="0.85"/>
    <n v="0.10625"/>
    <n v="1630"/>
    <x v="12"/>
    <s v="Hum"/>
    <x v="2"/>
    <n v="23641"/>
    <n v="28786"/>
    <n v="6013.6374999999998"/>
    <n v="5800"/>
    <n v="725"/>
    <n v="6738.6374999999998"/>
    <n v="0"/>
    <n v="0"/>
    <n v="0"/>
    <n v="1"/>
    <n v="0"/>
    <n v="0"/>
    <n v="0"/>
    <n v="0"/>
    <n v="0"/>
    <n v="0"/>
    <n v="0"/>
    <n v="0"/>
    <s v="Enligt SP 190924"/>
    <m/>
    <n v="0"/>
    <n v="0"/>
    <n v="0"/>
    <n v="0"/>
    <n v="0"/>
    <n v="0"/>
    <n v="0.125"/>
    <n v="0.10625"/>
    <n v="0"/>
    <n v="0"/>
    <n v="0"/>
    <n v="0"/>
    <n v="0"/>
    <n v="0"/>
    <n v="0"/>
    <n v="0"/>
    <n v="0"/>
    <n v="0"/>
    <n v="0"/>
    <n v="0"/>
    <n v="0"/>
    <n v="0"/>
    <n v="0"/>
  </r>
  <r>
    <x v="136"/>
    <x v="132"/>
    <m/>
    <x v="2"/>
    <s v="H19"/>
    <x v="2"/>
    <s v="H1911-15"/>
    <m/>
    <m/>
    <m/>
    <m/>
    <n v="100"/>
    <x v="0"/>
    <n v="-0.08"/>
    <n v="51"/>
    <n v="46.92"/>
    <n v="5.8650000000000002"/>
    <n v="0.85"/>
    <n v="4.9852499999999997"/>
    <n v="1630"/>
    <x v="12"/>
    <s v="Hum"/>
    <x v="2"/>
    <n v="23641"/>
    <n v="28786"/>
    <n v="282159.87150000001"/>
    <n v="5800"/>
    <n v="34017"/>
    <n v="316176.87150000001"/>
    <n v="0"/>
    <n v="0"/>
    <n v="0"/>
    <n v="1"/>
    <n v="0"/>
    <n v="0"/>
    <n v="0"/>
    <n v="0"/>
    <n v="0"/>
    <n v="0"/>
    <n v="0"/>
    <n v="0"/>
    <s v="Prognostal"/>
    <m/>
    <n v="0"/>
    <n v="0"/>
    <n v="0"/>
    <n v="0"/>
    <n v="0"/>
    <n v="0"/>
    <n v="5.8650000000000002"/>
    <n v="4.9852499999999997"/>
    <n v="0"/>
    <n v="0"/>
    <n v="0"/>
    <n v="0"/>
    <n v="0"/>
    <n v="0"/>
    <n v="0"/>
    <n v="0"/>
    <n v="0"/>
    <n v="0"/>
    <n v="0"/>
    <n v="0"/>
    <n v="0"/>
    <n v="0"/>
    <n v="0"/>
  </r>
  <r>
    <x v="136"/>
    <x v="132"/>
    <m/>
    <x v="2"/>
    <s v="V18"/>
    <x v="2"/>
    <s v="H1911-15"/>
    <m/>
    <m/>
    <m/>
    <m/>
    <n v="100"/>
    <x v="0"/>
    <m/>
    <m/>
    <n v="1"/>
    <n v="0.125"/>
    <n v="0.85"/>
    <n v="0.10625"/>
    <n v="1630"/>
    <x v="12"/>
    <s v="Hum"/>
    <x v="2"/>
    <n v="23641"/>
    <n v="28786"/>
    <n v="6013.6374999999998"/>
    <n v="5800"/>
    <n v="725"/>
    <n v="6738.6374999999998"/>
    <n v="0"/>
    <n v="0"/>
    <n v="0"/>
    <n v="1"/>
    <n v="0"/>
    <n v="0"/>
    <n v="0"/>
    <n v="0"/>
    <n v="0"/>
    <n v="0"/>
    <n v="0"/>
    <n v="0"/>
    <s v="Enligt SP 190924"/>
    <m/>
    <n v="0"/>
    <n v="0"/>
    <n v="0"/>
    <n v="0"/>
    <n v="0"/>
    <n v="0"/>
    <n v="0.125"/>
    <n v="0.10625"/>
    <n v="0"/>
    <n v="0"/>
    <n v="0"/>
    <n v="0"/>
    <n v="0"/>
    <n v="0"/>
    <n v="0"/>
    <n v="0"/>
    <n v="0"/>
    <n v="0"/>
    <n v="0"/>
    <n v="0"/>
    <n v="0"/>
    <n v="0"/>
    <n v="0"/>
  </r>
  <r>
    <x v="136"/>
    <x v="132"/>
    <m/>
    <x v="3"/>
    <s v="H19"/>
    <x v="2"/>
    <s v="H1911-15"/>
    <m/>
    <m/>
    <m/>
    <m/>
    <n v="100"/>
    <x v="0"/>
    <n v="-0.1"/>
    <n v="35"/>
    <n v="31.5"/>
    <n v="3.9375"/>
    <n v="0.85"/>
    <n v="3.3468749999999998"/>
    <n v="1630"/>
    <x v="12"/>
    <s v="Hum"/>
    <x v="3"/>
    <n v="23641"/>
    <n v="28786"/>
    <n v="189429.58124999999"/>
    <n v="5800"/>
    <n v="22837.5"/>
    <n v="212267.08124999999"/>
    <n v="0"/>
    <n v="0"/>
    <n v="0"/>
    <n v="1"/>
    <n v="0"/>
    <n v="0"/>
    <n v="0"/>
    <n v="0"/>
    <n v="0"/>
    <n v="0"/>
    <n v="0"/>
    <n v="0"/>
    <s v="Prognostal"/>
    <m/>
    <n v="0"/>
    <n v="0"/>
    <n v="0"/>
    <n v="0"/>
    <n v="0"/>
    <n v="0"/>
    <n v="3.9375"/>
    <n v="3.3468749999999998"/>
    <n v="0"/>
    <n v="0"/>
    <n v="0"/>
    <n v="0"/>
    <n v="0"/>
    <n v="0"/>
    <n v="0"/>
    <n v="0"/>
    <n v="0"/>
    <n v="0"/>
    <n v="0"/>
    <n v="0"/>
    <n v="0"/>
    <n v="0"/>
    <n v="0"/>
  </r>
  <r>
    <x v="137"/>
    <x v="133"/>
    <m/>
    <x v="1"/>
    <s v="H17"/>
    <x v="2"/>
    <s v="H1916-20"/>
    <m/>
    <m/>
    <s v="TYSK"/>
    <m/>
    <n v="100"/>
    <x v="0"/>
    <m/>
    <m/>
    <n v="1"/>
    <n v="0.125"/>
    <n v="0.85"/>
    <n v="0.10625"/>
    <n v="1630"/>
    <x v="12"/>
    <s v="Hum"/>
    <x v="1"/>
    <n v="23641"/>
    <n v="28786"/>
    <n v="6013.6374999999998"/>
    <n v="5800"/>
    <n v="725"/>
    <n v="6738.6374999999998"/>
    <n v="0"/>
    <n v="0"/>
    <n v="0"/>
    <n v="1"/>
    <n v="0"/>
    <n v="0"/>
    <n v="0"/>
    <n v="0"/>
    <n v="0"/>
    <n v="0"/>
    <n v="0"/>
    <n v="0"/>
    <s v="Enligt SP 190924"/>
    <m/>
    <n v="0"/>
    <n v="0"/>
    <n v="0"/>
    <n v="0"/>
    <n v="0"/>
    <n v="0"/>
    <n v="0.125"/>
    <n v="0.10625"/>
    <n v="0"/>
    <n v="0"/>
    <n v="0"/>
    <n v="0"/>
    <n v="0"/>
    <n v="0"/>
    <n v="0"/>
    <n v="0"/>
    <n v="0"/>
    <n v="0"/>
    <n v="0"/>
    <n v="0"/>
    <n v="0"/>
    <n v="0"/>
    <n v="0"/>
  </r>
  <r>
    <x v="137"/>
    <x v="133"/>
    <m/>
    <x v="1"/>
    <s v="H18"/>
    <x v="2"/>
    <s v="H1916-20"/>
    <m/>
    <m/>
    <s v="ENGS"/>
    <m/>
    <n v="100"/>
    <x v="0"/>
    <m/>
    <m/>
    <n v="1"/>
    <n v="0.125"/>
    <n v="0.85"/>
    <n v="0.10625"/>
    <n v="1630"/>
    <x v="12"/>
    <s v="Hum"/>
    <x v="1"/>
    <n v="23641"/>
    <n v="28786"/>
    <n v="6013.6374999999998"/>
    <n v="5800"/>
    <n v="725"/>
    <n v="6738.6374999999998"/>
    <n v="0"/>
    <n v="0"/>
    <n v="0"/>
    <n v="1"/>
    <n v="0"/>
    <n v="0"/>
    <n v="0"/>
    <n v="0"/>
    <n v="0"/>
    <n v="0"/>
    <n v="0"/>
    <n v="0"/>
    <s v="Enligt SP 190924"/>
    <m/>
    <n v="0"/>
    <n v="0"/>
    <n v="0"/>
    <n v="0"/>
    <n v="0"/>
    <n v="0"/>
    <n v="0.125"/>
    <n v="0.10625"/>
    <n v="0"/>
    <n v="0"/>
    <n v="0"/>
    <n v="0"/>
    <n v="0"/>
    <n v="0"/>
    <n v="0"/>
    <n v="0"/>
    <n v="0"/>
    <n v="0"/>
    <n v="0"/>
    <n v="0"/>
    <n v="0"/>
    <n v="0"/>
    <n v="0"/>
  </r>
  <r>
    <x v="137"/>
    <x v="133"/>
    <m/>
    <x v="1"/>
    <s v="H18"/>
    <x v="2"/>
    <s v="H1916-20"/>
    <m/>
    <m/>
    <s v="SAMK"/>
    <m/>
    <n v="100"/>
    <x v="0"/>
    <m/>
    <m/>
    <n v="1"/>
    <n v="0.125"/>
    <n v="0.85"/>
    <n v="0.10625"/>
    <n v="1630"/>
    <x v="12"/>
    <s v="Hum"/>
    <x v="1"/>
    <n v="23641"/>
    <n v="28786"/>
    <n v="6013.6374999999998"/>
    <n v="5800"/>
    <n v="725"/>
    <n v="6738.6374999999998"/>
    <n v="0"/>
    <n v="0"/>
    <n v="0"/>
    <n v="1"/>
    <n v="0"/>
    <n v="0"/>
    <n v="0"/>
    <n v="0"/>
    <n v="0"/>
    <n v="0"/>
    <n v="0"/>
    <n v="0"/>
    <s v="Enligt SP 190924"/>
    <m/>
    <n v="0"/>
    <n v="0"/>
    <n v="0"/>
    <n v="0"/>
    <n v="0"/>
    <n v="0"/>
    <n v="0.125"/>
    <n v="0.10625"/>
    <n v="0"/>
    <n v="0"/>
    <n v="0"/>
    <n v="0"/>
    <n v="0"/>
    <n v="0"/>
    <n v="0"/>
    <n v="0"/>
    <n v="0"/>
    <n v="0"/>
    <n v="0"/>
    <n v="0"/>
    <n v="0"/>
    <n v="0"/>
    <n v="0"/>
  </r>
  <r>
    <x v="137"/>
    <x v="133"/>
    <m/>
    <x v="1"/>
    <s v="H19"/>
    <x v="2"/>
    <s v="H1916-20"/>
    <m/>
    <m/>
    <s v="BILÄ"/>
    <m/>
    <n v="100"/>
    <x v="0"/>
    <m/>
    <m/>
    <n v="4"/>
    <n v="0.5"/>
    <n v="0.85"/>
    <n v="0.42499999999999999"/>
    <n v="1630"/>
    <x v="12"/>
    <s v="Hum"/>
    <x v="1"/>
    <n v="23641"/>
    <n v="28786"/>
    <n v="24054.55"/>
    <n v="5800"/>
    <n v="2900"/>
    <n v="26954.55"/>
    <n v="0"/>
    <n v="0"/>
    <n v="0"/>
    <n v="1"/>
    <n v="0"/>
    <n v="0"/>
    <n v="0"/>
    <n v="0"/>
    <n v="0"/>
    <n v="0"/>
    <n v="0"/>
    <n v="0"/>
    <s v="Enligt SP 190924"/>
    <m/>
    <n v="0"/>
    <n v="0"/>
    <n v="0"/>
    <n v="0"/>
    <n v="0"/>
    <n v="0"/>
    <n v="0.5"/>
    <n v="0.42499999999999999"/>
    <n v="0"/>
    <n v="0"/>
    <n v="0"/>
    <n v="0"/>
    <n v="0"/>
    <n v="0"/>
    <n v="0"/>
    <n v="0"/>
    <n v="0"/>
    <n v="0"/>
    <n v="0"/>
    <n v="0"/>
    <n v="0"/>
    <n v="0"/>
    <n v="0"/>
  </r>
  <r>
    <x v="137"/>
    <x v="133"/>
    <m/>
    <x v="1"/>
    <s v="H19"/>
    <x v="2"/>
    <s v="H1916-20"/>
    <m/>
    <m/>
    <s v="BIOL"/>
    <m/>
    <n v="100"/>
    <x v="0"/>
    <m/>
    <m/>
    <n v="4"/>
    <n v="0.5"/>
    <n v="0.85"/>
    <n v="0.42499999999999999"/>
    <n v="1630"/>
    <x v="12"/>
    <s v="Hum"/>
    <x v="1"/>
    <n v="23641"/>
    <n v="28786"/>
    <n v="24054.55"/>
    <n v="5800"/>
    <n v="2900"/>
    <n v="26954.55"/>
    <n v="0"/>
    <n v="0"/>
    <n v="0"/>
    <n v="1"/>
    <n v="0"/>
    <n v="0"/>
    <n v="0"/>
    <n v="0"/>
    <n v="0"/>
    <n v="0"/>
    <n v="0"/>
    <n v="0"/>
    <s v="Enligt SP 190924"/>
    <m/>
    <n v="0"/>
    <n v="0"/>
    <n v="0"/>
    <n v="0"/>
    <n v="0"/>
    <n v="0"/>
    <n v="0.5"/>
    <n v="0.42499999999999999"/>
    <n v="0"/>
    <n v="0"/>
    <n v="0"/>
    <n v="0"/>
    <n v="0"/>
    <n v="0"/>
    <n v="0"/>
    <n v="0"/>
    <n v="0"/>
    <n v="0"/>
    <n v="0"/>
    <n v="0"/>
    <n v="0"/>
    <n v="0"/>
    <n v="0"/>
  </r>
  <r>
    <x v="137"/>
    <x v="133"/>
    <m/>
    <x v="1"/>
    <s v="H19"/>
    <x v="2"/>
    <s v="H1916-20"/>
    <m/>
    <m/>
    <s v="ENGS"/>
    <m/>
    <n v="100"/>
    <x v="0"/>
    <m/>
    <m/>
    <n v="17"/>
    <n v="2.125"/>
    <n v="0.85"/>
    <n v="1.8062499999999999"/>
    <n v="1630"/>
    <x v="12"/>
    <s v="Hum"/>
    <x v="1"/>
    <n v="23641"/>
    <n v="28786"/>
    <n v="102231.83749999999"/>
    <n v="5800"/>
    <n v="12325"/>
    <n v="114556.83749999999"/>
    <n v="0"/>
    <n v="0"/>
    <n v="0"/>
    <n v="1"/>
    <n v="0"/>
    <n v="0"/>
    <n v="0"/>
    <n v="0"/>
    <n v="0"/>
    <n v="0"/>
    <n v="0"/>
    <n v="0"/>
    <s v="Enligt SP 190924"/>
    <m/>
    <n v="0"/>
    <n v="0"/>
    <n v="0"/>
    <n v="0"/>
    <n v="0"/>
    <n v="0"/>
    <n v="2.125"/>
    <n v="1.8062499999999999"/>
    <n v="0"/>
    <n v="0"/>
    <n v="0"/>
    <n v="0"/>
    <n v="0"/>
    <n v="0"/>
    <n v="0"/>
    <n v="0"/>
    <n v="0"/>
    <n v="0"/>
    <n v="0"/>
    <n v="0"/>
    <n v="0"/>
    <n v="0"/>
    <n v="0"/>
  </r>
  <r>
    <x v="137"/>
    <x v="133"/>
    <m/>
    <x v="1"/>
    <s v="H19"/>
    <x v="2"/>
    <s v="H1916-20"/>
    <m/>
    <m/>
    <s v="GEOG"/>
    <m/>
    <n v="100"/>
    <x v="0"/>
    <m/>
    <m/>
    <n v="7"/>
    <n v="0.875"/>
    <n v="0.85"/>
    <n v="0.74375000000000002"/>
    <n v="1630"/>
    <x v="12"/>
    <s v="Hum"/>
    <x v="1"/>
    <n v="23641"/>
    <n v="28786"/>
    <n v="42095.462500000001"/>
    <n v="5800"/>
    <n v="5075"/>
    <n v="47170.462500000001"/>
    <n v="0"/>
    <n v="0"/>
    <n v="0"/>
    <n v="1"/>
    <n v="0"/>
    <n v="0"/>
    <n v="0"/>
    <n v="0"/>
    <n v="0"/>
    <n v="0"/>
    <n v="0"/>
    <n v="0"/>
    <s v="Enligt SP 190924"/>
    <m/>
    <n v="0"/>
    <n v="0"/>
    <n v="0"/>
    <n v="0"/>
    <n v="0"/>
    <n v="0"/>
    <n v="0.875"/>
    <n v="0.74375000000000002"/>
    <n v="0"/>
    <n v="0"/>
    <n v="0"/>
    <n v="0"/>
    <n v="0"/>
    <n v="0"/>
    <n v="0"/>
    <n v="0"/>
    <n v="0"/>
    <n v="0"/>
    <n v="0"/>
    <n v="0"/>
    <n v="0"/>
    <n v="0"/>
    <n v="0"/>
  </r>
  <r>
    <x v="137"/>
    <x v="133"/>
    <m/>
    <x v="1"/>
    <s v="H19"/>
    <x v="2"/>
    <s v="H1916-20"/>
    <m/>
    <m/>
    <s v="HIST"/>
    <m/>
    <n v="100"/>
    <x v="0"/>
    <m/>
    <m/>
    <n v="29"/>
    <n v="3.625"/>
    <n v="0.85"/>
    <n v="3.0812499999999998"/>
    <n v="1630"/>
    <x v="12"/>
    <s v="Hum"/>
    <x v="1"/>
    <n v="23641"/>
    <n v="28786"/>
    <n v="174395.48749999999"/>
    <n v="5800"/>
    <n v="21025"/>
    <n v="195420.48749999999"/>
    <n v="0"/>
    <n v="0"/>
    <n v="0"/>
    <n v="1"/>
    <n v="0"/>
    <n v="0"/>
    <n v="0"/>
    <n v="0"/>
    <n v="0"/>
    <n v="0"/>
    <n v="0"/>
    <n v="0"/>
    <s v="Enligt SP 190924"/>
    <m/>
    <n v="0"/>
    <n v="0"/>
    <n v="0"/>
    <n v="0"/>
    <n v="0"/>
    <n v="0"/>
    <n v="3.625"/>
    <n v="3.0812499999999998"/>
    <n v="0"/>
    <n v="0"/>
    <n v="0"/>
    <n v="0"/>
    <n v="0"/>
    <n v="0"/>
    <n v="0"/>
    <n v="0"/>
    <n v="0"/>
    <n v="0"/>
    <n v="0"/>
    <n v="0"/>
    <n v="0"/>
    <n v="0"/>
    <n v="0"/>
  </r>
  <r>
    <x v="137"/>
    <x v="133"/>
    <m/>
    <x v="1"/>
    <s v="H19"/>
    <x v="2"/>
    <s v="H1916-20"/>
    <m/>
    <m/>
    <s v="IDRH"/>
    <m/>
    <n v="100"/>
    <x v="0"/>
    <m/>
    <m/>
    <n v="21"/>
    <n v="2.625"/>
    <n v="0.85"/>
    <n v="2.2312499999999997"/>
    <n v="1630"/>
    <x v="12"/>
    <s v="Hum"/>
    <x v="1"/>
    <n v="23641"/>
    <n v="28786"/>
    <n v="126286.38749999998"/>
    <n v="5800"/>
    <n v="15225"/>
    <n v="141511.38749999998"/>
    <n v="0"/>
    <n v="0"/>
    <n v="0"/>
    <n v="1"/>
    <n v="0"/>
    <n v="0"/>
    <n v="0"/>
    <n v="0"/>
    <n v="0"/>
    <n v="0"/>
    <n v="0"/>
    <n v="0"/>
    <s v="Enligt SP 190924"/>
    <m/>
    <n v="0"/>
    <n v="0"/>
    <n v="0"/>
    <n v="0"/>
    <n v="0"/>
    <n v="0"/>
    <n v="2.625"/>
    <n v="2.2312499999999997"/>
    <n v="0"/>
    <n v="0"/>
    <n v="0"/>
    <n v="0"/>
    <n v="0"/>
    <n v="0"/>
    <n v="0"/>
    <n v="0"/>
    <n v="0"/>
    <n v="0"/>
    <n v="0"/>
    <n v="0"/>
    <n v="0"/>
    <n v="0"/>
    <n v="0"/>
  </r>
  <r>
    <x v="137"/>
    <x v="133"/>
    <m/>
    <x v="1"/>
    <s v="H19"/>
    <x v="2"/>
    <s v="H1916-20"/>
    <m/>
    <m/>
    <s v="MATT"/>
    <m/>
    <n v="100"/>
    <x v="0"/>
    <m/>
    <m/>
    <n v="18"/>
    <n v="2.25"/>
    <n v="0.85"/>
    <n v="1.9124999999999999"/>
    <n v="1630"/>
    <x v="12"/>
    <s v="Hum"/>
    <x v="1"/>
    <n v="23641"/>
    <n v="28786"/>
    <n v="108245.47500000001"/>
    <n v="5800"/>
    <n v="13050"/>
    <n v="121295.47500000001"/>
    <n v="0"/>
    <n v="0"/>
    <n v="0"/>
    <n v="1"/>
    <n v="0"/>
    <n v="0"/>
    <n v="0"/>
    <n v="0"/>
    <n v="0"/>
    <n v="0"/>
    <n v="0"/>
    <n v="0"/>
    <s v="Enligt SP 190924"/>
    <m/>
    <n v="0"/>
    <n v="0"/>
    <n v="0"/>
    <n v="0"/>
    <n v="0"/>
    <n v="0"/>
    <n v="2.25"/>
    <n v="1.9124999999999999"/>
    <n v="0"/>
    <n v="0"/>
    <n v="0"/>
    <n v="0"/>
    <n v="0"/>
    <n v="0"/>
    <n v="0"/>
    <n v="0"/>
    <n v="0"/>
    <n v="0"/>
    <n v="0"/>
    <n v="0"/>
    <n v="0"/>
    <n v="0"/>
    <n v="0"/>
  </r>
  <r>
    <x v="137"/>
    <x v="133"/>
    <m/>
    <x v="1"/>
    <s v="H19"/>
    <x v="2"/>
    <s v="H1916-20"/>
    <m/>
    <m/>
    <s v="NATU"/>
    <m/>
    <n v="100"/>
    <x v="0"/>
    <m/>
    <m/>
    <n v="1"/>
    <n v="0.125"/>
    <n v="0.85"/>
    <n v="0.10625"/>
    <n v="1630"/>
    <x v="12"/>
    <s v="Hum"/>
    <x v="1"/>
    <n v="23641"/>
    <n v="28786"/>
    <n v="6013.6374999999998"/>
    <n v="5800"/>
    <n v="725"/>
    <n v="6738.6374999999998"/>
    <n v="0"/>
    <n v="0"/>
    <n v="0"/>
    <n v="1"/>
    <n v="0"/>
    <n v="0"/>
    <n v="0"/>
    <n v="0"/>
    <n v="0"/>
    <n v="0"/>
    <n v="0"/>
    <n v="0"/>
    <s v="Enligt SP 190924"/>
    <m/>
    <n v="0"/>
    <n v="0"/>
    <n v="0"/>
    <n v="0"/>
    <n v="0"/>
    <n v="0"/>
    <n v="0.125"/>
    <n v="0.10625"/>
    <n v="0"/>
    <n v="0"/>
    <n v="0"/>
    <n v="0"/>
    <n v="0"/>
    <n v="0"/>
    <n v="0"/>
    <n v="0"/>
    <n v="0"/>
    <n v="0"/>
    <n v="0"/>
    <n v="0"/>
    <n v="0"/>
    <n v="0"/>
    <n v="0"/>
  </r>
  <r>
    <x v="137"/>
    <x v="133"/>
    <m/>
    <x v="1"/>
    <s v="H19"/>
    <x v="2"/>
    <s v="H1916-20"/>
    <m/>
    <m/>
    <s v="RELK"/>
    <m/>
    <n v="100"/>
    <x v="0"/>
    <m/>
    <m/>
    <n v="8"/>
    <n v="1"/>
    <n v="0.85"/>
    <n v="0.85"/>
    <n v="1630"/>
    <x v="12"/>
    <s v="Hum"/>
    <x v="1"/>
    <n v="23641"/>
    <n v="28786"/>
    <n v="48109.1"/>
    <n v="5800"/>
    <n v="5800"/>
    <n v="53909.1"/>
    <n v="0"/>
    <n v="0"/>
    <n v="0"/>
    <n v="1"/>
    <n v="0"/>
    <n v="0"/>
    <n v="0"/>
    <n v="0"/>
    <n v="0"/>
    <n v="0"/>
    <n v="0"/>
    <n v="0"/>
    <s v="Enligt SP 190924"/>
    <m/>
    <n v="0"/>
    <n v="0"/>
    <n v="0"/>
    <n v="0"/>
    <n v="0"/>
    <n v="0"/>
    <n v="1"/>
    <n v="0.85"/>
    <n v="0"/>
    <n v="0"/>
    <n v="0"/>
    <n v="0"/>
    <n v="0"/>
    <n v="0"/>
    <n v="0"/>
    <n v="0"/>
    <n v="0"/>
    <n v="0"/>
    <n v="0"/>
    <n v="0"/>
    <n v="0"/>
    <n v="0"/>
    <n v="0"/>
  </r>
  <r>
    <x v="137"/>
    <x v="133"/>
    <m/>
    <x v="1"/>
    <s v="H19"/>
    <x v="2"/>
    <s v="H1916-20"/>
    <m/>
    <m/>
    <s v="SAMK"/>
    <m/>
    <n v="100"/>
    <x v="0"/>
    <m/>
    <m/>
    <n v="18"/>
    <n v="2.25"/>
    <n v="0.85"/>
    <n v="1.9124999999999999"/>
    <n v="1630"/>
    <x v="12"/>
    <s v="Hum"/>
    <x v="1"/>
    <n v="23641"/>
    <n v="28786"/>
    <n v="108245.47500000001"/>
    <n v="5800"/>
    <n v="13050"/>
    <n v="121295.47500000001"/>
    <n v="0"/>
    <n v="0"/>
    <n v="0"/>
    <n v="1"/>
    <n v="0"/>
    <n v="0"/>
    <n v="0"/>
    <n v="0"/>
    <n v="0"/>
    <n v="0"/>
    <n v="0"/>
    <n v="0"/>
    <s v="Enligt SP 190924"/>
    <m/>
    <n v="0"/>
    <n v="0"/>
    <n v="0"/>
    <n v="0"/>
    <n v="0"/>
    <n v="0"/>
    <n v="2.25"/>
    <n v="1.9124999999999999"/>
    <n v="0"/>
    <n v="0"/>
    <n v="0"/>
    <n v="0"/>
    <n v="0"/>
    <n v="0"/>
    <n v="0"/>
    <n v="0"/>
    <n v="0"/>
    <n v="0"/>
    <n v="0"/>
    <n v="0"/>
    <n v="0"/>
    <n v="0"/>
    <n v="0"/>
  </r>
  <r>
    <x v="137"/>
    <x v="133"/>
    <m/>
    <x v="1"/>
    <s v="H19"/>
    <x v="2"/>
    <s v="H1916-20"/>
    <m/>
    <m/>
    <s v="SPAN"/>
    <m/>
    <n v="100"/>
    <x v="0"/>
    <m/>
    <m/>
    <n v="1"/>
    <n v="0.125"/>
    <n v="0.85"/>
    <n v="0.10625"/>
    <n v="1630"/>
    <x v="12"/>
    <s v="Hum"/>
    <x v="1"/>
    <n v="23641"/>
    <n v="28786"/>
    <n v="6013.6374999999998"/>
    <n v="5800"/>
    <n v="725"/>
    <n v="6738.6374999999998"/>
    <n v="0"/>
    <n v="0"/>
    <n v="0"/>
    <n v="1"/>
    <n v="0"/>
    <n v="0"/>
    <n v="0"/>
    <n v="0"/>
    <n v="0"/>
    <n v="0"/>
    <n v="0"/>
    <n v="0"/>
    <s v="Enligt SP 190924"/>
    <m/>
    <n v="0"/>
    <n v="0"/>
    <n v="0"/>
    <n v="0"/>
    <n v="0"/>
    <n v="0"/>
    <n v="0.125"/>
    <n v="0.10625"/>
    <n v="0"/>
    <n v="0"/>
    <n v="0"/>
    <n v="0"/>
    <n v="0"/>
    <n v="0"/>
    <n v="0"/>
    <n v="0"/>
    <n v="0"/>
    <n v="0"/>
    <n v="0"/>
    <n v="0"/>
    <n v="0"/>
    <n v="0"/>
    <n v="0"/>
  </r>
  <r>
    <x v="137"/>
    <x v="133"/>
    <m/>
    <x v="1"/>
    <s v="H19"/>
    <x v="2"/>
    <s v="H1916-20"/>
    <m/>
    <m/>
    <s v="SVAA"/>
    <m/>
    <n v="100"/>
    <x v="0"/>
    <m/>
    <m/>
    <n v="13"/>
    <n v="1.625"/>
    <n v="0.85"/>
    <n v="1.3812499999999999"/>
    <n v="1630"/>
    <x v="12"/>
    <s v="Hum"/>
    <x v="1"/>
    <n v="23641"/>
    <n v="28786"/>
    <n v="78177.287500000006"/>
    <n v="5800"/>
    <n v="9425"/>
    <n v="87602.287500000006"/>
    <n v="0"/>
    <n v="0"/>
    <n v="0"/>
    <n v="1"/>
    <n v="0"/>
    <n v="0"/>
    <n v="0"/>
    <n v="0"/>
    <n v="0"/>
    <n v="0"/>
    <n v="0"/>
    <n v="0"/>
    <s v="Enligt SP 190924"/>
    <m/>
    <n v="0"/>
    <n v="0"/>
    <n v="0"/>
    <n v="0"/>
    <n v="0"/>
    <n v="0"/>
    <n v="1.625"/>
    <n v="1.3812499999999999"/>
    <n v="0"/>
    <n v="0"/>
    <n v="0"/>
    <n v="0"/>
    <n v="0"/>
    <n v="0"/>
    <n v="0"/>
    <n v="0"/>
    <n v="0"/>
    <n v="0"/>
    <n v="0"/>
    <n v="0"/>
    <n v="0"/>
    <n v="0"/>
    <n v="0"/>
  </r>
  <r>
    <x v="137"/>
    <x v="133"/>
    <m/>
    <x v="1"/>
    <s v="H19"/>
    <x v="2"/>
    <s v="H1916-20"/>
    <m/>
    <m/>
    <s v="SVAN"/>
    <m/>
    <n v="100"/>
    <x v="0"/>
    <m/>
    <m/>
    <n v="3"/>
    <n v="0.375"/>
    <n v="0.85"/>
    <n v="0.31874999999999998"/>
    <n v="1630"/>
    <x v="12"/>
    <s v="Hum"/>
    <x v="1"/>
    <n v="23641"/>
    <n v="28786"/>
    <n v="18040.912499999999"/>
    <n v="5800"/>
    <n v="2175"/>
    <n v="20215.912499999999"/>
    <n v="0"/>
    <n v="0"/>
    <n v="0"/>
    <n v="1"/>
    <n v="0"/>
    <n v="0"/>
    <n v="0"/>
    <n v="0"/>
    <n v="0"/>
    <n v="0"/>
    <n v="0"/>
    <n v="0"/>
    <s v="Enligt SP 190924"/>
    <m/>
    <n v="0"/>
    <n v="0"/>
    <n v="0"/>
    <n v="0"/>
    <n v="0"/>
    <n v="0"/>
    <n v="0.375"/>
    <n v="0.31874999999999998"/>
    <n v="0"/>
    <n v="0"/>
    <n v="0"/>
    <n v="0"/>
    <n v="0"/>
    <n v="0"/>
    <n v="0"/>
    <n v="0"/>
    <n v="0"/>
    <n v="0"/>
    <n v="0"/>
    <n v="0"/>
    <n v="0"/>
    <n v="0"/>
    <n v="0"/>
  </r>
  <r>
    <x v="137"/>
    <x v="133"/>
    <m/>
    <x v="1"/>
    <s v="H19"/>
    <x v="2"/>
    <s v="H1916-20"/>
    <m/>
    <m/>
    <s v="TYSK"/>
    <m/>
    <n v="100"/>
    <x v="0"/>
    <m/>
    <m/>
    <n v="2"/>
    <n v="0.25"/>
    <n v="0.85"/>
    <n v="0.21249999999999999"/>
    <n v="1630"/>
    <x v="12"/>
    <s v="Hum"/>
    <x v="1"/>
    <n v="23641"/>
    <n v="28786"/>
    <n v="12027.275"/>
    <n v="5800"/>
    <n v="1450"/>
    <n v="13477.275"/>
    <n v="0"/>
    <n v="0"/>
    <n v="0"/>
    <n v="1"/>
    <n v="0"/>
    <n v="0"/>
    <n v="0"/>
    <n v="0"/>
    <n v="0"/>
    <n v="0"/>
    <n v="0"/>
    <n v="0"/>
    <s v="Enligt SP 190924"/>
    <m/>
    <n v="0"/>
    <n v="0"/>
    <n v="0"/>
    <n v="0"/>
    <n v="0"/>
    <n v="0"/>
    <n v="0.25"/>
    <n v="0.21249999999999999"/>
    <n v="0"/>
    <n v="0"/>
    <n v="0"/>
    <n v="0"/>
    <n v="0"/>
    <n v="0"/>
    <n v="0"/>
    <n v="0"/>
    <n v="0"/>
    <n v="0"/>
    <n v="0"/>
    <n v="0"/>
    <n v="0"/>
    <n v="0"/>
    <n v="0"/>
  </r>
  <r>
    <x v="137"/>
    <x v="133"/>
    <m/>
    <x v="7"/>
    <s v="H19"/>
    <x v="2"/>
    <s v="H1916-20"/>
    <m/>
    <m/>
    <m/>
    <m/>
    <n v="100"/>
    <x v="0"/>
    <n v="-0.1"/>
    <n v="57"/>
    <n v="51.3"/>
    <n v="6.4124999999999996"/>
    <n v="0.85"/>
    <n v="5.4506249999999996"/>
    <n v="1630"/>
    <x v="12"/>
    <s v="Hum"/>
    <x v="7"/>
    <n v="23641"/>
    <n v="28786"/>
    <n v="308499.60375000001"/>
    <n v="5800"/>
    <n v="37192.5"/>
    <n v="345692.10375000001"/>
    <n v="0"/>
    <n v="0"/>
    <n v="0"/>
    <n v="1"/>
    <n v="0"/>
    <n v="0"/>
    <n v="0"/>
    <n v="0"/>
    <n v="0"/>
    <n v="0"/>
    <n v="0"/>
    <n v="0"/>
    <s v="Prognostal"/>
    <m/>
    <n v="0"/>
    <n v="0"/>
    <n v="0"/>
    <n v="0"/>
    <n v="0"/>
    <n v="0"/>
    <n v="6.4124999999999996"/>
    <n v="5.4506249999999996"/>
    <n v="0"/>
    <n v="0"/>
    <n v="0"/>
    <n v="0"/>
    <n v="0"/>
    <n v="0"/>
    <n v="0"/>
    <n v="0"/>
    <n v="0"/>
    <n v="0"/>
    <n v="0"/>
    <n v="0"/>
    <n v="0"/>
    <n v="0"/>
    <n v="0"/>
  </r>
  <r>
    <x v="137"/>
    <x v="133"/>
    <m/>
    <x v="7"/>
    <s v="V19"/>
    <x v="1"/>
    <s v="V1916-20"/>
    <s v="Umeå"/>
    <m/>
    <m/>
    <m/>
    <n v="100"/>
    <x v="0"/>
    <m/>
    <m/>
    <n v="19"/>
    <n v="2.375"/>
    <n v="0.85"/>
    <n v="2.0187499999999998"/>
    <n v="1630"/>
    <x v="12"/>
    <s v="Hum"/>
    <x v="7"/>
    <n v="23641"/>
    <n v="28786"/>
    <n v="114259.11249999999"/>
    <n v="5800"/>
    <n v="13775"/>
    <n v="128034.11249999999"/>
    <n v="0"/>
    <n v="0"/>
    <n v="0"/>
    <n v="1"/>
    <n v="0"/>
    <n v="0"/>
    <n v="0"/>
    <n v="0"/>
    <n v="0"/>
    <n v="0"/>
    <n v="0"/>
    <n v="0"/>
    <s v="Enl Ladok 190515"/>
    <m/>
    <n v="0"/>
    <n v="0"/>
    <n v="0"/>
    <n v="0"/>
    <n v="0"/>
    <n v="0"/>
    <n v="2.375"/>
    <n v="2.0187499999999998"/>
    <n v="0"/>
    <n v="0"/>
    <n v="0"/>
    <n v="0"/>
    <n v="0"/>
    <n v="0"/>
    <n v="0"/>
    <n v="0"/>
    <n v="0"/>
    <n v="0"/>
    <n v="0"/>
    <n v="0"/>
    <n v="0"/>
    <n v="0"/>
    <n v="0"/>
  </r>
  <r>
    <x v="137"/>
    <x v="133"/>
    <m/>
    <x v="8"/>
    <s v="H19"/>
    <x v="2"/>
    <s v="H1916-20"/>
    <m/>
    <m/>
    <m/>
    <m/>
    <n v="100"/>
    <x v="0"/>
    <n v="-0.15"/>
    <n v="25"/>
    <n v="21.25"/>
    <n v="2.65625"/>
    <n v="0.85"/>
    <n v="2.2578125"/>
    <n v="1630"/>
    <x v="12"/>
    <s v="Hum"/>
    <x v="8"/>
    <n v="23641"/>
    <n v="28786"/>
    <n v="127789.796875"/>
    <n v="5800"/>
    <n v="15406.25"/>
    <n v="143196.046875"/>
    <n v="0"/>
    <n v="0"/>
    <n v="0"/>
    <n v="1"/>
    <n v="0"/>
    <n v="0"/>
    <n v="0"/>
    <n v="0"/>
    <n v="0"/>
    <n v="0"/>
    <n v="0"/>
    <n v="0"/>
    <s v="Prognostal"/>
    <m/>
    <n v="0"/>
    <n v="0"/>
    <n v="0"/>
    <n v="0"/>
    <n v="0"/>
    <n v="0"/>
    <n v="2.65625"/>
    <n v="2.2578125"/>
    <n v="0"/>
    <n v="0"/>
    <n v="0"/>
    <n v="0"/>
    <n v="0"/>
    <n v="0"/>
    <n v="0"/>
    <n v="0"/>
    <n v="0"/>
    <n v="0"/>
    <n v="0"/>
    <n v="0"/>
    <n v="0"/>
    <n v="0"/>
    <n v="0"/>
  </r>
  <r>
    <x v="137"/>
    <x v="133"/>
    <m/>
    <x v="2"/>
    <s v="H14"/>
    <x v="2"/>
    <s v="H1916-20"/>
    <m/>
    <m/>
    <m/>
    <m/>
    <n v="100"/>
    <x v="0"/>
    <m/>
    <m/>
    <n v="1"/>
    <n v="0.125"/>
    <n v="0.85"/>
    <n v="0.10625"/>
    <n v="1630"/>
    <x v="12"/>
    <s v="Hum"/>
    <x v="2"/>
    <n v="23641"/>
    <n v="28786"/>
    <n v="6013.6374999999998"/>
    <n v="5800"/>
    <n v="725"/>
    <n v="6738.6374999999998"/>
    <n v="0"/>
    <n v="0"/>
    <n v="0"/>
    <n v="1"/>
    <n v="0"/>
    <n v="0"/>
    <n v="0"/>
    <n v="0"/>
    <n v="0"/>
    <n v="0"/>
    <n v="0"/>
    <n v="0"/>
    <s v="Enligt SP 190924"/>
    <m/>
    <n v="0"/>
    <n v="0"/>
    <n v="0"/>
    <n v="0"/>
    <n v="0"/>
    <n v="0"/>
    <n v="0.125"/>
    <n v="0.10625"/>
    <n v="0"/>
    <n v="0"/>
    <n v="0"/>
    <n v="0"/>
    <n v="0"/>
    <n v="0"/>
    <n v="0"/>
    <n v="0"/>
    <n v="0"/>
    <n v="0"/>
    <n v="0"/>
    <n v="0"/>
    <n v="0"/>
    <n v="0"/>
    <n v="0"/>
  </r>
  <r>
    <x v="137"/>
    <x v="133"/>
    <m/>
    <x v="2"/>
    <s v="H18"/>
    <x v="2"/>
    <s v="H1916-20"/>
    <m/>
    <m/>
    <m/>
    <m/>
    <n v="100"/>
    <x v="0"/>
    <m/>
    <m/>
    <n v="1"/>
    <n v="0.125"/>
    <n v="0.85"/>
    <n v="0.10625"/>
    <n v="1630"/>
    <x v="12"/>
    <s v="Hum"/>
    <x v="2"/>
    <n v="23641"/>
    <n v="28786"/>
    <n v="6013.6374999999998"/>
    <n v="5800"/>
    <n v="725"/>
    <n v="6738.6374999999998"/>
    <n v="0"/>
    <n v="0"/>
    <n v="0"/>
    <n v="1"/>
    <n v="0"/>
    <n v="0"/>
    <n v="0"/>
    <n v="0"/>
    <n v="0"/>
    <n v="0"/>
    <n v="0"/>
    <n v="0"/>
    <s v="Enligt SP 190924"/>
    <m/>
    <n v="0"/>
    <n v="0"/>
    <n v="0"/>
    <n v="0"/>
    <n v="0"/>
    <n v="0"/>
    <n v="0.125"/>
    <n v="0.10625"/>
    <n v="0"/>
    <n v="0"/>
    <n v="0"/>
    <n v="0"/>
    <n v="0"/>
    <n v="0"/>
    <n v="0"/>
    <n v="0"/>
    <n v="0"/>
    <n v="0"/>
    <n v="0"/>
    <n v="0"/>
    <n v="0"/>
    <n v="0"/>
    <n v="0"/>
  </r>
  <r>
    <x v="137"/>
    <x v="133"/>
    <m/>
    <x v="2"/>
    <s v="H19"/>
    <x v="2"/>
    <s v="H1916-20"/>
    <m/>
    <m/>
    <m/>
    <m/>
    <n v="100"/>
    <x v="0"/>
    <n v="-0.08"/>
    <n v="51"/>
    <n v="46.92"/>
    <n v="5.8650000000000002"/>
    <n v="0.85"/>
    <n v="4.9852499999999997"/>
    <n v="1630"/>
    <x v="12"/>
    <s v="Hum"/>
    <x v="2"/>
    <n v="23641"/>
    <n v="28786"/>
    <n v="282159.87150000001"/>
    <n v="5800"/>
    <n v="34017"/>
    <n v="316176.87150000001"/>
    <n v="0"/>
    <n v="0"/>
    <n v="0"/>
    <n v="1"/>
    <n v="0"/>
    <n v="0"/>
    <n v="0"/>
    <n v="0"/>
    <n v="0"/>
    <n v="0"/>
    <n v="0"/>
    <n v="0"/>
    <s v="Prognostal"/>
    <m/>
    <n v="0"/>
    <n v="0"/>
    <n v="0"/>
    <n v="0"/>
    <n v="0"/>
    <n v="0"/>
    <n v="5.8650000000000002"/>
    <n v="4.9852499999999997"/>
    <n v="0"/>
    <n v="0"/>
    <n v="0"/>
    <n v="0"/>
    <n v="0"/>
    <n v="0"/>
    <n v="0"/>
    <n v="0"/>
    <n v="0"/>
    <n v="0"/>
    <n v="0"/>
    <n v="0"/>
    <n v="0"/>
    <n v="0"/>
    <n v="0"/>
  </r>
  <r>
    <x v="137"/>
    <x v="133"/>
    <m/>
    <x v="2"/>
    <s v="V18"/>
    <x v="2"/>
    <s v="H1916-20"/>
    <m/>
    <m/>
    <m/>
    <m/>
    <n v="100"/>
    <x v="0"/>
    <m/>
    <m/>
    <n v="1"/>
    <n v="0.125"/>
    <n v="0.85"/>
    <n v="0.10625"/>
    <n v="1630"/>
    <x v="12"/>
    <s v="Hum"/>
    <x v="2"/>
    <n v="23641"/>
    <n v="28786"/>
    <n v="6013.6374999999998"/>
    <n v="5800"/>
    <n v="725"/>
    <n v="6738.6374999999998"/>
    <n v="0"/>
    <n v="0"/>
    <n v="0"/>
    <n v="1"/>
    <n v="0"/>
    <n v="0"/>
    <n v="0"/>
    <n v="0"/>
    <n v="0"/>
    <n v="0"/>
    <n v="0"/>
    <n v="0"/>
    <s v="Enligt SP 190924"/>
    <m/>
    <n v="0"/>
    <n v="0"/>
    <n v="0"/>
    <n v="0"/>
    <n v="0"/>
    <n v="0"/>
    <n v="0.125"/>
    <n v="0.10625"/>
    <n v="0"/>
    <n v="0"/>
    <n v="0"/>
    <n v="0"/>
    <n v="0"/>
    <n v="0"/>
    <n v="0"/>
    <n v="0"/>
    <n v="0"/>
    <n v="0"/>
    <n v="0"/>
    <n v="0"/>
    <n v="0"/>
    <n v="0"/>
    <n v="0"/>
  </r>
  <r>
    <x v="137"/>
    <x v="133"/>
    <m/>
    <x v="3"/>
    <s v="H19"/>
    <x v="2"/>
    <s v="H1916-20"/>
    <m/>
    <m/>
    <m/>
    <m/>
    <n v="100"/>
    <x v="0"/>
    <n v="-0.12"/>
    <n v="35"/>
    <n v="30.8"/>
    <n v="3.85"/>
    <n v="0.85"/>
    <n v="3.2725"/>
    <n v="1630"/>
    <x v="12"/>
    <s v="Hum"/>
    <x v="3"/>
    <n v="23641"/>
    <n v="28786"/>
    <n v="185220.035"/>
    <n v="5800"/>
    <n v="22330"/>
    <n v="207550.035"/>
    <n v="0"/>
    <n v="0"/>
    <n v="0"/>
    <n v="1"/>
    <n v="0"/>
    <n v="0"/>
    <n v="0"/>
    <n v="0"/>
    <n v="0"/>
    <n v="0"/>
    <n v="0"/>
    <n v="0"/>
    <s v="Prognostal"/>
    <m/>
    <n v="0"/>
    <n v="0"/>
    <n v="0"/>
    <n v="0"/>
    <n v="0"/>
    <n v="0"/>
    <n v="3.85"/>
    <n v="3.2725"/>
    <n v="0"/>
    <n v="0"/>
    <n v="0"/>
    <n v="0"/>
    <n v="0"/>
    <n v="0"/>
    <n v="0"/>
    <n v="0"/>
    <n v="0"/>
    <n v="0"/>
    <n v="0"/>
    <n v="0"/>
    <n v="0"/>
    <n v="0"/>
    <n v="0"/>
  </r>
  <r>
    <x v="138"/>
    <x v="134"/>
    <m/>
    <x v="3"/>
    <s v="H17"/>
    <x v="1"/>
    <s v="V1913-17"/>
    <s v="Umeå"/>
    <m/>
    <m/>
    <m/>
    <n v="100"/>
    <x v="2"/>
    <m/>
    <m/>
    <n v="29"/>
    <n v="2.9000000000000004"/>
    <n v="0.85"/>
    <n v="2.4650000000000003"/>
    <n v="1620"/>
    <x v="10"/>
    <s v="Hum"/>
    <x v="3"/>
    <n v="21634"/>
    <n v="26986"/>
    <n v="129259.09000000001"/>
    <n v="3400"/>
    <n v="9860.0000000000018"/>
    <n v="139119.09000000003"/>
    <n v="0"/>
    <n v="0"/>
    <n v="0"/>
    <n v="0"/>
    <n v="0"/>
    <n v="0"/>
    <n v="0"/>
    <n v="0"/>
    <n v="1"/>
    <n v="0"/>
    <n v="0"/>
    <n v="0"/>
    <s v="Enl Ladok 190515"/>
    <m/>
    <n v="0"/>
    <n v="0"/>
    <n v="0"/>
    <n v="0"/>
    <n v="0"/>
    <n v="0"/>
    <n v="0"/>
    <n v="0"/>
    <n v="0"/>
    <n v="0"/>
    <n v="0"/>
    <n v="0"/>
    <n v="0"/>
    <n v="0"/>
    <n v="0"/>
    <n v="0"/>
    <n v="2.9000000000000004"/>
    <n v="2.4650000000000003"/>
    <n v="0"/>
    <n v="0"/>
    <n v="0"/>
    <n v="0"/>
    <n v="0"/>
  </r>
  <r>
    <x v="139"/>
    <x v="135"/>
    <m/>
    <x v="2"/>
    <s v="H17"/>
    <x v="1"/>
    <s v="V1913-18"/>
    <s v="Umeå"/>
    <m/>
    <m/>
    <m/>
    <n v="100"/>
    <x v="2"/>
    <m/>
    <m/>
    <n v="29"/>
    <n v="2.9000000000000004"/>
    <n v="0.85"/>
    <n v="2.4650000000000003"/>
    <n v="1620"/>
    <x v="10"/>
    <s v="Hum"/>
    <x v="2"/>
    <n v="21634"/>
    <n v="26986"/>
    <n v="129259.09000000001"/>
    <n v="3400"/>
    <n v="9860.0000000000018"/>
    <n v="139119.09000000003"/>
    <n v="0"/>
    <n v="0"/>
    <n v="0"/>
    <n v="0"/>
    <n v="0"/>
    <n v="0"/>
    <n v="0"/>
    <n v="0"/>
    <n v="1"/>
    <n v="0"/>
    <n v="0"/>
    <n v="0"/>
    <s v="Enl Ladok 190523"/>
    <m/>
    <n v="0"/>
    <n v="0"/>
    <n v="0"/>
    <n v="0"/>
    <n v="0"/>
    <n v="0"/>
    <n v="0"/>
    <n v="0"/>
    <n v="0"/>
    <n v="0"/>
    <n v="0"/>
    <n v="0"/>
    <n v="0"/>
    <n v="0"/>
    <n v="0"/>
    <n v="0"/>
    <n v="2.9000000000000004"/>
    <n v="2.4650000000000003"/>
    <n v="0"/>
    <n v="0"/>
    <n v="0"/>
    <n v="0"/>
    <n v="0"/>
  </r>
  <r>
    <x v="140"/>
    <x v="136"/>
    <m/>
    <x v="1"/>
    <s v="H12"/>
    <x v="2"/>
    <s v="H191-15"/>
    <m/>
    <m/>
    <s v="ENGS"/>
    <m/>
    <n v="100"/>
    <x v="6"/>
    <m/>
    <m/>
    <n v="1"/>
    <n v="0.375"/>
    <n v="0.85"/>
    <n v="0.31874999999999998"/>
    <n v="1620"/>
    <x v="10"/>
    <s v="Hum"/>
    <x v="1"/>
    <n v="21634"/>
    <n v="26986"/>
    <n v="16714.537499999999"/>
    <n v="3400"/>
    <n v="1275"/>
    <n v="17989.537499999999"/>
    <n v="0"/>
    <n v="0"/>
    <n v="0"/>
    <n v="0"/>
    <n v="0"/>
    <n v="0"/>
    <n v="0"/>
    <n v="0"/>
    <n v="1"/>
    <n v="0"/>
    <n v="0"/>
    <n v="0"/>
    <s v="Enligt SP 190924"/>
    <m/>
    <n v="0"/>
    <n v="0"/>
    <n v="0"/>
    <n v="0"/>
    <n v="0"/>
    <n v="0"/>
    <n v="0"/>
    <n v="0"/>
    <n v="0"/>
    <n v="0"/>
    <n v="0"/>
    <n v="0"/>
    <n v="0"/>
    <n v="0"/>
    <n v="0"/>
    <n v="0"/>
    <n v="0.375"/>
    <n v="0.31874999999999998"/>
    <n v="0"/>
    <n v="0"/>
    <n v="0"/>
    <n v="0"/>
    <n v="0"/>
  </r>
  <r>
    <x v="140"/>
    <x v="136"/>
    <m/>
    <x v="1"/>
    <s v="H14"/>
    <x v="2"/>
    <s v="H191-15"/>
    <m/>
    <m/>
    <s v="ENGS"/>
    <m/>
    <n v="100"/>
    <x v="6"/>
    <m/>
    <m/>
    <n v="2"/>
    <n v="0.75"/>
    <n v="0.85"/>
    <n v="0.63749999999999996"/>
    <n v="1620"/>
    <x v="10"/>
    <s v="Hum"/>
    <x v="1"/>
    <n v="21634"/>
    <n v="26986"/>
    <n v="33429.074999999997"/>
    <n v="3400"/>
    <n v="2550"/>
    <n v="35979.074999999997"/>
    <n v="0"/>
    <n v="0"/>
    <n v="0"/>
    <n v="0"/>
    <n v="0"/>
    <n v="0"/>
    <n v="0"/>
    <n v="0"/>
    <n v="1"/>
    <n v="0"/>
    <n v="0"/>
    <n v="0"/>
    <s v="Enligt SP 190924"/>
    <m/>
    <n v="0"/>
    <n v="0"/>
    <n v="0"/>
    <n v="0"/>
    <n v="0"/>
    <n v="0"/>
    <n v="0"/>
    <n v="0"/>
    <n v="0"/>
    <n v="0"/>
    <n v="0"/>
    <n v="0"/>
    <n v="0"/>
    <n v="0"/>
    <n v="0"/>
    <n v="0"/>
    <n v="0.75"/>
    <n v="0.63749999999999996"/>
    <n v="0"/>
    <n v="0"/>
    <n v="0"/>
    <n v="0"/>
    <n v="0"/>
  </r>
  <r>
    <x v="140"/>
    <x v="136"/>
    <m/>
    <x v="1"/>
    <s v="H15"/>
    <x v="2"/>
    <s v="H191-15"/>
    <m/>
    <m/>
    <s v="ENGS"/>
    <m/>
    <n v="100"/>
    <x v="6"/>
    <m/>
    <m/>
    <n v="10"/>
    <n v="3.75"/>
    <n v="0.85"/>
    <n v="3.1875"/>
    <n v="1620"/>
    <x v="10"/>
    <s v="Hum"/>
    <x v="1"/>
    <n v="21634"/>
    <n v="26986"/>
    <n v="167145.375"/>
    <n v="3400"/>
    <n v="12750"/>
    <n v="179895.375"/>
    <n v="0"/>
    <n v="0"/>
    <n v="0"/>
    <n v="0"/>
    <n v="0"/>
    <n v="0"/>
    <n v="0"/>
    <n v="0"/>
    <n v="1"/>
    <n v="0"/>
    <n v="0"/>
    <n v="0"/>
    <s v="Enligt SP 190924"/>
    <m/>
    <n v="0"/>
    <n v="0"/>
    <n v="0"/>
    <n v="0"/>
    <n v="0"/>
    <n v="0"/>
    <n v="0"/>
    <n v="0"/>
    <n v="0"/>
    <n v="0"/>
    <n v="0"/>
    <n v="0"/>
    <n v="0"/>
    <n v="0"/>
    <n v="0"/>
    <n v="0"/>
    <n v="3.75"/>
    <n v="3.1875"/>
    <n v="0"/>
    <n v="0"/>
    <n v="0"/>
    <n v="0"/>
    <n v="0"/>
  </r>
  <r>
    <x v="141"/>
    <x v="137"/>
    <m/>
    <x v="1"/>
    <s v="H15"/>
    <x v="2"/>
    <s v="H191-15"/>
    <m/>
    <m/>
    <s v="SVAA"/>
    <m/>
    <n v="100"/>
    <x v="6"/>
    <m/>
    <m/>
    <n v="10"/>
    <n v="3.75"/>
    <n v="0.85"/>
    <n v="3.1875"/>
    <n v="1620"/>
    <x v="10"/>
    <s v="Hum"/>
    <x v="1"/>
    <n v="21634"/>
    <n v="26986"/>
    <n v="167145.375"/>
    <n v="3400"/>
    <n v="12750"/>
    <n v="179895.375"/>
    <n v="0"/>
    <n v="0"/>
    <n v="0"/>
    <n v="0"/>
    <n v="0"/>
    <n v="0"/>
    <n v="0"/>
    <n v="0"/>
    <n v="1"/>
    <n v="0"/>
    <n v="0"/>
    <n v="0"/>
    <s v="Enligt SP 190924"/>
    <m/>
    <n v="0"/>
    <n v="0"/>
    <n v="0"/>
    <n v="0"/>
    <n v="0"/>
    <n v="0"/>
    <n v="0"/>
    <n v="0"/>
    <n v="0"/>
    <n v="0"/>
    <n v="0"/>
    <n v="0"/>
    <n v="0"/>
    <n v="0"/>
    <n v="0"/>
    <n v="0"/>
    <n v="3.75"/>
    <n v="3.1875"/>
    <n v="0"/>
    <n v="0"/>
    <n v="0"/>
    <n v="0"/>
    <n v="0"/>
  </r>
  <r>
    <x v="141"/>
    <x v="137"/>
    <m/>
    <x v="1"/>
    <s v="H16"/>
    <x v="2"/>
    <s v="H191-15"/>
    <m/>
    <m/>
    <s v="SVAA"/>
    <m/>
    <n v="100"/>
    <x v="6"/>
    <m/>
    <m/>
    <n v="1"/>
    <n v="0.375"/>
    <n v="0.85"/>
    <n v="0.31874999999999998"/>
    <n v="1620"/>
    <x v="10"/>
    <s v="Hum"/>
    <x v="1"/>
    <n v="21634"/>
    <n v="26986"/>
    <n v="16714.537499999999"/>
    <n v="3400"/>
    <n v="1275"/>
    <n v="17989.537499999999"/>
    <n v="0"/>
    <n v="0"/>
    <n v="0"/>
    <n v="0"/>
    <n v="0"/>
    <n v="0"/>
    <n v="0"/>
    <n v="0"/>
    <n v="1"/>
    <n v="0"/>
    <n v="0"/>
    <n v="0"/>
    <s v="Enligt SP 190924"/>
    <m/>
    <n v="0"/>
    <n v="0"/>
    <n v="0"/>
    <n v="0"/>
    <n v="0"/>
    <n v="0"/>
    <n v="0"/>
    <n v="0"/>
    <n v="0"/>
    <n v="0"/>
    <n v="0"/>
    <n v="0"/>
    <n v="0"/>
    <n v="0"/>
    <n v="0"/>
    <n v="0"/>
    <n v="0.375"/>
    <n v="0.31874999999999998"/>
    <n v="0"/>
    <n v="0"/>
    <n v="0"/>
    <n v="0"/>
    <n v="0"/>
  </r>
  <r>
    <x v="142"/>
    <x v="138"/>
    <m/>
    <x v="7"/>
    <s v="H18"/>
    <x v="2"/>
    <s v="H191-10"/>
    <m/>
    <m/>
    <m/>
    <m/>
    <n v="100"/>
    <x v="1"/>
    <m/>
    <m/>
    <n v="46"/>
    <n v="11.5"/>
    <n v="0.85"/>
    <n v="9.7750000000000004"/>
    <n v="1620"/>
    <x v="10"/>
    <s v="Hum"/>
    <x v="7"/>
    <n v="18405"/>
    <n v="15773"/>
    <n v="365838.57500000001"/>
    <n v="5800"/>
    <n v="66700"/>
    <n v="432538.57500000001"/>
    <n v="0"/>
    <n v="1"/>
    <n v="0"/>
    <n v="0"/>
    <n v="0"/>
    <n v="0"/>
    <n v="0"/>
    <n v="0"/>
    <n v="0"/>
    <n v="0"/>
    <n v="0"/>
    <n v="0"/>
    <s v="Enligt SP 190924"/>
    <m/>
    <n v="0"/>
    <n v="0"/>
    <n v="11.5"/>
    <n v="9.7750000000000004"/>
    <n v="0"/>
    <n v="0"/>
    <n v="0"/>
    <n v="0"/>
    <n v="0"/>
    <n v="0"/>
    <n v="0"/>
    <n v="0"/>
    <n v="0"/>
    <n v="0"/>
    <n v="0"/>
    <n v="0"/>
    <n v="0"/>
    <n v="0"/>
    <n v="0"/>
    <n v="0"/>
    <n v="0"/>
    <n v="0"/>
    <n v="0"/>
  </r>
  <r>
    <x v="142"/>
    <x v="138"/>
    <m/>
    <x v="7"/>
    <s v="V18"/>
    <x v="1"/>
    <s v="V191-10"/>
    <s v="Umeå"/>
    <m/>
    <m/>
    <m/>
    <n v="100"/>
    <x v="1"/>
    <m/>
    <m/>
    <n v="25"/>
    <n v="6.25"/>
    <n v="0.85"/>
    <n v="5.3125"/>
    <n v="1620"/>
    <x v="10"/>
    <s v="Hum"/>
    <x v="7"/>
    <n v="18405"/>
    <n v="15773"/>
    <n v="198825.3125"/>
    <n v="5800"/>
    <n v="36250"/>
    <n v="235075.3125"/>
    <n v="0"/>
    <n v="1"/>
    <n v="0"/>
    <n v="0"/>
    <n v="0"/>
    <n v="0"/>
    <n v="0"/>
    <n v="0"/>
    <n v="0"/>
    <n v="0"/>
    <n v="0"/>
    <n v="0"/>
    <s v="Enl Ladok 190318"/>
    <m/>
    <n v="0"/>
    <n v="0"/>
    <n v="6.25"/>
    <n v="5.3125"/>
    <n v="0"/>
    <n v="0"/>
    <n v="0"/>
    <n v="0"/>
    <n v="0"/>
    <n v="0"/>
    <n v="0"/>
    <n v="0"/>
    <n v="0"/>
    <n v="0"/>
    <n v="0"/>
    <n v="0"/>
    <n v="0"/>
    <n v="0"/>
    <n v="0"/>
    <n v="0"/>
    <n v="0"/>
    <n v="0"/>
    <n v="0"/>
  </r>
  <r>
    <x v="142"/>
    <x v="138"/>
    <m/>
    <x v="7"/>
    <s v="V18"/>
    <x v="1"/>
    <s v="V191-10"/>
    <s v="Örnsköldsvik"/>
    <m/>
    <m/>
    <m/>
    <n v="100"/>
    <x v="1"/>
    <m/>
    <m/>
    <n v="16"/>
    <n v="4"/>
    <n v="0.85"/>
    <n v="3.4"/>
    <n v="1620"/>
    <x v="10"/>
    <s v="Hum"/>
    <x v="7"/>
    <n v="18405"/>
    <n v="15773"/>
    <n v="127248.2"/>
    <n v="5800"/>
    <n v="23200"/>
    <n v="150448.20000000001"/>
    <n v="0"/>
    <n v="1"/>
    <n v="0"/>
    <n v="0"/>
    <n v="0"/>
    <n v="0"/>
    <n v="0"/>
    <n v="0"/>
    <n v="0"/>
    <n v="0"/>
    <n v="0"/>
    <n v="0"/>
    <s v="Enl Ladok 190318"/>
    <m/>
    <n v="0"/>
    <n v="0"/>
    <n v="4"/>
    <n v="3.4"/>
    <n v="0"/>
    <n v="0"/>
    <n v="0"/>
    <n v="0"/>
    <n v="0"/>
    <n v="0"/>
    <n v="0"/>
    <n v="0"/>
    <n v="0"/>
    <n v="0"/>
    <n v="0"/>
    <n v="0"/>
    <n v="0"/>
    <n v="0"/>
    <n v="0"/>
    <n v="0"/>
    <n v="0"/>
    <n v="0"/>
    <n v="0"/>
  </r>
  <r>
    <x v="143"/>
    <x v="139"/>
    <m/>
    <x v="8"/>
    <s v="H18"/>
    <x v="1"/>
    <s v="V1916-20"/>
    <s v="Umeå"/>
    <m/>
    <m/>
    <m/>
    <n v="100"/>
    <x v="0"/>
    <m/>
    <m/>
    <n v="25"/>
    <n v="3.125"/>
    <n v="0.85"/>
    <n v="2.65625"/>
    <n v="1620"/>
    <x v="10"/>
    <s v="Hum"/>
    <x v="8"/>
    <n v="18405"/>
    <n v="15773"/>
    <n v="99412.65625"/>
    <n v="5800"/>
    <n v="18125"/>
    <n v="117537.65625"/>
    <n v="0"/>
    <n v="1"/>
    <n v="0"/>
    <n v="0"/>
    <n v="0"/>
    <n v="0"/>
    <n v="0"/>
    <n v="0"/>
    <n v="0"/>
    <n v="0"/>
    <n v="0"/>
    <n v="0"/>
    <s v="Enl Ladok 190523"/>
    <m/>
    <n v="0"/>
    <n v="0"/>
    <n v="3.125"/>
    <n v="2.65625"/>
    <n v="0"/>
    <n v="0"/>
    <n v="0"/>
    <n v="0"/>
    <n v="0"/>
    <n v="0"/>
    <n v="0"/>
    <n v="0"/>
    <n v="0"/>
    <n v="0"/>
    <n v="0"/>
    <n v="0"/>
    <n v="0"/>
    <n v="0"/>
    <n v="0"/>
    <n v="0"/>
    <n v="0"/>
    <n v="0"/>
    <n v="0"/>
  </r>
  <r>
    <x v="144"/>
    <x v="140"/>
    <m/>
    <x v="4"/>
    <s v="H14"/>
    <x v="1"/>
    <s v="V191-15"/>
    <s v="Umeå"/>
    <m/>
    <s v="MATT"/>
    <m/>
    <n v="100"/>
    <x v="6"/>
    <m/>
    <m/>
    <n v="1"/>
    <n v="0.375"/>
    <n v="0.85"/>
    <n v="0.31874999999999998"/>
    <n v="5730"/>
    <x v="8"/>
    <s v="TekNat"/>
    <x v="4"/>
    <n v="21634"/>
    <n v="26986"/>
    <n v="16714.537499999999"/>
    <n v="3400"/>
    <n v="1275"/>
    <n v="17989.537499999999"/>
    <n v="0"/>
    <n v="0"/>
    <n v="0"/>
    <n v="0"/>
    <n v="0"/>
    <n v="0"/>
    <n v="0"/>
    <n v="0"/>
    <n v="1"/>
    <n v="0"/>
    <n v="0"/>
    <n v="0"/>
    <s v="Enl Ladok 190318"/>
    <m/>
    <n v="0"/>
    <n v="0"/>
    <n v="0"/>
    <n v="0"/>
    <n v="0"/>
    <n v="0"/>
    <n v="0"/>
    <n v="0"/>
    <n v="0"/>
    <n v="0"/>
    <n v="0"/>
    <n v="0"/>
    <n v="0"/>
    <n v="0"/>
    <n v="0"/>
    <n v="0"/>
    <n v="0.375"/>
    <n v="0.31874999999999998"/>
    <n v="0"/>
    <n v="0"/>
    <n v="0"/>
    <n v="0"/>
    <n v="0"/>
  </r>
  <r>
    <x v="144"/>
    <x v="140"/>
    <m/>
    <x v="1"/>
    <s v="H13"/>
    <x v="2"/>
    <s v="H191-15"/>
    <m/>
    <m/>
    <s v="MATT"/>
    <m/>
    <n v="100"/>
    <x v="6"/>
    <m/>
    <m/>
    <n v="1"/>
    <n v="0.375"/>
    <n v="0.85"/>
    <n v="0.31874999999999998"/>
    <n v="5730"/>
    <x v="8"/>
    <s v="TekNat"/>
    <x v="1"/>
    <n v="21634"/>
    <n v="26986"/>
    <n v="16714.537499999999"/>
    <n v="3400"/>
    <n v="1275"/>
    <n v="17989.537499999999"/>
    <n v="0"/>
    <n v="0"/>
    <n v="0"/>
    <n v="0"/>
    <n v="0"/>
    <n v="0"/>
    <n v="0"/>
    <n v="0"/>
    <n v="1"/>
    <n v="0"/>
    <n v="0"/>
    <n v="0"/>
    <s v="Enligt SP 190924"/>
    <m/>
    <n v="0"/>
    <n v="0"/>
    <n v="0"/>
    <n v="0"/>
    <n v="0"/>
    <n v="0"/>
    <n v="0"/>
    <n v="0"/>
    <n v="0"/>
    <n v="0"/>
    <n v="0"/>
    <n v="0"/>
    <n v="0"/>
    <n v="0"/>
    <n v="0"/>
    <n v="0"/>
    <n v="0.375"/>
    <n v="0.31874999999999998"/>
    <n v="0"/>
    <n v="0"/>
    <n v="0"/>
    <n v="0"/>
    <n v="0"/>
  </r>
  <r>
    <x v="144"/>
    <x v="140"/>
    <m/>
    <x v="1"/>
    <s v="H15"/>
    <x v="2"/>
    <s v="H191-15"/>
    <m/>
    <m/>
    <s v="MATT"/>
    <m/>
    <n v="100"/>
    <x v="6"/>
    <m/>
    <m/>
    <n v="5"/>
    <n v="1.875"/>
    <n v="0.85"/>
    <n v="1.59375"/>
    <n v="5730"/>
    <x v="8"/>
    <s v="TekNat"/>
    <x v="1"/>
    <n v="21634"/>
    <n v="26986"/>
    <n v="83572.6875"/>
    <n v="3400"/>
    <n v="6375"/>
    <n v="89947.6875"/>
    <n v="0"/>
    <n v="0"/>
    <n v="0"/>
    <n v="0"/>
    <n v="0"/>
    <n v="0"/>
    <n v="0"/>
    <n v="0"/>
    <n v="1"/>
    <n v="0"/>
    <n v="0"/>
    <n v="0"/>
    <s v="Enligt SP 190924"/>
    <m/>
    <n v="0"/>
    <n v="0"/>
    <n v="0"/>
    <n v="0"/>
    <n v="0"/>
    <n v="0"/>
    <n v="0"/>
    <n v="0"/>
    <n v="0"/>
    <n v="0"/>
    <n v="0"/>
    <n v="0"/>
    <n v="0"/>
    <n v="0"/>
    <n v="0"/>
    <n v="0"/>
    <n v="1.875"/>
    <n v="1.59375"/>
    <n v="0"/>
    <n v="0"/>
    <n v="0"/>
    <n v="0"/>
    <n v="0"/>
  </r>
  <r>
    <x v="144"/>
    <x v="140"/>
    <m/>
    <x v="1"/>
    <s v="H16"/>
    <x v="2"/>
    <s v="H191-15"/>
    <m/>
    <m/>
    <s v="MATT"/>
    <m/>
    <n v="100"/>
    <x v="6"/>
    <m/>
    <m/>
    <n v="1"/>
    <n v="0.375"/>
    <n v="0.85"/>
    <n v="0.31874999999999998"/>
    <n v="5730"/>
    <x v="8"/>
    <s v="TekNat"/>
    <x v="1"/>
    <n v="21634"/>
    <n v="26986"/>
    <n v="16714.537499999999"/>
    <n v="3400"/>
    <n v="1275"/>
    <n v="17989.537499999999"/>
    <n v="0"/>
    <n v="0"/>
    <n v="0"/>
    <n v="0"/>
    <n v="0"/>
    <n v="0"/>
    <n v="0"/>
    <n v="0"/>
    <n v="1"/>
    <n v="0"/>
    <n v="0"/>
    <n v="0"/>
    <s v="Enligt SP 190924"/>
    <m/>
    <n v="0"/>
    <n v="0"/>
    <n v="0"/>
    <n v="0"/>
    <n v="0"/>
    <n v="0"/>
    <n v="0"/>
    <n v="0"/>
    <n v="0"/>
    <n v="0"/>
    <n v="0"/>
    <n v="0"/>
    <n v="0"/>
    <n v="0"/>
    <n v="0"/>
    <n v="0"/>
    <n v="0.375"/>
    <n v="0.31874999999999998"/>
    <n v="0"/>
    <n v="0"/>
    <n v="0"/>
    <n v="0"/>
    <n v="0"/>
  </r>
  <r>
    <x v="145"/>
    <x v="141"/>
    <m/>
    <x v="0"/>
    <m/>
    <x v="1"/>
    <m/>
    <m/>
    <s v="Campus"/>
    <m/>
    <m/>
    <n v="100"/>
    <x v="0"/>
    <m/>
    <m/>
    <n v="2"/>
    <n v="0.25"/>
    <n v="0.8"/>
    <n v="0.2"/>
    <n v="5730"/>
    <x v="8"/>
    <s v="TekNat"/>
    <x v="0"/>
    <n v="19473"/>
    <n v="34806"/>
    <n v="11829.45"/>
    <n v="21800"/>
    <n v="5450"/>
    <n v="17279.45"/>
    <n v="0"/>
    <n v="0"/>
    <n v="0"/>
    <n v="0"/>
    <n v="0"/>
    <n v="1"/>
    <n v="0"/>
    <n v="0"/>
    <n v="0"/>
    <n v="0"/>
    <n v="0"/>
    <n v="0"/>
    <s v="Enl Ladok 190515"/>
    <s v="Äskat - Beslut p43 180607"/>
    <n v="0"/>
    <n v="0"/>
    <n v="0"/>
    <n v="0"/>
    <n v="0"/>
    <n v="0"/>
    <n v="0"/>
    <n v="0"/>
    <n v="0"/>
    <n v="0"/>
    <n v="0.25"/>
    <n v="0.2"/>
    <n v="0"/>
    <n v="0"/>
    <n v="0"/>
    <n v="0"/>
    <n v="0"/>
    <n v="0"/>
    <n v="0"/>
    <n v="0"/>
    <n v="0"/>
    <n v="0"/>
    <n v="0"/>
  </r>
  <r>
    <x v="145"/>
    <x v="141"/>
    <m/>
    <x v="1"/>
    <s v="H15"/>
    <x v="1"/>
    <s v="V191-5"/>
    <s v="Umeå"/>
    <m/>
    <s v="IDRH"/>
    <m/>
    <n v="100"/>
    <x v="0"/>
    <m/>
    <m/>
    <n v="3"/>
    <n v="0.375"/>
    <n v="0.85"/>
    <n v="0.31874999999999998"/>
    <n v="5730"/>
    <x v="8"/>
    <s v="TekNat"/>
    <x v="1"/>
    <n v="19473"/>
    <n v="34806"/>
    <n v="18396.787499999999"/>
    <n v="21800"/>
    <n v="8175"/>
    <n v="26571.787499999999"/>
    <n v="0"/>
    <n v="0"/>
    <n v="0"/>
    <n v="0"/>
    <n v="0"/>
    <n v="1"/>
    <n v="0"/>
    <n v="0"/>
    <n v="0"/>
    <n v="0"/>
    <n v="0"/>
    <n v="0"/>
    <s v="Enl Ladok 190318"/>
    <m/>
    <n v="0"/>
    <n v="0"/>
    <n v="0"/>
    <n v="0"/>
    <n v="0"/>
    <n v="0"/>
    <n v="0"/>
    <n v="0"/>
    <n v="0"/>
    <n v="0"/>
    <n v="0.375"/>
    <n v="0.31874999999999998"/>
    <n v="0"/>
    <n v="0"/>
    <n v="0"/>
    <n v="0"/>
    <n v="0"/>
    <n v="0"/>
    <n v="0"/>
    <n v="0"/>
    <n v="0"/>
    <n v="0"/>
    <n v="0"/>
  </r>
  <r>
    <x v="145"/>
    <x v="141"/>
    <m/>
    <x v="1"/>
    <s v="H17"/>
    <x v="1"/>
    <s v="V191-5"/>
    <s v="Umeå"/>
    <m/>
    <s v="MATT"/>
    <m/>
    <n v="100"/>
    <x v="0"/>
    <m/>
    <m/>
    <n v="13"/>
    <n v="1.625"/>
    <n v="0.85"/>
    <n v="1.3812499999999999"/>
    <n v="5730"/>
    <x v="8"/>
    <s v="TekNat"/>
    <x v="1"/>
    <n v="19473"/>
    <n v="34806"/>
    <n v="79719.412500000006"/>
    <n v="21800"/>
    <n v="35425"/>
    <n v="115144.41250000001"/>
    <n v="0"/>
    <n v="0"/>
    <n v="0"/>
    <n v="0"/>
    <n v="0"/>
    <n v="1"/>
    <n v="0"/>
    <n v="0"/>
    <n v="0"/>
    <n v="0"/>
    <n v="0"/>
    <n v="0"/>
    <s v="Enl Ladok 190318"/>
    <m/>
    <n v="0"/>
    <n v="0"/>
    <n v="0"/>
    <n v="0"/>
    <n v="0"/>
    <n v="0"/>
    <n v="0"/>
    <n v="0"/>
    <n v="0"/>
    <n v="0"/>
    <n v="1.625"/>
    <n v="1.3812499999999999"/>
    <n v="0"/>
    <n v="0"/>
    <n v="0"/>
    <n v="0"/>
    <n v="0"/>
    <n v="0"/>
    <n v="0"/>
    <n v="0"/>
    <n v="0"/>
    <n v="0"/>
    <n v="0"/>
  </r>
  <r>
    <x v="145"/>
    <x v="141"/>
    <m/>
    <x v="1"/>
    <s v="H18"/>
    <x v="1"/>
    <s v="V191-5"/>
    <s v="Umeå"/>
    <m/>
    <s v="MATT"/>
    <m/>
    <n v="100"/>
    <x v="0"/>
    <m/>
    <m/>
    <n v="1"/>
    <n v="0.125"/>
    <n v="0.85"/>
    <n v="0.10625"/>
    <n v="5730"/>
    <x v="8"/>
    <s v="TekNat"/>
    <x v="1"/>
    <n v="19473"/>
    <n v="34806"/>
    <n v="6132.2624999999998"/>
    <n v="21800"/>
    <n v="2725"/>
    <n v="8857.2625000000007"/>
    <n v="0"/>
    <n v="0"/>
    <n v="0"/>
    <n v="0"/>
    <n v="0"/>
    <n v="1"/>
    <n v="0"/>
    <n v="0"/>
    <n v="0"/>
    <n v="0"/>
    <n v="0"/>
    <n v="0"/>
    <s v="Enl Ladok 190318"/>
    <m/>
    <n v="0"/>
    <n v="0"/>
    <n v="0"/>
    <n v="0"/>
    <n v="0"/>
    <n v="0"/>
    <n v="0"/>
    <n v="0"/>
    <n v="0"/>
    <n v="0"/>
    <n v="0.125"/>
    <n v="0.10625"/>
    <n v="0"/>
    <n v="0"/>
    <n v="0"/>
    <n v="0"/>
    <n v="0"/>
    <n v="0"/>
    <n v="0"/>
    <n v="0"/>
    <n v="0"/>
    <n v="0"/>
    <n v="0"/>
  </r>
  <r>
    <x v="146"/>
    <x v="142"/>
    <m/>
    <x v="2"/>
    <s v="H18"/>
    <x v="2"/>
    <s v="H191-5"/>
    <m/>
    <m/>
    <m/>
    <m/>
    <n v="100"/>
    <x v="0"/>
    <m/>
    <m/>
    <n v="44"/>
    <n v="5.5"/>
    <n v="0.85"/>
    <n v="4.6749999999999998"/>
    <n v="5730"/>
    <x v="8"/>
    <s v="TekNat"/>
    <x v="2"/>
    <n v="19473"/>
    <n v="34806"/>
    <n v="269819.55"/>
    <n v="21800"/>
    <n v="119900"/>
    <n v="389719.55"/>
    <n v="0"/>
    <n v="0"/>
    <n v="0"/>
    <n v="0"/>
    <n v="0"/>
    <n v="1"/>
    <n v="0"/>
    <n v="0"/>
    <n v="0"/>
    <n v="0"/>
    <n v="0"/>
    <n v="0"/>
    <s v="Enligt SP 190924"/>
    <m/>
    <n v="0"/>
    <n v="0"/>
    <n v="0"/>
    <n v="0"/>
    <n v="0"/>
    <n v="0"/>
    <n v="0"/>
    <n v="0"/>
    <n v="0"/>
    <n v="0"/>
    <n v="5.5"/>
    <n v="4.6749999999999998"/>
    <n v="0"/>
    <n v="0"/>
    <n v="0"/>
    <n v="0"/>
    <n v="0"/>
    <n v="0"/>
    <n v="0"/>
    <n v="0"/>
    <n v="0"/>
    <n v="0"/>
    <n v="0"/>
  </r>
  <r>
    <x v="147"/>
    <x v="143"/>
    <m/>
    <x v="3"/>
    <s v="H18"/>
    <x v="1"/>
    <s v="V1916-20"/>
    <s v="Umeå"/>
    <m/>
    <m/>
    <m/>
    <n v="100"/>
    <x v="0"/>
    <m/>
    <m/>
    <n v="26"/>
    <n v="3.25"/>
    <n v="0.85"/>
    <n v="2.7624999999999997"/>
    <n v="5730"/>
    <x v="8"/>
    <s v="TekNat"/>
    <x v="3"/>
    <n v="19473"/>
    <n v="34806"/>
    <n v="159438.82500000001"/>
    <n v="21800"/>
    <n v="70850"/>
    <n v="230288.82500000001"/>
    <n v="0"/>
    <n v="0"/>
    <n v="0"/>
    <n v="0"/>
    <n v="0"/>
    <n v="1"/>
    <n v="0"/>
    <n v="0"/>
    <n v="0"/>
    <n v="0"/>
    <n v="0"/>
    <n v="0"/>
    <s v="Enl Ladok 190523"/>
    <m/>
    <n v="0"/>
    <n v="0"/>
    <n v="0"/>
    <n v="0"/>
    <n v="0"/>
    <n v="0"/>
    <n v="0"/>
    <n v="0"/>
    <n v="0"/>
    <n v="0"/>
    <n v="3.25"/>
    <n v="2.7624999999999997"/>
    <n v="0"/>
    <n v="0"/>
    <n v="0"/>
    <n v="0"/>
    <n v="0"/>
    <n v="0"/>
    <n v="0"/>
    <n v="0"/>
    <n v="0"/>
    <n v="0"/>
    <n v="0"/>
  </r>
  <r>
    <x v="148"/>
    <x v="144"/>
    <m/>
    <x v="0"/>
    <m/>
    <x v="1"/>
    <m/>
    <m/>
    <s v="Campus"/>
    <m/>
    <m/>
    <n v="100"/>
    <x v="0"/>
    <m/>
    <m/>
    <n v="7"/>
    <n v="0.875"/>
    <n v="0.8"/>
    <n v="0.70000000000000007"/>
    <n v="5730"/>
    <x v="8"/>
    <s v="TekNat"/>
    <x v="0"/>
    <n v="19473"/>
    <n v="34806"/>
    <n v="41403.074999999997"/>
    <n v="21800"/>
    <n v="19075"/>
    <n v="60478.074999999997"/>
    <n v="0"/>
    <n v="0"/>
    <n v="0"/>
    <n v="0"/>
    <n v="0"/>
    <n v="1"/>
    <n v="0"/>
    <n v="0"/>
    <n v="0"/>
    <n v="0"/>
    <n v="0"/>
    <n v="0"/>
    <s v="Äskat - Beslut p43 180607"/>
    <m/>
    <n v="0"/>
    <n v="0"/>
    <n v="0"/>
    <n v="0"/>
    <n v="0"/>
    <n v="0"/>
    <n v="0"/>
    <n v="0"/>
    <n v="0"/>
    <n v="0"/>
    <n v="0.875"/>
    <n v="0.70000000000000007"/>
    <n v="0"/>
    <n v="0"/>
    <n v="0"/>
    <n v="0"/>
    <n v="0"/>
    <n v="0"/>
    <n v="0"/>
    <n v="0"/>
    <n v="0"/>
    <n v="0"/>
    <n v="0"/>
  </r>
  <r>
    <x v="148"/>
    <x v="144"/>
    <m/>
    <x v="1"/>
    <s v="H16"/>
    <x v="1"/>
    <s v="V196-10"/>
    <s v="Umeå"/>
    <m/>
    <s v="IDRH"/>
    <m/>
    <n v="100"/>
    <x v="0"/>
    <m/>
    <m/>
    <n v="2"/>
    <n v="0.25"/>
    <n v="0.85"/>
    <n v="0.21249999999999999"/>
    <n v="5730"/>
    <x v="8"/>
    <s v="TekNat"/>
    <x v="1"/>
    <n v="19473"/>
    <n v="34806"/>
    <n v="12264.525"/>
    <n v="21800"/>
    <n v="5450"/>
    <n v="17714.525000000001"/>
    <n v="0"/>
    <n v="0"/>
    <n v="0"/>
    <n v="0"/>
    <n v="0"/>
    <n v="1"/>
    <n v="0"/>
    <n v="0"/>
    <n v="0"/>
    <n v="0"/>
    <n v="0"/>
    <n v="0"/>
    <s v="Enl Ladok 190318"/>
    <m/>
    <n v="0"/>
    <n v="0"/>
    <n v="0"/>
    <n v="0"/>
    <n v="0"/>
    <n v="0"/>
    <n v="0"/>
    <n v="0"/>
    <n v="0"/>
    <n v="0"/>
    <n v="0.25"/>
    <n v="0.21249999999999999"/>
    <n v="0"/>
    <n v="0"/>
    <n v="0"/>
    <n v="0"/>
    <n v="0"/>
    <n v="0"/>
    <n v="0"/>
    <n v="0"/>
    <n v="0"/>
    <n v="0"/>
    <n v="0"/>
  </r>
  <r>
    <x v="148"/>
    <x v="144"/>
    <m/>
    <x v="1"/>
    <s v="H18"/>
    <x v="1"/>
    <s v="V196-10"/>
    <s v="Umeå"/>
    <m/>
    <s v="MATT"/>
    <m/>
    <n v="100"/>
    <x v="0"/>
    <m/>
    <m/>
    <n v="9"/>
    <n v="1.125"/>
    <n v="0.85"/>
    <n v="0.95624999999999993"/>
    <n v="5730"/>
    <x v="8"/>
    <s v="TekNat"/>
    <x v="1"/>
    <n v="19473"/>
    <n v="34806"/>
    <n v="55190.362499999996"/>
    <n v="21800"/>
    <n v="24525"/>
    <n v="79715.362499999988"/>
    <n v="0"/>
    <n v="0"/>
    <n v="0"/>
    <n v="0"/>
    <n v="0"/>
    <n v="1"/>
    <n v="0"/>
    <n v="0"/>
    <n v="0"/>
    <n v="0"/>
    <n v="0"/>
    <n v="0"/>
    <s v="Enl Ladok 190318"/>
    <m/>
    <n v="0"/>
    <n v="0"/>
    <n v="0"/>
    <n v="0"/>
    <n v="0"/>
    <n v="0"/>
    <n v="0"/>
    <n v="0"/>
    <n v="0"/>
    <n v="0"/>
    <n v="1.125"/>
    <n v="0.95624999999999993"/>
    <n v="0"/>
    <n v="0"/>
    <n v="0"/>
    <n v="0"/>
    <n v="0"/>
    <n v="0"/>
    <n v="0"/>
    <n v="0"/>
    <n v="0"/>
    <n v="0"/>
    <n v="0"/>
  </r>
  <r>
    <x v="149"/>
    <x v="145"/>
    <m/>
    <x v="0"/>
    <m/>
    <x v="1"/>
    <m/>
    <m/>
    <s v="Campus"/>
    <m/>
    <m/>
    <n v="100"/>
    <x v="0"/>
    <m/>
    <m/>
    <n v="4"/>
    <n v="0.5"/>
    <n v="0.8"/>
    <n v="0.4"/>
    <n v="5730"/>
    <x v="8"/>
    <s v="TekNat"/>
    <x v="0"/>
    <n v="19473"/>
    <n v="34806"/>
    <n v="23658.9"/>
    <n v="21800"/>
    <n v="10900"/>
    <n v="34558.9"/>
    <n v="0"/>
    <n v="0"/>
    <n v="0"/>
    <n v="0"/>
    <n v="0"/>
    <n v="0.5"/>
    <n v="0"/>
    <n v="0.5"/>
    <n v="0"/>
    <n v="0"/>
    <n v="0"/>
    <n v="0"/>
    <s v="Enl Ladok 190515"/>
    <s v="Äskat - Beslut p43 180607"/>
    <n v="0"/>
    <n v="0"/>
    <n v="0"/>
    <n v="0"/>
    <n v="0"/>
    <n v="0"/>
    <n v="0"/>
    <n v="0"/>
    <n v="0"/>
    <n v="0"/>
    <n v="0.25"/>
    <n v="0.2"/>
    <n v="0"/>
    <n v="0"/>
    <n v="0.25"/>
    <n v="0.2"/>
    <n v="0"/>
    <n v="0"/>
    <n v="0"/>
    <n v="0"/>
    <n v="0"/>
    <n v="0"/>
    <n v="0"/>
  </r>
  <r>
    <x v="149"/>
    <x v="145"/>
    <m/>
    <x v="1"/>
    <s v="H16"/>
    <x v="1"/>
    <s v="V1916-20"/>
    <s v="Umeå"/>
    <m/>
    <s v="IDRH"/>
    <m/>
    <n v="100"/>
    <x v="0"/>
    <m/>
    <m/>
    <n v="2"/>
    <n v="0.25"/>
    <n v="0.85"/>
    <n v="0.21249999999999999"/>
    <n v="5730"/>
    <x v="8"/>
    <s v="TekNat"/>
    <x v="1"/>
    <n v="19473"/>
    <n v="34806"/>
    <n v="12264.525"/>
    <n v="21800"/>
    <n v="5450"/>
    <n v="17714.525000000001"/>
    <n v="0"/>
    <n v="0"/>
    <n v="0"/>
    <n v="0"/>
    <n v="0"/>
    <n v="0.5"/>
    <n v="0"/>
    <n v="0.5"/>
    <n v="0"/>
    <n v="0"/>
    <n v="0"/>
    <n v="0"/>
    <s v="Enl Ladok 190523"/>
    <m/>
    <n v="0"/>
    <n v="0"/>
    <n v="0"/>
    <n v="0"/>
    <n v="0"/>
    <n v="0"/>
    <n v="0"/>
    <n v="0"/>
    <n v="0"/>
    <n v="0"/>
    <n v="0.125"/>
    <n v="0.10625"/>
    <n v="0"/>
    <n v="0"/>
    <n v="0.125"/>
    <n v="0.10625"/>
    <n v="0"/>
    <n v="0"/>
    <n v="0"/>
    <n v="0"/>
    <n v="0"/>
    <n v="0"/>
    <n v="0"/>
  </r>
  <r>
    <x v="149"/>
    <x v="145"/>
    <m/>
    <x v="1"/>
    <s v="H18"/>
    <x v="1"/>
    <s v="V1916-20"/>
    <s v="Umeå"/>
    <m/>
    <s v="MATT"/>
    <m/>
    <n v="100"/>
    <x v="0"/>
    <m/>
    <m/>
    <n v="6"/>
    <n v="0.75"/>
    <n v="0.85"/>
    <n v="0.63749999999999996"/>
    <n v="5730"/>
    <x v="8"/>
    <s v="TekNat"/>
    <x v="1"/>
    <n v="19473"/>
    <n v="34806"/>
    <n v="36793.574999999997"/>
    <n v="21800"/>
    <n v="16350"/>
    <n v="53143.574999999997"/>
    <n v="0"/>
    <n v="0"/>
    <n v="0"/>
    <n v="0"/>
    <n v="0"/>
    <n v="0.5"/>
    <n v="0"/>
    <n v="0.5"/>
    <n v="0"/>
    <n v="0"/>
    <n v="0"/>
    <n v="0"/>
    <s v="Enl Ladok 190523"/>
    <m/>
    <n v="0"/>
    <n v="0"/>
    <n v="0"/>
    <n v="0"/>
    <n v="0"/>
    <n v="0"/>
    <n v="0"/>
    <n v="0"/>
    <n v="0"/>
    <n v="0"/>
    <n v="0.375"/>
    <n v="0.31874999999999998"/>
    <n v="0"/>
    <n v="0"/>
    <n v="0.375"/>
    <n v="0.31874999999999998"/>
    <n v="0"/>
    <n v="0"/>
    <n v="0"/>
    <n v="0"/>
    <n v="0"/>
    <n v="0"/>
    <n v="0"/>
  </r>
  <r>
    <x v="150"/>
    <x v="146"/>
    <m/>
    <x v="0"/>
    <m/>
    <x v="1"/>
    <m/>
    <m/>
    <s v="Campus"/>
    <m/>
    <m/>
    <n v="100"/>
    <x v="0"/>
    <m/>
    <m/>
    <n v="6"/>
    <n v="0.75"/>
    <n v="0.8"/>
    <n v="0.60000000000000009"/>
    <n v="5730"/>
    <x v="8"/>
    <s v="TekNat"/>
    <x v="0"/>
    <n v="19473"/>
    <n v="34806"/>
    <n v="35488.350000000006"/>
    <n v="21800"/>
    <n v="16350"/>
    <n v="51838.350000000006"/>
    <n v="0"/>
    <n v="0"/>
    <n v="0"/>
    <n v="0"/>
    <n v="0"/>
    <n v="1"/>
    <n v="0"/>
    <n v="0"/>
    <n v="0"/>
    <n v="0"/>
    <n v="0"/>
    <n v="0"/>
    <s v="Äskat - Beslut p43 180607"/>
    <m/>
    <n v="0"/>
    <n v="0"/>
    <n v="0"/>
    <n v="0"/>
    <n v="0"/>
    <n v="0"/>
    <n v="0"/>
    <n v="0"/>
    <n v="0"/>
    <n v="0"/>
    <n v="0.75"/>
    <n v="0.60000000000000009"/>
    <n v="0"/>
    <n v="0"/>
    <n v="0"/>
    <n v="0"/>
    <n v="0"/>
    <n v="0"/>
    <n v="0"/>
    <n v="0"/>
    <n v="0"/>
    <n v="0"/>
    <n v="0"/>
  </r>
  <r>
    <x v="150"/>
    <x v="146"/>
    <m/>
    <x v="1"/>
    <s v="H16"/>
    <x v="1"/>
    <s v="V191-5"/>
    <s v="Umeå"/>
    <m/>
    <s v="IDRH"/>
    <m/>
    <n v="100"/>
    <x v="0"/>
    <m/>
    <m/>
    <n v="2"/>
    <n v="0.25"/>
    <n v="0.85"/>
    <n v="0.21249999999999999"/>
    <n v="5730"/>
    <x v="8"/>
    <s v="TekNat"/>
    <x v="1"/>
    <n v="19473"/>
    <n v="34806"/>
    <n v="12264.525"/>
    <n v="21800"/>
    <n v="5450"/>
    <n v="17714.525000000001"/>
    <n v="0"/>
    <n v="0"/>
    <n v="0"/>
    <n v="0"/>
    <n v="0"/>
    <n v="1"/>
    <n v="0"/>
    <n v="0"/>
    <n v="0"/>
    <n v="0"/>
    <n v="0"/>
    <n v="0"/>
    <s v="Enl Ladok 190318"/>
    <m/>
    <n v="0"/>
    <n v="0"/>
    <n v="0"/>
    <n v="0"/>
    <n v="0"/>
    <n v="0"/>
    <n v="0"/>
    <n v="0"/>
    <n v="0"/>
    <n v="0"/>
    <n v="0.25"/>
    <n v="0.21249999999999999"/>
    <n v="0"/>
    <n v="0"/>
    <n v="0"/>
    <n v="0"/>
    <n v="0"/>
    <n v="0"/>
    <n v="0"/>
    <n v="0"/>
    <n v="0"/>
    <n v="0"/>
    <n v="0"/>
  </r>
  <r>
    <x v="150"/>
    <x v="146"/>
    <m/>
    <x v="1"/>
    <s v="H18"/>
    <x v="1"/>
    <s v="V191-5"/>
    <s v="Umeå"/>
    <m/>
    <s v="MATT"/>
    <m/>
    <n v="100"/>
    <x v="0"/>
    <m/>
    <m/>
    <n v="8"/>
    <n v="1"/>
    <n v="0.85"/>
    <n v="0.85"/>
    <n v="5730"/>
    <x v="8"/>
    <s v="TekNat"/>
    <x v="1"/>
    <n v="19473"/>
    <n v="34806"/>
    <n v="49058.1"/>
    <n v="21800"/>
    <n v="21800"/>
    <n v="70858.100000000006"/>
    <n v="0"/>
    <n v="0"/>
    <n v="0"/>
    <n v="0"/>
    <n v="0"/>
    <n v="1"/>
    <n v="0"/>
    <n v="0"/>
    <n v="0"/>
    <n v="0"/>
    <n v="0"/>
    <n v="0"/>
    <s v="Enl Ladok 190318"/>
    <m/>
    <n v="0"/>
    <n v="0"/>
    <n v="0"/>
    <n v="0"/>
    <n v="0"/>
    <n v="0"/>
    <n v="0"/>
    <n v="0"/>
    <n v="0"/>
    <n v="0"/>
    <n v="1"/>
    <n v="0.85"/>
    <n v="0"/>
    <n v="0"/>
    <n v="0"/>
    <n v="0"/>
    <n v="0"/>
    <n v="0"/>
    <n v="0"/>
    <n v="0"/>
    <n v="0"/>
    <n v="0"/>
    <n v="0"/>
  </r>
  <r>
    <x v="151"/>
    <x v="147"/>
    <m/>
    <x v="0"/>
    <m/>
    <x v="1"/>
    <m/>
    <m/>
    <s v="Campus"/>
    <m/>
    <m/>
    <n v="100"/>
    <x v="0"/>
    <m/>
    <m/>
    <n v="9"/>
    <n v="1.125"/>
    <n v="0.8"/>
    <n v="0.9"/>
    <n v="5730"/>
    <x v="8"/>
    <s v="TekNat"/>
    <x v="0"/>
    <n v="19473"/>
    <n v="34806"/>
    <n v="53232.525000000001"/>
    <n v="21800"/>
    <n v="24525"/>
    <n v="77757.524999999994"/>
    <n v="0"/>
    <n v="0"/>
    <n v="0"/>
    <n v="0"/>
    <n v="0"/>
    <n v="0.5"/>
    <n v="0"/>
    <n v="0.5"/>
    <n v="0"/>
    <n v="0"/>
    <n v="0"/>
    <n v="0"/>
    <s v="Enl Ladok 190515"/>
    <s v="Äskat - Beslut p43 180607"/>
    <n v="0"/>
    <n v="0"/>
    <n v="0"/>
    <n v="0"/>
    <n v="0"/>
    <n v="0"/>
    <n v="0"/>
    <n v="0"/>
    <n v="0"/>
    <n v="0"/>
    <n v="0.5625"/>
    <n v="0.45"/>
    <n v="0"/>
    <n v="0"/>
    <n v="0.5625"/>
    <n v="0.45"/>
    <n v="0"/>
    <n v="0"/>
    <n v="0"/>
    <n v="0"/>
    <n v="0"/>
    <n v="0"/>
    <n v="0"/>
  </r>
  <r>
    <x v="151"/>
    <x v="147"/>
    <m/>
    <x v="1"/>
    <s v="H13"/>
    <x v="1"/>
    <s v="V1911-15"/>
    <s v="Umeå"/>
    <m/>
    <s v="MATT"/>
    <m/>
    <n v="100"/>
    <x v="0"/>
    <m/>
    <m/>
    <n v="1"/>
    <n v="0.125"/>
    <n v="0.85"/>
    <n v="0.10625"/>
    <n v="5730"/>
    <x v="8"/>
    <s v="TekNat"/>
    <x v="1"/>
    <n v="19473"/>
    <n v="34806"/>
    <n v="6132.2624999999998"/>
    <n v="21800"/>
    <n v="2725"/>
    <n v="8857.2625000000007"/>
    <n v="0"/>
    <n v="0"/>
    <n v="0"/>
    <n v="0"/>
    <n v="0"/>
    <n v="0.5"/>
    <n v="0"/>
    <n v="0.5"/>
    <n v="0"/>
    <n v="0"/>
    <n v="0"/>
    <n v="0"/>
    <s v="Enl Ladok 190523"/>
    <m/>
    <n v="0"/>
    <n v="0"/>
    <n v="0"/>
    <n v="0"/>
    <n v="0"/>
    <n v="0"/>
    <n v="0"/>
    <n v="0"/>
    <n v="0"/>
    <n v="0"/>
    <n v="6.25E-2"/>
    <n v="5.3124999999999999E-2"/>
    <n v="0"/>
    <n v="0"/>
    <n v="6.25E-2"/>
    <n v="5.3124999999999999E-2"/>
    <n v="0"/>
    <n v="0"/>
    <n v="0"/>
    <n v="0"/>
    <n v="0"/>
    <n v="0"/>
    <n v="0"/>
  </r>
  <r>
    <x v="151"/>
    <x v="147"/>
    <m/>
    <x v="1"/>
    <s v="H15"/>
    <x v="1"/>
    <s v="V1911-15"/>
    <s v="Umeå"/>
    <m/>
    <s v="IDRH"/>
    <m/>
    <n v="100"/>
    <x v="0"/>
    <m/>
    <m/>
    <n v="3"/>
    <n v="0.375"/>
    <n v="0.85"/>
    <n v="0.31874999999999998"/>
    <n v="5730"/>
    <x v="8"/>
    <s v="TekNat"/>
    <x v="1"/>
    <n v="19473"/>
    <n v="34806"/>
    <n v="18396.787499999999"/>
    <n v="21800"/>
    <n v="8175"/>
    <n v="26571.787499999999"/>
    <n v="0"/>
    <n v="0"/>
    <n v="0"/>
    <n v="0"/>
    <n v="0"/>
    <n v="0.5"/>
    <n v="0"/>
    <n v="0.5"/>
    <n v="0"/>
    <n v="0"/>
    <n v="0"/>
    <n v="0"/>
    <s v="Enl Ladok 190523"/>
    <m/>
    <n v="0"/>
    <n v="0"/>
    <n v="0"/>
    <n v="0"/>
    <n v="0"/>
    <n v="0"/>
    <n v="0"/>
    <n v="0"/>
    <n v="0"/>
    <n v="0"/>
    <n v="0.1875"/>
    <n v="0.15937499999999999"/>
    <n v="0"/>
    <n v="0"/>
    <n v="0.1875"/>
    <n v="0.15937499999999999"/>
    <n v="0"/>
    <n v="0"/>
    <n v="0"/>
    <n v="0"/>
    <n v="0"/>
    <n v="0"/>
    <n v="0"/>
  </r>
  <r>
    <x v="151"/>
    <x v="147"/>
    <m/>
    <x v="1"/>
    <s v="H17"/>
    <x v="1"/>
    <s v="V1911-15"/>
    <s v="Umeå"/>
    <m/>
    <s v="MATT"/>
    <m/>
    <n v="100"/>
    <x v="0"/>
    <m/>
    <m/>
    <n v="12"/>
    <n v="1.5"/>
    <n v="0.85"/>
    <n v="1.2749999999999999"/>
    <n v="5730"/>
    <x v="8"/>
    <s v="TekNat"/>
    <x v="1"/>
    <n v="19473"/>
    <n v="34806"/>
    <n v="73587.149999999994"/>
    <n v="21800"/>
    <n v="32700"/>
    <n v="106287.15"/>
    <n v="0"/>
    <n v="0"/>
    <n v="0"/>
    <n v="0"/>
    <n v="0"/>
    <n v="0.5"/>
    <n v="0"/>
    <n v="0.5"/>
    <n v="0"/>
    <n v="0"/>
    <n v="0"/>
    <n v="0"/>
    <s v="Enl Ladok 190523"/>
    <m/>
    <n v="0"/>
    <n v="0"/>
    <n v="0"/>
    <n v="0"/>
    <n v="0"/>
    <n v="0"/>
    <n v="0"/>
    <n v="0"/>
    <n v="0"/>
    <n v="0"/>
    <n v="0.75"/>
    <n v="0.63749999999999996"/>
    <n v="0"/>
    <n v="0"/>
    <n v="0.75"/>
    <n v="0.63749999999999996"/>
    <n v="0"/>
    <n v="0"/>
    <n v="0"/>
    <n v="0"/>
    <n v="0"/>
    <n v="0"/>
    <n v="0"/>
  </r>
  <r>
    <x v="152"/>
    <x v="148"/>
    <m/>
    <x v="0"/>
    <m/>
    <x v="1"/>
    <m/>
    <m/>
    <s v="Campus"/>
    <m/>
    <m/>
    <n v="100"/>
    <x v="0"/>
    <m/>
    <m/>
    <n v="4"/>
    <n v="0.5"/>
    <n v="0.8"/>
    <n v="0.4"/>
    <n v="5730"/>
    <x v="8"/>
    <s v="TekNat"/>
    <x v="0"/>
    <n v="19473"/>
    <n v="34806"/>
    <n v="23658.9"/>
    <n v="21800"/>
    <n v="10900"/>
    <n v="34558.9"/>
    <n v="0"/>
    <n v="0"/>
    <n v="0"/>
    <n v="0"/>
    <n v="0"/>
    <n v="0.5"/>
    <n v="0"/>
    <n v="0.5"/>
    <n v="0"/>
    <n v="0"/>
    <n v="0"/>
    <n v="0"/>
    <s v="Enl Ladok 190515"/>
    <s v="Äskat - Beslut p43 180607"/>
    <n v="0"/>
    <n v="0"/>
    <n v="0"/>
    <n v="0"/>
    <n v="0"/>
    <n v="0"/>
    <n v="0"/>
    <n v="0"/>
    <n v="0"/>
    <n v="0"/>
    <n v="0.25"/>
    <n v="0.2"/>
    <n v="0"/>
    <n v="0"/>
    <n v="0.25"/>
    <n v="0.2"/>
    <n v="0"/>
    <n v="0"/>
    <n v="0"/>
    <n v="0"/>
    <n v="0"/>
    <n v="0"/>
    <n v="0"/>
  </r>
  <r>
    <x v="152"/>
    <x v="148"/>
    <m/>
    <x v="1"/>
    <s v="H15"/>
    <x v="1"/>
    <s v="V196-10"/>
    <s v="Umeå"/>
    <m/>
    <s v="IDRH"/>
    <m/>
    <n v="100"/>
    <x v="0"/>
    <m/>
    <m/>
    <n v="3"/>
    <n v="0.375"/>
    <n v="0.85"/>
    <n v="0.31874999999999998"/>
    <n v="5730"/>
    <x v="8"/>
    <s v="TekNat"/>
    <x v="1"/>
    <n v="19473"/>
    <n v="34806"/>
    <n v="18396.787499999999"/>
    <n v="21800"/>
    <n v="8175"/>
    <n v="26571.787499999999"/>
    <n v="0"/>
    <n v="0"/>
    <n v="0"/>
    <n v="0"/>
    <n v="0"/>
    <n v="0.5"/>
    <n v="0"/>
    <n v="0.5"/>
    <n v="0"/>
    <n v="0"/>
    <n v="0"/>
    <n v="0"/>
    <s v="Enl Ladok 190318"/>
    <m/>
    <n v="0"/>
    <n v="0"/>
    <n v="0"/>
    <n v="0"/>
    <n v="0"/>
    <n v="0"/>
    <n v="0"/>
    <n v="0"/>
    <n v="0"/>
    <n v="0"/>
    <n v="0.1875"/>
    <n v="0.15937499999999999"/>
    <n v="0"/>
    <n v="0"/>
    <n v="0.1875"/>
    <n v="0.15937499999999999"/>
    <n v="0"/>
    <n v="0"/>
    <n v="0"/>
    <n v="0"/>
    <n v="0"/>
    <n v="0"/>
    <n v="0"/>
  </r>
  <r>
    <x v="152"/>
    <x v="148"/>
    <m/>
    <x v="1"/>
    <s v="H17"/>
    <x v="1"/>
    <s v="V196-10"/>
    <s v="Umeå"/>
    <m/>
    <s v="MATT"/>
    <m/>
    <n v="100"/>
    <x v="0"/>
    <m/>
    <m/>
    <n v="12"/>
    <n v="1.5"/>
    <n v="0.85"/>
    <n v="1.2749999999999999"/>
    <n v="5730"/>
    <x v="8"/>
    <s v="TekNat"/>
    <x v="1"/>
    <n v="19473"/>
    <n v="34806"/>
    <n v="73587.149999999994"/>
    <n v="21800"/>
    <n v="32700"/>
    <n v="106287.15"/>
    <n v="0"/>
    <n v="0"/>
    <n v="0"/>
    <n v="0"/>
    <n v="0"/>
    <n v="0.5"/>
    <n v="0"/>
    <n v="0.5"/>
    <n v="0"/>
    <n v="0"/>
    <n v="0"/>
    <n v="0"/>
    <s v="Enl Ladok 190318"/>
    <m/>
    <n v="0"/>
    <n v="0"/>
    <n v="0"/>
    <n v="0"/>
    <n v="0"/>
    <n v="0"/>
    <n v="0"/>
    <n v="0"/>
    <n v="0"/>
    <n v="0"/>
    <n v="0.75"/>
    <n v="0.63749999999999996"/>
    <n v="0"/>
    <n v="0"/>
    <n v="0.75"/>
    <n v="0.63749999999999996"/>
    <n v="0"/>
    <n v="0"/>
    <n v="0"/>
    <n v="0"/>
    <n v="0"/>
    <n v="0"/>
    <n v="0"/>
  </r>
  <r>
    <x v="153"/>
    <x v="149"/>
    <m/>
    <x v="0"/>
    <m/>
    <x v="1"/>
    <m/>
    <m/>
    <s v="Campus"/>
    <m/>
    <m/>
    <n v="100"/>
    <x v="0"/>
    <m/>
    <m/>
    <n v="5"/>
    <n v="0.625"/>
    <n v="0.8"/>
    <n v="0.5"/>
    <n v="5730"/>
    <x v="8"/>
    <s v="TekNat"/>
    <x v="0"/>
    <n v="19473"/>
    <n v="34806"/>
    <n v="29573.625"/>
    <n v="21800"/>
    <n v="13625"/>
    <n v="43198.625"/>
    <n v="0"/>
    <n v="0"/>
    <n v="0"/>
    <n v="0"/>
    <n v="0"/>
    <n v="0.5"/>
    <n v="0"/>
    <n v="0.5"/>
    <n v="0"/>
    <n v="0"/>
    <n v="0"/>
    <n v="0"/>
    <s v="Enl Ladok 190515"/>
    <s v="Äskat - Beslut p43 180607"/>
    <n v="0"/>
    <n v="0"/>
    <n v="0"/>
    <n v="0"/>
    <n v="0"/>
    <n v="0"/>
    <n v="0"/>
    <n v="0"/>
    <n v="0"/>
    <n v="0"/>
    <n v="0.3125"/>
    <n v="0.25"/>
    <n v="0"/>
    <n v="0"/>
    <n v="0.3125"/>
    <n v="0.25"/>
    <n v="0"/>
    <n v="0"/>
    <n v="0"/>
    <n v="0"/>
    <n v="0"/>
    <n v="0"/>
    <n v="0"/>
  </r>
  <r>
    <x v="153"/>
    <x v="149"/>
    <m/>
    <x v="1"/>
    <s v="H15"/>
    <x v="1"/>
    <s v="V1916-20"/>
    <s v="Umeå"/>
    <m/>
    <s v="IDRH"/>
    <m/>
    <n v="100"/>
    <x v="0"/>
    <m/>
    <m/>
    <n v="3"/>
    <n v="0.375"/>
    <n v="0.85"/>
    <n v="0.31874999999999998"/>
    <n v="5730"/>
    <x v="8"/>
    <s v="TekNat"/>
    <x v="1"/>
    <n v="19473"/>
    <n v="34806"/>
    <n v="18396.787499999999"/>
    <n v="21800"/>
    <n v="8175"/>
    <n v="26571.787499999999"/>
    <n v="0"/>
    <n v="0"/>
    <n v="0"/>
    <n v="0"/>
    <n v="0"/>
    <n v="0.5"/>
    <n v="0"/>
    <n v="0.5"/>
    <n v="0"/>
    <n v="0"/>
    <n v="0"/>
    <n v="0"/>
    <s v="Enl Ladok 190523"/>
    <m/>
    <n v="0"/>
    <n v="0"/>
    <n v="0"/>
    <n v="0"/>
    <n v="0"/>
    <n v="0"/>
    <n v="0"/>
    <n v="0"/>
    <n v="0"/>
    <n v="0"/>
    <n v="0.1875"/>
    <n v="0.15937499999999999"/>
    <n v="0"/>
    <n v="0"/>
    <n v="0.1875"/>
    <n v="0.15937499999999999"/>
    <n v="0"/>
    <n v="0"/>
    <n v="0"/>
    <n v="0"/>
    <n v="0"/>
    <n v="0"/>
    <n v="0"/>
  </r>
  <r>
    <x v="153"/>
    <x v="149"/>
    <m/>
    <x v="1"/>
    <s v="H17"/>
    <x v="1"/>
    <s v="V1916-20"/>
    <s v="Umeå"/>
    <m/>
    <s v="MATT"/>
    <m/>
    <n v="100"/>
    <x v="0"/>
    <m/>
    <m/>
    <n v="11"/>
    <n v="1.375"/>
    <n v="0.85"/>
    <n v="1.16875"/>
    <n v="5730"/>
    <x v="8"/>
    <s v="TekNat"/>
    <x v="1"/>
    <n v="19473"/>
    <n v="34806"/>
    <n v="67454.887499999997"/>
    <n v="21800"/>
    <n v="29975"/>
    <n v="97429.887499999997"/>
    <n v="0"/>
    <n v="0"/>
    <n v="0"/>
    <n v="0"/>
    <n v="0"/>
    <n v="0.5"/>
    <n v="0"/>
    <n v="0.5"/>
    <n v="0"/>
    <n v="0"/>
    <n v="0"/>
    <n v="0"/>
    <s v="Enl Ladok 190523"/>
    <m/>
    <n v="0"/>
    <n v="0"/>
    <n v="0"/>
    <n v="0"/>
    <n v="0"/>
    <n v="0"/>
    <n v="0"/>
    <n v="0"/>
    <n v="0"/>
    <n v="0"/>
    <n v="0.6875"/>
    <n v="0.58437499999999998"/>
    <n v="0"/>
    <n v="0"/>
    <n v="0.6875"/>
    <n v="0.58437499999999998"/>
    <n v="0"/>
    <n v="0"/>
    <n v="0"/>
    <n v="0"/>
    <n v="0"/>
    <n v="0"/>
    <n v="0"/>
  </r>
  <r>
    <x v="154"/>
    <x v="150"/>
    <m/>
    <x v="0"/>
    <m/>
    <x v="2"/>
    <m/>
    <m/>
    <s v="Campus"/>
    <m/>
    <m/>
    <n v="100"/>
    <x v="0"/>
    <m/>
    <m/>
    <n v="2"/>
    <n v="0.25"/>
    <n v="0.8"/>
    <n v="0.2"/>
    <n v="5730"/>
    <x v="8"/>
    <s v="TekNat"/>
    <x v="0"/>
    <n v="19473"/>
    <n v="34806"/>
    <n v="11829.45"/>
    <n v="21800"/>
    <n v="5450"/>
    <n v="17279.45"/>
    <n v="0"/>
    <n v="0"/>
    <n v="0"/>
    <n v="0"/>
    <n v="0"/>
    <n v="0.5"/>
    <n v="0"/>
    <n v="0.5"/>
    <n v="0"/>
    <n v="0"/>
    <n v="0"/>
    <n v="0"/>
    <s v="Äskat - Beslut p43 180607"/>
    <m/>
    <n v="0"/>
    <n v="0"/>
    <n v="0"/>
    <n v="0"/>
    <n v="0"/>
    <n v="0"/>
    <n v="0"/>
    <n v="0"/>
    <n v="0"/>
    <n v="0"/>
    <n v="0.125"/>
    <n v="0.1"/>
    <n v="0"/>
    <n v="0"/>
    <n v="0.125"/>
    <n v="0.1"/>
    <n v="0"/>
    <n v="0"/>
    <n v="0"/>
    <n v="0"/>
    <n v="0"/>
    <n v="0"/>
    <n v="0"/>
  </r>
  <r>
    <x v="154"/>
    <x v="150"/>
    <m/>
    <x v="1"/>
    <s v="H16"/>
    <x v="2"/>
    <s v="H1916-20"/>
    <m/>
    <m/>
    <s v="IDRH"/>
    <m/>
    <n v="100"/>
    <x v="0"/>
    <m/>
    <m/>
    <n v="2"/>
    <n v="0.25"/>
    <n v="0.85"/>
    <n v="0.21249999999999999"/>
    <n v="5730"/>
    <x v="8"/>
    <s v="TekNat"/>
    <x v="1"/>
    <n v="19473"/>
    <n v="34806"/>
    <n v="12264.525"/>
    <n v="21800"/>
    <n v="5450"/>
    <n v="17714.525000000001"/>
    <n v="0"/>
    <n v="0"/>
    <n v="0"/>
    <n v="0"/>
    <n v="0"/>
    <n v="0.5"/>
    <n v="0"/>
    <n v="0.5"/>
    <n v="0"/>
    <n v="0"/>
    <n v="0"/>
    <n v="0"/>
    <s v="Enligt SP 190924"/>
    <m/>
    <n v="0"/>
    <n v="0"/>
    <n v="0"/>
    <n v="0"/>
    <n v="0"/>
    <n v="0"/>
    <n v="0"/>
    <n v="0"/>
    <n v="0"/>
    <n v="0"/>
    <n v="0.125"/>
    <n v="0.10625"/>
    <n v="0"/>
    <n v="0"/>
    <n v="0.125"/>
    <n v="0.10625"/>
    <n v="0"/>
    <n v="0"/>
    <n v="0"/>
    <n v="0"/>
    <n v="0"/>
    <n v="0"/>
    <n v="0"/>
  </r>
  <r>
    <x v="154"/>
    <x v="150"/>
    <m/>
    <x v="1"/>
    <s v="H17"/>
    <x v="2"/>
    <s v="H1916-20"/>
    <m/>
    <m/>
    <s v="MATT"/>
    <m/>
    <n v="100"/>
    <x v="0"/>
    <m/>
    <m/>
    <n v="1"/>
    <n v="0.125"/>
    <n v="0.85"/>
    <n v="0.10625"/>
    <n v="5730"/>
    <x v="8"/>
    <s v="TekNat"/>
    <x v="1"/>
    <n v="19473"/>
    <n v="34806"/>
    <n v="6132.2624999999998"/>
    <n v="21800"/>
    <n v="2725"/>
    <n v="8857.2625000000007"/>
    <n v="0"/>
    <n v="0"/>
    <n v="0"/>
    <n v="0"/>
    <n v="0"/>
    <n v="0.5"/>
    <n v="0"/>
    <n v="0.5"/>
    <n v="0"/>
    <n v="0"/>
    <n v="0"/>
    <n v="0"/>
    <s v="Enligt SP 190924"/>
    <m/>
    <n v="0"/>
    <n v="0"/>
    <n v="0"/>
    <n v="0"/>
    <n v="0"/>
    <n v="0"/>
    <n v="0"/>
    <n v="0"/>
    <n v="0"/>
    <n v="0"/>
    <n v="6.25E-2"/>
    <n v="5.3124999999999999E-2"/>
    <n v="0"/>
    <n v="0"/>
    <n v="6.25E-2"/>
    <n v="5.3124999999999999E-2"/>
    <n v="0"/>
    <n v="0"/>
    <n v="0"/>
    <n v="0"/>
    <n v="0"/>
    <n v="0"/>
    <n v="0"/>
  </r>
  <r>
    <x v="154"/>
    <x v="150"/>
    <m/>
    <x v="1"/>
    <s v="H18"/>
    <x v="2"/>
    <s v="H1916-20"/>
    <m/>
    <m/>
    <s v="MATT"/>
    <m/>
    <n v="100"/>
    <x v="0"/>
    <m/>
    <m/>
    <n v="8"/>
    <n v="1"/>
    <n v="0.85"/>
    <n v="0.85"/>
    <n v="5730"/>
    <x v="8"/>
    <s v="TekNat"/>
    <x v="1"/>
    <n v="19473"/>
    <n v="34806"/>
    <n v="49058.1"/>
    <n v="21800"/>
    <n v="21800"/>
    <n v="70858.100000000006"/>
    <n v="0"/>
    <n v="0"/>
    <n v="0"/>
    <n v="0"/>
    <n v="0"/>
    <n v="0.5"/>
    <n v="0"/>
    <n v="0.5"/>
    <n v="0"/>
    <n v="0"/>
    <n v="0"/>
    <n v="0"/>
    <s v="Enligt SP 190924"/>
    <m/>
    <n v="0"/>
    <n v="0"/>
    <n v="0"/>
    <n v="0"/>
    <n v="0"/>
    <n v="0"/>
    <n v="0"/>
    <n v="0"/>
    <n v="0"/>
    <n v="0"/>
    <n v="0.5"/>
    <n v="0.42499999999999999"/>
    <n v="0"/>
    <n v="0"/>
    <n v="0.5"/>
    <n v="0.42499999999999999"/>
    <n v="0"/>
    <n v="0"/>
    <n v="0"/>
    <n v="0"/>
    <n v="0"/>
    <n v="0"/>
    <n v="0"/>
  </r>
  <r>
    <x v="155"/>
    <x v="151"/>
    <m/>
    <x v="0"/>
    <m/>
    <x v="1"/>
    <m/>
    <m/>
    <s v="Campus"/>
    <m/>
    <m/>
    <n v="100"/>
    <x v="0"/>
    <m/>
    <m/>
    <n v="2"/>
    <n v="0.25"/>
    <n v="0.8"/>
    <n v="0.2"/>
    <n v="5730"/>
    <x v="8"/>
    <s v="TekNat"/>
    <x v="0"/>
    <n v="19473"/>
    <n v="34806"/>
    <n v="11829.45"/>
    <n v="21800"/>
    <n v="5450"/>
    <n v="17279.45"/>
    <n v="0"/>
    <n v="0"/>
    <n v="0"/>
    <n v="0"/>
    <n v="0"/>
    <n v="0.5"/>
    <n v="0"/>
    <n v="0.5"/>
    <n v="0"/>
    <n v="0"/>
    <n v="0"/>
    <n v="0"/>
    <s v="Äskat - Beslut p43 180607"/>
    <m/>
    <n v="0"/>
    <n v="0"/>
    <n v="0"/>
    <n v="0"/>
    <n v="0"/>
    <n v="0"/>
    <n v="0"/>
    <n v="0"/>
    <n v="0"/>
    <n v="0"/>
    <n v="0.125"/>
    <n v="0.1"/>
    <n v="0"/>
    <n v="0"/>
    <n v="0.125"/>
    <n v="0.1"/>
    <n v="0"/>
    <n v="0"/>
    <n v="0"/>
    <n v="0"/>
    <n v="0"/>
    <n v="0"/>
    <n v="0"/>
  </r>
  <r>
    <x v="155"/>
    <x v="151"/>
    <m/>
    <x v="1"/>
    <s v="H12"/>
    <x v="1"/>
    <s v="V196-10"/>
    <s v="Umeå"/>
    <m/>
    <s v="MATT"/>
    <m/>
    <n v="100"/>
    <x v="0"/>
    <m/>
    <m/>
    <n v="0"/>
    <n v="0"/>
    <n v="0.85"/>
    <n v="0"/>
    <n v="5730"/>
    <x v="8"/>
    <s v="TekNat"/>
    <x v="1"/>
    <n v="19473"/>
    <n v="34806"/>
    <n v="0"/>
    <n v="21800"/>
    <n v="0"/>
    <n v="0"/>
    <n v="0"/>
    <n v="0"/>
    <n v="0"/>
    <n v="0"/>
    <n v="0"/>
    <n v="0.5"/>
    <n v="0"/>
    <n v="0.5"/>
    <n v="0"/>
    <n v="0"/>
    <n v="0"/>
    <n v="0"/>
    <s v="Enl Ladok 190318"/>
    <m/>
    <n v="0"/>
    <n v="0"/>
    <n v="0"/>
    <n v="0"/>
    <n v="0"/>
    <n v="0"/>
    <n v="0"/>
    <n v="0"/>
    <n v="0"/>
    <n v="0"/>
    <n v="0"/>
    <n v="0"/>
    <n v="0"/>
    <n v="0"/>
    <n v="0"/>
    <n v="0"/>
    <n v="0"/>
    <n v="0"/>
    <n v="0"/>
    <n v="0"/>
    <n v="0"/>
    <n v="0"/>
    <n v="0"/>
  </r>
  <r>
    <x v="155"/>
    <x v="151"/>
    <m/>
    <x v="1"/>
    <s v="H16"/>
    <x v="1"/>
    <s v="V196-10"/>
    <s v="Umeå"/>
    <m/>
    <s v="MATT"/>
    <m/>
    <n v="100"/>
    <x v="0"/>
    <m/>
    <m/>
    <n v="1"/>
    <n v="0.125"/>
    <n v="0.85"/>
    <n v="0.10625"/>
    <n v="5730"/>
    <x v="8"/>
    <s v="TekNat"/>
    <x v="1"/>
    <n v="19473"/>
    <n v="34806"/>
    <n v="6132.2624999999998"/>
    <n v="21800"/>
    <n v="2725"/>
    <n v="8857.2625000000007"/>
    <n v="0"/>
    <n v="0"/>
    <n v="0"/>
    <n v="0"/>
    <n v="0"/>
    <n v="0.5"/>
    <n v="0"/>
    <n v="0.5"/>
    <n v="0"/>
    <n v="0"/>
    <n v="0"/>
    <n v="0"/>
    <s v="Enl Ladok 190318"/>
    <m/>
    <n v="0"/>
    <n v="0"/>
    <n v="0"/>
    <n v="0"/>
    <n v="0"/>
    <n v="0"/>
    <n v="0"/>
    <n v="0"/>
    <n v="0"/>
    <n v="0"/>
    <n v="6.25E-2"/>
    <n v="5.3124999999999999E-2"/>
    <n v="0"/>
    <n v="0"/>
    <n v="6.25E-2"/>
    <n v="5.3124999999999999E-2"/>
    <n v="0"/>
    <n v="0"/>
    <n v="0"/>
    <n v="0"/>
    <n v="0"/>
    <n v="0"/>
    <n v="0"/>
  </r>
  <r>
    <x v="155"/>
    <x v="151"/>
    <m/>
    <x v="1"/>
    <s v="H17"/>
    <x v="1"/>
    <s v="V196-10"/>
    <s v="Umeå"/>
    <m/>
    <s v="MATT"/>
    <m/>
    <n v="100"/>
    <x v="0"/>
    <m/>
    <m/>
    <n v="2"/>
    <n v="0.25"/>
    <n v="0.85"/>
    <n v="0.21249999999999999"/>
    <n v="5730"/>
    <x v="8"/>
    <s v="TekNat"/>
    <x v="1"/>
    <n v="19473"/>
    <n v="34806"/>
    <n v="12264.525"/>
    <n v="21800"/>
    <n v="5450"/>
    <n v="17714.525000000001"/>
    <n v="0"/>
    <n v="0"/>
    <n v="0"/>
    <n v="0"/>
    <n v="0"/>
    <n v="0.5"/>
    <n v="0"/>
    <n v="0.5"/>
    <n v="0"/>
    <n v="0"/>
    <n v="0"/>
    <n v="0"/>
    <s v="Enl Ladok 190318"/>
    <m/>
    <n v="0"/>
    <n v="0"/>
    <n v="0"/>
    <n v="0"/>
    <n v="0"/>
    <n v="0"/>
    <n v="0"/>
    <n v="0"/>
    <n v="0"/>
    <n v="0"/>
    <n v="0.125"/>
    <n v="0.10625"/>
    <n v="0"/>
    <n v="0"/>
    <n v="0.125"/>
    <n v="0.10625"/>
    <n v="0"/>
    <n v="0"/>
    <n v="0"/>
    <n v="0"/>
    <n v="0"/>
    <n v="0"/>
    <n v="0"/>
  </r>
  <r>
    <x v="156"/>
    <x v="152"/>
    <m/>
    <x v="0"/>
    <m/>
    <x v="2"/>
    <m/>
    <m/>
    <s v="Campus"/>
    <m/>
    <m/>
    <n v="100"/>
    <x v="0"/>
    <m/>
    <m/>
    <n v="8"/>
    <n v="1"/>
    <n v="0.8"/>
    <n v="0.8"/>
    <n v="5730"/>
    <x v="8"/>
    <s v="TekNat"/>
    <x v="0"/>
    <n v="19473"/>
    <n v="34806"/>
    <n v="47317.8"/>
    <n v="21800"/>
    <n v="21800"/>
    <n v="69117.8"/>
    <n v="0"/>
    <n v="0"/>
    <n v="0"/>
    <n v="0"/>
    <n v="0"/>
    <n v="1"/>
    <n v="0"/>
    <n v="0"/>
    <n v="0"/>
    <n v="0"/>
    <n v="0"/>
    <n v="0"/>
    <s v="Äskat - Beslut p43 180607"/>
    <m/>
    <n v="0"/>
    <n v="0"/>
    <n v="0"/>
    <n v="0"/>
    <n v="0"/>
    <n v="0"/>
    <n v="0"/>
    <n v="0"/>
    <n v="0"/>
    <n v="0"/>
    <n v="1"/>
    <n v="0.8"/>
    <n v="0"/>
    <n v="0"/>
    <n v="0"/>
    <n v="0"/>
    <n v="0"/>
    <n v="0"/>
    <n v="0"/>
    <n v="0"/>
    <n v="0"/>
    <n v="0"/>
    <n v="0"/>
  </r>
  <r>
    <x v="156"/>
    <x v="152"/>
    <m/>
    <x v="1"/>
    <s v="H16"/>
    <x v="2"/>
    <s v="H191-5"/>
    <m/>
    <m/>
    <s v="IDRH"/>
    <m/>
    <n v="100"/>
    <x v="0"/>
    <m/>
    <m/>
    <n v="2"/>
    <n v="0.25"/>
    <n v="0.85"/>
    <n v="0.21249999999999999"/>
    <n v="5730"/>
    <x v="8"/>
    <s v="TekNat"/>
    <x v="1"/>
    <n v="19473"/>
    <n v="34806"/>
    <n v="12264.525"/>
    <n v="21800"/>
    <n v="5450"/>
    <n v="17714.525000000001"/>
    <n v="0"/>
    <n v="0"/>
    <n v="0"/>
    <n v="0"/>
    <n v="0"/>
    <n v="1"/>
    <n v="0"/>
    <n v="0"/>
    <n v="0"/>
    <n v="0"/>
    <n v="0"/>
    <n v="0"/>
    <s v="Enligt SP 190924"/>
    <m/>
    <n v="0"/>
    <n v="0"/>
    <n v="0"/>
    <n v="0"/>
    <n v="0"/>
    <n v="0"/>
    <n v="0"/>
    <n v="0"/>
    <n v="0"/>
    <n v="0"/>
    <n v="0.25"/>
    <n v="0.21249999999999999"/>
    <n v="0"/>
    <n v="0"/>
    <n v="0"/>
    <n v="0"/>
    <n v="0"/>
    <n v="0"/>
    <n v="0"/>
    <n v="0"/>
    <n v="0"/>
    <n v="0"/>
    <n v="0"/>
  </r>
  <r>
    <x v="156"/>
    <x v="152"/>
    <m/>
    <x v="1"/>
    <s v="H17"/>
    <x v="2"/>
    <s v="H191-5"/>
    <m/>
    <m/>
    <s v="MATT"/>
    <m/>
    <n v="100"/>
    <x v="0"/>
    <m/>
    <m/>
    <n v="1"/>
    <n v="0.125"/>
    <n v="0.85"/>
    <n v="0.10625"/>
    <n v="5730"/>
    <x v="8"/>
    <s v="TekNat"/>
    <x v="1"/>
    <n v="19473"/>
    <n v="34806"/>
    <n v="6132.2624999999998"/>
    <n v="21800"/>
    <n v="2725"/>
    <n v="8857.2625000000007"/>
    <n v="0"/>
    <n v="0"/>
    <n v="0"/>
    <n v="0"/>
    <n v="0"/>
    <n v="1"/>
    <n v="0"/>
    <n v="0"/>
    <n v="0"/>
    <n v="0"/>
    <n v="0"/>
    <n v="0"/>
    <s v="Enligt SP 190924"/>
    <m/>
    <n v="0"/>
    <n v="0"/>
    <n v="0"/>
    <n v="0"/>
    <n v="0"/>
    <n v="0"/>
    <n v="0"/>
    <n v="0"/>
    <n v="0"/>
    <n v="0"/>
    <n v="0.125"/>
    <n v="0.10625"/>
    <n v="0"/>
    <n v="0"/>
    <n v="0"/>
    <n v="0"/>
    <n v="0"/>
    <n v="0"/>
    <n v="0"/>
    <n v="0"/>
    <n v="0"/>
    <n v="0"/>
    <n v="0"/>
  </r>
  <r>
    <x v="156"/>
    <x v="152"/>
    <m/>
    <x v="1"/>
    <s v="H18"/>
    <x v="2"/>
    <s v="H191-5"/>
    <m/>
    <m/>
    <s v="MATT"/>
    <m/>
    <n v="100"/>
    <x v="0"/>
    <m/>
    <m/>
    <n v="8"/>
    <n v="1"/>
    <n v="0.85"/>
    <n v="0.85"/>
    <n v="5730"/>
    <x v="8"/>
    <s v="TekNat"/>
    <x v="1"/>
    <n v="19473"/>
    <n v="34806"/>
    <n v="49058.1"/>
    <n v="21800"/>
    <n v="21800"/>
    <n v="70858.100000000006"/>
    <n v="0"/>
    <n v="0"/>
    <n v="0"/>
    <n v="0"/>
    <n v="0"/>
    <n v="1"/>
    <n v="0"/>
    <n v="0"/>
    <n v="0"/>
    <n v="0"/>
    <n v="0"/>
    <n v="0"/>
    <s v="Enligt SP 190924"/>
    <m/>
    <n v="0"/>
    <n v="0"/>
    <n v="0"/>
    <n v="0"/>
    <n v="0"/>
    <n v="0"/>
    <n v="0"/>
    <n v="0"/>
    <n v="0"/>
    <n v="0"/>
    <n v="1"/>
    <n v="0.85"/>
    <n v="0"/>
    <n v="0"/>
    <n v="0"/>
    <n v="0"/>
    <n v="0"/>
    <n v="0"/>
    <n v="0"/>
    <n v="0"/>
    <n v="0"/>
    <n v="0"/>
    <n v="0"/>
  </r>
  <r>
    <x v="156"/>
    <x v="152"/>
    <m/>
    <x v="1"/>
    <s v="H19"/>
    <x v="2"/>
    <s v="H191-5"/>
    <m/>
    <m/>
    <s v="MATT"/>
    <m/>
    <n v="100"/>
    <x v="0"/>
    <m/>
    <m/>
    <n v="1"/>
    <n v="0.125"/>
    <n v="0.85"/>
    <n v="0.10625"/>
    <n v="5730"/>
    <x v="8"/>
    <s v="TekNat"/>
    <x v="1"/>
    <n v="19473"/>
    <n v="34806"/>
    <n v="6132.2624999999998"/>
    <n v="21800"/>
    <n v="2725"/>
    <n v="8857.2625000000007"/>
    <n v="0"/>
    <n v="0"/>
    <n v="0"/>
    <n v="0"/>
    <n v="0"/>
    <n v="1"/>
    <n v="0"/>
    <n v="0"/>
    <n v="0"/>
    <n v="0"/>
    <n v="0"/>
    <n v="0"/>
    <s v="Enligt SP 190924"/>
    <m/>
    <n v="0"/>
    <n v="0"/>
    <n v="0"/>
    <n v="0"/>
    <n v="0"/>
    <n v="0"/>
    <n v="0"/>
    <n v="0"/>
    <n v="0"/>
    <n v="0"/>
    <n v="0.125"/>
    <n v="0.10625"/>
    <n v="0"/>
    <n v="0"/>
    <n v="0"/>
    <n v="0"/>
    <n v="0"/>
    <n v="0"/>
    <n v="0"/>
    <n v="0"/>
    <n v="0"/>
    <n v="0"/>
    <n v="0"/>
  </r>
  <r>
    <x v="157"/>
    <x v="153"/>
    <m/>
    <x v="1"/>
    <s v="H15"/>
    <x v="2"/>
    <s v="H1913-16"/>
    <m/>
    <m/>
    <s v="MATT"/>
    <m/>
    <n v="100"/>
    <x v="2"/>
    <m/>
    <m/>
    <n v="2"/>
    <n v="0.2"/>
    <n v="0.85"/>
    <n v="0.17"/>
    <n v="5730"/>
    <x v="8"/>
    <s v="TekNat"/>
    <x v="1"/>
    <n v="21634"/>
    <n v="26986"/>
    <n v="8914.42"/>
    <n v="3400"/>
    <n v="680"/>
    <n v="9594.42"/>
    <n v="0"/>
    <n v="0"/>
    <n v="0"/>
    <n v="0"/>
    <n v="0"/>
    <n v="0"/>
    <n v="0"/>
    <n v="0"/>
    <n v="1"/>
    <n v="0"/>
    <n v="0"/>
    <n v="0"/>
    <s v="Enligt SP 190924"/>
    <m/>
    <n v="0"/>
    <n v="0"/>
    <n v="0"/>
    <n v="0"/>
    <n v="0"/>
    <n v="0"/>
    <n v="0"/>
    <n v="0"/>
    <n v="0"/>
    <n v="0"/>
    <n v="0"/>
    <n v="0"/>
    <n v="0"/>
    <n v="0"/>
    <n v="0"/>
    <n v="0"/>
    <n v="0.2"/>
    <n v="0.17"/>
    <n v="0"/>
    <n v="0"/>
    <n v="0"/>
    <n v="0"/>
    <n v="0"/>
  </r>
  <r>
    <x v="157"/>
    <x v="153"/>
    <m/>
    <x v="1"/>
    <s v="H16"/>
    <x v="2"/>
    <s v="H1913-16"/>
    <m/>
    <m/>
    <s v="MATT"/>
    <m/>
    <n v="100"/>
    <x v="2"/>
    <m/>
    <m/>
    <n v="2"/>
    <n v="0.2"/>
    <n v="0.85"/>
    <n v="0.17"/>
    <n v="5730"/>
    <x v="8"/>
    <s v="TekNat"/>
    <x v="1"/>
    <n v="21634"/>
    <n v="26986"/>
    <n v="8914.42"/>
    <n v="3400"/>
    <n v="680"/>
    <n v="9594.42"/>
    <n v="0"/>
    <n v="0"/>
    <n v="0"/>
    <n v="0"/>
    <n v="0"/>
    <n v="0"/>
    <n v="0"/>
    <n v="0"/>
    <n v="1"/>
    <n v="0"/>
    <n v="0"/>
    <n v="0"/>
    <s v="Enligt SP 190924"/>
    <m/>
    <n v="0"/>
    <n v="0"/>
    <n v="0"/>
    <n v="0"/>
    <n v="0"/>
    <n v="0"/>
    <n v="0"/>
    <n v="0"/>
    <n v="0"/>
    <n v="0"/>
    <n v="0"/>
    <n v="0"/>
    <n v="0"/>
    <n v="0"/>
    <n v="0"/>
    <n v="0"/>
    <n v="0.2"/>
    <n v="0.17"/>
    <n v="0"/>
    <n v="0"/>
    <n v="0"/>
    <n v="0"/>
    <n v="0"/>
  </r>
  <r>
    <x v="157"/>
    <x v="153"/>
    <m/>
    <x v="1"/>
    <s v="H17"/>
    <x v="2"/>
    <s v="H1913-16"/>
    <m/>
    <m/>
    <s v="MATT"/>
    <m/>
    <n v="100"/>
    <x v="2"/>
    <m/>
    <m/>
    <n v="12"/>
    <n v="1.2000000000000002"/>
    <n v="0.85"/>
    <n v="1.02"/>
    <n v="5730"/>
    <x v="8"/>
    <s v="TekNat"/>
    <x v="1"/>
    <n v="21634"/>
    <n v="26986"/>
    <n v="53486.520000000004"/>
    <n v="3400"/>
    <n v="4080.0000000000005"/>
    <n v="57566.520000000004"/>
    <n v="0"/>
    <n v="0"/>
    <n v="0"/>
    <n v="0"/>
    <n v="0"/>
    <n v="0"/>
    <n v="0"/>
    <n v="0"/>
    <n v="1"/>
    <n v="0"/>
    <n v="0"/>
    <n v="0"/>
    <s v="Enligt SP 190924"/>
    <m/>
    <n v="0"/>
    <n v="0"/>
    <n v="0"/>
    <n v="0"/>
    <n v="0"/>
    <n v="0"/>
    <n v="0"/>
    <n v="0"/>
    <n v="0"/>
    <n v="0"/>
    <n v="0"/>
    <n v="0"/>
    <n v="0"/>
    <n v="0"/>
    <n v="0"/>
    <n v="0"/>
    <n v="1.2000000000000002"/>
    <n v="1.02"/>
    <n v="0"/>
    <n v="0"/>
    <n v="0"/>
    <n v="0"/>
    <n v="0"/>
  </r>
  <r>
    <x v="157"/>
    <x v="153"/>
    <m/>
    <x v="1"/>
    <s v="H18"/>
    <x v="2"/>
    <s v="H1913-16"/>
    <m/>
    <m/>
    <s v="MATT"/>
    <m/>
    <n v="100"/>
    <x v="2"/>
    <m/>
    <m/>
    <n v="1"/>
    <n v="0.1"/>
    <n v="0.85"/>
    <n v="8.5000000000000006E-2"/>
    <n v="5730"/>
    <x v="8"/>
    <s v="TekNat"/>
    <x v="1"/>
    <n v="21634"/>
    <n v="26986"/>
    <n v="4457.21"/>
    <n v="3400"/>
    <n v="340"/>
    <n v="4797.21"/>
    <n v="0"/>
    <n v="0"/>
    <n v="0"/>
    <n v="0"/>
    <n v="0"/>
    <n v="0"/>
    <n v="0"/>
    <n v="0"/>
    <n v="1"/>
    <n v="0"/>
    <n v="0"/>
    <n v="0"/>
    <s v="Enligt SP 190924"/>
    <m/>
    <n v="0"/>
    <n v="0"/>
    <n v="0"/>
    <n v="0"/>
    <n v="0"/>
    <n v="0"/>
    <n v="0"/>
    <n v="0"/>
    <n v="0"/>
    <n v="0"/>
    <n v="0"/>
    <n v="0"/>
    <n v="0"/>
    <n v="0"/>
    <n v="0"/>
    <n v="0"/>
    <n v="0.1"/>
    <n v="8.5000000000000006E-2"/>
    <n v="0"/>
    <n v="0"/>
    <n v="0"/>
    <n v="0"/>
    <n v="0"/>
  </r>
  <r>
    <x v="158"/>
    <x v="154"/>
    <m/>
    <x v="0"/>
    <m/>
    <x v="2"/>
    <m/>
    <m/>
    <s v="Campus"/>
    <m/>
    <m/>
    <n v="100"/>
    <x v="0"/>
    <m/>
    <m/>
    <n v="2"/>
    <n v="0.25"/>
    <n v="0.8"/>
    <n v="0.2"/>
    <n v="5730"/>
    <x v="8"/>
    <s v="TekNat"/>
    <x v="0"/>
    <n v="19473"/>
    <n v="34806"/>
    <n v="11829.45"/>
    <n v="21800"/>
    <n v="5450"/>
    <n v="17279.45"/>
    <n v="0"/>
    <n v="0"/>
    <n v="0"/>
    <n v="0"/>
    <n v="0"/>
    <n v="0.5"/>
    <n v="0"/>
    <n v="0.5"/>
    <n v="0"/>
    <n v="0"/>
    <n v="0"/>
    <n v="0"/>
    <s v="Äskat - Beslut p43 180607"/>
    <m/>
    <n v="0"/>
    <n v="0"/>
    <n v="0"/>
    <n v="0"/>
    <n v="0"/>
    <n v="0"/>
    <n v="0"/>
    <n v="0"/>
    <n v="0"/>
    <n v="0"/>
    <n v="0.125"/>
    <n v="0.1"/>
    <n v="0"/>
    <n v="0"/>
    <n v="0.125"/>
    <n v="0.1"/>
    <n v="0"/>
    <n v="0"/>
    <n v="0"/>
    <n v="0"/>
    <n v="0"/>
    <n v="0"/>
    <n v="0"/>
  </r>
  <r>
    <x v="158"/>
    <x v="154"/>
    <m/>
    <x v="1"/>
    <s v="H17"/>
    <x v="2"/>
    <s v="H191-5"/>
    <m/>
    <m/>
    <s v="MATT"/>
    <m/>
    <n v="100"/>
    <x v="0"/>
    <m/>
    <m/>
    <n v="2"/>
    <n v="0.25"/>
    <n v="0.85"/>
    <n v="0.21249999999999999"/>
    <n v="5730"/>
    <x v="8"/>
    <s v="TekNat"/>
    <x v="1"/>
    <n v="19473"/>
    <n v="34806"/>
    <n v="12264.525"/>
    <n v="21800"/>
    <n v="5450"/>
    <n v="17714.525000000001"/>
    <n v="0"/>
    <n v="0"/>
    <n v="0"/>
    <n v="0"/>
    <n v="0"/>
    <n v="0.5"/>
    <n v="0"/>
    <n v="0.5"/>
    <n v="0"/>
    <n v="0"/>
    <n v="0"/>
    <n v="0"/>
    <s v="Enligt SP 190924"/>
    <m/>
    <n v="0"/>
    <n v="0"/>
    <n v="0"/>
    <n v="0"/>
    <n v="0"/>
    <n v="0"/>
    <n v="0"/>
    <n v="0"/>
    <n v="0"/>
    <n v="0"/>
    <n v="0.125"/>
    <n v="0.10625"/>
    <n v="0"/>
    <n v="0"/>
    <n v="0.125"/>
    <n v="0.10625"/>
    <n v="0"/>
    <n v="0"/>
    <n v="0"/>
    <n v="0"/>
    <n v="0"/>
    <n v="0"/>
    <n v="0"/>
  </r>
  <r>
    <x v="159"/>
    <x v="155"/>
    <m/>
    <x v="4"/>
    <s v="H14"/>
    <x v="1"/>
    <s v="V1916-20:H191-15"/>
    <s v="Umeå"/>
    <m/>
    <s v="MATT"/>
    <m/>
    <n v="100"/>
    <x v="0"/>
    <m/>
    <m/>
    <n v="1"/>
    <n v="0.125"/>
    <n v="0.85"/>
    <n v="0.10625"/>
    <n v="5740"/>
    <x v="9"/>
    <s v="TekNat"/>
    <x v="4"/>
    <n v="19473"/>
    <n v="34806"/>
    <n v="6132.2624999999998"/>
    <n v="21800"/>
    <n v="2725"/>
    <n v="8857.2625000000007"/>
    <n v="0"/>
    <n v="0"/>
    <n v="0"/>
    <n v="0"/>
    <n v="0"/>
    <n v="1"/>
    <n v="0"/>
    <n v="0"/>
    <n v="0"/>
    <n v="0"/>
    <n v="0"/>
    <n v="0"/>
    <s v="Enl Ladok 190515"/>
    <s v="Läser 7,5 av 30 hp denna termin"/>
    <n v="0"/>
    <n v="0"/>
    <n v="0"/>
    <n v="0"/>
    <n v="0"/>
    <n v="0"/>
    <n v="0"/>
    <n v="0"/>
    <n v="0"/>
    <n v="0"/>
    <n v="0.125"/>
    <n v="0.10625"/>
    <n v="0"/>
    <n v="0"/>
    <n v="0"/>
    <n v="0"/>
    <n v="0"/>
    <n v="0"/>
    <n v="0"/>
    <n v="0"/>
    <n v="0"/>
    <n v="0"/>
    <n v="0"/>
  </r>
  <r>
    <x v="159"/>
    <x v="155"/>
    <m/>
    <x v="4"/>
    <s v="H14"/>
    <x v="2"/>
    <s v="V1916-20:H191-15"/>
    <m/>
    <m/>
    <s v="MATT"/>
    <m/>
    <n v="100"/>
    <x v="0"/>
    <m/>
    <m/>
    <n v="1"/>
    <n v="0.125"/>
    <n v="0.85"/>
    <n v="0.10625"/>
    <n v="5740"/>
    <x v="9"/>
    <s v="TekNat"/>
    <x v="4"/>
    <n v="19473"/>
    <n v="34806"/>
    <n v="6132.2624999999998"/>
    <n v="21800"/>
    <n v="2725"/>
    <n v="8857.2625000000007"/>
    <n v="0"/>
    <n v="0"/>
    <n v="0"/>
    <n v="0"/>
    <n v="0"/>
    <n v="1"/>
    <n v="0"/>
    <n v="0"/>
    <n v="0"/>
    <n v="0"/>
    <n v="0"/>
    <n v="0"/>
    <s v="Enligt SP 190924"/>
    <s v="Läser 7,5 av 30 denna termin"/>
    <n v="0"/>
    <n v="0"/>
    <n v="0"/>
    <n v="0"/>
    <n v="0"/>
    <n v="0"/>
    <n v="0"/>
    <n v="0"/>
    <n v="0"/>
    <n v="0"/>
    <n v="0.125"/>
    <n v="0.10625"/>
    <n v="0"/>
    <n v="0"/>
    <n v="0"/>
    <n v="0"/>
    <n v="0"/>
    <n v="0"/>
    <n v="0"/>
    <n v="0"/>
    <n v="0"/>
    <n v="0"/>
    <n v="0"/>
  </r>
  <r>
    <x v="159"/>
    <x v="155"/>
    <m/>
    <x v="1"/>
    <s v="H13"/>
    <x v="2"/>
    <s v="H1916-20:V201-15"/>
    <m/>
    <m/>
    <s v="MATT"/>
    <m/>
    <n v="100"/>
    <x v="0"/>
    <m/>
    <m/>
    <n v="1"/>
    <n v="0.125"/>
    <n v="0.85"/>
    <n v="0.10625"/>
    <n v="5740"/>
    <x v="9"/>
    <s v="TekNat"/>
    <x v="1"/>
    <n v="19473"/>
    <n v="34806"/>
    <n v="6132.2624999999998"/>
    <n v="21800"/>
    <n v="2725"/>
    <n v="8857.2625000000007"/>
    <n v="0"/>
    <n v="0"/>
    <n v="0"/>
    <n v="0"/>
    <n v="0"/>
    <n v="1"/>
    <n v="0"/>
    <n v="0"/>
    <n v="0"/>
    <n v="0"/>
    <n v="0"/>
    <n v="0"/>
    <s v="Enligt SP 190924"/>
    <s v="Läser 7,5 av 30 denna termin"/>
    <n v="0"/>
    <n v="0"/>
    <n v="0"/>
    <n v="0"/>
    <n v="0"/>
    <n v="0"/>
    <n v="0"/>
    <n v="0"/>
    <n v="0"/>
    <n v="0"/>
    <n v="0.125"/>
    <n v="0.10625"/>
    <n v="0"/>
    <n v="0"/>
    <n v="0"/>
    <n v="0"/>
    <n v="0"/>
    <n v="0"/>
    <n v="0"/>
    <n v="0"/>
    <n v="0"/>
    <n v="0"/>
    <n v="0"/>
  </r>
  <r>
    <x v="159"/>
    <x v="155"/>
    <m/>
    <x v="1"/>
    <s v="H15"/>
    <x v="2"/>
    <s v="H1916-20:V201-15"/>
    <m/>
    <m/>
    <s v="MATT"/>
    <m/>
    <n v="100"/>
    <x v="0"/>
    <m/>
    <m/>
    <n v="3"/>
    <n v="0.375"/>
    <n v="0.85"/>
    <n v="0.31874999999999998"/>
    <n v="5740"/>
    <x v="9"/>
    <s v="TekNat"/>
    <x v="1"/>
    <n v="19473"/>
    <n v="34806"/>
    <n v="18396.787499999999"/>
    <n v="21800"/>
    <n v="8175"/>
    <n v="26571.787499999999"/>
    <n v="0"/>
    <n v="0"/>
    <n v="0"/>
    <n v="0"/>
    <n v="0"/>
    <n v="1"/>
    <n v="0"/>
    <n v="0"/>
    <n v="0"/>
    <n v="0"/>
    <n v="0"/>
    <n v="0"/>
    <s v="Enligt SP 190924"/>
    <s v="Läser 7,5 av 30 denna termin"/>
    <n v="0"/>
    <n v="0"/>
    <n v="0"/>
    <n v="0"/>
    <n v="0"/>
    <n v="0"/>
    <n v="0"/>
    <n v="0"/>
    <n v="0"/>
    <n v="0"/>
    <n v="0.375"/>
    <n v="0.31874999999999998"/>
    <n v="0"/>
    <n v="0"/>
    <n v="0"/>
    <n v="0"/>
    <n v="0"/>
    <n v="0"/>
    <n v="0"/>
    <n v="0"/>
    <n v="0"/>
    <n v="0"/>
    <n v="0"/>
  </r>
  <r>
    <x v="159"/>
    <x v="155"/>
    <m/>
    <x v="1"/>
    <s v="H16"/>
    <x v="2"/>
    <s v="H1916-20:V201-15"/>
    <m/>
    <m/>
    <s v="MATT"/>
    <m/>
    <n v="100"/>
    <x v="0"/>
    <m/>
    <m/>
    <n v="1"/>
    <n v="0.125"/>
    <n v="0.85"/>
    <n v="0.10625"/>
    <n v="5740"/>
    <x v="9"/>
    <s v="TekNat"/>
    <x v="1"/>
    <n v="19473"/>
    <n v="34806"/>
    <n v="6132.2624999999998"/>
    <n v="21800"/>
    <n v="2725"/>
    <n v="8857.2625000000007"/>
    <n v="0"/>
    <n v="0"/>
    <n v="0"/>
    <n v="0"/>
    <n v="0"/>
    <n v="1"/>
    <n v="0"/>
    <n v="0"/>
    <n v="0"/>
    <n v="0"/>
    <n v="0"/>
    <n v="0"/>
    <s v="Enligt SP 190924"/>
    <s v="Läser 7,5 av 30 denna termin"/>
    <n v="0"/>
    <n v="0"/>
    <n v="0"/>
    <n v="0"/>
    <n v="0"/>
    <n v="0"/>
    <n v="0"/>
    <n v="0"/>
    <n v="0"/>
    <n v="0"/>
    <n v="0.125"/>
    <n v="0.10625"/>
    <n v="0"/>
    <n v="0"/>
    <n v="0"/>
    <n v="0"/>
    <n v="0"/>
    <n v="0"/>
    <n v="0"/>
    <n v="0"/>
    <n v="0"/>
    <n v="0"/>
    <n v="0"/>
  </r>
  <r>
    <x v="160"/>
    <x v="156"/>
    <m/>
    <x v="2"/>
    <s v="H18"/>
    <x v="1"/>
    <s v="V1916-20"/>
    <s v="Umeå"/>
    <m/>
    <m/>
    <m/>
    <n v="100"/>
    <x v="0"/>
    <m/>
    <m/>
    <n v="46"/>
    <n v="5.75"/>
    <n v="0.85"/>
    <n v="4.8875000000000002"/>
    <n v="5740"/>
    <x v="9"/>
    <s v="TekNat"/>
    <x v="2"/>
    <n v="19473"/>
    <n v="34806"/>
    <n v="282084.07500000001"/>
    <n v="21800"/>
    <n v="125350"/>
    <n v="407434.07500000001"/>
    <n v="0"/>
    <n v="0"/>
    <n v="0"/>
    <n v="0"/>
    <n v="0"/>
    <n v="1"/>
    <n v="0"/>
    <n v="0"/>
    <n v="0"/>
    <n v="0"/>
    <n v="0"/>
    <n v="0"/>
    <s v="Enl Ladok 190523"/>
    <m/>
    <n v="0"/>
    <n v="0"/>
    <n v="0"/>
    <n v="0"/>
    <n v="0"/>
    <n v="0"/>
    <n v="0"/>
    <n v="0"/>
    <n v="0"/>
    <n v="0"/>
    <n v="5.75"/>
    <n v="4.8875000000000002"/>
    <n v="0"/>
    <n v="0"/>
    <n v="0"/>
    <n v="0"/>
    <n v="0"/>
    <n v="0"/>
    <n v="0"/>
    <n v="0"/>
    <n v="0"/>
    <n v="0"/>
    <n v="0"/>
  </r>
  <r>
    <x v="161"/>
    <x v="157"/>
    <m/>
    <x v="2"/>
    <s v="H18"/>
    <x v="2"/>
    <s v="H196-10"/>
    <m/>
    <m/>
    <m/>
    <m/>
    <n v="100"/>
    <x v="0"/>
    <m/>
    <m/>
    <n v="44"/>
    <n v="5.5"/>
    <n v="0.85"/>
    <n v="4.6749999999999998"/>
    <n v="5740"/>
    <x v="9"/>
    <s v="TekNat"/>
    <x v="2"/>
    <n v="19473"/>
    <n v="34806"/>
    <n v="269819.55"/>
    <n v="21800"/>
    <n v="119900"/>
    <n v="389719.55"/>
    <n v="0"/>
    <n v="0"/>
    <n v="0"/>
    <n v="0"/>
    <n v="0"/>
    <n v="1"/>
    <n v="0"/>
    <n v="0"/>
    <n v="0"/>
    <n v="0"/>
    <n v="0"/>
    <n v="0"/>
    <s v="Enligt SP 190924"/>
    <m/>
    <n v="0"/>
    <n v="0"/>
    <n v="0"/>
    <n v="0"/>
    <n v="0"/>
    <n v="0"/>
    <n v="0"/>
    <n v="0"/>
    <n v="0"/>
    <n v="0"/>
    <n v="5.5"/>
    <n v="4.6749999999999998"/>
    <n v="0"/>
    <n v="0"/>
    <n v="0"/>
    <n v="0"/>
    <n v="0"/>
    <n v="0"/>
    <n v="0"/>
    <n v="0"/>
    <n v="0"/>
    <n v="0"/>
    <n v="0"/>
  </r>
  <r>
    <x v="161"/>
    <x v="157"/>
    <m/>
    <x v="2"/>
    <s v="H19"/>
    <x v="2"/>
    <s v="H196-10"/>
    <m/>
    <m/>
    <m/>
    <m/>
    <n v="100"/>
    <x v="0"/>
    <m/>
    <m/>
    <n v="1"/>
    <n v="0.125"/>
    <n v="0.85"/>
    <n v="0.10625"/>
    <n v="5740"/>
    <x v="9"/>
    <s v="TekNat"/>
    <x v="2"/>
    <n v="19473"/>
    <n v="34806"/>
    <n v="6132.2624999999998"/>
    <n v="21800"/>
    <n v="2725"/>
    <n v="8857.2625000000007"/>
    <n v="0"/>
    <n v="0"/>
    <n v="0"/>
    <n v="0"/>
    <n v="0"/>
    <n v="1"/>
    <n v="0"/>
    <n v="0"/>
    <n v="0"/>
    <n v="0"/>
    <n v="0"/>
    <n v="0"/>
    <s v="Enligt SP 190924"/>
    <m/>
    <n v="0"/>
    <n v="0"/>
    <n v="0"/>
    <n v="0"/>
    <n v="0"/>
    <n v="0"/>
    <n v="0"/>
    <n v="0"/>
    <n v="0"/>
    <n v="0"/>
    <n v="0.125"/>
    <n v="0.10625"/>
    <n v="0"/>
    <n v="0"/>
    <n v="0"/>
    <n v="0"/>
    <n v="0"/>
    <n v="0"/>
    <n v="0"/>
    <n v="0"/>
    <n v="0"/>
    <n v="0"/>
    <n v="0"/>
  </r>
  <r>
    <x v="162"/>
    <x v="158"/>
    <m/>
    <x v="2"/>
    <s v="H15"/>
    <x v="2"/>
    <s v="H1916-20"/>
    <m/>
    <m/>
    <m/>
    <m/>
    <n v="100"/>
    <x v="0"/>
    <m/>
    <m/>
    <n v="1"/>
    <n v="0.125"/>
    <n v="0.85"/>
    <n v="0.10625"/>
    <n v="5740"/>
    <x v="9"/>
    <s v="TekNat"/>
    <x v="2"/>
    <n v="19473"/>
    <n v="34806"/>
    <n v="6132.2624999999998"/>
    <n v="21800"/>
    <n v="2725"/>
    <n v="8857.2625000000007"/>
    <n v="0"/>
    <n v="0"/>
    <n v="0"/>
    <n v="0"/>
    <n v="0"/>
    <n v="1"/>
    <n v="0"/>
    <n v="0"/>
    <n v="0"/>
    <n v="0"/>
    <n v="0"/>
    <n v="0"/>
    <s v="Enligt SP 190924"/>
    <m/>
    <n v="0"/>
    <n v="0"/>
    <n v="0"/>
    <n v="0"/>
    <n v="0"/>
    <n v="0"/>
    <n v="0"/>
    <n v="0"/>
    <n v="0"/>
    <n v="0"/>
    <n v="0.125"/>
    <n v="0.10625"/>
    <n v="0"/>
    <n v="0"/>
    <n v="0"/>
    <n v="0"/>
    <n v="0"/>
    <n v="0"/>
    <n v="0"/>
    <n v="0"/>
    <n v="0"/>
    <n v="0"/>
    <n v="0"/>
  </r>
  <r>
    <x v="162"/>
    <x v="158"/>
    <m/>
    <x v="2"/>
    <s v="H17"/>
    <x v="2"/>
    <s v="H1916-20"/>
    <m/>
    <m/>
    <m/>
    <m/>
    <n v="100"/>
    <x v="0"/>
    <m/>
    <m/>
    <n v="34"/>
    <n v="4.25"/>
    <n v="0.85"/>
    <n v="3.6124999999999998"/>
    <n v="5740"/>
    <x v="9"/>
    <s v="TekNat"/>
    <x v="2"/>
    <n v="19473"/>
    <n v="34806"/>
    <n v="208496.92499999999"/>
    <n v="21800"/>
    <n v="92650"/>
    <n v="301146.92499999999"/>
    <n v="0"/>
    <n v="0"/>
    <n v="0"/>
    <n v="0"/>
    <n v="0"/>
    <n v="1"/>
    <n v="0"/>
    <n v="0"/>
    <n v="0"/>
    <n v="0"/>
    <n v="0"/>
    <n v="0"/>
    <s v="Enligt SP 190924"/>
    <m/>
    <n v="0"/>
    <n v="0"/>
    <n v="0"/>
    <n v="0"/>
    <n v="0"/>
    <n v="0"/>
    <n v="0"/>
    <n v="0"/>
    <n v="0"/>
    <n v="0"/>
    <n v="4.25"/>
    <n v="3.6124999999999998"/>
    <n v="0"/>
    <n v="0"/>
    <n v="0"/>
    <n v="0"/>
    <n v="0"/>
    <n v="0"/>
    <n v="0"/>
    <n v="0"/>
    <n v="0"/>
    <n v="0"/>
    <n v="0"/>
  </r>
  <r>
    <x v="162"/>
    <x v="158"/>
    <m/>
    <x v="2"/>
    <s v="H19"/>
    <x v="2"/>
    <s v="H1916-20"/>
    <m/>
    <m/>
    <m/>
    <m/>
    <n v="100"/>
    <x v="0"/>
    <m/>
    <m/>
    <n v="1"/>
    <n v="0.125"/>
    <n v="0.85"/>
    <n v="0.10625"/>
    <n v="5740"/>
    <x v="9"/>
    <s v="TekNat"/>
    <x v="2"/>
    <n v="19473"/>
    <n v="34806"/>
    <n v="6132.2624999999998"/>
    <n v="21800"/>
    <n v="2725"/>
    <n v="8857.2625000000007"/>
    <n v="0"/>
    <n v="0"/>
    <n v="0"/>
    <n v="0"/>
    <n v="0"/>
    <n v="1"/>
    <n v="0"/>
    <n v="0"/>
    <n v="0"/>
    <n v="0"/>
    <n v="0"/>
    <n v="0"/>
    <s v="Enligt SP 190924"/>
    <m/>
    <n v="0"/>
    <n v="0"/>
    <n v="0"/>
    <n v="0"/>
    <n v="0"/>
    <n v="0"/>
    <n v="0"/>
    <n v="0"/>
    <n v="0"/>
    <n v="0"/>
    <n v="0.125"/>
    <n v="0.10625"/>
    <n v="0"/>
    <n v="0"/>
    <n v="0"/>
    <n v="0"/>
    <n v="0"/>
    <n v="0"/>
    <n v="0"/>
    <n v="0"/>
    <n v="0"/>
    <n v="0"/>
    <n v="0"/>
  </r>
  <r>
    <x v="163"/>
    <x v="159"/>
    <m/>
    <x v="3"/>
    <s v="H18"/>
    <x v="2"/>
    <s v="H191-5"/>
    <m/>
    <m/>
    <m/>
    <m/>
    <n v="100"/>
    <x v="0"/>
    <m/>
    <m/>
    <n v="21"/>
    <n v="2.625"/>
    <n v="0.85"/>
    <n v="2.2312499999999997"/>
    <n v="5740"/>
    <x v="9"/>
    <s v="TekNat"/>
    <x v="3"/>
    <n v="19473"/>
    <n v="34806"/>
    <n v="128777.5125"/>
    <n v="21800"/>
    <n v="57225"/>
    <n v="186002.51250000001"/>
    <n v="0"/>
    <n v="0"/>
    <n v="0"/>
    <n v="0"/>
    <n v="0"/>
    <n v="1"/>
    <n v="0"/>
    <n v="0"/>
    <n v="0"/>
    <n v="0"/>
    <n v="0"/>
    <n v="0"/>
    <s v="Enligt SP 190924"/>
    <m/>
    <n v="0"/>
    <n v="0"/>
    <n v="0"/>
    <n v="0"/>
    <n v="0"/>
    <n v="0"/>
    <n v="0"/>
    <n v="0"/>
    <n v="0"/>
    <n v="0"/>
    <n v="2.625"/>
    <n v="2.2312499999999997"/>
    <n v="0"/>
    <n v="0"/>
    <n v="0"/>
    <n v="0"/>
    <n v="0"/>
    <n v="0"/>
    <n v="0"/>
    <n v="0"/>
    <n v="0"/>
    <n v="0"/>
    <n v="0"/>
  </r>
  <r>
    <x v="164"/>
    <x v="160"/>
    <m/>
    <x v="3"/>
    <s v="H18"/>
    <x v="2"/>
    <s v="H196-10"/>
    <m/>
    <m/>
    <m/>
    <m/>
    <n v="100"/>
    <x v="0"/>
    <m/>
    <m/>
    <n v="21"/>
    <n v="2.625"/>
    <n v="0.85"/>
    <n v="2.2312499999999997"/>
    <n v="5740"/>
    <x v="9"/>
    <s v="TekNat"/>
    <x v="3"/>
    <n v="19473"/>
    <n v="34806"/>
    <n v="128777.5125"/>
    <n v="21800"/>
    <n v="57225"/>
    <n v="186002.51250000001"/>
    <n v="0"/>
    <n v="0"/>
    <n v="0"/>
    <n v="0"/>
    <n v="0"/>
    <n v="1"/>
    <n v="0"/>
    <n v="0"/>
    <n v="0"/>
    <n v="0"/>
    <n v="0"/>
    <n v="0"/>
    <s v="Enligt SP 190924"/>
    <m/>
    <n v="0"/>
    <n v="0"/>
    <n v="0"/>
    <n v="0"/>
    <n v="0"/>
    <n v="0"/>
    <n v="0"/>
    <n v="0"/>
    <n v="0"/>
    <n v="0"/>
    <n v="2.625"/>
    <n v="2.2312499999999997"/>
    <n v="0"/>
    <n v="0"/>
    <n v="0"/>
    <n v="0"/>
    <n v="0"/>
    <n v="0"/>
    <n v="0"/>
    <n v="0"/>
    <n v="0"/>
    <n v="0"/>
    <n v="0"/>
  </r>
  <r>
    <x v="165"/>
    <x v="161"/>
    <m/>
    <x v="3"/>
    <s v="H17"/>
    <x v="2"/>
    <s v="H1916-20"/>
    <m/>
    <m/>
    <m/>
    <m/>
    <n v="100"/>
    <x v="0"/>
    <m/>
    <m/>
    <n v="28"/>
    <n v="3.5"/>
    <n v="0.85"/>
    <n v="2.9750000000000001"/>
    <n v="5740"/>
    <x v="9"/>
    <s v="TekNat"/>
    <x v="3"/>
    <n v="19473"/>
    <n v="34806"/>
    <n v="171703.35"/>
    <n v="21800"/>
    <n v="76300"/>
    <n v="248003.35"/>
    <n v="0"/>
    <n v="0"/>
    <n v="0"/>
    <n v="0"/>
    <n v="0"/>
    <n v="1"/>
    <n v="0"/>
    <n v="0"/>
    <n v="0"/>
    <n v="0"/>
    <n v="0"/>
    <n v="0"/>
    <s v="Enligt SP 190924"/>
    <m/>
    <n v="0"/>
    <n v="0"/>
    <n v="0"/>
    <n v="0"/>
    <n v="0"/>
    <n v="0"/>
    <n v="0"/>
    <n v="0"/>
    <n v="0"/>
    <n v="0"/>
    <n v="3.5"/>
    <n v="2.9750000000000001"/>
    <n v="0"/>
    <n v="0"/>
    <n v="0"/>
    <n v="0"/>
    <n v="0"/>
    <n v="0"/>
    <n v="0"/>
    <n v="0"/>
    <n v="0"/>
    <n v="0"/>
    <n v="0"/>
  </r>
  <r>
    <x v="166"/>
    <x v="162"/>
    <m/>
    <x v="7"/>
    <s v="H18"/>
    <x v="2"/>
    <s v="H1911-15"/>
    <m/>
    <m/>
    <m/>
    <m/>
    <n v="100"/>
    <x v="0"/>
    <m/>
    <m/>
    <n v="46"/>
    <n v="5.75"/>
    <n v="0.85"/>
    <n v="4.8875000000000002"/>
    <n v="5740"/>
    <x v="9"/>
    <s v="TekNat"/>
    <x v="7"/>
    <n v="19473"/>
    <n v="34806"/>
    <n v="282084.07500000001"/>
    <n v="21800"/>
    <n v="125350"/>
    <n v="407434.07500000001"/>
    <n v="0"/>
    <n v="0"/>
    <n v="0"/>
    <n v="0"/>
    <n v="0"/>
    <n v="1"/>
    <n v="0"/>
    <n v="0"/>
    <n v="0"/>
    <n v="0"/>
    <n v="0"/>
    <n v="0"/>
    <s v="Enligt SP 190924"/>
    <m/>
    <n v="0"/>
    <n v="0"/>
    <n v="0"/>
    <n v="0"/>
    <n v="0"/>
    <n v="0"/>
    <n v="0"/>
    <n v="0"/>
    <n v="0"/>
    <n v="0"/>
    <n v="5.75"/>
    <n v="4.8875000000000002"/>
    <n v="0"/>
    <n v="0"/>
    <n v="0"/>
    <n v="0"/>
    <n v="0"/>
    <n v="0"/>
    <n v="0"/>
    <n v="0"/>
    <n v="0"/>
    <n v="0"/>
    <n v="0"/>
  </r>
  <r>
    <x v="166"/>
    <x v="162"/>
    <m/>
    <x v="7"/>
    <s v="V18"/>
    <x v="1"/>
    <s v="V1911-15"/>
    <s v="Umeå"/>
    <m/>
    <m/>
    <m/>
    <n v="100"/>
    <x v="0"/>
    <m/>
    <m/>
    <n v="23"/>
    <n v="2.875"/>
    <n v="0.85"/>
    <n v="2.4437500000000001"/>
    <n v="5740"/>
    <x v="9"/>
    <s v="TekNat"/>
    <x v="7"/>
    <n v="19473"/>
    <n v="34806"/>
    <n v="141042.03750000001"/>
    <n v="21800"/>
    <n v="62675"/>
    <n v="203717.03750000001"/>
    <n v="0"/>
    <n v="0"/>
    <n v="0"/>
    <n v="0"/>
    <n v="0"/>
    <n v="1"/>
    <n v="0"/>
    <n v="0"/>
    <n v="0"/>
    <n v="0"/>
    <n v="0"/>
    <n v="0"/>
    <s v="Enl Ladok 190523"/>
    <m/>
    <n v="0"/>
    <n v="0"/>
    <n v="0"/>
    <n v="0"/>
    <n v="0"/>
    <n v="0"/>
    <n v="0"/>
    <n v="0"/>
    <n v="0"/>
    <n v="0"/>
    <n v="2.875"/>
    <n v="2.4437500000000001"/>
    <n v="0"/>
    <n v="0"/>
    <n v="0"/>
    <n v="0"/>
    <n v="0"/>
    <n v="0"/>
    <n v="0"/>
    <n v="0"/>
    <n v="0"/>
    <n v="0"/>
    <n v="0"/>
  </r>
  <r>
    <x v="166"/>
    <x v="162"/>
    <m/>
    <x v="7"/>
    <s v="V18"/>
    <x v="1"/>
    <s v="V1911-15"/>
    <s v="Örnsköldsvik"/>
    <m/>
    <m/>
    <m/>
    <n v="100"/>
    <x v="0"/>
    <m/>
    <m/>
    <n v="16"/>
    <n v="2"/>
    <n v="0.85"/>
    <n v="1.7"/>
    <n v="5740"/>
    <x v="9"/>
    <s v="TekNat"/>
    <x v="7"/>
    <n v="19473"/>
    <n v="34806"/>
    <n v="98116.2"/>
    <n v="21800"/>
    <n v="43600"/>
    <n v="141716.20000000001"/>
    <n v="0"/>
    <n v="0"/>
    <n v="0"/>
    <n v="0"/>
    <n v="0"/>
    <n v="1"/>
    <n v="0"/>
    <n v="0"/>
    <n v="0"/>
    <n v="0"/>
    <n v="0"/>
    <n v="0"/>
    <s v="Enl Ladok 190523"/>
    <m/>
    <n v="0"/>
    <n v="0"/>
    <n v="0"/>
    <n v="0"/>
    <n v="0"/>
    <n v="0"/>
    <n v="0"/>
    <n v="0"/>
    <n v="0"/>
    <n v="0"/>
    <n v="2"/>
    <n v="1.7"/>
    <n v="0"/>
    <n v="0"/>
    <n v="0"/>
    <n v="0"/>
    <n v="0"/>
    <n v="0"/>
    <n v="0"/>
    <n v="0"/>
    <n v="0"/>
    <n v="0"/>
    <n v="0"/>
  </r>
  <r>
    <x v="167"/>
    <x v="163"/>
    <m/>
    <x v="0"/>
    <m/>
    <x v="2"/>
    <m/>
    <m/>
    <s v="Distans"/>
    <m/>
    <m/>
    <n v="50"/>
    <x v="1"/>
    <m/>
    <m/>
    <n v="6"/>
    <n v="1.5"/>
    <n v="0.8"/>
    <n v="1.2000000000000002"/>
    <n v="5740"/>
    <x v="9"/>
    <s v="TekNat"/>
    <x v="0"/>
    <n v="19473"/>
    <n v="34806"/>
    <n v="70976.700000000012"/>
    <n v="21800"/>
    <n v="32700"/>
    <n v="103676.70000000001"/>
    <n v="0"/>
    <n v="0"/>
    <n v="0"/>
    <n v="0"/>
    <n v="0"/>
    <n v="1"/>
    <n v="0"/>
    <n v="0"/>
    <n v="0"/>
    <n v="0"/>
    <n v="0"/>
    <n v="0"/>
    <s v="Äskat - Beslut p43 180607"/>
    <m/>
    <n v="0"/>
    <n v="0"/>
    <n v="0"/>
    <n v="0"/>
    <n v="0"/>
    <n v="0"/>
    <n v="0"/>
    <n v="0"/>
    <n v="0"/>
    <n v="0"/>
    <n v="1.5"/>
    <n v="1.2000000000000002"/>
    <n v="0"/>
    <n v="0"/>
    <n v="0"/>
    <n v="0"/>
    <n v="0"/>
    <n v="0"/>
    <n v="0"/>
    <n v="0"/>
    <n v="0"/>
    <n v="0"/>
    <n v="0"/>
  </r>
  <r>
    <x v="168"/>
    <x v="164"/>
    <m/>
    <x v="0"/>
    <m/>
    <x v="2"/>
    <m/>
    <m/>
    <s v="Distans"/>
    <m/>
    <m/>
    <n v="50"/>
    <x v="1"/>
    <m/>
    <m/>
    <n v="6"/>
    <n v="1.5"/>
    <n v="0.8"/>
    <n v="1.2000000000000002"/>
    <n v="5740"/>
    <x v="9"/>
    <s v="TekNat"/>
    <x v="0"/>
    <n v="19473"/>
    <n v="34806"/>
    <n v="70976.700000000012"/>
    <n v="21800"/>
    <n v="32700"/>
    <n v="103676.70000000001"/>
    <n v="0"/>
    <n v="0"/>
    <n v="0"/>
    <n v="0"/>
    <n v="0"/>
    <n v="1"/>
    <n v="0"/>
    <n v="0"/>
    <n v="0"/>
    <n v="0"/>
    <n v="0"/>
    <n v="0"/>
    <s v="Äskat - Beslut p43 180607"/>
    <m/>
    <n v="0"/>
    <n v="0"/>
    <n v="0"/>
    <n v="0"/>
    <n v="0"/>
    <n v="0"/>
    <n v="0"/>
    <n v="0"/>
    <n v="0"/>
    <n v="0"/>
    <n v="1.5"/>
    <n v="1.2000000000000002"/>
    <n v="0"/>
    <n v="0"/>
    <n v="0"/>
    <n v="0"/>
    <n v="0"/>
    <n v="0"/>
    <n v="0"/>
    <n v="0"/>
    <n v="0"/>
    <n v="0"/>
    <n v="0"/>
  </r>
  <r>
    <x v="169"/>
    <x v="165"/>
    <m/>
    <x v="0"/>
    <m/>
    <x v="1"/>
    <m/>
    <m/>
    <s v="Distans"/>
    <m/>
    <m/>
    <n v="50"/>
    <x v="1"/>
    <m/>
    <m/>
    <n v="8"/>
    <n v="2"/>
    <n v="0.8"/>
    <n v="1.6"/>
    <n v="5740"/>
    <x v="9"/>
    <s v="TekNat"/>
    <x v="0"/>
    <n v="19473"/>
    <n v="34806"/>
    <n v="94635.6"/>
    <n v="21800"/>
    <n v="43600"/>
    <n v="138235.6"/>
    <n v="0"/>
    <n v="0"/>
    <n v="0"/>
    <n v="0"/>
    <n v="0"/>
    <n v="1"/>
    <n v="0"/>
    <n v="0"/>
    <n v="0"/>
    <n v="0"/>
    <n v="0"/>
    <n v="0"/>
    <s v="Enl Ladok 190318"/>
    <s v="Äskat - Beslut p43 180607"/>
    <n v="0"/>
    <n v="0"/>
    <n v="0"/>
    <n v="0"/>
    <n v="0"/>
    <n v="0"/>
    <n v="0"/>
    <n v="0"/>
    <n v="0"/>
    <n v="0"/>
    <n v="2"/>
    <n v="1.6"/>
    <n v="0"/>
    <n v="0"/>
    <n v="0"/>
    <n v="0"/>
    <n v="0"/>
    <n v="0"/>
    <n v="0"/>
    <n v="0"/>
    <n v="0"/>
    <n v="0"/>
    <n v="0"/>
  </r>
  <r>
    <x v="170"/>
    <x v="166"/>
    <m/>
    <x v="0"/>
    <m/>
    <x v="1"/>
    <m/>
    <m/>
    <s v="Campus"/>
    <m/>
    <m/>
    <n v="100"/>
    <x v="0"/>
    <m/>
    <m/>
    <n v="4"/>
    <n v="0.5"/>
    <n v="0.8"/>
    <n v="0.4"/>
    <n v="5740"/>
    <x v="9"/>
    <s v="TekNat"/>
    <x v="0"/>
    <n v="19473"/>
    <n v="34806"/>
    <n v="23658.9"/>
    <n v="21800"/>
    <n v="10900"/>
    <n v="34558.9"/>
    <n v="0"/>
    <n v="0"/>
    <n v="0"/>
    <n v="0"/>
    <n v="0"/>
    <n v="1"/>
    <n v="0"/>
    <n v="0"/>
    <n v="0"/>
    <n v="0"/>
    <n v="0"/>
    <n v="0"/>
    <s v="Enl Ladok 190515"/>
    <s v="Från MaMs till NMD"/>
    <n v="0"/>
    <n v="0"/>
    <n v="0"/>
    <n v="0"/>
    <n v="0"/>
    <n v="0"/>
    <n v="0"/>
    <n v="0"/>
    <n v="0"/>
    <n v="0"/>
    <n v="0.5"/>
    <n v="0.4"/>
    <n v="0"/>
    <n v="0"/>
    <n v="0"/>
    <n v="0"/>
    <n v="0"/>
    <n v="0"/>
    <n v="0"/>
    <n v="0"/>
    <n v="0"/>
    <n v="0"/>
    <n v="0"/>
  </r>
  <r>
    <x v="170"/>
    <x v="166"/>
    <m/>
    <x v="1"/>
    <s v="H16"/>
    <x v="1"/>
    <s v="V1910-15"/>
    <s v="Umeå"/>
    <m/>
    <s v="IDRH"/>
    <m/>
    <n v="100"/>
    <x v="0"/>
    <m/>
    <m/>
    <n v="2"/>
    <n v="0.25"/>
    <n v="0.85"/>
    <n v="0.21249999999999999"/>
    <n v="5740"/>
    <x v="9"/>
    <s v="TekNat"/>
    <x v="1"/>
    <n v="19473"/>
    <n v="34806"/>
    <n v="12264.525"/>
    <n v="21800"/>
    <n v="5450"/>
    <n v="17714.525000000001"/>
    <n v="0"/>
    <n v="0"/>
    <n v="0"/>
    <n v="0"/>
    <n v="0"/>
    <n v="1"/>
    <n v="0"/>
    <n v="0"/>
    <n v="0"/>
    <n v="0"/>
    <n v="0"/>
    <n v="0"/>
    <s v="Enl Ladok 190523"/>
    <m/>
    <n v="0"/>
    <n v="0"/>
    <n v="0"/>
    <n v="0"/>
    <n v="0"/>
    <n v="0"/>
    <n v="0"/>
    <n v="0"/>
    <n v="0"/>
    <n v="0"/>
    <n v="0.25"/>
    <n v="0.21249999999999999"/>
    <n v="0"/>
    <n v="0"/>
    <n v="0"/>
    <n v="0"/>
    <n v="0"/>
    <n v="0"/>
    <n v="0"/>
    <n v="0"/>
    <n v="0"/>
    <n v="0"/>
    <n v="0"/>
  </r>
  <r>
    <x v="170"/>
    <x v="166"/>
    <m/>
    <x v="1"/>
    <s v="H18"/>
    <x v="1"/>
    <s v="V1910-15"/>
    <s v="Umeå"/>
    <m/>
    <s v="MATT"/>
    <m/>
    <n v="100"/>
    <x v="0"/>
    <m/>
    <m/>
    <n v="9"/>
    <n v="1.125"/>
    <n v="0.85"/>
    <n v="0.95624999999999993"/>
    <n v="5740"/>
    <x v="9"/>
    <s v="TekNat"/>
    <x v="1"/>
    <n v="19473"/>
    <n v="34806"/>
    <n v="55190.362499999996"/>
    <n v="21800"/>
    <n v="24525"/>
    <n v="79715.362499999988"/>
    <n v="0"/>
    <n v="0"/>
    <n v="0"/>
    <n v="0"/>
    <n v="0"/>
    <n v="1"/>
    <n v="0"/>
    <n v="0"/>
    <n v="0"/>
    <n v="0"/>
    <n v="0"/>
    <n v="0"/>
    <s v="Enl Ladok 190523"/>
    <m/>
    <n v="0"/>
    <n v="0"/>
    <n v="0"/>
    <n v="0"/>
    <n v="0"/>
    <n v="0"/>
    <n v="0"/>
    <n v="0"/>
    <n v="0"/>
    <n v="0"/>
    <n v="1.125"/>
    <n v="0.95624999999999993"/>
    <n v="0"/>
    <n v="0"/>
    <n v="0"/>
    <n v="0"/>
    <n v="0"/>
    <n v="0"/>
    <n v="0"/>
    <n v="0"/>
    <n v="0"/>
    <n v="0"/>
    <n v="0"/>
  </r>
  <r>
    <x v="171"/>
    <x v="167"/>
    <m/>
    <x v="0"/>
    <m/>
    <x v="2"/>
    <m/>
    <m/>
    <s v="Campus"/>
    <m/>
    <m/>
    <n v="100"/>
    <x v="0"/>
    <m/>
    <m/>
    <n v="5"/>
    <n v="0.625"/>
    <n v="0.8"/>
    <n v="0.5"/>
    <n v="5740"/>
    <x v="9"/>
    <s v="TekNat"/>
    <x v="0"/>
    <n v="19473"/>
    <n v="34806"/>
    <n v="29573.625"/>
    <n v="21800"/>
    <n v="13625"/>
    <n v="43198.625"/>
    <n v="0"/>
    <n v="0"/>
    <n v="0"/>
    <n v="0"/>
    <n v="0"/>
    <n v="1"/>
    <n v="0"/>
    <n v="0"/>
    <n v="0"/>
    <n v="0"/>
    <n v="0"/>
    <n v="0"/>
    <s v="Äskat - sent pga flytt av kurs"/>
    <s v="Från MaMs till NMD"/>
    <n v="0"/>
    <n v="0"/>
    <n v="0"/>
    <n v="0"/>
    <n v="0"/>
    <n v="0"/>
    <n v="0"/>
    <n v="0"/>
    <n v="0"/>
    <n v="0"/>
    <n v="0.625"/>
    <n v="0.5"/>
    <n v="0"/>
    <n v="0"/>
    <n v="0"/>
    <n v="0"/>
    <n v="0"/>
    <n v="0"/>
    <n v="0"/>
    <n v="0"/>
    <n v="0"/>
    <n v="0"/>
    <n v="0"/>
  </r>
  <r>
    <x v="171"/>
    <x v="167"/>
    <m/>
    <x v="1"/>
    <s v="H16"/>
    <x v="2"/>
    <s v="H1911-15"/>
    <m/>
    <m/>
    <s v="IDRH"/>
    <m/>
    <n v="100"/>
    <x v="0"/>
    <m/>
    <m/>
    <n v="2"/>
    <n v="0.25"/>
    <n v="0.85"/>
    <n v="0.21249999999999999"/>
    <n v="5740"/>
    <x v="9"/>
    <s v="TekNat"/>
    <x v="1"/>
    <n v="19473"/>
    <n v="34806"/>
    <n v="12264.525"/>
    <n v="21800"/>
    <n v="5450"/>
    <n v="17714.525000000001"/>
    <n v="0"/>
    <n v="0"/>
    <n v="0"/>
    <n v="0"/>
    <n v="0"/>
    <n v="1"/>
    <n v="0"/>
    <n v="0"/>
    <n v="0"/>
    <n v="0"/>
    <n v="0"/>
    <n v="0"/>
    <s v="Enligt SP 190924"/>
    <m/>
    <n v="0"/>
    <n v="0"/>
    <n v="0"/>
    <n v="0"/>
    <n v="0"/>
    <n v="0"/>
    <n v="0"/>
    <n v="0"/>
    <n v="0"/>
    <n v="0"/>
    <n v="0.25"/>
    <n v="0.21249999999999999"/>
    <n v="0"/>
    <n v="0"/>
    <n v="0"/>
    <n v="0"/>
    <n v="0"/>
    <n v="0"/>
    <n v="0"/>
    <n v="0"/>
    <n v="0"/>
    <n v="0"/>
    <n v="0"/>
  </r>
  <r>
    <x v="171"/>
    <x v="167"/>
    <m/>
    <x v="1"/>
    <s v="H17"/>
    <x v="2"/>
    <s v="H1911-15"/>
    <m/>
    <m/>
    <s v="MATT"/>
    <m/>
    <n v="100"/>
    <x v="0"/>
    <m/>
    <m/>
    <n v="1"/>
    <n v="0.125"/>
    <n v="0.85"/>
    <n v="0.10625"/>
    <n v="5740"/>
    <x v="9"/>
    <s v="TekNat"/>
    <x v="1"/>
    <n v="19473"/>
    <n v="34806"/>
    <n v="6132.2624999999998"/>
    <n v="21800"/>
    <n v="2725"/>
    <n v="8857.2625000000007"/>
    <n v="0"/>
    <n v="0"/>
    <n v="0"/>
    <n v="0"/>
    <n v="0"/>
    <n v="1"/>
    <n v="0"/>
    <n v="0"/>
    <n v="0"/>
    <n v="0"/>
    <n v="0"/>
    <n v="0"/>
    <s v="Enligt SP 190924"/>
    <m/>
    <n v="0"/>
    <n v="0"/>
    <n v="0"/>
    <n v="0"/>
    <n v="0"/>
    <n v="0"/>
    <n v="0"/>
    <n v="0"/>
    <n v="0"/>
    <n v="0"/>
    <n v="0.125"/>
    <n v="0.10625"/>
    <n v="0"/>
    <n v="0"/>
    <n v="0"/>
    <n v="0"/>
    <n v="0"/>
    <n v="0"/>
    <n v="0"/>
    <n v="0"/>
    <n v="0"/>
    <n v="0"/>
    <n v="0"/>
  </r>
  <r>
    <x v="171"/>
    <x v="167"/>
    <m/>
    <x v="1"/>
    <s v="H18"/>
    <x v="2"/>
    <s v="H1911-15"/>
    <m/>
    <m/>
    <s v="MATT"/>
    <m/>
    <n v="100"/>
    <x v="0"/>
    <m/>
    <m/>
    <n v="8"/>
    <n v="1"/>
    <n v="0.85"/>
    <n v="0.85"/>
    <n v="5740"/>
    <x v="9"/>
    <s v="TekNat"/>
    <x v="1"/>
    <n v="19473"/>
    <n v="34806"/>
    <n v="49058.1"/>
    <n v="21800"/>
    <n v="21800"/>
    <n v="70858.100000000006"/>
    <n v="0"/>
    <n v="0"/>
    <n v="0"/>
    <n v="0"/>
    <n v="0"/>
    <n v="1"/>
    <n v="0"/>
    <n v="0"/>
    <n v="0"/>
    <n v="0"/>
    <n v="0"/>
    <n v="0"/>
    <s v="Enligt SP 190924"/>
    <m/>
    <n v="0"/>
    <n v="0"/>
    <n v="0"/>
    <n v="0"/>
    <n v="0"/>
    <n v="0"/>
    <n v="0"/>
    <n v="0"/>
    <n v="0"/>
    <n v="0"/>
    <n v="1"/>
    <n v="0.85"/>
    <n v="0"/>
    <n v="0"/>
    <n v="0"/>
    <n v="0"/>
    <n v="0"/>
    <n v="0"/>
    <n v="0"/>
    <n v="0"/>
    <n v="0"/>
    <n v="0"/>
    <n v="0"/>
  </r>
  <r>
    <x v="171"/>
    <x v="167"/>
    <m/>
    <x v="1"/>
    <s v="H19"/>
    <x v="2"/>
    <s v="H1911-15"/>
    <m/>
    <m/>
    <s v="MATT"/>
    <m/>
    <n v="100"/>
    <x v="0"/>
    <m/>
    <m/>
    <n v="3"/>
    <n v="0.375"/>
    <n v="0.85"/>
    <n v="0.31874999999999998"/>
    <n v="5740"/>
    <x v="9"/>
    <s v="TekNat"/>
    <x v="1"/>
    <n v="19473"/>
    <n v="34806"/>
    <n v="18396.787499999999"/>
    <n v="21800"/>
    <n v="8175"/>
    <n v="26571.787499999999"/>
    <n v="0"/>
    <n v="0"/>
    <n v="0"/>
    <n v="0"/>
    <n v="0"/>
    <n v="1"/>
    <n v="0"/>
    <n v="0"/>
    <n v="0"/>
    <n v="0"/>
    <n v="0"/>
    <n v="0"/>
    <s v="Enligt SP 190924"/>
    <m/>
    <n v="0"/>
    <n v="0"/>
    <n v="0"/>
    <n v="0"/>
    <n v="0"/>
    <n v="0"/>
    <n v="0"/>
    <n v="0"/>
    <n v="0"/>
    <n v="0"/>
    <n v="0.375"/>
    <n v="0.31874999999999998"/>
    <n v="0"/>
    <n v="0"/>
    <n v="0"/>
    <n v="0"/>
    <n v="0"/>
    <n v="0"/>
    <n v="0"/>
    <n v="0"/>
    <n v="0"/>
    <n v="0"/>
    <n v="0"/>
  </r>
  <r>
    <x v="172"/>
    <x v="168"/>
    <m/>
    <x v="0"/>
    <m/>
    <x v="2"/>
    <m/>
    <m/>
    <s v="Campus"/>
    <m/>
    <m/>
    <n v="100"/>
    <x v="0"/>
    <m/>
    <m/>
    <n v="2"/>
    <n v="0.25"/>
    <n v="0.8"/>
    <n v="0.2"/>
    <n v="5730"/>
    <x v="8"/>
    <s v="TekNat"/>
    <x v="0"/>
    <n v="19473"/>
    <n v="34806"/>
    <n v="11829.45"/>
    <n v="21800"/>
    <n v="5450"/>
    <n v="17279.45"/>
    <n v="0"/>
    <n v="0"/>
    <n v="0"/>
    <n v="0"/>
    <n v="0"/>
    <n v="1"/>
    <n v="0"/>
    <n v="0"/>
    <n v="0"/>
    <n v="0"/>
    <n v="0"/>
    <n v="0"/>
    <s v="Äskat - Beslut p43 180607"/>
    <m/>
    <n v="0"/>
    <n v="0"/>
    <n v="0"/>
    <n v="0"/>
    <n v="0"/>
    <n v="0"/>
    <n v="0"/>
    <n v="0"/>
    <n v="0"/>
    <n v="0"/>
    <n v="0.25"/>
    <n v="0.2"/>
    <n v="0"/>
    <n v="0"/>
    <n v="0"/>
    <n v="0"/>
    <n v="0"/>
    <n v="0"/>
    <n v="0"/>
    <n v="0"/>
    <n v="0"/>
    <n v="0"/>
    <n v="0"/>
  </r>
  <r>
    <x v="172"/>
    <x v="168"/>
    <m/>
    <x v="1"/>
    <s v="H16"/>
    <x v="2"/>
    <s v="H196-10"/>
    <m/>
    <m/>
    <s v="IDRH"/>
    <m/>
    <n v="100"/>
    <x v="0"/>
    <m/>
    <m/>
    <n v="2"/>
    <n v="0.25"/>
    <n v="0.85"/>
    <n v="0.21249999999999999"/>
    <n v="5730"/>
    <x v="8"/>
    <s v="TekNat"/>
    <x v="1"/>
    <n v="19473"/>
    <n v="34806"/>
    <n v="12264.525"/>
    <n v="21800"/>
    <n v="5450"/>
    <n v="17714.525000000001"/>
    <n v="0"/>
    <n v="0"/>
    <n v="0"/>
    <n v="0"/>
    <n v="0"/>
    <n v="1"/>
    <n v="0"/>
    <n v="0"/>
    <n v="0"/>
    <n v="0"/>
    <n v="0"/>
    <n v="0"/>
    <s v="Enligt SP 190924"/>
    <m/>
    <n v="0"/>
    <n v="0"/>
    <n v="0"/>
    <n v="0"/>
    <n v="0"/>
    <n v="0"/>
    <n v="0"/>
    <n v="0"/>
    <n v="0"/>
    <n v="0"/>
    <n v="0.25"/>
    <n v="0.21249999999999999"/>
    <n v="0"/>
    <n v="0"/>
    <n v="0"/>
    <n v="0"/>
    <n v="0"/>
    <n v="0"/>
    <n v="0"/>
    <n v="0"/>
    <n v="0"/>
    <n v="0"/>
    <n v="0"/>
  </r>
  <r>
    <x v="172"/>
    <x v="168"/>
    <m/>
    <x v="1"/>
    <s v="H17"/>
    <x v="2"/>
    <s v="H196-10"/>
    <m/>
    <m/>
    <s v="MATT"/>
    <m/>
    <n v="100"/>
    <x v="0"/>
    <m/>
    <m/>
    <n v="1"/>
    <n v="0.125"/>
    <n v="0.85"/>
    <n v="0.10625"/>
    <n v="5730"/>
    <x v="8"/>
    <s v="TekNat"/>
    <x v="1"/>
    <n v="19473"/>
    <n v="34806"/>
    <n v="6132.2624999999998"/>
    <n v="21800"/>
    <n v="2725"/>
    <n v="8857.2625000000007"/>
    <n v="0"/>
    <n v="0"/>
    <n v="0"/>
    <n v="0"/>
    <n v="0"/>
    <n v="1"/>
    <n v="0"/>
    <n v="0"/>
    <n v="0"/>
    <n v="0"/>
    <n v="0"/>
    <n v="0"/>
    <s v="Enligt SP 190924"/>
    <m/>
    <n v="0"/>
    <n v="0"/>
    <n v="0"/>
    <n v="0"/>
    <n v="0"/>
    <n v="0"/>
    <n v="0"/>
    <n v="0"/>
    <n v="0"/>
    <n v="0"/>
    <n v="0.125"/>
    <n v="0.10625"/>
    <n v="0"/>
    <n v="0"/>
    <n v="0"/>
    <n v="0"/>
    <n v="0"/>
    <n v="0"/>
    <n v="0"/>
    <n v="0"/>
    <n v="0"/>
    <n v="0"/>
    <n v="0"/>
  </r>
  <r>
    <x v="172"/>
    <x v="168"/>
    <m/>
    <x v="1"/>
    <s v="H18"/>
    <x v="2"/>
    <s v="H196-10"/>
    <m/>
    <m/>
    <s v="MATT"/>
    <m/>
    <n v="100"/>
    <x v="0"/>
    <m/>
    <m/>
    <n v="7"/>
    <n v="0.875"/>
    <n v="0.85"/>
    <n v="0.74375000000000002"/>
    <n v="5730"/>
    <x v="8"/>
    <s v="TekNat"/>
    <x v="1"/>
    <n v="19473"/>
    <n v="34806"/>
    <n v="42925.837500000001"/>
    <n v="21800"/>
    <n v="19075"/>
    <n v="62000.837500000001"/>
    <n v="0"/>
    <n v="0"/>
    <n v="0"/>
    <n v="0"/>
    <n v="0"/>
    <n v="1"/>
    <n v="0"/>
    <n v="0"/>
    <n v="0"/>
    <n v="0"/>
    <n v="0"/>
    <n v="0"/>
    <s v="Enligt SP 190924"/>
    <m/>
    <n v="0"/>
    <n v="0"/>
    <n v="0"/>
    <n v="0"/>
    <n v="0"/>
    <n v="0"/>
    <n v="0"/>
    <n v="0"/>
    <n v="0"/>
    <n v="0"/>
    <n v="0.875"/>
    <n v="0.74375000000000002"/>
    <n v="0"/>
    <n v="0"/>
    <n v="0"/>
    <n v="0"/>
    <n v="0"/>
    <n v="0"/>
    <n v="0"/>
    <n v="0"/>
    <n v="0"/>
    <n v="0"/>
    <n v="0"/>
  </r>
  <r>
    <x v="172"/>
    <x v="168"/>
    <m/>
    <x v="1"/>
    <s v="H19"/>
    <x v="2"/>
    <s v="H196-10"/>
    <m/>
    <m/>
    <s v="MATT"/>
    <m/>
    <n v="100"/>
    <x v="0"/>
    <m/>
    <m/>
    <n v="1"/>
    <n v="0.125"/>
    <n v="0.85"/>
    <n v="0.10625"/>
    <n v="5730"/>
    <x v="8"/>
    <s v="TekNat"/>
    <x v="1"/>
    <n v="19473"/>
    <n v="34806"/>
    <n v="6132.2624999999998"/>
    <n v="21800"/>
    <n v="2725"/>
    <n v="8857.2625000000007"/>
    <n v="0"/>
    <n v="0"/>
    <n v="0"/>
    <n v="0"/>
    <n v="0"/>
    <n v="1"/>
    <n v="0"/>
    <n v="0"/>
    <n v="0"/>
    <n v="0"/>
    <n v="0"/>
    <n v="0"/>
    <s v="Enligt SP 190924"/>
    <m/>
    <n v="0"/>
    <n v="0"/>
    <n v="0"/>
    <n v="0"/>
    <n v="0"/>
    <n v="0"/>
    <n v="0"/>
    <n v="0"/>
    <n v="0"/>
    <n v="0"/>
    <n v="0.125"/>
    <n v="0.10625"/>
    <n v="0"/>
    <n v="0"/>
    <n v="0"/>
    <n v="0"/>
    <n v="0"/>
    <n v="0"/>
    <n v="0"/>
    <n v="0"/>
    <n v="0"/>
    <n v="0"/>
    <n v="0"/>
  </r>
  <r>
    <x v="173"/>
    <x v="169"/>
    <m/>
    <x v="0"/>
    <m/>
    <x v="1"/>
    <m/>
    <m/>
    <m/>
    <m/>
    <m/>
    <n v="50"/>
    <x v="0"/>
    <m/>
    <m/>
    <n v="1"/>
    <n v="0.125"/>
    <n v="0.85"/>
    <n v="0.10625"/>
    <n v="5730"/>
    <x v="8"/>
    <s v="TekNat"/>
    <x v="0"/>
    <n v="19473"/>
    <n v="34806"/>
    <n v="6132.2624999999998"/>
    <n v="21800"/>
    <n v="2725"/>
    <n v="8857.2625000000007"/>
    <n v="0"/>
    <n v="0"/>
    <n v="0"/>
    <n v="0"/>
    <n v="0"/>
    <n v="1"/>
    <n v="0"/>
    <n v="0"/>
    <n v="0"/>
    <n v="0"/>
    <n v="0"/>
    <n v="0"/>
    <s v="Enl Ladok 190523"/>
    <m/>
    <n v="0"/>
    <n v="0"/>
    <n v="0"/>
    <n v="0"/>
    <n v="0"/>
    <n v="0"/>
    <n v="0"/>
    <n v="0"/>
    <n v="0"/>
    <n v="0"/>
    <n v="0.125"/>
    <n v="0.10625"/>
    <n v="0"/>
    <n v="0"/>
    <n v="0"/>
    <n v="0"/>
    <n v="0"/>
    <n v="0"/>
    <n v="0"/>
    <n v="0"/>
    <n v="0"/>
    <n v="0"/>
    <n v="0"/>
  </r>
  <r>
    <x v="173"/>
    <x v="169"/>
    <m/>
    <x v="0"/>
    <m/>
    <x v="2"/>
    <m/>
    <m/>
    <s v="Campus"/>
    <m/>
    <m/>
    <n v="50"/>
    <x v="0"/>
    <m/>
    <m/>
    <n v="2"/>
    <n v="0.25"/>
    <n v="0.8"/>
    <n v="0.2"/>
    <n v="5730"/>
    <x v="8"/>
    <s v="TekNat"/>
    <x v="0"/>
    <n v="19473"/>
    <n v="34806"/>
    <n v="11829.45"/>
    <n v="21800"/>
    <n v="5450"/>
    <n v="17279.45"/>
    <n v="0"/>
    <n v="0"/>
    <n v="0"/>
    <n v="0"/>
    <n v="0"/>
    <n v="1"/>
    <n v="0"/>
    <n v="0"/>
    <n v="0"/>
    <n v="0"/>
    <n v="0"/>
    <n v="0"/>
    <s v="Äskat - Beslut p43 180607"/>
    <m/>
    <n v="0"/>
    <n v="0"/>
    <n v="0"/>
    <n v="0"/>
    <n v="0"/>
    <n v="0"/>
    <n v="0"/>
    <n v="0"/>
    <n v="0"/>
    <n v="0"/>
    <n v="0.25"/>
    <n v="0.2"/>
    <n v="0"/>
    <n v="0"/>
    <n v="0"/>
    <n v="0"/>
    <n v="0"/>
    <n v="0"/>
    <n v="0"/>
    <n v="0"/>
    <n v="0"/>
    <n v="0"/>
    <n v="0"/>
  </r>
  <r>
    <x v="173"/>
    <x v="169"/>
    <m/>
    <x v="1"/>
    <s v="H17"/>
    <x v="1"/>
    <s v="V1911-20"/>
    <s v="Umeå"/>
    <m/>
    <s v="MATT"/>
    <m/>
    <n v="50"/>
    <x v="0"/>
    <m/>
    <m/>
    <n v="2"/>
    <n v="0.25"/>
    <n v="0.85"/>
    <n v="0.21249999999999999"/>
    <n v="5730"/>
    <x v="8"/>
    <s v="TekNat"/>
    <x v="1"/>
    <n v="19473"/>
    <n v="34806"/>
    <n v="12264.525"/>
    <n v="21800"/>
    <n v="5450"/>
    <n v="17714.525000000001"/>
    <n v="0"/>
    <n v="0"/>
    <n v="0"/>
    <n v="0"/>
    <n v="0"/>
    <n v="1"/>
    <n v="0"/>
    <n v="0"/>
    <n v="0"/>
    <n v="0"/>
    <n v="0"/>
    <n v="0"/>
    <s v="Enl Ladok 190523"/>
    <m/>
    <n v="0"/>
    <n v="0"/>
    <n v="0"/>
    <n v="0"/>
    <n v="0"/>
    <n v="0"/>
    <n v="0"/>
    <n v="0"/>
    <n v="0"/>
    <n v="0"/>
    <n v="0.25"/>
    <n v="0.21249999999999999"/>
    <n v="0"/>
    <n v="0"/>
    <n v="0"/>
    <n v="0"/>
    <n v="0"/>
    <n v="0"/>
    <n v="0"/>
    <n v="0"/>
    <n v="0"/>
    <n v="0"/>
    <n v="0"/>
  </r>
  <r>
    <x v="174"/>
    <x v="170"/>
    <m/>
    <x v="0"/>
    <m/>
    <x v="1"/>
    <m/>
    <m/>
    <s v="Distans"/>
    <m/>
    <m/>
    <n v="50"/>
    <x v="1"/>
    <m/>
    <m/>
    <n v="4"/>
    <n v="1"/>
    <n v="0.8"/>
    <n v="0.8"/>
    <n v="1650"/>
    <x v="11"/>
    <s v="Hum"/>
    <x v="0"/>
    <n v="30802"/>
    <n v="63797"/>
    <n v="81839.600000000006"/>
    <n v="70100"/>
    <n v="70100"/>
    <n v="151939.6"/>
    <n v="0"/>
    <n v="0"/>
    <n v="0"/>
    <n v="0"/>
    <n v="1"/>
    <n v="0"/>
    <n v="0"/>
    <n v="0"/>
    <n v="0"/>
    <n v="0"/>
    <n v="0"/>
    <n v="0"/>
    <s v="Enl Ladok 190515"/>
    <s v="Äskat - Beslut p43 180607"/>
    <n v="0"/>
    <n v="0"/>
    <n v="0"/>
    <n v="0"/>
    <n v="0"/>
    <n v="0"/>
    <n v="0"/>
    <n v="0"/>
    <n v="1"/>
    <n v="0.8"/>
    <n v="0"/>
    <n v="0"/>
    <n v="0"/>
    <n v="0"/>
    <n v="0"/>
    <n v="0"/>
    <n v="0"/>
    <n v="0"/>
    <n v="0"/>
    <n v="0"/>
    <n v="0"/>
    <n v="0"/>
    <n v="0"/>
  </r>
  <r>
    <x v="174"/>
    <x v="170"/>
    <m/>
    <x v="0"/>
    <m/>
    <x v="2"/>
    <m/>
    <m/>
    <s v="Distans"/>
    <m/>
    <m/>
    <n v="50"/>
    <x v="1"/>
    <m/>
    <m/>
    <n v="10"/>
    <n v="2.5"/>
    <n v="0.8"/>
    <n v="2"/>
    <n v="1650"/>
    <x v="11"/>
    <s v="Hum"/>
    <x v="0"/>
    <n v="30802"/>
    <n v="63797"/>
    <n v="204599"/>
    <n v="70100"/>
    <n v="175250"/>
    <n v="379849"/>
    <n v="0"/>
    <n v="0"/>
    <n v="0"/>
    <n v="0"/>
    <n v="1"/>
    <n v="0"/>
    <n v="0"/>
    <n v="0"/>
    <n v="0"/>
    <n v="0"/>
    <n v="0"/>
    <n v="0"/>
    <s v="Äskat - Beslut p43 180607"/>
    <m/>
    <n v="0"/>
    <n v="0"/>
    <n v="0"/>
    <n v="0"/>
    <n v="0"/>
    <n v="0"/>
    <n v="0"/>
    <n v="0"/>
    <n v="2.5"/>
    <n v="2"/>
    <n v="0"/>
    <n v="0"/>
    <n v="0"/>
    <n v="0"/>
    <n v="0"/>
    <n v="0"/>
    <n v="0"/>
    <n v="0"/>
    <n v="0"/>
    <n v="0"/>
    <n v="0"/>
    <n v="0"/>
    <n v="0"/>
  </r>
  <r>
    <x v="175"/>
    <x v="171"/>
    <m/>
    <x v="0"/>
    <m/>
    <x v="2"/>
    <m/>
    <m/>
    <s v="Distans"/>
    <m/>
    <m/>
    <n v="50"/>
    <x v="1"/>
    <m/>
    <m/>
    <n v="10"/>
    <n v="2.5"/>
    <n v="0.8"/>
    <n v="2"/>
    <n v="1650"/>
    <x v="11"/>
    <s v="Hum"/>
    <x v="0"/>
    <n v="30802"/>
    <n v="63797"/>
    <n v="204599"/>
    <n v="70100"/>
    <n v="175250"/>
    <n v="379849"/>
    <n v="0"/>
    <n v="0"/>
    <n v="0"/>
    <n v="0"/>
    <n v="1"/>
    <n v="0"/>
    <n v="0"/>
    <n v="0"/>
    <n v="0"/>
    <n v="0"/>
    <n v="0"/>
    <n v="0"/>
    <s v="Äskat - Beslut p43 180607"/>
    <m/>
    <n v="0"/>
    <n v="0"/>
    <n v="0"/>
    <n v="0"/>
    <n v="0"/>
    <n v="0"/>
    <n v="0"/>
    <n v="0"/>
    <n v="2.5"/>
    <n v="2"/>
    <n v="0"/>
    <n v="0"/>
    <n v="0"/>
    <n v="0"/>
    <n v="0"/>
    <n v="0"/>
    <n v="0"/>
    <n v="0"/>
    <n v="0"/>
    <n v="0"/>
    <n v="0"/>
    <n v="0"/>
    <n v="0"/>
  </r>
  <r>
    <x v="176"/>
    <x v="172"/>
    <m/>
    <x v="0"/>
    <m/>
    <x v="1"/>
    <m/>
    <m/>
    <s v="Distans"/>
    <m/>
    <m/>
    <n v="50"/>
    <x v="1"/>
    <m/>
    <m/>
    <n v="8"/>
    <n v="2"/>
    <n v="0.8"/>
    <n v="1.6"/>
    <n v="1650"/>
    <x v="11"/>
    <s v="Hum"/>
    <x v="0"/>
    <n v="30802"/>
    <n v="63797"/>
    <n v="163679.20000000001"/>
    <n v="70100"/>
    <n v="140200"/>
    <n v="303879.2"/>
    <n v="0"/>
    <n v="0"/>
    <n v="0"/>
    <n v="0"/>
    <n v="1"/>
    <n v="0"/>
    <n v="0"/>
    <n v="0"/>
    <n v="0"/>
    <n v="0"/>
    <n v="0"/>
    <n v="0"/>
    <s v="Enl Ladok 190515"/>
    <s v="Äskat - Beslut p43 180607"/>
    <n v="0"/>
    <n v="0"/>
    <n v="0"/>
    <n v="0"/>
    <n v="0"/>
    <n v="0"/>
    <n v="0"/>
    <n v="0"/>
    <n v="2"/>
    <n v="1.6"/>
    <n v="0"/>
    <n v="0"/>
    <n v="0"/>
    <n v="0"/>
    <n v="0"/>
    <n v="0"/>
    <n v="0"/>
    <n v="0"/>
    <n v="0"/>
    <n v="0"/>
    <n v="0"/>
    <n v="0"/>
    <n v="0"/>
  </r>
  <r>
    <x v="177"/>
    <x v="173"/>
    <m/>
    <x v="1"/>
    <s v="H18"/>
    <x v="1"/>
    <s v="V191-20"/>
    <s v="Umeå"/>
    <m/>
    <s v="MUSI"/>
    <m/>
    <n v="100"/>
    <x v="7"/>
    <m/>
    <m/>
    <n v="5"/>
    <n v="2.5"/>
    <n v="0.85"/>
    <n v="2.125"/>
    <n v="1650"/>
    <x v="11"/>
    <s v="Hum"/>
    <x v="1"/>
    <n v="30802"/>
    <n v="63797"/>
    <n v="212573.625"/>
    <n v="70100"/>
    <n v="175250"/>
    <n v="387823.625"/>
    <n v="0"/>
    <n v="0"/>
    <n v="0"/>
    <n v="0"/>
    <n v="1"/>
    <n v="0"/>
    <n v="0"/>
    <n v="0"/>
    <n v="0"/>
    <n v="0"/>
    <n v="0"/>
    <n v="0"/>
    <s v="Enl Ladok 190318"/>
    <m/>
    <n v="0"/>
    <n v="0"/>
    <n v="0"/>
    <n v="0"/>
    <n v="0"/>
    <n v="0"/>
    <n v="0"/>
    <n v="0"/>
    <n v="2.5"/>
    <n v="2.125"/>
    <n v="0"/>
    <n v="0"/>
    <n v="0"/>
    <n v="0"/>
    <n v="0"/>
    <n v="0"/>
    <n v="0"/>
    <n v="0"/>
    <n v="0"/>
    <n v="0"/>
    <n v="0"/>
    <n v="0"/>
    <n v="0"/>
  </r>
  <r>
    <x v="178"/>
    <x v="174"/>
    <m/>
    <x v="1"/>
    <s v="H17"/>
    <x v="1"/>
    <s v="V191-20"/>
    <s v="Umeå"/>
    <m/>
    <s v="MUSI"/>
    <m/>
    <n v="100"/>
    <x v="7"/>
    <m/>
    <m/>
    <n v="3"/>
    <n v="1.5"/>
    <n v="0.85"/>
    <n v="1.2749999999999999"/>
    <n v="1650"/>
    <x v="11"/>
    <s v="Hum"/>
    <x v="1"/>
    <n v="30802"/>
    <n v="63797"/>
    <n v="127544.17499999999"/>
    <n v="70100"/>
    <n v="105150"/>
    <n v="232694.17499999999"/>
    <n v="0"/>
    <n v="0"/>
    <n v="0"/>
    <n v="0"/>
    <n v="1"/>
    <n v="0"/>
    <n v="0"/>
    <n v="0"/>
    <n v="0"/>
    <n v="0"/>
    <n v="0"/>
    <n v="0"/>
    <s v="Enl Ladok 190318"/>
    <m/>
    <n v="0"/>
    <n v="0"/>
    <n v="0"/>
    <n v="0"/>
    <n v="0"/>
    <n v="0"/>
    <n v="0"/>
    <n v="0"/>
    <n v="1.5"/>
    <n v="1.2749999999999999"/>
    <n v="0"/>
    <n v="0"/>
    <n v="0"/>
    <n v="0"/>
    <n v="0"/>
    <n v="0"/>
    <n v="0"/>
    <n v="0"/>
    <n v="0"/>
    <n v="0"/>
    <n v="0"/>
    <n v="0"/>
    <n v="0"/>
  </r>
  <r>
    <x v="179"/>
    <x v="175"/>
    <m/>
    <x v="0"/>
    <m/>
    <x v="2"/>
    <m/>
    <m/>
    <s v="Distans"/>
    <m/>
    <m/>
    <n v="50"/>
    <x v="1"/>
    <m/>
    <m/>
    <n v="10"/>
    <n v="2.5"/>
    <n v="0.8"/>
    <n v="2"/>
    <n v="1650"/>
    <x v="11"/>
    <s v="Hum"/>
    <x v="0"/>
    <n v="30802"/>
    <n v="63797"/>
    <n v="204599"/>
    <n v="70100"/>
    <n v="175250"/>
    <n v="379849"/>
    <n v="0"/>
    <n v="0"/>
    <n v="0"/>
    <n v="0"/>
    <n v="1"/>
    <n v="0"/>
    <n v="0"/>
    <n v="0"/>
    <n v="0"/>
    <n v="0"/>
    <n v="0"/>
    <n v="0"/>
    <s v="Äskat - Beslut p43 180607"/>
    <m/>
    <n v="0"/>
    <n v="0"/>
    <n v="0"/>
    <n v="0"/>
    <n v="0"/>
    <n v="0"/>
    <n v="0"/>
    <n v="0"/>
    <n v="2.5"/>
    <n v="2"/>
    <n v="0"/>
    <n v="0"/>
    <n v="0"/>
    <n v="0"/>
    <n v="0"/>
    <n v="0"/>
    <n v="0"/>
    <n v="0"/>
    <n v="0"/>
    <n v="0"/>
    <n v="0"/>
    <n v="0"/>
    <n v="0"/>
  </r>
  <r>
    <x v="180"/>
    <x v="176"/>
    <m/>
    <x v="0"/>
    <m/>
    <x v="1"/>
    <m/>
    <m/>
    <s v="Distans"/>
    <m/>
    <m/>
    <n v="50"/>
    <x v="1"/>
    <m/>
    <m/>
    <n v="5"/>
    <n v="1.25"/>
    <n v="0.8"/>
    <n v="1"/>
    <n v="1650"/>
    <x v="11"/>
    <s v="Hum"/>
    <x v="0"/>
    <n v="30802"/>
    <n v="63797"/>
    <n v="102299.5"/>
    <n v="70100"/>
    <n v="87625"/>
    <n v="189924.5"/>
    <n v="0"/>
    <n v="0"/>
    <n v="0"/>
    <n v="0"/>
    <n v="1"/>
    <n v="0"/>
    <n v="0"/>
    <n v="0"/>
    <n v="0"/>
    <n v="0"/>
    <n v="0"/>
    <n v="0"/>
    <s v="Enl Ladok 190318"/>
    <s v="Äskat - Beslut p43 180607"/>
    <n v="0"/>
    <n v="0"/>
    <n v="0"/>
    <n v="0"/>
    <n v="0"/>
    <n v="0"/>
    <n v="0"/>
    <n v="0"/>
    <n v="1.25"/>
    <n v="1"/>
    <n v="0"/>
    <n v="0"/>
    <n v="0"/>
    <n v="0"/>
    <n v="0"/>
    <n v="0"/>
    <n v="0"/>
    <n v="0"/>
    <n v="0"/>
    <n v="0"/>
    <n v="0"/>
    <n v="0"/>
    <n v="0"/>
  </r>
  <r>
    <x v="181"/>
    <x v="177"/>
    <m/>
    <x v="0"/>
    <m/>
    <x v="1"/>
    <m/>
    <m/>
    <s v="Campus"/>
    <m/>
    <m/>
    <n v="100"/>
    <x v="7"/>
    <m/>
    <m/>
    <n v="0"/>
    <n v="0"/>
    <n v="0.8"/>
    <n v="0"/>
    <n v="1650"/>
    <x v="11"/>
    <s v="Hum"/>
    <x v="0"/>
    <n v="30802"/>
    <n v="63797"/>
    <n v="0"/>
    <n v="70100"/>
    <n v="0"/>
    <n v="0"/>
    <n v="0"/>
    <n v="0"/>
    <n v="0"/>
    <n v="0"/>
    <n v="1"/>
    <n v="0"/>
    <n v="0"/>
    <n v="0"/>
    <n v="0"/>
    <n v="0"/>
    <n v="0"/>
    <n v="0"/>
    <s v="Äskat - Beslut p43 180607"/>
    <m/>
    <n v="0"/>
    <n v="0"/>
    <n v="0"/>
    <n v="0"/>
    <n v="0"/>
    <n v="0"/>
    <n v="0"/>
    <n v="0"/>
    <n v="0"/>
    <n v="0"/>
    <n v="0"/>
    <n v="0"/>
    <n v="0"/>
    <n v="0"/>
    <n v="0"/>
    <n v="0"/>
    <n v="0"/>
    <n v="0"/>
    <n v="0"/>
    <n v="0"/>
    <n v="0"/>
    <n v="0"/>
    <n v="0"/>
  </r>
  <r>
    <x v="182"/>
    <x v="178"/>
    <m/>
    <x v="0"/>
    <m/>
    <x v="2"/>
    <m/>
    <m/>
    <s v="Campus"/>
    <m/>
    <m/>
    <n v="100"/>
    <x v="7"/>
    <m/>
    <m/>
    <n v="4"/>
    <n v="2"/>
    <n v="0.8"/>
    <n v="1.6"/>
    <n v="1650"/>
    <x v="11"/>
    <s v="Hum"/>
    <x v="0"/>
    <n v="30802"/>
    <n v="63797"/>
    <n v="163679.20000000001"/>
    <n v="70100"/>
    <n v="140200"/>
    <n v="303879.2"/>
    <n v="0"/>
    <n v="0"/>
    <n v="0"/>
    <n v="0"/>
    <n v="1"/>
    <n v="0"/>
    <n v="0"/>
    <n v="0"/>
    <n v="0"/>
    <n v="0"/>
    <n v="0"/>
    <n v="0"/>
    <s v="Äskat - Beslut p43 180607"/>
    <m/>
    <n v="0"/>
    <n v="0"/>
    <n v="0"/>
    <n v="0"/>
    <n v="0"/>
    <n v="0"/>
    <n v="0"/>
    <n v="0"/>
    <n v="2"/>
    <n v="1.6"/>
    <n v="0"/>
    <n v="0"/>
    <n v="0"/>
    <n v="0"/>
    <n v="0"/>
    <n v="0"/>
    <n v="0"/>
    <n v="0"/>
    <n v="0"/>
    <n v="0"/>
    <n v="0"/>
    <n v="0"/>
    <n v="0"/>
  </r>
  <r>
    <x v="183"/>
    <x v="179"/>
    <m/>
    <x v="0"/>
    <m/>
    <x v="1"/>
    <m/>
    <m/>
    <s v="Campus"/>
    <m/>
    <m/>
    <n v="100"/>
    <x v="7"/>
    <m/>
    <m/>
    <n v="0"/>
    <n v="0"/>
    <n v="0.8"/>
    <n v="0"/>
    <n v="1650"/>
    <x v="11"/>
    <s v="Hum"/>
    <x v="0"/>
    <n v="30802"/>
    <n v="63797"/>
    <n v="0"/>
    <n v="70100"/>
    <n v="0"/>
    <n v="0"/>
    <n v="0"/>
    <n v="0"/>
    <n v="0"/>
    <n v="0"/>
    <n v="1"/>
    <n v="0"/>
    <n v="0"/>
    <n v="0"/>
    <n v="0"/>
    <n v="0"/>
    <n v="0"/>
    <n v="0"/>
    <s v="Äskat - Beslut p43 180607"/>
    <m/>
    <n v="0"/>
    <n v="0"/>
    <n v="0"/>
    <n v="0"/>
    <n v="0"/>
    <n v="0"/>
    <n v="0"/>
    <n v="0"/>
    <n v="0"/>
    <n v="0"/>
    <n v="0"/>
    <n v="0"/>
    <n v="0"/>
    <n v="0"/>
    <n v="0"/>
    <n v="0"/>
    <n v="0"/>
    <n v="0"/>
    <n v="0"/>
    <n v="0"/>
    <n v="0"/>
    <n v="0"/>
    <n v="0"/>
  </r>
  <r>
    <x v="184"/>
    <x v="180"/>
    <m/>
    <x v="1"/>
    <s v="H15"/>
    <x v="1"/>
    <s v="V191-20"/>
    <s v="Umeå"/>
    <m/>
    <s v="MUSI"/>
    <m/>
    <n v="100"/>
    <x v="7"/>
    <m/>
    <m/>
    <n v="2"/>
    <n v="1"/>
    <n v="0.85"/>
    <n v="0.85"/>
    <n v="1650"/>
    <x v="11"/>
    <s v="Hum"/>
    <x v="1"/>
    <n v="30802"/>
    <n v="63797"/>
    <n v="85029.45"/>
    <n v="70100"/>
    <n v="70100"/>
    <n v="155129.45000000001"/>
    <n v="0"/>
    <n v="0"/>
    <n v="0"/>
    <n v="0"/>
    <n v="1"/>
    <n v="0"/>
    <n v="0"/>
    <n v="0"/>
    <n v="0"/>
    <n v="0"/>
    <n v="0"/>
    <n v="0"/>
    <s v="Enl Ladok 190318"/>
    <m/>
    <n v="0"/>
    <n v="0"/>
    <n v="0"/>
    <n v="0"/>
    <n v="0"/>
    <n v="0"/>
    <n v="0"/>
    <n v="0"/>
    <n v="1"/>
    <n v="0.85"/>
    <n v="0"/>
    <n v="0"/>
    <n v="0"/>
    <n v="0"/>
    <n v="0"/>
    <n v="0"/>
    <n v="0"/>
    <n v="0"/>
    <n v="0"/>
    <n v="0"/>
    <n v="0"/>
    <n v="0"/>
    <n v="0"/>
  </r>
  <r>
    <x v="184"/>
    <x v="180"/>
    <m/>
    <x v="1"/>
    <s v="H16"/>
    <x v="1"/>
    <s v="V191-20"/>
    <s v="Umeå"/>
    <m/>
    <s v="MUSI"/>
    <m/>
    <n v="100"/>
    <x v="7"/>
    <m/>
    <m/>
    <n v="2"/>
    <n v="1"/>
    <n v="0.85"/>
    <n v="0.85"/>
    <n v="1650"/>
    <x v="11"/>
    <s v="Hum"/>
    <x v="1"/>
    <n v="30802"/>
    <n v="63797"/>
    <n v="85029.45"/>
    <n v="70100"/>
    <n v="70100"/>
    <n v="155129.45000000001"/>
    <n v="0"/>
    <n v="0"/>
    <n v="0"/>
    <n v="0"/>
    <n v="1"/>
    <n v="0"/>
    <n v="0"/>
    <n v="0"/>
    <n v="0"/>
    <n v="0"/>
    <n v="0"/>
    <n v="0"/>
    <s v="Enl Ladok 190318"/>
    <m/>
    <n v="0"/>
    <n v="0"/>
    <n v="0"/>
    <n v="0"/>
    <n v="0"/>
    <n v="0"/>
    <n v="0"/>
    <n v="0"/>
    <n v="1"/>
    <n v="0.85"/>
    <n v="0"/>
    <n v="0"/>
    <n v="0"/>
    <n v="0"/>
    <n v="0"/>
    <n v="0"/>
    <n v="0"/>
    <n v="0"/>
    <n v="0"/>
    <n v="0"/>
    <n v="0"/>
    <n v="0"/>
    <n v="0"/>
  </r>
  <r>
    <x v="184"/>
    <x v="180"/>
    <m/>
    <x v="1"/>
    <s v="H17"/>
    <x v="1"/>
    <s v="V191-20"/>
    <s v="Umeå"/>
    <m/>
    <s v="MUSI"/>
    <m/>
    <n v="100"/>
    <x v="7"/>
    <m/>
    <m/>
    <n v="1"/>
    <n v="0.5"/>
    <n v="0.85"/>
    <n v="0.42499999999999999"/>
    <n v="1650"/>
    <x v="11"/>
    <s v="Hum"/>
    <x v="1"/>
    <n v="30802"/>
    <n v="63797"/>
    <n v="42514.724999999999"/>
    <n v="70100"/>
    <n v="35050"/>
    <n v="77564.725000000006"/>
    <n v="0"/>
    <n v="0"/>
    <n v="0"/>
    <n v="0"/>
    <n v="1"/>
    <n v="0"/>
    <n v="0"/>
    <n v="0"/>
    <n v="0"/>
    <n v="0"/>
    <n v="0"/>
    <n v="0"/>
    <s v="Enl Ladok 190318"/>
    <m/>
    <n v="0"/>
    <n v="0"/>
    <n v="0"/>
    <n v="0"/>
    <n v="0"/>
    <n v="0"/>
    <n v="0"/>
    <n v="0"/>
    <n v="0.5"/>
    <n v="0.42499999999999999"/>
    <n v="0"/>
    <n v="0"/>
    <n v="0"/>
    <n v="0"/>
    <n v="0"/>
    <n v="0"/>
    <n v="0"/>
    <n v="0"/>
    <n v="0"/>
    <n v="0"/>
    <n v="0"/>
    <n v="0"/>
    <n v="0"/>
  </r>
  <r>
    <x v="185"/>
    <x v="181"/>
    <m/>
    <x v="1"/>
    <s v="H18"/>
    <x v="2"/>
    <s v="H191-20"/>
    <m/>
    <m/>
    <s v="MUSI"/>
    <m/>
    <n v="100"/>
    <x v="7"/>
    <m/>
    <m/>
    <n v="5"/>
    <n v="2.5"/>
    <n v="0.85"/>
    <n v="2.125"/>
    <n v="1650"/>
    <x v="11"/>
    <s v="Hum"/>
    <x v="1"/>
    <n v="30802"/>
    <n v="63797"/>
    <n v="212573.625"/>
    <n v="70100"/>
    <n v="175250"/>
    <n v="387823.625"/>
    <n v="0"/>
    <n v="0"/>
    <n v="0"/>
    <n v="0"/>
    <n v="1"/>
    <n v="0"/>
    <n v="0"/>
    <n v="0"/>
    <n v="0"/>
    <n v="0"/>
    <n v="0"/>
    <n v="0"/>
    <s v="Enligt SP 190924"/>
    <m/>
    <n v="0"/>
    <n v="0"/>
    <n v="0"/>
    <n v="0"/>
    <n v="0"/>
    <n v="0"/>
    <n v="0"/>
    <n v="0"/>
    <n v="2.5"/>
    <n v="2.125"/>
    <n v="0"/>
    <n v="0"/>
    <n v="0"/>
    <n v="0"/>
    <n v="0"/>
    <n v="0"/>
    <n v="0"/>
    <n v="0"/>
    <n v="0"/>
    <n v="0"/>
    <n v="0"/>
    <n v="0"/>
    <n v="0"/>
  </r>
  <r>
    <x v="186"/>
    <x v="182"/>
    <m/>
    <x v="1"/>
    <s v="H15"/>
    <x v="2"/>
    <s v="H191-20"/>
    <m/>
    <m/>
    <s v="MUSI"/>
    <m/>
    <n v="100"/>
    <x v="7"/>
    <m/>
    <m/>
    <n v="2"/>
    <n v="1"/>
    <n v="0.85"/>
    <n v="0.85"/>
    <n v="1650"/>
    <x v="11"/>
    <s v="Hum"/>
    <x v="1"/>
    <n v="30802"/>
    <n v="63797"/>
    <n v="85029.45"/>
    <n v="70100"/>
    <n v="70100"/>
    <n v="155129.45000000001"/>
    <n v="0"/>
    <n v="0"/>
    <n v="0"/>
    <n v="0"/>
    <n v="1"/>
    <n v="0"/>
    <n v="0"/>
    <n v="0"/>
    <n v="0"/>
    <n v="0"/>
    <n v="0"/>
    <n v="0"/>
    <s v="Enligt SP 190924"/>
    <m/>
    <n v="0"/>
    <n v="0"/>
    <n v="0"/>
    <n v="0"/>
    <n v="0"/>
    <n v="0"/>
    <n v="0"/>
    <n v="0"/>
    <n v="1"/>
    <n v="0.85"/>
    <n v="0"/>
    <n v="0"/>
    <n v="0"/>
    <n v="0"/>
    <n v="0"/>
    <n v="0"/>
    <n v="0"/>
    <n v="0"/>
    <n v="0"/>
    <n v="0"/>
    <n v="0"/>
    <n v="0"/>
    <n v="0"/>
  </r>
  <r>
    <x v="186"/>
    <x v="182"/>
    <m/>
    <x v="1"/>
    <s v="H16"/>
    <x v="2"/>
    <s v="H191-20"/>
    <m/>
    <m/>
    <s v="MUSI"/>
    <m/>
    <n v="100"/>
    <x v="7"/>
    <m/>
    <m/>
    <n v="2"/>
    <n v="1"/>
    <n v="0.85"/>
    <n v="0.85"/>
    <n v="1650"/>
    <x v="11"/>
    <s v="Hum"/>
    <x v="1"/>
    <n v="30802"/>
    <n v="63797"/>
    <n v="85029.45"/>
    <n v="70100"/>
    <n v="70100"/>
    <n v="155129.45000000001"/>
    <n v="0"/>
    <n v="0"/>
    <n v="0"/>
    <n v="0"/>
    <n v="1"/>
    <n v="0"/>
    <n v="0"/>
    <n v="0"/>
    <n v="0"/>
    <n v="0"/>
    <n v="0"/>
    <n v="0"/>
    <s v="Enligt SP 190924"/>
    <m/>
    <n v="0"/>
    <n v="0"/>
    <n v="0"/>
    <n v="0"/>
    <n v="0"/>
    <n v="0"/>
    <n v="0"/>
    <n v="0"/>
    <n v="1"/>
    <n v="0.85"/>
    <n v="0"/>
    <n v="0"/>
    <n v="0"/>
    <n v="0"/>
    <n v="0"/>
    <n v="0"/>
    <n v="0"/>
    <n v="0"/>
    <n v="0"/>
    <n v="0"/>
    <n v="0"/>
    <n v="0"/>
    <n v="0"/>
  </r>
  <r>
    <x v="186"/>
    <x v="182"/>
    <m/>
    <x v="1"/>
    <s v="H17"/>
    <x v="2"/>
    <s v="H191-20"/>
    <m/>
    <m/>
    <s v="MUSI"/>
    <m/>
    <n v="100"/>
    <x v="7"/>
    <m/>
    <m/>
    <n v="1"/>
    <n v="0.5"/>
    <n v="0.85"/>
    <n v="0.42499999999999999"/>
    <n v="1650"/>
    <x v="11"/>
    <s v="Hum"/>
    <x v="1"/>
    <n v="30802"/>
    <n v="63797"/>
    <n v="42514.724999999999"/>
    <n v="70100"/>
    <n v="35050"/>
    <n v="77564.725000000006"/>
    <n v="0"/>
    <n v="0"/>
    <n v="0"/>
    <n v="0"/>
    <n v="1"/>
    <n v="0"/>
    <n v="0"/>
    <n v="0"/>
    <n v="0"/>
    <n v="0"/>
    <n v="0"/>
    <n v="0"/>
    <s v="Enligt SP 190924"/>
    <m/>
    <n v="0"/>
    <n v="0"/>
    <n v="0"/>
    <n v="0"/>
    <n v="0"/>
    <n v="0"/>
    <n v="0"/>
    <n v="0"/>
    <n v="0.5"/>
    <n v="0.42499999999999999"/>
    <n v="0"/>
    <n v="0"/>
    <n v="0"/>
    <n v="0"/>
    <n v="0"/>
    <n v="0"/>
    <n v="0"/>
    <n v="0"/>
    <n v="0"/>
    <n v="0"/>
    <n v="0"/>
    <n v="0"/>
    <n v="0"/>
  </r>
  <r>
    <x v="187"/>
    <x v="183"/>
    <m/>
    <x v="10"/>
    <s v="H17"/>
    <x v="1"/>
    <s v="V1916-20"/>
    <s v="Umeå"/>
    <s v="DIST"/>
    <m/>
    <m/>
    <n v="100"/>
    <x v="0"/>
    <m/>
    <m/>
    <n v="11"/>
    <n v="1.375"/>
    <n v="0.85"/>
    <n v="1.16875"/>
    <n v="2271"/>
    <x v="15"/>
    <s v="Sam"/>
    <x v="10"/>
    <n v="18405"/>
    <n v="15773"/>
    <n v="43741.568749999999"/>
    <n v="5800"/>
    <n v="7975"/>
    <n v="51716.568749999999"/>
    <n v="0"/>
    <n v="0"/>
    <n v="0"/>
    <n v="0"/>
    <n v="0"/>
    <n v="0"/>
    <n v="1"/>
    <n v="0"/>
    <n v="0"/>
    <n v="0"/>
    <n v="0"/>
    <n v="0"/>
    <s v="Enl Ladok 190523"/>
    <m/>
    <n v="0"/>
    <n v="0"/>
    <n v="0"/>
    <n v="0"/>
    <n v="0"/>
    <n v="0"/>
    <n v="0"/>
    <n v="0"/>
    <n v="0"/>
    <n v="0"/>
    <n v="0"/>
    <n v="0"/>
    <n v="1.375"/>
    <n v="1.16875"/>
    <n v="0"/>
    <n v="0"/>
    <n v="0"/>
    <n v="0"/>
    <n v="0"/>
    <n v="0"/>
    <n v="0"/>
    <n v="0"/>
    <n v="0"/>
  </r>
  <r>
    <x v="187"/>
    <x v="183"/>
    <m/>
    <x v="10"/>
    <s v="H17"/>
    <x v="1"/>
    <s v="V1916-20"/>
    <s v="Umeå"/>
    <s v="REGU"/>
    <m/>
    <m/>
    <n v="100"/>
    <x v="0"/>
    <m/>
    <m/>
    <n v="18"/>
    <n v="2.25"/>
    <n v="0.85"/>
    <n v="1.9124999999999999"/>
    <n v="2271"/>
    <x v="15"/>
    <s v="Sam"/>
    <x v="10"/>
    <n v="18405"/>
    <n v="15773"/>
    <n v="71577.112500000003"/>
    <n v="5800"/>
    <n v="13050"/>
    <n v="84627.112500000003"/>
    <n v="0"/>
    <n v="0"/>
    <n v="0"/>
    <n v="0"/>
    <n v="0"/>
    <n v="0"/>
    <n v="1"/>
    <n v="0"/>
    <n v="0"/>
    <n v="0"/>
    <n v="0"/>
    <n v="0"/>
    <s v="Enl Ladok 190523"/>
    <m/>
    <n v="0"/>
    <n v="0"/>
    <n v="0"/>
    <n v="0"/>
    <n v="0"/>
    <n v="0"/>
    <n v="0"/>
    <n v="0"/>
    <n v="0"/>
    <n v="0"/>
    <n v="0"/>
    <n v="0"/>
    <n v="2.25"/>
    <n v="1.9124999999999999"/>
    <n v="0"/>
    <n v="0"/>
    <n v="0"/>
    <n v="0"/>
    <n v="0"/>
    <n v="0"/>
    <n v="0"/>
    <n v="0"/>
    <n v="0"/>
  </r>
  <r>
    <x v="188"/>
    <x v="184"/>
    <m/>
    <x v="1"/>
    <s v="H16"/>
    <x v="2"/>
    <s v="H1913-16"/>
    <m/>
    <m/>
    <s v="MATT"/>
    <m/>
    <n v="100"/>
    <x v="2"/>
    <m/>
    <m/>
    <n v="1"/>
    <n v="0.1"/>
    <n v="0.85"/>
    <n v="8.5000000000000006E-2"/>
    <n v="5740"/>
    <x v="9"/>
    <s v="TekNat"/>
    <x v="1"/>
    <n v="21634"/>
    <n v="26986"/>
    <n v="4457.21"/>
    <n v="3400"/>
    <n v="340"/>
    <n v="4797.21"/>
    <n v="0"/>
    <n v="0"/>
    <n v="0"/>
    <n v="0"/>
    <n v="0"/>
    <n v="0"/>
    <n v="0"/>
    <n v="0"/>
    <n v="1"/>
    <n v="0"/>
    <n v="0"/>
    <n v="0"/>
    <s v="Enligt SP 190924"/>
    <m/>
    <n v="0"/>
    <n v="0"/>
    <n v="0"/>
    <n v="0"/>
    <n v="0"/>
    <n v="0"/>
    <n v="0"/>
    <n v="0"/>
    <n v="0"/>
    <n v="0"/>
    <n v="0"/>
    <n v="0"/>
    <n v="0"/>
    <n v="0"/>
    <n v="0"/>
    <n v="0"/>
    <n v="0.1"/>
    <n v="8.5000000000000006E-2"/>
    <n v="0"/>
    <n v="0"/>
    <n v="0"/>
    <n v="0"/>
    <n v="0"/>
  </r>
  <r>
    <x v="189"/>
    <x v="185"/>
    <m/>
    <x v="1"/>
    <s v="H14"/>
    <x v="1"/>
    <s v="H1816-20:V191-15"/>
    <s v="Umeå"/>
    <m/>
    <s v="ENGS"/>
    <m/>
    <n v="100"/>
    <x v="6"/>
    <m/>
    <m/>
    <n v="1"/>
    <n v="0.375"/>
    <n v="0.85"/>
    <n v="0.31874999999999998"/>
    <n v="5740"/>
    <x v="9"/>
    <s v="TekNat"/>
    <x v="1"/>
    <n v="19473"/>
    <n v="34806"/>
    <n v="18396.787499999999"/>
    <n v="21800"/>
    <n v="8175"/>
    <n v="26571.787499999999"/>
    <n v="0"/>
    <n v="0"/>
    <n v="0"/>
    <n v="0"/>
    <n v="0"/>
    <n v="1"/>
    <n v="0"/>
    <n v="0"/>
    <n v="0"/>
    <n v="0"/>
    <n v="0"/>
    <n v="0"/>
    <s v="Enl Ladok 190318"/>
    <s v="Läser 22,5 av 30 hp denna termin"/>
    <n v="0"/>
    <n v="0"/>
    <n v="0"/>
    <n v="0"/>
    <n v="0"/>
    <n v="0"/>
    <n v="0"/>
    <n v="0"/>
    <n v="0"/>
    <n v="0"/>
    <n v="0.375"/>
    <n v="0.31874999999999998"/>
    <n v="0"/>
    <n v="0"/>
    <n v="0"/>
    <n v="0"/>
    <n v="0"/>
    <n v="0"/>
    <n v="0"/>
    <n v="0"/>
    <n v="0"/>
    <n v="0"/>
    <n v="0"/>
  </r>
  <r>
    <x v="190"/>
    <x v="186"/>
    <m/>
    <x v="0"/>
    <m/>
    <x v="1"/>
    <m/>
    <m/>
    <s v="Campus"/>
    <m/>
    <m/>
    <n v="50"/>
    <x v="0"/>
    <m/>
    <m/>
    <n v="1"/>
    <n v="0.125"/>
    <n v="0.8"/>
    <n v="0.1"/>
    <n v="5740"/>
    <x v="9"/>
    <s v="TekNat"/>
    <x v="0"/>
    <n v="19473"/>
    <n v="34806"/>
    <n v="5914.7250000000004"/>
    <n v="21800"/>
    <n v="2725"/>
    <n v="8639.7250000000004"/>
    <n v="0"/>
    <n v="0"/>
    <n v="0"/>
    <n v="0"/>
    <n v="0"/>
    <n v="1"/>
    <n v="0"/>
    <n v="0"/>
    <n v="0"/>
    <n v="0"/>
    <n v="0"/>
    <n v="0"/>
    <s v="Enl Ladok 190318"/>
    <s v="Äskat - Beslut p43 180607"/>
    <n v="0"/>
    <n v="0"/>
    <n v="0"/>
    <n v="0"/>
    <n v="0"/>
    <n v="0"/>
    <n v="0"/>
    <n v="0"/>
    <n v="0"/>
    <n v="0"/>
    <n v="0.125"/>
    <n v="0.1"/>
    <n v="0"/>
    <n v="0"/>
    <n v="0"/>
    <n v="0"/>
    <n v="0"/>
    <n v="0"/>
    <n v="0"/>
    <n v="0"/>
    <n v="0"/>
    <n v="0"/>
    <n v="0"/>
  </r>
  <r>
    <x v="190"/>
    <x v="186"/>
    <m/>
    <x v="1"/>
    <s v="H16"/>
    <x v="1"/>
    <s v="V191-10"/>
    <s v="Umeå"/>
    <m/>
    <s v="MATT"/>
    <m/>
    <n v="50"/>
    <x v="0"/>
    <m/>
    <m/>
    <n v="1"/>
    <n v="0.125"/>
    <n v="0.85"/>
    <n v="0.10625"/>
    <n v="5740"/>
    <x v="9"/>
    <s v="TekNat"/>
    <x v="1"/>
    <n v="19473"/>
    <n v="34806"/>
    <n v="6132.2624999999998"/>
    <n v="21800"/>
    <n v="2725"/>
    <n v="8857.2625000000007"/>
    <n v="0"/>
    <n v="0"/>
    <n v="0"/>
    <n v="0"/>
    <n v="0"/>
    <n v="1"/>
    <n v="0"/>
    <n v="0"/>
    <n v="0"/>
    <n v="0"/>
    <n v="0"/>
    <n v="0"/>
    <s v="Enl Ladok 190318"/>
    <m/>
    <n v="0"/>
    <n v="0"/>
    <n v="0"/>
    <n v="0"/>
    <n v="0"/>
    <n v="0"/>
    <n v="0"/>
    <n v="0"/>
    <n v="0"/>
    <n v="0"/>
    <n v="0.125"/>
    <n v="0.10625"/>
    <n v="0"/>
    <n v="0"/>
    <n v="0"/>
    <n v="0"/>
    <n v="0"/>
    <n v="0"/>
    <n v="0"/>
    <n v="0"/>
    <n v="0"/>
    <n v="0"/>
    <n v="0"/>
  </r>
  <r>
    <x v="191"/>
    <x v="187"/>
    <m/>
    <x v="0"/>
    <m/>
    <x v="1"/>
    <m/>
    <m/>
    <s v="Campus"/>
    <m/>
    <m/>
    <n v="50"/>
    <x v="0"/>
    <m/>
    <m/>
    <n v="1"/>
    <n v="0.125"/>
    <n v="0.8"/>
    <n v="0.1"/>
    <n v="5740"/>
    <x v="9"/>
    <s v="TekNat"/>
    <x v="0"/>
    <n v="19473"/>
    <n v="34806"/>
    <n v="5914.7250000000004"/>
    <n v="21800"/>
    <n v="2725"/>
    <n v="8639.7250000000004"/>
    <n v="0"/>
    <n v="0"/>
    <n v="0"/>
    <n v="0"/>
    <n v="0"/>
    <n v="1"/>
    <n v="0"/>
    <n v="0"/>
    <n v="0"/>
    <n v="0"/>
    <n v="0"/>
    <n v="0"/>
    <s v="Enl Ladok 190515"/>
    <s v="Äskat - Beslut p43 180607"/>
    <n v="0"/>
    <n v="0"/>
    <n v="0"/>
    <n v="0"/>
    <n v="0"/>
    <n v="0"/>
    <n v="0"/>
    <n v="0"/>
    <n v="0"/>
    <n v="0"/>
    <n v="0.125"/>
    <n v="0.1"/>
    <n v="0"/>
    <n v="0"/>
    <n v="0"/>
    <n v="0"/>
    <n v="0"/>
    <n v="0"/>
    <n v="0"/>
    <n v="0"/>
    <n v="0"/>
    <n v="0"/>
    <n v="0"/>
  </r>
  <r>
    <x v="191"/>
    <x v="187"/>
    <m/>
    <x v="1"/>
    <s v="H13"/>
    <x v="1"/>
    <s v="V1911-20"/>
    <s v="Umeå"/>
    <m/>
    <s v="SVAA"/>
    <m/>
    <n v="50"/>
    <x v="0"/>
    <m/>
    <m/>
    <n v="1"/>
    <n v="0.125"/>
    <n v="0.85"/>
    <n v="0.10625"/>
    <n v="5740"/>
    <x v="9"/>
    <s v="TekNat"/>
    <x v="1"/>
    <n v="19473"/>
    <n v="34806"/>
    <n v="6132.2624999999998"/>
    <n v="21800"/>
    <n v="2725"/>
    <n v="8857.2625000000007"/>
    <n v="0"/>
    <n v="0"/>
    <n v="0"/>
    <n v="0"/>
    <n v="0"/>
    <n v="1"/>
    <n v="0"/>
    <n v="0"/>
    <n v="0"/>
    <n v="0"/>
    <n v="0"/>
    <n v="0"/>
    <s v="Enl Ladok 190523"/>
    <m/>
    <n v="0"/>
    <n v="0"/>
    <n v="0"/>
    <n v="0"/>
    <n v="0"/>
    <n v="0"/>
    <n v="0"/>
    <n v="0"/>
    <n v="0"/>
    <n v="0"/>
    <n v="0.125"/>
    <n v="0.10625"/>
    <n v="0"/>
    <n v="0"/>
    <n v="0"/>
    <n v="0"/>
    <n v="0"/>
    <n v="0"/>
    <n v="0"/>
    <n v="0"/>
    <n v="0"/>
    <n v="0"/>
    <n v="0"/>
  </r>
  <r>
    <x v="192"/>
    <x v="188"/>
    <m/>
    <x v="0"/>
    <m/>
    <x v="1"/>
    <m/>
    <m/>
    <s v="Distans"/>
    <m/>
    <m/>
    <n v="50"/>
    <x v="1"/>
    <m/>
    <m/>
    <n v="0"/>
    <n v="0"/>
    <n v="0.8"/>
    <n v="0"/>
    <n v="5740"/>
    <x v="9"/>
    <s v="TekNat"/>
    <x v="0"/>
    <n v="19473"/>
    <n v="34806"/>
    <n v="0"/>
    <n v="21800"/>
    <n v="0"/>
    <n v="0"/>
    <n v="0"/>
    <n v="0"/>
    <n v="0"/>
    <n v="0"/>
    <n v="0"/>
    <n v="1"/>
    <n v="0"/>
    <n v="0"/>
    <n v="0"/>
    <n v="0"/>
    <n v="0"/>
    <n v="0"/>
    <s v="Äskat - Beslut p43 180607"/>
    <s v="Ställs in enl uppg från inst 181203"/>
    <n v="0"/>
    <n v="0"/>
    <n v="0"/>
    <n v="0"/>
    <n v="0"/>
    <n v="0"/>
    <n v="0"/>
    <n v="0"/>
    <n v="0"/>
    <n v="0"/>
    <n v="0"/>
    <n v="0"/>
    <n v="0"/>
    <n v="0"/>
    <n v="0"/>
    <n v="0"/>
    <n v="0"/>
    <n v="0"/>
    <n v="0"/>
    <n v="0"/>
    <n v="0"/>
    <n v="0"/>
    <n v="0"/>
  </r>
  <r>
    <x v="192"/>
    <x v="188"/>
    <m/>
    <x v="0"/>
    <m/>
    <x v="0"/>
    <s v="Sommarkurs"/>
    <m/>
    <s v="Distans"/>
    <m/>
    <m/>
    <n v="100"/>
    <x v="1"/>
    <m/>
    <m/>
    <n v="0"/>
    <n v="0"/>
    <n v="0.8"/>
    <n v="0"/>
    <n v="5740"/>
    <x v="9"/>
    <s v="TekNat"/>
    <x v="0"/>
    <n v="19473"/>
    <n v="34806"/>
    <n v="0"/>
    <n v="21800"/>
    <n v="0"/>
    <n v="0"/>
    <n v="0"/>
    <n v="0"/>
    <n v="0"/>
    <n v="0"/>
    <n v="0"/>
    <n v="1"/>
    <n v="0"/>
    <n v="0"/>
    <n v="0"/>
    <n v="0"/>
    <n v="0"/>
    <n v="0"/>
    <s v="Äskat - Beslut p43 180607"/>
    <s v="Ställs in enl uppg fr inst 190205"/>
    <n v="0"/>
    <n v="0"/>
    <n v="0"/>
    <n v="0"/>
    <n v="0"/>
    <n v="0"/>
    <n v="0"/>
    <n v="0"/>
    <n v="0"/>
    <n v="0"/>
    <n v="0"/>
    <n v="0"/>
    <n v="0"/>
    <n v="0"/>
    <n v="0"/>
    <n v="0"/>
    <n v="0"/>
    <n v="0"/>
    <n v="0"/>
    <n v="0"/>
    <n v="0"/>
    <n v="0"/>
    <n v="0"/>
  </r>
  <r>
    <x v="193"/>
    <x v="189"/>
    <m/>
    <x v="0"/>
    <m/>
    <x v="0"/>
    <s v="Sommarkurs"/>
    <m/>
    <s v="Distans"/>
    <m/>
    <m/>
    <n v="100"/>
    <x v="1"/>
    <m/>
    <m/>
    <n v="0"/>
    <n v="0"/>
    <n v="0.8"/>
    <n v="0"/>
    <n v="5740"/>
    <x v="9"/>
    <s v="TekNat"/>
    <x v="0"/>
    <n v="19473"/>
    <n v="34806"/>
    <n v="0"/>
    <n v="21800"/>
    <n v="0"/>
    <n v="0"/>
    <n v="0"/>
    <n v="0"/>
    <n v="0"/>
    <n v="0"/>
    <n v="0"/>
    <n v="1"/>
    <n v="0"/>
    <n v="0"/>
    <n v="0"/>
    <n v="0"/>
    <n v="0"/>
    <n v="0"/>
    <s v="Äskat - Beslut p43 180607"/>
    <s v="Ställs in enl uppg fr inst 190205"/>
    <n v="0"/>
    <n v="0"/>
    <n v="0"/>
    <n v="0"/>
    <n v="0"/>
    <n v="0"/>
    <n v="0"/>
    <n v="0"/>
    <n v="0"/>
    <n v="0"/>
    <n v="0"/>
    <n v="0"/>
    <n v="0"/>
    <n v="0"/>
    <n v="0"/>
    <n v="0"/>
    <n v="0"/>
    <n v="0"/>
    <n v="0"/>
    <n v="0"/>
    <n v="0"/>
    <n v="0"/>
    <n v="0"/>
  </r>
  <r>
    <x v="193"/>
    <x v="189"/>
    <m/>
    <x v="0"/>
    <m/>
    <x v="2"/>
    <m/>
    <m/>
    <s v="Distans"/>
    <m/>
    <m/>
    <n v="50"/>
    <x v="1"/>
    <m/>
    <m/>
    <n v="8"/>
    <n v="2"/>
    <n v="0.8"/>
    <n v="1.6"/>
    <n v="5740"/>
    <x v="9"/>
    <s v="TekNat"/>
    <x v="0"/>
    <n v="19473"/>
    <n v="34806"/>
    <n v="94635.6"/>
    <n v="21800"/>
    <n v="43600"/>
    <n v="138235.6"/>
    <n v="0"/>
    <n v="0"/>
    <n v="0"/>
    <n v="0"/>
    <n v="0"/>
    <n v="1"/>
    <n v="0"/>
    <n v="0"/>
    <n v="0"/>
    <n v="0"/>
    <n v="0"/>
    <n v="0"/>
    <s v="Äskat - Beslut p43 180607"/>
    <m/>
    <n v="0"/>
    <n v="0"/>
    <n v="0"/>
    <n v="0"/>
    <n v="0"/>
    <n v="0"/>
    <n v="0"/>
    <n v="0"/>
    <n v="0"/>
    <n v="0"/>
    <n v="2"/>
    <n v="1.6"/>
    <n v="0"/>
    <n v="0"/>
    <n v="0"/>
    <n v="0"/>
    <n v="0"/>
    <n v="0"/>
    <n v="0"/>
    <n v="0"/>
    <n v="0"/>
    <n v="0"/>
    <n v="0"/>
  </r>
  <r>
    <x v="194"/>
    <x v="190"/>
    <m/>
    <x v="8"/>
    <s v="H18"/>
    <x v="1"/>
    <s v="V1911-15"/>
    <s v="Umeå"/>
    <m/>
    <m/>
    <m/>
    <n v="100"/>
    <x v="0"/>
    <m/>
    <m/>
    <n v="26"/>
    <n v="3.25"/>
    <n v="0.85"/>
    <n v="2.7624999999999997"/>
    <n v="5740"/>
    <x v="9"/>
    <s v="TekNat"/>
    <x v="8"/>
    <n v="19473"/>
    <n v="34806"/>
    <n v="159438.82500000001"/>
    <n v="21800"/>
    <n v="70850"/>
    <n v="230288.82500000001"/>
    <n v="0"/>
    <n v="0"/>
    <n v="0"/>
    <n v="0"/>
    <n v="0"/>
    <n v="1"/>
    <n v="0"/>
    <n v="0"/>
    <n v="0"/>
    <n v="0"/>
    <n v="0"/>
    <n v="0"/>
    <s v="Enl Ladok 190523"/>
    <m/>
    <n v="0"/>
    <n v="0"/>
    <n v="0"/>
    <n v="0"/>
    <n v="0"/>
    <n v="0"/>
    <n v="0"/>
    <n v="0"/>
    <n v="0"/>
    <n v="0"/>
    <n v="3.25"/>
    <n v="2.7624999999999997"/>
    <n v="0"/>
    <n v="0"/>
    <n v="0"/>
    <n v="0"/>
    <n v="0"/>
    <n v="0"/>
    <n v="0"/>
    <n v="0"/>
    <n v="0"/>
    <n v="0"/>
    <n v="0"/>
  </r>
  <r>
    <x v="195"/>
    <x v="191"/>
    <m/>
    <x v="2"/>
    <s v="H16"/>
    <x v="1"/>
    <s v="V191-10"/>
    <s v="Umeå"/>
    <m/>
    <m/>
    <m/>
    <n v="100"/>
    <x v="1"/>
    <m/>
    <m/>
    <n v="39"/>
    <n v="9.75"/>
    <n v="0.85"/>
    <n v="8.2874999999999996"/>
    <n v="5740"/>
    <x v="9"/>
    <s v="TekNat"/>
    <x v="2"/>
    <n v="19473"/>
    <n v="34806"/>
    <n v="478316.47499999998"/>
    <n v="21800"/>
    <n v="212550"/>
    <n v="690866.47499999998"/>
    <n v="0"/>
    <n v="0"/>
    <n v="0"/>
    <n v="0"/>
    <n v="0"/>
    <n v="1"/>
    <n v="0"/>
    <n v="0"/>
    <n v="0"/>
    <n v="0"/>
    <n v="0"/>
    <n v="0"/>
    <s v="Enl Ladok 190318"/>
    <m/>
    <n v="0"/>
    <n v="0"/>
    <n v="0"/>
    <n v="0"/>
    <n v="0"/>
    <n v="0"/>
    <n v="0"/>
    <n v="0"/>
    <n v="0"/>
    <n v="0"/>
    <n v="9.75"/>
    <n v="8.2874999999999996"/>
    <n v="0"/>
    <n v="0"/>
    <n v="0"/>
    <n v="0"/>
    <n v="0"/>
    <n v="0"/>
    <n v="0"/>
    <n v="0"/>
    <n v="0"/>
    <n v="0"/>
    <n v="0"/>
  </r>
  <r>
    <x v="196"/>
    <x v="192"/>
    <m/>
    <x v="3"/>
    <s v="H16"/>
    <x v="1"/>
    <s v="V191-20"/>
    <s v="Umeå"/>
    <m/>
    <m/>
    <m/>
    <n v="100"/>
    <x v="7"/>
    <m/>
    <m/>
    <n v="1"/>
    <n v="0.5"/>
    <n v="0.85"/>
    <n v="0.42499999999999999"/>
    <n v="5740"/>
    <x v="9"/>
    <s v="TekNat"/>
    <x v="3"/>
    <n v="19473"/>
    <n v="34806"/>
    <n v="24529.05"/>
    <n v="21800"/>
    <n v="10900"/>
    <n v="35429.050000000003"/>
    <n v="0"/>
    <n v="0"/>
    <n v="0"/>
    <n v="0"/>
    <n v="0"/>
    <n v="1"/>
    <n v="0"/>
    <n v="0"/>
    <n v="0"/>
    <n v="0"/>
    <n v="0"/>
    <n v="0"/>
    <s v="Enl Ladok 190318"/>
    <m/>
    <n v="0"/>
    <n v="0"/>
    <n v="0"/>
    <n v="0"/>
    <n v="0"/>
    <n v="0"/>
    <n v="0"/>
    <n v="0"/>
    <n v="0"/>
    <n v="0"/>
    <n v="0.5"/>
    <n v="0.42499999999999999"/>
    <n v="0"/>
    <n v="0"/>
    <n v="0"/>
    <n v="0"/>
    <n v="0"/>
    <n v="0"/>
    <n v="0"/>
    <n v="0"/>
    <n v="0"/>
    <n v="0"/>
    <n v="0"/>
  </r>
  <r>
    <x v="196"/>
    <x v="192"/>
    <m/>
    <x v="3"/>
    <s v="H16"/>
    <x v="1"/>
    <s v="V191-20"/>
    <s v="Umeå"/>
    <m/>
    <m/>
    <m/>
    <n v="100"/>
    <x v="7"/>
    <m/>
    <m/>
    <n v="10"/>
    <n v="5"/>
    <n v="0.85"/>
    <n v="4.25"/>
    <n v="5740"/>
    <x v="9"/>
    <s v="TekNat"/>
    <x v="3"/>
    <n v="19473"/>
    <n v="34806"/>
    <n v="245290.5"/>
    <n v="21800"/>
    <n v="109000"/>
    <n v="354290.5"/>
    <n v="0"/>
    <n v="0"/>
    <n v="0"/>
    <n v="0"/>
    <n v="0"/>
    <n v="1"/>
    <n v="0"/>
    <n v="0"/>
    <n v="0"/>
    <n v="0"/>
    <n v="0"/>
    <n v="0"/>
    <s v="Enl Ladok 190318"/>
    <m/>
    <n v="0"/>
    <n v="0"/>
    <n v="0"/>
    <n v="0"/>
    <n v="0"/>
    <n v="0"/>
    <n v="0"/>
    <n v="0"/>
    <n v="0"/>
    <n v="0"/>
    <n v="5"/>
    <n v="4.25"/>
    <n v="0"/>
    <n v="0"/>
    <n v="0"/>
    <n v="0"/>
    <n v="0"/>
    <n v="0"/>
    <n v="0"/>
    <n v="0"/>
    <n v="0"/>
    <n v="0"/>
    <n v="0"/>
  </r>
  <r>
    <x v="197"/>
    <x v="193"/>
    <m/>
    <x v="0"/>
    <m/>
    <x v="1"/>
    <m/>
    <m/>
    <s v="Campus"/>
    <m/>
    <m/>
    <n v="50"/>
    <x v="0"/>
    <m/>
    <m/>
    <n v="0"/>
    <n v="0"/>
    <n v="0.8"/>
    <n v="0"/>
    <n v="5740"/>
    <x v="9"/>
    <s v="TekNat"/>
    <x v="0"/>
    <n v="19473"/>
    <n v="34806"/>
    <n v="0"/>
    <n v="21800"/>
    <n v="0"/>
    <n v="0"/>
    <n v="0"/>
    <n v="0"/>
    <n v="0"/>
    <n v="0"/>
    <n v="0"/>
    <n v="1"/>
    <n v="0"/>
    <n v="0"/>
    <n v="0"/>
    <n v="0"/>
    <n v="0"/>
    <n v="0"/>
    <s v="Äskat - Beslut p43 180607"/>
    <m/>
    <n v="0"/>
    <n v="0"/>
    <n v="0"/>
    <n v="0"/>
    <n v="0"/>
    <n v="0"/>
    <n v="0"/>
    <n v="0"/>
    <n v="0"/>
    <n v="0"/>
    <n v="0"/>
    <n v="0"/>
    <n v="0"/>
    <n v="0"/>
    <n v="0"/>
    <n v="0"/>
    <n v="0"/>
    <n v="0"/>
    <n v="0"/>
    <n v="0"/>
    <n v="0"/>
    <n v="0"/>
    <n v="0"/>
  </r>
  <r>
    <x v="198"/>
    <x v="194"/>
    <m/>
    <x v="0"/>
    <m/>
    <x v="1"/>
    <m/>
    <m/>
    <s v="Campus"/>
    <m/>
    <m/>
    <n v="25"/>
    <x v="0"/>
    <m/>
    <m/>
    <n v="3"/>
    <n v="0.375"/>
    <n v="0.8"/>
    <n v="0.30000000000000004"/>
    <n v="5740"/>
    <x v="9"/>
    <s v="TekNat"/>
    <x v="0"/>
    <n v="19473"/>
    <n v="34806"/>
    <n v="17744.175000000003"/>
    <n v="21800"/>
    <n v="8175"/>
    <n v="25919.175000000003"/>
    <n v="0"/>
    <n v="0"/>
    <n v="0"/>
    <n v="0"/>
    <n v="0"/>
    <n v="1"/>
    <n v="0"/>
    <n v="0"/>
    <n v="0"/>
    <n v="0"/>
    <n v="0"/>
    <n v="0"/>
    <s v="Enl Ladok 190318"/>
    <s v="Äskat - Beslut p43 180607"/>
    <n v="0"/>
    <n v="0"/>
    <n v="0"/>
    <n v="0"/>
    <n v="0"/>
    <n v="0"/>
    <n v="0"/>
    <n v="0"/>
    <n v="0"/>
    <n v="0"/>
    <n v="0.375"/>
    <n v="0.30000000000000004"/>
    <n v="0"/>
    <n v="0"/>
    <n v="0"/>
    <n v="0"/>
    <n v="0"/>
    <n v="0"/>
    <n v="0"/>
    <n v="0"/>
    <n v="0"/>
    <n v="0"/>
    <n v="0"/>
  </r>
  <r>
    <x v="199"/>
    <x v="195"/>
    <m/>
    <x v="7"/>
    <s v="H16"/>
    <x v="2"/>
    <s v="H1911-20"/>
    <m/>
    <m/>
    <m/>
    <m/>
    <n v="100"/>
    <x v="1"/>
    <m/>
    <m/>
    <n v="1"/>
    <n v="0.25"/>
    <n v="0.85"/>
    <n v="0.21249999999999999"/>
    <n v="5740"/>
    <x v="9"/>
    <s v="TekNat"/>
    <x v="7"/>
    <n v="19473"/>
    <n v="34806"/>
    <n v="12264.525"/>
    <n v="21800"/>
    <n v="5450"/>
    <n v="17714.525000000001"/>
    <n v="0"/>
    <n v="0"/>
    <n v="0"/>
    <n v="0"/>
    <n v="0"/>
    <n v="1"/>
    <n v="0"/>
    <n v="0"/>
    <n v="0"/>
    <n v="0"/>
    <n v="0"/>
    <n v="0"/>
    <s v="Enligt SP 190924"/>
    <m/>
    <n v="0"/>
    <n v="0"/>
    <n v="0"/>
    <n v="0"/>
    <n v="0"/>
    <n v="0"/>
    <n v="0"/>
    <n v="0"/>
    <n v="0"/>
    <n v="0"/>
    <n v="0.25"/>
    <n v="0.21249999999999999"/>
    <n v="0"/>
    <n v="0"/>
    <n v="0"/>
    <n v="0"/>
    <n v="0"/>
    <n v="0"/>
    <n v="0"/>
    <n v="0"/>
    <n v="0"/>
    <n v="0"/>
    <n v="0"/>
  </r>
  <r>
    <x v="199"/>
    <x v="195"/>
    <m/>
    <x v="7"/>
    <s v="H17"/>
    <x v="2"/>
    <s v="H1911-20"/>
    <m/>
    <m/>
    <m/>
    <m/>
    <n v="100"/>
    <x v="1"/>
    <m/>
    <m/>
    <n v="31"/>
    <n v="7.75"/>
    <n v="0.85"/>
    <n v="6.5874999999999995"/>
    <n v="5740"/>
    <x v="9"/>
    <s v="TekNat"/>
    <x v="7"/>
    <n v="19473"/>
    <n v="34806"/>
    <n v="380200.27500000002"/>
    <n v="21800"/>
    <n v="168950"/>
    <n v="549150.27500000002"/>
    <n v="0"/>
    <n v="0"/>
    <n v="0"/>
    <n v="0"/>
    <n v="0"/>
    <n v="1"/>
    <n v="0"/>
    <n v="0"/>
    <n v="0"/>
    <n v="0"/>
    <n v="0"/>
    <n v="0"/>
    <s v="Enligt SP 190924"/>
    <m/>
    <n v="0"/>
    <n v="0"/>
    <n v="0"/>
    <n v="0"/>
    <n v="0"/>
    <n v="0"/>
    <n v="0"/>
    <n v="0"/>
    <n v="0"/>
    <n v="0"/>
    <n v="7.75"/>
    <n v="6.5874999999999995"/>
    <n v="0"/>
    <n v="0"/>
    <n v="0"/>
    <n v="0"/>
    <n v="0"/>
    <n v="0"/>
    <n v="0"/>
    <n v="0"/>
    <n v="0"/>
    <n v="0"/>
    <n v="0"/>
  </r>
  <r>
    <x v="199"/>
    <x v="195"/>
    <m/>
    <x v="7"/>
    <s v="V17"/>
    <x v="1"/>
    <s v="V1911-20"/>
    <s v="Umeå"/>
    <m/>
    <m/>
    <m/>
    <n v="100"/>
    <x v="1"/>
    <m/>
    <m/>
    <n v="22"/>
    <n v="5.5"/>
    <n v="0.85"/>
    <n v="4.6749999999999998"/>
    <n v="5740"/>
    <x v="9"/>
    <s v="TekNat"/>
    <x v="7"/>
    <n v="19473"/>
    <n v="34806"/>
    <n v="269819.55"/>
    <n v="21800"/>
    <n v="119900"/>
    <n v="389719.55"/>
    <n v="0"/>
    <n v="0"/>
    <n v="0"/>
    <n v="0"/>
    <n v="0"/>
    <n v="1"/>
    <n v="0"/>
    <n v="0"/>
    <n v="0"/>
    <n v="0"/>
    <n v="0"/>
    <n v="0"/>
    <s v="Enl Ladok 190523"/>
    <m/>
    <n v="0"/>
    <n v="0"/>
    <n v="0"/>
    <n v="0"/>
    <n v="0"/>
    <n v="0"/>
    <n v="0"/>
    <n v="0"/>
    <n v="0"/>
    <n v="0"/>
    <n v="5.5"/>
    <n v="4.6749999999999998"/>
    <n v="0"/>
    <n v="0"/>
    <n v="0"/>
    <n v="0"/>
    <n v="0"/>
    <n v="0"/>
    <n v="0"/>
    <n v="0"/>
    <n v="0"/>
    <n v="0"/>
    <n v="0"/>
  </r>
  <r>
    <x v="199"/>
    <x v="195"/>
    <m/>
    <x v="7"/>
    <s v="V17"/>
    <x v="2"/>
    <s v="H1911-20"/>
    <m/>
    <m/>
    <m/>
    <m/>
    <n v="100"/>
    <x v="1"/>
    <m/>
    <m/>
    <n v="1"/>
    <n v="0.25"/>
    <n v="0.85"/>
    <n v="0.21249999999999999"/>
    <n v="5740"/>
    <x v="9"/>
    <s v="TekNat"/>
    <x v="7"/>
    <n v="19473"/>
    <n v="34806"/>
    <n v="12264.525"/>
    <n v="21800"/>
    <n v="5450"/>
    <n v="17714.525000000001"/>
    <n v="0"/>
    <n v="0"/>
    <n v="0"/>
    <n v="0"/>
    <n v="0"/>
    <n v="1"/>
    <n v="0"/>
    <n v="0"/>
    <n v="0"/>
    <n v="0"/>
    <n v="0"/>
    <n v="0"/>
    <s v="Enligt SP 190924"/>
    <m/>
    <n v="0"/>
    <n v="0"/>
    <n v="0"/>
    <n v="0"/>
    <n v="0"/>
    <n v="0"/>
    <n v="0"/>
    <n v="0"/>
    <n v="0"/>
    <n v="0"/>
    <n v="0.25"/>
    <n v="0.21249999999999999"/>
    <n v="0"/>
    <n v="0"/>
    <n v="0"/>
    <n v="0"/>
    <n v="0"/>
    <n v="0"/>
    <n v="0"/>
    <n v="0"/>
    <n v="0"/>
    <n v="0"/>
    <n v="0"/>
  </r>
  <r>
    <x v="200"/>
    <x v="196"/>
    <m/>
    <x v="0"/>
    <m/>
    <x v="0"/>
    <s v="Sommarkurs"/>
    <m/>
    <s v="Campus"/>
    <m/>
    <m/>
    <n v="50"/>
    <x v="0"/>
    <m/>
    <m/>
    <n v="17"/>
    <n v="2.125"/>
    <n v="0.8"/>
    <n v="1.7000000000000002"/>
    <n v="5740"/>
    <x v="9"/>
    <s v="TekNat"/>
    <x v="0"/>
    <n v="19473"/>
    <n v="34806"/>
    <n v="100550.32500000001"/>
    <n v="21800"/>
    <n v="46325"/>
    <n v="146875.32500000001"/>
    <n v="0"/>
    <n v="0"/>
    <n v="0"/>
    <n v="0"/>
    <n v="0"/>
    <n v="1"/>
    <n v="0"/>
    <n v="0"/>
    <n v="0"/>
    <n v="0"/>
    <n v="0"/>
    <n v="0"/>
    <s v="Enl Ladok 190821"/>
    <s v="Äskat - Beslut p43 180607"/>
    <n v="0"/>
    <n v="0"/>
    <n v="0"/>
    <n v="0"/>
    <n v="0"/>
    <n v="0"/>
    <n v="0"/>
    <n v="0"/>
    <n v="0"/>
    <n v="0"/>
    <n v="2.125"/>
    <n v="1.7000000000000002"/>
    <n v="0"/>
    <n v="0"/>
    <n v="0"/>
    <n v="0"/>
    <n v="0"/>
    <n v="0"/>
    <n v="0"/>
    <n v="0"/>
    <n v="0"/>
    <n v="0"/>
    <n v="0"/>
  </r>
  <r>
    <x v="201"/>
    <x v="197"/>
    <m/>
    <x v="10"/>
    <s v="H16"/>
    <x v="1"/>
    <s v="V1911-20"/>
    <s v="Umeå"/>
    <s v="DIST"/>
    <s v="DIOB"/>
    <m/>
    <n v="100"/>
    <x v="1"/>
    <m/>
    <m/>
    <n v="21"/>
    <n v="5.25"/>
    <n v="0.85"/>
    <n v="4.4624999999999995"/>
    <n v="2193"/>
    <x v="1"/>
    <s v="Sam"/>
    <x v="10"/>
    <n v="18405"/>
    <n v="15773"/>
    <n v="167013.26250000001"/>
    <n v="5800"/>
    <n v="30450"/>
    <n v="197463.26250000001"/>
    <n v="0"/>
    <n v="0"/>
    <n v="0"/>
    <n v="0"/>
    <n v="0"/>
    <n v="0"/>
    <n v="1"/>
    <n v="0"/>
    <n v="0"/>
    <n v="0"/>
    <n v="0"/>
    <n v="0"/>
    <s v="Enl Ladok 190523"/>
    <m/>
    <n v="0"/>
    <n v="0"/>
    <n v="0"/>
    <n v="0"/>
    <n v="0"/>
    <n v="0"/>
    <n v="0"/>
    <n v="0"/>
    <n v="0"/>
    <n v="0"/>
    <n v="0"/>
    <n v="0"/>
    <n v="5.25"/>
    <n v="4.4624999999999995"/>
    <n v="0"/>
    <n v="0"/>
    <n v="0"/>
    <n v="0"/>
    <n v="0"/>
    <n v="0"/>
    <n v="0"/>
    <n v="0"/>
    <n v="0"/>
  </r>
  <r>
    <x v="201"/>
    <x v="197"/>
    <m/>
    <x v="10"/>
    <s v="H16"/>
    <x v="1"/>
    <s v="V1911-20"/>
    <s v="Umeå"/>
    <s v="DIST"/>
    <m/>
    <m/>
    <n v="100"/>
    <x v="1"/>
    <m/>
    <m/>
    <n v="22"/>
    <n v="5.5"/>
    <n v="0.85"/>
    <n v="4.6749999999999998"/>
    <n v="2193"/>
    <x v="1"/>
    <s v="Sam"/>
    <x v="10"/>
    <n v="18405"/>
    <n v="15773"/>
    <n v="174966.27499999999"/>
    <n v="5800"/>
    <n v="31900"/>
    <n v="206866.27499999999"/>
    <n v="0"/>
    <n v="0"/>
    <n v="0"/>
    <n v="0"/>
    <n v="0"/>
    <n v="0"/>
    <n v="1"/>
    <n v="0"/>
    <n v="0"/>
    <n v="0"/>
    <n v="0"/>
    <n v="0"/>
    <s v="Enl Ladok 190523"/>
    <m/>
    <n v="0"/>
    <n v="0"/>
    <n v="0"/>
    <n v="0"/>
    <n v="0"/>
    <n v="0"/>
    <n v="0"/>
    <n v="0"/>
    <n v="0"/>
    <n v="0"/>
    <n v="0"/>
    <n v="0"/>
    <n v="5.5"/>
    <n v="4.6749999999999998"/>
    <n v="0"/>
    <n v="0"/>
    <n v="0"/>
    <n v="0"/>
    <n v="0"/>
    <n v="0"/>
    <n v="0"/>
    <n v="0"/>
    <n v="0"/>
  </r>
  <r>
    <x v="201"/>
    <x v="197"/>
    <m/>
    <x v="10"/>
    <s v="H16"/>
    <x v="1"/>
    <s v="V1911-20"/>
    <s v="Umeå"/>
    <s v="REGU"/>
    <m/>
    <m/>
    <n v="100"/>
    <x v="1"/>
    <m/>
    <m/>
    <n v="30"/>
    <n v="7.5"/>
    <n v="0.85"/>
    <n v="6.375"/>
    <n v="2193"/>
    <x v="1"/>
    <s v="Sam"/>
    <x v="10"/>
    <n v="18405"/>
    <n v="15773"/>
    <n v="238590.375"/>
    <n v="5800"/>
    <n v="43500"/>
    <n v="282090.375"/>
    <n v="0"/>
    <n v="0"/>
    <n v="0"/>
    <n v="0"/>
    <n v="0"/>
    <n v="0"/>
    <n v="1"/>
    <n v="0"/>
    <n v="0"/>
    <n v="0"/>
    <n v="0"/>
    <n v="0"/>
    <s v="Enl Ladok 190523"/>
    <m/>
    <n v="0"/>
    <n v="0"/>
    <n v="0"/>
    <n v="0"/>
    <n v="0"/>
    <n v="0"/>
    <n v="0"/>
    <n v="0"/>
    <n v="0"/>
    <n v="0"/>
    <n v="0"/>
    <n v="0"/>
    <n v="7.5"/>
    <n v="6.375"/>
    <n v="0"/>
    <n v="0"/>
    <n v="0"/>
    <n v="0"/>
    <n v="0"/>
    <n v="0"/>
    <n v="0"/>
    <n v="0"/>
    <n v="0"/>
  </r>
  <r>
    <x v="202"/>
    <x v="198"/>
    <m/>
    <x v="8"/>
    <s v="H18"/>
    <x v="2"/>
    <s v="H191-5"/>
    <m/>
    <m/>
    <m/>
    <m/>
    <n v="100"/>
    <x v="0"/>
    <m/>
    <m/>
    <n v="25"/>
    <n v="3.125"/>
    <n v="0.85"/>
    <n v="2.65625"/>
    <n v="2193"/>
    <x v="1"/>
    <s v="Sam"/>
    <x v="8"/>
    <n v="18405"/>
    <n v="15773"/>
    <n v="99412.65625"/>
    <n v="5800"/>
    <n v="18125"/>
    <n v="117537.65625"/>
    <n v="0"/>
    <n v="0"/>
    <n v="0"/>
    <n v="0"/>
    <n v="0"/>
    <n v="0"/>
    <n v="1"/>
    <n v="0"/>
    <n v="0"/>
    <n v="0"/>
    <n v="0"/>
    <n v="0"/>
    <s v="Enligt SP 190924"/>
    <m/>
    <n v="0"/>
    <n v="0"/>
    <n v="0"/>
    <n v="0"/>
    <n v="0"/>
    <n v="0"/>
    <n v="0"/>
    <n v="0"/>
    <n v="0"/>
    <n v="0"/>
    <n v="0"/>
    <n v="0"/>
    <n v="3.125"/>
    <n v="2.65625"/>
    <n v="0"/>
    <n v="0"/>
    <n v="0"/>
    <n v="0"/>
    <n v="0"/>
    <n v="0"/>
    <n v="0"/>
    <n v="0"/>
    <n v="0"/>
  </r>
  <r>
    <x v="203"/>
    <x v="199"/>
    <m/>
    <x v="8"/>
    <s v="H14"/>
    <x v="1"/>
    <s v="V196-15"/>
    <s v="Umeå"/>
    <m/>
    <m/>
    <m/>
    <n v="100"/>
    <x v="1"/>
    <m/>
    <m/>
    <n v="1"/>
    <n v="0.25"/>
    <n v="0.85"/>
    <n v="0.21249999999999999"/>
    <n v="2193"/>
    <x v="1"/>
    <s v="Sam"/>
    <x v="8"/>
    <n v="18405"/>
    <n v="15773"/>
    <n v="7953.0124999999998"/>
    <n v="5800"/>
    <n v="1450"/>
    <n v="9403.0125000000007"/>
    <n v="0"/>
    <n v="0"/>
    <n v="0"/>
    <n v="0"/>
    <n v="0"/>
    <n v="0"/>
    <n v="1"/>
    <n v="0"/>
    <n v="0"/>
    <n v="0"/>
    <n v="0"/>
    <n v="0"/>
    <s v="Enl Ladok 190318"/>
    <m/>
    <n v="0"/>
    <n v="0"/>
    <n v="0"/>
    <n v="0"/>
    <n v="0"/>
    <n v="0"/>
    <n v="0"/>
    <n v="0"/>
    <n v="0"/>
    <n v="0"/>
    <n v="0"/>
    <n v="0"/>
    <n v="0.25"/>
    <n v="0.21249999999999999"/>
    <n v="0"/>
    <n v="0"/>
    <n v="0"/>
    <n v="0"/>
    <n v="0"/>
    <n v="0"/>
    <n v="0"/>
    <n v="0"/>
    <n v="0"/>
  </r>
  <r>
    <x v="203"/>
    <x v="199"/>
    <m/>
    <x v="8"/>
    <s v="H15"/>
    <x v="1"/>
    <s v="V196-15"/>
    <s v="Umeå"/>
    <m/>
    <m/>
    <m/>
    <n v="100"/>
    <x v="1"/>
    <m/>
    <m/>
    <n v="1"/>
    <n v="0.25"/>
    <n v="0.85"/>
    <n v="0.21249999999999999"/>
    <n v="2193"/>
    <x v="1"/>
    <s v="Sam"/>
    <x v="8"/>
    <n v="18405"/>
    <n v="15773"/>
    <n v="7953.0124999999998"/>
    <n v="5800"/>
    <n v="1450"/>
    <n v="9403.0125000000007"/>
    <n v="0"/>
    <n v="0"/>
    <n v="0"/>
    <n v="0"/>
    <n v="0"/>
    <n v="0"/>
    <n v="1"/>
    <n v="0"/>
    <n v="0"/>
    <n v="0"/>
    <n v="0"/>
    <n v="0"/>
    <s v="Enl Ladok 190318"/>
    <m/>
    <n v="0"/>
    <n v="0"/>
    <n v="0"/>
    <n v="0"/>
    <n v="0"/>
    <n v="0"/>
    <n v="0"/>
    <n v="0"/>
    <n v="0"/>
    <n v="0"/>
    <n v="0"/>
    <n v="0"/>
    <n v="0.25"/>
    <n v="0.21249999999999999"/>
    <n v="0"/>
    <n v="0"/>
    <n v="0"/>
    <n v="0"/>
    <n v="0"/>
    <n v="0"/>
    <n v="0"/>
    <n v="0"/>
    <n v="0"/>
  </r>
  <r>
    <x v="203"/>
    <x v="199"/>
    <m/>
    <x v="8"/>
    <s v="H16"/>
    <x v="1"/>
    <s v="V196-15"/>
    <s v="Umeå"/>
    <m/>
    <m/>
    <m/>
    <n v="100"/>
    <x v="1"/>
    <m/>
    <m/>
    <n v="1"/>
    <n v="0.25"/>
    <n v="0.85"/>
    <n v="0.21249999999999999"/>
    <n v="2193"/>
    <x v="1"/>
    <s v="Sam"/>
    <x v="8"/>
    <n v="18405"/>
    <n v="15773"/>
    <n v="7953.0124999999998"/>
    <n v="5800"/>
    <n v="1450"/>
    <n v="9403.0125000000007"/>
    <n v="0"/>
    <n v="0"/>
    <n v="0"/>
    <n v="0"/>
    <n v="0"/>
    <n v="0"/>
    <n v="1"/>
    <n v="0"/>
    <n v="0"/>
    <n v="0"/>
    <n v="0"/>
    <n v="0"/>
    <s v="Enl Ladok 190318"/>
    <m/>
    <n v="0"/>
    <n v="0"/>
    <n v="0"/>
    <n v="0"/>
    <n v="0"/>
    <n v="0"/>
    <n v="0"/>
    <n v="0"/>
    <n v="0"/>
    <n v="0"/>
    <n v="0"/>
    <n v="0"/>
    <n v="0.25"/>
    <n v="0.21249999999999999"/>
    <n v="0"/>
    <n v="0"/>
    <n v="0"/>
    <n v="0"/>
    <n v="0"/>
    <n v="0"/>
    <n v="0"/>
    <n v="0"/>
    <n v="0"/>
  </r>
  <r>
    <x v="203"/>
    <x v="199"/>
    <m/>
    <x v="8"/>
    <s v="H16"/>
    <x v="1"/>
    <s v="V196-15"/>
    <s v="Umeå"/>
    <m/>
    <m/>
    <m/>
    <n v="100"/>
    <x v="1"/>
    <m/>
    <m/>
    <n v="21"/>
    <n v="5.25"/>
    <n v="0.85"/>
    <n v="4.4624999999999995"/>
    <n v="2193"/>
    <x v="1"/>
    <s v="Sam"/>
    <x v="8"/>
    <n v="18405"/>
    <n v="15773"/>
    <n v="167013.26250000001"/>
    <n v="5800"/>
    <n v="30450"/>
    <n v="197463.26250000001"/>
    <n v="0"/>
    <n v="0"/>
    <n v="0"/>
    <n v="0"/>
    <n v="0"/>
    <n v="0"/>
    <n v="1"/>
    <n v="0"/>
    <n v="0"/>
    <n v="0"/>
    <n v="0"/>
    <n v="0"/>
    <s v="Enl Ladok 190318"/>
    <m/>
    <n v="0"/>
    <n v="0"/>
    <n v="0"/>
    <n v="0"/>
    <n v="0"/>
    <n v="0"/>
    <n v="0"/>
    <n v="0"/>
    <n v="0"/>
    <n v="0"/>
    <n v="0"/>
    <n v="0"/>
    <n v="5.25"/>
    <n v="4.4624999999999995"/>
    <n v="0"/>
    <n v="0"/>
    <n v="0"/>
    <n v="0"/>
    <n v="0"/>
    <n v="0"/>
    <n v="0"/>
    <n v="0"/>
    <n v="0"/>
  </r>
  <r>
    <x v="204"/>
    <x v="200"/>
    <m/>
    <x v="9"/>
    <s v="H18"/>
    <x v="2"/>
    <s v="H191-20"/>
    <m/>
    <m/>
    <m/>
    <m/>
    <n v="50"/>
    <x v="1"/>
    <m/>
    <m/>
    <n v="45"/>
    <n v="11.25"/>
    <n v="0.85"/>
    <n v="9.5625"/>
    <n v="2180"/>
    <x v="0"/>
    <s v="Sam"/>
    <x v="9"/>
    <n v="23641"/>
    <n v="28786"/>
    <n v="541227.375"/>
    <n v="5800"/>
    <n v="65250"/>
    <n v="606477.375"/>
    <n v="0"/>
    <n v="0"/>
    <n v="0"/>
    <n v="1"/>
    <n v="0"/>
    <n v="0"/>
    <n v="0"/>
    <n v="0"/>
    <n v="0"/>
    <n v="0"/>
    <n v="0"/>
    <n v="0"/>
    <s v="Enligt SP 190924"/>
    <m/>
    <n v="0"/>
    <n v="0"/>
    <n v="0"/>
    <n v="0"/>
    <n v="0"/>
    <n v="0"/>
    <n v="11.25"/>
    <n v="9.5625"/>
    <n v="0"/>
    <n v="0"/>
    <n v="0"/>
    <n v="0"/>
    <n v="0"/>
    <n v="0"/>
    <n v="0"/>
    <n v="0"/>
    <n v="0"/>
    <n v="0"/>
    <n v="0"/>
    <n v="0"/>
    <n v="0"/>
    <n v="0"/>
    <n v="0"/>
  </r>
  <r>
    <x v="205"/>
    <x v="201"/>
    <m/>
    <x v="0"/>
    <m/>
    <x v="1"/>
    <m/>
    <m/>
    <s v="Distans"/>
    <m/>
    <m/>
    <n v="50"/>
    <x v="1"/>
    <m/>
    <m/>
    <n v="9"/>
    <n v="2.25"/>
    <n v="0.8"/>
    <n v="1.8"/>
    <n v="2193"/>
    <x v="1"/>
    <s v="Sam"/>
    <x v="0"/>
    <n v="18405"/>
    <n v="15773"/>
    <n v="69802.649999999994"/>
    <n v="5800"/>
    <n v="13050"/>
    <n v="82852.649999999994"/>
    <n v="0"/>
    <n v="0"/>
    <n v="0"/>
    <n v="0"/>
    <n v="0"/>
    <n v="0"/>
    <n v="1"/>
    <n v="0"/>
    <n v="0"/>
    <n v="0"/>
    <n v="0"/>
    <n v="0"/>
    <s v="Enl Ladok 190318"/>
    <s v="Äskat - Beslut p43 180607"/>
    <n v="0"/>
    <n v="0"/>
    <n v="0"/>
    <n v="0"/>
    <n v="0"/>
    <n v="0"/>
    <n v="0"/>
    <n v="0"/>
    <n v="0"/>
    <n v="0"/>
    <n v="0"/>
    <n v="0"/>
    <n v="2.25"/>
    <n v="1.8"/>
    <n v="0"/>
    <n v="0"/>
    <n v="0"/>
    <n v="0"/>
    <n v="0"/>
    <n v="0"/>
    <n v="0"/>
    <n v="0"/>
    <n v="0"/>
  </r>
  <r>
    <x v="206"/>
    <x v="202"/>
    <m/>
    <x v="9"/>
    <s v="H15"/>
    <x v="1"/>
    <s v="V191-13"/>
    <s v="Umeå"/>
    <m/>
    <m/>
    <m/>
    <n v="50"/>
    <x v="10"/>
    <m/>
    <m/>
    <n v="0"/>
    <n v="0"/>
    <n v="0.85"/>
    <n v="0"/>
    <n v="2193"/>
    <x v="1"/>
    <s v="Sam"/>
    <x v="9"/>
    <n v="23641"/>
    <n v="28786"/>
    <n v="0"/>
    <n v="5800"/>
    <n v="0"/>
    <n v="0"/>
    <n v="0"/>
    <n v="0"/>
    <n v="0"/>
    <n v="1"/>
    <n v="0"/>
    <n v="0"/>
    <n v="0"/>
    <n v="0"/>
    <n v="0"/>
    <n v="0"/>
    <n v="0"/>
    <n v="0"/>
    <s v="Enl Ladok 190318"/>
    <m/>
    <n v="0"/>
    <n v="0"/>
    <n v="0"/>
    <n v="0"/>
    <n v="0"/>
    <n v="0"/>
    <n v="0"/>
    <n v="0"/>
    <n v="0"/>
    <n v="0"/>
    <n v="0"/>
    <n v="0"/>
    <n v="0"/>
    <n v="0"/>
    <n v="0"/>
    <n v="0"/>
    <n v="0"/>
    <n v="0"/>
    <n v="0"/>
    <n v="0"/>
    <n v="0"/>
    <n v="0"/>
    <n v="0"/>
  </r>
  <r>
    <x v="206"/>
    <x v="202"/>
    <m/>
    <x v="9"/>
    <s v="H17"/>
    <x v="1"/>
    <s v="V191-13"/>
    <s v="Umeå"/>
    <m/>
    <m/>
    <m/>
    <n v="50"/>
    <x v="10"/>
    <m/>
    <m/>
    <n v="24"/>
    <n v="4"/>
    <n v="0.85"/>
    <n v="3.4"/>
    <n v="2193"/>
    <x v="1"/>
    <s v="Sam"/>
    <x v="9"/>
    <n v="23641"/>
    <n v="28786"/>
    <n v="192436.4"/>
    <n v="5800"/>
    <n v="23200"/>
    <n v="215636.4"/>
    <n v="0"/>
    <n v="0"/>
    <n v="0"/>
    <n v="1"/>
    <n v="0"/>
    <n v="0"/>
    <n v="0"/>
    <n v="0"/>
    <n v="0"/>
    <n v="0"/>
    <n v="0"/>
    <n v="0"/>
    <s v="Enl Ladok 190318"/>
    <m/>
    <n v="0"/>
    <n v="0"/>
    <n v="0"/>
    <n v="0"/>
    <n v="0"/>
    <n v="0"/>
    <n v="4"/>
    <n v="3.4"/>
    <n v="0"/>
    <n v="0"/>
    <n v="0"/>
    <n v="0"/>
    <n v="0"/>
    <n v="0"/>
    <n v="0"/>
    <n v="0"/>
    <n v="0"/>
    <n v="0"/>
    <n v="0"/>
    <n v="0"/>
    <n v="0"/>
    <n v="0"/>
    <n v="0"/>
  </r>
  <r>
    <x v="206"/>
    <x v="202"/>
    <m/>
    <x v="9"/>
    <s v="H18"/>
    <x v="1"/>
    <s v="V191-13"/>
    <s v="Umeå"/>
    <m/>
    <m/>
    <m/>
    <n v="50"/>
    <x v="10"/>
    <m/>
    <m/>
    <n v="1"/>
    <n v="0.16666666666666666"/>
    <n v="0.85"/>
    <n v="0.14166666666666666"/>
    <n v="2193"/>
    <x v="1"/>
    <s v="Sam"/>
    <x v="9"/>
    <n v="23641"/>
    <n v="28786"/>
    <n v="8018.1833333333325"/>
    <n v="5800"/>
    <n v="966.66666666666663"/>
    <n v="8984.8499999999985"/>
    <n v="0"/>
    <n v="0"/>
    <n v="0"/>
    <n v="1"/>
    <n v="0"/>
    <n v="0"/>
    <n v="0"/>
    <n v="0"/>
    <n v="0"/>
    <n v="0"/>
    <n v="0"/>
    <n v="0"/>
    <s v="Enl Ladok 190318"/>
    <m/>
    <n v="0"/>
    <n v="0"/>
    <n v="0"/>
    <n v="0"/>
    <n v="0"/>
    <n v="0"/>
    <n v="0.16666666666666666"/>
    <n v="0.14166666666666666"/>
    <n v="0"/>
    <n v="0"/>
    <n v="0"/>
    <n v="0"/>
    <n v="0"/>
    <n v="0"/>
    <n v="0"/>
    <n v="0"/>
    <n v="0"/>
    <n v="0"/>
    <n v="0"/>
    <n v="0"/>
    <n v="0"/>
    <n v="0"/>
    <n v="0"/>
  </r>
  <r>
    <x v="206"/>
    <x v="202"/>
    <m/>
    <x v="9"/>
    <s v="V19"/>
    <x v="1"/>
    <s v="V191-13"/>
    <s v="Umeå"/>
    <m/>
    <m/>
    <m/>
    <n v="50"/>
    <x v="10"/>
    <m/>
    <m/>
    <n v="1"/>
    <n v="0.16666666666666666"/>
    <n v="0.85"/>
    <n v="0.14166666666666666"/>
    <n v="2193"/>
    <x v="1"/>
    <s v="Sam"/>
    <x v="9"/>
    <n v="23641"/>
    <n v="28786"/>
    <n v="8018.1833333333325"/>
    <n v="5800"/>
    <n v="966.66666666666663"/>
    <n v="8984.8499999999985"/>
    <n v="0"/>
    <n v="0"/>
    <n v="0"/>
    <n v="1"/>
    <n v="0"/>
    <n v="0"/>
    <n v="0"/>
    <n v="0"/>
    <n v="0"/>
    <n v="0"/>
    <n v="0"/>
    <n v="0"/>
    <s v="Enl Ladok 190318"/>
    <m/>
    <n v="0"/>
    <n v="0"/>
    <n v="0"/>
    <n v="0"/>
    <n v="0"/>
    <n v="0"/>
    <n v="0.16666666666666666"/>
    <n v="0.14166666666666666"/>
    <n v="0"/>
    <n v="0"/>
    <n v="0"/>
    <n v="0"/>
    <n v="0"/>
    <n v="0"/>
    <n v="0"/>
    <n v="0"/>
    <n v="0"/>
    <n v="0"/>
    <n v="0"/>
    <n v="0"/>
    <n v="0"/>
    <n v="0"/>
    <n v="0"/>
  </r>
  <r>
    <x v="207"/>
    <x v="203"/>
    <m/>
    <x v="9"/>
    <s v="H17"/>
    <x v="1"/>
    <s v="V1914-20"/>
    <s v="Umeå"/>
    <m/>
    <m/>
    <m/>
    <n v="50"/>
    <x v="9"/>
    <m/>
    <m/>
    <n v="23"/>
    <n v="1.9166666666666665"/>
    <n v="0.85"/>
    <n v="1.6291666666666664"/>
    <n v="2193"/>
    <x v="1"/>
    <s v="Sam"/>
    <x v="9"/>
    <n v="23641"/>
    <n v="28786"/>
    <n v="92209.108333333323"/>
    <n v="5800"/>
    <n v="11116.666666666666"/>
    <n v="103325.77499999999"/>
    <n v="0"/>
    <n v="0"/>
    <n v="0"/>
    <n v="1"/>
    <n v="0"/>
    <n v="0"/>
    <n v="0"/>
    <n v="0"/>
    <n v="0"/>
    <n v="0"/>
    <n v="0"/>
    <n v="0"/>
    <s v="Enl Ladok 190523"/>
    <m/>
    <n v="0"/>
    <n v="0"/>
    <n v="0"/>
    <n v="0"/>
    <n v="0"/>
    <n v="0"/>
    <n v="1.9166666666666665"/>
    <n v="1.6291666666666664"/>
    <n v="0"/>
    <n v="0"/>
    <n v="0"/>
    <n v="0"/>
    <n v="0"/>
    <n v="0"/>
    <n v="0"/>
    <n v="0"/>
    <n v="0"/>
    <n v="0"/>
    <n v="0"/>
    <n v="0"/>
    <n v="0"/>
    <n v="0"/>
    <n v="0"/>
  </r>
  <r>
    <x v="208"/>
    <x v="204"/>
    <m/>
    <x v="0"/>
    <m/>
    <x v="2"/>
    <m/>
    <m/>
    <s v="Distans"/>
    <m/>
    <m/>
    <n v="50"/>
    <x v="1"/>
    <m/>
    <m/>
    <n v="30"/>
    <n v="7.5"/>
    <n v="0.8"/>
    <n v="6"/>
    <n v="2193"/>
    <x v="1"/>
    <s v="Sam"/>
    <x v="0"/>
    <n v="18405"/>
    <n v="15773"/>
    <n v="232675.5"/>
    <n v="5800"/>
    <n v="43500"/>
    <n v="276175.5"/>
    <n v="0"/>
    <n v="0"/>
    <n v="0"/>
    <n v="0"/>
    <n v="0"/>
    <n v="0"/>
    <n v="1"/>
    <n v="0"/>
    <n v="0"/>
    <n v="0"/>
    <n v="0"/>
    <n v="0"/>
    <s v="Äskat - Beslut p43 180607"/>
    <m/>
    <n v="0"/>
    <n v="0"/>
    <n v="0"/>
    <n v="0"/>
    <n v="0"/>
    <n v="0"/>
    <n v="0"/>
    <n v="0"/>
    <n v="0"/>
    <n v="0"/>
    <n v="0"/>
    <n v="0"/>
    <n v="7.5"/>
    <n v="6"/>
    <n v="0"/>
    <n v="0"/>
    <n v="0"/>
    <n v="0"/>
    <n v="0"/>
    <n v="0"/>
    <n v="0"/>
    <n v="0"/>
    <n v="0"/>
  </r>
  <r>
    <x v="209"/>
    <x v="205"/>
    <m/>
    <x v="2"/>
    <s v="H16"/>
    <x v="1"/>
    <s v="V1911-20"/>
    <s v="Umeå"/>
    <m/>
    <m/>
    <m/>
    <n v="100"/>
    <x v="1"/>
    <m/>
    <m/>
    <n v="38"/>
    <n v="9.5"/>
    <n v="0.85"/>
    <n v="8.0749999999999993"/>
    <n v="2180"/>
    <x v="0"/>
    <s v="Sam"/>
    <x v="2"/>
    <n v="18405"/>
    <n v="15773"/>
    <n v="302214.47499999998"/>
    <n v="5800"/>
    <n v="55100"/>
    <n v="357314.47499999998"/>
    <n v="0"/>
    <n v="0"/>
    <n v="0"/>
    <n v="0"/>
    <n v="0"/>
    <n v="0"/>
    <n v="1"/>
    <n v="0"/>
    <n v="0"/>
    <n v="0"/>
    <n v="0"/>
    <n v="0"/>
    <s v="Enl Ladok 190523"/>
    <m/>
    <n v="0"/>
    <n v="0"/>
    <n v="0"/>
    <n v="0"/>
    <n v="0"/>
    <n v="0"/>
    <n v="0"/>
    <n v="0"/>
    <n v="0"/>
    <n v="0"/>
    <n v="0"/>
    <n v="0"/>
    <n v="9.5"/>
    <n v="8.0749999999999993"/>
    <n v="0"/>
    <n v="0"/>
    <n v="0"/>
    <n v="0"/>
    <n v="0"/>
    <n v="0"/>
    <n v="0"/>
    <n v="0"/>
    <n v="0"/>
  </r>
  <r>
    <x v="210"/>
    <x v="206"/>
    <m/>
    <x v="0"/>
    <m/>
    <x v="0"/>
    <s v="Sommarkurs"/>
    <m/>
    <s v="Distans"/>
    <m/>
    <m/>
    <n v="50"/>
    <x v="0"/>
    <m/>
    <m/>
    <n v="0"/>
    <n v="0"/>
    <n v="0.8"/>
    <n v="0"/>
    <n v="5740"/>
    <x v="9"/>
    <s v="TekNat"/>
    <x v="0"/>
    <n v="19473"/>
    <n v="34806"/>
    <n v="0"/>
    <n v="21800"/>
    <n v="0"/>
    <n v="0"/>
    <n v="0"/>
    <n v="0"/>
    <n v="0"/>
    <n v="0"/>
    <n v="0"/>
    <n v="1"/>
    <n v="0"/>
    <n v="0"/>
    <n v="0"/>
    <n v="0"/>
    <n v="0"/>
    <n v="0"/>
    <s v="Äskat - Beslut p43 180607"/>
    <s v="Ställs in enl uppg fr inst 190205"/>
    <n v="0"/>
    <n v="0"/>
    <n v="0"/>
    <n v="0"/>
    <n v="0"/>
    <n v="0"/>
    <n v="0"/>
    <n v="0"/>
    <n v="0"/>
    <n v="0"/>
    <n v="0"/>
    <n v="0"/>
    <n v="0"/>
    <n v="0"/>
    <n v="0"/>
    <n v="0"/>
    <n v="0"/>
    <n v="0"/>
    <n v="0"/>
    <n v="0"/>
    <n v="0"/>
    <n v="0"/>
    <n v="0"/>
  </r>
  <r>
    <x v="210"/>
    <x v="206"/>
    <m/>
    <x v="0"/>
    <m/>
    <x v="2"/>
    <m/>
    <m/>
    <s v="Campus"/>
    <m/>
    <m/>
    <n v="25"/>
    <x v="0"/>
    <m/>
    <m/>
    <n v="10"/>
    <n v="1.25"/>
    <n v="0.8"/>
    <n v="1"/>
    <n v="5740"/>
    <x v="9"/>
    <s v="TekNat"/>
    <x v="0"/>
    <n v="19473"/>
    <n v="34806"/>
    <n v="59147.25"/>
    <n v="21800"/>
    <n v="27250"/>
    <n v="86397.25"/>
    <n v="0"/>
    <n v="0"/>
    <n v="0"/>
    <n v="0"/>
    <n v="0"/>
    <n v="1"/>
    <n v="0"/>
    <n v="0"/>
    <n v="0"/>
    <n v="0"/>
    <n v="0"/>
    <n v="0"/>
    <s v="Äskat - Beslut p43 180607"/>
    <m/>
    <n v="0"/>
    <n v="0"/>
    <n v="0"/>
    <n v="0"/>
    <n v="0"/>
    <n v="0"/>
    <n v="0"/>
    <n v="0"/>
    <n v="0"/>
    <n v="0"/>
    <n v="1.25"/>
    <n v="1"/>
    <n v="0"/>
    <n v="0"/>
    <n v="0"/>
    <n v="0"/>
    <n v="0"/>
    <n v="0"/>
    <n v="0"/>
    <n v="0"/>
    <n v="0"/>
    <n v="0"/>
    <n v="0"/>
  </r>
  <r>
    <x v="210"/>
    <x v="206"/>
    <m/>
    <x v="1"/>
    <s v="H15"/>
    <x v="2"/>
    <s v="H191-20"/>
    <m/>
    <m/>
    <s v="MUSI"/>
    <m/>
    <n v="25"/>
    <x v="0"/>
    <m/>
    <m/>
    <n v="1"/>
    <n v="0.125"/>
    <n v="0.85"/>
    <n v="0.10625"/>
    <n v="5740"/>
    <x v="9"/>
    <s v="TekNat"/>
    <x v="1"/>
    <n v="19473"/>
    <n v="34806"/>
    <n v="6132.2624999999998"/>
    <n v="21800"/>
    <n v="2725"/>
    <n v="8857.2625000000007"/>
    <n v="0"/>
    <n v="0"/>
    <n v="0"/>
    <n v="0"/>
    <n v="0"/>
    <n v="1"/>
    <n v="0"/>
    <n v="0"/>
    <n v="0"/>
    <n v="0"/>
    <n v="0"/>
    <n v="0"/>
    <s v="Enligt SP 190924"/>
    <m/>
    <n v="0"/>
    <n v="0"/>
    <n v="0"/>
    <n v="0"/>
    <n v="0"/>
    <n v="0"/>
    <n v="0"/>
    <n v="0"/>
    <n v="0"/>
    <n v="0"/>
    <n v="0.125"/>
    <n v="0.10625"/>
    <n v="0"/>
    <n v="0"/>
    <n v="0"/>
    <n v="0"/>
    <n v="0"/>
    <n v="0"/>
    <n v="0"/>
    <n v="0"/>
    <n v="0"/>
    <n v="0"/>
    <n v="0"/>
  </r>
  <r>
    <x v="210"/>
    <x v="206"/>
    <m/>
    <x v="1"/>
    <s v="H16"/>
    <x v="2"/>
    <s v="H191-20"/>
    <m/>
    <m/>
    <s v="MATT"/>
    <m/>
    <n v="25"/>
    <x v="0"/>
    <m/>
    <m/>
    <n v="1"/>
    <n v="0.125"/>
    <n v="0.85"/>
    <n v="0.10625"/>
    <n v="5740"/>
    <x v="9"/>
    <s v="TekNat"/>
    <x v="1"/>
    <n v="19473"/>
    <n v="34806"/>
    <n v="6132.2624999999998"/>
    <n v="21800"/>
    <n v="2725"/>
    <n v="8857.2625000000007"/>
    <n v="0"/>
    <n v="0"/>
    <n v="0"/>
    <n v="0"/>
    <n v="0"/>
    <n v="1"/>
    <n v="0"/>
    <n v="0"/>
    <n v="0"/>
    <n v="0"/>
    <n v="0"/>
    <n v="0"/>
    <s v="Enligt SP 190924"/>
    <m/>
    <n v="0"/>
    <n v="0"/>
    <n v="0"/>
    <n v="0"/>
    <n v="0"/>
    <n v="0"/>
    <n v="0"/>
    <n v="0"/>
    <n v="0"/>
    <n v="0"/>
    <n v="0.125"/>
    <n v="0.10625"/>
    <n v="0"/>
    <n v="0"/>
    <n v="0"/>
    <n v="0"/>
    <n v="0"/>
    <n v="0"/>
    <n v="0"/>
    <n v="0"/>
    <n v="0"/>
    <n v="0"/>
    <n v="0"/>
  </r>
  <r>
    <x v="210"/>
    <x v="206"/>
    <m/>
    <x v="1"/>
    <s v="H17"/>
    <x v="2"/>
    <s v="H191-20"/>
    <m/>
    <m/>
    <s v="MATT"/>
    <m/>
    <n v="25"/>
    <x v="0"/>
    <m/>
    <m/>
    <n v="1"/>
    <n v="0.125"/>
    <n v="0.85"/>
    <n v="0.10625"/>
    <n v="5740"/>
    <x v="9"/>
    <s v="TekNat"/>
    <x v="1"/>
    <n v="19473"/>
    <n v="34806"/>
    <n v="6132.2624999999998"/>
    <n v="21800"/>
    <n v="2725"/>
    <n v="8857.2625000000007"/>
    <n v="0"/>
    <n v="0"/>
    <n v="0"/>
    <n v="0"/>
    <n v="0"/>
    <n v="1"/>
    <n v="0"/>
    <n v="0"/>
    <n v="0"/>
    <n v="0"/>
    <n v="0"/>
    <n v="0"/>
    <s v="Enligt SP 190924"/>
    <m/>
    <n v="0"/>
    <n v="0"/>
    <n v="0"/>
    <n v="0"/>
    <n v="0"/>
    <n v="0"/>
    <n v="0"/>
    <n v="0"/>
    <n v="0"/>
    <n v="0"/>
    <n v="0.125"/>
    <n v="0.10625"/>
    <n v="0"/>
    <n v="0"/>
    <n v="0"/>
    <n v="0"/>
    <n v="0"/>
    <n v="0"/>
    <n v="0"/>
    <n v="0"/>
    <n v="0"/>
    <n v="0"/>
    <n v="0"/>
  </r>
  <r>
    <x v="210"/>
    <x v="206"/>
    <m/>
    <x v="1"/>
    <s v="H18"/>
    <x v="2"/>
    <s v="H191-20"/>
    <m/>
    <m/>
    <s v="NATU"/>
    <m/>
    <n v="25"/>
    <x v="0"/>
    <m/>
    <m/>
    <n v="1"/>
    <n v="0.125"/>
    <n v="0.85"/>
    <n v="0.10625"/>
    <n v="5740"/>
    <x v="9"/>
    <s v="TekNat"/>
    <x v="1"/>
    <n v="19473"/>
    <n v="34806"/>
    <n v="6132.2624999999998"/>
    <n v="21800"/>
    <n v="2725"/>
    <n v="8857.2625000000007"/>
    <n v="0"/>
    <n v="0"/>
    <n v="0"/>
    <n v="0"/>
    <n v="0"/>
    <n v="1"/>
    <n v="0"/>
    <n v="0"/>
    <n v="0"/>
    <n v="0"/>
    <n v="0"/>
    <n v="0"/>
    <s v="Enligt SP 190924"/>
    <m/>
    <n v="0"/>
    <n v="0"/>
    <n v="0"/>
    <n v="0"/>
    <n v="0"/>
    <n v="0"/>
    <n v="0"/>
    <n v="0"/>
    <n v="0"/>
    <n v="0"/>
    <n v="0.125"/>
    <n v="0.10625"/>
    <n v="0"/>
    <n v="0"/>
    <n v="0"/>
    <n v="0"/>
    <n v="0"/>
    <n v="0"/>
    <n v="0"/>
    <n v="0"/>
    <n v="0"/>
    <n v="0"/>
    <n v="0"/>
  </r>
  <r>
    <x v="211"/>
    <x v="207"/>
    <m/>
    <x v="7"/>
    <s v="H19"/>
    <x v="2"/>
    <s v="H191-4"/>
    <m/>
    <m/>
    <m/>
    <m/>
    <n v="100"/>
    <x v="2"/>
    <m/>
    <m/>
    <n v="57"/>
    <n v="5.7"/>
    <n v="0.85"/>
    <n v="4.8449999999999998"/>
    <n v="2193"/>
    <x v="1"/>
    <s v="Sam"/>
    <x v="7"/>
    <n v="23641"/>
    <n v="28786"/>
    <n v="274221.87"/>
    <n v="5800"/>
    <n v="33060"/>
    <n v="307281.87"/>
    <n v="0"/>
    <n v="0"/>
    <n v="0"/>
    <n v="1"/>
    <n v="0"/>
    <n v="0"/>
    <n v="0"/>
    <n v="0"/>
    <n v="0"/>
    <n v="0"/>
    <n v="0"/>
    <n v="0"/>
    <s v="Enligt SP 190924"/>
    <m/>
    <n v="0"/>
    <n v="0"/>
    <n v="0"/>
    <n v="0"/>
    <n v="0"/>
    <n v="0"/>
    <n v="5.7"/>
    <n v="4.8449999999999998"/>
    <n v="0"/>
    <n v="0"/>
    <n v="0"/>
    <n v="0"/>
    <n v="0"/>
    <n v="0"/>
    <n v="0"/>
    <n v="0"/>
    <n v="0"/>
    <n v="0"/>
    <n v="0"/>
    <n v="0"/>
    <n v="0"/>
    <n v="0"/>
    <n v="0"/>
  </r>
  <r>
    <x v="211"/>
    <x v="207"/>
    <m/>
    <x v="7"/>
    <s v="V19"/>
    <x v="1"/>
    <s v="V191-4"/>
    <s v="Umeå"/>
    <m/>
    <m/>
    <m/>
    <n v="100"/>
    <x v="2"/>
    <m/>
    <m/>
    <n v="23"/>
    <n v="2.3000000000000003"/>
    <n v="0.85"/>
    <n v="1.9550000000000001"/>
    <n v="2193"/>
    <x v="1"/>
    <s v="Sam"/>
    <x v="7"/>
    <n v="23641"/>
    <n v="28786"/>
    <n v="110650.93000000001"/>
    <n v="5800"/>
    <n v="13340.000000000002"/>
    <n v="123990.93000000001"/>
    <n v="0"/>
    <n v="0"/>
    <n v="0"/>
    <n v="1"/>
    <n v="0"/>
    <n v="0"/>
    <n v="0"/>
    <n v="0"/>
    <n v="0"/>
    <n v="0"/>
    <n v="0"/>
    <n v="0"/>
    <s v="Enl Ladok 190318"/>
    <m/>
    <n v="0"/>
    <n v="0"/>
    <n v="0"/>
    <n v="0"/>
    <n v="0"/>
    <n v="0"/>
    <n v="2.3000000000000003"/>
    <n v="1.9550000000000001"/>
    <n v="0"/>
    <n v="0"/>
    <n v="0"/>
    <n v="0"/>
    <n v="0"/>
    <n v="0"/>
    <n v="0"/>
    <n v="0"/>
    <n v="0"/>
    <n v="0"/>
    <n v="0"/>
    <n v="0"/>
    <n v="0"/>
    <n v="0"/>
    <n v="0"/>
  </r>
  <r>
    <x v="212"/>
    <x v="208"/>
    <m/>
    <x v="7"/>
    <s v="H19"/>
    <x v="2"/>
    <s v="H195"/>
    <m/>
    <m/>
    <m/>
    <m/>
    <n v="100"/>
    <x v="4"/>
    <n v="-0.05"/>
    <n v="57"/>
    <n v="54.15"/>
    <n v="1.35375"/>
    <n v="0.85"/>
    <n v="1.1506875000000001"/>
    <n v="2193"/>
    <x v="1"/>
    <s v="Sam"/>
    <x v="7"/>
    <n v="21634"/>
    <n v="26986"/>
    <n v="60339.480374999999"/>
    <n v="3400"/>
    <n v="4602.75"/>
    <n v="64942.230374999999"/>
    <n v="0"/>
    <n v="0"/>
    <n v="0"/>
    <n v="0"/>
    <n v="0"/>
    <n v="0"/>
    <n v="0"/>
    <n v="0"/>
    <n v="1"/>
    <n v="0"/>
    <n v="0"/>
    <n v="0"/>
    <s v="Prognostal"/>
    <m/>
    <n v="0"/>
    <n v="0"/>
    <n v="0"/>
    <n v="0"/>
    <n v="0"/>
    <n v="0"/>
    <n v="0"/>
    <n v="0"/>
    <n v="0"/>
    <n v="0"/>
    <n v="0"/>
    <n v="0"/>
    <n v="0"/>
    <n v="0"/>
    <n v="0"/>
    <n v="0"/>
    <n v="1.35375"/>
    <n v="1.1506875000000001"/>
    <n v="0"/>
    <n v="0"/>
    <n v="0"/>
    <n v="0"/>
    <n v="0"/>
  </r>
  <r>
    <x v="212"/>
    <x v="208"/>
    <m/>
    <x v="7"/>
    <s v="V19"/>
    <x v="1"/>
    <s v="V195"/>
    <s v="Umeå"/>
    <m/>
    <m/>
    <m/>
    <n v="100"/>
    <x v="4"/>
    <m/>
    <m/>
    <n v="21"/>
    <n v="0.52500000000000002"/>
    <n v="0.85"/>
    <n v="0.44624999999999998"/>
    <n v="2193"/>
    <x v="1"/>
    <s v="Sam"/>
    <x v="7"/>
    <n v="21634"/>
    <n v="26986"/>
    <n v="23400.352500000001"/>
    <n v="3400"/>
    <n v="1785"/>
    <n v="25185.352500000001"/>
    <n v="0"/>
    <n v="0"/>
    <n v="0"/>
    <n v="0"/>
    <n v="0"/>
    <n v="0"/>
    <n v="0"/>
    <n v="0"/>
    <n v="1"/>
    <n v="0"/>
    <n v="0"/>
    <n v="0"/>
    <s v="Enl Ladok 190318"/>
    <m/>
    <n v="0"/>
    <n v="0"/>
    <n v="0"/>
    <n v="0"/>
    <n v="0"/>
    <n v="0"/>
    <n v="0"/>
    <n v="0"/>
    <n v="0"/>
    <n v="0"/>
    <n v="0"/>
    <n v="0"/>
    <n v="0"/>
    <n v="0"/>
    <n v="0"/>
    <n v="0"/>
    <n v="0.52500000000000002"/>
    <n v="0.44624999999999998"/>
    <n v="0"/>
    <n v="0"/>
    <n v="0"/>
    <n v="0"/>
    <n v="0"/>
  </r>
  <r>
    <x v="213"/>
    <x v="209"/>
    <m/>
    <x v="1"/>
    <s v="H17"/>
    <x v="2"/>
    <s v="H191-4"/>
    <m/>
    <m/>
    <s v="TYSK"/>
    <m/>
    <n v="100"/>
    <x v="2"/>
    <m/>
    <m/>
    <n v="1"/>
    <n v="0.1"/>
    <n v="0.85"/>
    <n v="8.5000000000000006E-2"/>
    <n v="2180"/>
    <x v="0"/>
    <s v="Sam"/>
    <x v="1"/>
    <n v="23641"/>
    <n v="28786"/>
    <n v="4810.91"/>
    <n v="5800"/>
    <n v="580"/>
    <n v="5390.91"/>
    <n v="0"/>
    <n v="0"/>
    <n v="0"/>
    <n v="1"/>
    <n v="0"/>
    <n v="0"/>
    <n v="0"/>
    <n v="0"/>
    <n v="0"/>
    <n v="0"/>
    <n v="0"/>
    <n v="0"/>
    <s v="Enligt SP 190924"/>
    <m/>
    <n v="0"/>
    <n v="0"/>
    <n v="0"/>
    <n v="0"/>
    <n v="0"/>
    <n v="0"/>
    <n v="0.1"/>
    <n v="8.5000000000000006E-2"/>
    <n v="0"/>
    <n v="0"/>
    <n v="0"/>
    <n v="0"/>
    <n v="0"/>
    <n v="0"/>
    <n v="0"/>
    <n v="0"/>
    <n v="0"/>
    <n v="0"/>
    <n v="0"/>
    <n v="0"/>
    <n v="0"/>
    <n v="0"/>
    <n v="0"/>
  </r>
  <r>
    <x v="213"/>
    <x v="209"/>
    <m/>
    <x v="1"/>
    <s v="H18"/>
    <x v="2"/>
    <s v="H191-4"/>
    <m/>
    <m/>
    <s v="ENGS"/>
    <m/>
    <n v="100"/>
    <x v="2"/>
    <m/>
    <m/>
    <n v="1"/>
    <n v="0.1"/>
    <n v="0.85"/>
    <n v="8.5000000000000006E-2"/>
    <n v="2180"/>
    <x v="0"/>
    <s v="Sam"/>
    <x v="1"/>
    <n v="23641"/>
    <n v="28786"/>
    <n v="4810.91"/>
    <n v="5800"/>
    <n v="580"/>
    <n v="5390.91"/>
    <n v="0"/>
    <n v="0"/>
    <n v="0"/>
    <n v="1"/>
    <n v="0"/>
    <n v="0"/>
    <n v="0"/>
    <n v="0"/>
    <n v="0"/>
    <n v="0"/>
    <n v="0"/>
    <n v="0"/>
    <s v="Enligt SP 190924"/>
    <m/>
    <n v="0"/>
    <n v="0"/>
    <n v="0"/>
    <n v="0"/>
    <n v="0"/>
    <n v="0"/>
    <n v="0.1"/>
    <n v="8.5000000000000006E-2"/>
    <n v="0"/>
    <n v="0"/>
    <n v="0"/>
    <n v="0"/>
    <n v="0"/>
    <n v="0"/>
    <n v="0"/>
    <n v="0"/>
    <n v="0"/>
    <n v="0"/>
    <n v="0"/>
    <n v="0"/>
    <n v="0"/>
    <n v="0"/>
    <n v="0"/>
  </r>
  <r>
    <x v="213"/>
    <x v="209"/>
    <m/>
    <x v="1"/>
    <s v="H18"/>
    <x v="2"/>
    <s v="H191-4"/>
    <m/>
    <m/>
    <s v="SAMK"/>
    <m/>
    <n v="100"/>
    <x v="2"/>
    <m/>
    <m/>
    <n v="1"/>
    <n v="0.1"/>
    <n v="0.85"/>
    <n v="8.5000000000000006E-2"/>
    <n v="2180"/>
    <x v="0"/>
    <s v="Sam"/>
    <x v="1"/>
    <n v="23641"/>
    <n v="28786"/>
    <n v="4810.91"/>
    <n v="5800"/>
    <n v="580"/>
    <n v="5390.91"/>
    <n v="0"/>
    <n v="0"/>
    <n v="0"/>
    <n v="1"/>
    <n v="0"/>
    <n v="0"/>
    <n v="0"/>
    <n v="0"/>
    <n v="0"/>
    <n v="0"/>
    <n v="0"/>
    <n v="0"/>
    <s v="Enligt SP 190924"/>
    <m/>
    <n v="0"/>
    <n v="0"/>
    <n v="0"/>
    <n v="0"/>
    <n v="0"/>
    <n v="0"/>
    <n v="0.1"/>
    <n v="8.5000000000000006E-2"/>
    <n v="0"/>
    <n v="0"/>
    <n v="0"/>
    <n v="0"/>
    <n v="0"/>
    <n v="0"/>
    <n v="0"/>
    <n v="0"/>
    <n v="0"/>
    <n v="0"/>
    <n v="0"/>
    <n v="0"/>
    <n v="0"/>
    <n v="0"/>
    <n v="0"/>
  </r>
  <r>
    <x v="213"/>
    <x v="209"/>
    <m/>
    <x v="1"/>
    <s v="H19"/>
    <x v="2"/>
    <s v="H191-4"/>
    <m/>
    <m/>
    <s v="BILÄ"/>
    <m/>
    <n v="100"/>
    <x v="2"/>
    <m/>
    <m/>
    <n v="4"/>
    <n v="0.4"/>
    <n v="0.85"/>
    <n v="0.34"/>
    <n v="2180"/>
    <x v="0"/>
    <s v="Sam"/>
    <x v="1"/>
    <n v="23641"/>
    <n v="28786"/>
    <n v="19243.64"/>
    <n v="5800"/>
    <n v="2320"/>
    <n v="21563.64"/>
    <n v="0"/>
    <n v="0"/>
    <n v="0"/>
    <n v="1"/>
    <n v="0"/>
    <n v="0"/>
    <n v="0"/>
    <n v="0"/>
    <n v="0"/>
    <n v="0"/>
    <n v="0"/>
    <n v="0"/>
    <s v="Enligt SP 190924"/>
    <m/>
    <n v="0"/>
    <n v="0"/>
    <n v="0"/>
    <n v="0"/>
    <n v="0"/>
    <n v="0"/>
    <n v="0.4"/>
    <n v="0.34"/>
    <n v="0"/>
    <n v="0"/>
    <n v="0"/>
    <n v="0"/>
    <n v="0"/>
    <n v="0"/>
    <n v="0"/>
    <n v="0"/>
    <n v="0"/>
    <n v="0"/>
    <n v="0"/>
    <n v="0"/>
    <n v="0"/>
    <n v="0"/>
    <n v="0"/>
  </r>
  <r>
    <x v="213"/>
    <x v="209"/>
    <m/>
    <x v="1"/>
    <s v="H19"/>
    <x v="2"/>
    <s v="H191-4"/>
    <m/>
    <m/>
    <s v="BIOL"/>
    <m/>
    <n v="100"/>
    <x v="2"/>
    <m/>
    <m/>
    <n v="4"/>
    <n v="0.4"/>
    <n v="0.85"/>
    <n v="0.34"/>
    <n v="2180"/>
    <x v="0"/>
    <s v="Sam"/>
    <x v="1"/>
    <n v="23641"/>
    <n v="28786"/>
    <n v="19243.64"/>
    <n v="5800"/>
    <n v="2320"/>
    <n v="21563.64"/>
    <n v="0"/>
    <n v="0"/>
    <n v="0"/>
    <n v="1"/>
    <n v="0"/>
    <n v="0"/>
    <n v="0"/>
    <n v="0"/>
    <n v="0"/>
    <n v="0"/>
    <n v="0"/>
    <n v="0"/>
    <s v="Enligt SP 190924"/>
    <m/>
    <n v="0"/>
    <n v="0"/>
    <n v="0"/>
    <n v="0"/>
    <n v="0"/>
    <n v="0"/>
    <n v="0.4"/>
    <n v="0.34"/>
    <n v="0"/>
    <n v="0"/>
    <n v="0"/>
    <n v="0"/>
    <n v="0"/>
    <n v="0"/>
    <n v="0"/>
    <n v="0"/>
    <n v="0"/>
    <n v="0"/>
    <n v="0"/>
    <n v="0"/>
    <n v="0"/>
    <n v="0"/>
    <n v="0"/>
  </r>
  <r>
    <x v="213"/>
    <x v="209"/>
    <m/>
    <x v="1"/>
    <s v="H19"/>
    <x v="2"/>
    <s v="H191-4"/>
    <m/>
    <m/>
    <s v="ENGS"/>
    <m/>
    <n v="100"/>
    <x v="2"/>
    <m/>
    <m/>
    <n v="18"/>
    <n v="1.8"/>
    <n v="0.85"/>
    <n v="1.53"/>
    <n v="2180"/>
    <x v="0"/>
    <s v="Sam"/>
    <x v="1"/>
    <n v="23641"/>
    <n v="28786"/>
    <n v="86596.38"/>
    <n v="5800"/>
    <n v="10440"/>
    <n v="97036.38"/>
    <n v="0"/>
    <n v="0"/>
    <n v="0"/>
    <n v="1"/>
    <n v="0"/>
    <n v="0"/>
    <n v="0"/>
    <n v="0"/>
    <n v="0"/>
    <n v="0"/>
    <n v="0"/>
    <n v="0"/>
    <s v="Enligt SP 190924"/>
    <m/>
    <n v="0"/>
    <n v="0"/>
    <n v="0"/>
    <n v="0"/>
    <n v="0"/>
    <n v="0"/>
    <n v="1.8"/>
    <n v="1.53"/>
    <n v="0"/>
    <n v="0"/>
    <n v="0"/>
    <n v="0"/>
    <n v="0"/>
    <n v="0"/>
    <n v="0"/>
    <n v="0"/>
    <n v="0"/>
    <n v="0"/>
    <n v="0"/>
    <n v="0"/>
    <n v="0"/>
    <n v="0"/>
    <n v="0"/>
  </r>
  <r>
    <x v="213"/>
    <x v="209"/>
    <m/>
    <x v="1"/>
    <s v="H19"/>
    <x v="2"/>
    <s v="H191-4"/>
    <m/>
    <m/>
    <s v="GEOG"/>
    <m/>
    <n v="100"/>
    <x v="2"/>
    <m/>
    <m/>
    <n v="7"/>
    <n v="0.70000000000000007"/>
    <n v="0.85"/>
    <n v="0.59500000000000008"/>
    <n v="2180"/>
    <x v="0"/>
    <s v="Sam"/>
    <x v="1"/>
    <n v="23641"/>
    <n v="28786"/>
    <n v="33676.370000000003"/>
    <n v="5800"/>
    <n v="4060.0000000000005"/>
    <n v="37736.370000000003"/>
    <n v="0"/>
    <n v="0"/>
    <n v="0"/>
    <n v="1"/>
    <n v="0"/>
    <n v="0"/>
    <n v="0"/>
    <n v="0"/>
    <n v="0"/>
    <n v="0"/>
    <n v="0"/>
    <n v="0"/>
    <s v="Enligt SP 190924"/>
    <m/>
    <n v="0"/>
    <n v="0"/>
    <n v="0"/>
    <n v="0"/>
    <n v="0"/>
    <n v="0"/>
    <n v="0.70000000000000007"/>
    <n v="0.59500000000000008"/>
    <n v="0"/>
    <n v="0"/>
    <n v="0"/>
    <n v="0"/>
    <n v="0"/>
    <n v="0"/>
    <n v="0"/>
    <n v="0"/>
    <n v="0"/>
    <n v="0"/>
    <n v="0"/>
    <n v="0"/>
    <n v="0"/>
    <n v="0"/>
    <n v="0"/>
  </r>
  <r>
    <x v="213"/>
    <x v="209"/>
    <m/>
    <x v="1"/>
    <s v="H19"/>
    <x v="2"/>
    <s v="H191-4"/>
    <m/>
    <m/>
    <s v="HIST"/>
    <m/>
    <n v="100"/>
    <x v="2"/>
    <m/>
    <m/>
    <n v="30"/>
    <n v="3"/>
    <n v="0.85"/>
    <n v="2.5499999999999998"/>
    <n v="2180"/>
    <x v="0"/>
    <s v="Sam"/>
    <x v="1"/>
    <n v="23641"/>
    <n v="28786"/>
    <n v="144327.29999999999"/>
    <n v="5800"/>
    <n v="17400"/>
    <n v="161727.29999999999"/>
    <n v="0"/>
    <n v="0"/>
    <n v="0"/>
    <n v="1"/>
    <n v="0"/>
    <n v="0"/>
    <n v="0"/>
    <n v="0"/>
    <n v="0"/>
    <n v="0"/>
    <n v="0"/>
    <n v="0"/>
    <s v="Enligt SP 190924"/>
    <m/>
    <n v="0"/>
    <n v="0"/>
    <n v="0"/>
    <n v="0"/>
    <n v="0"/>
    <n v="0"/>
    <n v="3"/>
    <n v="2.5499999999999998"/>
    <n v="0"/>
    <n v="0"/>
    <n v="0"/>
    <n v="0"/>
    <n v="0"/>
    <n v="0"/>
    <n v="0"/>
    <n v="0"/>
    <n v="0"/>
    <n v="0"/>
    <n v="0"/>
    <n v="0"/>
    <n v="0"/>
    <n v="0"/>
    <n v="0"/>
  </r>
  <r>
    <x v="213"/>
    <x v="209"/>
    <m/>
    <x v="1"/>
    <s v="H19"/>
    <x v="2"/>
    <s v="H191-4"/>
    <m/>
    <m/>
    <s v="IDRH"/>
    <m/>
    <n v="100"/>
    <x v="2"/>
    <m/>
    <m/>
    <n v="22"/>
    <n v="2.2000000000000002"/>
    <n v="0.85"/>
    <n v="1.87"/>
    <n v="2180"/>
    <x v="0"/>
    <s v="Sam"/>
    <x v="1"/>
    <n v="23641"/>
    <n v="28786"/>
    <n v="105840.02"/>
    <n v="5800"/>
    <n v="12760.000000000002"/>
    <n v="118600.02"/>
    <n v="0"/>
    <n v="0"/>
    <n v="0"/>
    <n v="1"/>
    <n v="0"/>
    <n v="0"/>
    <n v="0"/>
    <n v="0"/>
    <n v="0"/>
    <n v="0"/>
    <n v="0"/>
    <n v="0"/>
    <s v="Enligt SP 190924"/>
    <m/>
    <n v="0"/>
    <n v="0"/>
    <n v="0"/>
    <n v="0"/>
    <n v="0"/>
    <n v="0"/>
    <n v="2.2000000000000002"/>
    <n v="1.87"/>
    <n v="0"/>
    <n v="0"/>
    <n v="0"/>
    <n v="0"/>
    <n v="0"/>
    <n v="0"/>
    <n v="0"/>
    <n v="0"/>
    <n v="0"/>
    <n v="0"/>
    <n v="0"/>
    <n v="0"/>
    <n v="0"/>
    <n v="0"/>
    <n v="0"/>
  </r>
  <r>
    <x v="213"/>
    <x v="209"/>
    <m/>
    <x v="1"/>
    <s v="H19"/>
    <x v="2"/>
    <s v="H191-4"/>
    <m/>
    <m/>
    <s v="MATT"/>
    <m/>
    <n v="100"/>
    <x v="2"/>
    <m/>
    <m/>
    <n v="18"/>
    <n v="1.8"/>
    <n v="0.85"/>
    <n v="1.53"/>
    <n v="2180"/>
    <x v="0"/>
    <s v="Sam"/>
    <x v="1"/>
    <n v="23641"/>
    <n v="28786"/>
    <n v="86596.38"/>
    <n v="5800"/>
    <n v="10440"/>
    <n v="97036.38"/>
    <n v="0"/>
    <n v="0"/>
    <n v="0"/>
    <n v="1"/>
    <n v="0"/>
    <n v="0"/>
    <n v="0"/>
    <n v="0"/>
    <n v="0"/>
    <n v="0"/>
    <n v="0"/>
    <n v="0"/>
    <s v="Enligt SP 190924"/>
    <m/>
    <n v="0"/>
    <n v="0"/>
    <n v="0"/>
    <n v="0"/>
    <n v="0"/>
    <n v="0"/>
    <n v="1.8"/>
    <n v="1.53"/>
    <n v="0"/>
    <n v="0"/>
    <n v="0"/>
    <n v="0"/>
    <n v="0"/>
    <n v="0"/>
    <n v="0"/>
    <n v="0"/>
    <n v="0"/>
    <n v="0"/>
    <n v="0"/>
    <n v="0"/>
    <n v="0"/>
    <n v="0"/>
    <n v="0"/>
  </r>
  <r>
    <x v="213"/>
    <x v="209"/>
    <m/>
    <x v="1"/>
    <s v="H19"/>
    <x v="2"/>
    <s v="H191-4"/>
    <m/>
    <m/>
    <s v="NATU"/>
    <m/>
    <n v="100"/>
    <x v="2"/>
    <m/>
    <m/>
    <n v="1"/>
    <n v="0.1"/>
    <n v="0.85"/>
    <n v="8.5000000000000006E-2"/>
    <n v="2180"/>
    <x v="0"/>
    <s v="Sam"/>
    <x v="1"/>
    <n v="23641"/>
    <n v="28786"/>
    <n v="4810.91"/>
    <n v="5800"/>
    <n v="580"/>
    <n v="5390.91"/>
    <n v="0"/>
    <n v="0"/>
    <n v="0"/>
    <n v="1"/>
    <n v="0"/>
    <n v="0"/>
    <n v="0"/>
    <n v="0"/>
    <n v="0"/>
    <n v="0"/>
    <n v="0"/>
    <n v="0"/>
    <s v="Enligt SP 190924"/>
    <m/>
    <n v="0"/>
    <n v="0"/>
    <n v="0"/>
    <n v="0"/>
    <n v="0"/>
    <n v="0"/>
    <n v="0.1"/>
    <n v="8.5000000000000006E-2"/>
    <n v="0"/>
    <n v="0"/>
    <n v="0"/>
    <n v="0"/>
    <n v="0"/>
    <n v="0"/>
    <n v="0"/>
    <n v="0"/>
    <n v="0"/>
    <n v="0"/>
    <n v="0"/>
    <n v="0"/>
    <n v="0"/>
    <n v="0"/>
    <n v="0"/>
  </r>
  <r>
    <x v="213"/>
    <x v="209"/>
    <m/>
    <x v="1"/>
    <s v="H19"/>
    <x v="2"/>
    <s v="H191-4"/>
    <m/>
    <m/>
    <s v="RELK"/>
    <m/>
    <n v="100"/>
    <x v="2"/>
    <m/>
    <m/>
    <n v="8"/>
    <n v="0.8"/>
    <n v="0.85"/>
    <n v="0.68"/>
    <n v="2180"/>
    <x v="0"/>
    <s v="Sam"/>
    <x v="1"/>
    <n v="23641"/>
    <n v="28786"/>
    <n v="38487.279999999999"/>
    <n v="5800"/>
    <n v="4640"/>
    <n v="43127.28"/>
    <n v="0"/>
    <n v="0"/>
    <n v="0"/>
    <n v="1"/>
    <n v="0"/>
    <n v="0"/>
    <n v="0"/>
    <n v="0"/>
    <n v="0"/>
    <n v="0"/>
    <n v="0"/>
    <n v="0"/>
    <s v="Enligt SP 190924"/>
    <m/>
    <n v="0"/>
    <n v="0"/>
    <n v="0"/>
    <n v="0"/>
    <n v="0"/>
    <n v="0"/>
    <n v="0.8"/>
    <n v="0.68"/>
    <n v="0"/>
    <n v="0"/>
    <n v="0"/>
    <n v="0"/>
    <n v="0"/>
    <n v="0"/>
    <n v="0"/>
    <n v="0"/>
    <n v="0"/>
    <n v="0"/>
    <n v="0"/>
    <n v="0"/>
    <n v="0"/>
    <n v="0"/>
    <n v="0"/>
  </r>
  <r>
    <x v="213"/>
    <x v="209"/>
    <m/>
    <x v="1"/>
    <s v="H19"/>
    <x v="2"/>
    <s v="H191-4"/>
    <m/>
    <m/>
    <s v="SAMK"/>
    <m/>
    <n v="100"/>
    <x v="2"/>
    <m/>
    <m/>
    <n v="19"/>
    <n v="1.9000000000000001"/>
    <n v="0.85"/>
    <n v="1.615"/>
    <n v="2180"/>
    <x v="0"/>
    <s v="Sam"/>
    <x v="1"/>
    <n v="23641"/>
    <n v="28786"/>
    <n v="91407.290000000008"/>
    <n v="5800"/>
    <n v="11020"/>
    <n v="102427.29000000001"/>
    <n v="0"/>
    <n v="0"/>
    <n v="0"/>
    <n v="1"/>
    <n v="0"/>
    <n v="0"/>
    <n v="0"/>
    <n v="0"/>
    <n v="0"/>
    <n v="0"/>
    <n v="0"/>
    <n v="0"/>
    <s v="Enligt SP 190924"/>
    <m/>
    <n v="0"/>
    <n v="0"/>
    <n v="0"/>
    <n v="0"/>
    <n v="0"/>
    <n v="0"/>
    <n v="1.9000000000000001"/>
    <n v="1.615"/>
    <n v="0"/>
    <n v="0"/>
    <n v="0"/>
    <n v="0"/>
    <n v="0"/>
    <n v="0"/>
    <n v="0"/>
    <n v="0"/>
    <n v="0"/>
    <n v="0"/>
    <n v="0"/>
    <n v="0"/>
    <n v="0"/>
    <n v="0"/>
    <n v="0"/>
  </r>
  <r>
    <x v="213"/>
    <x v="209"/>
    <m/>
    <x v="1"/>
    <s v="H19"/>
    <x v="2"/>
    <s v="H191-4"/>
    <m/>
    <m/>
    <s v="SPAN"/>
    <m/>
    <n v="100"/>
    <x v="2"/>
    <m/>
    <m/>
    <n v="1"/>
    <n v="0.1"/>
    <n v="0.85"/>
    <n v="8.5000000000000006E-2"/>
    <n v="2180"/>
    <x v="0"/>
    <s v="Sam"/>
    <x v="1"/>
    <n v="23641"/>
    <n v="28786"/>
    <n v="4810.91"/>
    <n v="5800"/>
    <n v="580"/>
    <n v="5390.91"/>
    <n v="0"/>
    <n v="0"/>
    <n v="0"/>
    <n v="1"/>
    <n v="0"/>
    <n v="0"/>
    <n v="0"/>
    <n v="0"/>
    <n v="0"/>
    <n v="0"/>
    <n v="0"/>
    <n v="0"/>
    <s v="Enligt SP 190924"/>
    <m/>
    <n v="0"/>
    <n v="0"/>
    <n v="0"/>
    <n v="0"/>
    <n v="0"/>
    <n v="0"/>
    <n v="0.1"/>
    <n v="8.5000000000000006E-2"/>
    <n v="0"/>
    <n v="0"/>
    <n v="0"/>
    <n v="0"/>
    <n v="0"/>
    <n v="0"/>
    <n v="0"/>
    <n v="0"/>
    <n v="0"/>
    <n v="0"/>
    <n v="0"/>
    <n v="0"/>
    <n v="0"/>
    <n v="0"/>
    <n v="0"/>
  </r>
  <r>
    <x v="213"/>
    <x v="209"/>
    <m/>
    <x v="1"/>
    <s v="H19"/>
    <x v="2"/>
    <s v="H191-4"/>
    <m/>
    <m/>
    <s v="SVAA"/>
    <m/>
    <n v="100"/>
    <x v="2"/>
    <m/>
    <m/>
    <n v="14"/>
    <n v="1.4000000000000001"/>
    <n v="0.85"/>
    <n v="1.1900000000000002"/>
    <n v="2180"/>
    <x v="0"/>
    <s v="Sam"/>
    <x v="1"/>
    <n v="23641"/>
    <n v="28786"/>
    <n v="67352.740000000005"/>
    <n v="5800"/>
    <n v="8120.0000000000009"/>
    <n v="75472.740000000005"/>
    <n v="0"/>
    <n v="0"/>
    <n v="0"/>
    <n v="1"/>
    <n v="0"/>
    <n v="0"/>
    <n v="0"/>
    <n v="0"/>
    <n v="0"/>
    <n v="0"/>
    <n v="0"/>
    <n v="0"/>
    <s v="Enligt SP 190924"/>
    <m/>
    <n v="0"/>
    <n v="0"/>
    <n v="0"/>
    <n v="0"/>
    <n v="0"/>
    <n v="0"/>
    <n v="1.4000000000000001"/>
    <n v="1.1900000000000002"/>
    <n v="0"/>
    <n v="0"/>
    <n v="0"/>
    <n v="0"/>
    <n v="0"/>
    <n v="0"/>
    <n v="0"/>
    <n v="0"/>
    <n v="0"/>
    <n v="0"/>
    <n v="0"/>
    <n v="0"/>
    <n v="0"/>
    <n v="0"/>
    <n v="0"/>
  </r>
  <r>
    <x v="213"/>
    <x v="209"/>
    <m/>
    <x v="1"/>
    <s v="H19"/>
    <x v="2"/>
    <s v="H191-4"/>
    <m/>
    <m/>
    <s v="SVAN"/>
    <m/>
    <n v="100"/>
    <x v="2"/>
    <m/>
    <m/>
    <n v="3"/>
    <n v="0.30000000000000004"/>
    <n v="0.85"/>
    <n v="0.255"/>
    <n v="2180"/>
    <x v="0"/>
    <s v="Sam"/>
    <x v="1"/>
    <n v="23641"/>
    <n v="28786"/>
    <n v="14432.730000000001"/>
    <n v="5800"/>
    <n v="1740.0000000000002"/>
    <n v="16172.730000000001"/>
    <n v="0"/>
    <n v="0"/>
    <n v="0"/>
    <n v="1"/>
    <n v="0"/>
    <n v="0"/>
    <n v="0"/>
    <n v="0"/>
    <n v="0"/>
    <n v="0"/>
    <n v="0"/>
    <n v="0"/>
    <s v="Enligt SP 190924"/>
    <m/>
    <n v="0"/>
    <n v="0"/>
    <n v="0"/>
    <n v="0"/>
    <n v="0"/>
    <n v="0"/>
    <n v="0.30000000000000004"/>
    <n v="0.255"/>
    <n v="0"/>
    <n v="0"/>
    <n v="0"/>
    <n v="0"/>
    <n v="0"/>
    <n v="0"/>
    <n v="0"/>
    <n v="0"/>
    <n v="0"/>
    <n v="0"/>
    <n v="0"/>
    <n v="0"/>
    <n v="0"/>
    <n v="0"/>
    <n v="0"/>
  </r>
  <r>
    <x v="213"/>
    <x v="209"/>
    <m/>
    <x v="1"/>
    <s v="H19"/>
    <x v="2"/>
    <s v="H191-4"/>
    <m/>
    <m/>
    <s v="TYSK"/>
    <m/>
    <n v="100"/>
    <x v="2"/>
    <m/>
    <m/>
    <n v="2"/>
    <n v="0.2"/>
    <n v="0.85"/>
    <n v="0.17"/>
    <n v="2180"/>
    <x v="0"/>
    <s v="Sam"/>
    <x v="1"/>
    <n v="23641"/>
    <n v="28786"/>
    <n v="9621.82"/>
    <n v="5800"/>
    <n v="1160"/>
    <n v="10781.82"/>
    <n v="0"/>
    <n v="0"/>
    <n v="0"/>
    <n v="1"/>
    <n v="0"/>
    <n v="0"/>
    <n v="0"/>
    <n v="0"/>
    <n v="0"/>
    <n v="0"/>
    <n v="0"/>
    <n v="0"/>
    <s v="Enligt SP 190924"/>
    <m/>
    <n v="0"/>
    <n v="0"/>
    <n v="0"/>
    <n v="0"/>
    <n v="0"/>
    <n v="0"/>
    <n v="0.2"/>
    <n v="0.17"/>
    <n v="0"/>
    <n v="0"/>
    <n v="0"/>
    <n v="0"/>
    <n v="0"/>
    <n v="0"/>
    <n v="0"/>
    <n v="0"/>
    <n v="0"/>
    <n v="0"/>
    <n v="0"/>
    <n v="0"/>
    <n v="0"/>
    <n v="0"/>
    <n v="0"/>
  </r>
  <r>
    <x v="214"/>
    <x v="210"/>
    <m/>
    <x v="1"/>
    <s v="H17"/>
    <x v="2"/>
    <s v="H195"/>
    <m/>
    <m/>
    <s v="TYSK"/>
    <m/>
    <n v="100"/>
    <x v="4"/>
    <m/>
    <m/>
    <n v="1"/>
    <n v="2.5000000000000001E-2"/>
    <n v="0.85"/>
    <n v="2.1250000000000002E-2"/>
    <n v="2180"/>
    <x v="0"/>
    <s v="Sam"/>
    <x v="1"/>
    <n v="21634"/>
    <n v="26986"/>
    <n v="1114.3025"/>
    <n v="3400"/>
    <n v="85"/>
    <n v="1199.3025"/>
    <n v="0"/>
    <n v="0"/>
    <n v="0"/>
    <n v="0"/>
    <n v="0"/>
    <n v="0"/>
    <n v="0"/>
    <n v="0"/>
    <n v="1"/>
    <n v="0"/>
    <n v="0"/>
    <n v="0"/>
    <s v="Enligt SP 190924"/>
    <m/>
    <n v="0"/>
    <n v="0"/>
    <n v="0"/>
    <n v="0"/>
    <n v="0"/>
    <n v="0"/>
    <n v="0"/>
    <n v="0"/>
    <n v="0"/>
    <n v="0"/>
    <n v="0"/>
    <n v="0"/>
    <n v="0"/>
    <n v="0"/>
    <n v="0"/>
    <n v="0"/>
    <n v="2.5000000000000001E-2"/>
    <n v="2.1250000000000002E-2"/>
    <n v="0"/>
    <n v="0"/>
    <n v="0"/>
    <n v="0"/>
    <n v="0"/>
  </r>
  <r>
    <x v="214"/>
    <x v="210"/>
    <m/>
    <x v="1"/>
    <s v="H18"/>
    <x v="2"/>
    <s v="H195"/>
    <m/>
    <m/>
    <s v="ENGS"/>
    <m/>
    <n v="100"/>
    <x v="4"/>
    <m/>
    <m/>
    <n v="1"/>
    <n v="2.5000000000000001E-2"/>
    <n v="0.85"/>
    <n v="2.1250000000000002E-2"/>
    <n v="2180"/>
    <x v="0"/>
    <s v="Sam"/>
    <x v="1"/>
    <n v="21634"/>
    <n v="26986"/>
    <n v="1114.3025"/>
    <n v="3400"/>
    <n v="85"/>
    <n v="1199.3025"/>
    <n v="0"/>
    <n v="0"/>
    <n v="0"/>
    <n v="0"/>
    <n v="0"/>
    <n v="0"/>
    <n v="0"/>
    <n v="0"/>
    <n v="1"/>
    <n v="0"/>
    <n v="0"/>
    <n v="0"/>
    <s v="Enligt SP 190924"/>
    <m/>
    <n v="0"/>
    <n v="0"/>
    <n v="0"/>
    <n v="0"/>
    <n v="0"/>
    <n v="0"/>
    <n v="0"/>
    <n v="0"/>
    <n v="0"/>
    <n v="0"/>
    <n v="0"/>
    <n v="0"/>
    <n v="0"/>
    <n v="0"/>
    <n v="0"/>
    <n v="0"/>
    <n v="2.5000000000000001E-2"/>
    <n v="2.1250000000000002E-2"/>
    <n v="0"/>
    <n v="0"/>
    <n v="0"/>
    <n v="0"/>
    <n v="0"/>
  </r>
  <r>
    <x v="214"/>
    <x v="210"/>
    <m/>
    <x v="1"/>
    <s v="H18"/>
    <x v="2"/>
    <s v="H195"/>
    <m/>
    <m/>
    <s v="SAMK"/>
    <m/>
    <n v="100"/>
    <x v="4"/>
    <m/>
    <m/>
    <n v="1"/>
    <n v="2.5000000000000001E-2"/>
    <n v="0.85"/>
    <n v="2.1250000000000002E-2"/>
    <n v="2180"/>
    <x v="0"/>
    <s v="Sam"/>
    <x v="1"/>
    <n v="21634"/>
    <n v="26986"/>
    <n v="1114.3025"/>
    <n v="3400"/>
    <n v="85"/>
    <n v="1199.3025"/>
    <n v="0"/>
    <n v="0"/>
    <n v="0"/>
    <n v="0"/>
    <n v="0"/>
    <n v="0"/>
    <n v="0"/>
    <n v="0"/>
    <n v="1"/>
    <n v="0"/>
    <n v="0"/>
    <n v="0"/>
    <s v="Enligt SP 190924"/>
    <m/>
    <n v="0"/>
    <n v="0"/>
    <n v="0"/>
    <n v="0"/>
    <n v="0"/>
    <n v="0"/>
    <n v="0"/>
    <n v="0"/>
    <n v="0"/>
    <n v="0"/>
    <n v="0"/>
    <n v="0"/>
    <n v="0"/>
    <n v="0"/>
    <n v="0"/>
    <n v="0"/>
    <n v="2.5000000000000001E-2"/>
    <n v="2.1250000000000002E-2"/>
    <n v="0"/>
    <n v="0"/>
    <n v="0"/>
    <n v="0"/>
    <n v="0"/>
  </r>
  <r>
    <x v="214"/>
    <x v="210"/>
    <m/>
    <x v="1"/>
    <s v="H19"/>
    <x v="2"/>
    <s v="H195"/>
    <m/>
    <m/>
    <s v="BILÄ"/>
    <m/>
    <n v="100"/>
    <x v="4"/>
    <m/>
    <m/>
    <n v="4"/>
    <n v="0.1"/>
    <n v="0.85"/>
    <n v="8.5000000000000006E-2"/>
    <n v="2180"/>
    <x v="0"/>
    <s v="Sam"/>
    <x v="1"/>
    <n v="21634"/>
    <n v="26986"/>
    <n v="4457.21"/>
    <n v="3400"/>
    <n v="340"/>
    <n v="4797.21"/>
    <n v="0"/>
    <n v="0"/>
    <n v="0"/>
    <n v="0"/>
    <n v="0"/>
    <n v="0"/>
    <n v="0"/>
    <n v="0"/>
    <n v="1"/>
    <n v="0"/>
    <n v="0"/>
    <n v="0"/>
    <s v="Enligt SP 190924"/>
    <m/>
    <n v="0"/>
    <n v="0"/>
    <n v="0"/>
    <n v="0"/>
    <n v="0"/>
    <n v="0"/>
    <n v="0"/>
    <n v="0"/>
    <n v="0"/>
    <n v="0"/>
    <n v="0"/>
    <n v="0"/>
    <n v="0"/>
    <n v="0"/>
    <n v="0"/>
    <n v="0"/>
    <n v="0.1"/>
    <n v="8.5000000000000006E-2"/>
    <n v="0"/>
    <n v="0"/>
    <n v="0"/>
    <n v="0"/>
    <n v="0"/>
  </r>
  <r>
    <x v="214"/>
    <x v="210"/>
    <m/>
    <x v="1"/>
    <s v="H19"/>
    <x v="2"/>
    <s v="H195"/>
    <m/>
    <m/>
    <s v="BIOL"/>
    <m/>
    <n v="100"/>
    <x v="4"/>
    <m/>
    <m/>
    <n v="4"/>
    <n v="0.1"/>
    <n v="0.85"/>
    <n v="8.5000000000000006E-2"/>
    <n v="2180"/>
    <x v="0"/>
    <s v="Sam"/>
    <x v="1"/>
    <n v="21634"/>
    <n v="26986"/>
    <n v="4457.21"/>
    <n v="3400"/>
    <n v="340"/>
    <n v="4797.21"/>
    <n v="0"/>
    <n v="0"/>
    <n v="0"/>
    <n v="0"/>
    <n v="0"/>
    <n v="0"/>
    <n v="0"/>
    <n v="0"/>
    <n v="1"/>
    <n v="0"/>
    <n v="0"/>
    <n v="0"/>
    <s v="Enligt SP 190924"/>
    <m/>
    <n v="0"/>
    <n v="0"/>
    <n v="0"/>
    <n v="0"/>
    <n v="0"/>
    <n v="0"/>
    <n v="0"/>
    <n v="0"/>
    <n v="0"/>
    <n v="0"/>
    <n v="0"/>
    <n v="0"/>
    <n v="0"/>
    <n v="0"/>
    <n v="0"/>
    <n v="0"/>
    <n v="0.1"/>
    <n v="8.5000000000000006E-2"/>
    <n v="0"/>
    <n v="0"/>
    <n v="0"/>
    <n v="0"/>
    <n v="0"/>
  </r>
  <r>
    <x v="214"/>
    <x v="210"/>
    <m/>
    <x v="1"/>
    <s v="H19"/>
    <x v="2"/>
    <s v="H195"/>
    <m/>
    <m/>
    <s v="ENGS"/>
    <m/>
    <n v="100"/>
    <x v="4"/>
    <m/>
    <m/>
    <n v="19"/>
    <n v="0.47500000000000003"/>
    <n v="0.85"/>
    <n v="0.40375"/>
    <n v="2180"/>
    <x v="0"/>
    <s v="Sam"/>
    <x v="1"/>
    <n v="21634"/>
    <n v="26986"/>
    <n v="21171.747500000001"/>
    <n v="3400"/>
    <n v="1615"/>
    <n v="22786.747500000001"/>
    <n v="0"/>
    <n v="0"/>
    <n v="0"/>
    <n v="0"/>
    <n v="0"/>
    <n v="0"/>
    <n v="0"/>
    <n v="0"/>
    <n v="1"/>
    <n v="0"/>
    <n v="0"/>
    <n v="0"/>
    <s v="Enligt SP 190924"/>
    <m/>
    <n v="0"/>
    <n v="0"/>
    <n v="0"/>
    <n v="0"/>
    <n v="0"/>
    <n v="0"/>
    <n v="0"/>
    <n v="0"/>
    <n v="0"/>
    <n v="0"/>
    <n v="0"/>
    <n v="0"/>
    <n v="0"/>
    <n v="0"/>
    <n v="0"/>
    <n v="0"/>
    <n v="0.47500000000000003"/>
    <n v="0.40375"/>
    <n v="0"/>
    <n v="0"/>
    <n v="0"/>
    <n v="0"/>
    <n v="0"/>
  </r>
  <r>
    <x v="214"/>
    <x v="210"/>
    <m/>
    <x v="1"/>
    <s v="H19"/>
    <x v="2"/>
    <s v="H195"/>
    <m/>
    <m/>
    <s v="GEOG"/>
    <m/>
    <n v="100"/>
    <x v="4"/>
    <m/>
    <m/>
    <n v="7"/>
    <n v="0.17500000000000002"/>
    <n v="0.85"/>
    <n v="0.14875000000000002"/>
    <n v="2180"/>
    <x v="0"/>
    <s v="Sam"/>
    <x v="1"/>
    <n v="21634"/>
    <n v="26986"/>
    <n v="7800.1175000000003"/>
    <n v="3400"/>
    <n v="595"/>
    <n v="8395.1175000000003"/>
    <n v="0"/>
    <n v="0"/>
    <n v="0"/>
    <n v="0"/>
    <n v="0"/>
    <n v="0"/>
    <n v="0"/>
    <n v="0"/>
    <n v="1"/>
    <n v="0"/>
    <n v="0"/>
    <n v="0"/>
    <s v="Enligt SP 190924"/>
    <m/>
    <n v="0"/>
    <n v="0"/>
    <n v="0"/>
    <n v="0"/>
    <n v="0"/>
    <n v="0"/>
    <n v="0"/>
    <n v="0"/>
    <n v="0"/>
    <n v="0"/>
    <n v="0"/>
    <n v="0"/>
    <n v="0"/>
    <n v="0"/>
    <n v="0"/>
    <n v="0"/>
    <n v="0.17500000000000002"/>
    <n v="0.14875000000000002"/>
    <n v="0"/>
    <n v="0"/>
    <n v="0"/>
    <n v="0"/>
    <n v="0"/>
  </r>
  <r>
    <x v="214"/>
    <x v="210"/>
    <m/>
    <x v="1"/>
    <s v="H19"/>
    <x v="2"/>
    <s v="H195"/>
    <m/>
    <m/>
    <s v="HIST"/>
    <m/>
    <n v="100"/>
    <x v="4"/>
    <m/>
    <m/>
    <n v="29"/>
    <n v="0.72500000000000009"/>
    <n v="0.85"/>
    <n v="0.61625000000000008"/>
    <n v="2180"/>
    <x v="0"/>
    <s v="Sam"/>
    <x v="1"/>
    <n v="21634"/>
    <n v="26986"/>
    <n v="32314.772500000003"/>
    <n v="3400"/>
    <n v="2465.0000000000005"/>
    <n v="34779.772500000006"/>
    <n v="0"/>
    <n v="0"/>
    <n v="0"/>
    <n v="0"/>
    <n v="0"/>
    <n v="0"/>
    <n v="0"/>
    <n v="0"/>
    <n v="1"/>
    <n v="0"/>
    <n v="0"/>
    <n v="0"/>
    <s v="Enligt SP 190924"/>
    <m/>
    <n v="0"/>
    <n v="0"/>
    <n v="0"/>
    <n v="0"/>
    <n v="0"/>
    <n v="0"/>
    <n v="0"/>
    <n v="0"/>
    <n v="0"/>
    <n v="0"/>
    <n v="0"/>
    <n v="0"/>
    <n v="0"/>
    <n v="0"/>
    <n v="0"/>
    <n v="0"/>
    <n v="0.72500000000000009"/>
    <n v="0.61625000000000008"/>
    <n v="0"/>
    <n v="0"/>
    <n v="0"/>
    <n v="0"/>
    <n v="0"/>
  </r>
  <r>
    <x v="214"/>
    <x v="210"/>
    <m/>
    <x v="1"/>
    <s v="H19"/>
    <x v="2"/>
    <s v="H195"/>
    <m/>
    <m/>
    <s v="IDRH"/>
    <m/>
    <n v="100"/>
    <x v="4"/>
    <m/>
    <m/>
    <n v="22"/>
    <n v="0.55000000000000004"/>
    <n v="0.85"/>
    <n v="0.46750000000000003"/>
    <n v="2180"/>
    <x v="0"/>
    <s v="Sam"/>
    <x v="1"/>
    <n v="21634"/>
    <n v="26986"/>
    <n v="24514.654999999999"/>
    <n v="3400"/>
    <n v="1870.0000000000002"/>
    <n v="26384.654999999999"/>
    <n v="0"/>
    <n v="0"/>
    <n v="0"/>
    <n v="0"/>
    <n v="0"/>
    <n v="0"/>
    <n v="0"/>
    <n v="0"/>
    <n v="1"/>
    <n v="0"/>
    <n v="0"/>
    <n v="0"/>
    <s v="Enligt SP 190924"/>
    <m/>
    <n v="0"/>
    <n v="0"/>
    <n v="0"/>
    <n v="0"/>
    <n v="0"/>
    <n v="0"/>
    <n v="0"/>
    <n v="0"/>
    <n v="0"/>
    <n v="0"/>
    <n v="0"/>
    <n v="0"/>
    <n v="0"/>
    <n v="0"/>
    <n v="0"/>
    <n v="0"/>
    <n v="0.55000000000000004"/>
    <n v="0.46750000000000003"/>
    <n v="0"/>
    <n v="0"/>
    <n v="0"/>
    <n v="0"/>
    <n v="0"/>
  </r>
  <r>
    <x v="214"/>
    <x v="210"/>
    <m/>
    <x v="1"/>
    <s v="H19"/>
    <x v="2"/>
    <s v="H195"/>
    <m/>
    <m/>
    <s v="MATT"/>
    <m/>
    <n v="100"/>
    <x v="4"/>
    <m/>
    <m/>
    <n v="19"/>
    <n v="0.47500000000000003"/>
    <n v="0.85"/>
    <n v="0.40375"/>
    <n v="2180"/>
    <x v="0"/>
    <s v="Sam"/>
    <x v="1"/>
    <n v="21634"/>
    <n v="26986"/>
    <n v="21171.747500000001"/>
    <n v="3400"/>
    <n v="1615"/>
    <n v="22786.747500000001"/>
    <n v="0"/>
    <n v="0"/>
    <n v="0"/>
    <n v="0"/>
    <n v="0"/>
    <n v="0"/>
    <n v="0"/>
    <n v="0"/>
    <n v="1"/>
    <n v="0"/>
    <n v="0"/>
    <n v="0"/>
    <s v="Enligt SP 190924"/>
    <m/>
    <n v="0"/>
    <n v="0"/>
    <n v="0"/>
    <n v="0"/>
    <n v="0"/>
    <n v="0"/>
    <n v="0"/>
    <n v="0"/>
    <n v="0"/>
    <n v="0"/>
    <n v="0"/>
    <n v="0"/>
    <n v="0"/>
    <n v="0"/>
    <n v="0"/>
    <n v="0"/>
    <n v="0.47500000000000003"/>
    <n v="0.40375"/>
    <n v="0"/>
    <n v="0"/>
    <n v="0"/>
    <n v="0"/>
    <n v="0"/>
  </r>
  <r>
    <x v="214"/>
    <x v="210"/>
    <m/>
    <x v="1"/>
    <s v="H19"/>
    <x v="2"/>
    <s v="H195"/>
    <m/>
    <m/>
    <s v="NATU"/>
    <m/>
    <n v="100"/>
    <x v="4"/>
    <m/>
    <m/>
    <n v="1"/>
    <n v="2.5000000000000001E-2"/>
    <n v="0.85"/>
    <n v="2.1250000000000002E-2"/>
    <n v="2180"/>
    <x v="0"/>
    <s v="Sam"/>
    <x v="1"/>
    <n v="21634"/>
    <n v="26986"/>
    <n v="1114.3025"/>
    <n v="3400"/>
    <n v="85"/>
    <n v="1199.3025"/>
    <n v="0"/>
    <n v="0"/>
    <n v="0"/>
    <n v="0"/>
    <n v="0"/>
    <n v="0"/>
    <n v="0"/>
    <n v="0"/>
    <n v="1"/>
    <n v="0"/>
    <n v="0"/>
    <n v="0"/>
    <s v="Enligt SP 190924"/>
    <m/>
    <n v="0"/>
    <n v="0"/>
    <n v="0"/>
    <n v="0"/>
    <n v="0"/>
    <n v="0"/>
    <n v="0"/>
    <n v="0"/>
    <n v="0"/>
    <n v="0"/>
    <n v="0"/>
    <n v="0"/>
    <n v="0"/>
    <n v="0"/>
    <n v="0"/>
    <n v="0"/>
    <n v="2.5000000000000001E-2"/>
    <n v="2.1250000000000002E-2"/>
    <n v="0"/>
    <n v="0"/>
    <n v="0"/>
    <n v="0"/>
    <n v="0"/>
  </r>
  <r>
    <x v="214"/>
    <x v="210"/>
    <m/>
    <x v="1"/>
    <s v="H19"/>
    <x v="2"/>
    <s v="H195"/>
    <m/>
    <m/>
    <s v="RELK"/>
    <m/>
    <n v="100"/>
    <x v="4"/>
    <m/>
    <m/>
    <n v="8"/>
    <n v="0.2"/>
    <n v="0.85"/>
    <n v="0.17"/>
    <n v="2180"/>
    <x v="0"/>
    <s v="Sam"/>
    <x v="1"/>
    <n v="21634"/>
    <n v="26986"/>
    <n v="8914.42"/>
    <n v="3400"/>
    <n v="680"/>
    <n v="9594.42"/>
    <n v="0"/>
    <n v="0"/>
    <n v="0"/>
    <n v="0"/>
    <n v="0"/>
    <n v="0"/>
    <n v="0"/>
    <n v="0"/>
    <n v="1"/>
    <n v="0"/>
    <n v="0"/>
    <n v="0"/>
    <s v="Enligt SP 190924"/>
    <m/>
    <n v="0"/>
    <n v="0"/>
    <n v="0"/>
    <n v="0"/>
    <n v="0"/>
    <n v="0"/>
    <n v="0"/>
    <n v="0"/>
    <n v="0"/>
    <n v="0"/>
    <n v="0"/>
    <n v="0"/>
    <n v="0"/>
    <n v="0"/>
    <n v="0"/>
    <n v="0"/>
    <n v="0.2"/>
    <n v="0.17"/>
    <n v="0"/>
    <n v="0"/>
    <n v="0"/>
    <n v="0"/>
    <n v="0"/>
  </r>
  <r>
    <x v="214"/>
    <x v="210"/>
    <m/>
    <x v="1"/>
    <s v="H19"/>
    <x v="2"/>
    <s v="H195"/>
    <m/>
    <m/>
    <s v="SAMK"/>
    <m/>
    <n v="100"/>
    <x v="4"/>
    <m/>
    <m/>
    <n v="19"/>
    <n v="0.47500000000000003"/>
    <n v="0.85"/>
    <n v="0.40375"/>
    <n v="2180"/>
    <x v="0"/>
    <s v="Sam"/>
    <x v="1"/>
    <n v="21634"/>
    <n v="26986"/>
    <n v="21171.747500000001"/>
    <n v="3400"/>
    <n v="1615"/>
    <n v="22786.747500000001"/>
    <n v="0"/>
    <n v="0"/>
    <n v="0"/>
    <n v="0"/>
    <n v="0"/>
    <n v="0"/>
    <n v="0"/>
    <n v="0"/>
    <n v="1"/>
    <n v="0"/>
    <n v="0"/>
    <n v="0"/>
    <s v="Enligt SP 190924"/>
    <m/>
    <n v="0"/>
    <n v="0"/>
    <n v="0"/>
    <n v="0"/>
    <n v="0"/>
    <n v="0"/>
    <n v="0"/>
    <n v="0"/>
    <n v="0"/>
    <n v="0"/>
    <n v="0"/>
    <n v="0"/>
    <n v="0"/>
    <n v="0"/>
    <n v="0"/>
    <n v="0"/>
    <n v="0.47500000000000003"/>
    <n v="0.40375"/>
    <n v="0"/>
    <n v="0"/>
    <n v="0"/>
    <n v="0"/>
    <n v="0"/>
  </r>
  <r>
    <x v="214"/>
    <x v="210"/>
    <m/>
    <x v="1"/>
    <s v="H19"/>
    <x v="2"/>
    <s v="H195"/>
    <m/>
    <m/>
    <s v="SPAN"/>
    <m/>
    <n v="100"/>
    <x v="4"/>
    <m/>
    <m/>
    <n v="1"/>
    <n v="2.5000000000000001E-2"/>
    <n v="0.85"/>
    <n v="2.1250000000000002E-2"/>
    <n v="2180"/>
    <x v="0"/>
    <s v="Sam"/>
    <x v="1"/>
    <n v="21634"/>
    <n v="26986"/>
    <n v="1114.3025"/>
    <n v="3400"/>
    <n v="85"/>
    <n v="1199.3025"/>
    <n v="0"/>
    <n v="0"/>
    <n v="0"/>
    <n v="0"/>
    <n v="0"/>
    <n v="0"/>
    <n v="0"/>
    <n v="0"/>
    <n v="1"/>
    <n v="0"/>
    <n v="0"/>
    <n v="0"/>
    <s v="Enligt SP 190924"/>
    <m/>
    <n v="0"/>
    <n v="0"/>
    <n v="0"/>
    <n v="0"/>
    <n v="0"/>
    <n v="0"/>
    <n v="0"/>
    <n v="0"/>
    <n v="0"/>
    <n v="0"/>
    <n v="0"/>
    <n v="0"/>
    <n v="0"/>
    <n v="0"/>
    <n v="0"/>
    <n v="0"/>
    <n v="2.5000000000000001E-2"/>
    <n v="2.1250000000000002E-2"/>
    <n v="0"/>
    <n v="0"/>
    <n v="0"/>
    <n v="0"/>
    <n v="0"/>
  </r>
  <r>
    <x v="214"/>
    <x v="210"/>
    <m/>
    <x v="1"/>
    <s v="H19"/>
    <x v="2"/>
    <s v="H195"/>
    <m/>
    <m/>
    <s v="SVAA"/>
    <m/>
    <n v="100"/>
    <x v="4"/>
    <m/>
    <m/>
    <n v="14"/>
    <n v="0.35000000000000003"/>
    <n v="0.85"/>
    <n v="0.29750000000000004"/>
    <n v="2180"/>
    <x v="0"/>
    <s v="Sam"/>
    <x v="1"/>
    <n v="21634"/>
    <n v="26986"/>
    <n v="15600.235000000001"/>
    <n v="3400"/>
    <n v="1190"/>
    <n v="16790.235000000001"/>
    <n v="0"/>
    <n v="0"/>
    <n v="0"/>
    <n v="0"/>
    <n v="0"/>
    <n v="0"/>
    <n v="0"/>
    <n v="0"/>
    <n v="1"/>
    <n v="0"/>
    <n v="0"/>
    <n v="0"/>
    <s v="Enligt SP 190924"/>
    <m/>
    <n v="0"/>
    <n v="0"/>
    <n v="0"/>
    <n v="0"/>
    <n v="0"/>
    <n v="0"/>
    <n v="0"/>
    <n v="0"/>
    <n v="0"/>
    <n v="0"/>
    <n v="0"/>
    <n v="0"/>
    <n v="0"/>
    <n v="0"/>
    <n v="0"/>
    <n v="0"/>
    <n v="0.35000000000000003"/>
    <n v="0.29750000000000004"/>
    <n v="0"/>
    <n v="0"/>
    <n v="0"/>
    <n v="0"/>
    <n v="0"/>
  </r>
  <r>
    <x v="214"/>
    <x v="210"/>
    <m/>
    <x v="1"/>
    <s v="H19"/>
    <x v="2"/>
    <s v="H195"/>
    <m/>
    <m/>
    <s v="SVAN"/>
    <m/>
    <n v="100"/>
    <x v="4"/>
    <m/>
    <m/>
    <n v="3"/>
    <n v="7.5000000000000011E-2"/>
    <n v="0.85"/>
    <n v="6.3750000000000001E-2"/>
    <n v="2180"/>
    <x v="0"/>
    <s v="Sam"/>
    <x v="1"/>
    <n v="21634"/>
    <n v="26986"/>
    <n v="3342.9075000000003"/>
    <n v="3400"/>
    <n v="255.00000000000003"/>
    <n v="3597.9075000000003"/>
    <n v="0"/>
    <n v="0"/>
    <n v="0"/>
    <n v="0"/>
    <n v="0"/>
    <n v="0"/>
    <n v="0"/>
    <n v="0"/>
    <n v="1"/>
    <n v="0"/>
    <n v="0"/>
    <n v="0"/>
    <s v="Enligt SP 190924"/>
    <m/>
    <n v="0"/>
    <n v="0"/>
    <n v="0"/>
    <n v="0"/>
    <n v="0"/>
    <n v="0"/>
    <n v="0"/>
    <n v="0"/>
    <n v="0"/>
    <n v="0"/>
    <n v="0"/>
    <n v="0"/>
    <n v="0"/>
    <n v="0"/>
    <n v="0"/>
    <n v="0"/>
    <n v="7.5000000000000011E-2"/>
    <n v="6.3750000000000001E-2"/>
    <n v="0"/>
    <n v="0"/>
    <n v="0"/>
    <n v="0"/>
    <n v="0"/>
  </r>
  <r>
    <x v="214"/>
    <x v="210"/>
    <m/>
    <x v="1"/>
    <s v="H19"/>
    <x v="2"/>
    <s v="H195"/>
    <m/>
    <m/>
    <s v="TYSK"/>
    <m/>
    <n v="100"/>
    <x v="4"/>
    <m/>
    <m/>
    <n v="2"/>
    <n v="0.05"/>
    <n v="0.85"/>
    <n v="4.2500000000000003E-2"/>
    <n v="2180"/>
    <x v="0"/>
    <s v="Sam"/>
    <x v="1"/>
    <n v="21634"/>
    <n v="26986"/>
    <n v="2228.605"/>
    <n v="3400"/>
    <n v="170"/>
    <n v="2398.605"/>
    <n v="0"/>
    <n v="0"/>
    <n v="0"/>
    <n v="0"/>
    <n v="0"/>
    <n v="0"/>
    <n v="0"/>
    <n v="0"/>
    <n v="1"/>
    <n v="0"/>
    <n v="0"/>
    <n v="0"/>
    <s v="Enligt SP 190924"/>
    <m/>
    <n v="0"/>
    <n v="0"/>
    <n v="0"/>
    <n v="0"/>
    <n v="0"/>
    <n v="0"/>
    <n v="0"/>
    <n v="0"/>
    <n v="0"/>
    <n v="0"/>
    <n v="0"/>
    <n v="0"/>
    <n v="0"/>
    <n v="0"/>
    <n v="0"/>
    <n v="0"/>
    <n v="0.05"/>
    <n v="4.2500000000000003E-2"/>
    <n v="0"/>
    <n v="0"/>
    <n v="0"/>
    <n v="0"/>
    <n v="0"/>
  </r>
  <r>
    <x v="215"/>
    <x v="211"/>
    <m/>
    <x v="1"/>
    <s v="H17"/>
    <x v="2"/>
    <s v="H196-10"/>
    <m/>
    <m/>
    <s v="TYSK"/>
    <m/>
    <n v="100"/>
    <x v="0"/>
    <m/>
    <m/>
    <n v="1"/>
    <n v="0.125"/>
    <n v="0.85"/>
    <n v="0.10625"/>
    <n v="2180"/>
    <x v="0"/>
    <s v="Sam"/>
    <x v="1"/>
    <n v="23641"/>
    <n v="28786"/>
    <n v="6013.6374999999998"/>
    <n v="5800"/>
    <n v="725"/>
    <n v="6738.6374999999998"/>
    <n v="0"/>
    <n v="0"/>
    <n v="0"/>
    <n v="1"/>
    <n v="0"/>
    <n v="0"/>
    <n v="0"/>
    <n v="0"/>
    <n v="0"/>
    <n v="0"/>
    <n v="0"/>
    <n v="0"/>
    <s v="Enligt SP 190924"/>
    <m/>
    <n v="0"/>
    <n v="0"/>
    <n v="0"/>
    <n v="0"/>
    <n v="0"/>
    <n v="0"/>
    <n v="0.125"/>
    <n v="0.10625"/>
    <n v="0"/>
    <n v="0"/>
    <n v="0"/>
    <n v="0"/>
    <n v="0"/>
    <n v="0"/>
    <n v="0"/>
    <n v="0"/>
    <n v="0"/>
    <n v="0"/>
    <n v="0"/>
    <n v="0"/>
    <n v="0"/>
    <n v="0"/>
    <n v="0"/>
  </r>
  <r>
    <x v="215"/>
    <x v="211"/>
    <m/>
    <x v="1"/>
    <s v="H18"/>
    <x v="2"/>
    <s v="H196-10"/>
    <m/>
    <m/>
    <s v="ENGS"/>
    <m/>
    <n v="100"/>
    <x v="0"/>
    <m/>
    <m/>
    <n v="1"/>
    <n v="0.125"/>
    <n v="0.85"/>
    <n v="0.10625"/>
    <n v="2180"/>
    <x v="0"/>
    <s v="Sam"/>
    <x v="1"/>
    <n v="23641"/>
    <n v="28786"/>
    <n v="6013.6374999999998"/>
    <n v="5800"/>
    <n v="725"/>
    <n v="6738.6374999999998"/>
    <n v="0"/>
    <n v="0"/>
    <n v="0"/>
    <n v="1"/>
    <n v="0"/>
    <n v="0"/>
    <n v="0"/>
    <n v="0"/>
    <n v="0"/>
    <n v="0"/>
    <n v="0"/>
    <n v="0"/>
    <s v="Enligt SP 190924"/>
    <m/>
    <n v="0"/>
    <n v="0"/>
    <n v="0"/>
    <n v="0"/>
    <n v="0"/>
    <n v="0"/>
    <n v="0.125"/>
    <n v="0.10625"/>
    <n v="0"/>
    <n v="0"/>
    <n v="0"/>
    <n v="0"/>
    <n v="0"/>
    <n v="0"/>
    <n v="0"/>
    <n v="0"/>
    <n v="0"/>
    <n v="0"/>
    <n v="0"/>
    <n v="0"/>
    <n v="0"/>
    <n v="0"/>
    <n v="0"/>
  </r>
  <r>
    <x v="215"/>
    <x v="211"/>
    <m/>
    <x v="1"/>
    <s v="H18"/>
    <x v="2"/>
    <s v="H196-10"/>
    <m/>
    <m/>
    <s v="SAMK"/>
    <m/>
    <n v="100"/>
    <x v="0"/>
    <m/>
    <m/>
    <n v="1"/>
    <n v="0.125"/>
    <n v="0.85"/>
    <n v="0.10625"/>
    <n v="2180"/>
    <x v="0"/>
    <s v="Sam"/>
    <x v="1"/>
    <n v="23641"/>
    <n v="28786"/>
    <n v="6013.6374999999998"/>
    <n v="5800"/>
    <n v="725"/>
    <n v="6738.6374999999998"/>
    <n v="0"/>
    <n v="0"/>
    <n v="0"/>
    <n v="1"/>
    <n v="0"/>
    <n v="0"/>
    <n v="0"/>
    <n v="0"/>
    <n v="0"/>
    <n v="0"/>
    <n v="0"/>
    <n v="0"/>
    <s v="Enligt SP 190924"/>
    <m/>
    <n v="0"/>
    <n v="0"/>
    <n v="0"/>
    <n v="0"/>
    <n v="0"/>
    <n v="0"/>
    <n v="0.125"/>
    <n v="0.10625"/>
    <n v="0"/>
    <n v="0"/>
    <n v="0"/>
    <n v="0"/>
    <n v="0"/>
    <n v="0"/>
    <n v="0"/>
    <n v="0"/>
    <n v="0"/>
    <n v="0"/>
    <n v="0"/>
    <n v="0"/>
    <n v="0"/>
    <n v="0"/>
    <n v="0"/>
  </r>
  <r>
    <x v="215"/>
    <x v="211"/>
    <m/>
    <x v="1"/>
    <s v="H19"/>
    <x v="2"/>
    <s v="H196-10"/>
    <m/>
    <m/>
    <s v="BILÄ"/>
    <m/>
    <n v="100"/>
    <x v="0"/>
    <m/>
    <m/>
    <n v="4"/>
    <n v="0.5"/>
    <n v="0.85"/>
    <n v="0.42499999999999999"/>
    <n v="2180"/>
    <x v="0"/>
    <s v="Sam"/>
    <x v="1"/>
    <n v="23641"/>
    <n v="28786"/>
    <n v="24054.55"/>
    <n v="5800"/>
    <n v="2900"/>
    <n v="26954.55"/>
    <n v="0"/>
    <n v="0"/>
    <n v="0"/>
    <n v="1"/>
    <n v="0"/>
    <n v="0"/>
    <n v="0"/>
    <n v="0"/>
    <n v="0"/>
    <n v="0"/>
    <n v="0"/>
    <n v="0"/>
    <s v="Enligt SP 190924"/>
    <m/>
    <n v="0"/>
    <n v="0"/>
    <n v="0"/>
    <n v="0"/>
    <n v="0"/>
    <n v="0"/>
    <n v="0.5"/>
    <n v="0.42499999999999999"/>
    <n v="0"/>
    <n v="0"/>
    <n v="0"/>
    <n v="0"/>
    <n v="0"/>
    <n v="0"/>
    <n v="0"/>
    <n v="0"/>
    <n v="0"/>
    <n v="0"/>
    <n v="0"/>
    <n v="0"/>
    <n v="0"/>
    <n v="0"/>
    <n v="0"/>
  </r>
  <r>
    <x v="215"/>
    <x v="211"/>
    <m/>
    <x v="1"/>
    <s v="H19"/>
    <x v="2"/>
    <s v="H196-10"/>
    <m/>
    <m/>
    <s v="BIOL"/>
    <m/>
    <n v="100"/>
    <x v="0"/>
    <m/>
    <m/>
    <n v="4"/>
    <n v="0.5"/>
    <n v="0.85"/>
    <n v="0.42499999999999999"/>
    <n v="2180"/>
    <x v="0"/>
    <s v="Sam"/>
    <x v="1"/>
    <n v="23641"/>
    <n v="28786"/>
    <n v="24054.55"/>
    <n v="5800"/>
    <n v="2900"/>
    <n v="26954.55"/>
    <n v="0"/>
    <n v="0"/>
    <n v="0"/>
    <n v="1"/>
    <n v="0"/>
    <n v="0"/>
    <n v="0"/>
    <n v="0"/>
    <n v="0"/>
    <n v="0"/>
    <n v="0"/>
    <n v="0"/>
    <s v="Enligt SP 190924"/>
    <m/>
    <n v="0"/>
    <n v="0"/>
    <n v="0"/>
    <n v="0"/>
    <n v="0"/>
    <n v="0"/>
    <n v="0.5"/>
    <n v="0.42499999999999999"/>
    <n v="0"/>
    <n v="0"/>
    <n v="0"/>
    <n v="0"/>
    <n v="0"/>
    <n v="0"/>
    <n v="0"/>
    <n v="0"/>
    <n v="0"/>
    <n v="0"/>
    <n v="0"/>
    <n v="0"/>
    <n v="0"/>
    <n v="0"/>
    <n v="0"/>
  </r>
  <r>
    <x v="215"/>
    <x v="211"/>
    <m/>
    <x v="1"/>
    <s v="H19"/>
    <x v="2"/>
    <s v="H196-10"/>
    <m/>
    <m/>
    <s v="ENGS"/>
    <m/>
    <n v="100"/>
    <x v="0"/>
    <m/>
    <m/>
    <n v="17"/>
    <n v="2.125"/>
    <n v="0.85"/>
    <n v="1.8062499999999999"/>
    <n v="2180"/>
    <x v="0"/>
    <s v="Sam"/>
    <x v="1"/>
    <n v="23641"/>
    <n v="28786"/>
    <n v="102231.83749999999"/>
    <n v="5800"/>
    <n v="12325"/>
    <n v="114556.83749999999"/>
    <n v="0"/>
    <n v="0"/>
    <n v="0"/>
    <n v="1"/>
    <n v="0"/>
    <n v="0"/>
    <n v="0"/>
    <n v="0"/>
    <n v="0"/>
    <n v="0"/>
    <n v="0"/>
    <n v="0"/>
    <s v="Enligt SP 190924"/>
    <m/>
    <n v="0"/>
    <n v="0"/>
    <n v="0"/>
    <n v="0"/>
    <n v="0"/>
    <n v="0"/>
    <n v="2.125"/>
    <n v="1.8062499999999999"/>
    <n v="0"/>
    <n v="0"/>
    <n v="0"/>
    <n v="0"/>
    <n v="0"/>
    <n v="0"/>
    <n v="0"/>
    <n v="0"/>
    <n v="0"/>
    <n v="0"/>
    <n v="0"/>
    <n v="0"/>
    <n v="0"/>
    <n v="0"/>
    <n v="0"/>
  </r>
  <r>
    <x v="215"/>
    <x v="211"/>
    <m/>
    <x v="1"/>
    <s v="H19"/>
    <x v="2"/>
    <s v="H196-10"/>
    <m/>
    <m/>
    <s v="GEOG"/>
    <m/>
    <n v="100"/>
    <x v="0"/>
    <m/>
    <m/>
    <n v="7"/>
    <n v="0.875"/>
    <n v="0.85"/>
    <n v="0.74375000000000002"/>
    <n v="2180"/>
    <x v="0"/>
    <s v="Sam"/>
    <x v="1"/>
    <n v="23641"/>
    <n v="28786"/>
    <n v="42095.462500000001"/>
    <n v="5800"/>
    <n v="5075"/>
    <n v="47170.462500000001"/>
    <n v="0"/>
    <n v="0"/>
    <n v="0"/>
    <n v="1"/>
    <n v="0"/>
    <n v="0"/>
    <n v="0"/>
    <n v="0"/>
    <n v="0"/>
    <n v="0"/>
    <n v="0"/>
    <n v="0"/>
    <s v="Enligt SP 190924"/>
    <m/>
    <n v="0"/>
    <n v="0"/>
    <n v="0"/>
    <n v="0"/>
    <n v="0"/>
    <n v="0"/>
    <n v="0.875"/>
    <n v="0.74375000000000002"/>
    <n v="0"/>
    <n v="0"/>
    <n v="0"/>
    <n v="0"/>
    <n v="0"/>
    <n v="0"/>
    <n v="0"/>
    <n v="0"/>
    <n v="0"/>
    <n v="0"/>
    <n v="0"/>
    <n v="0"/>
    <n v="0"/>
    <n v="0"/>
    <n v="0"/>
  </r>
  <r>
    <x v="215"/>
    <x v="211"/>
    <m/>
    <x v="1"/>
    <s v="H19"/>
    <x v="2"/>
    <s v="H196-10"/>
    <m/>
    <m/>
    <s v="HIST"/>
    <m/>
    <n v="100"/>
    <x v="0"/>
    <m/>
    <m/>
    <n v="29"/>
    <n v="3.625"/>
    <n v="0.85"/>
    <n v="3.0812499999999998"/>
    <n v="2180"/>
    <x v="0"/>
    <s v="Sam"/>
    <x v="1"/>
    <n v="23641"/>
    <n v="28786"/>
    <n v="174395.48749999999"/>
    <n v="5800"/>
    <n v="21025"/>
    <n v="195420.48749999999"/>
    <n v="0"/>
    <n v="0"/>
    <n v="0"/>
    <n v="1"/>
    <n v="0"/>
    <n v="0"/>
    <n v="0"/>
    <n v="0"/>
    <n v="0"/>
    <n v="0"/>
    <n v="0"/>
    <n v="0"/>
    <s v="Enligt SP 190924"/>
    <m/>
    <n v="0"/>
    <n v="0"/>
    <n v="0"/>
    <n v="0"/>
    <n v="0"/>
    <n v="0"/>
    <n v="3.625"/>
    <n v="3.0812499999999998"/>
    <n v="0"/>
    <n v="0"/>
    <n v="0"/>
    <n v="0"/>
    <n v="0"/>
    <n v="0"/>
    <n v="0"/>
    <n v="0"/>
    <n v="0"/>
    <n v="0"/>
    <n v="0"/>
    <n v="0"/>
    <n v="0"/>
    <n v="0"/>
    <n v="0"/>
  </r>
  <r>
    <x v="215"/>
    <x v="211"/>
    <m/>
    <x v="1"/>
    <s v="H19"/>
    <x v="2"/>
    <s v="H196-10"/>
    <m/>
    <m/>
    <s v="IDRH"/>
    <m/>
    <n v="100"/>
    <x v="0"/>
    <m/>
    <m/>
    <n v="21"/>
    <n v="2.625"/>
    <n v="0.85"/>
    <n v="2.2312499999999997"/>
    <n v="2180"/>
    <x v="0"/>
    <s v="Sam"/>
    <x v="1"/>
    <n v="23641"/>
    <n v="28786"/>
    <n v="126286.38749999998"/>
    <n v="5800"/>
    <n v="15225"/>
    <n v="141511.38749999998"/>
    <n v="0"/>
    <n v="0"/>
    <n v="0"/>
    <n v="1"/>
    <n v="0"/>
    <n v="0"/>
    <n v="0"/>
    <n v="0"/>
    <n v="0"/>
    <n v="0"/>
    <n v="0"/>
    <n v="0"/>
    <s v="Enligt SP 190924"/>
    <m/>
    <n v="0"/>
    <n v="0"/>
    <n v="0"/>
    <n v="0"/>
    <n v="0"/>
    <n v="0"/>
    <n v="2.625"/>
    <n v="2.2312499999999997"/>
    <n v="0"/>
    <n v="0"/>
    <n v="0"/>
    <n v="0"/>
    <n v="0"/>
    <n v="0"/>
    <n v="0"/>
    <n v="0"/>
    <n v="0"/>
    <n v="0"/>
    <n v="0"/>
    <n v="0"/>
    <n v="0"/>
    <n v="0"/>
    <n v="0"/>
  </r>
  <r>
    <x v="215"/>
    <x v="211"/>
    <m/>
    <x v="1"/>
    <s v="H19"/>
    <x v="2"/>
    <s v="H196-10"/>
    <m/>
    <m/>
    <s v="MATT"/>
    <m/>
    <n v="100"/>
    <x v="0"/>
    <m/>
    <m/>
    <n v="18"/>
    <n v="2.25"/>
    <n v="0.85"/>
    <n v="1.9124999999999999"/>
    <n v="2180"/>
    <x v="0"/>
    <s v="Sam"/>
    <x v="1"/>
    <n v="23641"/>
    <n v="28786"/>
    <n v="108245.47500000001"/>
    <n v="5800"/>
    <n v="13050"/>
    <n v="121295.47500000001"/>
    <n v="0"/>
    <n v="0"/>
    <n v="0"/>
    <n v="1"/>
    <n v="0"/>
    <n v="0"/>
    <n v="0"/>
    <n v="0"/>
    <n v="0"/>
    <n v="0"/>
    <n v="0"/>
    <n v="0"/>
    <s v="Enligt SP 190924"/>
    <m/>
    <n v="0"/>
    <n v="0"/>
    <n v="0"/>
    <n v="0"/>
    <n v="0"/>
    <n v="0"/>
    <n v="2.25"/>
    <n v="1.9124999999999999"/>
    <n v="0"/>
    <n v="0"/>
    <n v="0"/>
    <n v="0"/>
    <n v="0"/>
    <n v="0"/>
    <n v="0"/>
    <n v="0"/>
    <n v="0"/>
    <n v="0"/>
    <n v="0"/>
    <n v="0"/>
    <n v="0"/>
    <n v="0"/>
    <n v="0"/>
  </r>
  <r>
    <x v="215"/>
    <x v="211"/>
    <m/>
    <x v="1"/>
    <s v="H19"/>
    <x v="2"/>
    <s v="H196-10"/>
    <m/>
    <m/>
    <s v="NATU"/>
    <m/>
    <n v="100"/>
    <x v="0"/>
    <m/>
    <m/>
    <n v="1"/>
    <n v="0.125"/>
    <n v="0.85"/>
    <n v="0.10625"/>
    <n v="2180"/>
    <x v="0"/>
    <s v="Sam"/>
    <x v="1"/>
    <n v="23641"/>
    <n v="28786"/>
    <n v="6013.6374999999998"/>
    <n v="5800"/>
    <n v="725"/>
    <n v="6738.6374999999998"/>
    <n v="0"/>
    <n v="0"/>
    <n v="0"/>
    <n v="1"/>
    <n v="0"/>
    <n v="0"/>
    <n v="0"/>
    <n v="0"/>
    <n v="0"/>
    <n v="0"/>
    <n v="0"/>
    <n v="0"/>
    <s v="Enligt SP 190924"/>
    <m/>
    <n v="0"/>
    <n v="0"/>
    <n v="0"/>
    <n v="0"/>
    <n v="0"/>
    <n v="0"/>
    <n v="0.125"/>
    <n v="0.10625"/>
    <n v="0"/>
    <n v="0"/>
    <n v="0"/>
    <n v="0"/>
    <n v="0"/>
    <n v="0"/>
    <n v="0"/>
    <n v="0"/>
    <n v="0"/>
    <n v="0"/>
    <n v="0"/>
    <n v="0"/>
    <n v="0"/>
    <n v="0"/>
    <n v="0"/>
  </r>
  <r>
    <x v="215"/>
    <x v="211"/>
    <m/>
    <x v="1"/>
    <s v="H19"/>
    <x v="2"/>
    <s v="H196-10"/>
    <m/>
    <m/>
    <s v="RELK"/>
    <m/>
    <n v="100"/>
    <x v="0"/>
    <m/>
    <m/>
    <n v="8"/>
    <n v="1"/>
    <n v="0.85"/>
    <n v="0.85"/>
    <n v="2180"/>
    <x v="0"/>
    <s v="Sam"/>
    <x v="1"/>
    <n v="23641"/>
    <n v="28786"/>
    <n v="48109.1"/>
    <n v="5800"/>
    <n v="5800"/>
    <n v="53909.1"/>
    <n v="0"/>
    <n v="0"/>
    <n v="0"/>
    <n v="1"/>
    <n v="0"/>
    <n v="0"/>
    <n v="0"/>
    <n v="0"/>
    <n v="0"/>
    <n v="0"/>
    <n v="0"/>
    <n v="0"/>
    <s v="Enligt SP 190924"/>
    <m/>
    <n v="0"/>
    <n v="0"/>
    <n v="0"/>
    <n v="0"/>
    <n v="0"/>
    <n v="0"/>
    <n v="1"/>
    <n v="0.85"/>
    <n v="0"/>
    <n v="0"/>
    <n v="0"/>
    <n v="0"/>
    <n v="0"/>
    <n v="0"/>
    <n v="0"/>
    <n v="0"/>
    <n v="0"/>
    <n v="0"/>
    <n v="0"/>
    <n v="0"/>
    <n v="0"/>
    <n v="0"/>
    <n v="0"/>
  </r>
  <r>
    <x v="215"/>
    <x v="211"/>
    <m/>
    <x v="1"/>
    <s v="H19"/>
    <x v="2"/>
    <s v="H196-10"/>
    <m/>
    <m/>
    <s v="SAMK"/>
    <m/>
    <n v="100"/>
    <x v="0"/>
    <m/>
    <m/>
    <n v="18"/>
    <n v="2.25"/>
    <n v="0.85"/>
    <n v="1.9124999999999999"/>
    <n v="2180"/>
    <x v="0"/>
    <s v="Sam"/>
    <x v="1"/>
    <n v="23641"/>
    <n v="28786"/>
    <n v="108245.47500000001"/>
    <n v="5800"/>
    <n v="13050"/>
    <n v="121295.47500000001"/>
    <n v="0"/>
    <n v="0"/>
    <n v="0"/>
    <n v="1"/>
    <n v="0"/>
    <n v="0"/>
    <n v="0"/>
    <n v="0"/>
    <n v="0"/>
    <n v="0"/>
    <n v="0"/>
    <n v="0"/>
    <s v="Enligt SP 190924"/>
    <m/>
    <n v="0"/>
    <n v="0"/>
    <n v="0"/>
    <n v="0"/>
    <n v="0"/>
    <n v="0"/>
    <n v="2.25"/>
    <n v="1.9124999999999999"/>
    <n v="0"/>
    <n v="0"/>
    <n v="0"/>
    <n v="0"/>
    <n v="0"/>
    <n v="0"/>
    <n v="0"/>
    <n v="0"/>
    <n v="0"/>
    <n v="0"/>
    <n v="0"/>
    <n v="0"/>
    <n v="0"/>
    <n v="0"/>
    <n v="0"/>
  </r>
  <r>
    <x v="215"/>
    <x v="211"/>
    <m/>
    <x v="1"/>
    <s v="H19"/>
    <x v="2"/>
    <s v="H196-10"/>
    <m/>
    <m/>
    <s v="SPAN"/>
    <m/>
    <n v="100"/>
    <x v="0"/>
    <m/>
    <m/>
    <n v="1"/>
    <n v="0.125"/>
    <n v="0.85"/>
    <n v="0.10625"/>
    <n v="2180"/>
    <x v="0"/>
    <s v="Sam"/>
    <x v="1"/>
    <n v="23641"/>
    <n v="28786"/>
    <n v="6013.6374999999998"/>
    <n v="5800"/>
    <n v="725"/>
    <n v="6738.6374999999998"/>
    <n v="0"/>
    <n v="0"/>
    <n v="0"/>
    <n v="1"/>
    <n v="0"/>
    <n v="0"/>
    <n v="0"/>
    <n v="0"/>
    <n v="0"/>
    <n v="0"/>
    <n v="0"/>
    <n v="0"/>
    <s v="Enligt SP 190924"/>
    <m/>
    <n v="0"/>
    <n v="0"/>
    <n v="0"/>
    <n v="0"/>
    <n v="0"/>
    <n v="0"/>
    <n v="0.125"/>
    <n v="0.10625"/>
    <n v="0"/>
    <n v="0"/>
    <n v="0"/>
    <n v="0"/>
    <n v="0"/>
    <n v="0"/>
    <n v="0"/>
    <n v="0"/>
    <n v="0"/>
    <n v="0"/>
    <n v="0"/>
    <n v="0"/>
    <n v="0"/>
    <n v="0"/>
    <n v="0"/>
  </r>
  <r>
    <x v="215"/>
    <x v="211"/>
    <m/>
    <x v="1"/>
    <s v="H19"/>
    <x v="2"/>
    <s v="H196-10"/>
    <m/>
    <m/>
    <s v="SVAA"/>
    <m/>
    <n v="100"/>
    <x v="0"/>
    <m/>
    <m/>
    <n v="13"/>
    <n v="1.625"/>
    <n v="0.85"/>
    <n v="1.3812499999999999"/>
    <n v="2180"/>
    <x v="0"/>
    <s v="Sam"/>
    <x v="1"/>
    <n v="23641"/>
    <n v="28786"/>
    <n v="78177.287500000006"/>
    <n v="5800"/>
    <n v="9425"/>
    <n v="87602.287500000006"/>
    <n v="0"/>
    <n v="0"/>
    <n v="0"/>
    <n v="1"/>
    <n v="0"/>
    <n v="0"/>
    <n v="0"/>
    <n v="0"/>
    <n v="0"/>
    <n v="0"/>
    <n v="0"/>
    <n v="0"/>
    <s v="Enligt SP 190924"/>
    <m/>
    <n v="0"/>
    <n v="0"/>
    <n v="0"/>
    <n v="0"/>
    <n v="0"/>
    <n v="0"/>
    <n v="1.625"/>
    <n v="1.3812499999999999"/>
    <n v="0"/>
    <n v="0"/>
    <n v="0"/>
    <n v="0"/>
    <n v="0"/>
    <n v="0"/>
    <n v="0"/>
    <n v="0"/>
    <n v="0"/>
    <n v="0"/>
    <n v="0"/>
    <n v="0"/>
    <n v="0"/>
    <n v="0"/>
    <n v="0"/>
  </r>
  <r>
    <x v="215"/>
    <x v="211"/>
    <m/>
    <x v="1"/>
    <s v="H19"/>
    <x v="2"/>
    <s v="H196-10"/>
    <m/>
    <m/>
    <s v="SVAN"/>
    <m/>
    <n v="100"/>
    <x v="0"/>
    <m/>
    <m/>
    <n v="3"/>
    <n v="0.375"/>
    <n v="0.85"/>
    <n v="0.31874999999999998"/>
    <n v="2180"/>
    <x v="0"/>
    <s v="Sam"/>
    <x v="1"/>
    <n v="23641"/>
    <n v="28786"/>
    <n v="18040.912499999999"/>
    <n v="5800"/>
    <n v="2175"/>
    <n v="20215.912499999999"/>
    <n v="0"/>
    <n v="0"/>
    <n v="0"/>
    <n v="1"/>
    <n v="0"/>
    <n v="0"/>
    <n v="0"/>
    <n v="0"/>
    <n v="0"/>
    <n v="0"/>
    <n v="0"/>
    <n v="0"/>
    <s v="Enligt SP 190924"/>
    <m/>
    <n v="0"/>
    <n v="0"/>
    <n v="0"/>
    <n v="0"/>
    <n v="0"/>
    <n v="0"/>
    <n v="0.375"/>
    <n v="0.31874999999999998"/>
    <n v="0"/>
    <n v="0"/>
    <n v="0"/>
    <n v="0"/>
    <n v="0"/>
    <n v="0"/>
    <n v="0"/>
    <n v="0"/>
    <n v="0"/>
    <n v="0"/>
    <n v="0"/>
    <n v="0"/>
    <n v="0"/>
    <n v="0"/>
    <n v="0"/>
  </r>
  <r>
    <x v="215"/>
    <x v="211"/>
    <m/>
    <x v="1"/>
    <s v="H19"/>
    <x v="2"/>
    <s v="H196-10"/>
    <m/>
    <m/>
    <s v="TYSK"/>
    <m/>
    <n v="100"/>
    <x v="0"/>
    <m/>
    <m/>
    <n v="2"/>
    <n v="0.25"/>
    <n v="0.85"/>
    <n v="0.21249999999999999"/>
    <n v="2180"/>
    <x v="0"/>
    <s v="Sam"/>
    <x v="1"/>
    <n v="23641"/>
    <n v="28786"/>
    <n v="12027.275"/>
    <n v="5800"/>
    <n v="1450"/>
    <n v="13477.275"/>
    <n v="0"/>
    <n v="0"/>
    <n v="0"/>
    <n v="1"/>
    <n v="0"/>
    <n v="0"/>
    <n v="0"/>
    <n v="0"/>
    <n v="0"/>
    <n v="0"/>
    <n v="0"/>
    <n v="0"/>
    <s v="Enligt SP 190924"/>
    <m/>
    <n v="0"/>
    <n v="0"/>
    <n v="0"/>
    <n v="0"/>
    <n v="0"/>
    <n v="0"/>
    <n v="0.25"/>
    <n v="0.21249999999999999"/>
    <n v="0"/>
    <n v="0"/>
    <n v="0"/>
    <n v="0"/>
    <n v="0"/>
    <n v="0"/>
    <n v="0"/>
    <n v="0"/>
    <n v="0"/>
    <n v="0"/>
    <n v="0"/>
    <n v="0"/>
    <n v="0"/>
    <n v="0"/>
    <n v="0"/>
  </r>
  <r>
    <x v="215"/>
    <x v="211"/>
    <m/>
    <x v="7"/>
    <s v="H19"/>
    <x v="2"/>
    <s v="H196-10"/>
    <m/>
    <m/>
    <m/>
    <m/>
    <n v="100"/>
    <x v="0"/>
    <n v="-0.1"/>
    <n v="57"/>
    <n v="51.3"/>
    <n v="6.4124999999999996"/>
    <n v="0.85"/>
    <n v="5.4506249999999996"/>
    <n v="2180"/>
    <x v="0"/>
    <s v="Sam"/>
    <x v="7"/>
    <n v="23641"/>
    <n v="28786"/>
    <n v="308499.60375000001"/>
    <n v="5800"/>
    <n v="37192.5"/>
    <n v="345692.10375000001"/>
    <n v="0"/>
    <n v="0"/>
    <n v="0"/>
    <n v="1"/>
    <n v="0"/>
    <n v="0"/>
    <n v="0"/>
    <n v="0"/>
    <n v="0"/>
    <n v="0"/>
    <n v="0"/>
    <n v="0"/>
    <s v="Prognostal"/>
    <m/>
    <n v="0"/>
    <n v="0"/>
    <n v="0"/>
    <n v="0"/>
    <n v="0"/>
    <n v="0"/>
    <n v="6.4124999999999996"/>
    <n v="5.4506249999999996"/>
    <n v="0"/>
    <n v="0"/>
    <n v="0"/>
    <n v="0"/>
    <n v="0"/>
    <n v="0"/>
    <n v="0"/>
    <n v="0"/>
    <n v="0"/>
    <n v="0"/>
    <n v="0"/>
    <n v="0"/>
    <n v="0"/>
    <n v="0"/>
    <n v="0"/>
  </r>
  <r>
    <x v="215"/>
    <x v="211"/>
    <m/>
    <x v="7"/>
    <s v="V19"/>
    <x v="1"/>
    <s v="V196-10"/>
    <s v="Umeå"/>
    <m/>
    <m/>
    <m/>
    <n v="100"/>
    <x v="0"/>
    <m/>
    <m/>
    <n v="21"/>
    <n v="2.625"/>
    <n v="0.85"/>
    <n v="2.2312499999999997"/>
    <n v="2180"/>
    <x v="0"/>
    <s v="Sam"/>
    <x v="7"/>
    <n v="23641"/>
    <n v="28786"/>
    <n v="126286.38749999998"/>
    <n v="5800"/>
    <n v="15225"/>
    <n v="141511.38749999998"/>
    <n v="0"/>
    <n v="0"/>
    <n v="0"/>
    <n v="1"/>
    <n v="0"/>
    <n v="0"/>
    <n v="0"/>
    <n v="0"/>
    <n v="0"/>
    <n v="0"/>
    <n v="0"/>
    <n v="0"/>
    <s v="Enl Ladok 190318"/>
    <m/>
    <n v="0"/>
    <n v="0"/>
    <n v="0"/>
    <n v="0"/>
    <n v="0"/>
    <n v="0"/>
    <n v="2.625"/>
    <n v="2.2312499999999997"/>
    <n v="0"/>
    <n v="0"/>
    <n v="0"/>
    <n v="0"/>
    <n v="0"/>
    <n v="0"/>
    <n v="0"/>
    <n v="0"/>
    <n v="0"/>
    <n v="0"/>
    <n v="0"/>
    <n v="0"/>
    <n v="0"/>
    <n v="0"/>
    <n v="0"/>
  </r>
  <r>
    <x v="215"/>
    <x v="211"/>
    <m/>
    <x v="8"/>
    <s v="H19"/>
    <x v="2"/>
    <s v="H196-10"/>
    <m/>
    <m/>
    <m/>
    <m/>
    <n v="100"/>
    <x v="0"/>
    <n v="-0.1"/>
    <n v="25"/>
    <n v="22.5"/>
    <n v="2.8125"/>
    <n v="0.85"/>
    <n v="2.390625"/>
    <n v="2180"/>
    <x v="0"/>
    <s v="Sam"/>
    <x v="8"/>
    <n v="23641"/>
    <n v="28786"/>
    <n v="135306.84375"/>
    <n v="5800"/>
    <n v="16312.5"/>
    <n v="151619.34375"/>
    <n v="0"/>
    <n v="0"/>
    <n v="0"/>
    <n v="1"/>
    <n v="0"/>
    <n v="0"/>
    <n v="0"/>
    <n v="0"/>
    <n v="0"/>
    <n v="0"/>
    <n v="0"/>
    <n v="0"/>
    <s v="Prognostal"/>
    <m/>
    <n v="0"/>
    <n v="0"/>
    <n v="0"/>
    <n v="0"/>
    <n v="0"/>
    <n v="0"/>
    <n v="2.8125"/>
    <n v="2.390625"/>
    <n v="0"/>
    <n v="0"/>
    <n v="0"/>
    <n v="0"/>
    <n v="0"/>
    <n v="0"/>
    <n v="0"/>
    <n v="0"/>
    <n v="0"/>
    <n v="0"/>
    <n v="0"/>
    <n v="0"/>
    <n v="0"/>
    <n v="0"/>
    <n v="0"/>
  </r>
  <r>
    <x v="215"/>
    <x v="211"/>
    <m/>
    <x v="2"/>
    <s v="H14"/>
    <x v="2"/>
    <s v="H196-10"/>
    <m/>
    <m/>
    <m/>
    <m/>
    <n v="100"/>
    <x v="0"/>
    <m/>
    <m/>
    <n v="1"/>
    <n v="0.125"/>
    <n v="0.85"/>
    <n v="0.10625"/>
    <n v="2180"/>
    <x v="0"/>
    <s v="Sam"/>
    <x v="2"/>
    <n v="23641"/>
    <n v="28786"/>
    <n v="6013.6374999999998"/>
    <n v="5800"/>
    <n v="725"/>
    <n v="6738.6374999999998"/>
    <n v="0"/>
    <n v="0"/>
    <n v="0"/>
    <n v="1"/>
    <n v="0"/>
    <n v="0"/>
    <n v="0"/>
    <n v="0"/>
    <n v="0"/>
    <n v="0"/>
    <n v="0"/>
    <n v="0"/>
    <s v="Enligt SP 190924"/>
    <m/>
    <n v="0"/>
    <n v="0"/>
    <n v="0"/>
    <n v="0"/>
    <n v="0"/>
    <n v="0"/>
    <n v="0.125"/>
    <n v="0.10625"/>
    <n v="0"/>
    <n v="0"/>
    <n v="0"/>
    <n v="0"/>
    <n v="0"/>
    <n v="0"/>
    <n v="0"/>
    <n v="0"/>
    <n v="0"/>
    <n v="0"/>
    <n v="0"/>
    <n v="0"/>
    <n v="0"/>
    <n v="0"/>
    <n v="0"/>
  </r>
  <r>
    <x v="215"/>
    <x v="211"/>
    <m/>
    <x v="2"/>
    <s v="H18"/>
    <x v="2"/>
    <s v="H196-10"/>
    <m/>
    <m/>
    <m/>
    <m/>
    <n v="100"/>
    <x v="0"/>
    <m/>
    <m/>
    <n v="1"/>
    <n v="0.125"/>
    <n v="0.85"/>
    <n v="0.10625"/>
    <n v="2180"/>
    <x v="0"/>
    <s v="Sam"/>
    <x v="2"/>
    <n v="23641"/>
    <n v="28786"/>
    <n v="6013.6374999999998"/>
    <n v="5800"/>
    <n v="725"/>
    <n v="6738.6374999999998"/>
    <n v="0"/>
    <n v="0"/>
    <n v="0"/>
    <n v="1"/>
    <n v="0"/>
    <n v="0"/>
    <n v="0"/>
    <n v="0"/>
    <n v="0"/>
    <n v="0"/>
    <n v="0"/>
    <n v="0"/>
    <s v="Enligt SP 190924"/>
    <m/>
    <n v="0"/>
    <n v="0"/>
    <n v="0"/>
    <n v="0"/>
    <n v="0"/>
    <n v="0"/>
    <n v="0.125"/>
    <n v="0.10625"/>
    <n v="0"/>
    <n v="0"/>
    <n v="0"/>
    <n v="0"/>
    <n v="0"/>
    <n v="0"/>
    <n v="0"/>
    <n v="0"/>
    <n v="0"/>
    <n v="0"/>
    <n v="0"/>
    <n v="0"/>
    <n v="0"/>
    <n v="0"/>
    <n v="0"/>
  </r>
  <r>
    <x v="215"/>
    <x v="211"/>
    <m/>
    <x v="2"/>
    <s v="H19"/>
    <x v="2"/>
    <s v="H196-10"/>
    <m/>
    <m/>
    <m/>
    <m/>
    <n v="100"/>
    <x v="0"/>
    <n v="-0.05"/>
    <n v="51"/>
    <n v="48.45"/>
    <n v="6.0562500000000004"/>
    <n v="0.85"/>
    <n v="5.1478125000000006"/>
    <n v="2180"/>
    <x v="0"/>
    <s v="Sam"/>
    <x v="2"/>
    <n v="23641"/>
    <n v="28786"/>
    <n v="291360.736875"/>
    <n v="5800"/>
    <n v="35126.25"/>
    <n v="326486.986875"/>
    <n v="0"/>
    <n v="0"/>
    <n v="0"/>
    <n v="1"/>
    <n v="0"/>
    <n v="0"/>
    <n v="0"/>
    <n v="0"/>
    <n v="0"/>
    <n v="0"/>
    <n v="0"/>
    <n v="0"/>
    <s v="Prognostal"/>
    <m/>
    <n v="0"/>
    <n v="0"/>
    <n v="0"/>
    <n v="0"/>
    <n v="0"/>
    <n v="0"/>
    <n v="6.0562500000000004"/>
    <n v="5.1478125000000006"/>
    <n v="0"/>
    <n v="0"/>
    <n v="0"/>
    <n v="0"/>
    <n v="0"/>
    <n v="0"/>
    <n v="0"/>
    <n v="0"/>
    <n v="0"/>
    <n v="0"/>
    <n v="0"/>
    <n v="0"/>
    <n v="0"/>
    <n v="0"/>
    <n v="0"/>
  </r>
  <r>
    <x v="215"/>
    <x v="211"/>
    <m/>
    <x v="2"/>
    <s v="V18"/>
    <x v="2"/>
    <s v="H196-10"/>
    <m/>
    <m/>
    <m/>
    <m/>
    <n v="100"/>
    <x v="0"/>
    <m/>
    <m/>
    <n v="1"/>
    <n v="0.125"/>
    <n v="0.85"/>
    <n v="0.10625"/>
    <n v="2180"/>
    <x v="0"/>
    <s v="Sam"/>
    <x v="2"/>
    <n v="23641"/>
    <n v="28786"/>
    <n v="6013.6374999999998"/>
    <n v="5800"/>
    <n v="725"/>
    <n v="6738.6374999999998"/>
    <n v="0"/>
    <n v="0"/>
    <n v="0"/>
    <n v="1"/>
    <n v="0"/>
    <n v="0"/>
    <n v="0"/>
    <n v="0"/>
    <n v="0"/>
    <n v="0"/>
    <n v="0"/>
    <n v="0"/>
    <s v="Enligt SP 190924"/>
    <m/>
    <n v="0"/>
    <n v="0"/>
    <n v="0"/>
    <n v="0"/>
    <n v="0"/>
    <n v="0"/>
    <n v="0.125"/>
    <n v="0.10625"/>
    <n v="0"/>
    <n v="0"/>
    <n v="0"/>
    <n v="0"/>
    <n v="0"/>
    <n v="0"/>
    <n v="0"/>
    <n v="0"/>
    <n v="0"/>
    <n v="0"/>
    <n v="0"/>
    <n v="0"/>
    <n v="0"/>
    <n v="0"/>
    <n v="0"/>
  </r>
  <r>
    <x v="215"/>
    <x v="211"/>
    <m/>
    <x v="3"/>
    <s v="H19"/>
    <x v="2"/>
    <s v="H196-10"/>
    <m/>
    <m/>
    <m/>
    <m/>
    <n v="100"/>
    <x v="0"/>
    <n v="-0.08"/>
    <n v="35"/>
    <n v="32.200000000000003"/>
    <n v="4.0250000000000004"/>
    <n v="0.85"/>
    <n v="3.4212500000000001"/>
    <n v="2180"/>
    <x v="0"/>
    <s v="Sam"/>
    <x v="3"/>
    <n v="23641"/>
    <n v="28786"/>
    <n v="193639.1275"/>
    <n v="5800"/>
    <n v="23345.000000000004"/>
    <n v="216984.1275"/>
    <n v="0"/>
    <n v="0"/>
    <n v="0"/>
    <n v="1"/>
    <n v="0"/>
    <n v="0"/>
    <n v="0"/>
    <n v="0"/>
    <n v="0"/>
    <n v="0"/>
    <n v="0"/>
    <n v="0"/>
    <s v="Prognostal"/>
    <m/>
    <n v="0"/>
    <n v="0"/>
    <n v="0"/>
    <n v="0"/>
    <n v="0"/>
    <n v="0"/>
    <n v="4.0250000000000004"/>
    <n v="3.4212500000000001"/>
    <n v="0"/>
    <n v="0"/>
    <n v="0"/>
    <n v="0"/>
    <n v="0"/>
    <n v="0"/>
    <n v="0"/>
    <n v="0"/>
    <n v="0"/>
    <n v="0"/>
    <n v="0"/>
    <n v="0"/>
    <n v="0"/>
    <n v="0"/>
    <n v="0"/>
  </r>
  <r>
    <x v="216"/>
    <x v="212"/>
    <m/>
    <x v="0"/>
    <m/>
    <x v="1"/>
    <s v="V12-17"/>
    <m/>
    <s v="Campus"/>
    <m/>
    <m/>
    <n v="100"/>
    <x v="0"/>
    <m/>
    <m/>
    <n v="2"/>
    <n v="0.25"/>
    <n v="0.8"/>
    <n v="0.2"/>
    <n v="2180"/>
    <x v="0"/>
    <s v="Sam"/>
    <x v="0"/>
    <n v="20988.2"/>
    <n v="24743.4"/>
    <n v="10195.73"/>
    <n v="3880"/>
    <n v="970"/>
    <n v="11165.73"/>
    <n v="0"/>
    <n v="0"/>
    <n v="0"/>
    <n v="0"/>
    <n v="0"/>
    <n v="0"/>
    <n v="0.2"/>
    <n v="0"/>
    <n v="0.8"/>
    <n v="0"/>
    <n v="0"/>
    <n v="0"/>
    <s v="Enl Ladok 190515"/>
    <s v="Äskat - Beslut p43 180607"/>
    <n v="0"/>
    <n v="0"/>
    <n v="0"/>
    <n v="0"/>
    <n v="0"/>
    <n v="0"/>
    <n v="0"/>
    <n v="0"/>
    <n v="0"/>
    <n v="0"/>
    <n v="0"/>
    <n v="0"/>
    <n v="0.05"/>
    <n v="4.0000000000000008E-2"/>
    <n v="0"/>
    <n v="0"/>
    <n v="0.2"/>
    <n v="0.16000000000000003"/>
    <n v="0"/>
    <n v="0"/>
    <n v="0"/>
    <n v="0"/>
    <n v="0"/>
  </r>
  <r>
    <x v="216"/>
    <x v="212"/>
    <m/>
    <x v="0"/>
    <m/>
    <x v="1"/>
    <s v="V3-7"/>
    <m/>
    <s v="Campus"/>
    <m/>
    <m/>
    <n v="100"/>
    <x v="0"/>
    <m/>
    <m/>
    <n v="8"/>
    <n v="1"/>
    <n v="0.8"/>
    <n v="0.8"/>
    <n v="2180"/>
    <x v="0"/>
    <s v="Sam"/>
    <x v="0"/>
    <n v="20988.2"/>
    <n v="24743.4"/>
    <n v="40782.92"/>
    <n v="3880"/>
    <n v="3880"/>
    <n v="44662.92"/>
    <n v="0"/>
    <n v="0"/>
    <n v="0"/>
    <n v="0"/>
    <n v="0"/>
    <n v="0"/>
    <n v="0.2"/>
    <n v="0"/>
    <n v="0.8"/>
    <n v="0"/>
    <n v="0"/>
    <n v="0"/>
    <s v="Enl Ladok 190318"/>
    <s v="Äskat - Beslut p43 180607"/>
    <n v="0"/>
    <n v="0"/>
    <n v="0"/>
    <n v="0"/>
    <n v="0"/>
    <n v="0"/>
    <n v="0"/>
    <n v="0"/>
    <n v="0"/>
    <n v="0"/>
    <n v="0"/>
    <n v="0"/>
    <n v="0.2"/>
    <n v="0.16000000000000003"/>
    <n v="0"/>
    <n v="0"/>
    <n v="0.8"/>
    <n v="0.64000000000000012"/>
    <n v="0"/>
    <n v="0"/>
    <n v="0"/>
    <n v="0"/>
    <n v="0"/>
  </r>
  <r>
    <x v="216"/>
    <x v="212"/>
    <m/>
    <x v="0"/>
    <m/>
    <x v="2"/>
    <m/>
    <m/>
    <s v="Campus"/>
    <m/>
    <m/>
    <n v="100"/>
    <x v="0"/>
    <m/>
    <m/>
    <n v="25"/>
    <n v="3.125"/>
    <n v="0.8"/>
    <n v="2.5"/>
    <n v="2180"/>
    <x v="0"/>
    <s v="Sam"/>
    <x v="0"/>
    <n v="20988.2"/>
    <n v="24743.4"/>
    <n v="127446.625"/>
    <n v="3880"/>
    <n v="12125"/>
    <n v="139571.625"/>
    <n v="0"/>
    <n v="0"/>
    <n v="0"/>
    <n v="0"/>
    <n v="0"/>
    <n v="0"/>
    <n v="0.2"/>
    <n v="0"/>
    <n v="0.8"/>
    <n v="0"/>
    <n v="0"/>
    <n v="0"/>
    <s v="Äskat - Beslut p43 180607"/>
    <m/>
    <n v="0"/>
    <n v="0"/>
    <n v="0"/>
    <n v="0"/>
    <n v="0"/>
    <n v="0"/>
    <n v="0"/>
    <n v="0"/>
    <n v="0"/>
    <n v="0"/>
    <n v="0"/>
    <n v="0"/>
    <n v="0.625"/>
    <n v="0.5"/>
    <n v="0"/>
    <n v="0"/>
    <n v="2.5"/>
    <n v="2"/>
    <n v="0"/>
    <n v="0"/>
    <n v="0"/>
    <n v="0"/>
    <n v="0"/>
  </r>
  <r>
    <x v="217"/>
    <x v="213"/>
    <m/>
    <x v="0"/>
    <m/>
    <x v="1"/>
    <m/>
    <m/>
    <s v="Campus"/>
    <m/>
    <m/>
    <n v="100"/>
    <x v="0"/>
    <m/>
    <m/>
    <n v="16"/>
    <n v="2"/>
    <n v="0.8"/>
    <n v="1.6"/>
    <n v="2180"/>
    <x v="0"/>
    <s v="Sam"/>
    <x v="0"/>
    <n v="18405"/>
    <n v="15773"/>
    <n v="62046.8"/>
    <n v="5800"/>
    <n v="11600"/>
    <n v="73646.8"/>
    <n v="0"/>
    <n v="0"/>
    <n v="0"/>
    <n v="0"/>
    <n v="0"/>
    <n v="0"/>
    <n v="1"/>
    <n v="0"/>
    <n v="0"/>
    <n v="0"/>
    <n v="0"/>
    <n v="0"/>
    <s v="Enl Ladok 190318"/>
    <s v="Äskat - Beslut p43 180607"/>
    <n v="0"/>
    <n v="0"/>
    <n v="0"/>
    <n v="0"/>
    <n v="0"/>
    <n v="0"/>
    <n v="0"/>
    <n v="0"/>
    <n v="0"/>
    <n v="0"/>
    <n v="0"/>
    <n v="0"/>
    <n v="2"/>
    <n v="1.6"/>
    <n v="0"/>
    <n v="0"/>
    <n v="0"/>
    <n v="0"/>
    <n v="0"/>
    <n v="0"/>
    <n v="0"/>
    <n v="0"/>
    <n v="0"/>
  </r>
  <r>
    <x v="217"/>
    <x v="213"/>
    <m/>
    <x v="0"/>
    <m/>
    <x v="2"/>
    <m/>
    <m/>
    <s v="Campus"/>
    <m/>
    <m/>
    <n v="100"/>
    <x v="0"/>
    <m/>
    <m/>
    <n v="30"/>
    <n v="3.75"/>
    <n v="0.8"/>
    <n v="3"/>
    <n v="2180"/>
    <x v="0"/>
    <s v="Sam"/>
    <x v="0"/>
    <n v="18405"/>
    <n v="15773"/>
    <n v="116337.75"/>
    <n v="5800"/>
    <n v="21750"/>
    <n v="138087.75"/>
    <n v="0"/>
    <n v="0"/>
    <n v="0"/>
    <n v="0"/>
    <n v="0"/>
    <n v="0"/>
    <n v="1"/>
    <n v="0"/>
    <n v="0"/>
    <n v="0"/>
    <n v="0"/>
    <n v="0"/>
    <s v="Äskat - Beslut p43 180607"/>
    <m/>
    <n v="0"/>
    <n v="0"/>
    <n v="0"/>
    <n v="0"/>
    <n v="0"/>
    <n v="0"/>
    <n v="0"/>
    <n v="0"/>
    <n v="0"/>
    <n v="0"/>
    <n v="0"/>
    <n v="0"/>
    <n v="3.75"/>
    <n v="3"/>
    <n v="0"/>
    <n v="0"/>
    <n v="0"/>
    <n v="0"/>
    <n v="0"/>
    <n v="0"/>
    <n v="0"/>
    <n v="0"/>
    <n v="0"/>
  </r>
  <r>
    <x v="218"/>
    <x v="214"/>
    <m/>
    <x v="0"/>
    <m/>
    <x v="1"/>
    <m/>
    <m/>
    <s v="Campus"/>
    <m/>
    <m/>
    <n v="100"/>
    <x v="0"/>
    <m/>
    <m/>
    <n v="10"/>
    <n v="1.25"/>
    <n v="0.8"/>
    <n v="1"/>
    <n v="2180"/>
    <x v="0"/>
    <s v="Sam"/>
    <x v="0"/>
    <n v="18405"/>
    <n v="15773"/>
    <n v="38779.25"/>
    <n v="5800"/>
    <n v="7250"/>
    <n v="46029.25"/>
    <n v="0"/>
    <n v="0"/>
    <n v="0"/>
    <n v="0"/>
    <n v="0"/>
    <n v="0"/>
    <n v="1"/>
    <n v="0"/>
    <n v="0"/>
    <n v="0"/>
    <n v="0"/>
    <n v="0"/>
    <s v="Enl Ladok 190515"/>
    <s v="Äskat - Beslut p43 180607"/>
    <n v="0"/>
    <n v="0"/>
    <n v="0"/>
    <n v="0"/>
    <n v="0"/>
    <n v="0"/>
    <n v="0"/>
    <n v="0"/>
    <n v="0"/>
    <n v="0"/>
    <n v="0"/>
    <n v="0"/>
    <n v="1.25"/>
    <n v="1"/>
    <n v="0"/>
    <n v="0"/>
    <n v="0"/>
    <n v="0"/>
    <n v="0"/>
    <n v="0"/>
    <n v="0"/>
    <n v="0"/>
    <n v="0"/>
  </r>
  <r>
    <x v="218"/>
    <x v="214"/>
    <m/>
    <x v="0"/>
    <m/>
    <x v="1"/>
    <m/>
    <m/>
    <s v="Distans"/>
    <m/>
    <m/>
    <n v="25"/>
    <x v="0"/>
    <m/>
    <m/>
    <n v="18"/>
    <n v="2.25"/>
    <n v="0.8"/>
    <n v="1.8"/>
    <n v="2180"/>
    <x v="0"/>
    <s v="Sam"/>
    <x v="0"/>
    <n v="18405"/>
    <n v="15773"/>
    <n v="69802.649999999994"/>
    <n v="5800"/>
    <n v="13050"/>
    <n v="82852.649999999994"/>
    <n v="0"/>
    <n v="0"/>
    <n v="0"/>
    <n v="0"/>
    <n v="0"/>
    <n v="0"/>
    <n v="1"/>
    <n v="0"/>
    <n v="0"/>
    <n v="0"/>
    <n v="0"/>
    <n v="0"/>
    <s v="Enl Ladok 190515"/>
    <s v="Äskat - Beslut p43 180607"/>
    <n v="0"/>
    <n v="0"/>
    <n v="0"/>
    <n v="0"/>
    <n v="0"/>
    <n v="0"/>
    <n v="0"/>
    <n v="0"/>
    <n v="0"/>
    <n v="0"/>
    <n v="0"/>
    <n v="0"/>
    <n v="2.25"/>
    <n v="1.8"/>
    <n v="0"/>
    <n v="0"/>
    <n v="0"/>
    <n v="0"/>
    <n v="0"/>
    <n v="0"/>
    <n v="0"/>
    <n v="0"/>
    <n v="0"/>
  </r>
  <r>
    <x v="218"/>
    <x v="214"/>
    <m/>
    <x v="0"/>
    <m/>
    <x v="2"/>
    <m/>
    <m/>
    <s v="Campus"/>
    <m/>
    <m/>
    <n v="100"/>
    <x v="0"/>
    <m/>
    <m/>
    <n v="30"/>
    <n v="3.75"/>
    <n v="0.8"/>
    <n v="3"/>
    <n v="2180"/>
    <x v="0"/>
    <s v="Sam"/>
    <x v="0"/>
    <n v="18405"/>
    <n v="15773"/>
    <n v="116337.75"/>
    <n v="5800"/>
    <n v="21750"/>
    <n v="138087.75"/>
    <n v="0"/>
    <n v="0"/>
    <n v="0"/>
    <n v="0"/>
    <n v="0"/>
    <n v="0"/>
    <n v="1"/>
    <n v="0"/>
    <n v="0"/>
    <n v="0"/>
    <n v="0"/>
    <n v="0"/>
    <s v="Äskat - Beslut p43 180607"/>
    <m/>
    <n v="0"/>
    <n v="0"/>
    <n v="0"/>
    <n v="0"/>
    <n v="0"/>
    <n v="0"/>
    <n v="0"/>
    <n v="0"/>
    <n v="0"/>
    <n v="0"/>
    <n v="0"/>
    <n v="0"/>
    <n v="3.75"/>
    <n v="3"/>
    <n v="0"/>
    <n v="0"/>
    <n v="0"/>
    <n v="0"/>
    <n v="0"/>
    <n v="0"/>
    <n v="0"/>
    <n v="0"/>
    <n v="0"/>
  </r>
  <r>
    <x v="219"/>
    <x v="215"/>
    <m/>
    <x v="0"/>
    <m/>
    <x v="2"/>
    <m/>
    <m/>
    <s v="Campus"/>
    <m/>
    <m/>
    <n v="100"/>
    <x v="0"/>
    <m/>
    <m/>
    <n v="15"/>
    <n v="1.875"/>
    <n v="0.8"/>
    <n v="1.5"/>
    <n v="2180"/>
    <x v="0"/>
    <s v="Sam"/>
    <x v="0"/>
    <n v="18405"/>
    <n v="15773"/>
    <n v="58168.875"/>
    <n v="5800"/>
    <n v="10875"/>
    <n v="69043.875"/>
    <n v="0"/>
    <n v="0"/>
    <n v="0"/>
    <n v="0"/>
    <n v="0"/>
    <n v="0"/>
    <n v="1"/>
    <n v="0"/>
    <n v="0"/>
    <n v="0"/>
    <n v="0"/>
    <n v="0"/>
    <s v="Äskat - Beslut p43 180607"/>
    <m/>
    <n v="0"/>
    <n v="0"/>
    <n v="0"/>
    <n v="0"/>
    <n v="0"/>
    <n v="0"/>
    <n v="0"/>
    <n v="0"/>
    <n v="0"/>
    <n v="0"/>
    <n v="0"/>
    <n v="0"/>
    <n v="1.875"/>
    <n v="1.5"/>
    <n v="0"/>
    <n v="0"/>
    <n v="0"/>
    <n v="0"/>
    <n v="0"/>
    <n v="0"/>
    <n v="0"/>
    <n v="0"/>
    <n v="0"/>
  </r>
  <r>
    <x v="220"/>
    <x v="216"/>
    <m/>
    <x v="11"/>
    <s v="H17"/>
    <x v="1"/>
    <s v="V191-5"/>
    <s v="Umeå"/>
    <m/>
    <s v="MAGG"/>
    <m/>
    <n v="100"/>
    <x v="11"/>
    <m/>
    <m/>
    <n v="0"/>
    <n v="0"/>
    <n v="0.85"/>
    <n v="0"/>
    <n v="5740"/>
    <x v="9"/>
    <s v="TekNat"/>
    <x v="11"/>
    <n v="19473"/>
    <n v="34806"/>
    <n v="0"/>
    <n v="21800"/>
    <n v="0"/>
    <n v="0"/>
    <n v="0"/>
    <n v="0"/>
    <n v="0"/>
    <n v="0"/>
    <n v="0"/>
    <n v="1"/>
    <n v="0"/>
    <n v="0"/>
    <n v="0"/>
    <n v="0"/>
    <n v="0"/>
    <n v="0"/>
    <s v="Enl Ladok 190318"/>
    <m/>
    <n v="0"/>
    <n v="0"/>
    <n v="0"/>
    <n v="0"/>
    <n v="0"/>
    <n v="0"/>
    <n v="0"/>
    <n v="0"/>
    <n v="0"/>
    <n v="0"/>
    <n v="0"/>
    <n v="0"/>
    <n v="0"/>
    <n v="0"/>
    <n v="0"/>
    <n v="0"/>
    <n v="0"/>
    <n v="0"/>
    <n v="0"/>
    <n v="0"/>
    <n v="0"/>
    <n v="0"/>
    <n v="0"/>
  </r>
  <r>
    <x v="220"/>
    <x v="216"/>
    <m/>
    <x v="11"/>
    <s v="H18"/>
    <x v="1"/>
    <s v="V191-5"/>
    <s v="Umeå"/>
    <m/>
    <s v="MAGG"/>
    <m/>
    <n v="100"/>
    <x v="11"/>
    <m/>
    <m/>
    <n v="8"/>
    <n v="1.0666666666666667"/>
    <n v="0.85"/>
    <n v="0.90666666666666662"/>
    <n v="5740"/>
    <x v="9"/>
    <s v="TekNat"/>
    <x v="11"/>
    <n v="19473"/>
    <n v="34806"/>
    <n v="52328.639999999999"/>
    <n v="21800"/>
    <n v="23253.333333333332"/>
    <n v="75581.973333333328"/>
    <n v="0"/>
    <n v="0"/>
    <n v="0"/>
    <n v="0"/>
    <n v="0"/>
    <n v="1"/>
    <n v="0"/>
    <n v="0"/>
    <n v="0"/>
    <n v="0"/>
    <n v="0"/>
    <n v="0"/>
    <s v="Enl Ladok 190318"/>
    <m/>
    <n v="0"/>
    <n v="0"/>
    <n v="0"/>
    <n v="0"/>
    <n v="0"/>
    <n v="0"/>
    <n v="0"/>
    <n v="0"/>
    <n v="0"/>
    <n v="0"/>
    <n v="1.0666666666666667"/>
    <n v="0.90666666666666662"/>
    <n v="0"/>
    <n v="0"/>
    <n v="0"/>
    <n v="0"/>
    <n v="0"/>
    <n v="0"/>
    <n v="0"/>
    <n v="0"/>
    <n v="0"/>
    <n v="0"/>
    <n v="0"/>
  </r>
  <r>
    <x v="221"/>
    <x v="217"/>
    <m/>
    <x v="11"/>
    <s v="H18"/>
    <x v="1"/>
    <s v="V196-12"/>
    <s v="Umeå"/>
    <m/>
    <s v="MAGG"/>
    <m/>
    <n v="100"/>
    <x v="12"/>
    <m/>
    <m/>
    <n v="8"/>
    <n v="1.6"/>
    <n v="0.85"/>
    <n v="1.36"/>
    <n v="5740"/>
    <x v="9"/>
    <s v="TekNat"/>
    <x v="11"/>
    <n v="19473"/>
    <n v="34806"/>
    <n v="78492.960000000006"/>
    <n v="21800"/>
    <n v="34880"/>
    <n v="113372.96"/>
    <n v="0"/>
    <n v="0"/>
    <n v="0"/>
    <n v="0"/>
    <n v="0"/>
    <n v="1"/>
    <n v="0"/>
    <n v="0"/>
    <n v="0"/>
    <n v="0"/>
    <n v="0"/>
    <n v="0"/>
    <s v="Enl Ladok 190318"/>
    <m/>
    <n v="0"/>
    <n v="0"/>
    <n v="0"/>
    <n v="0"/>
    <n v="0"/>
    <n v="0"/>
    <n v="0"/>
    <n v="0"/>
    <n v="0"/>
    <n v="0"/>
    <n v="1.6"/>
    <n v="1.36"/>
    <n v="0"/>
    <n v="0"/>
    <n v="0"/>
    <n v="0"/>
    <n v="0"/>
    <n v="0"/>
    <n v="0"/>
    <n v="0"/>
    <n v="0"/>
    <n v="0"/>
    <n v="0"/>
  </r>
  <r>
    <x v="222"/>
    <x v="218"/>
    <m/>
    <x v="11"/>
    <s v="H18"/>
    <x v="1"/>
    <s v="V1913-20"/>
    <s v="Umeå"/>
    <m/>
    <s v="MAGG"/>
    <m/>
    <n v="100"/>
    <x v="10"/>
    <m/>
    <m/>
    <n v="8"/>
    <n v="1.3333333333333333"/>
    <n v="0.85"/>
    <n v="1.1333333333333333"/>
    <n v="5740"/>
    <x v="9"/>
    <s v="TekNat"/>
    <x v="11"/>
    <n v="19473"/>
    <n v="34806"/>
    <n v="65410.799999999996"/>
    <n v="21800"/>
    <n v="29066.666666666664"/>
    <n v="94477.46666666666"/>
    <n v="0"/>
    <n v="0"/>
    <n v="0"/>
    <n v="0"/>
    <n v="0"/>
    <n v="1"/>
    <n v="0"/>
    <n v="0"/>
    <n v="0"/>
    <n v="0"/>
    <n v="0"/>
    <n v="0"/>
    <s v="Enl Ladok 190523"/>
    <m/>
    <n v="0"/>
    <n v="0"/>
    <n v="0"/>
    <n v="0"/>
    <n v="0"/>
    <n v="0"/>
    <n v="0"/>
    <n v="0"/>
    <n v="0"/>
    <n v="0"/>
    <n v="1.3333333333333333"/>
    <n v="1.1333333333333333"/>
    <n v="0"/>
    <n v="0"/>
    <n v="0"/>
    <n v="0"/>
    <n v="0"/>
    <n v="0"/>
    <n v="0"/>
    <n v="0"/>
    <n v="0"/>
    <n v="0"/>
    <n v="0"/>
  </r>
  <r>
    <x v="223"/>
    <x v="219"/>
    <m/>
    <x v="4"/>
    <s v="H15"/>
    <x v="1"/>
    <s v="V191-15"/>
    <s v="Umeå"/>
    <m/>
    <s v="IDRH"/>
    <m/>
    <n v="100"/>
    <x v="6"/>
    <m/>
    <m/>
    <n v="1"/>
    <n v="0.375"/>
    <n v="0.85"/>
    <n v="0.31874999999999998"/>
    <n v="2180"/>
    <x v="0"/>
    <s v="Sam"/>
    <x v="4"/>
    <n v="21634"/>
    <n v="26986"/>
    <n v="16714.537499999999"/>
    <n v="3400"/>
    <n v="1275"/>
    <n v="17989.537499999999"/>
    <n v="0"/>
    <n v="0"/>
    <n v="0"/>
    <n v="0"/>
    <n v="0"/>
    <n v="0"/>
    <n v="0"/>
    <n v="0"/>
    <n v="1"/>
    <n v="0"/>
    <n v="0"/>
    <n v="0"/>
    <s v="Enl Ladok 190318"/>
    <m/>
    <n v="0"/>
    <n v="0"/>
    <n v="0"/>
    <n v="0"/>
    <n v="0"/>
    <n v="0"/>
    <n v="0"/>
    <n v="0"/>
    <n v="0"/>
    <n v="0"/>
    <n v="0"/>
    <n v="0"/>
    <n v="0"/>
    <n v="0"/>
    <n v="0"/>
    <n v="0"/>
    <n v="0.375"/>
    <n v="0.31874999999999998"/>
    <n v="0"/>
    <n v="0"/>
    <n v="0"/>
    <n v="0"/>
    <n v="0"/>
  </r>
  <r>
    <x v="223"/>
    <x v="219"/>
    <m/>
    <x v="1"/>
    <s v="H12"/>
    <x v="2"/>
    <s v="H191-15"/>
    <m/>
    <m/>
    <s v="IDRH"/>
    <m/>
    <n v="100"/>
    <x v="6"/>
    <m/>
    <m/>
    <n v="1"/>
    <n v="0.375"/>
    <n v="0.85"/>
    <n v="0.31874999999999998"/>
    <n v="2180"/>
    <x v="0"/>
    <s v="Sam"/>
    <x v="1"/>
    <n v="21634"/>
    <n v="26986"/>
    <n v="16714.537499999999"/>
    <n v="3400"/>
    <n v="1275"/>
    <n v="17989.537499999999"/>
    <n v="0"/>
    <n v="0"/>
    <n v="0"/>
    <n v="0"/>
    <n v="0"/>
    <n v="0"/>
    <n v="0"/>
    <n v="0"/>
    <n v="1"/>
    <n v="0"/>
    <n v="0"/>
    <n v="0"/>
    <s v="Enligt SP 190924"/>
    <m/>
    <n v="0"/>
    <n v="0"/>
    <n v="0"/>
    <n v="0"/>
    <n v="0"/>
    <n v="0"/>
    <n v="0"/>
    <n v="0"/>
    <n v="0"/>
    <n v="0"/>
    <n v="0"/>
    <n v="0"/>
    <n v="0"/>
    <n v="0"/>
    <n v="0"/>
    <n v="0"/>
    <n v="0.375"/>
    <n v="0.31874999999999998"/>
    <n v="0"/>
    <n v="0"/>
    <n v="0"/>
    <n v="0"/>
    <n v="0"/>
  </r>
  <r>
    <x v="223"/>
    <x v="219"/>
    <m/>
    <x v="1"/>
    <s v="H13"/>
    <x v="2"/>
    <s v="H191-15"/>
    <m/>
    <m/>
    <s v="IDRH"/>
    <m/>
    <n v="100"/>
    <x v="6"/>
    <m/>
    <m/>
    <n v="1"/>
    <n v="0.375"/>
    <n v="0.85"/>
    <n v="0.31874999999999998"/>
    <n v="2180"/>
    <x v="0"/>
    <s v="Sam"/>
    <x v="1"/>
    <n v="21634"/>
    <n v="26986"/>
    <n v="16714.537499999999"/>
    <n v="3400"/>
    <n v="1275"/>
    <n v="17989.537499999999"/>
    <n v="0"/>
    <n v="0"/>
    <n v="0"/>
    <n v="0"/>
    <n v="0"/>
    <n v="0"/>
    <n v="0"/>
    <n v="0"/>
    <n v="1"/>
    <n v="0"/>
    <n v="0"/>
    <n v="0"/>
    <s v="Enligt SP 190924"/>
    <m/>
    <n v="0"/>
    <n v="0"/>
    <n v="0"/>
    <n v="0"/>
    <n v="0"/>
    <n v="0"/>
    <n v="0"/>
    <n v="0"/>
    <n v="0"/>
    <n v="0"/>
    <n v="0"/>
    <n v="0"/>
    <n v="0"/>
    <n v="0"/>
    <n v="0"/>
    <n v="0"/>
    <n v="0.375"/>
    <n v="0.31874999999999998"/>
    <n v="0"/>
    <n v="0"/>
    <n v="0"/>
    <n v="0"/>
    <n v="0"/>
  </r>
  <r>
    <x v="223"/>
    <x v="219"/>
    <m/>
    <x v="1"/>
    <s v="H15"/>
    <x v="2"/>
    <s v="H191-15"/>
    <m/>
    <m/>
    <s v="IDRH"/>
    <m/>
    <n v="100"/>
    <x v="6"/>
    <m/>
    <m/>
    <n v="9"/>
    <n v="3.375"/>
    <n v="0.85"/>
    <n v="2.8687499999999999"/>
    <n v="2180"/>
    <x v="0"/>
    <s v="Sam"/>
    <x v="1"/>
    <n v="21634"/>
    <n v="26986"/>
    <n v="150430.83749999999"/>
    <n v="3400"/>
    <n v="11475"/>
    <n v="161905.83749999999"/>
    <n v="0"/>
    <n v="0"/>
    <n v="0"/>
    <n v="0"/>
    <n v="0"/>
    <n v="0"/>
    <n v="0"/>
    <n v="0"/>
    <n v="1"/>
    <n v="0"/>
    <n v="0"/>
    <n v="0"/>
    <s v="Enligt SP 190924"/>
    <m/>
    <n v="0"/>
    <n v="0"/>
    <n v="0"/>
    <n v="0"/>
    <n v="0"/>
    <n v="0"/>
    <n v="0"/>
    <n v="0"/>
    <n v="0"/>
    <n v="0"/>
    <n v="0"/>
    <n v="0"/>
    <n v="0"/>
    <n v="0"/>
    <n v="0"/>
    <n v="0"/>
    <n v="3.375"/>
    <n v="2.8687499999999999"/>
    <n v="0"/>
    <n v="0"/>
    <n v="0"/>
    <n v="0"/>
    <n v="0"/>
  </r>
  <r>
    <x v="223"/>
    <x v="219"/>
    <m/>
    <x v="1"/>
    <s v="H16"/>
    <x v="2"/>
    <s v="H191-15"/>
    <m/>
    <m/>
    <s v="IDRH"/>
    <m/>
    <n v="100"/>
    <x v="6"/>
    <m/>
    <m/>
    <n v="1"/>
    <n v="0.375"/>
    <n v="0.85"/>
    <n v="0.31874999999999998"/>
    <n v="2180"/>
    <x v="0"/>
    <s v="Sam"/>
    <x v="1"/>
    <n v="21634"/>
    <n v="26986"/>
    <n v="16714.537499999999"/>
    <n v="3400"/>
    <n v="1275"/>
    <n v="17989.537499999999"/>
    <n v="0"/>
    <n v="0"/>
    <n v="0"/>
    <n v="0"/>
    <n v="0"/>
    <n v="0"/>
    <n v="0"/>
    <n v="0"/>
    <n v="1"/>
    <n v="0"/>
    <n v="0"/>
    <n v="0"/>
    <s v="Enligt SP 190924"/>
    <m/>
    <n v="0"/>
    <n v="0"/>
    <n v="0"/>
    <n v="0"/>
    <n v="0"/>
    <n v="0"/>
    <n v="0"/>
    <n v="0"/>
    <n v="0"/>
    <n v="0"/>
    <n v="0"/>
    <n v="0"/>
    <n v="0"/>
    <n v="0"/>
    <n v="0"/>
    <n v="0"/>
    <n v="0.375"/>
    <n v="0.31874999999999998"/>
    <n v="0"/>
    <n v="0"/>
    <n v="0"/>
    <n v="0"/>
    <n v="0"/>
  </r>
  <r>
    <x v="223"/>
    <x v="219"/>
    <m/>
    <x v="1"/>
    <s v="H17"/>
    <x v="2"/>
    <s v="H191-15"/>
    <m/>
    <m/>
    <s v="IDRH"/>
    <m/>
    <n v="100"/>
    <x v="6"/>
    <m/>
    <m/>
    <n v="2"/>
    <n v="0.75"/>
    <n v="0.85"/>
    <n v="0.63749999999999996"/>
    <n v="2180"/>
    <x v="0"/>
    <s v="Sam"/>
    <x v="1"/>
    <n v="21634"/>
    <n v="26986"/>
    <n v="33429.074999999997"/>
    <n v="3400"/>
    <n v="2550"/>
    <n v="35979.074999999997"/>
    <n v="0"/>
    <n v="0"/>
    <n v="0"/>
    <n v="0"/>
    <n v="0"/>
    <n v="0"/>
    <n v="0"/>
    <n v="0"/>
    <n v="1"/>
    <n v="0"/>
    <n v="0"/>
    <n v="0"/>
    <s v="Enligt SP 190924"/>
    <m/>
    <n v="0"/>
    <n v="0"/>
    <n v="0"/>
    <n v="0"/>
    <n v="0"/>
    <n v="0"/>
    <n v="0"/>
    <n v="0"/>
    <n v="0"/>
    <n v="0"/>
    <n v="0"/>
    <n v="0"/>
    <n v="0"/>
    <n v="0"/>
    <n v="0"/>
    <n v="0"/>
    <n v="0.75"/>
    <n v="0.63749999999999996"/>
    <n v="0"/>
    <n v="0"/>
    <n v="0"/>
    <n v="0"/>
    <n v="0"/>
  </r>
  <r>
    <x v="224"/>
    <x v="220"/>
    <m/>
    <x v="7"/>
    <s v="H18"/>
    <x v="1"/>
    <s v="V191-10"/>
    <s v="Umeå"/>
    <m/>
    <m/>
    <m/>
    <n v="100"/>
    <x v="1"/>
    <m/>
    <m/>
    <n v="50"/>
    <n v="12.5"/>
    <n v="0.85"/>
    <n v="10.625"/>
    <n v="2193"/>
    <x v="1"/>
    <s v="Sam"/>
    <x v="7"/>
    <n v="18405"/>
    <n v="15773"/>
    <n v="397650.625"/>
    <n v="5800"/>
    <n v="72500"/>
    <n v="470150.625"/>
    <n v="0"/>
    <n v="0"/>
    <n v="0"/>
    <n v="0"/>
    <n v="0"/>
    <n v="0"/>
    <n v="1"/>
    <n v="0"/>
    <n v="0"/>
    <n v="0"/>
    <n v="0"/>
    <n v="0"/>
    <s v="Enl Ladok 190318"/>
    <m/>
    <n v="0"/>
    <n v="0"/>
    <n v="0"/>
    <n v="0"/>
    <n v="0"/>
    <n v="0"/>
    <n v="0"/>
    <n v="0"/>
    <n v="0"/>
    <n v="0"/>
    <n v="0"/>
    <n v="0"/>
    <n v="12.5"/>
    <n v="10.625"/>
    <n v="0"/>
    <n v="0"/>
    <n v="0"/>
    <n v="0"/>
    <n v="0"/>
    <n v="0"/>
    <n v="0"/>
    <n v="0"/>
    <n v="0"/>
  </r>
  <r>
    <x v="224"/>
    <x v="220"/>
    <m/>
    <x v="7"/>
    <s v="H19"/>
    <x v="2"/>
    <s v="H191-10"/>
    <m/>
    <m/>
    <m/>
    <m/>
    <n v="100"/>
    <x v="1"/>
    <m/>
    <m/>
    <n v="1"/>
    <n v="0.25"/>
    <n v="0.85"/>
    <n v="0.21249999999999999"/>
    <n v="2193"/>
    <x v="1"/>
    <s v="Sam"/>
    <x v="7"/>
    <n v="18405"/>
    <n v="15773"/>
    <n v="7953.0124999999998"/>
    <n v="5800"/>
    <n v="1450"/>
    <n v="9403.0125000000007"/>
    <n v="0"/>
    <n v="0"/>
    <n v="0"/>
    <n v="0"/>
    <n v="0"/>
    <n v="0"/>
    <n v="1"/>
    <n v="0"/>
    <n v="0"/>
    <n v="0"/>
    <n v="0"/>
    <n v="0"/>
    <s v="Enligt SP 190924"/>
    <m/>
    <n v="0"/>
    <n v="0"/>
    <n v="0"/>
    <n v="0"/>
    <n v="0"/>
    <n v="0"/>
    <n v="0"/>
    <n v="0"/>
    <n v="0"/>
    <n v="0"/>
    <n v="0"/>
    <n v="0"/>
    <n v="0.25"/>
    <n v="0.21249999999999999"/>
    <n v="0"/>
    <n v="0"/>
    <n v="0"/>
    <n v="0"/>
    <n v="0"/>
    <n v="0"/>
    <n v="0"/>
    <n v="0"/>
    <n v="0"/>
  </r>
  <r>
    <x v="224"/>
    <x v="220"/>
    <m/>
    <x v="7"/>
    <s v="V19"/>
    <x v="2"/>
    <s v="H191-10"/>
    <m/>
    <m/>
    <m/>
    <m/>
    <n v="100"/>
    <x v="1"/>
    <m/>
    <m/>
    <n v="15"/>
    <n v="3.75"/>
    <n v="0.85"/>
    <n v="3.1875"/>
    <n v="2193"/>
    <x v="1"/>
    <s v="Sam"/>
    <x v="7"/>
    <n v="18405"/>
    <n v="15773"/>
    <n v="119295.1875"/>
    <n v="5800"/>
    <n v="21750"/>
    <n v="141045.1875"/>
    <n v="0"/>
    <n v="0"/>
    <n v="0"/>
    <n v="0"/>
    <n v="0"/>
    <n v="0"/>
    <n v="1"/>
    <n v="0"/>
    <n v="0"/>
    <n v="0"/>
    <n v="0"/>
    <n v="0"/>
    <s v="Enligt SP 190924"/>
    <m/>
    <n v="0"/>
    <n v="0"/>
    <n v="0"/>
    <n v="0"/>
    <n v="0"/>
    <n v="0"/>
    <n v="0"/>
    <n v="0"/>
    <n v="0"/>
    <n v="0"/>
    <n v="0"/>
    <n v="0"/>
    <n v="3.75"/>
    <n v="3.1875"/>
    <n v="0"/>
    <n v="0"/>
    <n v="0"/>
    <n v="0"/>
    <n v="0"/>
    <n v="0"/>
    <n v="0"/>
    <n v="0"/>
    <n v="0"/>
  </r>
  <r>
    <x v="225"/>
    <x v="221"/>
    <m/>
    <x v="7"/>
    <s v="H18"/>
    <x v="1"/>
    <s v="V1911-13"/>
    <s v="Umeå"/>
    <m/>
    <m/>
    <m/>
    <n v="100"/>
    <x v="9"/>
    <m/>
    <m/>
    <n v="49"/>
    <n v="4.083333333333333"/>
    <n v="0.85"/>
    <n v="3.4708333333333328"/>
    <n v="2193"/>
    <x v="1"/>
    <s v="Sam"/>
    <x v="7"/>
    <n v="18405"/>
    <n v="15773"/>
    <n v="129899.20416666666"/>
    <n v="5800"/>
    <n v="23683.333333333332"/>
    <n v="153582.53750000001"/>
    <n v="0"/>
    <n v="0"/>
    <n v="0"/>
    <n v="0"/>
    <n v="0"/>
    <n v="0"/>
    <n v="1"/>
    <n v="0"/>
    <n v="0"/>
    <n v="0"/>
    <n v="0"/>
    <n v="0"/>
    <s v="Enl Ladok 190523"/>
    <m/>
    <n v="0"/>
    <n v="0"/>
    <n v="0"/>
    <n v="0"/>
    <n v="0"/>
    <n v="0"/>
    <n v="0"/>
    <n v="0"/>
    <n v="0"/>
    <n v="0"/>
    <n v="0"/>
    <n v="0"/>
    <n v="4.083333333333333"/>
    <n v="3.4708333333333328"/>
    <n v="0"/>
    <n v="0"/>
    <n v="0"/>
    <n v="0"/>
    <n v="0"/>
    <n v="0"/>
    <n v="0"/>
    <n v="0"/>
    <n v="0"/>
  </r>
  <r>
    <x v="225"/>
    <x v="221"/>
    <m/>
    <x v="7"/>
    <s v="V19"/>
    <x v="2"/>
    <s v="H1911-13"/>
    <m/>
    <m/>
    <m/>
    <m/>
    <n v="100"/>
    <x v="9"/>
    <m/>
    <m/>
    <n v="15"/>
    <n v="1.25"/>
    <n v="0.85"/>
    <n v="1.0625"/>
    <n v="2193"/>
    <x v="1"/>
    <s v="Sam"/>
    <x v="7"/>
    <n v="18405"/>
    <n v="15773"/>
    <n v="39765.0625"/>
    <n v="5800"/>
    <n v="7250"/>
    <n v="47015.0625"/>
    <n v="0"/>
    <n v="0"/>
    <n v="0"/>
    <n v="0"/>
    <n v="0"/>
    <n v="0"/>
    <n v="1"/>
    <n v="0"/>
    <n v="0"/>
    <n v="0"/>
    <n v="0"/>
    <n v="0"/>
    <s v="Enligt SP 190924"/>
    <m/>
    <n v="0"/>
    <n v="0"/>
    <n v="0"/>
    <n v="0"/>
    <n v="0"/>
    <n v="0"/>
    <n v="0"/>
    <n v="0"/>
    <n v="0"/>
    <n v="0"/>
    <n v="0"/>
    <n v="0"/>
    <n v="1.25"/>
    <n v="1.0625"/>
    <n v="0"/>
    <n v="0"/>
    <n v="0"/>
    <n v="0"/>
    <n v="0"/>
    <n v="0"/>
    <n v="0"/>
    <n v="0"/>
    <n v="0"/>
  </r>
  <r>
    <x v="226"/>
    <x v="222"/>
    <m/>
    <x v="4"/>
    <s v="H12"/>
    <x v="1"/>
    <s v="V191-15"/>
    <s v="Umeå"/>
    <m/>
    <s v="SAMK"/>
    <m/>
    <n v="100"/>
    <x v="6"/>
    <m/>
    <m/>
    <n v="1"/>
    <n v="0.375"/>
    <n v="0.85"/>
    <n v="0.31874999999999998"/>
    <n v="2180"/>
    <x v="0"/>
    <s v="Sam"/>
    <x v="4"/>
    <n v="21634"/>
    <n v="26986"/>
    <n v="16714.537499999999"/>
    <n v="3400"/>
    <n v="1275"/>
    <n v="17989.537499999999"/>
    <n v="0"/>
    <n v="0"/>
    <n v="0"/>
    <n v="0"/>
    <n v="0"/>
    <n v="0"/>
    <n v="0"/>
    <n v="0"/>
    <n v="1"/>
    <n v="0"/>
    <n v="0"/>
    <n v="0"/>
    <s v="Enl Ladok 190318"/>
    <m/>
    <n v="0"/>
    <n v="0"/>
    <n v="0"/>
    <n v="0"/>
    <n v="0"/>
    <n v="0"/>
    <n v="0"/>
    <n v="0"/>
    <n v="0"/>
    <n v="0"/>
    <n v="0"/>
    <n v="0"/>
    <n v="0"/>
    <n v="0"/>
    <n v="0"/>
    <n v="0"/>
    <n v="0.375"/>
    <n v="0.31874999999999998"/>
    <n v="0"/>
    <n v="0"/>
    <n v="0"/>
    <n v="0"/>
    <n v="0"/>
  </r>
  <r>
    <x v="226"/>
    <x v="222"/>
    <m/>
    <x v="1"/>
    <s v="H15"/>
    <x v="2"/>
    <s v="H191-15"/>
    <m/>
    <m/>
    <s v="SAMK"/>
    <m/>
    <n v="100"/>
    <x v="6"/>
    <m/>
    <m/>
    <n v="4"/>
    <n v="1.5"/>
    <n v="0.85"/>
    <n v="1.2749999999999999"/>
    <n v="2180"/>
    <x v="0"/>
    <s v="Sam"/>
    <x v="1"/>
    <n v="21634"/>
    <n v="26986"/>
    <n v="66858.149999999994"/>
    <n v="3400"/>
    <n v="5100"/>
    <n v="71958.149999999994"/>
    <n v="0"/>
    <n v="0"/>
    <n v="0"/>
    <n v="0"/>
    <n v="0"/>
    <n v="0"/>
    <n v="0"/>
    <n v="0"/>
    <n v="1"/>
    <n v="0"/>
    <n v="0"/>
    <n v="0"/>
    <s v="Enligt SP 190924"/>
    <m/>
    <n v="0"/>
    <n v="0"/>
    <n v="0"/>
    <n v="0"/>
    <n v="0"/>
    <n v="0"/>
    <n v="0"/>
    <n v="0"/>
    <n v="0"/>
    <n v="0"/>
    <n v="0"/>
    <n v="0"/>
    <n v="0"/>
    <n v="0"/>
    <n v="0"/>
    <n v="0"/>
    <n v="1.5"/>
    <n v="1.2749999999999999"/>
    <n v="0"/>
    <n v="0"/>
    <n v="0"/>
    <n v="0"/>
    <n v="0"/>
  </r>
  <r>
    <x v="227"/>
    <x v="223"/>
    <m/>
    <x v="0"/>
    <m/>
    <x v="1"/>
    <m/>
    <s v="Umeå"/>
    <s v="DIST"/>
    <m/>
    <m/>
    <n v="25"/>
    <x v="13"/>
    <m/>
    <m/>
    <n v="35"/>
    <n v="2.0416666666666665"/>
    <n v="0.85"/>
    <n v="1.7354166666666664"/>
    <n v="5740"/>
    <x v="9"/>
    <s v="TekNat"/>
    <x v="0"/>
    <n v="19473"/>
    <n v="34806"/>
    <n v="100160.28749999999"/>
    <n v="21800"/>
    <n v="44508.333333333328"/>
    <n v="144668.62083333332"/>
    <n v="0"/>
    <n v="0"/>
    <n v="0"/>
    <n v="0"/>
    <n v="0"/>
    <n v="1"/>
    <n v="0"/>
    <n v="0"/>
    <n v="0"/>
    <n v="0"/>
    <n v="0"/>
    <n v="0"/>
    <s v="Enl Ladok 190515"/>
    <s v="Kursen beställd av LH"/>
    <n v="0"/>
    <n v="0"/>
    <n v="0"/>
    <n v="0"/>
    <n v="0"/>
    <n v="0"/>
    <n v="0"/>
    <n v="0"/>
    <n v="0"/>
    <n v="0"/>
    <n v="2.0416666666666665"/>
    <n v="1.7354166666666664"/>
    <n v="0"/>
    <n v="0"/>
    <n v="0"/>
    <n v="0"/>
    <n v="0"/>
    <n v="0"/>
    <n v="0"/>
    <n v="0"/>
    <n v="0"/>
    <n v="0"/>
    <n v="0"/>
  </r>
  <r>
    <x v="227"/>
    <x v="223"/>
    <m/>
    <x v="0"/>
    <m/>
    <x v="0"/>
    <s v="Sommarkurs"/>
    <m/>
    <s v="Distans"/>
    <m/>
    <m/>
    <n v="25"/>
    <x v="13"/>
    <m/>
    <m/>
    <n v="0"/>
    <n v="0"/>
    <n v="0.8"/>
    <n v="0"/>
    <n v="5740"/>
    <x v="9"/>
    <s v="TekNat"/>
    <x v="0"/>
    <n v="19473"/>
    <n v="34806"/>
    <n v="0"/>
    <n v="21800"/>
    <n v="0"/>
    <n v="0"/>
    <n v="0"/>
    <n v="0"/>
    <n v="0"/>
    <n v="0"/>
    <n v="0"/>
    <n v="1"/>
    <n v="0"/>
    <n v="0"/>
    <n v="0"/>
    <n v="0"/>
    <n v="0"/>
    <n v="0"/>
    <s v="Enl Ladok 190821"/>
    <s v="Äskat - Beslut p43 180607"/>
    <n v="0"/>
    <n v="0"/>
    <n v="0"/>
    <n v="0"/>
    <n v="0"/>
    <n v="0"/>
    <n v="0"/>
    <n v="0"/>
    <n v="0"/>
    <n v="0"/>
    <n v="0"/>
    <n v="0"/>
    <n v="0"/>
    <n v="0"/>
    <n v="0"/>
    <n v="0"/>
    <n v="0"/>
    <n v="0"/>
    <n v="0"/>
    <n v="0"/>
    <n v="0"/>
    <n v="0"/>
    <n v="0"/>
  </r>
  <r>
    <x v="227"/>
    <x v="223"/>
    <m/>
    <x v="0"/>
    <m/>
    <x v="2"/>
    <m/>
    <s v="Umeå"/>
    <s v="DIST"/>
    <m/>
    <m/>
    <n v="25"/>
    <x v="13"/>
    <m/>
    <m/>
    <n v="40"/>
    <n v="2.3333333333333335"/>
    <n v="0.85"/>
    <n v="1.9833333333333334"/>
    <n v="5740"/>
    <x v="9"/>
    <s v="TekNat"/>
    <x v="0"/>
    <n v="19473"/>
    <n v="34806"/>
    <n v="114468.90000000001"/>
    <n v="21800"/>
    <n v="50866.666666666672"/>
    <n v="165335.56666666668"/>
    <n v="0"/>
    <n v="0"/>
    <n v="0"/>
    <n v="0"/>
    <n v="0"/>
    <n v="1"/>
    <n v="0"/>
    <n v="0"/>
    <n v="0"/>
    <n v="0"/>
    <n v="0"/>
    <n v="0"/>
    <s v="Prognostal"/>
    <s v="Kursen beställd av LH"/>
    <n v="0"/>
    <n v="0"/>
    <n v="0"/>
    <n v="0"/>
    <n v="0"/>
    <n v="0"/>
    <n v="0"/>
    <n v="0"/>
    <n v="0"/>
    <n v="0"/>
    <n v="2.3333333333333335"/>
    <n v="1.9833333333333334"/>
    <n v="0"/>
    <n v="0"/>
    <n v="0"/>
    <n v="0"/>
    <n v="0"/>
    <n v="0"/>
    <n v="0"/>
    <n v="0"/>
    <n v="0"/>
    <n v="0"/>
    <n v="0"/>
  </r>
  <r>
    <x v="228"/>
    <x v="224"/>
    <m/>
    <x v="8"/>
    <s v="H18"/>
    <x v="2"/>
    <s v="H195-10"/>
    <m/>
    <m/>
    <m/>
    <m/>
    <n v="100"/>
    <x v="0"/>
    <m/>
    <m/>
    <n v="26"/>
    <n v="3.25"/>
    <n v="0.85"/>
    <n v="2.7624999999999997"/>
    <n v="2193"/>
    <x v="1"/>
    <s v="Sam"/>
    <x v="8"/>
    <n v="21634"/>
    <n v="26986"/>
    <n v="144859.32500000001"/>
    <n v="3400"/>
    <n v="11050"/>
    <n v="155909.32500000001"/>
    <n v="0"/>
    <n v="0"/>
    <n v="0"/>
    <n v="0"/>
    <n v="0"/>
    <n v="0"/>
    <n v="0"/>
    <n v="0"/>
    <n v="1"/>
    <n v="0"/>
    <n v="0"/>
    <n v="0"/>
    <s v="Enligt SP 190924"/>
    <m/>
    <n v="0"/>
    <n v="0"/>
    <n v="0"/>
    <n v="0"/>
    <n v="0"/>
    <n v="0"/>
    <n v="0"/>
    <n v="0"/>
    <n v="0"/>
    <n v="0"/>
    <n v="0"/>
    <n v="0"/>
    <n v="0"/>
    <n v="0"/>
    <n v="0"/>
    <n v="0"/>
    <n v="3.25"/>
    <n v="2.7624999999999997"/>
    <n v="0"/>
    <n v="0"/>
    <n v="0"/>
    <n v="0"/>
    <n v="0"/>
  </r>
  <r>
    <x v="229"/>
    <x v="225"/>
    <m/>
    <x v="0"/>
    <m/>
    <x v="1"/>
    <m/>
    <s v="Umeå"/>
    <s v="DIST"/>
    <m/>
    <m/>
    <n v="25"/>
    <x v="14"/>
    <m/>
    <m/>
    <n v="35"/>
    <n v="2.3333333333333335"/>
    <n v="0.85"/>
    <n v="1.9833333333333334"/>
    <n v="2193"/>
    <x v="1"/>
    <s v="Sam"/>
    <x v="0"/>
    <n v="18405"/>
    <n v="15773"/>
    <n v="74228.116666666669"/>
    <n v="5800"/>
    <n v="13533.333333333334"/>
    <n v="87761.45"/>
    <n v="0"/>
    <n v="0"/>
    <n v="0"/>
    <n v="0"/>
    <n v="0"/>
    <n v="0"/>
    <n v="1"/>
    <n v="0"/>
    <n v="0"/>
    <n v="0"/>
    <n v="0"/>
    <n v="0"/>
    <s v="Enl Ladok 190515"/>
    <s v="Kursen beställd av LH"/>
    <n v="0"/>
    <n v="0"/>
    <n v="0"/>
    <n v="0"/>
    <n v="0"/>
    <n v="0"/>
    <n v="0"/>
    <n v="0"/>
    <n v="0"/>
    <n v="0"/>
    <n v="0"/>
    <n v="0"/>
    <n v="2.3333333333333335"/>
    <n v="1.9833333333333334"/>
    <n v="0"/>
    <n v="0"/>
    <n v="0"/>
    <n v="0"/>
    <n v="0"/>
    <n v="0"/>
    <n v="0"/>
    <n v="0"/>
    <n v="0"/>
  </r>
  <r>
    <x v="229"/>
    <x v="225"/>
    <m/>
    <x v="0"/>
    <m/>
    <x v="2"/>
    <m/>
    <s v="Umeå"/>
    <s v="DIST"/>
    <m/>
    <m/>
    <n v="25"/>
    <x v="14"/>
    <m/>
    <m/>
    <n v="40"/>
    <n v="2.6666666666666665"/>
    <n v="0.85"/>
    <n v="2.2666666666666666"/>
    <n v="2193"/>
    <x v="1"/>
    <s v="Sam"/>
    <x v="0"/>
    <n v="18405"/>
    <n v="15773"/>
    <n v="84832.133333333331"/>
    <n v="5800"/>
    <n v="15466.666666666666"/>
    <n v="100298.8"/>
    <n v="0"/>
    <n v="0"/>
    <n v="0"/>
    <n v="0"/>
    <n v="0"/>
    <n v="0"/>
    <n v="1"/>
    <n v="0"/>
    <n v="0"/>
    <n v="0"/>
    <n v="0"/>
    <n v="0"/>
    <s v="Prognostal"/>
    <s v="Kursen beställd av LH"/>
    <n v="0"/>
    <n v="0"/>
    <n v="0"/>
    <n v="0"/>
    <n v="0"/>
    <n v="0"/>
    <n v="0"/>
    <n v="0"/>
    <n v="0"/>
    <n v="0"/>
    <n v="0"/>
    <n v="0"/>
    <n v="2.6666666666666665"/>
    <n v="2.2666666666666666"/>
    <n v="0"/>
    <n v="0"/>
    <n v="0"/>
    <n v="0"/>
    <n v="0"/>
    <n v="0"/>
    <n v="0"/>
    <n v="0"/>
    <n v="0"/>
  </r>
  <r>
    <x v="230"/>
    <x v="226"/>
    <m/>
    <x v="9"/>
    <s v="H15"/>
    <x v="1"/>
    <s v="H181-20:V191-20"/>
    <s v="Umeå"/>
    <m/>
    <m/>
    <m/>
    <n v="50"/>
    <x v="1"/>
    <m/>
    <m/>
    <n v="0"/>
    <n v="0"/>
    <n v="0.85"/>
    <n v="0"/>
    <n v="2180"/>
    <x v="0"/>
    <s v="Sam"/>
    <x v="9"/>
    <n v="21634"/>
    <n v="26986"/>
    <n v="0"/>
    <n v="3400"/>
    <n v="0"/>
    <n v="0"/>
    <n v="0"/>
    <n v="0"/>
    <n v="0"/>
    <n v="0"/>
    <n v="0"/>
    <n v="0"/>
    <n v="0"/>
    <n v="0"/>
    <n v="1"/>
    <n v="0"/>
    <n v="0"/>
    <n v="0"/>
    <s v="Enl Ladok 190318"/>
    <s v="Läser 15 av 30 hp denna termin"/>
    <n v="0"/>
    <n v="0"/>
    <n v="0"/>
    <n v="0"/>
    <n v="0"/>
    <n v="0"/>
    <n v="0"/>
    <n v="0"/>
    <n v="0"/>
    <n v="0"/>
    <n v="0"/>
    <n v="0"/>
    <n v="0"/>
    <n v="0"/>
    <n v="0"/>
    <n v="0"/>
    <n v="0"/>
    <n v="0"/>
    <n v="0"/>
    <n v="0"/>
    <n v="0"/>
    <n v="0"/>
    <n v="0"/>
  </r>
  <r>
    <x v="230"/>
    <x v="226"/>
    <m/>
    <x v="9"/>
    <s v="H15"/>
    <x v="2"/>
    <s v="H191-20:V201-20"/>
    <m/>
    <m/>
    <m/>
    <m/>
    <n v="50"/>
    <x v="1"/>
    <m/>
    <m/>
    <n v="1"/>
    <n v="0.25"/>
    <n v="0.85"/>
    <n v="0.21249999999999999"/>
    <n v="2180"/>
    <x v="0"/>
    <s v="Sam"/>
    <x v="9"/>
    <n v="21634"/>
    <n v="26986"/>
    <n v="11143.025"/>
    <n v="3400"/>
    <n v="850"/>
    <n v="11993.025"/>
    <n v="0"/>
    <n v="0"/>
    <n v="0"/>
    <n v="0"/>
    <n v="0"/>
    <n v="0"/>
    <n v="0"/>
    <n v="0"/>
    <n v="1"/>
    <n v="0"/>
    <n v="0"/>
    <n v="0"/>
    <s v="Enligt SP 190924"/>
    <s v="Läser 15 av 30 hp denna termin"/>
    <n v="0"/>
    <n v="0"/>
    <n v="0"/>
    <n v="0"/>
    <n v="0"/>
    <n v="0"/>
    <n v="0"/>
    <n v="0"/>
    <n v="0"/>
    <n v="0"/>
    <n v="0"/>
    <n v="0"/>
    <n v="0"/>
    <n v="0"/>
    <n v="0"/>
    <n v="0"/>
    <n v="0.25"/>
    <n v="0.21249999999999999"/>
    <n v="0"/>
    <n v="0"/>
    <n v="0"/>
    <n v="0"/>
    <n v="0"/>
  </r>
  <r>
    <x v="230"/>
    <x v="226"/>
    <m/>
    <x v="9"/>
    <s v="H16"/>
    <x v="1"/>
    <s v="H181-20:V191-20"/>
    <s v="Umeå"/>
    <m/>
    <m/>
    <m/>
    <n v="50"/>
    <x v="1"/>
    <m/>
    <m/>
    <n v="12"/>
    <n v="3"/>
    <n v="0.85"/>
    <n v="2.5499999999999998"/>
    <n v="2180"/>
    <x v="0"/>
    <s v="Sam"/>
    <x v="9"/>
    <n v="21634"/>
    <n v="26986"/>
    <n v="133716.29999999999"/>
    <n v="3400"/>
    <n v="10200"/>
    <n v="143916.29999999999"/>
    <n v="0"/>
    <n v="0"/>
    <n v="0"/>
    <n v="0"/>
    <n v="0"/>
    <n v="0"/>
    <n v="0"/>
    <n v="0"/>
    <n v="1"/>
    <n v="0"/>
    <n v="0"/>
    <n v="0"/>
    <s v="Enl Ladok 190318"/>
    <s v="Läser 15 av 30 hp denna termin"/>
    <n v="0"/>
    <n v="0"/>
    <n v="0"/>
    <n v="0"/>
    <n v="0"/>
    <n v="0"/>
    <n v="0"/>
    <n v="0"/>
    <n v="0"/>
    <n v="0"/>
    <n v="0"/>
    <n v="0"/>
    <n v="0"/>
    <n v="0"/>
    <n v="0"/>
    <n v="0"/>
    <n v="3"/>
    <n v="2.5499999999999998"/>
    <n v="0"/>
    <n v="0"/>
    <n v="0"/>
    <n v="0"/>
    <n v="0"/>
  </r>
  <r>
    <x v="230"/>
    <x v="226"/>
    <m/>
    <x v="9"/>
    <s v="H17"/>
    <x v="2"/>
    <s v="H191-20:V201-20"/>
    <m/>
    <m/>
    <m/>
    <m/>
    <n v="50"/>
    <x v="1"/>
    <m/>
    <m/>
    <n v="24"/>
    <n v="6"/>
    <n v="0.85"/>
    <n v="5.0999999999999996"/>
    <n v="2180"/>
    <x v="0"/>
    <s v="Sam"/>
    <x v="9"/>
    <n v="21634"/>
    <n v="26986"/>
    <n v="267432.59999999998"/>
    <n v="3400"/>
    <n v="20400"/>
    <n v="287832.59999999998"/>
    <n v="0"/>
    <n v="0"/>
    <n v="0"/>
    <n v="0"/>
    <n v="0"/>
    <n v="0"/>
    <n v="0"/>
    <n v="0"/>
    <n v="1"/>
    <n v="0"/>
    <n v="0"/>
    <n v="0"/>
    <s v="Enligt SP 190924"/>
    <s v="Läser 15 av 30 hp denna termin"/>
    <n v="0"/>
    <n v="0"/>
    <n v="0"/>
    <n v="0"/>
    <n v="0"/>
    <n v="0"/>
    <n v="0"/>
    <n v="0"/>
    <n v="0"/>
    <n v="0"/>
    <n v="0"/>
    <n v="0"/>
    <n v="0"/>
    <n v="0"/>
    <n v="0"/>
    <n v="0"/>
    <n v="6"/>
    <n v="5.0999999999999996"/>
    <n v="0"/>
    <n v="0"/>
    <n v="0"/>
    <n v="0"/>
    <n v="0"/>
  </r>
  <r>
    <x v="230"/>
    <x v="226"/>
    <m/>
    <x v="9"/>
    <s v="H18"/>
    <x v="2"/>
    <s v="H191-20:V201-20"/>
    <m/>
    <m/>
    <m/>
    <m/>
    <n v="50"/>
    <x v="1"/>
    <m/>
    <m/>
    <n v="1"/>
    <n v="0.25"/>
    <n v="0.85"/>
    <n v="0.21249999999999999"/>
    <n v="2180"/>
    <x v="0"/>
    <s v="Sam"/>
    <x v="9"/>
    <n v="21634"/>
    <n v="26986"/>
    <n v="11143.025"/>
    <n v="3400"/>
    <n v="850"/>
    <n v="11993.025"/>
    <n v="0"/>
    <n v="0"/>
    <n v="0"/>
    <n v="0"/>
    <n v="0"/>
    <n v="0"/>
    <n v="0"/>
    <n v="0"/>
    <n v="1"/>
    <n v="0"/>
    <n v="0"/>
    <n v="0"/>
    <s v="Enligt SP 190924"/>
    <s v="Läser 15 av 30 hp denna termin"/>
    <n v="0"/>
    <n v="0"/>
    <n v="0"/>
    <n v="0"/>
    <n v="0"/>
    <n v="0"/>
    <n v="0"/>
    <n v="0"/>
    <n v="0"/>
    <n v="0"/>
    <n v="0"/>
    <n v="0"/>
    <n v="0"/>
    <n v="0"/>
    <n v="0"/>
    <n v="0"/>
    <n v="0.25"/>
    <n v="0.21249999999999999"/>
    <n v="0"/>
    <n v="0"/>
    <n v="0"/>
    <n v="0"/>
    <n v="0"/>
  </r>
  <r>
    <x v="230"/>
    <x v="226"/>
    <m/>
    <x v="9"/>
    <s v="V19"/>
    <x v="2"/>
    <s v="H191-20:V201-20"/>
    <m/>
    <m/>
    <m/>
    <m/>
    <n v="50"/>
    <x v="1"/>
    <m/>
    <m/>
    <n v="1"/>
    <n v="0.25"/>
    <n v="0.85"/>
    <n v="0.21249999999999999"/>
    <n v="2180"/>
    <x v="0"/>
    <s v="Sam"/>
    <x v="9"/>
    <n v="21634"/>
    <n v="26986"/>
    <n v="11143.025"/>
    <n v="3400"/>
    <n v="850"/>
    <n v="11993.025"/>
    <n v="0"/>
    <n v="0"/>
    <n v="0"/>
    <n v="0"/>
    <n v="0"/>
    <n v="0"/>
    <n v="0"/>
    <n v="0"/>
    <n v="1"/>
    <n v="0"/>
    <n v="0"/>
    <n v="0"/>
    <s v="Enligt SP 190924"/>
    <s v="Läser 15 av 30 hp denna termin"/>
    <n v="0"/>
    <n v="0"/>
    <n v="0"/>
    <n v="0"/>
    <n v="0"/>
    <n v="0"/>
    <n v="0"/>
    <n v="0"/>
    <n v="0"/>
    <n v="0"/>
    <n v="0"/>
    <n v="0"/>
    <n v="0"/>
    <n v="0"/>
    <n v="0"/>
    <n v="0"/>
    <n v="0.25"/>
    <n v="0.21249999999999999"/>
    <n v="0"/>
    <n v="0"/>
    <n v="0"/>
    <n v="0"/>
    <n v="0"/>
  </r>
  <r>
    <x v="231"/>
    <x v="227"/>
    <m/>
    <x v="2"/>
    <s v="H13"/>
    <x v="1"/>
    <s v="H1816-20:V191-15"/>
    <s v="Umeå"/>
    <m/>
    <m/>
    <m/>
    <n v="100"/>
    <x v="6"/>
    <m/>
    <m/>
    <n v="0"/>
    <n v="0"/>
    <n v="0.85"/>
    <n v="0"/>
    <n v="5740"/>
    <x v="9"/>
    <s v="TekNat"/>
    <x v="2"/>
    <n v="19473"/>
    <n v="34806"/>
    <n v="0"/>
    <n v="21800"/>
    <n v="0"/>
    <n v="0"/>
    <n v="0"/>
    <n v="0"/>
    <n v="0"/>
    <n v="0"/>
    <n v="0"/>
    <n v="1"/>
    <n v="0"/>
    <n v="0"/>
    <n v="0"/>
    <n v="0"/>
    <n v="0"/>
    <n v="0"/>
    <s v="Enl Ladok 190318"/>
    <s v="Läser 22,5 av 30 hp denna termin"/>
    <n v="0"/>
    <n v="0"/>
    <n v="0"/>
    <n v="0"/>
    <n v="0"/>
    <n v="0"/>
    <n v="0"/>
    <n v="0"/>
    <n v="0"/>
    <n v="0"/>
    <n v="0"/>
    <n v="0"/>
    <n v="0"/>
    <n v="0"/>
    <n v="0"/>
    <n v="0"/>
    <n v="0"/>
    <n v="0"/>
    <n v="0"/>
    <n v="0"/>
    <n v="0"/>
    <n v="0"/>
    <n v="0"/>
  </r>
  <r>
    <x v="231"/>
    <x v="227"/>
    <m/>
    <x v="2"/>
    <s v="H13"/>
    <x v="1"/>
    <s v="H1816-20:V191-15"/>
    <s v="Umeå"/>
    <m/>
    <m/>
    <m/>
    <n v="100"/>
    <x v="6"/>
    <m/>
    <m/>
    <n v="0"/>
    <n v="0"/>
    <n v="0.85"/>
    <n v="0"/>
    <n v="5740"/>
    <x v="9"/>
    <s v="TekNat"/>
    <x v="2"/>
    <n v="19473"/>
    <n v="34806"/>
    <n v="0"/>
    <n v="21800"/>
    <n v="0"/>
    <n v="0"/>
    <n v="0"/>
    <n v="0"/>
    <n v="0"/>
    <n v="0"/>
    <n v="0"/>
    <n v="1"/>
    <n v="0"/>
    <n v="0"/>
    <n v="0"/>
    <n v="0"/>
    <n v="0"/>
    <n v="0"/>
    <s v="Enl Ladok 190318"/>
    <s v="Läser 22,5 av 30 hp denna termin"/>
    <n v="0"/>
    <n v="0"/>
    <n v="0"/>
    <n v="0"/>
    <n v="0"/>
    <n v="0"/>
    <n v="0"/>
    <n v="0"/>
    <n v="0"/>
    <n v="0"/>
    <n v="0"/>
    <n v="0"/>
    <n v="0"/>
    <n v="0"/>
    <n v="0"/>
    <n v="0"/>
    <n v="0"/>
    <n v="0"/>
    <n v="0"/>
    <n v="0"/>
    <n v="0"/>
    <n v="0"/>
    <n v="0"/>
  </r>
  <r>
    <x v="231"/>
    <x v="227"/>
    <m/>
    <x v="2"/>
    <s v="H14"/>
    <x v="1"/>
    <s v="H1816-20:V191-15"/>
    <s v="Umeå"/>
    <m/>
    <m/>
    <m/>
    <n v="100"/>
    <x v="6"/>
    <m/>
    <m/>
    <n v="1"/>
    <n v="0.375"/>
    <n v="0.85"/>
    <n v="0.31874999999999998"/>
    <n v="5740"/>
    <x v="9"/>
    <s v="TekNat"/>
    <x v="2"/>
    <n v="19473"/>
    <n v="34806"/>
    <n v="18396.787499999999"/>
    <n v="21800"/>
    <n v="8175"/>
    <n v="26571.787499999999"/>
    <n v="0"/>
    <n v="0"/>
    <n v="0"/>
    <n v="0"/>
    <n v="0"/>
    <n v="1"/>
    <n v="0"/>
    <n v="0"/>
    <n v="0"/>
    <n v="0"/>
    <n v="0"/>
    <n v="0"/>
    <s v="Enl Ladok 190318"/>
    <s v="Läser 22,5 av 30 hp denna termin"/>
    <n v="0"/>
    <n v="0"/>
    <n v="0"/>
    <n v="0"/>
    <n v="0"/>
    <n v="0"/>
    <n v="0"/>
    <n v="0"/>
    <n v="0"/>
    <n v="0"/>
    <n v="0.375"/>
    <n v="0.31874999999999998"/>
    <n v="0"/>
    <n v="0"/>
    <n v="0"/>
    <n v="0"/>
    <n v="0"/>
    <n v="0"/>
    <n v="0"/>
    <n v="0"/>
    <n v="0"/>
    <n v="0"/>
    <n v="0"/>
  </r>
  <r>
    <x v="231"/>
    <x v="227"/>
    <m/>
    <x v="2"/>
    <s v="H15"/>
    <x v="1"/>
    <s v="H1816-20:V191-15"/>
    <s v="Umeå"/>
    <m/>
    <m/>
    <m/>
    <n v="100"/>
    <x v="6"/>
    <m/>
    <m/>
    <n v="46"/>
    <n v="17.25"/>
    <n v="0.85"/>
    <n v="14.6625"/>
    <n v="5740"/>
    <x v="9"/>
    <s v="TekNat"/>
    <x v="2"/>
    <n v="19473"/>
    <n v="34806"/>
    <n v="846252.22499999998"/>
    <n v="21800"/>
    <n v="376050"/>
    <n v="1222302.2250000001"/>
    <n v="0"/>
    <n v="0"/>
    <n v="0"/>
    <n v="0"/>
    <n v="0"/>
    <n v="1"/>
    <n v="0"/>
    <n v="0"/>
    <n v="0"/>
    <n v="0"/>
    <n v="0"/>
    <n v="0"/>
    <s v="Enl Ladok 190318"/>
    <s v="Läser 22,5 av 30 hp denna termin"/>
    <n v="0"/>
    <n v="0"/>
    <n v="0"/>
    <n v="0"/>
    <n v="0"/>
    <n v="0"/>
    <n v="0"/>
    <n v="0"/>
    <n v="0"/>
    <n v="0"/>
    <n v="17.25"/>
    <n v="14.6625"/>
    <n v="0"/>
    <n v="0"/>
    <n v="0"/>
    <n v="0"/>
    <n v="0"/>
    <n v="0"/>
    <n v="0"/>
    <n v="0"/>
    <n v="0"/>
    <n v="0"/>
    <n v="0"/>
  </r>
  <r>
    <x v="231"/>
    <x v="227"/>
    <m/>
    <x v="2"/>
    <s v="H15"/>
    <x v="1"/>
    <s v="H1816-20:V191-15"/>
    <s v="Umeå"/>
    <m/>
    <m/>
    <m/>
    <n v="100"/>
    <x v="6"/>
    <m/>
    <m/>
    <n v="1"/>
    <n v="0.375"/>
    <n v="0.85"/>
    <n v="0.31874999999999998"/>
    <n v="5740"/>
    <x v="9"/>
    <s v="TekNat"/>
    <x v="2"/>
    <n v="19473"/>
    <n v="34806"/>
    <n v="18396.787499999999"/>
    <n v="21800"/>
    <n v="8175"/>
    <n v="26571.787499999999"/>
    <n v="0"/>
    <n v="0"/>
    <n v="0"/>
    <n v="0"/>
    <n v="0"/>
    <n v="1"/>
    <n v="0"/>
    <n v="0"/>
    <n v="0"/>
    <n v="0"/>
    <n v="0"/>
    <n v="0"/>
    <s v="Enl Ladok 190318"/>
    <s v="Läser 22,5 av 30 hp denna termin"/>
    <n v="0"/>
    <n v="0"/>
    <n v="0"/>
    <n v="0"/>
    <n v="0"/>
    <n v="0"/>
    <n v="0"/>
    <n v="0"/>
    <n v="0"/>
    <n v="0"/>
    <n v="0.375"/>
    <n v="0.31874999999999998"/>
    <n v="0"/>
    <n v="0"/>
    <n v="0"/>
    <n v="0"/>
    <n v="0"/>
    <n v="0"/>
    <n v="0"/>
    <n v="0"/>
    <n v="0"/>
    <n v="0"/>
    <n v="0"/>
  </r>
  <r>
    <x v="231"/>
    <x v="227"/>
    <m/>
    <x v="2"/>
    <s v="H16"/>
    <x v="2"/>
    <s v="H1916-20:V201-15"/>
    <m/>
    <m/>
    <m/>
    <m/>
    <n v="100"/>
    <x v="0"/>
    <m/>
    <m/>
    <n v="38"/>
    <n v="4.75"/>
    <n v="0.85"/>
    <n v="4.0374999999999996"/>
    <n v="5740"/>
    <x v="9"/>
    <s v="TekNat"/>
    <x v="2"/>
    <n v="19473"/>
    <n v="34806"/>
    <n v="233025.97499999998"/>
    <n v="21800"/>
    <n v="103550"/>
    <n v="336575.97499999998"/>
    <n v="0"/>
    <n v="0"/>
    <n v="0"/>
    <n v="0"/>
    <n v="0"/>
    <n v="1"/>
    <n v="0"/>
    <n v="0"/>
    <n v="0"/>
    <n v="0"/>
    <n v="0"/>
    <n v="0"/>
    <s v="Enligt SP 190924"/>
    <s v="Läser 7,5 av 30 denna termin"/>
    <n v="0"/>
    <n v="0"/>
    <n v="0"/>
    <n v="0"/>
    <n v="0"/>
    <n v="0"/>
    <n v="0"/>
    <n v="0"/>
    <n v="0"/>
    <n v="0"/>
    <n v="4.75"/>
    <n v="4.0374999999999996"/>
    <n v="0"/>
    <n v="0"/>
    <n v="0"/>
    <n v="0"/>
    <n v="0"/>
    <n v="0"/>
    <n v="0"/>
    <n v="0"/>
    <n v="0"/>
    <n v="0"/>
    <n v="0"/>
  </r>
  <r>
    <x v="232"/>
    <x v="228"/>
    <m/>
    <x v="3"/>
    <s v="H12"/>
    <x v="1"/>
    <s v="H1816-20:V191-15"/>
    <s v="Umeå"/>
    <m/>
    <m/>
    <m/>
    <n v="100"/>
    <x v="6"/>
    <m/>
    <m/>
    <n v="1"/>
    <n v="0.375"/>
    <n v="0.85"/>
    <n v="0.31874999999999998"/>
    <n v="5740"/>
    <x v="9"/>
    <s v="TekNat"/>
    <x v="3"/>
    <n v="19473"/>
    <n v="34806"/>
    <n v="18396.787499999999"/>
    <n v="21800"/>
    <n v="8175"/>
    <n v="26571.787499999999"/>
    <n v="0"/>
    <n v="0"/>
    <n v="0"/>
    <n v="0"/>
    <n v="0"/>
    <n v="1"/>
    <n v="0"/>
    <n v="0"/>
    <n v="0"/>
    <n v="0"/>
    <n v="0"/>
    <n v="0"/>
    <s v="Enl Ladok 190318"/>
    <s v="Läser 22,5 av 30 hp denna termin"/>
    <n v="0"/>
    <n v="0"/>
    <n v="0"/>
    <n v="0"/>
    <n v="0"/>
    <n v="0"/>
    <n v="0"/>
    <n v="0"/>
    <n v="0"/>
    <n v="0"/>
    <n v="0.375"/>
    <n v="0.31874999999999998"/>
    <n v="0"/>
    <n v="0"/>
    <n v="0"/>
    <n v="0"/>
    <n v="0"/>
    <n v="0"/>
    <n v="0"/>
    <n v="0"/>
    <n v="0"/>
    <n v="0"/>
    <n v="0"/>
  </r>
  <r>
    <x v="232"/>
    <x v="228"/>
    <m/>
    <x v="3"/>
    <s v="H15"/>
    <x v="1"/>
    <s v="H1816-20:V191-15"/>
    <s v="Umeå"/>
    <m/>
    <m/>
    <m/>
    <n v="100"/>
    <x v="6"/>
    <m/>
    <m/>
    <n v="24"/>
    <n v="9"/>
    <n v="0.85"/>
    <n v="7.6499999999999995"/>
    <n v="5740"/>
    <x v="9"/>
    <s v="TekNat"/>
    <x v="3"/>
    <n v="19473"/>
    <n v="34806"/>
    <n v="441522.89999999997"/>
    <n v="21800"/>
    <n v="196200"/>
    <n v="637722.89999999991"/>
    <n v="0"/>
    <n v="0"/>
    <n v="0"/>
    <n v="0"/>
    <n v="0"/>
    <n v="1"/>
    <n v="0"/>
    <n v="0"/>
    <n v="0"/>
    <n v="0"/>
    <n v="0"/>
    <n v="0"/>
    <s v="Enl Ladok 190318"/>
    <s v="Läser 22,5 av 30 hp denna termin"/>
    <n v="0"/>
    <n v="0"/>
    <n v="0"/>
    <n v="0"/>
    <n v="0"/>
    <n v="0"/>
    <n v="0"/>
    <n v="0"/>
    <n v="0"/>
    <n v="0"/>
    <n v="9"/>
    <n v="7.6499999999999995"/>
    <n v="0"/>
    <n v="0"/>
    <n v="0"/>
    <n v="0"/>
    <n v="0"/>
    <n v="0"/>
    <n v="0"/>
    <n v="0"/>
    <n v="0"/>
    <n v="0"/>
    <n v="0"/>
  </r>
  <r>
    <x v="232"/>
    <x v="228"/>
    <m/>
    <x v="3"/>
    <s v="H16"/>
    <x v="1"/>
    <s v="H1816-20:V191-15"/>
    <s v="Umeå"/>
    <m/>
    <m/>
    <m/>
    <n v="100"/>
    <x v="6"/>
    <m/>
    <m/>
    <n v="2"/>
    <n v="0.75"/>
    <n v="0.85"/>
    <n v="0.63749999999999996"/>
    <n v="5740"/>
    <x v="9"/>
    <s v="TekNat"/>
    <x v="3"/>
    <n v="19473"/>
    <n v="34806"/>
    <n v="36793.574999999997"/>
    <n v="21800"/>
    <n v="16350"/>
    <n v="53143.574999999997"/>
    <n v="0"/>
    <n v="0"/>
    <n v="0"/>
    <n v="0"/>
    <n v="0"/>
    <n v="1"/>
    <n v="0"/>
    <n v="0"/>
    <n v="0"/>
    <n v="0"/>
    <n v="0"/>
    <n v="0"/>
    <s v="Enl Ladok 190318"/>
    <s v="Läser 22,5 av 30 hp denna termin"/>
    <n v="0"/>
    <n v="0"/>
    <n v="0"/>
    <n v="0"/>
    <n v="0"/>
    <n v="0"/>
    <n v="0"/>
    <n v="0"/>
    <n v="0"/>
    <n v="0"/>
    <n v="0.75"/>
    <n v="0.63749999999999996"/>
    <n v="0"/>
    <n v="0"/>
    <n v="0"/>
    <n v="0"/>
    <n v="0"/>
    <n v="0"/>
    <n v="0"/>
    <n v="0"/>
    <n v="0"/>
    <n v="0"/>
    <n v="0"/>
  </r>
  <r>
    <x v="232"/>
    <x v="228"/>
    <m/>
    <x v="3"/>
    <s v="H16"/>
    <x v="2"/>
    <s v="H1916-20:V201-15"/>
    <m/>
    <m/>
    <m/>
    <m/>
    <n v="100"/>
    <x v="0"/>
    <m/>
    <m/>
    <n v="23"/>
    <n v="2.875"/>
    <n v="0.85"/>
    <n v="2.4437500000000001"/>
    <n v="5740"/>
    <x v="9"/>
    <s v="TekNat"/>
    <x v="3"/>
    <n v="19473"/>
    <n v="34806"/>
    <n v="141042.03750000001"/>
    <n v="21800"/>
    <n v="62675"/>
    <n v="203717.03750000001"/>
    <n v="0"/>
    <n v="0"/>
    <n v="0"/>
    <n v="0"/>
    <n v="0"/>
    <n v="1"/>
    <n v="0"/>
    <n v="0"/>
    <n v="0"/>
    <n v="0"/>
    <n v="0"/>
    <n v="0"/>
    <s v="Enligt SP 190924"/>
    <s v="Läser 7,5 av 30 denna termin"/>
    <n v="0"/>
    <n v="0"/>
    <n v="0"/>
    <n v="0"/>
    <n v="0"/>
    <n v="0"/>
    <n v="0"/>
    <n v="0"/>
    <n v="0"/>
    <n v="0"/>
    <n v="2.875"/>
    <n v="2.4437500000000001"/>
    <n v="0"/>
    <n v="0"/>
    <n v="0"/>
    <n v="0"/>
    <n v="0"/>
    <n v="0"/>
    <n v="0"/>
    <n v="0"/>
    <n v="0"/>
    <n v="0"/>
    <n v="0"/>
  </r>
  <r>
    <x v="233"/>
    <x v="229"/>
    <m/>
    <x v="12"/>
    <s v="V19"/>
    <x v="1"/>
    <s v="V194-8"/>
    <s v="Umeå"/>
    <m/>
    <m/>
    <m/>
    <n v="150"/>
    <x v="3"/>
    <m/>
    <m/>
    <n v="14"/>
    <n v="2.1"/>
    <n v="0.85"/>
    <n v="1.7849999999999999"/>
    <n v="2180"/>
    <x v="0"/>
    <s v="Sam"/>
    <x v="12"/>
    <n v="23299.809999999998"/>
    <n v="28479.999999999996"/>
    <n v="99766.400999999983"/>
    <n v="5392"/>
    <n v="11323.2"/>
    <n v="111089.60099999998"/>
    <n v="0"/>
    <n v="0"/>
    <n v="0"/>
    <n v="0.83"/>
    <n v="0"/>
    <n v="0"/>
    <n v="0"/>
    <n v="0"/>
    <n v="0.17"/>
    <n v="0"/>
    <n v="0"/>
    <n v="0"/>
    <s v="Enl Ladok 190318"/>
    <m/>
    <n v="0"/>
    <n v="0"/>
    <n v="0"/>
    <n v="0"/>
    <n v="0"/>
    <n v="0"/>
    <n v="1.7429999999999999"/>
    <n v="1.4815499999999999"/>
    <n v="0"/>
    <n v="0"/>
    <n v="0"/>
    <n v="0"/>
    <n v="0"/>
    <n v="0"/>
    <n v="0"/>
    <n v="0"/>
    <n v="0.35700000000000004"/>
    <n v="0.30345"/>
    <n v="0"/>
    <n v="0"/>
    <n v="0"/>
    <n v="0"/>
    <n v="0"/>
  </r>
  <r>
    <x v="233"/>
    <x v="229"/>
    <m/>
    <x v="5"/>
    <s v="H19"/>
    <x v="2"/>
    <s v="H194-8"/>
    <m/>
    <m/>
    <s v="FHHK"/>
    <m/>
    <n v="150"/>
    <x v="3"/>
    <m/>
    <m/>
    <n v="2"/>
    <n v="0.3"/>
    <n v="0.85"/>
    <n v="0.255"/>
    <n v="2180"/>
    <x v="0"/>
    <s v="Sam"/>
    <x v="5"/>
    <n v="23299.809999999998"/>
    <n v="28479.999999999996"/>
    <n v="14252.342999999999"/>
    <n v="5392"/>
    <n v="1617.6"/>
    <n v="15869.942999999999"/>
    <n v="0"/>
    <n v="0"/>
    <n v="0"/>
    <n v="0.83"/>
    <n v="0"/>
    <n v="0"/>
    <n v="0"/>
    <n v="0"/>
    <n v="0.17"/>
    <n v="0"/>
    <n v="0"/>
    <n v="0"/>
    <s v="Enligt SP 190924"/>
    <m/>
    <n v="0"/>
    <n v="0"/>
    <n v="0"/>
    <n v="0"/>
    <n v="0"/>
    <n v="0"/>
    <n v="0.24899999999999997"/>
    <n v="0.21165"/>
    <n v="0"/>
    <n v="0"/>
    <n v="0"/>
    <n v="0"/>
    <n v="0"/>
    <n v="0"/>
    <n v="0"/>
    <n v="0"/>
    <n v="5.1000000000000004E-2"/>
    <n v="4.3350000000000007E-2"/>
    <n v="0"/>
    <n v="0"/>
    <n v="0"/>
    <n v="0"/>
    <n v="0"/>
  </r>
  <r>
    <x v="233"/>
    <x v="229"/>
    <m/>
    <x v="5"/>
    <s v="H19"/>
    <x v="2"/>
    <s v="H194-8"/>
    <m/>
    <m/>
    <s v="FHOV"/>
    <m/>
    <n v="150"/>
    <x v="3"/>
    <m/>
    <m/>
    <n v="11"/>
    <n v="1.65"/>
    <n v="0.85"/>
    <n v="1.4024999999999999"/>
    <n v="2180"/>
    <x v="0"/>
    <s v="Sam"/>
    <x v="5"/>
    <n v="23299.809999999998"/>
    <n v="28479.999999999996"/>
    <n v="78387.886499999993"/>
    <n v="5392"/>
    <n v="8896.7999999999993"/>
    <n v="87284.686499999996"/>
    <n v="0"/>
    <n v="0"/>
    <n v="0"/>
    <n v="0.83"/>
    <n v="0"/>
    <n v="0"/>
    <n v="0"/>
    <n v="0"/>
    <n v="0.17"/>
    <n v="0"/>
    <n v="0"/>
    <n v="0"/>
    <s v="Enligt SP 190924"/>
    <m/>
    <n v="0"/>
    <n v="0"/>
    <n v="0"/>
    <n v="0"/>
    <n v="0"/>
    <n v="0"/>
    <n v="1.3694999999999999"/>
    <n v="1.1640749999999997"/>
    <n v="0"/>
    <n v="0"/>
    <n v="0"/>
    <n v="0"/>
    <n v="0"/>
    <n v="0"/>
    <n v="0"/>
    <n v="0"/>
    <n v="0.28050000000000003"/>
    <n v="0.238425"/>
    <n v="0"/>
    <n v="0"/>
    <n v="0"/>
    <n v="0"/>
    <n v="0"/>
  </r>
  <r>
    <x v="233"/>
    <x v="229"/>
    <m/>
    <x v="5"/>
    <s v="H19"/>
    <x v="2"/>
    <s v="H194-8"/>
    <m/>
    <m/>
    <s v="FHSL"/>
    <m/>
    <n v="150"/>
    <x v="3"/>
    <m/>
    <m/>
    <n v="4"/>
    <n v="0.6"/>
    <n v="0.85"/>
    <n v="0.51"/>
    <n v="2180"/>
    <x v="0"/>
    <s v="Sam"/>
    <x v="5"/>
    <n v="23299.809999999998"/>
    <n v="28479.999999999996"/>
    <n v="28504.685999999998"/>
    <n v="5392"/>
    <n v="3235.2"/>
    <n v="31739.885999999999"/>
    <n v="0"/>
    <n v="0"/>
    <n v="0"/>
    <n v="0.83"/>
    <n v="0"/>
    <n v="0"/>
    <n v="0"/>
    <n v="0"/>
    <n v="0.17"/>
    <n v="0"/>
    <n v="0"/>
    <n v="0"/>
    <s v="Enligt SP 190924"/>
    <m/>
    <n v="0"/>
    <n v="0"/>
    <n v="0"/>
    <n v="0"/>
    <n v="0"/>
    <n v="0"/>
    <n v="0.49799999999999994"/>
    <n v="0.42330000000000001"/>
    <n v="0"/>
    <n v="0"/>
    <n v="0"/>
    <n v="0"/>
    <n v="0"/>
    <n v="0"/>
    <n v="0"/>
    <n v="0"/>
    <n v="0.10200000000000001"/>
    <n v="8.6700000000000013E-2"/>
    <n v="0"/>
    <n v="0"/>
    <n v="0"/>
    <n v="0"/>
    <n v="0"/>
  </r>
  <r>
    <x v="233"/>
    <x v="229"/>
    <m/>
    <x v="6"/>
    <s v="H08"/>
    <x v="2"/>
    <s v="H194-8"/>
    <m/>
    <m/>
    <s v="FHOV"/>
    <m/>
    <n v="150"/>
    <x v="3"/>
    <m/>
    <m/>
    <n v="1"/>
    <n v="0.15"/>
    <n v="0.85"/>
    <n v="0.1275"/>
    <n v="2180"/>
    <x v="0"/>
    <s v="Sam"/>
    <x v="6"/>
    <n v="23299.809999999998"/>
    <n v="28479.999999999996"/>
    <n v="7126.1714999999995"/>
    <n v="5392"/>
    <n v="808.8"/>
    <n v="7934.9714999999997"/>
    <n v="0"/>
    <n v="0"/>
    <n v="0"/>
    <n v="0.83"/>
    <n v="0"/>
    <n v="0"/>
    <n v="0"/>
    <n v="0"/>
    <n v="0.17"/>
    <n v="0"/>
    <n v="0"/>
    <n v="0"/>
    <s v="Enligt SP 190924"/>
    <m/>
    <n v="0"/>
    <n v="0"/>
    <n v="0"/>
    <n v="0"/>
    <n v="0"/>
    <n v="0"/>
    <n v="0.12449999999999999"/>
    <n v="0.105825"/>
    <n v="0"/>
    <n v="0"/>
    <n v="0"/>
    <n v="0"/>
    <n v="0"/>
    <n v="0"/>
    <n v="0"/>
    <n v="0"/>
    <n v="2.5500000000000002E-2"/>
    <n v="2.1675000000000003E-2"/>
    <n v="0"/>
    <n v="0"/>
    <n v="0"/>
    <n v="0"/>
    <n v="0"/>
  </r>
  <r>
    <x v="233"/>
    <x v="229"/>
    <m/>
    <x v="6"/>
    <s v="H19"/>
    <x v="2"/>
    <s v="H194-8"/>
    <m/>
    <m/>
    <s v="FHFK"/>
    <m/>
    <n v="150"/>
    <x v="3"/>
    <m/>
    <m/>
    <n v="4"/>
    <n v="0.6"/>
    <n v="0.85"/>
    <n v="0.51"/>
    <n v="2180"/>
    <x v="0"/>
    <s v="Sam"/>
    <x v="6"/>
    <n v="23299.809999999998"/>
    <n v="28479.999999999996"/>
    <n v="28504.685999999998"/>
    <n v="5392"/>
    <n v="3235.2"/>
    <n v="31739.885999999999"/>
    <n v="0"/>
    <n v="0"/>
    <n v="0"/>
    <n v="0.83"/>
    <n v="0"/>
    <n v="0"/>
    <n v="0"/>
    <n v="0"/>
    <n v="0.17"/>
    <n v="0"/>
    <n v="0"/>
    <n v="0"/>
    <s v="Enligt SP 190924"/>
    <m/>
    <n v="0"/>
    <n v="0"/>
    <n v="0"/>
    <n v="0"/>
    <n v="0"/>
    <n v="0"/>
    <n v="0.49799999999999994"/>
    <n v="0.42330000000000001"/>
    <n v="0"/>
    <n v="0"/>
    <n v="0"/>
    <n v="0"/>
    <n v="0"/>
    <n v="0"/>
    <n v="0"/>
    <n v="0"/>
    <n v="0.10200000000000001"/>
    <n v="8.6700000000000013E-2"/>
    <n v="0"/>
    <n v="0"/>
    <n v="0"/>
    <n v="0"/>
    <n v="0"/>
  </r>
  <r>
    <x v="233"/>
    <x v="229"/>
    <m/>
    <x v="6"/>
    <s v="H19"/>
    <x v="2"/>
    <s v="H194-8"/>
    <m/>
    <m/>
    <s v="FHOV"/>
    <m/>
    <n v="150"/>
    <x v="3"/>
    <m/>
    <m/>
    <n v="18"/>
    <n v="2.6999999999999997"/>
    <n v="0.85"/>
    <n v="2.2949999999999999"/>
    <n v="2180"/>
    <x v="0"/>
    <s v="Sam"/>
    <x v="6"/>
    <n v="23299.809999999998"/>
    <n v="28479.999999999996"/>
    <n v="128271.08699999997"/>
    <n v="5392"/>
    <n v="14558.399999999998"/>
    <n v="142829.48699999996"/>
    <n v="0"/>
    <n v="0"/>
    <n v="0"/>
    <n v="0.83"/>
    <n v="0"/>
    <n v="0"/>
    <n v="0"/>
    <n v="0"/>
    <n v="0.17"/>
    <n v="0"/>
    <n v="0"/>
    <n v="0"/>
    <s v="Enligt SP 190924"/>
    <m/>
    <n v="0"/>
    <n v="0"/>
    <n v="0"/>
    <n v="0"/>
    <n v="0"/>
    <n v="0"/>
    <n v="2.2409999999999997"/>
    <n v="1.9048499999999999"/>
    <n v="0"/>
    <n v="0"/>
    <n v="0"/>
    <n v="0"/>
    <n v="0"/>
    <n v="0"/>
    <n v="0"/>
    <n v="0"/>
    <n v="0.45899999999999996"/>
    <n v="0.39015"/>
    <n v="0"/>
    <n v="0"/>
    <n v="0"/>
    <n v="0"/>
    <n v="0"/>
  </r>
  <r>
    <x v="233"/>
    <x v="229"/>
    <m/>
    <x v="6"/>
    <s v="H19"/>
    <x v="2"/>
    <s v="H194-8"/>
    <m/>
    <m/>
    <s v="GYFH"/>
    <m/>
    <n v="150"/>
    <x v="3"/>
    <m/>
    <m/>
    <n v="2"/>
    <n v="0.3"/>
    <n v="0.85"/>
    <n v="0.255"/>
    <n v="2180"/>
    <x v="0"/>
    <s v="Sam"/>
    <x v="6"/>
    <n v="23299.809999999998"/>
    <n v="28479.999999999996"/>
    <n v="14252.342999999999"/>
    <n v="5392"/>
    <n v="1617.6"/>
    <n v="15869.942999999999"/>
    <n v="0"/>
    <n v="0"/>
    <n v="0"/>
    <n v="0.83"/>
    <n v="0"/>
    <n v="0"/>
    <n v="0"/>
    <n v="0"/>
    <n v="0.17"/>
    <n v="0"/>
    <n v="0"/>
    <n v="0"/>
    <s v="Enligt SP 190924"/>
    <m/>
    <n v="0"/>
    <n v="0"/>
    <n v="0"/>
    <n v="0"/>
    <n v="0"/>
    <n v="0"/>
    <n v="0.24899999999999997"/>
    <n v="0.21165"/>
    <n v="0"/>
    <n v="0"/>
    <n v="0"/>
    <n v="0"/>
    <n v="0"/>
    <n v="0"/>
    <n v="0"/>
    <n v="0"/>
    <n v="5.1000000000000004E-2"/>
    <n v="4.3350000000000007E-2"/>
    <n v="0"/>
    <n v="0"/>
    <n v="0"/>
    <n v="0"/>
    <n v="0"/>
  </r>
  <r>
    <x v="234"/>
    <x v="230"/>
    <m/>
    <x v="12"/>
    <s v="V19"/>
    <x v="1"/>
    <s v="V1915-17"/>
    <s v="Umeå"/>
    <m/>
    <m/>
    <m/>
    <n v="100"/>
    <x v="0"/>
    <m/>
    <m/>
    <n v="14"/>
    <n v="1.75"/>
    <n v="0.85"/>
    <n v="1.4875"/>
    <n v="5740"/>
    <x v="9"/>
    <s v="TekNat"/>
    <x v="12"/>
    <n v="23641"/>
    <n v="28786"/>
    <n v="84190.925000000003"/>
    <n v="5800"/>
    <n v="10150"/>
    <n v="94340.925000000003"/>
    <n v="0"/>
    <n v="0"/>
    <n v="0"/>
    <n v="1"/>
    <n v="0"/>
    <n v="0"/>
    <n v="0"/>
    <n v="0"/>
    <n v="0"/>
    <n v="0"/>
    <n v="0"/>
    <n v="0"/>
    <s v="Enl Ladok 190523"/>
    <m/>
    <n v="0"/>
    <n v="0"/>
    <n v="0"/>
    <n v="0"/>
    <n v="0"/>
    <n v="0"/>
    <n v="1.75"/>
    <n v="1.4875"/>
    <n v="0"/>
    <n v="0"/>
    <n v="0"/>
    <n v="0"/>
    <n v="0"/>
    <n v="0"/>
    <n v="0"/>
    <n v="0"/>
    <n v="0"/>
    <n v="0"/>
    <n v="0"/>
    <n v="0"/>
    <n v="0"/>
    <n v="0"/>
    <n v="0"/>
  </r>
  <r>
    <x v="234"/>
    <x v="230"/>
    <m/>
    <x v="5"/>
    <s v="H19"/>
    <x v="2"/>
    <s v="H1915-17"/>
    <m/>
    <m/>
    <s v="FHHK"/>
    <m/>
    <n v="150"/>
    <x v="0"/>
    <m/>
    <m/>
    <n v="2"/>
    <n v="0.25"/>
    <n v="0.85"/>
    <n v="0.21249999999999999"/>
    <n v="5740"/>
    <x v="9"/>
    <s v="TekNat"/>
    <x v="5"/>
    <n v="23641"/>
    <n v="28786"/>
    <n v="12027.275"/>
    <n v="5800"/>
    <n v="1450"/>
    <n v="13477.275"/>
    <n v="0"/>
    <n v="0"/>
    <n v="0"/>
    <n v="1"/>
    <n v="0"/>
    <n v="0"/>
    <n v="0"/>
    <n v="0"/>
    <n v="0"/>
    <n v="0"/>
    <n v="0"/>
    <n v="0"/>
    <s v="Enligt SP 190924"/>
    <m/>
    <n v="0"/>
    <n v="0"/>
    <n v="0"/>
    <n v="0"/>
    <n v="0"/>
    <n v="0"/>
    <n v="0.25"/>
    <n v="0.21249999999999999"/>
    <n v="0"/>
    <n v="0"/>
    <n v="0"/>
    <n v="0"/>
    <n v="0"/>
    <n v="0"/>
    <n v="0"/>
    <n v="0"/>
    <n v="0"/>
    <n v="0"/>
    <n v="0"/>
    <n v="0"/>
    <n v="0"/>
    <n v="0"/>
    <n v="0"/>
  </r>
  <r>
    <x v="234"/>
    <x v="230"/>
    <m/>
    <x v="5"/>
    <s v="H19"/>
    <x v="2"/>
    <s v="H1915-17"/>
    <m/>
    <m/>
    <s v="FHOV"/>
    <m/>
    <n v="150"/>
    <x v="0"/>
    <m/>
    <m/>
    <n v="12"/>
    <n v="1.5"/>
    <n v="0.85"/>
    <n v="1.2749999999999999"/>
    <n v="5740"/>
    <x v="9"/>
    <s v="TekNat"/>
    <x v="5"/>
    <n v="23641"/>
    <n v="28786"/>
    <n v="72163.649999999994"/>
    <n v="5800"/>
    <n v="8700"/>
    <n v="80863.649999999994"/>
    <n v="0"/>
    <n v="0"/>
    <n v="0"/>
    <n v="1"/>
    <n v="0"/>
    <n v="0"/>
    <n v="0"/>
    <n v="0"/>
    <n v="0"/>
    <n v="0"/>
    <n v="0"/>
    <n v="0"/>
    <s v="Enligt SP 190924"/>
    <m/>
    <n v="0"/>
    <n v="0"/>
    <n v="0"/>
    <n v="0"/>
    <n v="0"/>
    <n v="0"/>
    <n v="1.5"/>
    <n v="1.2749999999999999"/>
    <n v="0"/>
    <n v="0"/>
    <n v="0"/>
    <n v="0"/>
    <n v="0"/>
    <n v="0"/>
    <n v="0"/>
    <n v="0"/>
    <n v="0"/>
    <n v="0"/>
    <n v="0"/>
    <n v="0"/>
    <n v="0"/>
    <n v="0"/>
    <n v="0"/>
  </r>
  <r>
    <x v="234"/>
    <x v="230"/>
    <m/>
    <x v="5"/>
    <s v="H19"/>
    <x v="2"/>
    <s v="H1915-17"/>
    <m/>
    <m/>
    <s v="FHSL"/>
    <m/>
    <n v="150"/>
    <x v="0"/>
    <m/>
    <m/>
    <n v="4"/>
    <n v="0.5"/>
    <n v="0.85"/>
    <n v="0.42499999999999999"/>
    <n v="5740"/>
    <x v="9"/>
    <s v="TekNat"/>
    <x v="5"/>
    <n v="23641"/>
    <n v="28786"/>
    <n v="24054.55"/>
    <n v="5800"/>
    <n v="2900"/>
    <n v="26954.55"/>
    <n v="0"/>
    <n v="0"/>
    <n v="0"/>
    <n v="1"/>
    <n v="0"/>
    <n v="0"/>
    <n v="0"/>
    <n v="0"/>
    <n v="0"/>
    <n v="0"/>
    <n v="0"/>
    <n v="0"/>
    <s v="Enligt SP 190924"/>
    <m/>
    <n v="0"/>
    <n v="0"/>
    <n v="0"/>
    <n v="0"/>
    <n v="0"/>
    <n v="0"/>
    <n v="0.5"/>
    <n v="0.42499999999999999"/>
    <n v="0"/>
    <n v="0"/>
    <n v="0"/>
    <n v="0"/>
    <n v="0"/>
    <n v="0"/>
    <n v="0"/>
    <n v="0"/>
    <n v="0"/>
    <n v="0"/>
    <n v="0"/>
    <n v="0"/>
    <n v="0"/>
    <n v="0"/>
    <n v="0"/>
  </r>
  <r>
    <x v="234"/>
    <x v="230"/>
    <m/>
    <x v="6"/>
    <s v="H08"/>
    <x v="2"/>
    <s v="H1915-17"/>
    <m/>
    <m/>
    <s v="FHOV"/>
    <m/>
    <n v="150"/>
    <x v="0"/>
    <m/>
    <m/>
    <n v="1"/>
    <n v="0.125"/>
    <n v="0.85"/>
    <n v="0.10625"/>
    <n v="5740"/>
    <x v="9"/>
    <s v="TekNat"/>
    <x v="6"/>
    <n v="23641"/>
    <n v="28786"/>
    <n v="6013.6374999999998"/>
    <n v="5800"/>
    <n v="725"/>
    <n v="6738.6374999999998"/>
    <n v="0"/>
    <n v="0"/>
    <n v="0"/>
    <n v="1"/>
    <n v="0"/>
    <n v="0"/>
    <n v="0"/>
    <n v="0"/>
    <n v="0"/>
    <n v="0"/>
    <n v="0"/>
    <n v="0"/>
    <s v="Enligt SP 190924"/>
    <m/>
    <n v="0"/>
    <n v="0"/>
    <n v="0"/>
    <n v="0"/>
    <n v="0"/>
    <n v="0"/>
    <n v="0.125"/>
    <n v="0.10625"/>
    <n v="0"/>
    <n v="0"/>
    <n v="0"/>
    <n v="0"/>
    <n v="0"/>
    <n v="0"/>
    <n v="0"/>
    <n v="0"/>
    <n v="0"/>
    <n v="0"/>
    <n v="0"/>
    <n v="0"/>
    <n v="0"/>
    <n v="0"/>
    <n v="0"/>
  </r>
  <r>
    <x v="234"/>
    <x v="230"/>
    <m/>
    <x v="6"/>
    <s v="H19"/>
    <x v="2"/>
    <s v="H1915-17"/>
    <m/>
    <m/>
    <s v="FHFK"/>
    <m/>
    <n v="150"/>
    <x v="0"/>
    <m/>
    <m/>
    <n v="4"/>
    <n v="0.5"/>
    <n v="0.85"/>
    <n v="0.42499999999999999"/>
    <n v="5740"/>
    <x v="9"/>
    <s v="TekNat"/>
    <x v="6"/>
    <n v="23641"/>
    <n v="28786"/>
    <n v="24054.55"/>
    <n v="5800"/>
    <n v="2900"/>
    <n v="26954.55"/>
    <n v="0"/>
    <n v="0"/>
    <n v="0"/>
    <n v="1"/>
    <n v="0"/>
    <n v="0"/>
    <n v="0"/>
    <n v="0"/>
    <n v="0"/>
    <n v="0"/>
    <n v="0"/>
    <n v="0"/>
    <s v="Enligt SP 190924"/>
    <m/>
    <n v="0"/>
    <n v="0"/>
    <n v="0"/>
    <n v="0"/>
    <n v="0"/>
    <n v="0"/>
    <n v="0.5"/>
    <n v="0.42499999999999999"/>
    <n v="0"/>
    <n v="0"/>
    <n v="0"/>
    <n v="0"/>
    <n v="0"/>
    <n v="0"/>
    <n v="0"/>
    <n v="0"/>
    <n v="0"/>
    <n v="0"/>
    <n v="0"/>
    <n v="0"/>
    <n v="0"/>
    <n v="0"/>
    <n v="0"/>
  </r>
  <r>
    <x v="234"/>
    <x v="230"/>
    <m/>
    <x v="6"/>
    <s v="H19"/>
    <x v="2"/>
    <s v="H1915-17"/>
    <m/>
    <m/>
    <s v="FHOV"/>
    <m/>
    <n v="150"/>
    <x v="0"/>
    <m/>
    <m/>
    <n v="18"/>
    <n v="2.25"/>
    <n v="0.85"/>
    <n v="1.9124999999999999"/>
    <n v="5740"/>
    <x v="9"/>
    <s v="TekNat"/>
    <x v="6"/>
    <n v="23641"/>
    <n v="28786"/>
    <n v="108245.47500000001"/>
    <n v="5800"/>
    <n v="13050"/>
    <n v="121295.47500000001"/>
    <n v="0"/>
    <n v="0"/>
    <n v="0"/>
    <n v="1"/>
    <n v="0"/>
    <n v="0"/>
    <n v="0"/>
    <n v="0"/>
    <n v="0"/>
    <n v="0"/>
    <n v="0"/>
    <n v="0"/>
    <s v="Enligt SP 190924"/>
    <m/>
    <n v="0"/>
    <n v="0"/>
    <n v="0"/>
    <n v="0"/>
    <n v="0"/>
    <n v="0"/>
    <n v="2.25"/>
    <n v="1.9124999999999999"/>
    <n v="0"/>
    <n v="0"/>
    <n v="0"/>
    <n v="0"/>
    <n v="0"/>
    <n v="0"/>
    <n v="0"/>
    <n v="0"/>
    <n v="0"/>
    <n v="0"/>
    <n v="0"/>
    <n v="0"/>
    <n v="0"/>
    <n v="0"/>
    <n v="0"/>
  </r>
  <r>
    <x v="234"/>
    <x v="230"/>
    <m/>
    <x v="6"/>
    <s v="H19"/>
    <x v="2"/>
    <s v="H1915-17"/>
    <m/>
    <m/>
    <s v="GYFH"/>
    <m/>
    <n v="150"/>
    <x v="0"/>
    <m/>
    <m/>
    <n v="2"/>
    <n v="0.25"/>
    <n v="0.85"/>
    <n v="0.21249999999999999"/>
    <n v="5740"/>
    <x v="9"/>
    <s v="TekNat"/>
    <x v="6"/>
    <n v="23641"/>
    <n v="28786"/>
    <n v="12027.275"/>
    <n v="5800"/>
    <n v="1450"/>
    <n v="13477.275"/>
    <n v="0"/>
    <n v="0"/>
    <n v="0"/>
    <n v="1"/>
    <n v="0"/>
    <n v="0"/>
    <n v="0"/>
    <n v="0"/>
    <n v="0"/>
    <n v="0"/>
    <n v="0"/>
    <n v="0"/>
    <s v="Enligt SP 190924"/>
    <m/>
    <n v="0"/>
    <n v="0"/>
    <n v="0"/>
    <n v="0"/>
    <n v="0"/>
    <n v="0"/>
    <n v="0.25"/>
    <n v="0.21249999999999999"/>
    <n v="0"/>
    <n v="0"/>
    <n v="0"/>
    <n v="0"/>
    <n v="0"/>
    <n v="0"/>
    <n v="0"/>
    <n v="0"/>
    <n v="0"/>
    <n v="0"/>
    <n v="0"/>
    <n v="0"/>
    <n v="0"/>
    <n v="0"/>
    <n v="0"/>
  </r>
  <r>
    <x v="235"/>
    <x v="231"/>
    <m/>
    <x v="12"/>
    <s v="V19"/>
    <x v="1"/>
    <s v="V191-3"/>
    <s v="Umeå"/>
    <m/>
    <m/>
    <m/>
    <n v="100"/>
    <x v="0"/>
    <m/>
    <m/>
    <n v="16"/>
    <n v="2"/>
    <n v="0.85"/>
    <n v="1.7"/>
    <n v="2193"/>
    <x v="1"/>
    <s v="Sam"/>
    <x v="12"/>
    <n v="23641"/>
    <n v="28786"/>
    <n v="96218.2"/>
    <n v="5800"/>
    <n v="11600"/>
    <n v="107818.2"/>
    <n v="0"/>
    <n v="0"/>
    <n v="0"/>
    <n v="1"/>
    <n v="0"/>
    <n v="0"/>
    <n v="0"/>
    <n v="0"/>
    <n v="0"/>
    <n v="0"/>
    <n v="0"/>
    <n v="0"/>
    <s v="Enl Ladok 190318"/>
    <m/>
    <n v="0"/>
    <n v="0"/>
    <n v="0"/>
    <n v="0"/>
    <n v="0"/>
    <n v="0"/>
    <n v="2"/>
    <n v="1.7"/>
    <n v="0"/>
    <n v="0"/>
    <n v="0"/>
    <n v="0"/>
    <n v="0"/>
    <n v="0"/>
    <n v="0"/>
    <n v="0"/>
    <n v="0"/>
    <n v="0"/>
    <n v="0"/>
    <n v="0"/>
    <n v="0"/>
    <n v="0"/>
    <n v="0"/>
  </r>
  <r>
    <x v="235"/>
    <x v="231"/>
    <m/>
    <x v="5"/>
    <s v="H19"/>
    <x v="2"/>
    <s v="H191-3"/>
    <m/>
    <m/>
    <s v="FHHK"/>
    <m/>
    <n v="150"/>
    <x v="0"/>
    <m/>
    <m/>
    <n v="2"/>
    <n v="0.25"/>
    <n v="0.85"/>
    <n v="0.21249999999999999"/>
    <n v="2193"/>
    <x v="1"/>
    <s v="Sam"/>
    <x v="5"/>
    <n v="23641"/>
    <n v="28786"/>
    <n v="12027.275"/>
    <n v="5800"/>
    <n v="1450"/>
    <n v="13477.275"/>
    <n v="0"/>
    <n v="0"/>
    <n v="0"/>
    <n v="1"/>
    <n v="0"/>
    <n v="0"/>
    <n v="0"/>
    <n v="0"/>
    <n v="0"/>
    <n v="0"/>
    <n v="0"/>
    <n v="0"/>
    <s v="Enligt SP 190924"/>
    <m/>
    <n v="0"/>
    <n v="0"/>
    <n v="0"/>
    <n v="0"/>
    <n v="0"/>
    <n v="0"/>
    <n v="0.25"/>
    <n v="0.21249999999999999"/>
    <n v="0"/>
    <n v="0"/>
    <n v="0"/>
    <n v="0"/>
    <n v="0"/>
    <n v="0"/>
    <n v="0"/>
    <n v="0"/>
    <n v="0"/>
    <n v="0"/>
    <n v="0"/>
    <n v="0"/>
    <n v="0"/>
    <n v="0"/>
    <n v="0"/>
  </r>
  <r>
    <x v="235"/>
    <x v="231"/>
    <m/>
    <x v="5"/>
    <s v="H19"/>
    <x v="2"/>
    <s v="H191-3"/>
    <m/>
    <m/>
    <s v="FHOV"/>
    <m/>
    <n v="150"/>
    <x v="0"/>
    <m/>
    <m/>
    <n v="11"/>
    <n v="1.375"/>
    <n v="0.85"/>
    <n v="1.16875"/>
    <n v="2193"/>
    <x v="1"/>
    <s v="Sam"/>
    <x v="5"/>
    <n v="23641"/>
    <n v="28786"/>
    <n v="66150.012499999997"/>
    <n v="5800"/>
    <n v="7975"/>
    <n v="74125.012499999997"/>
    <n v="0"/>
    <n v="0"/>
    <n v="0"/>
    <n v="1"/>
    <n v="0"/>
    <n v="0"/>
    <n v="0"/>
    <n v="0"/>
    <n v="0"/>
    <n v="0"/>
    <n v="0"/>
    <n v="0"/>
    <s v="Enligt SP 190924"/>
    <m/>
    <n v="0"/>
    <n v="0"/>
    <n v="0"/>
    <n v="0"/>
    <n v="0"/>
    <n v="0"/>
    <n v="1.375"/>
    <n v="1.16875"/>
    <n v="0"/>
    <n v="0"/>
    <n v="0"/>
    <n v="0"/>
    <n v="0"/>
    <n v="0"/>
    <n v="0"/>
    <n v="0"/>
    <n v="0"/>
    <n v="0"/>
    <n v="0"/>
    <n v="0"/>
    <n v="0"/>
    <n v="0"/>
    <n v="0"/>
  </r>
  <r>
    <x v="235"/>
    <x v="231"/>
    <m/>
    <x v="5"/>
    <s v="H19"/>
    <x v="2"/>
    <s v="H191-3"/>
    <m/>
    <m/>
    <s v="FHSL"/>
    <m/>
    <n v="150"/>
    <x v="0"/>
    <m/>
    <m/>
    <n v="4"/>
    <n v="0.5"/>
    <n v="0.85"/>
    <n v="0.42499999999999999"/>
    <n v="2193"/>
    <x v="1"/>
    <s v="Sam"/>
    <x v="5"/>
    <n v="23641"/>
    <n v="28786"/>
    <n v="24054.55"/>
    <n v="5800"/>
    <n v="2900"/>
    <n v="26954.55"/>
    <n v="0"/>
    <n v="0"/>
    <n v="0"/>
    <n v="1"/>
    <n v="0"/>
    <n v="0"/>
    <n v="0"/>
    <n v="0"/>
    <n v="0"/>
    <n v="0"/>
    <n v="0"/>
    <n v="0"/>
    <s v="Enligt SP 190924"/>
    <m/>
    <n v="0"/>
    <n v="0"/>
    <n v="0"/>
    <n v="0"/>
    <n v="0"/>
    <n v="0"/>
    <n v="0.5"/>
    <n v="0.42499999999999999"/>
    <n v="0"/>
    <n v="0"/>
    <n v="0"/>
    <n v="0"/>
    <n v="0"/>
    <n v="0"/>
    <n v="0"/>
    <n v="0"/>
    <n v="0"/>
    <n v="0"/>
    <n v="0"/>
    <n v="0"/>
    <n v="0"/>
    <n v="0"/>
    <n v="0"/>
  </r>
  <r>
    <x v="235"/>
    <x v="231"/>
    <m/>
    <x v="6"/>
    <s v="H08"/>
    <x v="2"/>
    <s v="H191-3"/>
    <m/>
    <m/>
    <s v="FHOV"/>
    <m/>
    <n v="150"/>
    <x v="0"/>
    <m/>
    <m/>
    <n v="1"/>
    <n v="0.125"/>
    <n v="0.85"/>
    <n v="0.10625"/>
    <n v="2193"/>
    <x v="1"/>
    <s v="Sam"/>
    <x v="6"/>
    <n v="23641"/>
    <n v="28786"/>
    <n v="6013.6374999999998"/>
    <n v="5800"/>
    <n v="725"/>
    <n v="6738.6374999999998"/>
    <n v="0"/>
    <n v="0"/>
    <n v="0"/>
    <n v="1"/>
    <n v="0"/>
    <n v="0"/>
    <n v="0"/>
    <n v="0"/>
    <n v="0"/>
    <n v="0"/>
    <n v="0"/>
    <n v="0"/>
    <s v="Enligt SP 190924"/>
    <m/>
    <n v="0"/>
    <n v="0"/>
    <n v="0"/>
    <n v="0"/>
    <n v="0"/>
    <n v="0"/>
    <n v="0.125"/>
    <n v="0.10625"/>
    <n v="0"/>
    <n v="0"/>
    <n v="0"/>
    <n v="0"/>
    <n v="0"/>
    <n v="0"/>
    <n v="0"/>
    <n v="0"/>
    <n v="0"/>
    <n v="0"/>
    <n v="0"/>
    <n v="0"/>
    <n v="0"/>
    <n v="0"/>
    <n v="0"/>
  </r>
  <r>
    <x v="235"/>
    <x v="231"/>
    <m/>
    <x v="6"/>
    <s v="H19"/>
    <x v="2"/>
    <s v="H191-3"/>
    <m/>
    <m/>
    <s v="FHFK"/>
    <m/>
    <n v="150"/>
    <x v="0"/>
    <m/>
    <m/>
    <n v="4"/>
    <n v="0.5"/>
    <n v="0.85"/>
    <n v="0.42499999999999999"/>
    <n v="2193"/>
    <x v="1"/>
    <s v="Sam"/>
    <x v="6"/>
    <n v="23641"/>
    <n v="28786"/>
    <n v="24054.55"/>
    <n v="5800"/>
    <n v="2900"/>
    <n v="26954.55"/>
    <n v="0"/>
    <n v="0"/>
    <n v="0"/>
    <n v="1"/>
    <n v="0"/>
    <n v="0"/>
    <n v="0"/>
    <n v="0"/>
    <n v="0"/>
    <n v="0"/>
    <n v="0"/>
    <n v="0"/>
    <s v="Enligt SP 190924"/>
    <m/>
    <n v="0"/>
    <n v="0"/>
    <n v="0"/>
    <n v="0"/>
    <n v="0"/>
    <n v="0"/>
    <n v="0.5"/>
    <n v="0.42499999999999999"/>
    <n v="0"/>
    <n v="0"/>
    <n v="0"/>
    <n v="0"/>
    <n v="0"/>
    <n v="0"/>
    <n v="0"/>
    <n v="0"/>
    <n v="0"/>
    <n v="0"/>
    <n v="0"/>
    <n v="0"/>
    <n v="0"/>
    <n v="0"/>
    <n v="0"/>
  </r>
  <r>
    <x v="235"/>
    <x v="231"/>
    <m/>
    <x v="6"/>
    <s v="H19"/>
    <x v="2"/>
    <s v="H191-3"/>
    <m/>
    <m/>
    <s v="FHOV"/>
    <m/>
    <n v="150"/>
    <x v="0"/>
    <m/>
    <m/>
    <n v="17"/>
    <n v="2.125"/>
    <n v="0.85"/>
    <n v="1.8062499999999999"/>
    <n v="2193"/>
    <x v="1"/>
    <s v="Sam"/>
    <x v="6"/>
    <n v="23641"/>
    <n v="28786"/>
    <n v="102231.83749999999"/>
    <n v="5800"/>
    <n v="12325"/>
    <n v="114556.83749999999"/>
    <n v="0"/>
    <n v="0"/>
    <n v="0"/>
    <n v="1"/>
    <n v="0"/>
    <n v="0"/>
    <n v="0"/>
    <n v="0"/>
    <n v="0"/>
    <n v="0"/>
    <n v="0"/>
    <n v="0"/>
    <s v="Enligt SP 190924"/>
    <m/>
    <n v="0"/>
    <n v="0"/>
    <n v="0"/>
    <n v="0"/>
    <n v="0"/>
    <n v="0"/>
    <n v="2.125"/>
    <n v="1.8062499999999999"/>
    <n v="0"/>
    <n v="0"/>
    <n v="0"/>
    <n v="0"/>
    <n v="0"/>
    <n v="0"/>
    <n v="0"/>
    <n v="0"/>
    <n v="0"/>
    <n v="0"/>
    <n v="0"/>
    <n v="0"/>
    <n v="0"/>
    <n v="0"/>
    <n v="0"/>
  </r>
  <r>
    <x v="235"/>
    <x v="231"/>
    <m/>
    <x v="6"/>
    <s v="H19"/>
    <x v="2"/>
    <s v="H191-3"/>
    <m/>
    <m/>
    <s v="GYFH"/>
    <m/>
    <n v="150"/>
    <x v="0"/>
    <m/>
    <m/>
    <n v="1"/>
    <n v="0.125"/>
    <n v="0.85"/>
    <n v="0.10625"/>
    <n v="2193"/>
    <x v="1"/>
    <s v="Sam"/>
    <x v="6"/>
    <n v="23641"/>
    <n v="28786"/>
    <n v="6013.6374999999998"/>
    <n v="5800"/>
    <n v="725"/>
    <n v="6738.6374999999998"/>
    <n v="0"/>
    <n v="0"/>
    <n v="0"/>
    <n v="1"/>
    <n v="0"/>
    <n v="0"/>
    <n v="0"/>
    <n v="0"/>
    <n v="0"/>
    <n v="0"/>
    <n v="0"/>
    <n v="0"/>
    <s v="Enligt SP 190924"/>
    <m/>
    <n v="0"/>
    <n v="0"/>
    <n v="0"/>
    <n v="0"/>
    <n v="0"/>
    <n v="0"/>
    <n v="0.125"/>
    <n v="0.10625"/>
    <n v="0"/>
    <n v="0"/>
    <n v="0"/>
    <n v="0"/>
    <n v="0"/>
    <n v="0"/>
    <n v="0"/>
    <n v="0"/>
    <n v="0"/>
    <n v="0"/>
    <n v="0"/>
    <n v="0"/>
    <n v="0"/>
    <n v="0"/>
    <n v="0"/>
  </r>
  <r>
    <x v="236"/>
    <x v="232"/>
    <m/>
    <x v="12"/>
    <s v="V19"/>
    <x v="1"/>
    <s v="V199-11"/>
    <s v="Umeå"/>
    <m/>
    <m/>
    <m/>
    <n v="100"/>
    <x v="0"/>
    <m/>
    <m/>
    <n v="14"/>
    <n v="1.75"/>
    <n v="0.85"/>
    <n v="1.4875"/>
    <n v="2193"/>
    <x v="1"/>
    <s v="Sam"/>
    <x v="12"/>
    <n v="23641"/>
    <n v="28786"/>
    <n v="84190.925000000003"/>
    <n v="5800"/>
    <n v="10150"/>
    <n v="94340.925000000003"/>
    <n v="0"/>
    <n v="0"/>
    <n v="0"/>
    <n v="1"/>
    <n v="0"/>
    <n v="0"/>
    <n v="0"/>
    <n v="0"/>
    <n v="0"/>
    <n v="0"/>
    <n v="0"/>
    <n v="0"/>
    <s v="Enl Ladok 190318"/>
    <m/>
    <n v="0"/>
    <n v="0"/>
    <n v="0"/>
    <n v="0"/>
    <n v="0"/>
    <n v="0"/>
    <n v="1.75"/>
    <n v="1.4875"/>
    <n v="0"/>
    <n v="0"/>
    <n v="0"/>
    <n v="0"/>
    <n v="0"/>
    <n v="0"/>
    <n v="0"/>
    <n v="0"/>
    <n v="0"/>
    <n v="0"/>
    <n v="0"/>
    <n v="0"/>
    <n v="0"/>
    <n v="0"/>
    <n v="0"/>
  </r>
  <r>
    <x v="236"/>
    <x v="232"/>
    <m/>
    <x v="5"/>
    <s v="H19"/>
    <x v="2"/>
    <s v="H199-11"/>
    <m/>
    <m/>
    <s v="FHHK"/>
    <m/>
    <n v="150"/>
    <x v="0"/>
    <m/>
    <m/>
    <n v="2"/>
    <n v="0.25"/>
    <n v="0.85"/>
    <n v="0.21249999999999999"/>
    <n v="2193"/>
    <x v="1"/>
    <s v="Sam"/>
    <x v="5"/>
    <n v="23641"/>
    <n v="28786"/>
    <n v="12027.275"/>
    <n v="5800"/>
    <n v="1450"/>
    <n v="13477.275"/>
    <n v="0"/>
    <n v="0"/>
    <n v="0"/>
    <n v="1"/>
    <n v="0"/>
    <n v="0"/>
    <n v="0"/>
    <n v="0"/>
    <n v="0"/>
    <n v="0"/>
    <n v="0"/>
    <n v="0"/>
    <s v="Enligt SP 190924"/>
    <m/>
    <n v="0"/>
    <n v="0"/>
    <n v="0"/>
    <n v="0"/>
    <n v="0"/>
    <n v="0"/>
    <n v="0.25"/>
    <n v="0.21249999999999999"/>
    <n v="0"/>
    <n v="0"/>
    <n v="0"/>
    <n v="0"/>
    <n v="0"/>
    <n v="0"/>
    <n v="0"/>
    <n v="0"/>
    <n v="0"/>
    <n v="0"/>
    <n v="0"/>
    <n v="0"/>
    <n v="0"/>
    <n v="0"/>
    <n v="0"/>
  </r>
  <r>
    <x v="236"/>
    <x v="232"/>
    <m/>
    <x v="5"/>
    <s v="H19"/>
    <x v="2"/>
    <s v="H199-11"/>
    <m/>
    <m/>
    <s v="FHOV"/>
    <m/>
    <n v="150"/>
    <x v="0"/>
    <m/>
    <m/>
    <n v="11"/>
    <n v="1.375"/>
    <n v="0.85"/>
    <n v="1.16875"/>
    <n v="2193"/>
    <x v="1"/>
    <s v="Sam"/>
    <x v="5"/>
    <n v="23641"/>
    <n v="28786"/>
    <n v="66150.012499999997"/>
    <n v="5800"/>
    <n v="7975"/>
    <n v="74125.012499999997"/>
    <n v="0"/>
    <n v="0"/>
    <n v="0"/>
    <n v="1"/>
    <n v="0"/>
    <n v="0"/>
    <n v="0"/>
    <n v="0"/>
    <n v="0"/>
    <n v="0"/>
    <n v="0"/>
    <n v="0"/>
    <s v="Enligt SP 190924"/>
    <m/>
    <n v="0"/>
    <n v="0"/>
    <n v="0"/>
    <n v="0"/>
    <n v="0"/>
    <n v="0"/>
    <n v="1.375"/>
    <n v="1.16875"/>
    <n v="0"/>
    <n v="0"/>
    <n v="0"/>
    <n v="0"/>
    <n v="0"/>
    <n v="0"/>
    <n v="0"/>
    <n v="0"/>
    <n v="0"/>
    <n v="0"/>
    <n v="0"/>
    <n v="0"/>
    <n v="0"/>
    <n v="0"/>
    <n v="0"/>
  </r>
  <r>
    <x v="236"/>
    <x v="232"/>
    <m/>
    <x v="5"/>
    <s v="H19"/>
    <x v="2"/>
    <s v="H199-11"/>
    <m/>
    <m/>
    <s v="FHSL"/>
    <m/>
    <n v="150"/>
    <x v="0"/>
    <m/>
    <m/>
    <n v="4"/>
    <n v="0.5"/>
    <n v="0.85"/>
    <n v="0.42499999999999999"/>
    <n v="2193"/>
    <x v="1"/>
    <s v="Sam"/>
    <x v="5"/>
    <n v="23641"/>
    <n v="28786"/>
    <n v="24054.55"/>
    <n v="5800"/>
    <n v="2900"/>
    <n v="26954.55"/>
    <n v="0"/>
    <n v="0"/>
    <n v="0"/>
    <n v="1"/>
    <n v="0"/>
    <n v="0"/>
    <n v="0"/>
    <n v="0"/>
    <n v="0"/>
    <n v="0"/>
    <n v="0"/>
    <n v="0"/>
    <s v="Enligt SP 190924"/>
    <m/>
    <n v="0"/>
    <n v="0"/>
    <n v="0"/>
    <n v="0"/>
    <n v="0"/>
    <n v="0"/>
    <n v="0.5"/>
    <n v="0.42499999999999999"/>
    <n v="0"/>
    <n v="0"/>
    <n v="0"/>
    <n v="0"/>
    <n v="0"/>
    <n v="0"/>
    <n v="0"/>
    <n v="0"/>
    <n v="0"/>
    <n v="0"/>
    <n v="0"/>
    <n v="0"/>
    <n v="0"/>
    <n v="0"/>
    <n v="0"/>
  </r>
  <r>
    <x v="236"/>
    <x v="232"/>
    <m/>
    <x v="6"/>
    <s v="H08"/>
    <x v="2"/>
    <s v="H199-11"/>
    <m/>
    <m/>
    <s v="FHOV"/>
    <m/>
    <n v="150"/>
    <x v="0"/>
    <m/>
    <m/>
    <n v="1"/>
    <n v="0.125"/>
    <n v="0.85"/>
    <n v="0.10625"/>
    <n v="2193"/>
    <x v="1"/>
    <s v="Sam"/>
    <x v="6"/>
    <n v="23641"/>
    <n v="28786"/>
    <n v="6013.6374999999998"/>
    <n v="5800"/>
    <n v="725"/>
    <n v="6738.6374999999998"/>
    <n v="0"/>
    <n v="0"/>
    <n v="0"/>
    <n v="1"/>
    <n v="0"/>
    <n v="0"/>
    <n v="0"/>
    <n v="0"/>
    <n v="0"/>
    <n v="0"/>
    <n v="0"/>
    <n v="0"/>
    <s v="Enligt SP 190924"/>
    <m/>
    <n v="0"/>
    <n v="0"/>
    <n v="0"/>
    <n v="0"/>
    <n v="0"/>
    <n v="0"/>
    <n v="0.125"/>
    <n v="0.10625"/>
    <n v="0"/>
    <n v="0"/>
    <n v="0"/>
    <n v="0"/>
    <n v="0"/>
    <n v="0"/>
    <n v="0"/>
    <n v="0"/>
    <n v="0"/>
    <n v="0"/>
    <n v="0"/>
    <n v="0"/>
    <n v="0"/>
    <n v="0"/>
    <n v="0"/>
  </r>
  <r>
    <x v="236"/>
    <x v="232"/>
    <m/>
    <x v="6"/>
    <s v="H19"/>
    <x v="2"/>
    <s v="H199-11"/>
    <m/>
    <m/>
    <s v="FHFK"/>
    <m/>
    <n v="150"/>
    <x v="0"/>
    <m/>
    <m/>
    <n v="4"/>
    <n v="0.5"/>
    <n v="0.85"/>
    <n v="0.42499999999999999"/>
    <n v="2193"/>
    <x v="1"/>
    <s v="Sam"/>
    <x v="6"/>
    <n v="23641"/>
    <n v="28786"/>
    <n v="24054.55"/>
    <n v="5800"/>
    <n v="2900"/>
    <n v="26954.55"/>
    <n v="0"/>
    <n v="0"/>
    <n v="0"/>
    <n v="1"/>
    <n v="0"/>
    <n v="0"/>
    <n v="0"/>
    <n v="0"/>
    <n v="0"/>
    <n v="0"/>
    <n v="0"/>
    <n v="0"/>
    <s v="Enligt SP 190924"/>
    <m/>
    <n v="0"/>
    <n v="0"/>
    <n v="0"/>
    <n v="0"/>
    <n v="0"/>
    <n v="0"/>
    <n v="0.5"/>
    <n v="0.42499999999999999"/>
    <n v="0"/>
    <n v="0"/>
    <n v="0"/>
    <n v="0"/>
    <n v="0"/>
    <n v="0"/>
    <n v="0"/>
    <n v="0"/>
    <n v="0"/>
    <n v="0"/>
    <n v="0"/>
    <n v="0"/>
    <n v="0"/>
    <n v="0"/>
    <n v="0"/>
  </r>
  <r>
    <x v="236"/>
    <x v="232"/>
    <m/>
    <x v="6"/>
    <s v="H19"/>
    <x v="2"/>
    <s v="H199-11"/>
    <m/>
    <m/>
    <s v="FHOV"/>
    <m/>
    <n v="150"/>
    <x v="0"/>
    <m/>
    <m/>
    <n v="18"/>
    <n v="2.25"/>
    <n v="0.85"/>
    <n v="1.9124999999999999"/>
    <n v="2193"/>
    <x v="1"/>
    <s v="Sam"/>
    <x v="6"/>
    <n v="23641"/>
    <n v="28786"/>
    <n v="108245.47500000001"/>
    <n v="5800"/>
    <n v="13050"/>
    <n v="121295.47500000001"/>
    <n v="0"/>
    <n v="0"/>
    <n v="0"/>
    <n v="1"/>
    <n v="0"/>
    <n v="0"/>
    <n v="0"/>
    <n v="0"/>
    <n v="0"/>
    <n v="0"/>
    <n v="0"/>
    <n v="0"/>
    <s v="Enligt SP 190924"/>
    <m/>
    <n v="0"/>
    <n v="0"/>
    <n v="0"/>
    <n v="0"/>
    <n v="0"/>
    <n v="0"/>
    <n v="2.25"/>
    <n v="1.9124999999999999"/>
    <n v="0"/>
    <n v="0"/>
    <n v="0"/>
    <n v="0"/>
    <n v="0"/>
    <n v="0"/>
    <n v="0"/>
    <n v="0"/>
    <n v="0"/>
    <n v="0"/>
    <n v="0"/>
    <n v="0"/>
    <n v="0"/>
    <n v="0"/>
    <n v="0"/>
  </r>
  <r>
    <x v="236"/>
    <x v="232"/>
    <m/>
    <x v="6"/>
    <s v="H19"/>
    <x v="2"/>
    <s v="H199-11"/>
    <m/>
    <m/>
    <s v="GYFH"/>
    <m/>
    <n v="150"/>
    <x v="0"/>
    <m/>
    <m/>
    <n v="2"/>
    <n v="0.25"/>
    <n v="0.85"/>
    <n v="0.21249999999999999"/>
    <n v="2193"/>
    <x v="1"/>
    <s v="Sam"/>
    <x v="6"/>
    <n v="23641"/>
    <n v="28786"/>
    <n v="12027.275"/>
    <n v="5800"/>
    <n v="1450"/>
    <n v="13477.275"/>
    <n v="0"/>
    <n v="0"/>
    <n v="0"/>
    <n v="1"/>
    <n v="0"/>
    <n v="0"/>
    <n v="0"/>
    <n v="0"/>
    <n v="0"/>
    <n v="0"/>
    <n v="0"/>
    <n v="0"/>
    <s v="Enligt SP 190924"/>
    <m/>
    <n v="0"/>
    <n v="0"/>
    <n v="0"/>
    <n v="0"/>
    <n v="0"/>
    <n v="0"/>
    <n v="0.25"/>
    <n v="0.21249999999999999"/>
    <n v="0"/>
    <n v="0"/>
    <n v="0"/>
    <n v="0"/>
    <n v="0"/>
    <n v="0"/>
    <n v="0"/>
    <n v="0"/>
    <n v="0"/>
    <n v="0"/>
    <n v="0"/>
    <n v="0"/>
    <n v="0"/>
    <n v="0"/>
    <n v="0"/>
  </r>
  <r>
    <x v="237"/>
    <x v="233"/>
    <m/>
    <x v="7"/>
    <s v="H16"/>
    <x v="1"/>
    <s v="V198-12"/>
    <s v="Umeå"/>
    <m/>
    <m/>
    <m/>
    <n v="100"/>
    <x v="11"/>
    <m/>
    <m/>
    <n v="1"/>
    <n v="0.13333333333333333"/>
    <n v="0.85"/>
    <n v="0.11333333333333333"/>
    <n v="2193"/>
    <x v="1"/>
    <s v="Sam"/>
    <x v="7"/>
    <n v="23641"/>
    <n v="28786"/>
    <n v="6414.5466666666662"/>
    <n v="5800"/>
    <n v="773.33333333333337"/>
    <n v="7187.8799999999992"/>
    <n v="0"/>
    <n v="0"/>
    <n v="0"/>
    <n v="1"/>
    <n v="0"/>
    <n v="0"/>
    <n v="0"/>
    <n v="0"/>
    <n v="0"/>
    <n v="0"/>
    <n v="0"/>
    <n v="0"/>
    <s v="Enl Ladok 190318"/>
    <m/>
    <n v="0"/>
    <n v="0"/>
    <n v="0"/>
    <n v="0"/>
    <n v="0"/>
    <n v="0"/>
    <n v="0.13333333333333333"/>
    <n v="0.11333333333333333"/>
    <n v="0"/>
    <n v="0"/>
    <n v="0"/>
    <n v="0"/>
    <n v="0"/>
    <n v="0"/>
    <n v="0"/>
    <n v="0"/>
    <n v="0"/>
    <n v="0"/>
    <n v="0"/>
    <n v="0"/>
    <n v="0"/>
    <n v="0"/>
    <n v="0"/>
  </r>
  <r>
    <x v="237"/>
    <x v="233"/>
    <m/>
    <x v="7"/>
    <s v="H17"/>
    <x v="1"/>
    <s v="V198-12"/>
    <s v="Umeå"/>
    <m/>
    <m/>
    <m/>
    <n v="100"/>
    <x v="11"/>
    <m/>
    <m/>
    <n v="31"/>
    <n v="4.1333333333333329"/>
    <n v="0.85"/>
    <n v="3.5133333333333328"/>
    <n v="2193"/>
    <x v="1"/>
    <s v="Sam"/>
    <x v="7"/>
    <n v="23641"/>
    <n v="28786"/>
    <n v="198850.94666666663"/>
    <n v="5800"/>
    <n v="23973.333333333332"/>
    <n v="222824.27999999997"/>
    <n v="0"/>
    <n v="0"/>
    <n v="0"/>
    <n v="1"/>
    <n v="0"/>
    <n v="0"/>
    <n v="0"/>
    <n v="0"/>
    <n v="0"/>
    <n v="0"/>
    <n v="0"/>
    <n v="0"/>
    <s v="Enl Ladok 190318"/>
    <m/>
    <n v="0"/>
    <n v="0"/>
    <n v="0"/>
    <n v="0"/>
    <n v="0"/>
    <n v="0"/>
    <n v="4.1333333333333329"/>
    <n v="3.5133333333333328"/>
    <n v="0"/>
    <n v="0"/>
    <n v="0"/>
    <n v="0"/>
    <n v="0"/>
    <n v="0"/>
    <n v="0"/>
    <n v="0"/>
    <n v="0"/>
    <n v="0"/>
    <n v="0"/>
    <n v="0"/>
    <n v="0"/>
    <n v="0"/>
    <n v="0"/>
  </r>
  <r>
    <x v="237"/>
    <x v="233"/>
    <m/>
    <x v="7"/>
    <s v="H17"/>
    <x v="2"/>
    <s v="H198-12"/>
    <m/>
    <m/>
    <m/>
    <m/>
    <n v="100"/>
    <x v="11"/>
    <m/>
    <m/>
    <n v="4"/>
    <n v="0.53333333333333333"/>
    <n v="0.85"/>
    <n v="0.45333333333333331"/>
    <n v="2193"/>
    <x v="1"/>
    <s v="Sam"/>
    <x v="7"/>
    <n v="23641"/>
    <n v="28786"/>
    <n v="25658.186666666665"/>
    <n v="5800"/>
    <n v="3093.3333333333335"/>
    <n v="28751.519999999997"/>
    <n v="0"/>
    <n v="0"/>
    <n v="0"/>
    <n v="1"/>
    <n v="0"/>
    <n v="0"/>
    <n v="0"/>
    <n v="0"/>
    <n v="0"/>
    <n v="0"/>
    <n v="0"/>
    <n v="0"/>
    <s v="Enligt SP 190924"/>
    <m/>
    <n v="0"/>
    <n v="0"/>
    <n v="0"/>
    <n v="0"/>
    <n v="0"/>
    <n v="0"/>
    <n v="0.53333333333333333"/>
    <n v="0.45333333333333331"/>
    <n v="0"/>
    <n v="0"/>
    <n v="0"/>
    <n v="0"/>
    <n v="0"/>
    <n v="0"/>
    <n v="0"/>
    <n v="0"/>
    <n v="0"/>
    <n v="0"/>
    <n v="0"/>
    <n v="0"/>
    <n v="0"/>
    <n v="0"/>
    <n v="0"/>
  </r>
  <r>
    <x v="237"/>
    <x v="233"/>
    <m/>
    <x v="7"/>
    <s v="V17"/>
    <x v="1"/>
    <s v="V198-12"/>
    <s v="Umeå"/>
    <m/>
    <m/>
    <m/>
    <n v="100"/>
    <x v="11"/>
    <m/>
    <m/>
    <n v="3"/>
    <n v="0.4"/>
    <n v="0.85"/>
    <n v="0.34"/>
    <n v="2193"/>
    <x v="1"/>
    <s v="Sam"/>
    <x v="7"/>
    <n v="23641"/>
    <n v="28786"/>
    <n v="19243.64"/>
    <n v="5800"/>
    <n v="2320"/>
    <n v="21563.64"/>
    <n v="0"/>
    <n v="0"/>
    <n v="0"/>
    <n v="1"/>
    <n v="0"/>
    <n v="0"/>
    <n v="0"/>
    <n v="0"/>
    <n v="0"/>
    <n v="0"/>
    <n v="0"/>
    <n v="0"/>
    <s v="Enl Ladok 190318"/>
    <m/>
    <n v="0"/>
    <n v="0"/>
    <n v="0"/>
    <n v="0"/>
    <n v="0"/>
    <n v="0"/>
    <n v="0.4"/>
    <n v="0.34"/>
    <n v="0"/>
    <n v="0"/>
    <n v="0"/>
    <n v="0"/>
    <n v="0"/>
    <n v="0"/>
    <n v="0"/>
    <n v="0"/>
    <n v="0"/>
    <n v="0"/>
    <n v="0"/>
    <n v="0"/>
    <n v="0"/>
    <n v="0"/>
    <n v="0"/>
  </r>
  <r>
    <x v="237"/>
    <x v="233"/>
    <m/>
    <x v="7"/>
    <s v="V18"/>
    <x v="2"/>
    <s v="H198-12"/>
    <s v="Umeå"/>
    <m/>
    <m/>
    <m/>
    <n v="100"/>
    <x v="11"/>
    <m/>
    <m/>
    <n v="23"/>
    <n v="3.0666666666666664"/>
    <n v="0.85"/>
    <n v="2.6066666666666665"/>
    <n v="2193"/>
    <x v="1"/>
    <s v="Sam"/>
    <x v="7"/>
    <n v="23641"/>
    <n v="28786"/>
    <n v="147534.57333333333"/>
    <n v="5800"/>
    <n v="17786.666666666664"/>
    <n v="165321.24"/>
    <n v="0"/>
    <n v="0"/>
    <n v="0"/>
    <n v="1"/>
    <n v="0"/>
    <n v="0"/>
    <n v="0"/>
    <n v="0"/>
    <n v="0"/>
    <n v="0"/>
    <n v="0"/>
    <n v="0"/>
    <s v="Enligt SP 190924"/>
    <m/>
    <n v="0"/>
    <n v="0"/>
    <n v="0"/>
    <n v="0"/>
    <n v="0"/>
    <n v="0"/>
    <n v="3.0666666666666664"/>
    <n v="2.6066666666666665"/>
    <n v="0"/>
    <n v="0"/>
    <n v="0"/>
    <n v="0"/>
    <n v="0"/>
    <n v="0"/>
    <n v="0"/>
    <n v="0"/>
    <n v="0"/>
    <n v="0"/>
    <n v="0"/>
    <n v="0"/>
    <n v="0"/>
    <n v="0"/>
    <n v="0"/>
  </r>
  <r>
    <x v="237"/>
    <x v="233"/>
    <m/>
    <x v="7"/>
    <s v="V18"/>
    <x v="2"/>
    <s v="H198-12"/>
    <s v="Ö-vik"/>
    <m/>
    <m/>
    <m/>
    <n v="100"/>
    <x v="11"/>
    <m/>
    <m/>
    <n v="16"/>
    <n v="2.1333333333333333"/>
    <n v="0.85"/>
    <n v="1.8133333333333332"/>
    <n v="2193"/>
    <x v="1"/>
    <s v="Sam"/>
    <x v="7"/>
    <n v="23641"/>
    <n v="28786"/>
    <n v="102632.74666666666"/>
    <n v="5800"/>
    <n v="12373.333333333334"/>
    <n v="115006.07999999999"/>
    <n v="0"/>
    <n v="0"/>
    <n v="0"/>
    <n v="1"/>
    <n v="0"/>
    <n v="0"/>
    <n v="0"/>
    <n v="0"/>
    <n v="0"/>
    <n v="0"/>
    <n v="0"/>
    <n v="0"/>
    <s v="Enligt SP 190924"/>
    <m/>
    <n v="0"/>
    <n v="0"/>
    <n v="0"/>
    <n v="0"/>
    <n v="0"/>
    <n v="0"/>
    <n v="2.1333333333333333"/>
    <n v="1.8133333333333332"/>
    <n v="0"/>
    <n v="0"/>
    <n v="0"/>
    <n v="0"/>
    <n v="0"/>
    <n v="0"/>
    <n v="0"/>
    <n v="0"/>
    <n v="0"/>
    <n v="0"/>
    <n v="0"/>
    <n v="0"/>
    <n v="0"/>
    <n v="0"/>
    <n v="0"/>
  </r>
  <r>
    <x v="238"/>
    <x v="234"/>
    <m/>
    <x v="7"/>
    <s v="H16"/>
    <x v="1"/>
    <s v="V1913-16"/>
    <s v="Umeå"/>
    <m/>
    <m/>
    <m/>
    <n v="100"/>
    <x v="2"/>
    <m/>
    <m/>
    <n v="1"/>
    <n v="0.1"/>
    <n v="0.85"/>
    <n v="8.5000000000000006E-2"/>
    <n v="2193"/>
    <x v="1"/>
    <s v="Sam"/>
    <x v="7"/>
    <n v="23641"/>
    <n v="28786"/>
    <n v="4810.91"/>
    <n v="5800"/>
    <n v="580"/>
    <n v="5390.91"/>
    <n v="0"/>
    <n v="0"/>
    <n v="0"/>
    <n v="1"/>
    <n v="0"/>
    <n v="0"/>
    <n v="0"/>
    <n v="0"/>
    <n v="0"/>
    <n v="0"/>
    <n v="0"/>
    <n v="0"/>
    <s v="Enl Ladok 190523"/>
    <m/>
    <n v="0"/>
    <n v="0"/>
    <n v="0"/>
    <n v="0"/>
    <n v="0"/>
    <n v="0"/>
    <n v="0.1"/>
    <n v="8.5000000000000006E-2"/>
    <n v="0"/>
    <n v="0"/>
    <n v="0"/>
    <n v="0"/>
    <n v="0"/>
    <n v="0"/>
    <n v="0"/>
    <n v="0"/>
    <n v="0"/>
    <n v="0"/>
    <n v="0"/>
    <n v="0"/>
    <n v="0"/>
    <n v="0"/>
    <n v="0"/>
  </r>
  <r>
    <x v="238"/>
    <x v="234"/>
    <m/>
    <x v="7"/>
    <s v="H17"/>
    <x v="1"/>
    <s v="V1913-16"/>
    <s v="Umeå"/>
    <m/>
    <m/>
    <m/>
    <n v="100"/>
    <x v="2"/>
    <m/>
    <m/>
    <n v="34"/>
    <n v="3.4000000000000004"/>
    <n v="0.85"/>
    <n v="2.89"/>
    <n v="2193"/>
    <x v="1"/>
    <s v="Sam"/>
    <x v="7"/>
    <n v="23641"/>
    <n v="28786"/>
    <n v="163570.94"/>
    <n v="5800"/>
    <n v="19720.000000000004"/>
    <n v="183290.94"/>
    <n v="0"/>
    <n v="0"/>
    <n v="0"/>
    <n v="1"/>
    <n v="0"/>
    <n v="0"/>
    <n v="0"/>
    <n v="0"/>
    <n v="0"/>
    <n v="0"/>
    <n v="0"/>
    <n v="0"/>
    <s v="Enl Ladok 190523"/>
    <m/>
    <n v="0"/>
    <n v="0"/>
    <n v="0"/>
    <n v="0"/>
    <n v="0"/>
    <n v="0"/>
    <n v="3.4000000000000004"/>
    <n v="2.89"/>
    <n v="0"/>
    <n v="0"/>
    <n v="0"/>
    <n v="0"/>
    <n v="0"/>
    <n v="0"/>
    <n v="0"/>
    <n v="0"/>
    <n v="0"/>
    <n v="0"/>
    <n v="0"/>
    <n v="0"/>
    <n v="0"/>
    <n v="0"/>
    <n v="0"/>
  </r>
  <r>
    <x v="238"/>
    <x v="234"/>
    <m/>
    <x v="7"/>
    <s v="H17"/>
    <x v="2"/>
    <s v="H1913-16"/>
    <m/>
    <m/>
    <m/>
    <m/>
    <n v="100"/>
    <x v="2"/>
    <m/>
    <m/>
    <n v="4"/>
    <n v="0.4"/>
    <n v="0.85"/>
    <n v="0.34"/>
    <n v="2193"/>
    <x v="1"/>
    <s v="Sam"/>
    <x v="7"/>
    <n v="23641"/>
    <n v="28786"/>
    <n v="19243.64"/>
    <n v="5800"/>
    <n v="2320"/>
    <n v="21563.64"/>
    <n v="0"/>
    <n v="0"/>
    <n v="0"/>
    <n v="1"/>
    <n v="0"/>
    <n v="0"/>
    <n v="0"/>
    <n v="0"/>
    <n v="0"/>
    <n v="0"/>
    <n v="0"/>
    <n v="0"/>
    <s v="Enligt SP 190924"/>
    <m/>
    <n v="0"/>
    <n v="0"/>
    <n v="0"/>
    <n v="0"/>
    <n v="0"/>
    <n v="0"/>
    <n v="0.4"/>
    <n v="0.34"/>
    <n v="0"/>
    <n v="0"/>
    <n v="0"/>
    <n v="0"/>
    <n v="0"/>
    <n v="0"/>
    <n v="0"/>
    <n v="0"/>
    <n v="0"/>
    <n v="0"/>
    <n v="0"/>
    <n v="0"/>
    <n v="0"/>
    <n v="0"/>
    <n v="0"/>
  </r>
  <r>
    <x v="238"/>
    <x v="234"/>
    <m/>
    <x v="7"/>
    <s v="V18"/>
    <x v="2"/>
    <s v="H1913-16"/>
    <s v="Umeå"/>
    <m/>
    <m/>
    <m/>
    <n v="100"/>
    <x v="2"/>
    <m/>
    <m/>
    <n v="23"/>
    <n v="2.3000000000000003"/>
    <n v="0.85"/>
    <n v="1.9550000000000001"/>
    <n v="2193"/>
    <x v="1"/>
    <s v="Sam"/>
    <x v="7"/>
    <n v="23641"/>
    <n v="28786"/>
    <n v="110650.93000000001"/>
    <n v="5800"/>
    <n v="13340.000000000002"/>
    <n v="123990.93000000001"/>
    <n v="0"/>
    <n v="0"/>
    <n v="0"/>
    <n v="1"/>
    <n v="0"/>
    <n v="0"/>
    <n v="0"/>
    <n v="0"/>
    <n v="0"/>
    <n v="0"/>
    <n v="0"/>
    <n v="0"/>
    <s v="Enligt SP 190924"/>
    <m/>
    <n v="0"/>
    <n v="0"/>
    <n v="0"/>
    <n v="0"/>
    <n v="0"/>
    <n v="0"/>
    <n v="2.3000000000000003"/>
    <n v="1.9550000000000001"/>
    <n v="0"/>
    <n v="0"/>
    <n v="0"/>
    <n v="0"/>
    <n v="0"/>
    <n v="0"/>
    <n v="0"/>
    <n v="0"/>
    <n v="0"/>
    <n v="0"/>
    <n v="0"/>
    <n v="0"/>
    <n v="0"/>
    <n v="0"/>
    <n v="0"/>
  </r>
  <r>
    <x v="238"/>
    <x v="234"/>
    <m/>
    <x v="7"/>
    <s v="V18"/>
    <x v="2"/>
    <s v="H1913-16"/>
    <s v="Ö-vik"/>
    <m/>
    <m/>
    <m/>
    <n v="100"/>
    <x v="2"/>
    <m/>
    <m/>
    <n v="16"/>
    <n v="1.6"/>
    <n v="0.85"/>
    <n v="1.36"/>
    <n v="2193"/>
    <x v="1"/>
    <s v="Sam"/>
    <x v="7"/>
    <n v="23641"/>
    <n v="28786"/>
    <n v="76974.559999999998"/>
    <n v="5800"/>
    <n v="9280"/>
    <n v="86254.56"/>
    <n v="0"/>
    <n v="0"/>
    <n v="0"/>
    <n v="1"/>
    <n v="0"/>
    <n v="0"/>
    <n v="0"/>
    <n v="0"/>
    <n v="0"/>
    <n v="0"/>
    <n v="0"/>
    <n v="0"/>
    <s v="Enligt SP 190924"/>
    <m/>
    <n v="0"/>
    <n v="0"/>
    <n v="0"/>
    <n v="0"/>
    <n v="0"/>
    <n v="0"/>
    <n v="1.6"/>
    <n v="1.36"/>
    <n v="0"/>
    <n v="0"/>
    <n v="0"/>
    <n v="0"/>
    <n v="0"/>
    <n v="0"/>
    <n v="0"/>
    <n v="0"/>
    <n v="0"/>
    <n v="0"/>
    <n v="0"/>
    <n v="0"/>
    <n v="0"/>
    <n v="0"/>
    <n v="0"/>
  </r>
  <r>
    <x v="239"/>
    <x v="235"/>
    <m/>
    <x v="0"/>
    <m/>
    <x v="1"/>
    <m/>
    <m/>
    <s v="Campus"/>
    <m/>
    <m/>
    <n v="100"/>
    <x v="9"/>
    <m/>
    <m/>
    <n v="3"/>
    <n v="0.25"/>
    <n v="0.8"/>
    <n v="0.2"/>
    <n v="2180"/>
    <x v="0"/>
    <s v="Sam"/>
    <x v="0"/>
    <n v="23641"/>
    <n v="28786"/>
    <n v="11667.45"/>
    <n v="5800"/>
    <n v="1450"/>
    <n v="13117.45"/>
    <n v="0"/>
    <n v="0"/>
    <n v="0"/>
    <n v="1"/>
    <n v="0"/>
    <n v="0"/>
    <n v="0"/>
    <n v="0"/>
    <n v="0"/>
    <n v="0"/>
    <n v="0"/>
    <n v="0"/>
    <s v="Enl Ladok 190515"/>
    <s v="Äskat - Beslut p43 180607"/>
    <n v="0"/>
    <n v="0"/>
    <n v="0"/>
    <n v="0"/>
    <n v="0"/>
    <n v="0"/>
    <n v="0.25"/>
    <n v="0.2"/>
    <n v="0"/>
    <n v="0"/>
    <n v="0"/>
    <n v="0"/>
    <n v="0"/>
    <n v="0"/>
    <n v="0"/>
    <n v="0"/>
    <n v="0"/>
    <n v="0"/>
    <n v="0"/>
    <n v="0"/>
    <n v="0"/>
    <n v="0"/>
    <n v="0"/>
  </r>
  <r>
    <x v="239"/>
    <x v="235"/>
    <m/>
    <x v="8"/>
    <s v="H17"/>
    <x v="2"/>
    <s v="H1913-15"/>
    <m/>
    <m/>
    <m/>
    <m/>
    <n v="100"/>
    <x v="9"/>
    <m/>
    <m/>
    <n v="14"/>
    <n v="1.1666666666666665"/>
    <n v="0.85"/>
    <n v="0.99166666666666647"/>
    <n v="2180"/>
    <x v="0"/>
    <s v="Sam"/>
    <x v="8"/>
    <n v="23641"/>
    <n v="28786"/>
    <n v="56127.283333333326"/>
    <n v="5800"/>
    <n v="6766.6666666666661"/>
    <n v="62893.94999999999"/>
    <n v="0"/>
    <n v="0"/>
    <n v="0"/>
    <n v="1"/>
    <n v="0"/>
    <n v="0"/>
    <n v="0"/>
    <n v="0"/>
    <n v="0"/>
    <n v="0"/>
    <n v="0"/>
    <n v="0"/>
    <s v="Enligt SP 190924"/>
    <m/>
    <n v="0"/>
    <n v="0"/>
    <n v="0"/>
    <n v="0"/>
    <n v="0"/>
    <n v="0"/>
    <n v="1.1666666666666665"/>
    <n v="0.99166666666666647"/>
    <n v="0"/>
    <n v="0"/>
    <n v="0"/>
    <n v="0"/>
    <n v="0"/>
    <n v="0"/>
    <n v="0"/>
    <n v="0"/>
    <n v="0"/>
    <n v="0"/>
    <n v="0"/>
    <n v="0"/>
    <n v="0"/>
    <n v="0"/>
    <n v="0"/>
  </r>
  <r>
    <x v="239"/>
    <x v="235"/>
    <m/>
    <x v="2"/>
    <s v="H17"/>
    <x v="1"/>
    <s v="V1918-20"/>
    <s v="Umeå"/>
    <m/>
    <m/>
    <m/>
    <n v="100"/>
    <x v="9"/>
    <m/>
    <m/>
    <n v="1"/>
    <n v="8.3333333333333329E-2"/>
    <n v="0.85"/>
    <n v="7.0833333333333331E-2"/>
    <n v="2180"/>
    <x v="0"/>
    <s v="Sam"/>
    <x v="2"/>
    <n v="23641"/>
    <n v="28786"/>
    <n v="4009.0916666666662"/>
    <n v="5800"/>
    <n v="483.33333333333331"/>
    <n v="4492.4249999999993"/>
    <n v="0"/>
    <n v="0"/>
    <n v="0"/>
    <n v="1"/>
    <n v="0"/>
    <n v="0"/>
    <n v="0"/>
    <n v="0"/>
    <n v="0"/>
    <n v="0"/>
    <n v="0"/>
    <n v="0"/>
    <s v="Enl Ladok 190523"/>
    <m/>
    <n v="0"/>
    <n v="0"/>
    <n v="0"/>
    <n v="0"/>
    <n v="0"/>
    <n v="0"/>
    <n v="8.3333333333333329E-2"/>
    <n v="7.0833333333333331E-2"/>
    <n v="0"/>
    <n v="0"/>
    <n v="0"/>
    <n v="0"/>
    <n v="0"/>
    <n v="0"/>
    <n v="0"/>
    <n v="0"/>
    <n v="0"/>
    <n v="0"/>
    <n v="0"/>
    <n v="0"/>
    <n v="0"/>
    <n v="0"/>
    <n v="0"/>
  </r>
  <r>
    <x v="239"/>
    <x v="235"/>
    <m/>
    <x v="2"/>
    <s v="H17"/>
    <x v="1"/>
    <s v="V1918-20"/>
    <s v="Umeå"/>
    <m/>
    <m/>
    <m/>
    <n v="100"/>
    <x v="9"/>
    <m/>
    <m/>
    <n v="33"/>
    <n v="2.75"/>
    <n v="0.85"/>
    <n v="2.3374999999999999"/>
    <n v="2180"/>
    <x v="0"/>
    <s v="Sam"/>
    <x v="2"/>
    <n v="23641"/>
    <n v="28786"/>
    <n v="132300.02499999999"/>
    <n v="5800"/>
    <n v="15950"/>
    <n v="148250.02499999999"/>
    <n v="0"/>
    <n v="0"/>
    <n v="0"/>
    <n v="1"/>
    <n v="0"/>
    <n v="0"/>
    <n v="0"/>
    <n v="0"/>
    <n v="0"/>
    <n v="0"/>
    <n v="0"/>
    <n v="0"/>
    <s v="Enl Ladok 190523"/>
    <m/>
    <n v="0"/>
    <n v="0"/>
    <n v="0"/>
    <n v="0"/>
    <n v="0"/>
    <n v="0"/>
    <n v="2.75"/>
    <n v="2.3374999999999999"/>
    <n v="0"/>
    <n v="0"/>
    <n v="0"/>
    <n v="0"/>
    <n v="0"/>
    <n v="0"/>
    <n v="0"/>
    <n v="0"/>
    <n v="0"/>
    <n v="0"/>
    <n v="0"/>
    <n v="0"/>
    <n v="0"/>
    <n v="0"/>
    <n v="0"/>
  </r>
  <r>
    <x v="239"/>
    <x v="235"/>
    <m/>
    <x v="3"/>
    <s v="H12"/>
    <x v="1"/>
    <s v="V1918-20"/>
    <s v="Umeå"/>
    <m/>
    <m/>
    <m/>
    <n v="100"/>
    <x v="9"/>
    <m/>
    <m/>
    <n v="1"/>
    <n v="8.3333333333333329E-2"/>
    <n v="0.85"/>
    <n v="7.0833333333333331E-2"/>
    <n v="2180"/>
    <x v="0"/>
    <s v="Sam"/>
    <x v="3"/>
    <n v="23641"/>
    <n v="28786"/>
    <n v="4009.0916666666662"/>
    <n v="5800"/>
    <n v="483.33333333333331"/>
    <n v="4492.4249999999993"/>
    <n v="0"/>
    <n v="0"/>
    <n v="0"/>
    <n v="1"/>
    <n v="0"/>
    <n v="0"/>
    <n v="0"/>
    <n v="0"/>
    <n v="0"/>
    <n v="0"/>
    <n v="0"/>
    <n v="0"/>
    <s v="Enl Ladok 190523"/>
    <m/>
    <n v="0"/>
    <n v="0"/>
    <n v="0"/>
    <n v="0"/>
    <n v="0"/>
    <n v="0"/>
    <n v="8.3333333333333329E-2"/>
    <n v="7.0833333333333331E-2"/>
    <n v="0"/>
    <n v="0"/>
    <n v="0"/>
    <n v="0"/>
    <n v="0"/>
    <n v="0"/>
    <n v="0"/>
    <n v="0"/>
    <n v="0"/>
    <n v="0"/>
    <n v="0"/>
    <n v="0"/>
    <n v="0"/>
    <n v="0"/>
    <n v="0"/>
  </r>
  <r>
    <x v="239"/>
    <x v="235"/>
    <m/>
    <x v="3"/>
    <s v="H16"/>
    <x v="1"/>
    <s v="V1918-20"/>
    <s v="Umeå"/>
    <m/>
    <m/>
    <m/>
    <n v="100"/>
    <x v="9"/>
    <m/>
    <m/>
    <n v="1"/>
    <n v="8.3333333333333329E-2"/>
    <n v="0.85"/>
    <n v="7.0833333333333331E-2"/>
    <n v="2180"/>
    <x v="0"/>
    <s v="Sam"/>
    <x v="3"/>
    <n v="23641"/>
    <n v="28786"/>
    <n v="4009.0916666666662"/>
    <n v="5800"/>
    <n v="483.33333333333331"/>
    <n v="4492.4249999999993"/>
    <n v="0"/>
    <n v="0"/>
    <n v="0"/>
    <n v="1"/>
    <n v="0"/>
    <n v="0"/>
    <n v="0"/>
    <n v="0"/>
    <n v="0"/>
    <n v="0"/>
    <n v="0"/>
    <n v="0"/>
    <s v="Enl Ladok 190523"/>
    <m/>
    <n v="0"/>
    <n v="0"/>
    <n v="0"/>
    <n v="0"/>
    <n v="0"/>
    <n v="0"/>
    <n v="8.3333333333333329E-2"/>
    <n v="7.0833333333333331E-2"/>
    <n v="0"/>
    <n v="0"/>
    <n v="0"/>
    <n v="0"/>
    <n v="0"/>
    <n v="0"/>
    <n v="0"/>
    <n v="0"/>
    <n v="0"/>
    <n v="0"/>
    <n v="0"/>
    <n v="0"/>
    <n v="0"/>
    <n v="0"/>
    <n v="0"/>
  </r>
  <r>
    <x v="239"/>
    <x v="235"/>
    <m/>
    <x v="3"/>
    <s v="H17"/>
    <x v="1"/>
    <s v="V1918-20"/>
    <s v="Umeå"/>
    <m/>
    <m/>
    <m/>
    <n v="100"/>
    <x v="9"/>
    <m/>
    <m/>
    <n v="32"/>
    <n v="2.6666666666666665"/>
    <n v="0.85"/>
    <n v="2.2666666666666666"/>
    <n v="2180"/>
    <x v="0"/>
    <s v="Sam"/>
    <x v="3"/>
    <n v="23641"/>
    <n v="28786"/>
    <n v="128290.93333333332"/>
    <n v="5800"/>
    <n v="15466.666666666666"/>
    <n v="143757.59999999998"/>
    <n v="0"/>
    <n v="0"/>
    <n v="0"/>
    <n v="1"/>
    <n v="0"/>
    <n v="0"/>
    <n v="0"/>
    <n v="0"/>
    <n v="0"/>
    <n v="0"/>
    <n v="0"/>
    <n v="0"/>
    <s v="Enl Ladok 190523"/>
    <m/>
    <n v="0"/>
    <n v="0"/>
    <n v="0"/>
    <n v="0"/>
    <n v="0"/>
    <n v="0"/>
    <n v="2.6666666666666665"/>
    <n v="2.2666666666666666"/>
    <n v="0"/>
    <n v="0"/>
    <n v="0"/>
    <n v="0"/>
    <n v="0"/>
    <n v="0"/>
    <n v="0"/>
    <n v="0"/>
    <n v="0"/>
    <n v="0"/>
    <n v="0"/>
    <n v="0"/>
    <n v="0"/>
    <n v="0"/>
    <n v="0"/>
  </r>
  <r>
    <x v="240"/>
    <x v="236"/>
    <m/>
    <x v="0"/>
    <m/>
    <x v="2"/>
    <m/>
    <m/>
    <s v="Campus"/>
    <m/>
    <m/>
    <n v="100"/>
    <x v="9"/>
    <m/>
    <m/>
    <n v="5"/>
    <n v="0.41666666666666663"/>
    <n v="0.8"/>
    <n v="0.33333333333333331"/>
    <n v="2180"/>
    <x v="0"/>
    <s v="Sam"/>
    <x v="0"/>
    <n v="23641"/>
    <n v="28786"/>
    <n v="19445.75"/>
    <n v="5800"/>
    <n v="2416.6666666666665"/>
    <n v="21862.416666666668"/>
    <n v="0"/>
    <n v="0"/>
    <n v="0"/>
    <n v="1"/>
    <n v="0"/>
    <n v="0"/>
    <n v="0"/>
    <n v="0"/>
    <n v="0"/>
    <n v="0"/>
    <n v="0"/>
    <n v="0"/>
    <s v="Äskat - Beslut p43 180607"/>
    <m/>
    <n v="0"/>
    <n v="0"/>
    <n v="0"/>
    <n v="0"/>
    <n v="0"/>
    <n v="0"/>
    <n v="0.41666666666666663"/>
    <n v="0.33333333333333331"/>
    <n v="0"/>
    <n v="0"/>
    <n v="0"/>
    <n v="0"/>
    <n v="0"/>
    <n v="0"/>
    <n v="0"/>
    <n v="0"/>
    <n v="0"/>
    <n v="0"/>
    <n v="0"/>
    <n v="0"/>
    <n v="0"/>
    <n v="0"/>
    <n v="0"/>
  </r>
  <r>
    <x v="240"/>
    <x v="236"/>
    <m/>
    <x v="4"/>
    <s v="H17"/>
    <x v="2"/>
    <s v="H1917-20"/>
    <m/>
    <m/>
    <s v="TXBI"/>
    <m/>
    <n v="100"/>
    <x v="9"/>
    <m/>
    <m/>
    <n v="4"/>
    <n v="0.33333333333333331"/>
    <n v="0.85"/>
    <n v="0.28333333333333333"/>
    <n v="2180"/>
    <x v="0"/>
    <s v="Sam"/>
    <x v="4"/>
    <n v="23641"/>
    <n v="28786"/>
    <n v="16036.366666666665"/>
    <n v="5800"/>
    <n v="1933.3333333333333"/>
    <n v="17969.699999999997"/>
    <n v="0"/>
    <n v="0"/>
    <n v="0"/>
    <n v="1"/>
    <n v="0"/>
    <n v="0"/>
    <n v="0"/>
    <n v="0"/>
    <n v="0"/>
    <n v="0"/>
    <n v="0"/>
    <n v="0"/>
    <s v="Enligt SP 190924"/>
    <m/>
    <n v="0"/>
    <n v="0"/>
    <n v="0"/>
    <n v="0"/>
    <n v="0"/>
    <n v="0"/>
    <n v="0.33333333333333331"/>
    <n v="0.28333333333333333"/>
    <n v="0"/>
    <n v="0"/>
    <n v="0"/>
    <n v="0"/>
    <n v="0"/>
    <n v="0"/>
    <n v="0"/>
    <n v="0"/>
    <n v="0"/>
    <n v="0"/>
    <n v="0"/>
    <n v="0"/>
    <n v="0"/>
    <n v="0"/>
    <n v="0"/>
  </r>
  <r>
    <x v="240"/>
    <x v="236"/>
    <m/>
    <x v="1"/>
    <s v="H15"/>
    <x v="2"/>
    <s v="H1917-20"/>
    <m/>
    <m/>
    <s v="ENGS"/>
    <m/>
    <n v="100"/>
    <x v="9"/>
    <m/>
    <m/>
    <n v="1"/>
    <n v="8.3333333333333329E-2"/>
    <n v="0.85"/>
    <n v="7.0833333333333331E-2"/>
    <n v="2180"/>
    <x v="0"/>
    <s v="Sam"/>
    <x v="1"/>
    <n v="23641"/>
    <n v="28786"/>
    <n v="4009.0916666666662"/>
    <n v="5800"/>
    <n v="483.33333333333331"/>
    <n v="4492.4249999999993"/>
    <n v="0"/>
    <n v="0"/>
    <n v="0"/>
    <n v="1"/>
    <n v="0"/>
    <n v="0"/>
    <n v="0"/>
    <n v="0"/>
    <n v="0"/>
    <n v="0"/>
    <n v="0"/>
    <n v="0"/>
    <s v="Enligt SP 190924"/>
    <m/>
    <n v="0"/>
    <n v="0"/>
    <n v="0"/>
    <n v="0"/>
    <n v="0"/>
    <n v="0"/>
    <n v="8.3333333333333329E-2"/>
    <n v="7.0833333333333331E-2"/>
    <n v="0"/>
    <n v="0"/>
    <n v="0"/>
    <n v="0"/>
    <n v="0"/>
    <n v="0"/>
    <n v="0"/>
    <n v="0"/>
    <n v="0"/>
    <n v="0"/>
    <n v="0"/>
    <n v="0"/>
    <n v="0"/>
    <n v="0"/>
    <n v="0"/>
  </r>
  <r>
    <x v="240"/>
    <x v="236"/>
    <m/>
    <x v="1"/>
    <s v="H15"/>
    <x v="2"/>
    <s v="H1917-20"/>
    <m/>
    <m/>
    <s v="MATT"/>
    <m/>
    <n v="100"/>
    <x v="9"/>
    <m/>
    <m/>
    <n v="2"/>
    <n v="0.16666666666666666"/>
    <n v="0.85"/>
    <n v="0.14166666666666666"/>
    <n v="2180"/>
    <x v="0"/>
    <s v="Sam"/>
    <x v="1"/>
    <n v="23641"/>
    <n v="28786"/>
    <n v="8018.1833333333325"/>
    <n v="5800"/>
    <n v="966.66666666666663"/>
    <n v="8984.8499999999985"/>
    <n v="0"/>
    <n v="0"/>
    <n v="0"/>
    <n v="1"/>
    <n v="0"/>
    <n v="0"/>
    <n v="0"/>
    <n v="0"/>
    <n v="0"/>
    <n v="0"/>
    <n v="0"/>
    <n v="0"/>
    <s v="Enligt SP 190924"/>
    <m/>
    <n v="0"/>
    <n v="0"/>
    <n v="0"/>
    <n v="0"/>
    <n v="0"/>
    <n v="0"/>
    <n v="0.16666666666666666"/>
    <n v="0.14166666666666666"/>
    <n v="0"/>
    <n v="0"/>
    <n v="0"/>
    <n v="0"/>
    <n v="0"/>
    <n v="0"/>
    <n v="0"/>
    <n v="0"/>
    <n v="0"/>
    <n v="0"/>
    <n v="0"/>
    <n v="0"/>
    <n v="0"/>
    <n v="0"/>
    <n v="0"/>
  </r>
  <r>
    <x v="240"/>
    <x v="236"/>
    <m/>
    <x v="1"/>
    <s v="H16"/>
    <x v="2"/>
    <s v="H1917-20"/>
    <m/>
    <m/>
    <s v="MATT"/>
    <m/>
    <n v="100"/>
    <x v="9"/>
    <m/>
    <m/>
    <n v="3"/>
    <n v="0.25"/>
    <n v="0.85"/>
    <n v="0.21249999999999999"/>
    <n v="2180"/>
    <x v="0"/>
    <s v="Sam"/>
    <x v="1"/>
    <n v="23641"/>
    <n v="28786"/>
    <n v="12027.275"/>
    <n v="5800"/>
    <n v="1450"/>
    <n v="13477.275"/>
    <n v="0"/>
    <n v="0"/>
    <n v="0"/>
    <n v="1"/>
    <n v="0"/>
    <n v="0"/>
    <n v="0"/>
    <n v="0"/>
    <n v="0"/>
    <n v="0"/>
    <n v="0"/>
    <n v="0"/>
    <s v="Enligt SP 190924"/>
    <m/>
    <n v="0"/>
    <n v="0"/>
    <n v="0"/>
    <n v="0"/>
    <n v="0"/>
    <n v="0"/>
    <n v="0.25"/>
    <n v="0.21249999999999999"/>
    <n v="0"/>
    <n v="0"/>
    <n v="0"/>
    <n v="0"/>
    <n v="0"/>
    <n v="0"/>
    <n v="0"/>
    <n v="0"/>
    <n v="0"/>
    <n v="0"/>
    <n v="0"/>
    <n v="0"/>
    <n v="0"/>
    <n v="0"/>
    <n v="0"/>
  </r>
  <r>
    <x v="240"/>
    <x v="236"/>
    <m/>
    <x v="1"/>
    <s v="H16"/>
    <x v="2"/>
    <s v="H1917-20"/>
    <m/>
    <m/>
    <s v="MUSI"/>
    <m/>
    <n v="100"/>
    <x v="9"/>
    <m/>
    <m/>
    <n v="1"/>
    <n v="8.3333333333333329E-2"/>
    <n v="0.85"/>
    <n v="7.0833333333333331E-2"/>
    <n v="2180"/>
    <x v="0"/>
    <s v="Sam"/>
    <x v="1"/>
    <n v="23641"/>
    <n v="28786"/>
    <n v="4009.0916666666662"/>
    <n v="5800"/>
    <n v="483.33333333333331"/>
    <n v="4492.4249999999993"/>
    <n v="0"/>
    <n v="0"/>
    <n v="0"/>
    <n v="1"/>
    <n v="0"/>
    <n v="0"/>
    <n v="0"/>
    <n v="0"/>
    <n v="0"/>
    <n v="0"/>
    <n v="0"/>
    <n v="0"/>
    <s v="Enligt SP 190924"/>
    <m/>
    <n v="0"/>
    <n v="0"/>
    <n v="0"/>
    <n v="0"/>
    <n v="0"/>
    <n v="0"/>
    <n v="8.3333333333333329E-2"/>
    <n v="7.0833333333333331E-2"/>
    <n v="0"/>
    <n v="0"/>
    <n v="0"/>
    <n v="0"/>
    <n v="0"/>
    <n v="0"/>
    <n v="0"/>
    <n v="0"/>
    <n v="0"/>
    <n v="0"/>
    <n v="0"/>
    <n v="0"/>
    <n v="0"/>
    <n v="0"/>
    <n v="0"/>
  </r>
  <r>
    <x v="240"/>
    <x v="236"/>
    <m/>
    <x v="1"/>
    <s v="H16"/>
    <x v="2"/>
    <s v="H1917-20"/>
    <m/>
    <m/>
    <s v="RELK"/>
    <m/>
    <n v="100"/>
    <x v="9"/>
    <m/>
    <m/>
    <n v="1"/>
    <n v="8.3333333333333329E-2"/>
    <n v="0.85"/>
    <n v="7.0833333333333331E-2"/>
    <n v="2180"/>
    <x v="0"/>
    <s v="Sam"/>
    <x v="1"/>
    <n v="23641"/>
    <n v="28786"/>
    <n v="4009.0916666666662"/>
    <n v="5800"/>
    <n v="483.33333333333331"/>
    <n v="4492.4249999999993"/>
    <n v="0"/>
    <n v="0"/>
    <n v="0"/>
    <n v="1"/>
    <n v="0"/>
    <n v="0"/>
    <n v="0"/>
    <n v="0"/>
    <n v="0"/>
    <n v="0"/>
    <n v="0"/>
    <n v="0"/>
    <s v="Enligt SP 190924"/>
    <m/>
    <n v="0"/>
    <n v="0"/>
    <n v="0"/>
    <n v="0"/>
    <n v="0"/>
    <n v="0"/>
    <n v="8.3333333333333329E-2"/>
    <n v="7.0833333333333331E-2"/>
    <n v="0"/>
    <n v="0"/>
    <n v="0"/>
    <n v="0"/>
    <n v="0"/>
    <n v="0"/>
    <n v="0"/>
    <n v="0"/>
    <n v="0"/>
    <n v="0"/>
    <n v="0"/>
    <n v="0"/>
    <n v="0"/>
    <n v="0"/>
    <n v="0"/>
  </r>
  <r>
    <x v="240"/>
    <x v="236"/>
    <m/>
    <x v="1"/>
    <s v="H16"/>
    <x v="2"/>
    <s v="H1917-20"/>
    <m/>
    <m/>
    <s v="SAMK"/>
    <m/>
    <n v="100"/>
    <x v="9"/>
    <m/>
    <m/>
    <n v="1"/>
    <n v="8.3333333333333329E-2"/>
    <n v="0.85"/>
    <n v="7.0833333333333331E-2"/>
    <n v="2180"/>
    <x v="0"/>
    <s v="Sam"/>
    <x v="1"/>
    <n v="23641"/>
    <n v="28786"/>
    <n v="4009.0916666666662"/>
    <n v="5800"/>
    <n v="483.33333333333331"/>
    <n v="4492.4249999999993"/>
    <n v="0"/>
    <n v="0"/>
    <n v="0"/>
    <n v="1"/>
    <n v="0"/>
    <n v="0"/>
    <n v="0"/>
    <n v="0"/>
    <n v="0"/>
    <n v="0"/>
    <n v="0"/>
    <n v="0"/>
    <s v="Enligt SP 190924"/>
    <m/>
    <n v="0"/>
    <n v="0"/>
    <n v="0"/>
    <n v="0"/>
    <n v="0"/>
    <n v="0"/>
    <n v="8.3333333333333329E-2"/>
    <n v="7.0833333333333331E-2"/>
    <n v="0"/>
    <n v="0"/>
    <n v="0"/>
    <n v="0"/>
    <n v="0"/>
    <n v="0"/>
    <n v="0"/>
    <n v="0"/>
    <n v="0"/>
    <n v="0"/>
    <n v="0"/>
    <n v="0"/>
    <n v="0"/>
    <n v="0"/>
    <n v="0"/>
  </r>
  <r>
    <x v="240"/>
    <x v="236"/>
    <m/>
    <x v="1"/>
    <s v="H17"/>
    <x v="2"/>
    <s v="H1917-20"/>
    <m/>
    <m/>
    <s v="BIOL"/>
    <m/>
    <n v="100"/>
    <x v="9"/>
    <m/>
    <m/>
    <n v="1"/>
    <n v="8.3333333333333329E-2"/>
    <n v="0.85"/>
    <n v="7.0833333333333331E-2"/>
    <n v="2180"/>
    <x v="0"/>
    <s v="Sam"/>
    <x v="1"/>
    <n v="23641"/>
    <n v="28786"/>
    <n v="4009.0916666666662"/>
    <n v="5800"/>
    <n v="483.33333333333331"/>
    <n v="4492.4249999999993"/>
    <n v="0"/>
    <n v="0"/>
    <n v="0"/>
    <n v="1"/>
    <n v="0"/>
    <n v="0"/>
    <n v="0"/>
    <n v="0"/>
    <n v="0"/>
    <n v="0"/>
    <n v="0"/>
    <n v="0"/>
    <s v="Enligt SP 190924"/>
    <m/>
    <n v="0"/>
    <n v="0"/>
    <n v="0"/>
    <n v="0"/>
    <n v="0"/>
    <n v="0"/>
    <n v="8.3333333333333329E-2"/>
    <n v="7.0833333333333331E-2"/>
    <n v="0"/>
    <n v="0"/>
    <n v="0"/>
    <n v="0"/>
    <n v="0"/>
    <n v="0"/>
    <n v="0"/>
    <n v="0"/>
    <n v="0"/>
    <n v="0"/>
    <n v="0"/>
    <n v="0"/>
    <n v="0"/>
    <n v="0"/>
    <n v="0"/>
  </r>
  <r>
    <x v="240"/>
    <x v="236"/>
    <m/>
    <x v="1"/>
    <s v="H17"/>
    <x v="2"/>
    <s v="H1917-20"/>
    <m/>
    <m/>
    <s v="ENGS"/>
    <m/>
    <n v="100"/>
    <x v="9"/>
    <m/>
    <m/>
    <n v="16"/>
    <n v="1.3333333333333333"/>
    <n v="0.85"/>
    <n v="1.1333333333333333"/>
    <n v="2180"/>
    <x v="0"/>
    <s v="Sam"/>
    <x v="1"/>
    <n v="23641"/>
    <n v="28786"/>
    <n v="64145.46666666666"/>
    <n v="5800"/>
    <n v="7733.333333333333"/>
    <n v="71878.799999999988"/>
    <n v="0"/>
    <n v="0"/>
    <n v="0"/>
    <n v="1"/>
    <n v="0"/>
    <n v="0"/>
    <n v="0"/>
    <n v="0"/>
    <n v="0"/>
    <n v="0"/>
    <n v="0"/>
    <n v="0"/>
    <s v="Enligt SP 190924"/>
    <m/>
    <n v="0"/>
    <n v="0"/>
    <n v="0"/>
    <n v="0"/>
    <n v="0"/>
    <n v="0"/>
    <n v="1.3333333333333333"/>
    <n v="1.1333333333333333"/>
    <n v="0"/>
    <n v="0"/>
    <n v="0"/>
    <n v="0"/>
    <n v="0"/>
    <n v="0"/>
    <n v="0"/>
    <n v="0"/>
    <n v="0"/>
    <n v="0"/>
    <n v="0"/>
    <n v="0"/>
    <n v="0"/>
    <n v="0"/>
    <n v="0"/>
  </r>
  <r>
    <x v="240"/>
    <x v="236"/>
    <m/>
    <x v="1"/>
    <s v="H17"/>
    <x v="2"/>
    <s v="H1917-20"/>
    <m/>
    <m/>
    <s v="HIST"/>
    <m/>
    <n v="100"/>
    <x v="9"/>
    <m/>
    <m/>
    <n v="14"/>
    <n v="1.1666666666666665"/>
    <n v="0.85"/>
    <n v="0.99166666666666647"/>
    <n v="2180"/>
    <x v="0"/>
    <s v="Sam"/>
    <x v="1"/>
    <n v="23641"/>
    <n v="28786"/>
    <n v="56127.283333333326"/>
    <n v="5800"/>
    <n v="6766.6666666666661"/>
    <n v="62893.94999999999"/>
    <n v="0"/>
    <n v="0"/>
    <n v="0"/>
    <n v="1"/>
    <n v="0"/>
    <n v="0"/>
    <n v="0"/>
    <n v="0"/>
    <n v="0"/>
    <n v="0"/>
    <n v="0"/>
    <n v="0"/>
    <s v="Enligt SP 190924"/>
    <m/>
    <n v="0"/>
    <n v="0"/>
    <n v="0"/>
    <n v="0"/>
    <n v="0"/>
    <n v="0"/>
    <n v="1.1666666666666665"/>
    <n v="0.99166666666666647"/>
    <n v="0"/>
    <n v="0"/>
    <n v="0"/>
    <n v="0"/>
    <n v="0"/>
    <n v="0"/>
    <n v="0"/>
    <n v="0"/>
    <n v="0"/>
    <n v="0"/>
    <n v="0"/>
    <n v="0"/>
    <n v="0"/>
    <n v="0"/>
    <n v="0"/>
  </r>
  <r>
    <x v="240"/>
    <x v="236"/>
    <m/>
    <x v="1"/>
    <s v="H17"/>
    <x v="2"/>
    <s v="H1917-20"/>
    <m/>
    <m/>
    <s v="IDRH"/>
    <m/>
    <n v="100"/>
    <x v="9"/>
    <m/>
    <m/>
    <n v="15"/>
    <n v="1.25"/>
    <n v="0.85"/>
    <n v="1.0625"/>
    <n v="2180"/>
    <x v="0"/>
    <s v="Sam"/>
    <x v="1"/>
    <n v="23641"/>
    <n v="28786"/>
    <n v="60136.375"/>
    <n v="5800"/>
    <n v="7250"/>
    <n v="67386.375"/>
    <n v="0"/>
    <n v="0"/>
    <n v="0"/>
    <n v="1"/>
    <n v="0"/>
    <n v="0"/>
    <n v="0"/>
    <n v="0"/>
    <n v="0"/>
    <n v="0"/>
    <n v="0"/>
    <n v="0"/>
    <s v="Enligt SP 190924"/>
    <m/>
    <n v="0"/>
    <n v="0"/>
    <n v="0"/>
    <n v="0"/>
    <n v="0"/>
    <n v="0"/>
    <n v="1.25"/>
    <n v="1.0625"/>
    <n v="0"/>
    <n v="0"/>
    <n v="0"/>
    <n v="0"/>
    <n v="0"/>
    <n v="0"/>
    <n v="0"/>
    <n v="0"/>
    <n v="0"/>
    <n v="0"/>
    <n v="0"/>
    <n v="0"/>
    <n v="0"/>
    <n v="0"/>
    <n v="0"/>
  </r>
  <r>
    <x v="240"/>
    <x v="236"/>
    <m/>
    <x v="1"/>
    <s v="H17"/>
    <x v="2"/>
    <s v="H1917-20"/>
    <m/>
    <m/>
    <s v="MATT"/>
    <m/>
    <n v="100"/>
    <x v="9"/>
    <m/>
    <m/>
    <n v="12"/>
    <n v="1"/>
    <n v="0.85"/>
    <n v="0.85"/>
    <n v="2180"/>
    <x v="0"/>
    <s v="Sam"/>
    <x v="1"/>
    <n v="23641"/>
    <n v="28786"/>
    <n v="48109.1"/>
    <n v="5800"/>
    <n v="5800"/>
    <n v="53909.1"/>
    <n v="0"/>
    <n v="0"/>
    <n v="0"/>
    <n v="1"/>
    <n v="0"/>
    <n v="0"/>
    <n v="0"/>
    <n v="0"/>
    <n v="0"/>
    <n v="0"/>
    <n v="0"/>
    <n v="0"/>
    <s v="Enligt SP 190924"/>
    <m/>
    <n v="0"/>
    <n v="0"/>
    <n v="0"/>
    <n v="0"/>
    <n v="0"/>
    <n v="0"/>
    <n v="1"/>
    <n v="0.85"/>
    <n v="0"/>
    <n v="0"/>
    <n v="0"/>
    <n v="0"/>
    <n v="0"/>
    <n v="0"/>
    <n v="0"/>
    <n v="0"/>
    <n v="0"/>
    <n v="0"/>
    <n v="0"/>
    <n v="0"/>
    <n v="0"/>
    <n v="0"/>
    <n v="0"/>
  </r>
  <r>
    <x v="240"/>
    <x v="236"/>
    <m/>
    <x v="1"/>
    <s v="H17"/>
    <x v="2"/>
    <s v="H1917-20"/>
    <m/>
    <m/>
    <s v="MUSI"/>
    <m/>
    <n v="100"/>
    <x v="9"/>
    <m/>
    <m/>
    <n v="2"/>
    <n v="0.16666666666666666"/>
    <n v="0.85"/>
    <n v="0.14166666666666666"/>
    <n v="2180"/>
    <x v="0"/>
    <s v="Sam"/>
    <x v="1"/>
    <n v="23641"/>
    <n v="28786"/>
    <n v="8018.1833333333325"/>
    <n v="5800"/>
    <n v="966.66666666666663"/>
    <n v="8984.8499999999985"/>
    <n v="0"/>
    <n v="0"/>
    <n v="0"/>
    <n v="1"/>
    <n v="0"/>
    <n v="0"/>
    <n v="0"/>
    <n v="0"/>
    <n v="0"/>
    <n v="0"/>
    <n v="0"/>
    <n v="0"/>
    <s v="Enligt SP 190924"/>
    <m/>
    <n v="0"/>
    <n v="0"/>
    <n v="0"/>
    <n v="0"/>
    <n v="0"/>
    <n v="0"/>
    <n v="0.16666666666666666"/>
    <n v="0.14166666666666666"/>
    <n v="0"/>
    <n v="0"/>
    <n v="0"/>
    <n v="0"/>
    <n v="0"/>
    <n v="0"/>
    <n v="0"/>
    <n v="0"/>
    <n v="0"/>
    <n v="0"/>
    <n v="0"/>
    <n v="0"/>
    <n v="0"/>
    <n v="0"/>
    <n v="0"/>
  </r>
  <r>
    <x v="240"/>
    <x v="236"/>
    <m/>
    <x v="1"/>
    <s v="H17"/>
    <x v="2"/>
    <s v="H1917-20"/>
    <m/>
    <m/>
    <s v="RELK"/>
    <m/>
    <n v="100"/>
    <x v="9"/>
    <m/>
    <m/>
    <n v="4"/>
    <n v="0.33333333333333331"/>
    <n v="0.85"/>
    <n v="0.28333333333333333"/>
    <n v="2180"/>
    <x v="0"/>
    <s v="Sam"/>
    <x v="1"/>
    <n v="23641"/>
    <n v="28786"/>
    <n v="16036.366666666665"/>
    <n v="5800"/>
    <n v="1933.3333333333333"/>
    <n v="17969.699999999997"/>
    <n v="0"/>
    <n v="0"/>
    <n v="0"/>
    <n v="1"/>
    <n v="0"/>
    <n v="0"/>
    <n v="0"/>
    <n v="0"/>
    <n v="0"/>
    <n v="0"/>
    <n v="0"/>
    <n v="0"/>
    <s v="Enligt SP 190924"/>
    <m/>
    <n v="0"/>
    <n v="0"/>
    <n v="0"/>
    <n v="0"/>
    <n v="0"/>
    <n v="0"/>
    <n v="0.33333333333333331"/>
    <n v="0.28333333333333333"/>
    <n v="0"/>
    <n v="0"/>
    <n v="0"/>
    <n v="0"/>
    <n v="0"/>
    <n v="0"/>
    <n v="0"/>
    <n v="0"/>
    <n v="0"/>
    <n v="0"/>
    <n v="0"/>
    <n v="0"/>
    <n v="0"/>
    <n v="0"/>
    <n v="0"/>
  </r>
  <r>
    <x v="240"/>
    <x v="236"/>
    <m/>
    <x v="1"/>
    <s v="H17"/>
    <x v="2"/>
    <s v="H1917-20"/>
    <m/>
    <m/>
    <s v="SAMK"/>
    <m/>
    <n v="100"/>
    <x v="9"/>
    <m/>
    <m/>
    <n v="6"/>
    <n v="0.5"/>
    <n v="0.85"/>
    <n v="0.42499999999999999"/>
    <n v="2180"/>
    <x v="0"/>
    <s v="Sam"/>
    <x v="1"/>
    <n v="23641"/>
    <n v="28786"/>
    <n v="24054.55"/>
    <n v="5800"/>
    <n v="2900"/>
    <n v="26954.55"/>
    <n v="0"/>
    <n v="0"/>
    <n v="0"/>
    <n v="1"/>
    <n v="0"/>
    <n v="0"/>
    <n v="0"/>
    <n v="0"/>
    <n v="0"/>
    <n v="0"/>
    <n v="0"/>
    <n v="0"/>
    <s v="Enligt SP 190924"/>
    <m/>
    <n v="0"/>
    <n v="0"/>
    <n v="0"/>
    <n v="0"/>
    <n v="0"/>
    <n v="0"/>
    <n v="0.5"/>
    <n v="0.42499999999999999"/>
    <n v="0"/>
    <n v="0"/>
    <n v="0"/>
    <n v="0"/>
    <n v="0"/>
    <n v="0"/>
    <n v="0"/>
    <n v="0"/>
    <n v="0"/>
    <n v="0"/>
    <n v="0"/>
    <n v="0"/>
    <n v="0"/>
    <n v="0"/>
    <n v="0"/>
  </r>
  <r>
    <x v="240"/>
    <x v="236"/>
    <m/>
    <x v="1"/>
    <s v="H17"/>
    <x v="2"/>
    <s v="H1917-20"/>
    <m/>
    <m/>
    <s v="SPAN"/>
    <m/>
    <n v="100"/>
    <x v="9"/>
    <m/>
    <m/>
    <n v="2"/>
    <n v="0.16666666666666666"/>
    <n v="0.85"/>
    <n v="0.14166666666666666"/>
    <n v="2180"/>
    <x v="0"/>
    <s v="Sam"/>
    <x v="1"/>
    <n v="23641"/>
    <n v="28786"/>
    <n v="8018.1833333333325"/>
    <n v="5800"/>
    <n v="966.66666666666663"/>
    <n v="8984.8499999999985"/>
    <n v="0"/>
    <n v="0"/>
    <n v="0"/>
    <n v="1"/>
    <n v="0"/>
    <n v="0"/>
    <n v="0"/>
    <n v="0"/>
    <n v="0"/>
    <n v="0"/>
    <n v="0"/>
    <n v="0"/>
    <s v="Enligt SP 190924"/>
    <m/>
    <n v="0"/>
    <n v="0"/>
    <n v="0"/>
    <n v="0"/>
    <n v="0"/>
    <n v="0"/>
    <n v="0.16666666666666666"/>
    <n v="0.14166666666666666"/>
    <n v="0"/>
    <n v="0"/>
    <n v="0"/>
    <n v="0"/>
    <n v="0"/>
    <n v="0"/>
    <n v="0"/>
    <n v="0"/>
    <n v="0"/>
    <n v="0"/>
    <n v="0"/>
    <n v="0"/>
    <n v="0"/>
    <n v="0"/>
    <n v="0"/>
  </r>
  <r>
    <x v="240"/>
    <x v="236"/>
    <m/>
    <x v="1"/>
    <s v="H17"/>
    <x v="2"/>
    <s v="H1917-20"/>
    <m/>
    <m/>
    <s v="SVAA"/>
    <m/>
    <n v="100"/>
    <x v="9"/>
    <m/>
    <m/>
    <n v="11"/>
    <n v="0.91666666666666663"/>
    <n v="0.85"/>
    <n v="0.77916666666666656"/>
    <n v="2180"/>
    <x v="0"/>
    <s v="Sam"/>
    <x v="1"/>
    <n v="23641"/>
    <n v="28786"/>
    <n v="44100.008333333331"/>
    <n v="5800"/>
    <n v="5316.6666666666661"/>
    <n v="49416.674999999996"/>
    <n v="0"/>
    <n v="0"/>
    <n v="0"/>
    <n v="1"/>
    <n v="0"/>
    <n v="0"/>
    <n v="0"/>
    <n v="0"/>
    <n v="0"/>
    <n v="0"/>
    <n v="0"/>
    <n v="0"/>
    <s v="Enligt SP 190924"/>
    <m/>
    <n v="0"/>
    <n v="0"/>
    <n v="0"/>
    <n v="0"/>
    <n v="0"/>
    <n v="0"/>
    <n v="0.91666666666666663"/>
    <n v="0.77916666666666656"/>
    <n v="0"/>
    <n v="0"/>
    <n v="0"/>
    <n v="0"/>
    <n v="0"/>
    <n v="0"/>
    <n v="0"/>
    <n v="0"/>
    <n v="0"/>
    <n v="0"/>
    <n v="0"/>
    <n v="0"/>
    <n v="0"/>
    <n v="0"/>
    <n v="0"/>
  </r>
  <r>
    <x v="240"/>
    <x v="236"/>
    <m/>
    <x v="1"/>
    <s v="H17"/>
    <x v="2"/>
    <s v="H1917-20"/>
    <m/>
    <m/>
    <s v="TYSK"/>
    <m/>
    <n v="100"/>
    <x v="9"/>
    <m/>
    <m/>
    <n v="1"/>
    <n v="8.3333333333333329E-2"/>
    <n v="0.85"/>
    <n v="7.0833333333333331E-2"/>
    <n v="2180"/>
    <x v="0"/>
    <s v="Sam"/>
    <x v="1"/>
    <n v="23641"/>
    <n v="28786"/>
    <n v="4009.0916666666662"/>
    <n v="5800"/>
    <n v="483.33333333333331"/>
    <n v="4492.4249999999993"/>
    <n v="0"/>
    <n v="0"/>
    <n v="0"/>
    <n v="1"/>
    <n v="0"/>
    <n v="0"/>
    <n v="0"/>
    <n v="0"/>
    <n v="0"/>
    <n v="0"/>
    <n v="0"/>
    <n v="0"/>
    <s v="Enligt SP 190924"/>
    <m/>
    <n v="0"/>
    <n v="0"/>
    <n v="0"/>
    <n v="0"/>
    <n v="0"/>
    <n v="0"/>
    <n v="8.3333333333333329E-2"/>
    <n v="7.0833333333333331E-2"/>
    <n v="0"/>
    <n v="0"/>
    <n v="0"/>
    <n v="0"/>
    <n v="0"/>
    <n v="0"/>
    <n v="0"/>
    <n v="0"/>
    <n v="0"/>
    <n v="0"/>
    <n v="0"/>
    <n v="0"/>
    <n v="0"/>
    <n v="0"/>
    <n v="0"/>
  </r>
  <r>
    <x v="240"/>
    <x v="236"/>
    <m/>
    <x v="1"/>
    <s v="H18"/>
    <x v="2"/>
    <s v="H1917-20"/>
    <m/>
    <m/>
    <s v="BIOL"/>
    <m/>
    <n v="100"/>
    <x v="9"/>
    <m/>
    <m/>
    <n v="3"/>
    <n v="0.25"/>
    <n v="0.85"/>
    <n v="0.21249999999999999"/>
    <n v="2180"/>
    <x v="0"/>
    <s v="Sam"/>
    <x v="1"/>
    <n v="23641"/>
    <n v="28786"/>
    <n v="12027.275"/>
    <n v="5800"/>
    <n v="1450"/>
    <n v="13477.275"/>
    <n v="0"/>
    <n v="0"/>
    <n v="0"/>
    <n v="1"/>
    <n v="0"/>
    <n v="0"/>
    <n v="0"/>
    <n v="0"/>
    <n v="0"/>
    <n v="0"/>
    <n v="0"/>
    <n v="0"/>
    <s v="Enligt SP 190924"/>
    <m/>
    <n v="0"/>
    <n v="0"/>
    <n v="0"/>
    <n v="0"/>
    <n v="0"/>
    <n v="0"/>
    <n v="0.25"/>
    <n v="0.21249999999999999"/>
    <n v="0"/>
    <n v="0"/>
    <n v="0"/>
    <n v="0"/>
    <n v="0"/>
    <n v="0"/>
    <n v="0"/>
    <n v="0"/>
    <n v="0"/>
    <n v="0"/>
    <n v="0"/>
    <n v="0"/>
    <n v="0"/>
    <n v="0"/>
    <n v="0"/>
  </r>
  <r>
    <x v="240"/>
    <x v="236"/>
    <m/>
    <x v="1"/>
    <s v="H18"/>
    <x v="2"/>
    <s v="H1917-20"/>
    <m/>
    <m/>
    <s v="HIST"/>
    <m/>
    <n v="100"/>
    <x v="9"/>
    <m/>
    <m/>
    <n v="1"/>
    <n v="8.3333333333333329E-2"/>
    <n v="0.85"/>
    <n v="7.0833333333333331E-2"/>
    <n v="2180"/>
    <x v="0"/>
    <s v="Sam"/>
    <x v="1"/>
    <n v="23641"/>
    <n v="28786"/>
    <n v="4009.0916666666662"/>
    <n v="5800"/>
    <n v="483.33333333333331"/>
    <n v="4492.4249999999993"/>
    <n v="0"/>
    <n v="0"/>
    <n v="0"/>
    <n v="1"/>
    <n v="0"/>
    <n v="0"/>
    <n v="0"/>
    <n v="0"/>
    <n v="0"/>
    <n v="0"/>
    <n v="0"/>
    <n v="0"/>
    <s v="Enligt SP 190924"/>
    <m/>
    <n v="0"/>
    <n v="0"/>
    <n v="0"/>
    <n v="0"/>
    <n v="0"/>
    <n v="0"/>
    <n v="8.3333333333333329E-2"/>
    <n v="7.0833333333333331E-2"/>
    <n v="0"/>
    <n v="0"/>
    <n v="0"/>
    <n v="0"/>
    <n v="0"/>
    <n v="0"/>
    <n v="0"/>
    <n v="0"/>
    <n v="0"/>
    <n v="0"/>
    <n v="0"/>
    <n v="0"/>
    <n v="0"/>
    <n v="0"/>
    <n v="0"/>
  </r>
  <r>
    <x v="240"/>
    <x v="236"/>
    <m/>
    <x v="1"/>
    <s v="H18"/>
    <x v="2"/>
    <s v="H1917-20"/>
    <m/>
    <m/>
    <s v="MATT"/>
    <m/>
    <n v="100"/>
    <x v="9"/>
    <m/>
    <m/>
    <n v="1"/>
    <n v="8.3333333333333329E-2"/>
    <n v="0.85"/>
    <n v="7.0833333333333331E-2"/>
    <n v="2180"/>
    <x v="0"/>
    <s v="Sam"/>
    <x v="1"/>
    <n v="23641"/>
    <n v="28786"/>
    <n v="4009.0916666666662"/>
    <n v="5800"/>
    <n v="483.33333333333331"/>
    <n v="4492.4249999999993"/>
    <n v="0"/>
    <n v="0"/>
    <n v="0"/>
    <n v="1"/>
    <n v="0"/>
    <n v="0"/>
    <n v="0"/>
    <n v="0"/>
    <n v="0"/>
    <n v="0"/>
    <n v="0"/>
    <n v="0"/>
    <s v="Enligt SP 190924"/>
    <m/>
    <n v="0"/>
    <n v="0"/>
    <n v="0"/>
    <n v="0"/>
    <n v="0"/>
    <n v="0"/>
    <n v="8.3333333333333329E-2"/>
    <n v="7.0833333333333331E-2"/>
    <n v="0"/>
    <n v="0"/>
    <n v="0"/>
    <n v="0"/>
    <n v="0"/>
    <n v="0"/>
    <n v="0"/>
    <n v="0"/>
    <n v="0"/>
    <n v="0"/>
    <n v="0"/>
    <n v="0"/>
    <n v="0"/>
    <n v="0"/>
    <n v="0"/>
  </r>
  <r>
    <x v="240"/>
    <x v="236"/>
    <m/>
    <x v="1"/>
    <s v="H18"/>
    <x v="2"/>
    <s v="H1917-20"/>
    <m/>
    <m/>
    <s v="SVAN"/>
    <m/>
    <n v="100"/>
    <x v="9"/>
    <m/>
    <m/>
    <n v="1"/>
    <n v="8.3333333333333329E-2"/>
    <n v="0.85"/>
    <n v="7.0833333333333331E-2"/>
    <n v="2180"/>
    <x v="0"/>
    <s v="Sam"/>
    <x v="1"/>
    <n v="23641"/>
    <n v="28786"/>
    <n v="4009.0916666666662"/>
    <n v="5800"/>
    <n v="483.33333333333331"/>
    <n v="4492.4249999999993"/>
    <n v="0"/>
    <n v="0"/>
    <n v="0"/>
    <n v="1"/>
    <n v="0"/>
    <n v="0"/>
    <n v="0"/>
    <n v="0"/>
    <n v="0"/>
    <n v="0"/>
    <n v="0"/>
    <n v="0"/>
    <s v="Enligt SP 190924"/>
    <m/>
    <n v="0"/>
    <n v="0"/>
    <n v="0"/>
    <n v="0"/>
    <n v="0"/>
    <n v="0"/>
    <n v="8.3333333333333329E-2"/>
    <n v="7.0833333333333331E-2"/>
    <n v="0"/>
    <n v="0"/>
    <n v="0"/>
    <n v="0"/>
    <n v="0"/>
    <n v="0"/>
    <n v="0"/>
    <n v="0"/>
    <n v="0"/>
    <n v="0"/>
    <n v="0"/>
    <n v="0"/>
    <n v="0"/>
    <n v="0"/>
    <n v="0"/>
  </r>
  <r>
    <x v="240"/>
    <x v="236"/>
    <m/>
    <x v="1"/>
    <s v="H19"/>
    <x v="2"/>
    <s v="H1917-20"/>
    <m/>
    <m/>
    <s v="MATT"/>
    <m/>
    <n v="100"/>
    <x v="9"/>
    <m/>
    <m/>
    <n v="1"/>
    <n v="8.3333333333333329E-2"/>
    <n v="0.85"/>
    <n v="7.0833333333333331E-2"/>
    <n v="2180"/>
    <x v="0"/>
    <s v="Sam"/>
    <x v="1"/>
    <n v="23641"/>
    <n v="28786"/>
    <n v="4009.0916666666662"/>
    <n v="5800"/>
    <n v="483.33333333333331"/>
    <n v="4492.4249999999993"/>
    <n v="0"/>
    <n v="0"/>
    <n v="0"/>
    <n v="1"/>
    <n v="0"/>
    <n v="0"/>
    <n v="0"/>
    <n v="0"/>
    <n v="0"/>
    <n v="0"/>
    <n v="0"/>
    <n v="0"/>
    <s v="Enligt SP 190924"/>
    <m/>
    <n v="0"/>
    <n v="0"/>
    <n v="0"/>
    <n v="0"/>
    <n v="0"/>
    <n v="0"/>
    <n v="8.3333333333333329E-2"/>
    <n v="7.0833333333333331E-2"/>
    <n v="0"/>
    <n v="0"/>
    <n v="0"/>
    <n v="0"/>
    <n v="0"/>
    <n v="0"/>
    <n v="0"/>
    <n v="0"/>
    <n v="0"/>
    <n v="0"/>
    <n v="0"/>
    <n v="0"/>
    <n v="0"/>
    <n v="0"/>
    <n v="0"/>
  </r>
  <r>
    <x v="241"/>
    <x v="237"/>
    <m/>
    <x v="8"/>
    <s v="H17"/>
    <x v="1"/>
    <s v="V191-6"/>
    <s v="Umeå"/>
    <m/>
    <m/>
    <m/>
    <n v="100"/>
    <x v="11"/>
    <m/>
    <m/>
    <n v="15"/>
    <n v="2"/>
    <n v="0.85"/>
    <n v="1.7"/>
    <n v="2180"/>
    <x v="0"/>
    <s v="Sam"/>
    <x v="8"/>
    <n v="23641"/>
    <n v="28786"/>
    <n v="96218.2"/>
    <n v="5800"/>
    <n v="11600"/>
    <n v="107818.2"/>
    <n v="0"/>
    <n v="0"/>
    <n v="0"/>
    <n v="1"/>
    <n v="0"/>
    <n v="0"/>
    <n v="0"/>
    <n v="0"/>
    <n v="0"/>
    <n v="0"/>
    <n v="0"/>
    <n v="0"/>
    <s v="Enl Ladok 190318"/>
    <m/>
    <n v="0"/>
    <n v="0"/>
    <n v="0"/>
    <n v="0"/>
    <n v="0"/>
    <n v="0"/>
    <n v="2"/>
    <n v="1.7"/>
    <n v="0"/>
    <n v="0"/>
    <n v="0"/>
    <n v="0"/>
    <n v="0"/>
    <n v="0"/>
    <n v="0"/>
    <n v="0"/>
    <n v="0"/>
    <n v="0"/>
    <n v="0"/>
    <n v="0"/>
    <n v="0"/>
    <n v="0"/>
    <n v="0"/>
  </r>
  <r>
    <x v="242"/>
    <x v="238"/>
    <m/>
    <x v="2"/>
    <s v="H17"/>
    <x v="1"/>
    <s v="V191-6"/>
    <s v="Umeå"/>
    <m/>
    <m/>
    <m/>
    <n v="100"/>
    <x v="11"/>
    <m/>
    <m/>
    <n v="1"/>
    <n v="0.13333333333333333"/>
    <n v="0.85"/>
    <n v="0.11333333333333333"/>
    <n v="2180"/>
    <x v="0"/>
    <s v="Sam"/>
    <x v="2"/>
    <n v="23641"/>
    <n v="28786"/>
    <n v="6414.5466666666662"/>
    <n v="5800"/>
    <n v="773.33333333333337"/>
    <n v="7187.8799999999992"/>
    <n v="0"/>
    <n v="0"/>
    <n v="0"/>
    <n v="1"/>
    <n v="0"/>
    <n v="0"/>
    <n v="0"/>
    <n v="0"/>
    <n v="0"/>
    <n v="0"/>
    <n v="0"/>
    <n v="0"/>
    <s v="Enl Ladok 190318"/>
    <m/>
    <n v="0"/>
    <n v="0"/>
    <n v="0"/>
    <n v="0"/>
    <n v="0"/>
    <n v="0"/>
    <n v="0.13333333333333333"/>
    <n v="0.11333333333333333"/>
    <n v="0"/>
    <n v="0"/>
    <n v="0"/>
    <n v="0"/>
    <n v="0"/>
    <n v="0"/>
    <n v="0"/>
    <n v="0"/>
    <n v="0"/>
    <n v="0"/>
    <n v="0"/>
    <n v="0"/>
    <n v="0"/>
    <n v="0"/>
    <n v="0"/>
  </r>
  <r>
    <x v="242"/>
    <x v="238"/>
    <m/>
    <x v="2"/>
    <s v="H17"/>
    <x v="1"/>
    <s v="V191-6"/>
    <s v="Umeå"/>
    <m/>
    <m/>
    <m/>
    <n v="100"/>
    <x v="11"/>
    <m/>
    <m/>
    <n v="36"/>
    <n v="4.8"/>
    <n v="0.85"/>
    <n v="4.08"/>
    <n v="2180"/>
    <x v="0"/>
    <s v="Sam"/>
    <x v="2"/>
    <n v="23641"/>
    <n v="28786"/>
    <n v="230923.68"/>
    <n v="5800"/>
    <n v="27840"/>
    <n v="258763.68"/>
    <n v="0"/>
    <n v="0"/>
    <n v="0"/>
    <n v="1"/>
    <n v="0"/>
    <n v="0"/>
    <n v="0"/>
    <n v="0"/>
    <n v="0"/>
    <n v="0"/>
    <n v="0"/>
    <n v="0"/>
    <s v="Enl Ladok 190318"/>
    <m/>
    <n v="0"/>
    <n v="0"/>
    <n v="0"/>
    <n v="0"/>
    <n v="0"/>
    <n v="0"/>
    <n v="4.8"/>
    <n v="4.08"/>
    <n v="0"/>
    <n v="0"/>
    <n v="0"/>
    <n v="0"/>
    <n v="0"/>
    <n v="0"/>
    <n v="0"/>
    <n v="0"/>
    <n v="0"/>
    <n v="0"/>
    <n v="0"/>
    <n v="0"/>
    <n v="0"/>
    <n v="0"/>
    <n v="0"/>
  </r>
  <r>
    <x v="242"/>
    <x v="238"/>
    <m/>
    <x v="3"/>
    <s v="H12"/>
    <x v="1"/>
    <s v="V191-6"/>
    <s v="Umeå"/>
    <m/>
    <m/>
    <m/>
    <n v="100"/>
    <x v="11"/>
    <m/>
    <m/>
    <n v="1"/>
    <n v="0.13333333333333333"/>
    <n v="0.85"/>
    <n v="0.11333333333333333"/>
    <n v="2180"/>
    <x v="0"/>
    <s v="Sam"/>
    <x v="3"/>
    <n v="23641"/>
    <n v="28786"/>
    <n v="6414.5466666666662"/>
    <n v="5800"/>
    <n v="773.33333333333337"/>
    <n v="7187.8799999999992"/>
    <n v="0"/>
    <n v="0"/>
    <n v="0"/>
    <n v="1"/>
    <n v="0"/>
    <n v="0"/>
    <n v="0"/>
    <n v="0"/>
    <n v="0"/>
    <n v="0"/>
    <n v="0"/>
    <n v="0"/>
    <s v="Enl Ladok 190318"/>
    <m/>
    <n v="0"/>
    <n v="0"/>
    <n v="0"/>
    <n v="0"/>
    <n v="0"/>
    <n v="0"/>
    <n v="0.13333333333333333"/>
    <n v="0.11333333333333333"/>
    <n v="0"/>
    <n v="0"/>
    <n v="0"/>
    <n v="0"/>
    <n v="0"/>
    <n v="0"/>
    <n v="0"/>
    <n v="0"/>
    <n v="0"/>
    <n v="0"/>
    <n v="0"/>
    <n v="0"/>
    <n v="0"/>
    <n v="0"/>
    <n v="0"/>
  </r>
  <r>
    <x v="242"/>
    <x v="238"/>
    <m/>
    <x v="3"/>
    <s v="H16"/>
    <x v="1"/>
    <s v="V191-6"/>
    <s v="Umeå"/>
    <m/>
    <m/>
    <m/>
    <n v="100"/>
    <x v="11"/>
    <m/>
    <m/>
    <n v="1"/>
    <n v="0.13333333333333333"/>
    <n v="0.85"/>
    <n v="0.11333333333333333"/>
    <n v="2180"/>
    <x v="0"/>
    <s v="Sam"/>
    <x v="3"/>
    <n v="23641"/>
    <n v="28786"/>
    <n v="6414.5466666666662"/>
    <n v="5800"/>
    <n v="773.33333333333337"/>
    <n v="7187.8799999999992"/>
    <n v="0"/>
    <n v="0"/>
    <n v="0"/>
    <n v="1"/>
    <n v="0"/>
    <n v="0"/>
    <n v="0"/>
    <n v="0"/>
    <n v="0"/>
    <n v="0"/>
    <n v="0"/>
    <n v="0"/>
    <s v="Enl Ladok 190318"/>
    <m/>
    <n v="0"/>
    <n v="0"/>
    <n v="0"/>
    <n v="0"/>
    <n v="0"/>
    <n v="0"/>
    <n v="0.13333333333333333"/>
    <n v="0.11333333333333333"/>
    <n v="0"/>
    <n v="0"/>
    <n v="0"/>
    <n v="0"/>
    <n v="0"/>
    <n v="0"/>
    <n v="0"/>
    <n v="0"/>
    <n v="0"/>
    <n v="0"/>
    <n v="0"/>
    <n v="0"/>
    <n v="0"/>
    <n v="0"/>
    <n v="0"/>
  </r>
  <r>
    <x v="242"/>
    <x v="238"/>
    <m/>
    <x v="3"/>
    <s v="H17"/>
    <x v="1"/>
    <s v="V191-6"/>
    <s v="Umeå"/>
    <m/>
    <m/>
    <m/>
    <n v="100"/>
    <x v="11"/>
    <m/>
    <m/>
    <n v="32"/>
    <n v="4.2666666666666666"/>
    <n v="0.85"/>
    <n v="3.6266666666666665"/>
    <n v="2180"/>
    <x v="0"/>
    <s v="Sam"/>
    <x v="3"/>
    <n v="23641"/>
    <n v="28786"/>
    <n v="205265.49333333332"/>
    <n v="5800"/>
    <n v="24746.666666666668"/>
    <n v="230012.15999999997"/>
    <n v="0"/>
    <n v="0"/>
    <n v="0"/>
    <n v="1"/>
    <n v="0"/>
    <n v="0"/>
    <n v="0"/>
    <n v="0"/>
    <n v="0"/>
    <n v="0"/>
    <n v="0"/>
    <n v="0"/>
    <s v="Enl Ladok 190318"/>
    <m/>
    <n v="0"/>
    <n v="0"/>
    <n v="0"/>
    <n v="0"/>
    <n v="0"/>
    <n v="0"/>
    <n v="4.2666666666666666"/>
    <n v="3.6266666666666665"/>
    <n v="0"/>
    <n v="0"/>
    <n v="0"/>
    <n v="0"/>
    <n v="0"/>
    <n v="0"/>
    <n v="0"/>
    <n v="0"/>
    <n v="0"/>
    <n v="0"/>
    <n v="0"/>
    <n v="0"/>
    <n v="0"/>
    <n v="0"/>
    <n v="0"/>
  </r>
  <r>
    <x v="243"/>
    <x v="239"/>
    <m/>
    <x v="4"/>
    <s v="H17"/>
    <x v="2"/>
    <s v="H191-5"/>
    <m/>
    <m/>
    <s v="TXBI"/>
    <m/>
    <n v="100"/>
    <x v="11"/>
    <m/>
    <m/>
    <n v="4"/>
    <n v="0.53333333333333333"/>
    <n v="0.85"/>
    <n v="0.45333333333333331"/>
    <n v="2180"/>
    <x v="0"/>
    <s v="Sam"/>
    <x v="4"/>
    <n v="23641"/>
    <n v="28786"/>
    <n v="25658.186666666665"/>
    <n v="5800"/>
    <n v="3093.3333333333335"/>
    <n v="28751.519999999997"/>
    <n v="0"/>
    <n v="0"/>
    <n v="0"/>
    <n v="1"/>
    <n v="0"/>
    <n v="0"/>
    <n v="0"/>
    <n v="0"/>
    <n v="0"/>
    <n v="0"/>
    <n v="0"/>
    <n v="0"/>
    <s v="Enligt SP 190924"/>
    <m/>
    <n v="0"/>
    <n v="0"/>
    <n v="0"/>
    <n v="0"/>
    <n v="0"/>
    <n v="0"/>
    <n v="0.53333333333333333"/>
    <n v="0.45333333333333331"/>
    <n v="0"/>
    <n v="0"/>
    <n v="0"/>
    <n v="0"/>
    <n v="0"/>
    <n v="0"/>
    <n v="0"/>
    <n v="0"/>
    <n v="0"/>
    <n v="0"/>
    <n v="0"/>
    <n v="0"/>
    <n v="0"/>
    <n v="0"/>
    <n v="0"/>
  </r>
  <r>
    <x v="243"/>
    <x v="239"/>
    <m/>
    <x v="1"/>
    <s v="H15"/>
    <x v="2"/>
    <s v="H191-5"/>
    <m/>
    <m/>
    <s v="ENGS"/>
    <m/>
    <n v="100"/>
    <x v="11"/>
    <m/>
    <m/>
    <n v="1"/>
    <n v="0.13333333333333333"/>
    <n v="0.85"/>
    <n v="0.11333333333333333"/>
    <n v="2180"/>
    <x v="0"/>
    <s v="Sam"/>
    <x v="1"/>
    <n v="23641"/>
    <n v="28786"/>
    <n v="6414.5466666666662"/>
    <n v="5800"/>
    <n v="773.33333333333337"/>
    <n v="7187.8799999999992"/>
    <n v="0"/>
    <n v="0"/>
    <n v="0"/>
    <n v="1"/>
    <n v="0"/>
    <n v="0"/>
    <n v="0"/>
    <n v="0"/>
    <n v="0"/>
    <n v="0"/>
    <n v="0"/>
    <n v="0"/>
    <s v="Enligt SP 190924"/>
    <m/>
    <n v="0"/>
    <n v="0"/>
    <n v="0"/>
    <n v="0"/>
    <n v="0"/>
    <n v="0"/>
    <n v="0.13333333333333333"/>
    <n v="0.11333333333333333"/>
    <n v="0"/>
    <n v="0"/>
    <n v="0"/>
    <n v="0"/>
    <n v="0"/>
    <n v="0"/>
    <n v="0"/>
    <n v="0"/>
    <n v="0"/>
    <n v="0"/>
    <n v="0"/>
    <n v="0"/>
    <n v="0"/>
    <n v="0"/>
    <n v="0"/>
  </r>
  <r>
    <x v="243"/>
    <x v="239"/>
    <m/>
    <x v="1"/>
    <s v="H15"/>
    <x v="2"/>
    <s v="H191-5"/>
    <m/>
    <m/>
    <s v="MATT"/>
    <m/>
    <n v="100"/>
    <x v="11"/>
    <m/>
    <m/>
    <n v="2"/>
    <n v="0.26666666666666666"/>
    <n v="0.85"/>
    <n v="0.22666666666666666"/>
    <n v="2180"/>
    <x v="0"/>
    <s v="Sam"/>
    <x v="1"/>
    <n v="23641"/>
    <n v="28786"/>
    <n v="12829.093333333332"/>
    <n v="5800"/>
    <n v="1546.6666666666667"/>
    <n v="14375.759999999998"/>
    <n v="0"/>
    <n v="0"/>
    <n v="0"/>
    <n v="1"/>
    <n v="0"/>
    <n v="0"/>
    <n v="0"/>
    <n v="0"/>
    <n v="0"/>
    <n v="0"/>
    <n v="0"/>
    <n v="0"/>
    <s v="Enligt SP 190924"/>
    <m/>
    <n v="0"/>
    <n v="0"/>
    <n v="0"/>
    <n v="0"/>
    <n v="0"/>
    <n v="0"/>
    <n v="0.26666666666666666"/>
    <n v="0.22666666666666666"/>
    <n v="0"/>
    <n v="0"/>
    <n v="0"/>
    <n v="0"/>
    <n v="0"/>
    <n v="0"/>
    <n v="0"/>
    <n v="0"/>
    <n v="0"/>
    <n v="0"/>
    <n v="0"/>
    <n v="0"/>
    <n v="0"/>
    <n v="0"/>
    <n v="0"/>
  </r>
  <r>
    <x v="243"/>
    <x v="239"/>
    <m/>
    <x v="1"/>
    <s v="H16"/>
    <x v="2"/>
    <s v="H191-5"/>
    <m/>
    <m/>
    <s v="MATT"/>
    <m/>
    <n v="100"/>
    <x v="11"/>
    <m/>
    <m/>
    <n v="3"/>
    <n v="0.4"/>
    <n v="0.85"/>
    <n v="0.34"/>
    <n v="2180"/>
    <x v="0"/>
    <s v="Sam"/>
    <x v="1"/>
    <n v="23641"/>
    <n v="28786"/>
    <n v="19243.64"/>
    <n v="5800"/>
    <n v="2320"/>
    <n v="21563.64"/>
    <n v="0"/>
    <n v="0"/>
    <n v="0"/>
    <n v="1"/>
    <n v="0"/>
    <n v="0"/>
    <n v="0"/>
    <n v="0"/>
    <n v="0"/>
    <n v="0"/>
    <n v="0"/>
    <n v="0"/>
    <s v="Enligt SP 190924"/>
    <m/>
    <n v="0"/>
    <n v="0"/>
    <n v="0"/>
    <n v="0"/>
    <n v="0"/>
    <n v="0"/>
    <n v="0.4"/>
    <n v="0.34"/>
    <n v="0"/>
    <n v="0"/>
    <n v="0"/>
    <n v="0"/>
    <n v="0"/>
    <n v="0"/>
    <n v="0"/>
    <n v="0"/>
    <n v="0"/>
    <n v="0"/>
    <n v="0"/>
    <n v="0"/>
    <n v="0"/>
    <n v="0"/>
    <n v="0"/>
  </r>
  <r>
    <x v="243"/>
    <x v="239"/>
    <m/>
    <x v="1"/>
    <s v="H16"/>
    <x v="2"/>
    <s v="H191-5"/>
    <m/>
    <m/>
    <s v="MUSI"/>
    <m/>
    <n v="100"/>
    <x v="11"/>
    <m/>
    <m/>
    <n v="1"/>
    <n v="0.13333333333333333"/>
    <n v="0.85"/>
    <n v="0.11333333333333333"/>
    <n v="2180"/>
    <x v="0"/>
    <s v="Sam"/>
    <x v="1"/>
    <n v="23641"/>
    <n v="28786"/>
    <n v="6414.5466666666662"/>
    <n v="5800"/>
    <n v="773.33333333333337"/>
    <n v="7187.8799999999992"/>
    <n v="0"/>
    <n v="0"/>
    <n v="0"/>
    <n v="1"/>
    <n v="0"/>
    <n v="0"/>
    <n v="0"/>
    <n v="0"/>
    <n v="0"/>
    <n v="0"/>
    <n v="0"/>
    <n v="0"/>
    <s v="Enligt SP 190924"/>
    <m/>
    <n v="0"/>
    <n v="0"/>
    <n v="0"/>
    <n v="0"/>
    <n v="0"/>
    <n v="0"/>
    <n v="0.13333333333333333"/>
    <n v="0.11333333333333333"/>
    <n v="0"/>
    <n v="0"/>
    <n v="0"/>
    <n v="0"/>
    <n v="0"/>
    <n v="0"/>
    <n v="0"/>
    <n v="0"/>
    <n v="0"/>
    <n v="0"/>
    <n v="0"/>
    <n v="0"/>
    <n v="0"/>
    <n v="0"/>
    <n v="0"/>
  </r>
  <r>
    <x v="243"/>
    <x v="239"/>
    <m/>
    <x v="1"/>
    <s v="H16"/>
    <x v="2"/>
    <s v="H191-5"/>
    <m/>
    <m/>
    <s v="RELK"/>
    <m/>
    <n v="100"/>
    <x v="11"/>
    <m/>
    <m/>
    <n v="1"/>
    <n v="0.13333333333333333"/>
    <n v="0.85"/>
    <n v="0.11333333333333333"/>
    <n v="2180"/>
    <x v="0"/>
    <s v="Sam"/>
    <x v="1"/>
    <n v="23641"/>
    <n v="28786"/>
    <n v="6414.5466666666662"/>
    <n v="5800"/>
    <n v="773.33333333333337"/>
    <n v="7187.8799999999992"/>
    <n v="0"/>
    <n v="0"/>
    <n v="0"/>
    <n v="1"/>
    <n v="0"/>
    <n v="0"/>
    <n v="0"/>
    <n v="0"/>
    <n v="0"/>
    <n v="0"/>
    <n v="0"/>
    <n v="0"/>
    <s v="Enligt SP 190924"/>
    <m/>
    <n v="0"/>
    <n v="0"/>
    <n v="0"/>
    <n v="0"/>
    <n v="0"/>
    <n v="0"/>
    <n v="0.13333333333333333"/>
    <n v="0.11333333333333333"/>
    <n v="0"/>
    <n v="0"/>
    <n v="0"/>
    <n v="0"/>
    <n v="0"/>
    <n v="0"/>
    <n v="0"/>
    <n v="0"/>
    <n v="0"/>
    <n v="0"/>
    <n v="0"/>
    <n v="0"/>
    <n v="0"/>
    <n v="0"/>
    <n v="0"/>
  </r>
  <r>
    <x v="243"/>
    <x v="239"/>
    <m/>
    <x v="1"/>
    <s v="H16"/>
    <x v="2"/>
    <s v="H191-5"/>
    <m/>
    <m/>
    <s v="SAMK"/>
    <m/>
    <n v="100"/>
    <x v="11"/>
    <m/>
    <m/>
    <n v="1"/>
    <n v="0.13333333333333333"/>
    <n v="0.85"/>
    <n v="0.11333333333333333"/>
    <n v="2180"/>
    <x v="0"/>
    <s v="Sam"/>
    <x v="1"/>
    <n v="23641"/>
    <n v="28786"/>
    <n v="6414.5466666666662"/>
    <n v="5800"/>
    <n v="773.33333333333337"/>
    <n v="7187.8799999999992"/>
    <n v="0"/>
    <n v="0"/>
    <n v="0"/>
    <n v="1"/>
    <n v="0"/>
    <n v="0"/>
    <n v="0"/>
    <n v="0"/>
    <n v="0"/>
    <n v="0"/>
    <n v="0"/>
    <n v="0"/>
    <s v="Enligt SP 190924"/>
    <m/>
    <n v="0"/>
    <n v="0"/>
    <n v="0"/>
    <n v="0"/>
    <n v="0"/>
    <n v="0"/>
    <n v="0.13333333333333333"/>
    <n v="0.11333333333333333"/>
    <n v="0"/>
    <n v="0"/>
    <n v="0"/>
    <n v="0"/>
    <n v="0"/>
    <n v="0"/>
    <n v="0"/>
    <n v="0"/>
    <n v="0"/>
    <n v="0"/>
    <n v="0"/>
    <n v="0"/>
    <n v="0"/>
    <n v="0"/>
    <n v="0"/>
  </r>
  <r>
    <x v="243"/>
    <x v="239"/>
    <m/>
    <x v="1"/>
    <s v="H17"/>
    <x v="2"/>
    <s v="H191-5"/>
    <m/>
    <m/>
    <s v="BIOL"/>
    <m/>
    <n v="100"/>
    <x v="11"/>
    <m/>
    <m/>
    <n v="1"/>
    <n v="0.13333333333333333"/>
    <n v="0.85"/>
    <n v="0.11333333333333333"/>
    <n v="2180"/>
    <x v="0"/>
    <s v="Sam"/>
    <x v="1"/>
    <n v="23641"/>
    <n v="28786"/>
    <n v="6414.5466666666662"/>
    <n v="5800"/>
    <n v="773.33333333333337"/>
    <n v="7187.8799999999992"/>
    <n v="0"/>
    <n v="0"/>
    <n v="0"/>
    <n v="1"/>
    <n v="0"/>
    <n v="0"/>
    <n v="0"/>
    <n v="0"/>
    <n v="0"/>
    <n v="0"/>
    <n v="0"/>
    <n v="0"/>
    <s v="Enligt SP 190924"/>
    <m/>
    <n v="0"/>
    <n v="0"/>
    <n v="0"/>
    <n v="0"/>
    <n v="0"/>
    <n v="0"/>
    <n v="0.13333333333333333"/>
    <n v="0.11333333333333333"/>
    <n v="0"/>
    <n v="0"/>
    <n v="0"/>
    <n v="0"/>
    <n v="0"/>
    <n v="0"/>
    <n v="0"/>
    <n v="0"/>
    <n v="0"/>
    <n v="0"/>
    <n v="0"/>
    <n v="0"/>
    <n v="0"/>
    <n v="0"/>
    <n v="0"/>
  </r>
  <r>
    <x v="243"/>
    <x v="239"/>
    <m/>
    <x v="1"/>
    <s v="H17"/>
    <x v="2"/>
    <s v="H191-5"/>
    <m/>
    <m/>
    <s v="ENGS"/>
    <m/>
    <n v="100"/>
    <x v="11"/>
    <m/>
    <m/>
    <n v="15"/>
    <n v="2"/>
    <n v="0.85"/>
    <n v="1.7"/>
    <n v="2180"/>
    <x v="0"/>
    <s v="Sam"/>
    <x v="1"/>
    <n v="23641"/>
    <n v="28786"/>
    <n v="96218.2"/>
    <n v="5800"/>
    <n v="11600"/>
    <n v="107818.2"/>
    <n v="0"/>
    <n v="0"/>
    <n v="0"/>
    <n v="1"/>
    <n v="0"/>
    <n v="0"/>
    <n v="0"/>
    <n v="0"/>
    <n v="0"/>
    <n v="0"/>
    <n v="0"/>
    <n v="0"/>
    <s v="Enligt SP 190924"/>
    <m/>
    <n v="0"/>
    <n v="0"/>
    <n v="0"/>
    <n v="0"/>
    <n v="0"/>
    <n v="0"/>
    <n v="2"/>
    <n v="1.7"/>
    <n v="0"/>
    <n v="0"/>
    <n v="0"/>
    <n v="0"/>
    <n v="0"/>
    <n v="0"/>
    <n v="0"/>
    <n v="0"/>
    <n v="0"/>
    <n v="0"/>
    <n v="0"/>
    <n v="0"/>
    <n v="0"/>
    <n v="0"/>
    <n v="0"/>
  </r>
  <r>
    <x v="243"/>
    <x v="239"/>
    <m/>
    <x v="1"/>
    <s v="H17"/>
    <x v="2"/>
    <s v="H191-5"/>
    <m/>
    <m/>
    <s v="HIST"/>
    <m/>
    <n v="100"/>
    <x v="11"/>
    <m/>
    <m/>
    <n v="14"/>
    <n v="1.8666666666666667"/>
    <n v="0.85"/>
    <n v="1.5866666666666667"/>
    <n v="2180"/>
    <x v="0"/>
    <s v="Sam"/>
    <x v="1"/>
    <n v="23641"/>
    <n v="28786"/>
    <n v="89803.653333333335"/>
    <n v="5800"/>
    <n v="10826.666666666666"/>
    <n v="100630.32"/>
    <n v="0"/>
    <n v="0"/>
    <n v="0"/>
    <n v="1"/>
    <n v="0"/>
    <n v="0"/>
    <n v="0"/>
    <n v="0"/>
    <n v="0"/>
    <n v="0"/>
    <n v="0"/>
    <n v="0"/>
    <s v="Enligt SP 190924"/>
    <m/>
    <n v="0"/>
    <n v="0"/>
    <n v="0"/>
    <n v="0"/>
    <n v="0"/>
    <n v="0"/>
    <n v="1.8666666666666667"/>
    <n v="1.5866666666666667"/>
    <n v="0"/>
    <n v="0"/>
    <n v="0"/>
    <n v="0"/>
    <n v="0"/>
    <n v="0"/>
    <n v="0"/>
    <n v="0"/>
    <n v="0"/>
    <n v="0"/>
    <n v="0"/>
    <n v="0"/>
    <n v="0"/>
    <n v="0"/>
    <n v="0"/>
  </r>
  <r>
    <x v="243"/>
    <x v="239"/>
    <m/>
    <x v="1"/>
    <s v="H17"/>
    <x v="2"/>
    <s v="H191-5"/>
    <m/>
    <m/>
    <s v="IDRH"/>
    <m/>
    <n v="100"/>
    <x v="11"/>
    <m/>
    <m/>
    <n v="15"/>
    <n v="2"/>
    <n v="0.85"/>
    <n v="1.7"/>
    <n v="2180"/>
    <x v="0"/>
    <s v="Sam"/>
    <x v="1"/>
    <n v="23641"/>
    <n v="28786"/>
    <n v="96218.2"/>
    <n v="5800"/>
    <n v="11600"/>
    <n v="107818.2"/>
    <n v="0"/>
    <n v="0"/>
    <n v="0"/>
    <n v="1"/>
    <n v="0"/>
    <n v="0"/>
    <n v="0"/>
    <n v="0"/>
    <n v="0"/>
    <n v="0"/>
    <n v="0"/>
    <n v="0"/>
    <s v="Enligt SP 190924"/>
    <m/>
    <n v="0"/>
    <n v="0"/>
    <n v="0"/>
    <n v="0"/>
    <n v="0"/>
    <n v="0"/>
    <n v="2"/>
    <n v="1.7"/>
    <n v="0"/>
    <n v="0"/>
    <n v="0"/>
    <n v="0"/>
    <n v="0"/>
    <n v="0"/>
    <n v="0"/>
    <n v="0"/>
    <n v="0"/>
    <n v="0"/>
    <n v="0"/>
    <n v="0"/>
    <n v="0"/>
    <n v="0"/>
    <n v="0"/>
  </r>
  <r>
    <x v="243"/>
    <x v="239"/>
    <m/>
    <x v="1"/>
    <s v="H17"/>
    <x v="2"/>
    <s v="H191-5"/>
    <m/>
    <m/>
    <s v="MATT"/>
    <m/>
    <n v="100"/>
    <x v="11"/>
    <m/>
    <m/>
    <n v="12"/>
    <n v="1.6"/>
    <n v="0.85"/>
    <n v="1.36"/>
    <n v="2180"/>
    <x v="0"/>
    <s v="Sam"/>
    <x v="1"/>
    <n v="23641"/>
    <n v="28786"/>
    <n v="76974.559999999998"/>
    <n v="5800"/>
    <n v="9280"/>
    <n v="86254.56"/>
    <n v="0"/>
    <n v="0"/>
    <n v="0"/>
    <n v="1"/>
    <n v="0"/>
    <n v="0"/>
    <n v="0"/>
    <n v="0"/>
    <n v="0"/>
    <n v="0"/>
    <n v="0"/>
    <n v="0"/>
    <s v="Enligt SP 190924"/>
    <m/>
    <n v="0"/>
    <n v="0"/>
    <n v="0"/>
    <n v="0"/>
    <n v="0"/>
    <n v="0"/>
    <n v="1.6"/>
    <n v="1.36"/>
    <n v="0"/>
    <n v="0"/>
    <n v="0"/>
    <n v="0"/>
    <n v="0"/>
    <n v="0"/>
    <n v="0"/>
    <n v="0"/>
    <n v="0"/>
    <n v="0"/>
    <n v="0"/>
    <n v="0"/>
    <n v="0"/>
    <n v="0"/>
    <n v="0"/>
  </r>
  <r>
    <x v="243"/>
    <x v="239"/>
    <m/>
    <x v="1"/>
    <s v="H17"/>
    <x v="2"/>
    <s v="H191-5"/>
    <m/>
    <m/>
    <s v="MUSI"/>
    <m/>
    <n v="100"/>
    <x v="11"/>
    <m/>
    <m/>
    <n v="2"/>
    <n v="0.26666666666666666"/>
    <n v="0.85"/>
    <n v="0.22666666666666666"/>
    <n v="2180"/>
    <x v="0"/>
    <s v="Sam"/>
    <x v="1"/>
    <n v="23641"/>
    <n v="28786"/>
    <n v="12829.093333333332"/>
    <n v="5800"/>
    <n v="1546.6666666666667"/>
    <n v="14375.759999999998"/>
    <n v="0"/>
    <n v="0"/>
    <n v="0"/>
    <n v="1"/>
    <n v="0"/>
    <n v="0"/>
    <n v="0"/>
    <n v="0"/>
    <n v="0"/>
    <n v="0"/>
    <n v="0"/>
    <n v="0"/>
    <s v="Enligt SP 190924"/>
    <m/>
    <n v="0"/>
    <n v="0"/>
    <n v="0"/>
    <n v="0"/>
    <n v="0"/>
    <n v="0"/>
    <n v="0.26666666666666666"/>
    <n v="0.22666666666666666"/>
    <n v="0"/>
    <n v="0"/>
    <n v="0"/>
    <n v="0"/>
    <n v="0"/>
    <n v="0"/>
    <n v="0"/>
    <n v="0"/>
    <n v="0"/>
    <n v="0"/>
    <n v="0"/>
    <n v="0"/>
    <n v="0"/>
    <n v="0"/>
    <n v="0"/>
  </r>
  <r>
    <x v="243"/>
    <x v="239"/>
    <m/>
    <x v="1"/>
    <s v="H17"/>
    <x v="2"/>
    <s v="H191-5"/>
    <m/>
    <m/>
    <s v="RELK"/>
    <m/>
    <n v="100"/>
    <x v="11"/>
    <m/>
    <m/>
    <n v="4"/>
    <n v="0.53333333333333333"/>
    <n v="0.85"/>
    <n v="0.45333333333333331"/>
    <n v="2180"/>
    <x v="0"/>
    <s v="Sam"/>
    <x v="1"/>
    <n v="23641"/>
    <n v="28786"/>
    <n v="25658.186666666665"/>
    <n v="5800"/>
    <n v="3093.3333333333335"/>
    <n v="28751.519999999997"/>
    <n v="0"/>
    <n v="0"/>
    <n v="0"/>
    <n v="1"/>
    <n v="0"/>
    <n v="0"/>
    <n v="0"/>
    <n v="0"/>
    <n v="0"/>
    <n v="0"/>
    <n v="0"/>
    <n v="0"/>
    <s v="Enligt SP 190924"/>
    <m/>
    <n v="0"/>
    <n v="0"/>
    <n v="0"/>
    <n v="0"/>
    <n v="0"/>
    <n v="0"/>
    <n v="0.53333333333333333"/>
    <n v="0.45333333333333331"/>
    <n v="0"/>
    <n v="0"/>
    <n v="0"/>
    <n v="0"/>
    <n v="0"/>
    <n v="0"/>
    <n v="0"/>
    <n v="0"/>
    <n v="0"/>
    <n v="0"/>
    <n v="0"/>
    <n v="0"/>
    <n v="0"/>
    <n v="0"/>
    <n v="0"/>
  </r>
  <r>
    <x v="243"/>
    <x v="239"/>
    <m/>
    <x v="1"/>
    <s v="H17"/>
    <x v="2"/>
    <s v="H191-5"/>
    <m/>
    <m/>
    <s v="SAMK"/>
    <m/>
    <n v="100"/>
    <x v="11"/>
    <m/>
    <m/>
    <n v="6"/>
    <n v="0.8"/>
    <n v="0.85"/>
    <n v="0.68"/>
    <n v="2180"/>
    <x v="0"/>
    <s v="Sam"/>
    <x v="1"/>
    <n v="23641"/>
    <n v="28786"/>
    <n v="38487.279999999999"/>
    <n v="5800"/>
    <n v="4640"/>
    <n v="43127.28"/>
    <n v="0"/>
    <n v="0"/>
    <n v="0"/>
    <n v="1"/>
    <n v="0"/>
    <n v="0"/>
    <n v="0"/>
    <n v="0"/>
    <n v="0"/>
    <n v="0"/>
    <n v="0"/>
    <n v="0"/>
    <s v="Enligt SP 190924"/>
    <m/>
    <n v="0"/>
    <n v="0"/>
    <n v="0"/>
    <n v="0"/>
    <n v="0"/>
    <n v="0"/>
    <n v="0.8"/>
    <n v="0.68"/>
    <n v="0"/>
    <n v="0"/>
    <n v="0"/>
    <n v="0"/>
    <n v="0"/>
    <n v="0"/>
    <n v="0"/>
    <n v="0"/>
    <n v="0"/>
    <n v="0"/>
    <n v="0"/>
    <n v="0"/>
    <n v="0"/>
    <n v="0"/>
    <n v="0"/>
  </r>
  <r>
    <x v="243"/>
    <x v="239"/>
    <m/>
    <x v="1"/>
    <s v="H17"/>
    <x v="2"/>
    <s v="H191-5"/>
    <m/>
    <m/>
    <s v="SPAN"/>
    <m/>
    <n v="100"/>
    <x v="11"/>
    <m/>
    <m/>
    <n v="2"/>
    <n v="0.26666666666666666"/>
    <n v="0.85"/>
    <n v="0.22666666666666666"/>
    <n v="2180"/>
    <x v="0"/>
    <s v="Sam"/>
    <x v="1"/>
    <n v="23641"/>
    <n v="28786"/>
    <n v="12829.093333333332"/>
    <n v="5800"/>
    <n v="1546.6666666666667"/>
    <n v="14375.759999999998"/>
    <n v="0"/>
    <n v="0"/>
    <n v="0"/>
    <n v="1"/>
    <n v="0"/>
    <n v="0"/>
    <n v="0"/>
    <n v="0"/>
    <n v="0"/>
    <n v="0"/>
    <n v="0"/>
    <n v="0"/>
    <s v="Enligt SP 190924"/>
    <m/>
    <n v="0"/>
    <n v="0"/>
    <n v="0"/>
    <n v="0"/>
    <n v="0"/>
    <n v="0"/>
    <n v="0.26666666666666666"/>
    <n v="0.22666666666666666"/>
    <n v="0"/>
    <n v="0"/>
    <n v="0"/>
    <n v="0"/>
    <n v="0"/>
    <n v="0"/>
    <n v="0"/>
    <n v="0"/>
    <n v="0"/>
    <n v="0"/>
    <n v="0"/>
    <n v="0"/>
    <n v="0"/>
    <n v="0"/>
    <n v="0"/>
  </r>
  <r>
    <x v="243"/>
    <x v="239"/>
    <m/>
    <x v="1"/>
    <s v="H17"/>
    <x v="2"/>
    <s v="H191-5"/>
    <m/>
    <m/>
    <s v="SVAA"/>
    <m/>
    <n v="100"/>
    <x v="11"/>
    <m/>
    <m/>
    <n v="11"/>
    <n v="1.4666666666666666"/>
    <n v="0.85"/>
    <n v="1.2466666666666666"/>
    <n v="2180"/>
    <x v="0"/>
    <s v="Sam"/>
    <x v="1"/>
    <n v="23641"/>
    <n v="28786"/>
    <n v="70560.013333333336"/>
    <n v="5800"/>
    <n v="8506.6666666666661"/>
    <n v="79066.680000000008"/>
    <n v="0"/>
    <n v="0"/>
    <n v="0"/>
    <n v="1"/>
    <n v="0"/>
    <n v="0"/>
    <n v="0"/>
    <n v="0"/>
    <n v="0"/>
    <n v="0"/>
    <n v="0"/>
    <n v="0"/>
    <s v="Enligt SP 190924"/>
    <m/>
    <n v="0"/>
    <n v="0"/>
    <n v="0"/>
    <n v="0"/>
    <n v="0"/>
    <n v="0"/>
    <n v="1.4666666666666666"/>
    <n v="1.2466666666666666"/>
    <n v="0"/>
    <n v="0"/>
    <n v="0"/>
    <n v="0"/>
    <n v="0"/>
    <n v="0"/>
    <n v="0"/>
    <n v="0"/>
    <n v="0"/>
    <n v="0"/>
    <n v="0"/>
    <n v="0"/>
    <n v="0"/>
    <n v="0"/>
    <n v="0"/>
  </r>
  <r>
    <x v="243"/>
    <x v="239"/>
    <m/>
    <x v="1"/>
    <s v="H17"/>
    <x v="2"/>
    <s v="H191-5"/>
    <m/>
    <m/>
    <s v="TYSK"/>
    <m/>
    <n v="100"/>
    <x v="11"/>
    <m/>
    <m/>
    <n v="1"/>
    <n v="0.13333333333333333"/>
    <n v="0.85"/>
    <n v="0.11333333333333333"/>
    <n v="2180"/>
    <x v="0"/>
    <s v="Sam"/>
    <x v="1"/>
    <n v="23641"/>
    <n v="28786"/>
    <n v="6414.5466666666662"/>
    <n v="5800"/>
    <n v="773.33333333333337"/>
    <n v="7187.8799999999992"/>
    <n v="0"/>
    <n v="0"/>
    <n v="0"/>
    <n v="1"/>
    <n v="0"/>
    <n v="0"/>
    <n v="0"/>
    <n v="0"/>
    <n v="0"/>
    <n v="0"/>
    <n v="0"/>
    <n v="0"/>
    <s v="Enligt SP 190924"/>
    <m/>
    <n v="0"/>
    <n v="0"/>
    <n v="0"/>
    <n v="0"/>
    <n v="0"/>
    <n v="0"/>
    <n v="0.13333333333333333"/>
    <n v="0.11333333333333333"/>
    <n v="0"/>
    <n v="0"/>
    <n v="0"/>
    <n v="0"/>
    <n v="0"/>
    <n v="0"/>
    <n v="0"/>
    <n v="0"/>
    <n v="0"/>
    <n v="0"/>
    <n v="0"/>
    <n v="0"/>
    <n v="0"/>
    <n v="0"/>
    <n v="0"/>
  </r>
  <r>
    <x v="243"/>
    <x v="239"/>
    <m/>
    <x v="1"/>
    <s v="H18"/>
    <x v="2"/>
    <s v="H191-5"/>
    <m/>
    <m/>
    <s v="BIOL"/>
    <m/>
    <n v="100"/>
    <x v="11"/>
    <m/>
    <m/>
    <n v="3"/>
    <n v="0.4"/>
    <n v="0.85"/>
    <n v="0.34"/>
    <n v="2180"/>
    <x v="0"/>
    <s v="Sam"/>
    <x v="1"/>
    <n v="23641"/>
    <n v="28786"/>
    <n v="19243.64"/>
    <n v="5800"/>
    <n v="2320"/>
    <n v="21563.64"/>
    <n v="0"/>
    <n v="0"/>
    <n v="0"/>
    <n v="1"/>
    <n v="0"/>
    <n v="0"/>
    <n v="0"/>
    <n v="0"/>
    <n v="0"/>
    <n v="0"/>
    <n v="0"/>
    <n v="0"/>
    <s v="Enligt SP 190924"/>
    <m/>
    <n v="0"/>
    <n v="0"/>
    <n v="0"/>
    <n v="0"/>
    <n v="0"/>
    <n v="0"/>
    <n v="0.4"/>
    <n v="0.34"/>
    <n v="0"/>
    <n v="0"/>
    <n v="0"/>
    <n v="0"/>
    <n v="0"/>
    <n v="0"/>
    <n v="0"/>
    <n v="0"/>
    <n v="0"/>
    <n v="0"/>
    <n v="0"/>
    <n v="0"/>
    <n v="0"/>
    <n v="0"/>
    <n v="0"/>
  </r>
  <r>
    <x v="243"/>
    <x v="239"/>
    <m/>
    <x v="1"/>
    <s v="H18"/>
    <x v="2"/>
    <s v="H191-5"/>
    <m/>
    <m/>
    <s v="HIST"/>
    <m/>
    <n v="100"/>
    <x v="11"/>
    <m/>
    <m/>
    <n v="1"/>
    <n v="0.13333333333333333"/>
    <n v="0.85"/>
    <n v="0.11333333333333333"/>
    <n v="2180"/>
    <x v="0"/>
    <s v="Sam"/>
    <x v="1"/>
    <n v="23641"/>
    <n v="28786"/>
    <n v="6414.5466666666662"/>
    <n v="5800"/>
    <n v="773.33333333333337"/>
    <n v="7187.8799999999992"/>
    <n v="0"/>
    <n v="0"/>
    <n v="0"/>
    <n v="1"/>
    <n v="0"/>
    <n v="0"/>
    <n v="0"/>
    <n v="0"/>
    <n v="0"/>
    <n v="0"/>
    <n v="0"/>
    <n v="0"/>
    <s v="Enligt SP 190924"/>
    <m/>
    <n v="0"/>
    <n v="0"/>
    <n v="0"/>
    <n v="0"/>
    <n v="0"/>
    <n v="0"/>
    <n v="0.13333333333333333"/>
    <n v="0.11333333333333333"/>
    <n v="0"/>
    <n v="0"/>
    <n v="0"/>
    <n v="0"/>
    <n v="0"/>
    <n v="0"/>
    <n v="0"/>
    <n v="0"/>
    <n v="0"/>
    <n v="0"/>
    <n v="0"/>
    <n v="0"/>
    <n v="0"/>
    <n v="0"/>
    <n v="0"/>
  </r>
  <r>
    <x v="243"/>
    <x v="239"/>
    <m/>
    <x v="1"/>
    <s v="H18"/>
    <x v="2"/>
    <s v="H191-5"/>
    <m/>
    <m/>
    <s v="MATT"/>
    <m/>
    <n v="100"/>
    <x v="11"/>
    <m/>
    <m/>
    <n v="1"/>
    <n v="0.13333333333333333"/>
    <n v="0.85"/>
    <n v="0.11333333333333333"/>
    <n v="2180"/>
    <x v="0"/>
    <s v="Sam"/>
    <x v="1"/>
    <n v="23641"/>
    <n v="28786"/>
    <n v="6414.5466666666662"/>
    <n v="5800"/>
    <n v="773.33333333333337"/>
    <n v="7187.8799999999992"/>
    <n v="0"/>
    <n v="0"/>
    <n v="0"/>
    <n v="1"/>
    <n v="0"/>
    <n v="0"/>
    <n v="0"/>
    <n v="0"/>
    <n v="0"/>
    <n v="0"/>
    <n v="0"/>
    <n v="0"/>
    <s v="Enligt SP 190924"/>
    <m/>
    <n v="0"/>
    <n v="0"/>
    <n v="0"/>
    <n v="0"/>
    <n v="0"/>
    <n v="0"/>
    <n v="0.13333333333333333"/>
    <n v="0.11333333333333333"/>
    <n v="0"/>
    <n v="0"/>
    <n v="0"/>
    <n v="0"/>
    <n v="0"/>
    <n v="0"/>
    <n v="0"/>
    <n v="0"/>
    <n v="0"/>
    <n v="0"/>
    <n v="0"/>
    <n v="0"/>
    <n v="0"/>
    <n v="0"/>
    <n v="0"/>
  </r>
  <r>
    <x v="243"/>
    <x v="239"/>
    <m/>
    <x v="1"/>
    <s v="H18"/>
    <x v="2"/>
    <s v="H191-5"/>
    <m/>
    <m/>
    <s v="SVAN"/>
    <m/>
    <n v="100"/>
    <x v="11"/>
    <m/>
    <m/>
    <n v="1"/>
    <n v="0.13333333333333333"/>
    <n v="0.85"/>
    <n v="0.11333333333333333"/>
    <n v="2180"/>
    <x v="0"/>
    <s v="Sam"/>
    <x v="1"/>
    <n v="23641"/>
    <n v="28786"/>
    <n v="6414.5466666666662"/>
    <n v="5800"/>
    <n v="773.33333333333337"/>
    <n v="7187.8799999999992"/>
    <n v="0"/>
    <n v="0"/>
    <n v="0"/>
    <n v="1"/>
    <n v="0"/>
    <n v="0"/>
    <n v="0"/>
    <n v="0"/>
    <n v="0"/>
    <n v="0"/>
    <n v="0"/>
    <n v="0"/>
    <s v="Enligt SP 190924"/>
    <m/>
    <n v="0"/>
    <n v="0"/>
    <n v="0"/>
    <n v="0"/>
    <n v="0"/>
    <n v="0"/>
    <n v="0.13333333333333333"/>
    <n v="0.11333333333333333"/>
    <n v="0"/>
    <n v="0"/>
    <n v="0"/>
    <n v="0"/>
    <n v="0"/>
    <n v="0"/>
    <n v="0"/>
    <n v="0"/>
    <n v="0"/>
    <n v="0"/>
    <n v="0"/>
    <n v="0"/>
    <n v="0"/>
    <n v="0"/>
    <n v="0"/>
  </r>
  <r>
    <x v="244"/>
    <x v="240"/>
    <m/>
    <x v="12"/>
    <s v="V19"/>
    <x v="1"/>
    <s v="V1912-14"/>
    <s v="Umeå"/>
    <m/>
    <m/>
    <m/>
    <n v="100"/>
    <x v="0"/>
    <m/>
    <m/>
    <n v="14"/>
    <n v="1.75"/>
    <n v="0.85"/>
    <n v="1.4875"/>
    <n v="2180"/>
    <x v="0"/>
    <s v="Sam"/>
    <x v="12"/>
    <n v="23641"/>
    <n v="28786"/>
    <n v="84190.925000000003"/>
    <n v="5800"/>
    <n v="10150"/>
    <n v="94340.925000000003"/>
    <n v="0"/>
    <n v="0"/>
    <n v="0"/>
    <n v="1"/>
    <n v="0"/>
    <n v="0"/>
    <n v="0"/>
    <n v="0"/>
    <n v="0"/>
    <n v="0"/>
    <n v="0"/>
    <n v="0"/>
    <s v="Enl Ladok 190523"/>
    <m/>
    <n v="0"/>
    <n v="0"/>
    <n v="0"/>
    <n v="0"/>
    <n v="0"/>
    <n v="0"/>
    <n v="1.75"/>
    <n v="1.4875"/>
    <n v="0"/>
    <n v="0"/>
    <n v="0"/>
    <n v="0"/>
    <n v="0"/>
    <n v="0"/>
    <n v="0"/>
    <n v="0"/>
    <n v="0"/>
    <n v="0"/>
    <n v="0"/>
    <n v="0"/>
    <n v="0"/>
    <n v="0"/>
    <n v="0"/>
  </r>
  <r>
    <x v="244"/>
    <x v="240"/>
    <m/>
    <x v="5"/>
    <s v="H19"/>
    <x v="2"/>
    <s v="H1912-14"/>
    <m/>
    <m/>
    <s v="FHHK"/>
    <m/>
    <n v="150"/>
    <x v="0"/>
    <m/>
    <m/>
    <n v="2"/>
    <n v="0.25"/>
    <n v="0.85"/>
    <n v="0.21249999999999999"/>
    <n v="2180"/>
    <x v="0"/>
    <s v="Sam"/>
    <x v="5"/>
    <n v="23641"/>
    <n v="28786"/>
    <n v="12027.275"/>
    <n v="5800"/>
    <n v="1450"/>
    <n v="13477.275"/>
    <n v="0"/>
    <n v="0"/>
    <n v="0"/>
    <n v="1"/>
    <n v="0"/>
    <n v="0"/>
    <n v="0"/>
    <n v="0"/>
    <n v="0"/>
    <n v="0"/>
    <n v="0"/>
    <n v="0"/>
    <s v="Enligt SP 190924"/>
    <m/>
    <n v="0"/>
    <n v="0"/>
    <n v="0"/>
    <n v="0"/>
    <n v="0"/>
    <n v="0"/>
    <n v="0.25"/>
    <n v="0.21249999999999999"/>
    <n v="0"/>
    <n v="0"/>
    <n v="0"/>
    <n v="0"/>
    <n v="0"/>
    <n v="0"/>
    <n v="0"/>
    <n v="0"/>
    <n v="0"/>
    <n v="0"/>
    <n v="0"/>
    <n v="0"/>
    <n v="0"/>
    <n v="0"/>
    <n v="0"/>
  </r>
  <r>
    <x v="244"/>
    <x v="240"/>
    <m/>
    <x v="5"/>
    <s v="H19"/>
    <x v="2"/>
    <s v="H1912-14"/>
    <m/>
    <m/>
    <s v="FHOV"/>
    <m/>
    <n v="150"/>
    <x v="0"/>
    <m/>
    <m/>
    <n v="11"/>
    <n v="1.375"/>
    <n v="0.85"/>
    <n v="1.16875"/>
    <n v="2180"/>
    <x v="0"/>
    <s v="Sam"/>
    <x v="5"/>
    <n v="23641"/>
    <n v="28786"/>
    <n v="66150.012499999997"/>
    <n v="5800"/>
    <n v="7975"/>
    <n v="74125.012499999997"/>
    <n v="0"/>
    <n v="0"/>
    <n v="0"/>
    <n v="1"/>
    <n v="0"/>
    <n v="0"/>
    <n v="0"/>
    <n v="0"/>
    <n v="0"/>
    <n v="0"/>
    <n v="0"/>
    <n v="0"/>
    <s v="Enligt SP 190924"/>
    <m/>
    <n v="0"/>
    <n v="0"/>
    <n v="0"/>
    <n v="0"/>
    <n v="0"/>
    <n v="0"/>
    <n v="1.375"/>
    <n v="1.16875"/>
    <n v="0"/>
    <n v="0"/>
    <n v="0"/>
    <n v="0"/>
    <n v="0"/>
    <n v="0"/>
    <n v="0"/>
    <n v="0"/>
    <n v="0"/>
    <n v="0"/>
    <n v="0"/>
    <n v="0"/>
    <n v="0"/>
    <n v="0"/>
    <n v="0"/>
  </r>
  <r>
    <x v="244"/>
    <x v="240"/>
    <m/>
    <x v="5"/>
    <s v="H19"/>
    <x v="2"/>
    <s v="H1912-14"/>
    <m/>
    <m/>
    <s v="FHSL"/>
    <m/>
    <n v="150"/>
    <x v="0"/>
    <m/>
    <m/>
    <n v="4"/>
    <n v="0.5"/>
    <n v="0.85"/>
    <n v="0.42499999999999999"/>
    <n v="2180"/>
    <x v="0"/>
    <s v="Sam"/>
    <x v="5"/>
    <n v="23641"/>
    <n v="28786"/>
    <n v="24054.55"/>
    <n v="5800"/>
    <n v="2900"/>
    <n v="26954.55"/>
    <n v="0"/>
    <n v="0"/>
    <n v="0"/>
    <n v="1"/>
    <n v="0"/>
    <n v="0"/>
    <n v="0"/>
    <n v="0"/>
    <n v="0"/>
    <n v="0"/>
    <n v="0"/>
    <n v="0"/>
    <s v="Enligt SP 190924"/>
    <m/>
    <n v="0"/>
    <n v="0"/>
    <n v="0"/>
    <n v="0"/>
    <n v="0"/>
    <n v="0"/>
    <n v="0.5"/>
    <n v="0.42499999999999999"/>
    <n v="0"/>
    <n v="0"/>
    <n v="0"/>
    <n v="0"/>
    <n v="0"/>
    <n v="0"/>
    <n v="0"/>
    <n v="0"/>
    <n v="0"/>
    <n v="0"/>
    <n v="0"/>
    <n v="0"/>
    <n v="0"/>
    <n v="0"/>
    <n v="0"/>
  </r>
  <r>
    <x v="244"/>
    <x v="240"/>
    <m/>
    <x v="6"/>
    <s v="H08"/>
    <x v="2"/>
    <s v="H1912-14"/>
    <m/>
    <m/>
    <s v="FHOV"/>
    <m/>
    <n v="150"/>
    <x v="0"/>
    <m/>
    <m/>
    <n v="1"/>
    <n v="0.125"/>
    <n v="0.85"/>
    <n v="0.10625"/>
    <n v="2180"/>
    <x v="0"/>
    <s v="Sam"/>
    <x v="6"/>
    <n v="23641"/>
    <n v="28786"/>
    <n v="6013.6374999999998"/>
    <n v="5800"/>
    <n v="725"/>
    <n v="6738.6374999999998"/>
    <n v="0"/>
    <n v="0"/>
    <n v="0"/>
    <n v="1"/>
    <n v="0"/>
    <n v="0"/>
    <n v="0"/>
    <n v="0"/>
    <n v="0"/>
    <n v="0"/>
    <n v="0"/>
    <n v="0"/>
    <s v="Enligt SP 190924"/>
    <m/>
    <n v="0"/>
    <n v="0"/>
    <n v="0"/>
    <n v="0"/>
    <n v="0"/>
    <n v="0"/>
    <n v="0.125"/>
    <n v="0.10625"/>
    <n v="0"/>
    <n v="0"/>
    <n v="0"/>
    <n v="0"/>
    <n v="0"/>
    <n v="0"/>
    <n v="0"/>
    <n v="0"/>
    <n v="0"/>
    <n v="0"/>
    <n v="0"/>
    <n v="0"/>
    <n v="0"/>
    <n v="0"/>
    <n v="0"/>
  </r>
  <r>
    <x v="244"/>
    <x v="240"/>
    <m/>
    <x v="6"/>
    <s v="H19"/>
    <x v="2"/>
    <s v="H1912-14"/>
    <m/>
    <m/>
    <s v="FHFK"/>
    <m/>
    <n v="150"/>
    <x v="0"/>
    <m/>
    <m/>
    <n v="4"/>
    <n v="0.5"/>
    <n v="0.85"/>
    <n v="0.42499999999999999"/>
    <n v="2180"/>
    <x v="0"/>
    <s v="Sam"/>
    <x v="6"/>
    <n v="23641"/>
    <n v="28786"/>
    <n v="24054.55"/>
    <n v="5800"/>
    <n v="2900"/>
    <n v="26954.55"/>
    <n v="0"/>
    <n v="0"/>
    <n v="0"/>
    <n v="1"/>
    <n v="0"/>
    <n v="0"/>
    <n v="0"/>
    <n v="0"/>
    <n v="0"/>
    <n v="0"/>
    <n v="0"/>
    <n v="0"/>
    <s v="Enligt SP 190924"/>
    <m/>
    <n v="0"/>
    <n v="0"/>
    <n v="0"/>
    <n v="0"/>
    <n v="0"/>
    <n v="0"/>
    <n v="0.5"/>
    <n v="0.42499999999999999"/>
    <n v="0"/>
    <n v="0"/>
    <n v="0"/>
    <n v="0"/>
    <n v="0"/>
    <n v="0"/>
    <n v="0"/>
    <n v="0"/>
    <n v="0"/>
    <n v="0"/>
    <n v="0"/>
    <n v="0"/>
    <n v="0"/>
    <n v="0"/>
    <n v="0"/>
  </r>
  <r>
    <x v="244"/>
    <x v="240"/>
    <m/>
    <x v="6"/>
    <s v="H19"/>
    <x v="2"/>
    <s v="H1912-14"/>
    <m/>
    <m/>
    <s v="FHOV"/>
    <m/>
    <n v="150"/>
    <x v="0"/>
    <m/>
    <m/>
    <n v="18"/>
    <n v="2.25"/>
    <n v="0.85"/>
    <n v="1.9124999999999999"/>
    <n v="2180"/>
    <x v="0"/>
    <s v="Sam"/>
    <x v="6"/>
    <n v="23641"/>
    <n v="28786"/>
    <n v="108245.47500000001"/>
    <n v="5800"/>
    <n v="13050"/>
    <n v="121295.47500000001"/>
    <n v="0"/>
    <n v="0"/>
    <n v="0"/>
    <n v="1"/>
    <n v="0"/>
    <n v="0"/>
    <n v="0"/>
    <n v="0"/>
    <n v="0"/>
    <n v="0"/>
    <n v="0"/>
    <n v="0"/>
    <s v="Enligt SP 190924"/>
    <m/>
    <n v="0"/>
    <n v="0"/>
    <n v="0"/>
    <n v="0"/>
    <n v="0"/>
    <n v="0"/>
    <n v="2.25"/>
    <n v="1.9124999999999999"/>
    <n v="0"/>
    <n v="0"/>
    <n v="0"/>
    <n v="0"/>
    <n v="0"/>
    <n v="0"/>
    <n v="0"/>
    <n v="0"/>
    <n v="0"/>
    <n v="0"/>
    <n v="0"/>
    <n v="0"/>
    <n v="0"/>
    <n v="0"/>
    <n v="0"/>
  </r>
  <r>
    <x v="244"/>
    <x v="240"/>
    <m/>
    <x v="6"/>
    <s v="H19"/>
    <x v="2"/>
    <s v="H1912-14"/>
    <m/>
    <m/>
    <s v="GYFH"/>
    <m/>
    <n v="150"/>
    <x v="0"/>
    <m/>
    <m/>
    <n v="2"/>
    <n v="0.25"/>
    <n v="0.85"/>
    <n v="0.21249999999999999"/>
    <n v="2180"/>
    <x v="0"/>
    <s v="Sam"/>
    <x v="6"/>
    <n v="23641"/>
    <n v="28786"/>
    <n v="12027.275"/>
    <n v="5800"/>
    <n v="1450"/>
    <n v="13477.275"/>
    <n v="0"/>
    <n v="0"/>
    <n v="0"/>
    <n v="1"/>
    <n v="0"/>
    <n v="0"/>
    <n v="0"/>
    <n v="0"/>
    <n v="0"/>
    <n v="0"/>
    <n v="0"/>
    <n v="0"/>
    <s v="Enligt SP 190924"/>
    <m/>
    <n v="0"/>
    <n v="0"/>
    <n v="0"/>
    <n v="0"/>
    <n v="0"/>
    <n v="0"/>
    <n v="0.25"/>
    <n v="0.21249999999999999"/>
    <n v="0"/>
    <n v="0"/>
    <n v="0"/>
    <n v="0"/>
    <n v="0"/>
    <n v="0"/>
    <n v="0"/>
    <n v="0"/>
    <n v="0"/>
    <n v="0"/>
    <n v="0"/>
    <n v="0"/>
    <n v="0"/>
    <n v="0"/>
    <n v="0"/>
  </r>
  <r>
    <x v="245"/>
    <x v="241"/>
    <m/>
    <x v="8"/>
    <s v="H18"/>
    <x v="1"/>
    <s v="V191-10"/>
    <s v="Umeå"/>
    <m/>
    <m/>
    <m/>
    <n v="100"/>
    <x v="1"/>
    <m/>
    <m/>
    <n v="1"/>
    <n v="0.25"/>
    <n v="0.85"/>
    <n v="0.21249999999999999"/>
    <n v="2193"/>
    <x v="1"/>
    <s v="Sam"/>
    <x v="8"/>
    <n v="18405"/>
    <n v="15773"/>
    <n v="7953.0124999999998"/>
    <n v="5800"/>
    <n v="1450"/>
    <n v="9403.0125000000007"/>
    <n v="0"/>
    <n v="0"/>
    <n v="0"/>
    <n v="0"/>
    <n v="0"/>
    <n v="0"/>
    <n v="1"/>
    <n v="0"/>
    <n v="0"/>
    <n v="0"/>
    <n v="0"/>
    <n v="0"/>
    <s v="Enl Ladok 190318"/>
    <m/>
    <n v="0"/>
    <n v="0"/>
    <n v="0"/>
    <n v="0"/>
    <n v="0"/>
    <n v="0"/>
    <n v="0"/>
    <n v="0"/>
    <n v="0"/>
    <n v="0"/>
    <n v="0"/>
    <n v="0"/>
    <n v="0.25"/>
    <n v="0.21249999999999999"/>
    <n v="0"/>
    <n v="0"/>
    <n v="0"/>
    <n v="0"/>
    <n v="0"/>
    <n v="0"/>
    <n v="0"/>
    <n v="0"/>
    <n v="0"/>
  </r>
  <r>
    <x v="245"/>
    <x v="241"/>
    <m/>
    <x v="8"/>
    <s v="H18"/>
    <x v="1"/>
    <s v="V191-10"/>
    <s v="Umeå"/>
    <m/>
    <m/>
    <m/>
    <n v="100"/>
    <x v="1"/>
    <m/>
    <m/>
    <n v="25"/>
    <n v="6.25"/>
    <n v="0.85"/>
    <n v="5.3125"/>
    <n v="2193"/>
    <x v="1"/>
    <s v="Sam"/>
    <x v="8"/>
    <n v="18405"/>
    <n v="15773"/>
    <n v="198825.3125"/>
    <n v="5800"/>
    <n v="36250"/>
    <n v="235075.3125"/>
    <n v="0"/>
    <n v="0"/>
    <n v="0"/>
    <n v="0"/>
    <n v="0"/>
    <n v="0"/>
    <n v="1"/>
    <n v="0"/>
    <n v="0"/>
    <n v="0"/>
    <n v="0"/>
    <n v="0"/>
    <s v="Enl Ladok 190318"/>
    <m/>
    <n v="0"/>
    <n v="0"/>
    <n v="0"/>
    <n v="0"/>
    <n v="0"/>
    <n v="0"/>
    <n v="0"/>
    <n v="0"/>
    <n v="0"/>
    <n v="0"/>
    <n v="0"/>
    <n v="0"/>
    <n v="6.25"/>
    <n v="5.3125"/>
    <n v="0"/>
    <n v="0"/>
    <n v="0"/>
    <n v="0"/>
    <n v="0"/>
    <n v="0"/>
    <n v="0"/>
    <n v="0"/>
    <n v="0"/>
  </r>
  <r>
    <x v="246"/>
    <x v="242"/>
    <m/>
    <x v="8"/>
    <s v="H17"/>
    <x v="1"/>
    <s v="V1914-20"/>
    <s v="Umeå"/>
    <m/>
    <m/>
    <m/>
    <n v="100"/>
    <x v="15"/>
    <m/>
    <m/>
    <n v="15"/>
    <n v="2.75"/>
    <n v="0.85"/>
    <n v="2.3374999999999999"/>
    <n v="2193"/>
    <x v="1"/>
    <s v="Sam"/>
    <x v="8"/>
    <n v="21634"/>
    <n v="26986"/>
    <n v="122573.27499999999"/>
    <n v="3400"/>
    <n v="9350"/>
    <n v="131923.27499999999"/>
    <n v="0"/>
    <n v="0"/>
    <n v="0"/>
    <n v="0"/>
    <n v="0"/>
    <n v="0"/>
    <n v="0"/>
    <n v="0"/>
    <n v="1"/>
    <n v="0"/>
    <n v="0"/>
    <n v="0"/>
    <s v="Enl Ladok 190523"/>
    <m/>
    <n v="0"/>
    <n v="0"/>
    <n v="0"/>
    <n v="0"/>
    <n v="0"/>
    <n v="0"/>
    <n v="0"/>
    <n v="0"/>
    <n v="0"/>
    <n v="0"/>
    <n v="0"/>
    <n v="0"/>
    <n v="0"/>
    <n v="0"/>
    <n v="0"/>
    <n v="0"/>
    <n v="2.75"/>
    <n v="2.3374999999999999"/>
    <n v="0"/>
    <n v="0"/>
    <n v="0"/>
    <n v="0"/>
    <n v="0"/>
  </r>
  <r>
    <x v="247"/>
    <x v="243"/>
    <m/>
    <x v="12"/>
    <s v="V19"/>
    <x v="2"/>
    <s v="H191-20"/>
    <m/>
    <m/>
    <m/>
    <m/>
    <n v="100"/>
    <x v="16"/>
    <m/>
    <m/>
    <n v="14"/>
    <n v="6.6499999999999995"/>
    <n v="0.85"/>
    <n v="5.652499999999999"/>
    <n v="5740"/>
    <x v="9"/>
    <s v="TekNat"/>
    <x v="12"/>
    <n v="21634"/>
    <n v="26986"/>
    <n v="296404.46499999997"/>
    <n v="3400"/>
    <n v="22610"/>
    <n v="319014.46499999997"/>
    <n v="0"/>
    <n v="0"/>
    <n v="0"/>
    <n v="0"/>
    <n v="0"/>
    <n v="0"/>
    <n v="0"/>
    <n v="0"/>
    <n v="1"/>
    <n v="0"/>
    <n v="0"/>
    <n v="0"/>
    <s v="Enligt SP 190924"/>
    <m/>
    <n v="0"/>
    <n v="0"/>
    <n v="0"/>
    <n v="0"/>
    <n v="0"/>
    <n v="0"/>
    <n v="0"/>
    <n v="0"/>
    <n v="0"/>
    <n v="0"/>
    <n v="0"/>
    <n v="0"/>
    <n v="0"/>
    <n v="0"/>
    <n v="0"/>
    <n v="0"/>
    <n v="6.6499999999999995"/>
    <n v="5.652499999999999"/>
    <n v="0"/>
    <n v="0"/>
    <n v="0"/>
    <n v="0"/>
    <n v="0"/>
  </r>
  <r>
    <x v="247"/>
    <x v="243"/>
    <m/>
    <x v="5"/>
    <s v="H17"/>
    <x v="1"/>
    <s v="V191-20"/>
    <s v="Umeå"/>
    <m/>
    <m/>
    <m/>
    <n v="150"/>
    <x v="16"/>
    <m/>
    <m/>
    <n v="0"/>
    <n v="0"/>
    <n v="0.85"/>
    <n v="0"/>
    <n v="5740"/>
    <x v="9"/>
    <s v="TekNat"/>
    <x v="5"/>
    <n v="21634"/>
    <n v="26986"/>
    <n v="0"/>
    <n v="3400"/>
    <n v="0"/>
    <n v="0"/>
    <n v="0"/>
    <n v="0"/>
    <n v="0"/>
    <n v="0"/>
    <n v="0"/>
    <n v="0"/>
    <n v="0"/>
    <n v="0"/>
    <n v="1"/>
    <n v="0"/>
    <n v="0"/>
    <n v="0"/>
    <s v="Enl Ladok 190318"/>
    <m/>
    <n v="0"/>
    <n v="0"/>
    <n v="0"/>
    <n v="0"/>
    <n v="0"/>
    <n v="0"/>
    <n v="0"/>
    <n v="0"/>
    <n v="0"/>
    <n v="0"/>
    <n v="0"/>
    <n v="0"/>
    <n v="0"/>
    <n v="0"/>
    <n v="0"/>
    <n v="0"/>
    <n v="0"/>
    <n v="0"/>
    <n v="0"/>
    <n v="0"/>
    <n v="0"/>
    <n v="0"/>
    <n v="0"/>
  </r>
  <r>
    <x v="247"/>
    <x v="243"/>
    <m/>
    <x v="5"/>
    <s v="H18"/>
    <x v="1"/>
    <s v="V191-20"/>
    <s v="Umeå"/>
    <m/>
    <m/>
    <m/>
    <n v="150"/>
    <x v="16"/>
    <m/>
    <m/>
    <n v="11"/>
    <n v="5.2249999999999996"/>
    <n v="0.85"/>
    <n v="4.4412499999999993"/>
    <n v="5740"/>
    <x v="9"/>
    <s v="TekNat"/>
    <x v="5"/>
    <n v="21634"/>
    <n v="26986"/>
    <n v="232889.22249999997"/>
    <n v="3400"/>
    <n v="17765"/>
    <n v="250654.22249999997"/>
    <n v="0"/>
    <n v="0"/>
    <n v="0"/>
    <n v="0"/>
    <n v="0"/>
    <n v="0"/>
    <n v="0"/>
    <n v="0"/>
    <n v="1"/>
    <n v="0"/>
    <n v="0"/>
    <n v="0"/>
    <s v="Enl Ladok 190318"/>
    <m/>
    <n v="0"/>
    <n v="0"/>
    <n v="0"/>
    <n v="0"/>
    <n v="0"/>
    <n v="0"/>
    <n v="0"/>
    <n v="0"/>
    <n v="0"/>
    <n v="0"/>
    <n v="0"/>
    <n v="0"/>
    <n v="0"/>
    <n v="0"/>
    <n v="0"/>
    <n v="0"/>
    <n v="5.2249999999999996"/>
    <n v="4.4412499999999993"/>
    <n v="0"/>
    <n v="0"/>
    <n v="0"/>
    <n v="0"/>
    <n v="0"/>
  </r>
  <r>
    <x v="247"/>
    <x v="243"/>
    <m/>
    <x v="6"/>
    <s v="H16"/>
    <x v="1"/>
    <s v="V191-20"/>
    <s v="Umeå"/>
    <m/>
    <m/>
    <m/>
    <n v="150"/>
    <x v="16"/>
    <m/>
    <m/>
    <n v="1"/>
    <n v="0.47499999999999998"/>
    <n v="0.85"/>
    <n v="0.40375"/>
    <n v="5740"/>
    <x v="9"/>
    <s v="TekNat"/>
    <x v="6"/>
    <n v="21634"/>
    <n v="26986"/>
    <n v="21171.747499999998"/>
    <n v="3400"/>
    <n v="1615"/>
    <n v="22786.747499999998"/>
    <n v="0"/>
    <n v="0"/>
    <n v="0"/>
    <n v="0"/>
    <n v="0"/>
    <n v="0"/>
    <n v="0"/>
    <n v="0"/>
    <n v="1"/>
    <n v="0"/>
    <n v="0"/>
    <n v="0"/>
    <s v="Enl Ladok 190318"/>
    <m/>
    <n v="0"/>
    <n v="0"/>
    <n v="0"/>
    <n v="0"/>
    <n v="0"/>
    <n v="0"/>
    <n v="0"/>
    <n v="0"/>
    <n v="0"/>
    <n v="0"/>
    <n v="0"/>
    <n v="0"/>
    <n v="0"/>
    <n v="0"/>
    <n v="0"/>
    <n v="0"/>
    <n v="0.47499999999999998"/>
    <n v="0.40375"/>
    <n v="0"/>
    <n v="0"/>
    <n v="0"/>
    <n v="0"/>
    <n v="0"/>
  </r>
  <r>
    <x v="247"/>
    <x v="243"/>
    <m/>
    <x v="6"/>
    <s v="H18"/>
    <x v="1"/>
    <s v="V191-20"/>
    <s v="Umeå"/>
    <m/>
    <m/>
    <m/>
    <n v="150"/>
    <x v="16"/>
    <m/>
    <m/>
    <n v="13"/>
    <n v="6.1749999999999998"/>
    <n v="0.85"/>
    <n v="5.2487499999999994"/>
    <n v="5740"/>
    <x v="9"/>
    <s v="TekNat"/>
    <x v="6"/>
    <n v="21634"/>
    <n v="26986"/>
    <n v="275232.71749999997"/>
    <n v="3400"/>
    <n v="20995"/>
    <n v="296227.71749999997"/>
    <n v="0"/>
    <n v="0"/>
    <n v="0"/>
    <n v="0"/>
    <n v="0"/>
    <n v="0"/>
    <n v="0"/>
    <n v="0"/>
    <n v="1"/>
    <n v="0"/>
    <n v="0"/>
    <n v="0"/>
    <s v="Enl Ladok 190318"/>
    <m/>
    <n v="0"/>
    <n v="0"/>
    <n v="0"/>
    <n v="0"/>
    <n v="0"/>
    <n v="0"/>
    <n v="0"/>
    <n v="0"/>
    <n v="0"/>
    <n v="0"/>
    <n v="0"/>
    <n v="0"/>
    <n v="0"/>
    <n v="0"/>
    <n v="0"/>
    <n v="0"/>
    <n v="6.1749999999999998"/>
    <n v="5.2487499999999994"/>
    <n v="0"/>
    <n v="0"/>
    <n v="0"/>
    <n v="0"/>
    <n v="0"/>
  </r>
  <r>
    <x v="248"/>
    <x v="244"/>
    <m/>
    <x v="12"/>
    <s v="V19"/>
    <x v="1"/>
    <s v="V1919-20:H191-20"/>
    <s v="Umeå"/>
    <m/>
    <m/>
    <m/>
    <n v="33"/>
    <x v="17"/>
    <m/>
    <m/>
    <n v="13"/>
    <n v="0.49833333333333329"/>
    <n v="0.85"/>
    <n v="0.42358333333333331"/>
    <n v="5740"/>
    <x v="9"/>
    <s v="TekNat"/>
    <x v="12"/>
    <n v="23641"/>
    <n v="28786"/>
    <n v="23974.368166666663"/>
    <n v="5800"/>
    <n v="2890.333333333333"/>
    <n v="26864.701499999996"/>
    <n v="0"/>
    <n v="0"/>
    <n v="0"/>
    <n v="1"/>
    <n v="0"/>
    <n v="0"/>
    <n v="0"/>
    <n v="0"/>
    <n v="0"/>
    <n v="0"/>
    <n v="0"/>
    <n v="0"/>
    <s v="Enl uppg från Andreas N"/>
    <s v="Läser 2,3 av 15 hp denna termin"/>
    <n v="0"/>
    <n v="0"/>
    <n v="0"/>
    <n v="0"/>
    <n v="0"/>
    <n v="0"/>
    <n v="0.49833333333333329"/>
    <n v="0.42358333333333331"/>
    <n v="0"/>
    <n v="0"/>
    <n v="0"/>
    <n v="0"/>
    <n v="0"/>
    <n v="0"/>
    <n v="0"/>
    <n v="0"/>
    <n v="0"/>
    <n v="0"/>
    <n v="0"/>
    <n v="0"/>
    <n v="0"/>
    <n v="0"/>
    <n v="0"/>
  </r>
  <r>
    <x v="248"/>
    <x v="244"/>
    <m/>
    <x v="12"/>
    <s v="V19"/>
    <x v="2"/>
    <s v="V1919-20:H191-20"/>
    <m/>
    <m/>
    <m/>
    <m/>
    <n v="33"/>
    <x v="18"/>
    <m/>
    <m/>
    <n v="13"/>
    <n v="2.7516666666666665"/>
    <n v="0.85"/>
    <n v="2.3389166666666665"/>
    <n v="5740"/>
    <x v="9"/>
    <s v="TekNat"/>
    <x v="12"/>
    <n v="23641"/>
    <n v="28786"/>
    <n v="132380.20683333333"/>
    <n v="5800"/>
    <n v="15959.666666666666"/>
    <n v="148339.87349999999"/>
    <n v="0"/>
    <n v="0"/>
    <n v="0"/>
    <n v="1"/>
    <n v="0"/>
    <n v="0"/>
    <n v="0"/>
    <n v="0"/>
    <n v="0"/>
    <n v="0"/>
    <n v="0"/>
    <n v="0"/>
    <s v="Enligt SP 190924"/>
    <s v="Läser 12,7 av 15 hp denna termin"/>
    <n v="0"/>
    <n v="0"/>
    <n v="0"/>
    <n v="0"/>
    <n v="0"/>
    <n v="0"/>
    <n v="2.7516666666666665"/>
    <n v="2.3389166666666665"/>
    <n v="0"/>
    <n v="0"/>
    <n v="0"/>
    <n v="0"/>
    <n v="0"/>
    <n v="0"/>
    <n v="0"/>
    <n v="0"/>
    <n v="0"/>
    <n v="0"/>
    <n v="0"/>
    <n v="0"/>
    <n v="0"/>
    <n v="0"/>
    <n v="0"/>
  </r>
  <r>
    <x v="248"/>
    <x v="244"/>
    <m/>
    <x v="5"/>
    <s v="H17"/>
    <x v="1"/>
    <s v="V191-20"/>
    <s v="Umeå"/>
    <m/>
    <m/>
    <m/>
    <n v="150"/>
    <x v="1"/>
    <m/>
    <m/>
    <n v="1"/>
    <n v="0.25"/>
    <n v="0.85"/>
    <n v="0.21249999999999999"/>
    <n v="5740"/>
    <x v="9"/>
    <s v="TekNat"/>
    <x v="5"/>
    <n v="23641"/>
    <n v="28786"/>
    <n v="12027.275"/>
    <n v="5800"/>
    <n v="1450"/>
    <n v="13477.275"/>
    <n v="0"/>
    <n v="0"/>
    <n v="0"/>
    <n v="1"/>
    <n v="0"/>
    <n v="0"/>
    <n v="0"/>
    <n v="0"/>
    <n v="0"/>
    <n v="0"/>
    <n v="0"/>
    <n v="0"/>
    <s v="Enl Ladok 190318"/>
    <m/>
    <n v="0"/>
    <n v="0"/>
    <n v="0"/>
    <n v="0"/>
    <n v="0"/>
    <n v="0"/>
    <n v="0.25"/>
    <n v="0.21249999999999999"/>
    <n v="0"/>
    <n v="0"/>
    <n v="0"/>
    <n v="0"/>
    <n v="0"/>
    <n v="0"/>
    <n v="0"/>
    <n v="0"/>
    <n v="0"/>
    <n v="0"/>
    <n v="0"/>
    <n v="0"/>
    <n v="0"/>
    <n v="0"/>
    <n v="0"/>
  </r>
  <r>
    <x v="248"/>
    <x v="244"/>
    <m/>
    <x v="5"/>
    <s v="H18"/>
    <x v="1"/>
    <s v="V191-20"/>
    <s v="Umeå"/>
    <m/>
    <m/>
    <m/>
    <n v="150"/>
    <x v="1"/>
    <m/>
    <m/>
    <n v="13"/>
    <n v="3.25"/>
    <n v="0.85"/>
    <n v="2.7624999999999997"/>
    <n v="5740"/>
    <x v="9"/>
    <s v="TekNat"/>
    <x v="5"/>
    <n v="23641"/>
    <n v="28786"/>
    <n v="156354.57500000001"/>
    <n v="5800"/>
    <n v="18850"/>
    <n v="175204.57500000001"/>
    <n v="0"/>
    <n v="0"/>
    <n v="0"/>
    <n v="1"/>
    <n v="0"/>
    <n v="0"/>
    <n v="0"/>
    <n v="0"/>
    <n v="0"/>
    <n v="0"/>
    <n v="0"/>
    <n v="0"/>
    <s v="Enl Ladok 190318"/>
    <m/>
    <n v="0"/>
    <n v="0"/>
    <n v="0"/>
    <n v="0"/>
    <n v="0"/>
    <n v="0"/>
    <n v="3.25"/>
    <n v="2.7624999999999997"/>
    <n v="0"/>
    <n v="0"/>
    <n v="0"/>
    <n v="0"/>
    <n v="0"/>
    <n v="0"/>
    <n v="0"/>
    <n v="0"/>
    <n v="0"/>
    <n v="0"/>
    <n v="0"/>
    <n v="0"/>
    <n v="0"/>
    <n v="0"/>
    <n v="0"/>
  </r>
  <r>
    <x v="248"/>
    <x v="244"/>
    <m/>
    <x v="6"/>
    <s v="H16"/>
    <x v="1"/>
    <s v="V191-20"/>
    <s v="Umeå"/>
    <m/>
    <m/>
    <m/>
    <n v="150"/>
    <x v="1"/>
    <m/>
    <m/>
    <n v="1"/>
    <n v="0.25"/>
    <n v="0.85"/>
    <n v="0.21249999999999999"/>
    <n v="5740"/>
    <x v="9"/>
    <s v="TekNat"/>
    <x v="6"/>
    <n v="23641"/>
    <n v="28786"/>
    <n v="12027.275"/>
    <n v="5800"/>
    <n v="1450"/>
    <n v="13477.275"/>
    <n v="0"/>
    <n v="0"/>
    <n v="0"/>
    <n v="1"/>
    <n v="0"/>
    <n v="0"/>
    <n v="0"/>
    <n v="0"/>
    <n v="0"/>
    <n v="0"/>
    <n v="0"/>
    <n v="0"/>
    <s v="Enl Ladok 190318"/>
    <m/>
    <n v="0"/>
    <n v="0"/>
    <n v="0"/>
    <n v="0"/>
    <n v="0"/>
    <n v="0"/>
    <n v="0.25"/>
    <n v="0.21249999999999999"/>
    <n v="0"/>
    <n v="0"/>
    <n v="0"/>
    <n v="0"/>
    <n v="0"/>
    <n v="0"/>
    <n v="0"/>
    <n v="0"/>
    <n v="0"/>
    <n v="0"/>
    <n v="0"/>
    <n v="0"/>
    <n v="0"/>
    <n v="0"/>
    <n v="0"/>
  </r>
  <r>
    <x v="248"/>
    <x v="244"/>
    <m/>
    <x v="6"/>
    <s v="H18"/>
    <x v="1"/>
    <s v="V191-20"/>
    <s v="Umeå"/>
    <m/>
    <m/>
    <m/>
    <n v="150"/>
    <x v="1"/>
    <m/>
    <m/>
    <n v="13"/>
    <n v="3.25"/>
    <n v="0.85"/>
    <n v="2.7624999999999997"/>
    <n v="5740"/>
    <x v="9"/>
    <s v="TekNat"/>
    <x v="6"/>
    <n v="23641"/>
    <n v="28786"/>
    <n v="156354.57500000001"/>
    <n v="5800"/>
    <n v="18850"/>
    <n v="175204.57500000001"/>
    <n v="0"/>
    <n v="0"/>
    <n v="0"/>
    <n v="1"/>
    <n v="0"/>
    <n v="0"/>
    <n v="0"/>
    <n v="0"/>
    <n v="0"/>
    <n v="0"/>
    <n v="0"/>
    <n v="0"/>
    <s v="Enl Ladok 190318"/>
    <m/>
    <n v="0"/>
    <n v="0"/>
    <n v="0"/>
    <n v="0"/>
    <n v="0"/>
    <n v="0"/>
    <n v="3.25"/>
    <n v="2.7624999999999997"/>
    <n v="0"/>
    <n v="0"/>
    <n v="0"/>
    <n v="0"/>
    <n v="0"/>
    <n v="0"/>
    <n v="0"/>
    <n v="0"/>
    <n v="0"/>
    <n v="0"/>
    <n v="0"/>
    <n v="0"/>
    <n v="0"/>
    <n v="0"/>
    <n v="0"/>
  </r>
  <r>
    <x v="249"/>
    <x v="245"/>
    <m/>
    <x v="8"/>
    <s v="H17"/>
    <x v="1"/>
    <s v="V197-13"/>
    <s v="Umeå"/>
    <m/>
    <m/>
    <m/>
    <n v="100"/>
    <x v="15"/>
    <m/>
    <m/>
    <n v="13"/>
    <n v="2.3833333333333333"/>
    <n v="0.85"/>
    <n v="2.0258333333333334"/>
    <n v="5740"/>
    <x v="9"/>
    <s v="TekNat"/>
    <x v="8"/>
    <n v="23641"/>
    <n v="28786"/>
    <n v="114660.02166666667"/>
    <n v="5800"/>
    <n v="13823.333333333334"/>
    <n v="128483.355"/>
    <n v="0"/>
    <n v="0"/>
    <n v="0"/>
    <n v="1"/>
    <n v="0"/>
    <n v="0"/>
    <n v="0"/>
    <n v="0"/>
    <n v="0"/>
    <n v="0"/>
    <n v="0"/>
    <n v="0"/>
    <s v="Enl Ladok 190523"/>
    <m/>
    <n v="0"/>
    <n v="0"/>
    <n v="0"/>
    <n v="0"/>
    <n v="0"/>
    <n v="0"/>
    <n v="2.3833333333333333"/>
    <n v="2.0258333333333334"/>
    <n v="0"/>
    <n v="0"/>
    <n v="0"/>
    <n v="0"/>
    <n v="0"/>
    <n v="0"/>
    <n v="0"/>
    <n v="0"/>
    <n v="0"/>
    <n v="0"/>
    <n v="0"/>
    <n v="0"/>
    <n v="0"/>
    <n v="0"/>
    <n v="0"/>
  </r>
  <r>
    <x v="249"/>
    <x v="245"/>
    <m/>
    <x v="2"/>
    <s v="H17"/>
    <x v="1"/>
    <s v="V197-13"/>
    <s v="Umeå"/>
    <m/>
    <m/>
    <m/>
    <n v="100"/>
    <x v="15"/>
    <m/>
    <m/>
    <n v="35"/>
    <n v="6.4166666666666661"/>
    <n v="0.85"/>
    <n v="5.4541666666666657"/>
    <n v="5740"/>
    <x v="9"/>
    <s v="TekNat"/>
    <x v="2"/>
    <n v="23641"/>
    <n v="28786"/>
    <n v="308700.05833333329"/>
    <n v="5800"/>
    <n v="37216.666666666664"/>
    <n v="345916.72499999998"/>
    <n v="0"/>
    <n v="0"/>
    <n v="0"/>
    <n v="1"/>
    <n v="0"/>
    <n v="0"/>
    <n v="0"/>
    <n v="0"/>
    <n v="0"/>
    <n v="0"/>
    <n v="0"/>
    <n v="0"/>
    <s v="Enl Ladok 190523"/>
    <m/>
    <n v="0"/>
    <n v="0"/>
    <n v="0"/>
    <n v="0"/>
    <n v="0"/>
    <n v="0"/>
    <n v="6.4166666666666661"/>
    <n v="5.4541666666666657"/>
    <n v="0"/>
    <n v="0"/>
    <n v="0"/>
    <n v="0"/>
    <n v="0"/>
    <n v="0"/>
    <n v="0"/>
    <n v="0"/>
    <n v="0"/>
    <n v="0"/>
    <n v="0"/>
    <n v="0"/>
    <n v="0"/>
    <n v="0"/>
    <n v="0"/>
  </r>
  <r>
    <x v="249"/>
    <x v="245"/>
    <m/>
    <x v="3"/>
    <s v="H16"/>
    <x v="1"/>
    <s v="V197-13"/>
    <s v="Umeå"/>
    <m/>
    <m/>
    <m/>
    <n v="100"/>
    <x v="15"/>
    <m/>
    <m/>
    <n v="1"/>
    <n v="0.18333333333333332"/>
    <n v="0.85"/>
    <n v="0.15583333333333332"/>
    <n v="5740"/>
    <x v="9"/>
    <s v="TekNat"/>
    <x v="3"/>
    <n v="23641"/>
    <n v="28786"/>
    <n v="8820.001666666667"/>
    <n v="5800"/>
    <n v="1063.3333333333333"/>
    <n v="9883.3350000000009"/>
    <n v="0"/>
    <n v="0"/>
    <n v="0"/>
    <n v="1"/>
    <n v="0"/>
    <n v="0"/>
    <n v="0"/>
    <n v="0"/>
    <n v="0"/>
    <n v="0"/>
    <n v="0"/>
    <n v="0"/>
    <s v="Enl Ladok 190523"/>
    <m/>
    <n v="0"/>
    <n v="0"/>
    <n v="0"/>
    <n v="0"/>
    <n v="0"/>
    <n v="0"/>
    <n v="0.18333333333333332"/>
    <n v="0.15583333333333332"/>
    <n v="0"/>
    <n v="0"/>
    <n v="0"/>
    <n v="0"/>
    <n v="0"/>
    <n v="0"/>
    <n v="0"/>
    <n v="0"/>
    <n v="0"/>
    <n v="0"/>
    <n v="0"/>
    <n v="0"/>
    <n v="0"/>
    <n v="0"/>
    <n v="0"/>
  </r>
  <r>
    <x v="249"/>
    <x v="245"/>
    <m/>
    <x v="3"/>
    <s v="H17"/>
    <x v="1"/>
    <s v="V197-13"/>
    <s v="Umeå"/>
    <m/>
    <m/>
    <m/>
    <n v="100"/>
    <x v="15"/>
    <m/>
    <m/>
    <n v="32"/>
    <n v="5.8666666666666663"/>
    <n v="0.85"/>
    <n v="4.9866666666666664"/>
    <n v="5740"/>
    <x v="9"/>
    <s v="TekNat"/>
    <x v="3"/>
    <n v="23641"/>
    <n v="28786"/>
    <n v="282240.05333333334"/>
    <n v="5800"/>
    <n v="34026.666666666664"/>
    <n v="316266.72000000003"/>
    <n v="0"/>
    <n v="0"/>
    <n v="0"/>
    <n v="1"/>
    <n v="0"/>
    <n v="0"/>
    <n v="0"/>
    <n v="0"/>
    <n v="0"/>
    <n v="0"/>
    <n v="0"/>
    <n v="0"/>
    <s v="Enl Ladok 190523"/>
    <m/>
    <n v="0"/>
    <n v="0"/>
    <n v="0"/>
    <n v="0"/>
    <n v="0"/>
    <n v="0"/>
    <n v="5.8666666666666663"/>
    <n v="4.9866666666666664"/>
    <n v="0"/>
    <n v="0"/>
    <n v="0"/>
    <n v="0"/>
    <n v="0"/>
    <n v="0"/>
    <n v="0"/>
    <n v="0"/>
    <n v="0"/>
    <n v="0"/>
    <n v="0"/>
    <n v="0"/>
    <n v="0"/>
    <n v="0"/>
    <n v="0"/>
  </r>
  <r>
    <x v="250"/>
    <x v="246"/>
    <m/>
    <x v="7"/>
    <s v="H16"/>
    <x v="1"/>
    <s v="H1817-20:V191-3"/>
    <s v="Umeå"/>
    <m/>
    <m/>
    <m/>
    <n v="100"/>
    <x v="14"/>
    <m/>
    <m/>
    <n v="3"/>
    <n v="0.2"/>
    <n v="0.85"/>
    <n v="0.17"/>
    <n v="5740"/>
    <x v="9"/>
    <s v="TekNat"/>
    <x v="7"/>
    <n v="23641"/>
    <n v="28786"/>
    <n v="9621.82"/>
    <n v="5800"/>
    <n v="1160"/>
    <n v="10781.82"/>
    <n v="0"/>
    <n v="0"/>
    <n v="0"/>
    <n v="1"/>
    <n v="0"/>
    <n v="0"/>
    <n v="0"/>
    <n v="0"/>
    <n v="0"/>
    <n v="0"/>
    <n v="0"/>
    <n v="0"/>
    <s v="Enl Ladok 190318"/>
    <s v="Läser 4 av 10 hp denna termin"/>
    <n v="0"/>
    <n v="0"/>
    <n v="0"/>
    <n v="0"/>
    <n v="0"/>
    <n v="0"/>
    <n v="0.2"/>
    <n v="0.17"/>
    <n v="0"/>
    <n v="0"/>
    <n v="0"/>
    <n v="0"/>
    <n v="0"/>
    <n v="0"/>
    <n v="0"/>
    <n v="0"/>
    <n v="0"/>
    <n v="0"/>
    <n v="0"/>
    <n v="0"/>
    <n v="0"/>
    <n v="0"/>
    <n v="0"/>
  </r>
  <r>
    <x v="250"/>
    <x v="246"/>
    <m/>
    <x v="7"/>
    <s v="H16"/>
    <x v="2"/>
    <s v="V1917-20:H191-3"/>
    <m/>
    <m/>
    <m/>
    <m/>
    <n v="100"/>
    <x v="14"/>
    <m/>
    <m/>
    <n v="1"/>
    <n v="6.6666666666666666E-2"/>
    <n v="0.85"/>
    <n v="5.6666666666666664E-2"/>
    <n v="5740"/>
    <x v="9"/>
    <s v="TekNat"/>
    <x v="7"/>
    <n v="23641"/>
    <n v="28786"/>
    <n v="3207.2733333333331"/>
    <n v="5800"/>
    <n v="386.66666666666669"/>
    <n v="3593.9399999999996"/>
    <n v="0"/>
    <n v="0"/>
    <n v="0"/>
    <n v="1"/>
    <n v="0"/>
    <n v="0"/>
    <n v="0"/>
    <n v="0"/>
    <n v="0"/>
    <n v="0"/>
    <n v="0"/>
    <n v="0"/>
    <s v="Enligt SP 190924"/>
    <s v="Läser 4 av 10 hp denna termin"/>
    <n v="0"/>
    <n v="0"/>
    <n v="0"/>
    <n v="0"/>
    <n v="0"/>
    <n v="0"/>
    <n v="6.6666666666666666E-2"/>
    <n v="5.6666666666666664E-2"/>
    <n v="0"/>
    <n v="0"/>
    <n v="0"/>
    <n v="0"/>
    <n v="0"/>
    <n v="0"/>
    <n v="0"/>
    <n v="0"/>
    <n v="0"/>
    <n v="0"/>
    <n v="0"/>
    <n v="0"/>
    <n v="0"/>
    <n v="0"/>
    <n v="0"/>
  </r>
  <r>
    <x v="250"/>
    <x v="246"/>
    <m/>
    <x v="7"/>
    <s v="H17"/>
    <x v="1"/>
    <s v="V1917-20:H191-3"/>
    <s v="Umeå"/>
    <m/>
    <m/>
    <m/>
    <n v="100"/>
    <x v="2"/>
    <m/>
    <m/>
    <n v="32"/>
    <n v="3.2"/>
    <n v="0.85"/>
    <n v="2.72"/>
    <n v="5740"/>
    <x v="9"/>
    <s v="TekNat"/>
    <x v="7"/>
    <n v="23641"/>
    <n v="28786"/>
    <n v="153949.12"/>
    <n v="5800"/>
    <n v="18560"/>
    <n v="172509.12"/>
    <n v="0"/>
    <n v="0"/>
    <n v="0"/>
    <n v="1"/>
    <n v="0"/>
    <n v="0"/>
    <n v="0"/>
    <n v="0"/>
    <n v="0"/>
    <n v="0"/>
    <n v="0"/>
    <n v="0"/>
    <s v="Enl Ladok 190523"/>
    <s v="Läser 6 av 10 hp denna termin"/>
    <n v="0"/>
    <n v="0"/>
    <n v="0"/>
    <n v="0"/>
    <n v="0"/>
    <n v="0"/>
    <n v="3.2"/>
    <n v="2.72"/>
    <n v="0"/>
    <n v="0"/>
    <n v="0"/>
    <n v="0"/>
    <n v="0"/>
    <n v="0"/>
    <n v="0"/>
    <n v="0"/>
    <n v="0"/>
    <n v="0"/>
    <n v="0"/>
    <n v="0"/>
    <n v="0"/>
    <n v="0"/>
    <n v="0"/>
  </r>
  <r>
    <x v="250"/>
    <x v="246"/>
    <m/>
    <x v="7"/>
    <s v="H17"/>
    <x v="2"/>
    <s v="H1917-20:V201-3"/>
    <m/>
    <m/>
    <m/>
    <m/>
    <n v="100"/>
    <x v="2"/>
    <m/>
    <m/>
    <n v="4"/>
    <n v="0.4"/>
    <n v="0.85"/>
    <n v="0.34"/>
    <n v="5740"/>
    <x v="9"/>
    <s v="TekNat"/>
    <x v="7"/>
    <n v="23641"/>
    <n v="28786"/>
    <n v="19243.64"/>
    <n v="5800"/>
    <n v="2320"/>
    <n v="21563.64"/>
    <n v="0"/>
    <n v="0"/>
    <n v="0"/>
    <n v="1"/>
    <n v="0"/>
    <n v="0"/>
    <n v="0"/>
    <n v="0"/>
    <n v="0"/>
    <n v="0"/>
    <n v="0"/>
    <n v="0"/>
    <s v="Enligt SP 190924"/>
    <s v="Läser 6 av 10 hp denna termin"/>
    <n v="0"/>
    <n v="0"/>
    <n v="0"/>
    <n v="0"/>
    <n v="0"/>
    <n v="0"/>
    <n v="0.4"/>
    <n v="0.34"/>
    <n v="0"/>
    <n v="0"/>
    <n v="0"/>
    <n v="0"/>
    <n v="0"/>
    <n v="0"/>
    <n v="0"/>
    <n v="0"/>
    <n v="0"/>
    <n v="0"/>
    <n v="0"/>
    <n v="0"/>
    <n v="0"/>
    <n v="0"/>
    <n v="0"/>
  </r>
  <r>
    <x v="250"/>
    <x v="246"/>
    <m/>
    <x v="7"/>
    <s v="H17"/>
    <x v="2"/>
    <s v="V1917-20:H191-3"/>
    <m/>
    <m/>
    <m/>
    <m/>
    <n v="100"/>
    <x v="14"/>
    <m/>
    <m/>
    <n v="30"/>
    <n v="2"/>
    <n v="0.85"/>
    <n v="1.7"/>
    <n v="5740"/>
    <x v="9"/>
    <s v="TekNat"/>
    <x v="7"/>
    <n v="23641"/>
    <n v="28786"/>
    <n v="96218.2"/>
    <n v="5800"/>
    <n v="11600"/>
    <n v="107818.2"/>
    <n v="0"/>
    <n v="0"/>
    <n v="0"/>
    <n v="1"/>
    <n v="0"/>
    <n v="0"/>
    <n v="0"/>
    <n v="0"/>
    <n v="0"/>
    <n v="0"/>
    <n v="0"/>
    <n v="0"/>
    <s v="Enligt SP 190924"/>
    <s v="Läser 4 av 10 hp denna termin"/>
    <n v="0"/>
    <n v="0"/>
    <n v="0"/>
    <n v="0"/>
    <n v="0"/>
    <n v="0"/>
    <n v="2"/>
    <n v="1.7"/>
    <n v="0"/>
    <n v="0"/>
    <n v="0"/>
    <n v="0"/>
    <n v="0"/>
    <n v="0"/>
    <n v="0"/>
    <n v="0"/>
    <n v="0"/>
    <n v="0"/>
    <n v="0"/>
    <n v="0"/>
    <n v="0"/>
    <n v="0"/>
    <n v="0"/>
  </r>
  <r>
    <x v="250"/>
    <x v="246"/>
    <m/>
    <x v="7"/>
    <s v="V16"/>
    <x v="1"/>
    <s v="H1817-20:V191-3"/>
    <s v="Umeå"/>
    <m/>
    <m/>
    <m/>
    <n v="100"/>
    <x v="14"/>
    <m/>
    <m/>
    <n v="1"/>
    <n v="6.6666666666666666E-2"/>
    <n v="0.85"/>
    <n v="5.6666666666666664E-2"/>
    <n v="5740"/>
    <x v="9"/>
    <s v="TekNat"/>
    <x v="7"/>
    <n v="23641"/>
    <n v="28786"/>
    <n v="3207.2733333333331"/>
    <n v="5800"/>
    <n v="386.66666666666669"/>
    <n v="3593.9399999999996"/>
    <n v="0"/>
    <n v="0"/>
    <n v="0"/>
    <n v="1"/>
    <n v="0"/>
    <n v="0"/>
    <n v="0"/>
    <n v="0"/>
    <n v="0"/>
    <n v="0"/>
    <n v="0"/>
    <n v="0"/>
    <s v="Enl Ladok 190318"/>
    <s v="Läser 4 av 10 hp denna termin"/>
    <n v="0"/>
    <n v="0"/>
    <n v="0"/>
    <n v="0"/>
    <n v="0"/>
    <n v="0"/>
    <n v="6.6666666666666666E-2"/>
    <n v="5.6666666666666664E-2"/>
    <n v="0"/>
    <n v="0"/>
    <n v="0"/>
    <n v="0"/>
    <n v="0"/>
    <n v="0"/>
    <n v="0"/>
    <n v="0"/>
    <n v="0"/>
    <n v="0"/>
    <n v="0"/>
    <n v="0"/>
    <n v="0"/>
    <n v="0"/>
    <n v="0"/>
  </r>
  <r>
    <x v="250"/>
    <x v="246"/>
    <m/>
    <x v="7"/>
    <s v="V17"/>
    <x v="1"/>
    <s v="H1817-20:V191-3"/>
    <s v="Umeå"/>
    <m/>
    <m/>
    <m/>
    <n v="100"/>
    <x v="14"/>
    <m/>
    <m/>
    <n v="19"/>
    <n v="1.2666666666666666"/>
    <n v="0.85"/>
    <n v="1.0766666666666667"/>
    <n v="5740"/>
    <x v="9"/>
    <s v="TekNat"/>
    <x v="7"/>
    <n v="23641"/>
    <n v="28786"/>
    <n v="60938.193333333329"/>
    <n v="5800"/>
    <n v="7346.6666666666661"/>
    <n v="68284.86"/>
    <n v="0"/>
    <n v="0"/>
    <n v="0"/>
    <n v="1"/>
    <n v="0"/>
    <n v="0"/>
    <n v="0"/>
    <n v="0"/>
    <n v="0"/>
    <n v="0"/>
    <n v="0"/>
    <n v="0"/>
    <s v="Enl Ladok 190318"/>
    <s v="Läser 4 av 10 hp denna termin"/>
    <n v="0"/>
    <n v="0"/>
    <n v="0"/>
    <n v="0"/>
    <n v="0"/>
    <n v="0"/>
    <n v="1.2666666666666666"/>
    <n v="1.0766666666666667"/>
    <n v="0"/>
    <n v="0"/>
    <n v="0"/>
    <n v="0"/>
    <n v="0"/>
    <n v="0"/>
    <n v="0"/>
    <n v="0"/>
    <n v="0"/>
    <n v="0"/>
    <n v="0"/>
    <n v="0"/>
    <n v="0"/>
    <n v="0"/>
    <n v="0"/>
  </r>
  <r>
    <x v="250"/>
    <x v="246"/>
    <m/>
    <x v="7"/>
    <s v="V17"/>
    <x v="2"/>
    <s v="V1917-20:H191-3"/>
    <m/>
    <m/>
    <m/>
    <m/>
    <n v="100"/>
    <x v="14"/>
    <m/>
    <m/>
    <n v="2"/>
    <n v="0.13333333333333333"/>
    <n v="0.85"/>
    <n v="0.11333333333333333"/>
    <n v="5740"/>
    <x v="9"/>
    <s v="TekNat"/>
    <x v="7"/>
    <n v="23641"/>
    <n v="28786"/>
    <n v="6414.5466666666662"/>
    <n v="5800"/>
    <n v="773.33333333333337"/>
    <n v="7187.8799999999992"/>
    <n v="0"/>
    <n v="0"/>
    <n v="0"/>
    <n v="1"/>
    <n v="0"/>
    <n v="0"/>
    <n v="0"/>
    <n v="0"/>
    <n v="0"/>
    <n v="0"/>
    <n v="0"/>
    <n v="0"/>
    <s v="Enligt SP 190924"/>
    <s v="Läser 4 av 10 hp denna termin"/>
    <n v="0"/>
    <n v="0"/>
    <n v="0"/>
    <n v="0"/>
    <n v="0"/>
    <n v="0"/>
    <n v="0.13333333333333333"/>
    <n v="0.11333333333333333"/>
    <n v="0"/>
    <n v="0"/>
    <n v="0"/>
    <n v="0"/>
    <n v="0"/>
    <n v="0"/>
    <n v="0"/>
    <n v="0"/>
    <n v="0"/>
    <n v="0"/>
    <n v="0"/>
    <n v="0"/>
    <n v="0"/>
    <n v="0"/>
    <n v="0"/>
  </r>
  <r>
    <x v="250"/>
    <x v="246"/>
    <m/>
    <x v="7"/>
    <s v="V18"/>
    <x v="2"/>
    <s v="H1917-20:V201-3"/>
    <s v="Umeå"/>
    <m/>
    <m/>
    <m/>
    <n v="100"/>
    <x v="2"/>
    <m/>
    <m/>
    <n v="23"/>
    <n v="2.3000000000000003"/>
    <n v="0.85"/>
    <n v="1.9550000000000001"/>
    <n v="5740"/>
    <x v="9"/>
    <s v="TekNat"/>
    <x v="7"/>
    <n v="23641"/>
    <n v="28786"/>
    <n v="110650.93000000001"/>
    <n v="5800"/>
    <n v="13340.000000000002"/>
    <n v="123990.93000000001"/>
    <n v="0"/>
    <n v="0"/>
    <n v="0"/>
    <n v="1"/>
    <n v="0"/>
    <n v="0"/>
    <n v="0"/>
    <n v="0"/>
    <n v="0"/>
    <n v="0"/>
    <n v="0"/>
    <n v="0"/>
    <s v="Enligt SP 190924"/>
    <s v="Läser 6 av 10 hp denna termin"/>
    <n v="0"/>
    <n v="0"/>
    <n v="0"/>
    <n v="0"/>
    <n v="0"/>
    <n v="0"/>
    <n v="2.3000000000000003"/>
    <n v="1.9550000000000001"/>
    <n v="0"/>
    <n v="0"/>
    <n v="0"/>
    <n v="0"/>
    <n v="0"/>
    <n v="0"/>
    <n v="0"/>
    <n v="0"/>
    <n v="0"/>
    <n v="0"/>
    <n v="0"/>
    <n v="0"/>
    <n v="0"/>
    <n v="0"/>
    <n v="0"/>
  </r>
  <r>
    <x v="250"/>
    <x v="246"/>
    <m/>
    <x v="7"/>
    <s v="V18"/>
    <x v="2"/>
    <s v="H1917-20:V201-3"/>
    <s v="Ö-vik"/>
    <m/>
    <m/>
    <m/>
    <n v="100"/>
    <x v="2"/>
    <m/>
    <m/>
    <n v="16"/>
    <n v="1.6"/>
    <n v="0.85"/>
    <n v="1.36"/>
    <n v="5740"/>
    <x v="9"/>
    <s v="TekNat"/>
    <x v="7"/>
    <n v="23641"/>
    <n v="28786"/>
    <n v="76974.559999999998"/>
    <n v="5800"/>
    <n v="9280"/>
    <n v="86254.56"/>
    <n v="0"/>
    <n v="0"/>
    <n v="0"/>
    <n v="1"/>
    <n v="0"/>
    <n v="0"/>
    <n v="0"/>
    <n v="0"/>
    <n v="0"/>
    <n v="0"/>
    <n v="0"/>
    <n v="0"/>
    <s v="Enligt SP 190924"/>
    <s v="Läser 6 av 10 hp denna termin"/>
    <n v="0"/>
    <n v="0"/>
    <n v="0"/>
    <n v="0"/>
    <n v="0"/>
    <n v="0"/>
    <n v="1.6"/>
    <n v="1.36"/>
    <n v="0"/>
    <n v="0"/>
    <n v="0"/>
    <n v="0"/>
    <n v="0"/>
    <n v="0"/>
    <n v="0"/>
    <n v="0"/>
    <n v="0"/>
    <n v="0"/>
    <n v="0"/>
    <n v="0"/>
    <n v="0"/>
    <n v="0"/>
    <n v="0"/>
  </r>
  <r>
    <x v="251"/>
    <x v="247"/>
    <m/>
    <x v="4"/>
    <s v="H17"/>
    <x v="2"/>
    <s v="H196-12"/>
    <m/>
    <m/>
    <s v="TXBI"/>
    <m/>
    <n v="100"/>
    <x v="15"/>
    <m/>
    <m/>
    <n v="4"/>
    <n v="0.73333333333333328"/>
    <n v="0.85"/>
    <n v="0.62333333333333329"/>
    <n v="5740"/>
    <x v="9"/>
    <s v="TekNat"/>
    <x v="4"/>
    <n v="23641"/>
    <n v="28786"/>
    <n v="35280.006666666668"/>
    <n v="5800"/>
    <n v="4253.333333333333"/>
    <n v="39533.340000000004"/>
    <n v="0"/>
    <n v="0"/>
    <n v="0"/>
    <n v="1"/>
    <n v="0"/>
    <n v="0"/>
    <n v="0"/>
    <n v="0"/>
    <n v="0"/>
    <n v="0"/>
    <n v="0"/>
    <n v="0"/>
    <s v="Enligt SP 190924"/>
    <m/>
    <n v="0"/>
    <n v="0"/>
    <n v="0"/>
    <n v="0"/>
    <n v="0"/>
    <n v="0"/>
    <n v="0.73333333333333328"/>
    <n v="0.62333333333333329"/>
    <n v="0"/>
    <n v="0"/>
    <n v="0"/>
    <n v="0"/>
    <n v="0"/>
    <n v="0"/>
    <n v="0"/>
    <n v="0"/>
    <n v="0"/>
    <n v="0"/>
    <n v="0"/>
    <n v="0"/>
    <n v="0"/>
    <n v="0"/>
    <n v="0"/>
  </r>
  <r>
    <x v="251"/>
    <x v="247"/>
    <m/>
    <x v="1"/>
    <s v="H15"/>
    <x v="2"/>
    <s v="H196-12"/>
    <m/>
    <m/>
    <s v="MATT"/>
    <m/>
    <n v="100"/>
    <x v="15"/>
    <m/>
    <m/>
    <n v="2"/>
    <n v="0.36666666666666664"/>
    <n v="0.85"/>
    <n v="0.31166666666666665"/>
    <n v="5740"/>
    <x v="9"/>
    <s v="TekNat"/>
    <x v="1"/>
    <n v="23641"/>
    <n v="28786"/>
    <n v="17640.003333333334"/>
    <n v="5800"/>
    <n v="2126.6666666666665"/>
    <n v="19766.670000000002"/>
    <n v="0"/>
    <n v="0"/>
    <n v="0"/>
    <n v="1"/>
    <n v="0"/>
    <n v="0"/>
    <n v="0"/>
    <n v="0"/>
    <n v="0"/>
    <n v="0"/>
    <n v="0"/>
    <n v="0"/>
    <s v="Enligt SP 190924"/>
    <m/>
    <n v="0"/>
    <n v="0"/>
    <n v="0"/>
    <n v="0"/>
    <n v="0"/>
    <n v="0"/>
    <n v="0.36666666666666664"/>
    <n v="0.31166666666666665"/>
    <n v="0"/>
    <n v="0"/>
    <n v="0"/>
    <n v="0"/>
    <n v="0"/>
    <n v="0"/>
    <n v="0"/>
    <n v="0"/>
    <n v="0"/>
    <n v="0"/>
    <n v="0"/>
    <n v="0"/>
    <n v="0"/>
    <n v="0"/>
    <n v="0"/>
  </r>
  <r>
    <x v="251"/>
    <x v="247"/>
    <m/>
    <x v="1"/>
    <s v="H16"/>
    <x v="2"/>
    <s v="H196-12"/>
    <m/>
    <m/>
    <s v="MATT"/>
    <m/>
    <n v="100"/>
    <x v="15"/>
    <m/>
    <m/>
    <n v="3"/>
    <n v="0.54999999999999993"/>
    <n v="0.85"/>
    <n v="0.46749999999999992"/>
    <n v="5740"/>
    <x v="9"/>
    <s v="TekNat"/>
    <x v="1"/>
    <n v="23641"/>
    <n v="28786"/>
    <n v="26460.004999999997"/>
    <n v="5800"/>
    <n v="3189.9999999999995"/>
    <n v="29650.004999999997"/>
    <n v="0"/>
    <n v="0"/>
    <n v="0"/>
    <n v="1"/>
    <n v="0"/>
    <n v="0"/>
    <n v="0"/>
    <n v="0"/>
    <n v="0"/>
    <n v="0"/>
    <n v="0"/>
    <n v="0"/>
    <s v="Enligt SP 190924"/>
    <m/>
    <n v="0"/>
    <n v="0"/>
    <n v="0"/>
    <n v="0"/>
    <n v="0"/>
    <n v="0"/>
    <n v="0.54999999999999993"/>
    <n v="0.46749999999999992"/>
    <n v="0"/>
    <n v="0"/>
    <n v="0"/>
    <n v="0"/>
    <n v="0"/>
    <n v="0"/>
    <n v="0"/>
    <n v="0"/>
    <n v="0"/>
    <n v="0"/>
    <n v="0"/>
    <n v="0"/>
    <n v="0"/>
    <n v="0"/>
    <n v="0"/>
  </r>
  <r>
    <x v="251"/>
    <x v="247"/>
    <m/>
    <x v="1"/>
    <s v="H16"/>
    <x v="2"/>
    <s v="H196-12"/>
    <m/>
    <m/>
    <s v="MUSI"/>
    <m/>
    <n v="100"/>
    <x v="15"/>
    <m/>
    <m/>
    <n v="1"/>
    <n v="0.18333333333333332"/>
    <n v="0.85"/>
    <n v="0.15583333333333332"/>
    <n v="5740"/>
    <x v="9"/>
    <s v="TekNat"/>
    <x v="1"/>
    <n v="23641"/>
    <n v="28786"/>
    <n v="8820.001666666667"/>
    <n v="5800"/>
    <n v="1063.3333333333333"/>
    <n v="9883.3350000000009"/>
    <n v="0"/>
    <n v="0"/>
    <n v="0"/>
    <n v="1"/>
    <n v="0"/>
    <n v="0"/>
    <n v="0"/>
    <n v="0"/>
    <n v="0"/>
    <n v="0"/>
    <n v="0"/>
    <n v="0"/>
    <s v="Enligt SP 190924"/>
    <m/>
    <n v="0"/>
    <n v="0"/>
    <n v="0"/>
    <n v="0"/>
    <n v="0"/>
    <n v="0"/>
    <n v="0.18333333333333332"/>
    <n v="0.15583333333333332"/>
    <n v="0"/>
    <n v="0"/>
    <n v="0"/>
    <n v="0"/>
    <n v="0"/>
    <n v="0"/>
    <n v="0"/>
    <n v="0"/>
    <n v="0"/>
    <n v="0"/>
    <n v="0"/>
    <n v="0"/>
    <n v="0"/>
    <n v="0"/>
    <n v="0"/>
  </r>
  <r>
    <x v="251"/>
    <x v="247"/>
    <m/>
    <x v="1"/>
    <s v="H16"/>
    <x v="2"/>
    <s v="H196-12"/>
    <m/>
    <m/>
    <s v="RELK"/>
    <m/>
    <n v="100"/>
    <x v="15"/>
    <m/>
    <m/>
    <n v="1"/>
    <n v="0.18333333333333332"/>
    <n v="0.85"/>
    <n v="0.15583333333333332"/>
    <n v="5740"/>
    <x v="9"/>
    <s v="TekNat"/>
    <x v="1"/>
    <n v="23641"/>
    <n v="28786"/>
    <n v="8820.001666666667"/>
    <n v="5800"/>
    <n v="1063.3333333333333"/>
    <n v="9883.3350000000009"/>
    <n v="0"/>
    <n v="0"/>
    <n v="0"/>
    <n v="1"/>
    <n v="0"/>
    <n v="0"/>
    <n v="0"/>
    <n v="0"/>
    <n v="0"/>
    <n v="0"/>
    <n v="0"/>
    <n v="0"/>
    <s v="Enligt SP 190924"/>
    <m/>
    <n v="0"/>
    <n v="0"/>
    <n v="0"/>
    <n v="0"/>
    <n v="0"/>
    <n v="0"/>
    <n v="0.18333333333333332"/>
    <n v="0.15583333333333332"/>
    <n v="0"/>
    <n v="0"/>
    <n v="0"/>
    <n v="0"/>
    <n v="0"/>
    <n v="0"/>
    <n v="0"/>
    <n v="0"/>
    <n v="0"/>
    <n v="0"/>
    <n v="0"/>
    <n v="0"/>
    <n v="0"/>
    <n v="0"/>
    <n v="0"/>
  </r>
  <r>
    <x v="251"/>
    <x v="247"/>
    <m/>
    <x v="1"/>
    <s v="H16"/>
    <x v="2"/>
    <s v="H196-12"/>
    <m/>
    <m/>
    <s v="SAMK"/>
    <m/>
    <n v="100"/>
    <x v="15"/>
    <m/>
    <m/>
    <n v="1"/>
    <n v="0.18333333333333332"/>
    <n v="0.85"/>
    <n v="0.15583333333333332"/>
    <n v="5740"/>
    <x v="9"/>
    <s v="TekNat"/>
    <x v="1"/>
    <n v="23641"/>
    <n v="28786"/>
    <n v="8820.001666666667"/>
    <n v="5800"/>
    <n v="1063.3333333333333"/>
    <n v="9883.3350000000009"/>
    <n v="0"/>
    <n v="0"/>
    <n v="0"/>
    <n v="1"/>
    <n v="0"/>
    <n v="0"/>
    <n v="0"/>
    <n v="0"/>
    <n v="0"/>
    <n v="0"/>
    <n v="0"/>
    <n v="0"/>
    <s v="Enligt SP 190924"/>
    <m/>
    <n v="0"/>
    <n v="0"/>
    <n v="0"/>
    <n v="0"/>
    <n v="0"/>
    <n v="0"/>
    <n v="0.18333333333333332"/>
    <n v="0.15583333333333332"/>
    <n v="0"/>
    <n v="0"/>
    <n v="0"/>
    <n v="0"/>
    <n v="0"/>
    <n v="0"/>
    <n v="0"/>
    <n v="0"/>
    <n v="0"/>
    <n v="0"/>
    <n v="0"/>
    <n v="0"/>
    <n v="0"/>
    <n v="0"/>
    <n v="0"/>
  </r>
  <r>
    <x v="251"/>
    <x v="247"/>
    <m/>
    <x v="1"/>
    <s v="H17"/>
    <x v="2"/>
    <s v="H196-12"/>
    <m/>
    <m/>
    <s v="BIOL"/>
    <m/>
    <n v="100"/>
    <x v="15"/>
    <m/>
    <m/>
    <n v="1"/>
    <n v="0.18333333333333332"/>
    <n v="0.85"/>
    <n v="0.15583333333333332"/>
    <n v="5740"/>
    <x v="9"/>
    <s v="TekNat"/>
    <x v="1"/>
    <n v="23641"/>
    <n v="28786"/>
    <n v="8820.001666666667"/>
    <n v="5800"/>
    <n v="1063.3333333333333"/>
    <n v="9883.3350000000009"/>
    <n v="0"/>
    <n v="0"/>
    <n v="0"/>
    <n v="1"/>
    <n v="0"/>
    <n v="0"/>
    <n v="0"/>
    <n v="0"/>
    <n v="0"/>
    <n v="0"/>
    <n v="0"/>
    <n v="0"/>
    <s v="Enligt SP 190924"/>
    <m/>
    <n v="0"/>
    <n v="0"/>
    <n v="0"/>
    <n v="0"/>
    <n v="0"/>
    <n v="0"/>
    <n v="0.18333333333333332"/>
    <n v="0.15583333333333332"/>
    <n v="0"/>
    <n v="0"/>
    <n v="0"/>
    <n v="0"/>
    <n v="0"/>
    <n v="0"/>
    <n v="0"/>
    <n v="0"/>
    <n v="0"/>
    <n v="0"/>
    <n v="0"/>
    <n v="0"/>
    <n v="0"/>
    <n v="0"/>
    <n v="0"/>
  </r>
  <r>
    <x v="251"/>
    <x v="247"/>
    <m/>
    <x v="1"/>
    <s v="H17"/>
    <x v="2"/>
    <s v="H196-12"/>
    <m/>
    <m/>
    <s v="ENGS"/>
    <m/>
    <n v="100"/>
    <x v="15"/>
    <m/>
    <m/>
    <n v="16"/>
    <n v="2.9333333333333331"/>
    <n v="0.85"/>
    <n v="2.4933333333333332"/>
    <n v="5740"/>
    <x v="9"/>
    <s v="TekNat"/>
    <x v="1"/>
    <n v="23641"/>
    <n v="28786"/>
    <n v="141120.02666666667"/>
    <n v="5800"/>
    <n v="17013.333333333332"/>
    <n v="158133.36000000002"/>
    <n v="0"/>
    <n v="0"/>
    <n v="0"/>
    <n v="1"/>
    <n v="0"/>
    <n v="0"/>
    <n v="0"/>
    <n v="0"/>
    <n v="0"/>
    <n v="0"/>
    <n v="0"/>
    <n v="0"/>
    <s v="Enligt SP 190924"/>
    <m/>
    <n v="0"/>
    <n v="0"/>
    <n v="0"/>
    <n v="0"/>
    <n v="0"/>
    <n v="0"/>
    <n v="2.9333333333333331"/>
    <n v="2.4933333333333332"/>
    <n v="0"/>
    <n v="0"/>
    <n v="0"/>
    <n v="0"/>
    <n v="0"/>
    <n v="0"/>
    <n v="0"/>
    <n v="0"/>
    <n v="0"/>
    <n v="0"/>
    <n v="0"/>
    <n v="0"/>
    <n v="0"/>
    <n v="0"/>
    <n v="0"/>
  </r>
  <r>
    <x v="251"/>
    <x v="247"/>
    <m/>
    <x v="1"/>
    <s v="H17"/>
    <x v="2"/>
    <s v="H196-12"/>
    <m/>
    <m/>
    <s v="HIST"/>
    <m/>
    <n v="100"/>
    <x v="15"/>
    <m/>
    <m/>
    <n v="14"/>
    <n v="2.5666666666666664"/>
    <n v="0.85"/>
    <n v="2.1816666666666662"/>
    <n v="5740"/>
    <x v="9"/>
    <s v="TekNat"/>
    <x v="1"/>
    <n v="23641"/>
    <n v="28786"/>
    <n v="123480.02333333332"/>
    <n v="5800"/>
    <n v="14886.666666666666"/>
    <n v="138366.68999999997"/>
    <n v="0"/>
    <n v="0"/>
    <n v="0"/>
    <n v="1"/>
    <n v="0"/>
    <n v="0"/>
    <n v="0"/>
    <n v="0"/>
    <n v="0"/>
    <n v="0"/>
    <n v="0"/>
    <n v="0"/>
    <s v="Enligt SP 190924"/>
    <m/>
    <n v="0"/>
    <n v="0"/>
    <n v="0"/>
    <n v="0"/>
    <n v="0"/>
    <n v="0"/>
    <n v="2.5666666666666664"/>
    <n v="2.1816666666666662"/>
    <n v="0"/>
    <n v="0"/>
    <n v="0"/>
    <n v="0"/>
    <n v="0"/>
    <n v="0"/>
    <n v="0"/>
    <n v="0"/>
    <n v="0"/>
    <n v="0"/>
    <n v="0"/>
    <n v="0"/>
    <n v="0"/>
    <n v="0"/>
    <n v="0"/>
  </r>
  <r>
    <x v="251"/>
    <x v="247"/>
    <m/>
    <x v="1"/>
    <s v="H17"/>
    <x v="2"/>
    <s v="H196-12"/>
    <m/>
    <m/>
    <s v="IDRH"/>
    <m/>
    <n v="100"/>
    <x v="15"/>
    <m/>
    <m/>
    <n v="15"/>
    <n v="2.75"/>
    <n v="0.85"/>
    <n v="2.3374999999999999"/>
    <n v="5740"/>
    <x v="9"/>
    <s v="TekNat"/>
    <x v="1"/>
    <n v="23641"/>
    <n v="28786"/>
    <n v="132300.02499999999"/>
    <n v="5800"/>
    <n v="15950"/>
    <n v="148250.02499999999"/>
    <n v="0"/>
    <n v="0"/>
    <n v="0"/>
    <n v="1"/>
    <n v="0"/>
    <n v="0"/>
    <n v="0"/>
    <n v="0"/>
    <n v="0"/>
    <n v="0"/>
    <n v="0"/>
    <n v="0"/>
    <s v="Enligt SP 190924"/>
    <m/>
    <n v="0"/>
    <n v="0"/>
    <n v="0"/>
    <n v="0"/>
    <n v="0"/>
    <n v="0"/>
    <n v="2.75"/>
    <n v="2.3374999999999999"/>
    <n v="0"/>
    <n v="0"/>
    <n v="0"/>
    <n v="0"/>
    <n v="0"/>
    <n v="0"/>
    <n v="0"/>
    <n v="0"/>
    <n v="0"/>
    <n v="0"/>
    <n v="0"/>
    <n v="0"/>
    <n v="0"/>
    <n v="0"/>
    <n v="0"/>
  </r>
  <r>
    <x v="251"/>
    <x v="247"/>
    <m/>
    <x v="1"/>
    <s v="H17"/>
    <x v="2"/>
    <s v="H196-12"/>
    <m/>
    <m/>
    <s v="MATT"/>
    <m/>
    <n v="100"/>
    <x v="15"/>
    <m/>
    <m/>
    <n v="12"/>
    <n v="2.1999999999999997"/>
    <n v="0.85"/>
    <n v="1.8699999999999997"/>
    <n v="5740"/>
    <x v="9"/>
    <s v="TekNat"/>
    <x v="1"/>
    <n v="23641"/>
    <n v="28786"/>
    <n v="105840.01999999999"/>
    <n v="5800"/>
    <n v="12759.999999999998"/>
    <n v="118600.01999999999"/>
    <n v="0"/>
    <n v="0"/>
    <n v="0"/>
    <n v="1"/>
    <n v="0"/>
    <n v="0"/>
    <n v="0"/>
    <n v="0"/>
    <n v="0"/>
    <n v="0"/>
    <n v="0"/>
    <n v="0"/>
    <s v="Enligt SP 190924"/>
    <m/>
    <n v="0"/>
    <n v="0"/>
    <n v="0"/>
    <n v="0"/>
    <n v="0"/>
    <n v="0"/>
    <n v="2.1999999999999997"/>
    <n v="1.8699999999999997"/>
    <n v="0"/>
    <n v="0"/>
    <n v="0"/>
    <n v="0"/>
    <n v="0"/>
    <n v="0"/>
    <n v="0"/>
    <n v="0"/>
    <n v="0"/>
    <n v="0"/>
    <n v="0"/>
    <n v="0"/>
    <n v="0"/>
    <n v="0"/>
    <n v="0"/>
  </r>
  <r>
    <x v="251"/>
    <x v="247"/>
    <m/>
    <x v="1"/>
    <s v="H17"/>
    <x v="2"/>
    <s v="H196-12"/>
    <m/>
    <m/>
    <s v="MUSI"/>
    <m/>
    <n v="100"/>
    <x v="15"/>
    <m/>
    <m/>
    <n v="2"/>
    <n v="0.36666666666666664"/>
    <n v="0.85"/>
    <n v="0.31166666666666665"/>
    <n v="5740"/>
    <x v="9"/>
    <s v="TekNat"/>
    <x v="1"/>
    <n v="23641"/>
    <n v="28786"/>
    <n v="17640.003333333334"/>
    <n v="5800"/>
    <n v="2126.6666666666665"/>
    <n v="19766.670000000002"/>
    <n v="0"/>
    <n v="0"/>
    <n v="0"/>
    <n v="1"/>
    <n v="0"/>
    <n v="0"/>
    <n v="0"/>
    <n v="0"/>
    <n v="0"/>
    <n v="0"/>
    <n v="0"/>
    <n v="0"/>
    <s v="Enligt SP 190924"/>
    <m/>
    <n v="0"/>
    <n v="0"/>
    <n v="0"/>
    <n v="0"/>
    <n v="0"/>
    <n v="0"/>
    <n v="0.36666666666666664"/>
    <n v="0.31166666666666665"/>
    <n v="0"/>
    <n v="0"/>
    <n v="0"/>
    <n v="0"/>
    <n v="0"/>
    <n v="0"/>
    <n v="0"/>
    <n v="0"/>
    <n v="0"/>
    <n v="0"/>
    <n v="0"/>
    <n v="0"/>
    <n v="0"/>
    <n v="0"/>
    <n v="0"/>
  </r>
  <r>
    <x v="251"/>
    <x v="247"/>
    <m/>
    <x v="1"/>
    <s v="H17"/>
    <x v="2"/>
    <s v="H196-12"/>
    <m/>
    <m/>
    <s v="RELK"/>
    <m/>
    <n v="100"/>
    <x v="15"/>
    <m/>
    <m/>
    <n v="4"/>
    <n v="0.73333333333333328"/>
    <n v="0.85"/>
    <n v="0.62333333333333329"/>
    <n v="5740"/>
    <x v="9"/>
    <s v="TekNat"/>
    <x v="1"/>
    <n v="23641"/>
    <n v="28786"/>
    <n v="35280.006666666668"/>
    <n v="5800"/>
    <n v="4253.333333333333"/>
    <n v="39533.340000000004"/>
    <n v="0"/>
    <n v="0"/>
    <n v="0"/>
    <n v="1"/>
    <n v="0"/>
    <n v="0"/>
    <n v="0"/>
    <n v="0"/>
    <n v="0"/>
    <n v="0"/>
    <n v="0"/>
    <n v="0"/>
    <s v="Enligt SP 190924"/>
    <m/>
    <n v="0"/>
    <n v="0"/>
    <n v="0"/>
    <n v="0"/>
    <n v="0"/>
    <n v="0"/>
    <n v="0.73333333333333328"/>
    <n v="0.62333333333333329"/>
    <n v="0"/>
    <n v="0"/>
    <n v="0"/>
    <n v="0"/>
    <n v="0"/>
    <n v="0"/>
    <n v="0"/>
    <n v="0"/>
    <n v="0"/>
    <n v="0"/>
    <n v="0"/>
    <n v="0"/>
    <n v="0"/>
    <n v="0"/>
    <n v="0"/>
  </r>
  <r>
    <x v="251"/>
    <x v="247"/>
    <m/>
    <x v="1"/>
    <s v="H17"/>
    <x v="2"/>
    <s v="H196-12"/>
    <m/>
    <m/>
    <s v="SAMK"/>
    <m/>
    <n v="100"/>
    <x v="15"/>
    <m/>
    <m/>
    <n v="6"/>
    <n v="1.0999999999999999"/>
    <n v="0.85"/>
    <n v="0.93499999999999983"/>
    <n v="5740"/>
    <x v="9"/>
    <s v="TekNat"/>
    <x v="1"/>
    <n v="23641"/>
    <n v="28786"/>
    <n v="52920.009999999995"/>
    <n v="5800"/>
    <n v="6379.9999999999991"/>
    <n v="59300.009999999995"/>
    <n v="0"/>
    <n v="0"/>
    <n v="0"/>
    <n v="1"/>
    <n v="0"/>
    <n v="0"/>
    <n v="0"/>
    <n v="0"/>
    <n v="0"/>
    <n v="0"/>
    <n v="0"/>
    <n v="0"/>
    <s v="Enligt SP 190924"/>
    <m/>
    <n v="0"/>
    <n v="0"/>
    <n v="0"/>
    <n v="0"/>
    <n v="0"/>
    <n v="0"/>
    <n v="1.0999999999999999"/>
    <n v="0.93499999999999983"/>
    <n v="0"/>
    <n v="0"/>
    <n v="0"/>
    <n v="0"/>
    <n v="0"/>
    <n v="0"/>
    <n v="0"/>
    <n v="0"/>
    <n v="0"/>
    <n v="0"/>
    <n v="0"/>
    <n v="0"/>
    <n v="0"/>
    <n v="0"/>
    <n v="0"/>
  </r>
  <r>
    <x v="251"/>
    <x v="247"/>
    <m/>
    <x v="1"/>
    <s v="H17"/>
    <x v="2"/>
    <s v="H196-12"/>
    <m/>
    <m/>
    <s v="SPAN"/>
    <m/>
    <n v="100"/>
    <x v="15"/>
    <m/>
    <m/>
    <n v="2"/>
    <n v="0.36666666666666664"/>
    <n v="0.85"/>
    <n v="0.31166666666666665"/>
    <n v="5740"/>
    <x v="9"/>
    <s v="TekNat"/>
    <x v="1"/>
    <n v="23641"/>
    <n v="28786"/>
    <n v="17640.003333333334"/>
    <n v="5800"/>
    <n v="2126.6666666666665"/>
    <n v="19766.670000000002"/>
    <n v="0"/>
    <n v="0"/>
    <n v="0"/>
    <n v="1"/>
    <n v="0"/>
    <n v="0"/>
    <n v="0"/>
    <n v="0"/>
    <n v="0"/>
    <n v="0"/>
    <n v="0"/>
    <n v="0"/>
    <s v="Enligt SP 190924"/>
    <m/>
    <n v="0"/>
    <n v="0"/>
    <n v="0"/>
    <n v="0"/>
    <n v="0"/>
    <n v="0"/>
    <n v="0.36666666666666664"/>
    <n v="0.31166666666666665"/>
    <n v="0"/>
    <n v="0"/>
    <n v="0"/>
    <n v="0"/>
    <n v="0"/>
    <n v="0"/>
    <n v="0"/>
    <n v="0"/>
    <n v="0"/>
    <n v="0"/>
    <n v="0"/>
    <n v="0"/>
    <n v="0"/>
    <n v="0"/>
    <n v="0"/>
  </r>
  <r>
    <x v="251"/>
    <x v="247"/>
    <m/>
    <x v="1"/>
    <s v="H17"/>
    <x v="2"/>
    <s v="H196-12"/>
    <m/>
    <m/>
    <s v="SVAA"/>
    <m/>
    <n v="100"/>
    <x v="15"/>
    <m/>
    <m/>
    <n v="11"/>
    <n v="2.0166666666666666"/>
    <n v="0.85"/>
    <n v="1.7141666666666666"/>
    <n v="5740"/>
    <x v="9"/>
    <s v="TekNat"/>
    <x v="1"/>
    <n v="23641"/>
    <n v="28786"/>
    <n v="97020.018333333326"/>
    <n v="5800"/>
    <n v="11696.666666666666"/>
    <n v="108716.685"/>
    <n v="0"/>
    <n v="0"/>
    <n v="0"/>
    <n v="1"/>
    <n v="0"/>
    <n v="0"/>
    <n v="0"/>
    <n v="0"/>
    <n v="0"/>
    <n v="0"/>
    <n v="0"/>
    <n v="0"/>
    <s v="Enligt SP 190924"/>
    <m/>
    <n v="0"/>
    <n v="0"/>
    <n v="0"/>
    <n v="0"/>
    <n v="0"/>
    <n v="0"/>
    <n v="2.0166666666666666"/>
    <n v="1.7141666666666666"/>
    <n v="0"/>
    <n v="0"/>
    <n v="0"/>
    <n v="0"/>
    <n v="0"/>
    <n v="0"/>
    <n v="0"/>
    <n v="0"/>
    <n v="0"/>
    <n v="0"/>
    <n v="0"/>
    <n v="0"/>
    <n v="0"/>
    <n v="0"/>
    <n v="0"/>
  </r>
  <r>
    <x v="251"/>
    <x v="247"/>
    <m/>
    <x v="1"/>
    <s v="H17"/>
    <x v="2"/>
    <s v="H196-12"/>
    <m/>
    <m/>
    <s v="TYSK"/>
    <m/>
    <n v="100"/>
    <x v="15"/>
    <m/>
    <m/>
    <n v="1"/>
    <n v="0.18333333333333332"/>
    <n v="0.85"/>
    <n v="0.15583333333333332"/>
    <n v="5740"/>
    <x v="9"/>
    <s v="TekNat"/>
    <x v="1"/>
    <n v="23641"/>
    <n v="28786"/>
    <n v="8820.001666666667"/>
    <n v="5800"/>
    <n v="1063.3333333333333"/>
    <n v="9883.3350000000009"/>
    <n v="0"/>
    <n v="0"/>
    <n v="0"/>
    <n v="1"/>
    <n v="0"/>
    <n v="0"/>
    <n v="0"/>
    <n v="0"/>
    <n v="0"/>
    <n v="0"/>
    <n v="0"/>
    <n v="0"/>
    <s v="Enligt SP 190924"/>
    <m/>
    <n v="0"/>
    <n v="0"/>
    <n v="0"/>
    <n v="0"/>
    <n v="0"/>
    <n v="0"/>
    <n v="0.18333333333333332"/>
    <n v="0.15583333333333332"/>
    <n v="0"/>
    <n v="0"/>
    <n v="0"/>
    <n v="0"/>
    <n v="0"/>
    <n v="0"/>
    <n v="0"/>
    <n v="0"/>
    <n v="0"/>
    <n v="0"/>
    <n v="0"/>
    <n v="0"/>
    <n v="0"/>
    <n v="0"/>
    <n v="0"/>
  </r>
  <r>
    <x v="251"/>
    <x v="247"/>
    <m/>
    <x v="1"/>
    <s v="H18"/>
    <x v="2"/>
    <s v="H196-12"/>
    <m/>
    <m/>
    <s v="BIOL"/>
    <m/>
    <n v="100"/>
    <x v="15"/>
    <m/>
    <m/>
    <n v="3"/>
    <n v="0.54999999999999993"/>
    <n v="0.85"/>
    <n v="0.46749999999999992"/>
    <n v="5740"/>
    <x v="9"/>
    <s v="TekNat"/>
    <x v="1"/>
    <n v="23641"/>
    <n v="28786"/>
    <n v="26460.004999999997"/>
    <n v="5800"/>
    <n v="3189.9999999999995"/>
    <n v="29650.004999999997"/>
    <n v="0"/>
    <n v="0"/>
    <n v="0"/>
    <n v="1"/>
    <n v="0"/>
    <n v="0"/>
    <n v="0"/>
    <n v="0"/>
    <n v="0"/>
    <n v="0"/>
    <n v="0"/>
    <n v="0"/>
    <s v="Enligt SP 190924"/>
    <m/>
    <n v="0"/>
    <n v="0"/>
    <n v="0"/>
    <n v="0"/>
    <n v="0"/>
    <n v="0"/>
    <n v="0.54999999999999993"/>
    <n v="0.46749999999999992"/>
    <n v="0"/>
    <n v="0"/>
    <n v="0"/>
    <n v="0"/>
    <n v="0"/>
    <n v="0"/>
    <n v="0"/>
    <n v="0"/>
    <n v="0"/>
    <n v="0"/>
    <n v="0"/>
    <n v="0"/>
    <n v="0"/>
    <n v="0"/>
    <n v="0"/>
  </r>
  <r>
    <x v="251"/>
    <x v="247"/>
    <m/>
    <x v="1"/>
    <s v="H18"/>
    <x v="2"/>
    <s v="H196-12"/>
    <m/>
    <m/>
    <s v="HIST"/>
    <m/>
    <n v="100"/>
    <x v="15"/>
    <m/>
    <m/>
    <n v="1"/>
    <n v="0.18333333333333332"/>
    <n v="0.85"/>
    <n v="0.15583333333333332"/>
    <n v="5740"/>
    <x v="9"/>
    <s v="TekNat"/>
    <x v="1"/>
    <n v="23641"/>
    <n v="28786"/>
    <n v="8820.001666666667"/>
    <n v="5800"/>
    <n v="1063.3333333333333"/>
    <n v="9883.3350000000009"/>
    <n v="0"/>
    <n v="0"/>
    <n v="0"/>
    <n v="1"/>
    <n v="0"/>
    <n v="0"/>
    <n v="0"/>
    <n v="0"/>
    <n v="0"/>
    <n v="0"/>
    <n v="0"/>
    <n v="0"/>
    <s v="Enligt SP 190924"/>
    <m/>
    <n v="0"/>
    <n v="0"/>
    <n v="0"/>
    <n v="0"/>
    <n v="0"/>
    <n v="0"/>
    <n v="0.18333333333333332"/>
    <n v="0.15583333333333332"/>
    <n v="0"/>
    <n v="0"/>
    <n v="0"/>
    <n v="0"/>
    <n v="0"/>
    <n v="0"/>
    <n v="0"/>
    <n v="0"/>
    <n v="0"/>
    <n v="0"/>
    <n v="0"/>
    <n v="0"/>
    <n v="0"/>
    <n v="0"/>
    <n v="0"/>
  </r>
  <r>
    <x v="251"/>
    <x v="247"/>
    <m/>
    <x v="1"/>
    <s v="H18"/>
    <x v="2"/>
    <s v="H196-12"/>
    <m/>
    <m/>
    <s v="MATT"/>
    <m/>
    <n v="100"/>
    <x v="15"/>
    <m/>
    <m/>
    <n v="1"/>
    <n v="0.18333333333333332"/>
    <n v="0.85"/>
    <n v="0.15583333333333332"/>
    <n v="5740"/>
    <x v="9"/>
    <s v="TekNat"/>
    <x v="1"/>
    <n v="23641"/>
    <n v="28786"/>
    <n v="8820.001666666667"/>
    <n v="5800"/>
    <n v="1063.3333333333333"/>
    <n v="9883.3350000000009"/>
    <n v="0"/>
    <n v="0"/>
    <n v="0"/>
    <n v="1"/>
    <n v="0"/>
    <n v="0"/>
    <n v="0"/>
    <n v="0"/>
    <n v="0"/>
    <n v="0"/>
    <n v="0"/>
    <n v="0"/>
    <s v="Enligt SP 190924"/>
    <m/>
    <n v="0"/>
    <n v="0"/>
    <n v="0"/>
    <n v="0"/>
    <n v="0"/>
    <n v="0"/>
    <n v="0.18333333333333332"/>
    <n v="0.15583333333333332"/>
    <n v="0"/>
    <n v="0"/>
    <n v="0"/>
    <n v="0"/>
    <n v="0"/>
    <n v="0"/>
    <n v="0"/>
    <n v="0"/>
    <n v="0"/>
    <n v="0"/>
    <n v="0"/>
    <n v="0"/>
    <n v="0"/>
    <n v="0"/>
    <n v="0"/>
  </r>
  <r>
    <x v="251"/>
    <x v="247"/>
    <m/>
    <x v="1"/>
    <s v="H18"/>
    <x v="2"/>
    <s v="H196-12"/>
    <m/>
    <m/>
    <s v="SVAN"/>
    <m/>
    <n v="100"/>
    <x v="15"/>
    <m/>
    <m/>
    <n v="1"/>
    <n v="0.18333333333333332"/>
    <n v="0.85"/>
    <n v="0.15583333333333332"/>
    <n v="5740"/>
    <x v="9"/>
    <s v="TekNat"/>
    <x v="1"/>
    <n v="23641"/>
    <n v="28786"/>
    <n v="8820.001666666667"/>
    <n v="5800"/>
    <n v="1063.3333333333333"/>
    <n v="9883.3350000000009"/>
    <n v="0"/>
    <n v="0"/>
    <n v="0"/>
    <n v="1"/>
    <n v="0"/>
    <n v="0"/>
    <n v="0"/>
    <n v="0"/>
    <n v="0"/>
    <n v="0"/>
    <n v="0"/>
    <n v="0"/>
    <s v="Enligt SP 190924"/>
    <m/>
    <n v="0"/>
    <n v="0"/>
    <n v="0"/>
    <n v="0"/>
    <n v="0"/>
    <n v="0"/>
    <n v="0.18333333333333332"/>
    <n v="0.15583333333333332"/>
    <n v="0"/>
    <n v="0"/>
    <n v="0"/>
    <n v="0"/>
    <n v="0"/>
    <n v="0"/>
    <n v="0"/>
    <n v="0"/>
    <n v="0"/>
    <n v="0"/>
    <n v="0"/>
    <n v="0"/>
    <n v="0"/>
    <n v="0"/>
    <n v="0"/>
  </r>
  <r>
    <x v="252"/>
    <x v="248"/>
    <m/>
    <x v="0"/>
    <m/>
    <x v="1"/>
    <m/>
    <m/>
    <s v="Campus"/>
    <m/>
    <m/>
    <n v="100"/>
    <x v="0"/>
    <m/>
    <m/>
    <n v="0"/>
    <n v="0"/>
    <n v="0.8"/>
    <n v="0"/>
    <n v="2193"/>
    <x v="1"/>
    <s v="Sam"/>
    <x v="0"/>
    <n v="18405"/>
    <n v="15773"/>
    <n v="0"/>
    <n v="5800"/>
    <n v="0"/>
    <n v="0"/>
    <n v="0"/>
    <n v="0"/>
    <n v="0"/>
    <n v="0"/>
    <n v="0"/>
    <n v="0"/>
    <n v="1"/>
    <n v="0"/>
    <n v="0"/>
    <n v="0"/>
    <n v="0"/>
    <n v="0"/>
    <s v="Enl Ladok 190515"/>
    <s v="Äskat - Beslut p43 180607"/>
    <n v="0"/>
    <n v="0"/>
    <n v="0"/>
    <n v="0"/>
    <n v="0"/>
    <n v="0"/>
    <n v="0"/>
    <n v="0"/>
    <n v="0"/>
    <n v="0"/>
    <n v="0"/>
    <n v="0"/>
    <n v="0"/>
    <n v="0"/>
    <n v="0"/>
    <n v="0"/>
    <n v="0"/>
    <n v="0"/>
    <n v="0"/>
    <n v="0"/>
    <n v="0"/>
    <n v="0"/>
    <n v="0"/>
  </r>
  <r>
    <x v="253"/>
    <x v="249"/>
    <m/>
    <x v="0"/>
    <m/>
    <x v="1"/>
    <m/>
    <m/>
    <s v="Distans"/>
    <m/>
    <m/>
    <n v="25"/>
    <x v="0"/>
    <m/>
    <m/>
    <n v="0"/>
    <n v="0"/>
    <n v="0.8"/>
    <n v="0"/>
    <n v="5740"/>
    <x v="9"/>
    <s v="TekNat"/>
    <x v="0"/>
    <n v="19473"/>
    <n v="34806"/>
    <n v="0"/>
    <n v="21800"/>
    <n v="0"/>
    <n v="0"/>
    <n v="0"/>
    <n v="0"/>
    <n v="0"/>
    <n v="0"/>
    <n v="0"/>
    <n v="1"/>
    <n v="0"/>
    <n v="0"/>
    <n v="0"/>
    <n v="0"/>
    <n v="0"/>
    <n v="0"/>
    <s v="Äskat - Beslut p43 180607"/>
    <s v="Ställs in enl uppg från inst 181203"/>
    <n v="0"/>
    <n v="0"/>
    <n v="0"/>
    <n v="0"/>
    <n v="0"/>
    <n v="0"/>
    <n v="0"/>
    <n v="0"/>
    <n v="0"/>
    <n v="0"/>
    <n v="0"/>
    <n v="0"/>
    <n v="0"/>
    <n v="0"/>
    <n v="0"/>
    <n v="0"/>
    <n v="0"/>
    <n v="0"/>
    <n v="0"/>
    <n v="0"/>
    <n v="0"/>
    <n v="0"/>
    <n v="0"/>
  </r>
  <r>
    <x v="253"/>
    <x v="249"/>
    <m/>
    <x v="0"/>
    <m/>
    <x v="0"/>
    <s v="Sommarkurs"/>
    <m/>
    <s v="Distans"/>
    <m/>
    <m/>
    <n v="50"/>
    <x v="0"/>
    <m/>
    <m/>
    <n v="0"/>
    <n v="0"/>
    <n v="0.8"/>
    <n v="0"/>
    <n v="5740"/>
    <x v="9"/>
    <s v="TekNat"/>
    <x v="0"/>
    <n v="19473"/>
    <n v="34806"/>
    <n v="0"/>
    <n v="21800"/>
    <n v="0"/>
    <n v="0"/>
    <n v="0"/>
    <n v="0"/>
    <n v="0"/>
    <n v="0"/>
    <n v="0"/>
    <n v="1"/>
    <n v="0"/>
    <n v="0"/>
    <n v="0"/>
    <n v="0"/>
    <n v="0"/>
    <n v="0"/>
    <s v="Äskat - Beslut p43 180607"/>
    <s v="Ställs in enl uppg fr inst 190205"/>
    <n v="0"/>
    <n v="0"/>
    <n v="0"/>
    <n v="0"/>
    <n v="0"/>
    <n v="0"/>
    <n v="0"/>
    <n v="0"/>
    <n v="0"/>
    <n v="0"/>
    <n v="0"/>
    <n v="0"/>
    <n v="0"/>
    <n v="0"/>
    <n v="0"/>
    <n v="0"/>
    <n v="0"/>
    <n v="0"/>
    <n v="0"/>
    <n v="0"/>
    <n v="0"/>
    <n v="0"/>
    <n v="0"/>
  </r>
  <r>
    <x v="253"/>
    <x v="249"/>
    <m/>
    <x v="0"/>
    <m/>
    <x v="2"/>
    <m/>
    <m/>
    <s v="Distans"/>
    <m/>
    <m/>
    <n v="25"/>
    <x v="0"/>
    <m/>
    <m/>
    <n v="20"/>
    <n v="2.5"/>
    <n v="0.8"/>
    <n v="2"/>
    <n v="5740"/>
    <x v="9"/>
    <s v="TekNat"/>
    <x v="0"/>
    <n v="19473"/>
    <n v="34806"/>
    <n v="118294.5"/>
    <n v="21800"/>
    <n v="54500"/>
    <n v="172794.5"/>
    <n v="0"/>
    <n v="0"/>
    <n v="0"/>
    <n v="0"/>
    <n v="0"/>
    <n v="1"/>
    <n v="0"/>
    <n v="0"/>
    <n v="0"/>
    <n v="0"/>
    <n v="0"/>
    <n v="0"/>
    <s v="Äskat - Beslut p43 180607"/>
    <m/>
    <n v="0"/>
    <n v="0"/>
    <n v="0"/>
    <n v="0"/>
    <n v="0"/>
    <n v="0"/>
    <n v="0"/>
    <n v="0"/>
    <n v="0"/>
    <n v="0"/>
    <n v="2.5"/>
    <n v="2"/>
    <n v="0"/>
    <n v="0"/>
    <n v="0"/>
    <n v="0"/>
    <n v="0"/>
    <n v="0"/>
    <n v="0"/>
    <n v="0"/>
    <n v="0"/>
    <n v="0"/>
    <n v="0"/>
  </r>
  <r>
    <x v="254"/>
    <x v="74"/>
    <m/>
    <x v="0"/>
    <m/>
    <x v="2"/>
    <m/>
    <m/>
    <s v="Distans"/>
    <m/>
    <m/>
    <n v="50"/>
    <x v="1"/>
    <m/>
    <m/>
    <n v="30"/>
    <n v="7.5"/>
    <n v="0.8"/>
    <n v="6"/>
    <n v="2193"/>
    <x v="1"/>
    <s v="Sam"/>
    <x v="0"/>
    <n v="18405"/>
    <n v="15773"/>
    <n v="232675.5"/>
    <n v="5800"/>
    <n v="43500"/>
    <n v="276175.5"/>
    <n v="0"/>
    <n v="0"/>
    <n v="0"/>
    <n v="0"/>
    <n v="0"/>
    <n v="0"/>
    <n v="1"/>
    <n v="0"/>
    <n v="0"/>
    <n v="0"/>
    <n v="0"/>
    <n v="0"/>
    <s v="Äskat - Beslut p43 180607"/>
    <m/>
    <n v="0"/>
    <n v="0"/>
    <n v="0"/>
    <n v="0"/>
    <n v="0"/>
    <n v="0"/>
    <n v="0"/>
    <n v="0"/>
    <n v="0"/>
    <n v="0"/>
    <n v="0"/>
    <n v="0"/>
    <n v="7.5"/>
    <n v="6"/>
    <n v="0"/>
    <n v="0"/>
    <n v="0"/>
    <n v="0"/>
    <n v="0"/>
    <n v="0"/>
    <n v="0"/>
    <n v="0"/>
    <n v="0"/>
  </r>
  <r>
    <x v="255"/>
    <x v="74"/>
    <m/>
    <x v="0"/>
    <m/>
    <x v="2"/>
    <m/>
    <m/>
    <s v="Distans"/>
    <m/>
    <m/>
    <n v="100"/>
    <x v="7"/>
    <m/>
    <m/>
    <n v="30"/>
    <n v="15"/>
    <n v="0.8"/>
    <n v="12"/>
    <n v="2193"/>
    <x v="1"/>
    <s v="Sam"/>
    <x v="0"/>
    <n v="18405"/>
    <n v="15773"/>
    <n v="465351"/>
    <n v="5800"/>
    <n v="87000"/>
    <n v="552351"/>
    <n v="0"/>
    <n v="0"/>
    <n v="0"/>
    <n v="0"/>
    <n v="0"/>
    <n v="0"/>
    <n v="1"/>
    <n v="0"/>
    <n v="0"/>
    <n v="0"/>
    <n v="0"/>
    <n v="0"/>
    <s v="Äskat - Beslut p43 180607"/>
    <m/>
    <n v="0"/>
    <n v="0"/>
    <n v="0"/>
    <n v="0"/>
    <n v="0"/>
    <n v="0"/>
    <n v="0"/>
    <n v="0"/>
    <n v="0"/>
    <n v="0"/>
    <n v="0"/>
    <n v="0"/>
    <n v="15"/>
    <n v="12"/>
    <n v="0"/>
    <n v="0"/>
    <n v="0"/>
    <n v="0"/>
    <n v="0"/>
    <n v="0"/>
    <n v="0"/>
    <n v="0"/>
    <n v="0"/>
  </r>
  <r>
    <x v="256"/>
    <x v="250"/>
    <m/>
    <x v="0"/>
    <m/>
    <x v="2"/>
    <m/>
    <m/>
    <s v="Distans"/>
    <m/>
    <m/>
    <n v="50"/>
    <x v="1"/>
    <m/>
    <m/>
    <n v="40"/>
    <n v="10"/>
    <n v="0.8"/>
    <n v="8"/>
    <n v="2193"/>
    <x v="1"/>
    <s v="Sam"/>
    <x v="0"/>
    <n v="18405"/>
    <n v="15773"/>
    <n v="310234"/>
    <n v="5800"/>
    <n v="58000"/>
    <n v="368234"/>
    <n v="0"/>
    <n v="0"/>
    <n v="0"/>
    <n v="0"/>
    <n v="0"/>
    <n v="0"/>
    <n v="1"/>
    <n v="0"/>
    <n v="0"/>
    <n v="0"/>
    <n v="0"/>
    <n v="0"/>
    <s v="Äskat - Beslut p43 180607"/>
    <m/>
    <n v="0"/>
    <n v="0"/>
    <n v="0"/>
    <n v="0"/>
    <n v="0"/>
    <n v="0"/>
    <n v="0"/>
    <n v="0"/>
    <n v="0"/>
    <n v="0"/>
    <n v="0"/>
    <n v="0"/>
    <n v="10"/>
    <n v="8"/>
    <n v="0"/>
    <n v="0"/>
    <n v="0"/>
    <n v="0"/>
    <n v="0"/>
    <n v="0"/>
    <n v="0"/>
    <n v="0"/>
    <n v="0"/>
  </r>
  <r>
    <x v="257"/>
    <x v="251"/>
    <m/>
    <x v="0"/>
    <m/>
    <x v="2"/>
    <m/>
    <m/>
    <s v="Distans"/>
    <m/>
    <m/>
    <n v="50"/>
    <x v="1"/>
    <m/>
    <m/>
    <n v="20"/>
    <n v="5"/>
    <n v="0.8"/>
    <n v="4"/>
    <n v="2193"/>
    <x v="1"/>
    <s v="Sam"/>
    <x v="0"/>
    <n v="18405"/>
    <n v="15773"/>
    <n v="155117"/>
    <n v="5800"/>
    <n v="29000"/>
    <n v="184117"/>
    <n v="0"/>
    <n v="0"/>
    <n v="0"/>
    <n v="0"/>
    <n v="0"/>
    <n v="0"/>
    <n v="1"/>
    <n v="0"/>
    <n v="0"/>
    <n v="0"/>
    <n v="0"/>
    <n v="0"/>
    <s v="Äskat - Beslut p43 180607"/>
    <m/>
    <n v="0"/>
    <n v="0"/>
    <n v="0"/>
    <n v="0"/>
    <n v="0"/>
    <n v="0"/>
    <n v="0"/>
    <n v="0"/>
    <n v="0"/>
    <n v="0"/>
    <n v="0"/>
    <n v="0"/>
    <n v="5"/>
    <n v="4"/>
    <n v="0"/>
    <n v="0"/>
    <n v="0"/>
    <n v="0"/>
    <n v="0"/>
    <n v="0"/>
    <n v="0"/>
    <n v="0"/>
    <n v="0"/>
  </r>
  <r>
    <x v="258"/>
    <x v="252"/>
    <m/>
    <x v="0"/>
    <m/>
    <x v="1"/>
    <m/>
    <m/>
    <s v="Distans"/>
    <m/>
    <m/>
    <n v="50"/>
    <x v="0"/>
    <m/>
    <m/>
    <n v="9"/>
    <n v="1.125"/>
    <n v="0.8"/>
    <n v="0.9"/>
    <n v="2193"/>
    <x v="1"/>
    <s v="Sam"/>
    <x v="0"/>
    <n v="18405"/>
    <n v="15773"/>
    <n v="34901.324999999997"/>
    <n v="5800"/>
    <n v="6525"/>
    <n v="41426.324999999997"/>
    <n v="0"/>
    <n v="0"/>
    <n v="0"/>
    <n v="0"/>
    <n v="0"/>
    <n v="0"/>
    <n v="1"/>
    <n v="0"/>
    <n v="0"/>
    <n v="0"/>
    <n v="0"/>
    <n v="0"/>
    <s v="Enl Ladok 190318"/>
    <s v="Äskat - Beslut p43 180607"/>
    <n v="0"/>
    <n v="0"/>
    <n v="0"/>
    <n v="0"/>
    <n v="0"/>
    <n v="0"/>
    <n v="0"/>
    <n v="0"/>
    <n v="0"/>
    <n v="0"/>
    <n v="0"/>
    <n v="0"/>
    <n v="1.125"/>
    <n v="0.9"/>
    <n v="0"/>
    <n v="0"/>
    <n v="0"/>
    <n v="0"/>
    <n v="0"/>
    <n v="0"/>
    <n v="0"/>
    <n v="0"/>
    <n v="0"/>
  </r>
  <r>
    <x v="259"/>
    <x v="253"/>
    <m/>
    <x v="0"/>
    <m/>
    <x v="1"/>
    <m/>
    <m/>
    <s v="Distans"/>
    <m/>
    <m/>
    <n v="50"/>
    <x v="0"/>
    <m/>
    <m/>
    <n v="13"/>
    <n v="1.625"/>
    <n v="0.8"/>
    <n v="1.3"/>
    <n v="2193"/>
    <x v="1"/>
    <s v="Sam"/>
    <x v="0"/>
    <n v="18405"/>
    <n v="15773"/>
    <n v="50413.025000000001"/>
    <n v="5800"/>
    <n v="9425"/>
    <n v="59838.025000000001"/>
    <n v="0"/>
    <n v="0"/>
    <n v="0"/>
    <n v="0"/>
    <n v="0"/>
    <n v="0"/>
    <n v="1"/>
    <n v="0"/>
    <n v="0"/>
    <n v="0"/>
    <n v="0"/>
    <n v="0"/>
    <s v="Enl Ladok 190318"/>
    <s v="Äskat - Beslut p43 180607"/>
    <n v="0"/>
    <n v="0"/>
    <n v="0"/>
    <n v="0"/>
    <n v="0"/>
    <n v="0"/>
    <n v="0"/>
    <n v="0"/>
    <n v="0"/>
    <n v="0"/>
    <n v="0"/>
    <n v="0"/>
    <n v="1.625"/>
    <n v="1.3"/>
    <n v="0"/>
    <n v="0"/>
    <n v="0"/>
    <n v="0"/>
    <n v="0"/>
    <n v="0"/>
    <n v="0"/>
    <n v="0"/>
    <n v="0"/>
  </r>
  <r>
    <x v="260"/>
    <x v="62"/>
    <m/>
    <x v="8"/>
    <s v="H16"/>
    <x v="2"/>
    <s v="H1911-12"/>
    <m/>
    <m/>
    <m/>
    <m/>
    <n v="100"/>
    <x v="8"/>
    <m/>
    <m/>
    <n v="2"/>
    <n v="8.3333333333333329E-2"/>
    <n v="0.85"/>
    <n v="7.0833333333333331E-2"/>
    <n v="2180"/>
    <x v="0"/>
    <s v="Sam"/>
    <x v="8"/>
    <n v="21634"/>
    <n v="26986"/>
    <n v="3714.3416666666662"/>
    <n v="3400"/>
    <n v="283.33333333333331"/>
    <n v="3997.6749999999997"/>
    <n v="0"/>
    <n v="0"/>
    <n v="0"/>
    <n v="0"/>
    <n v="0"/>
    <n v="0"/>
    <n v="0"/>
    <n v="0"/>
    <n v="1"/>
    <n v="0"/>
    <n v="0"/>
    <n v="0"/>
    <s v="Enligt SP 190924"/>
    <m/>
    <n v="0"/>
    <n v="0"/>
    <n v="0"/>
    <n v="0"/>
    <n v="0"/>
    <n v="0"/>
    <n v="0"/>
    <n v="0"/>
    <n v="0"/>
    <n v="0"/>
    <n v="0"/>
    <n v="0"/>
    <n v="0"/>
    <n v="0"/>
    <n v="0"/>
    <n v="0"/>
    <n v="8.3333333333333329E-2"/>
    <n v="7.0833333333333331E-2"/>
    <n v="0"/>
    <n v="0"/>
    <n v="0"/>
    <n v="0"/>
    <n v="0"/>
  </r>
  <r>
    <x v="260"/>
    <x v="62"/>
    <m/>
    <x v="8"/>
    <s v="H17"/>
    <x v="2"/>
    <s v="H1911-12"/>
    <m/>
    <m/>
    <m/>
    <m/>
    <n v="100"/>
    <x v="8"/>
    <m/>
    <m/>
    <n v="8"/>
    <n v="0.33333333333333331"/>
    <n v="0.85"/>
    <n v="0.28333333333333333"/>
    <n v="2180"/>
    <x v="0"/>
    <s v="Sam"/>
    <x v="8"/>
    <n v="21634"/>
    <n v="26986"/>
    <n v="14857.366666666665"/>
    <n v="3400"/>
    <n v="1133.3333333333333"/>
    <n v="15990.699999999999"/>
    <n v="0"/>
    <n v="0"/>
    <n v="0"/>
    <n v="0"/>
    <n v="0"/>
    <n v="0"/>
    <n v="0"/>
    <n v="0"/>
    <n v="1"/>
    <n v="0"/>
    <n v="0"/>
    <n v="0"/>
    <s v="Enligt SP 190924"/>
    <m/>
    <n v="0"/>
    <n v="0"/>
    <n v="0"/>
    <n v="0"/>
    <n v="0"/>
    <n v="0"/>
    <n v="0"/>
    <n v="0"/>
    <n v="0"/>
    <n v="0"/>
    <n v="0"/>
    <n v="0"/>
    <n v="0"/>
    <n v="0"/>
    <n v="0"/>
    <n v="0"/>
    <n v="0.33333333333333331"/>
    <n v="0.28333333333333333"/>
    <n v="0"/>
    <n v="0"/>
    <n v="0"/>
    <n v="0"/>
    <n v="0"/>
  </r>
  <r>
    <x v="260"/>
    <x v="62"/>
    <m/>
    <x v="8"/>
    <s v="H18"/>
    <x v="2"/>
    <s v="H1911-12"/>
    <m/>
    <m/>
    <m/>
    <m/>
    <n v="100"/>
    <x v="8"/>
    <m/>
    <m/>
    <n v="1"/>
    <n v="4.1666666666666664E-2"/>
    <n v="0.85"/>
    <n v="3.5416666666666666E-2"/>
    <n v="2180"/>
    <x v="0"/>
    <s v="Sam"/>
    <x v="8"/>
    <n v="21634"/>
    <n v="26986"/>
    <n v="1857.1708333333331"/>
    <n v="3400"/>
    <n v="141.66666666666666"/>
    <n v="1998.8374999999999"/>
    <n v="0"/>
    <n v="0"/>
    <n v="0"/>
    <n v="0"/>
    <n v="0"/>
    <n v="0"/>
    <n v="0"/>
    <n v="0"/>
    <n v="1"/>
    <n v="0"/>
    <n v="0"/>
    <n v="0"/>
    <s v="Enligt SP 190924"/>
    <m/>
    <n v="0"/>
    <n v="0"/>
    <n v="0"/>
    <n v="0"/>
    <n v="0"/>
    <n v="0"/>
    <n v="0"/>
    <n v="0"/>
    <n v="0"/>
    <n v="0"/>
    <n v="0"/>
    <n v="0"/>
    <n v="0"/>
    <n v="0"/>
    <n v="0"/>
    <n v="0"/>
    <n v="4.1666666666666664E-2"/>
    <n v="3.5416666666666666E-2"/>
    <n v="0"/>
    <n v="0"/>
    <n v="0"/>
    <n v="0"/>
    <n v="0"/>
  </r>
  <r>
    <x v="261"/>
    <x v="254"/>
    <m/>
    <x v="8"/>
    <s v="H16"/>
    <x v="2"/>
    <s v="H1916-20"/>
    <m/>
    <m/>
    <m/>
    <m/>
    <n v="100"/>
    <x v="0"/>
    <m/>
    <m/>
    <n v="2"/>
    <n v="0.25"/>
    <n v="0.85"/>
    <n v="0.21249999999999999"/>
    <n v="2193"/>
    <x v="1"/>
    <s v="Sam"/>
    <x v="8"/>
    <n v="18405"/>
    <n v="15773"/>
    <n v="7953.0124999999998"/>
    <n v="5800"/>
    <n v="1450"/>
    <n v="9403.0125000000007"/>
    <n v="0"/>
    <n v="0"/>
    <n v="0"/>
    <n v="0"/>
    <n v="0"/>
    <n v="0"/>
    <n v="1"/>
    <n v="0"/>
    <n v="0"/>
    <n v="0"/>
    <n v="0"/>
    <n v="0"/>
    <s v="Enligt SP 190924"/>
    <m/>
    <n v="0"/>
    <n v="0"/>
    <n v="0"/>
    <n v="0"/>
    <n v="0"/>
    <n v="0"/>
    <n v="0"/>
    <n v="0"/>
    <n v="0"/>
    <n v="0"/>
    <n v="0"/>
    <n v="0"/>
    <n v="0.25"/>
    <n v="0.21249999999999999"/>
    <n v="0"/>
    <n v="0"/>
    <n v="0"/>
    <n v="0"/>
    <n v="0"/>
    <n v="0"/>
    <n v="0"/>
    <n v="0"/>
    <n v="0"/>
  </r>
  <r>
    <x v="261"/>
    <x v="254"/>
    <m/>
    <x v="8"/>
    <s v="H17"/>
    <x v="2"/>
    <s v="H1916-20"/>
    <m/>
    <m/>
    <m/>
    <m/>
    <n v="100"/>
    <x v="0"/>
    <m/>
    <m/>
    <n v="14"/>
    <n v="1.75"/>
    <n v="0.85"/>
    <n v="1.4875"/>
    <n v="2193"/>
    <x v="1"/>
    <s v="Sam"/>
    <x v="8"/>
    <n v="18405"/>
    <n v="15773"/>
    <n v="55671.087500000001"/>
    <n v="5800"/>
    <n v="10150"/>
    <n v="65821.087499999994"/>
    <n v="0"/>
    <n v="0"/>
    <n v="0"/>
    <n v="0"/>
    <n v="0"/>
    <n v="0"/>
    <n v="1"/>
    <n v="0"/>
    <n v="0"/>
    <n v="0"/>
    <n v="0"/>
    <n v="0"/>
    <s v="Enligt SP 190924"/>
    <m/>
    <n v="0"/>
    <n v="0"/>
    <n v="0"/>
    <n v="0"/>
    <n v="0"/>
    <n v="0"/>
    <n v="0"/>
    <n v="0"/>
    <n v="0"/>
    <n v="0"/>
    <n v="0"/>
    <n v="0"/>
    <n v="1.75"/>
    <n v="1.4875"/>
    <n v="0"/>
    <n v="0"/>
    <n v="0"/>
    <n v="0"/>
    <n v="0"/>
    <n v="0"/>
    <n v="0"/>
    <n v="0"/>
    <n v="0"/>
  </r>
  <r>
    <x v="262"/>
    <x v="255"/>
    <m/>
    <x v="7"/>
    <s v="H18"/>
    <x v="1"/>
    <s v="V1914-20"/>
    <s v="Umeå"/>
    <m/>
    <m/>
    <m/>
    <n v="100"/>
    <x v="10"/>
    <m/>
    <m/>
    <n v="47"/>
    <n v="7.833333333333333"/>
    <n v="0.85"/>
    <n v="6.6583333333333332"/>
    <n v="2193"/>
    <x v="1"/>
    <s v="Sam"/>
    <x v="7"/>
    <n v="21634"/>
    <n v="26986"/>
    <n v="349148.11666666664"/>
    <n v="3400"/>
    <n v="26633.333333333332"/>
    <n v="375781.44999999995"/>
    <n v="0"/>
    <n v="0"/>
    <n v="0"/>
    <n v="0"/>
    <n v="0"/>
    <n v="0"/>
    <n v="0"/>
    <n v="0"/>
    <n v="1"/>
    <n v="0"/>
    <n v="0"/>
    <n v="0"/>
    <s v="Enl Ladok 190523"/>
    <m/>
    <n v="0"/>
    <n v="0"/>
    <n v="0"/>
    <n v="0"/>
    <n v="0"/>
    <n v="0"/>
    <n v="0"/>
    <n v="0"/>
    <n v="0"/>
    <n v="0"/>
    <n v="0"/>
    <n v="0"/>
    <n v="0"/>
    <n v="0"/>
    <n v="0"/>
    <n v="0"/>
    <n v="7.833333333333333"/>
    <n v="6.6583333333333332"/>
    <n v="0"/>
    <n v="0"/>
    <n v="0"/>
    <n v="0"/>
    <n v="0"/>
  </r>
  <r>
    <x v="262"/>
    <x v="255"/>
    <m/>
    <x v="7"/>
    <s v="H18"/>
    <x v="2"/>
    <s v="H1914-20"/>
    <m/>
    <m/>
    <m/>
    <m/>
    <n v="100"/>
    <x v="10"/>
    <m/>
    <m/>
    <n v="2"/>
    <n v="0.33333333333333331"/>
    <n v="0.85"/>
    <n v="0.28333333333333333"/>
    <n v="2193"/>
    <x v="1"/>
    <s v="Sam"/>
    <x v="7"/>
    <n v="21634"/>
    <n v="26986"/>
    <n v="14857.366666666665"/>
    <n v="3400"/>
    <n v="1133.3333333333333"/>
    <n v="15990.699999999999"/>
    <n v="0"/>
    <n v="0"/>
    <n v="0"/>
    <n v="0"/>
    <n v="0"/>
    <n v="0"/>
    <n v="0"/>
    <n v="0"/>
    <n v="1"/>
    <n v="0"/>
    <n v="0"/>
    <n v="0"/>
    <s v="Enligt SP 190924"/>
    <m/>
    <n v="0"/>
    <n v="0"/>
    <n v="0"/>
    <n v="0"/>
    <n v="0"/>
    <n v="0"/>
    <n v="0"/>
    <n v="0"/>
    <n v="0"/>
    <n v="0"/>
    <n v="0"/>
    <n v="0"/>
    <n v="0"/>
    <n v="0"/>
    <n v="0"/>
    <n v="0"/>
    <n v="0.33333333333333331"/>
    <n v="0.28333333333333333"/>
    <n v="0"/>
    <n v="0"/>
    <n v="0"/>
    <n v="0"/>
    <n v="0"/>
  </r>
  <r>
    <x v="262"/>
    <x v="255"/>
    <m/>
    <x v="7"/>
    <s v="V19"/>
    <x v="2"/>
    <s v="H1914-20"/>
    <m/>
    <m/>
    <m/>
    <m/>
    <n v="100"/>
    <x v="10"/>
    <m/>
    <m/>
    <n v="17"/>
    <n v="2.833333333333333"/>
    <n v="0.85"/>
    <n v="2.4083333333333332"/>
    <n v="2193"/>
    <x v="1"/>
    <s v="Sam"/>
    <x v="7"/>
    <n v="21634"/>
    <n v="26986"/>
    <n v="126287.61666666667"/>
    <n v="3400"/>
    <n v="9633.3333333333321"/>
    <n v="135920.95000000001"/>
    <n v="0"/>
    <n v="0"/>
    <n v="0"/>
    <n v="0"/>
    <n v="0"/>
    <n v="0"/>
    <n v="0"/>
    <n v="0"/>
    <n v="1"/>
    <n v="0"/>
    <n v="0"/>
    <n v="0"/>
    <s v="Enligt SP 190924"/>
    <m/>
    <n v="0"/>
    <n v="0"/>
    <n v="0"/>
    <n v="0"/>
    <n v="0"/>
    <n v="0"/>
    <n v="0"/>
    <n v="0"/>
    <n v="0"/>
    <n v="0"/>
    <n v="0"/>
    <n v="0"/>
    <n v="0"/>
    <n v="0"/>
    <n v="0"/>
    <n v="0"/>
    <n v="2.833333333333333"/>
    <n v="2.4083333333333332"/>
    <n v="0"/>
    <n v="0"/>
    <n v="0"/>
    <n v="0"/>
    <n v="0"/>
  </r>
  <r>
    <x v="263"/>
    <x v="256"/>
    <m/>
    <x v="7"/>
    <s v="H16"/>
    <x v="1"/>
    <s v="V191-7"/>
    <s v="Umeå"/>
    <m/>
    <m/>
    <m/>
    <n v="100"/>
    <x v="10"/>
    <m/>
    <m/>
    <n v="1"/>
    <n v="0.16666666666666666"/>
    <n v="0.85"/>
    <n v="0.14166666666666666"/>
    <n v="2193"/>
    <x v="1"/>
    <s v="Sam"/>
    <x v="7"/>
    <n v="18405"/>
    <n v="15773"/>
    <n v="5302.0083333333332"/>
    <n v="5800"/>
    <n v="966.66666666666663"/>
    <n v="6268.6750000000002"/>
    <n v="0"/>
    <n v="0"/>
    <n v="0"/>
    <n v="0"/>
    <n v="0"/>
    <n v="0"/>
    <n v="1"/>
    <n v="0"/>
    <n v="0"/>
    <n v="0"/>
    <n v="0"/>
    <n v="0"/>
    <s v="Enl Ladok 190318"/>
    <m/>
    <n v="0"/>
    <n v="0"/>
    <n v="0"/>
    <n v="0"/>
    <n v="0"/>
    <n v="0"/>
    <n v="0"/>
    <n v="0"/>
    <n v="0"/>
    <n v="0"/>
    <n v="0"/>
    <n v="0"/>
    <n v="0.16666666666666666"/>
    <n v="0.14166666666666666"/>
    <n v="0"/>
    <n v="0"/>
    <n v="0"/>
    <n v="0"/>
    <n v="0"/>
    <n v="0"/>
    <n v="0"/>
    <n v="0"/>
    <n v="0"/>
  </r>
  <r>
    <x v="263"/>
    <x v="256"/>
    <m/>
    <x v="7"/>
    <s v="H17"/>
    <x v="1"/>
    <s v="V191-7"/>
    <s v="Umeå"/>
    <m/>
    <m/>
    <m/>
    <n v="100"/>
    <x v="10"/>
    <m/>
    <m/>
    <n v="34"/>
    <n v="5.6666666666666661"/>
    <n v="0.85"/>
    <n v="4.8166666666666664"/>
    <n v="2193"/>
    <x v="1"/>
    <s v="Sam"/>
    <x v="7"/>
    <n v="18405"/>
    <n v="15773"/>
    <n v="180268.28333333333"/>
    <n v="5800"/>
    <n v="32866.666666666664"/>
    <n v="213134.94999999998"/>
    <n v="0"/>
    <n v="0"/>
    <n v="0"/>
    <n v="0"/>
    <n v="0"/>
    <n v="0"/>
    <n v="1"/>
    <n v="0"/>
    <n v="0"/>
    <n v="0"/>
    <n v="0"/>
    <n v="0"/>
    <s v="Enl Ladok 190318"/>
    <m/>
    <n v="0"/>
    <n v="0"/>
    <n v="0"/>
    <n v="0"/>
    <n v="0"/>
    <n v="0"/>
    <n v="0"/>
    <n v="0"/>
    <n v="0"/>
    <n v="0"/>
    <n v="0"/>
    <n v="0"/>
    <n v="5.6666666666666661"/>
    <n v="4.8166666666666664"/>
    <n v="0"/>
    <n v="0"/>
    <n v="0"/>
    <n v="0"/>
    <n v="0"/>
    <n v="0"/>
    <n v="0"/>
    <n v="0"/>
    <n v="0"/>
  </r>
  <r>
    <x v="263"/>
    <x v="256"/>
    <m/>
    <x v="7"/>
    <s v="H17"/>
    <x v="2"/>
    <s v="H191-7"/>
    <m/>
    <m/>
    <m/>
    <m/>
    <n v="100"/>
    <x v="10"/>
    <m/>
    <m/>
    <n v="3"/>
    <n v="0.5"/>
    <n v="0.85"/>
    <n v="0.42499999999999999"/>
    <n v="2193"/>
    <x v="1"/>
    <s v="Sam"/>
    <x v="7"/>
    <n v="18405"/>
    <n v="15773"/>
    <n v="15906.025"/>
    <n v="5800"/>
    <n v="2900"/>
    <n v="18806.025000000001"/>
    <n v="0"/>
    <n v="0"/>
    <n v="0"/>
    <n v="0"/>
    <n v="0"/>
    <n v="0"/>
    <n v="1"/>
    <n v="0"/>
    <n v="0"/>
    <n v="0"/>
    <n v="0"/>
    <n v="0"/>
    <s v="Enligt SP 190924"/>
    <m/>
    <n v="0"/>
    <n v="0"/>
    <n v="0"/>
    <n v="0"/>
    <n v="0"/>
    <n v="0"/>
    <n v="0"/>
    <n v="0"/>
    <n v="0"/>
    <n v="0"/>
    <n v="0"/>
    <n v="0"/>
    <n v="0.5"/>
    <n v="0.42499999999999999"/>
    <n v="0"/>
    <n v="0"/>
    <n v="0"/>
    <n v="0"/>
    <n v="0"/>
    <n v="0"/>
    <n v="0"/>
    <n v="0"/>
    <n v="0"/>
  </r>
  <r>
    <x v="263"/>
    <x v="256"/>
    <m/>
    <x v="7"/>
    <s v="V17"/>
    <x v="1"/>
    <s v="V191-7"/>
    <s v="Umeå"/>
    <m/>
    <m/>
    <m/>
    <n v="100"/>
    <x v="10"/>
    <m/>
    <m/>
    <n v="1"/>
    <n v="0.16666666666666666"/>
    <n v="0.85"/>
    <n v="0.14166666666666666"/>
    <n v="2193"/>
    <x v="1"/>
    <s v="Sam"/>
    <x v="7"/>
    <n v="18405"/>
    <n v="15773"/>
    <n v="5302.0083333333332"/>
    <n v="5800"/>
    <n v="966.66666666666663"/>
    <n v="6268.6750000000002"/>
    <n v="0"/>
    <n v="0"/>
    <n v="0"/>
    <n v="0"/>
    <n v="0"/>
    <n v="0"/>
    <n v="1"/>
    <n v="0"/>
    <n v="0"/>
    <n v="0"/>
    <n v="0"/>
    <n v="0"/>
    <s v="Enl Ladok 190318"/>
    <m/>
    <n v="0"/>
    <n v="0"/>
    <n v="0"/>
    <n v="0"/>
    <n v="0"/>
    <n v="0"/>
    <n v="0"/>
    <n v="0"/>
    <n v="0"/>
    <n v="0"/>
    <n v="0"/>
    <n v="0"/>
    <n v="0.16666666666666666"/>
    <n v="0.14166666666666666"/>
    <n v="0"/>
    <n v="0"/>
    <n v="0"/>
    <n v="0"/>
    <n v="0"/>
    <n v="0"/>
    <n v="0"/>
    <n v="0"/>
    <n v="0"/>
  </r>
  <r>
    <x v="263"/>
    <x v="256"/>
    <m/>
    <x v="7"/>
    <s v="V18"/>
    <x v="2"/>
    <s v="H191-7"/>
    <s v="Umeå"/>
    <m/>
    <m/>
    <m/>
    <n v="100"/>
    <x v="10"/>
    <m/>
    <m/>
    <n v="21"/>
    <n v="3.5"/>
    <n v="0.85"/>
    <n v="2.9750000000000001"/>
    <n v="2193"/>
    <x v="1"/>
    <s v="Sam"/>
    <x v="7"/>
    <n v="18405"/>
    <n v="15773"/>
    <n v="111342.175"/>
    <n v="5800"/>
    <n v="20300"/>
    <n v="131642.17499999999"/>
    <n v="0"/>
    <n v="0"/>
    <n v="0"/>
    <n v="0"/>
    <n v="0"/>
    <n v="0"/>
    <n v="1"/>
    <n v="0"/>
    <n v="0"/>
    <n v="0"/>
    <n v="0"/>
    <n v="0"/>
    <s v="Enligt SP 190924"/>
    <m/>
    <n v="0"/>
    <n v="0"/>
    <n v="0"/>
    <n v="0"/>
    <n v="0"/>
    <n v="0"/>
    <n v="0"/>
    <n v="0"/>
    <n v="0"/>
    <n v="0"/>
    <n v="0"/>
    <n v="0"/>
    <n v="3.5"/>
    <n v="2.9750000000000001"/>
    <n v="0"/>
    <n v="0"/>
    <n v="0"/>
    <n v="0"/>
    <n v="0"/>
    <n v="0"/>
    <n v="0"/>
    <n v="0"/>
    <n v="0"/>
  </r>
  <r>
    <x v="263"/>
    <x v="256"/>
    <m/>
    <x v="7"/>
    <s v="V18"/>
    <x v="2"/>
    <s v="H191-7"/>
    <s v="Ö-vik"/>
    <m/>
    <m/>
    <m/>
    <n v="100"/>
    <x v="10"/>
    <m/>
    <m/>
    <n v="16"/>
    <n v="2.6666666666666665"/>
    <n v="0.85"/>
    <n v="2.2666666666666666"/>
    <n v="2193"/>
    <x v="1"/>
    <s v="Sam"/>
    <x v="7"/>
    <n v="18405"/>
    <n v="15773"/>
    <n v="84832.133333333331"/>
    <n v="5800"/>
    <n v="15466.666666666666"/>
    <n v="100298.8"/>
    <n v="0"/>
    <n v="0"/>
    <n v="0"/>
    <n v="0"/>
    <n v="0"/>
    <n v="0"/>
    <n v="1"/>
    <n v="0"/>
    <n v="0"/>
    <n v="0"/>
    <n v="0"/>
    <n v="0"/>
    <s v="Enligt SP 190924"/>
    <m/>
    <n v="0"/>
    <n v="0"/>
    <n v="0"/>
    <n v="0"/>
    <n v="0"/>
    <n v="0"/>
    <n v="0"/>
    <n v="0"/>
    <n v="0"/>
    <n v="0"/>
    <n v="0"/>
    <n v="0"/>
    <n v="2.6666666666666665"/>
    <n v="2.2666666666666666"/>
    <n v="0"/>
    <n v="0"/>
    <n v="0"/>
    <n v="0"/>
    <n v="0"/>
    <n v="0"/>
    <n v="0"/>
    <n v="0"/>
    <n v="0"/>
  </r>
  <r>
    <x v="264"/>
    <x v="257"/>
    <m/>
    <x v="7"/>
    <s v="H16"/>
    <x v="1"/>
    <s v="V194-10"/>
    <s v="Umeå"/>
    <m/>
    <m/>
    <m/>
    <n v="100"/>
    <x v="15"/>
    <m/>
    <m/>
    <n v="2"/>
    <n v="0.36666666666666664"/>
    <n v="0.85"/>
    <n v="0.31166666666666665"/>
    <n v="2193"/>
    <x v="1"/>
    <s v="Sam"/>
    <x v="7"/>
    <n v="21634"/>
    <n v="26986"/>
    <n v="16343.103333333333"/>
    <n v="3400"/>
    <n v="1246.6666666666665"/>
    <n v="17589.77"/>
    <n v="0"/>
    <n v="0"/>
    <n v="0"/>
    <n v="0"/>
    <n v="0"/>
    <n v="0"/>
    <n v="0"/>
    <n v="0"/>
    <n v="1"/>
    <n v="0"/>
    <n v="0"/>
    <n v="0"/>
    <s v="Enl Ladok 190318"/>
    <m/>
    <n v="0"/>
    <n v="0"/>
    <n v="0"/>
    <n v="0"/>
    <n v="0"/>
    <n v="0"/>
    <n v="0"/>
    <n v="0"/>
    <n v="0"/>
    <n v="0"/>
    <n v="0"/>
    <n v="0"/>
    <n v="0"/>
    <n v="0"/>
    <n v="0"/>
    <n v="0"/>
    <n v="0.36666666666666664"/>
    <n v="0.31166666666666665"/>
    <n v="0"/>
    <n v="0"/>
    <n v="0"/>
    <n v="0"/>
    <n v="0"/>
  </r>
  <r>
    <x v="264"/>
    <x v="257"/>
    <m/>
    <x v="7"/>
    <s v="H17"/>
    <x v="2"/>
    <s v="H194-10"/>
    <m/>
    <m/>
    <m/>
    <m/>
    <n v="100"/>
    <x v="15"/>
    <m/>
    <m/>
    <n v="32"/>
    <n v="5.8666666666666663"/>
    <n v="0.85"/>
    <n v="4.9866666666666664"/>
    <n v="2193"/>
    <x v="1"/>
    <s v="Sam"/>
    <x v="7"/>
    <n v="21634"/>
    <n v="26986"/>
    <n v="261489.65333333332"/>
    <n v="3400"/>
    <n v="19946.666666666664"/>
    <n v="281436.32"/>
    <n v="0"/>
    <n v="0"/>
    <n v="0"/>
    <n v="0"/>
    <n v="0"/>
    <n v="0"/>
    <n v="0"/>
    <n v="0"/>
    <n v="1"/>
    <n v="0"/>
    <n v="0"/>
    <n v="0"/>
    <s v="Enligt SP 190924"/>
    <m/>
    <n v="0"/>
    <n v="0"/>
    <n v="0"/>
    <n v="0"/>
    <n v="0"/>
    <n v="0"/>
    <n v="0"/>
    <n v="0"/>
    <n v="0"/>
    <n v="0"/>
    <n v="0"/>
    <n v="0"/>
    <n v="0"/>
    <n v="0"/>
    <n v="0"/>
    <n v="0"/>
    <n v="5.8666666666666663"/>
    <n v="4.9866666666666664"/>
    <n v="0"/>
    <n v="0"/>
    <n v="0"/>
    <n v="0"/>
    <n v="0"/>
  </r>
  <r>
    <x v="264"/>
    <x v="257"/>
    <m/>
    <x v="7"/>
    <s v="V17"/>
    <x v="1"/>
    <s v="V194-10"/>
    <s v="Umeå"/>
    <m/>
    <m/>
    <m/>
    <n v="100"/>
    <x v="15"/>
    <m/>
    <m/>
    <n v="17"/>
    <n v="3.1166666666666663"/>
    <n v="0.85"/>
    <n v="2.6491666666666664"/>
    <n v="2193"/>
    <x v="1"/>
    <s v="Sam"/>
    <x v="7"/>
    <n v="21634"/>
    <n v="26986"/>
    <n v="138916.37833333333"/>
    <n v="3400"/>
    <n v="10596.666666666666"/>
    <n v="149513.04499999998"/>
    <n v="0"/>
    <n v="0"/>
    <n v="0"/>
    <n v="0"/>
    <n v="0"/>
    <n v="0"/>
    <n v="0"/>
    <n v="0"/>
    <n v="1"/>
    <n v="0"/>
    <n v="0"/>
    <n v="0"/>
    <s v="Enl Ladok 190318"/>
    <m/>
    <n v="0"/>
    <n v="0"/>
    <n v="0"/>
    <n v="0"/>
    <n v="0"/>
    <n v="0"/>
    <n v="0"/>
    <n v="0"/>
    <n v="0"/>
    <n v="0"/>
    <n v="0"/>
    <n v="0"/>
    <n v="0"/>
    <n v="0"/>
    <n v="0"/>
    <n v="0"/>
    <n v="3.1166666666666663"/>
    <n v="2.6491666666666664"/>
    <n v="0"/>
    <n v="0"/>
    <n v="0"/>
    <n v="0"/>
    <n v="0"/>
  </r>
  <r>
    <x v="264"/>
    <x v="257"/>
    <m/>
    <x v="7"/>
    <s v="V17"/>
    <x v="2"/>
    <s v="H194-10"/>
    <m/>
    <m/>
    <m/>
    <m/>
    <n v="100"/>
    <x v="15"/>
    <m/>
    <m/>
    <n v="3"/>
    <n v="0.54999999999999993"/>
    <n v="0.85"/>
    <n v="0.46749999999999992"/>
    <n v="2193"/>
    <x v="1"/>
    <s v="Sam"/>
    <x v="7"/>
    <n v="21634"/>
    <n v="26986"/>
    <n v="24514.654999999999"/>
    <n v="3400"/>
    <n v="1869.9999999999998"/>
    <n v="26384.654999999999"/>
    <n v="0"/>
    <n v="0"/>
    <n v="0"/>
    <n v="0"/>
    <n v="0"/>
    <n v="0"/>
    <n v="0"/>
    <n v="0"/>
    <n v="1"/>
    <n v="0"/>
    <n v="0"/>
    <n v="0"/>
    <s v="Enligt SP 190924"/>
    <m/>
    <n v="0"/>
    <n v="0"/>
    <n v="0"/>
    <n v="0"/>
    <n v="0"/>
    <n v="0"/>
    <n v="0"/>
    <n v="0"/>
    <n v="0"/>
    <n v="0"/>
    <n v="0"/>
    <n v="0"/>
    <n v="0"/>
    <n v="0"/>
    <n v="0"/>
    <n v="0"/>
    <n v="0.54999999999999993"/>
    <n v="0.46749999999999992"/>
    <n v="0"/>
    <n v="0"/>
    <n v="0"/>
    <n v="0"/>
    <n v="0"/>
  </r>
  <r>
    <x v="265"/>
    <x v="258"/>
    <m/>
    <x v="7"/>
    <s v="H14"/>
    <x v="1"/>
    <s v="V191-5"/>
    <s v="Umeå"/>
    <m/>
    <m/>
    <m/>
    <n v="100"/>
    <x v="0"/>
    <m/>
    <m/>
    <n v="1"/>
    <n v="0.125"/>
    <n v="0.85"/>
    <n v="0.10625"/>
    <n v="2193"/>
    <x v="1"/>
    <s v="Sam"/>
    <x v="7"/>
    <n v="21634"/>
    <n v="26986"/>
    <n v="5571.5124999999998"/>
    <n v="3400"/>
    <n v="425"/>
    <n v="5996.5124999999998"/>
    <n v="0"/>
    <n v="0"/>
    <n v="0"/>
    <n v="0"/>
    <n v="0"/>
    <n v="0"/>
    <n v="0"/>
    <n v="0"/>
    <n v="1"/>
    <n v="0"/>
    <n v="0"/>
    <n v="0"/>
    <s v="Enl Ladok 190318"/>
    <m/>
    <n v="0"/>
    <n v="0"/>
    <n v="0"/>
    <n v="0"/>
    <n v="0"/>
    <n v="0"/>
    <n v="0"/>
    <n v="0"/>
    <n v="0"/>
    <n v="0"/>
    <n v="0"/>
    <n v="0"/>
    <n v="0"/>
    <n v="0"/>
    <n v="0"/>
    <n v="0"/>
    <n v="0.125"/>
    <n v="0.10625"/>
    <n v="0"/>
    <n v="0"/>
    <n v="0"/>
    <n v="0"/>
    <n v="0"/>
  </r>
  <r>
    <x v="265"/>
    <x v="258"/>
    <m/>
    <x v="7"/>
    <s v="H14"/>
    <x v="1"/>
    <s v="V191-5"/>
    <s v="Umeå"/>
    <m/>
    <m/>
    <m/>
    <n v="100"/>
    <x v="0"/>
    <m/>
    <m/>
    <n v="1"/>
    <n v="0.125"/>
    <n v="0.85"/>
    <n v="0.10625"/>
    <n v="2193"/>
    <x v="1"/>
    <s v="Sam"/>
    <x v="7"/>
    <n v="21634"/>
    <n v="26986"/>
    <n v="5571.5124999999998"/>
    <n v="3400"/>
    <n v="425"/>
    <n v="5996.5124999999998"/>
    <n v="0"/>
    <n v="0"/>
    <n v="0"/>
    <n v="0"/>
    <n v="0"/>
    <n v="0"/>
    <n v="0"/>
    <n v="0"/>
    <n v="1"/>
    <n v="0"/>
    <n v="0"/>
    <n v="0"/>
    <s v="Enl Ladok 190318"/>
    <m/>
    <n v="0"/>
    <n v="0"/>
    <n v="0"/>
    <n v="0"/>
    <n v="0"/>
    <n v="0"/>
    <n v="0"/>
    <n v="0"/>
    <n v="0"/>
    <n v="0"/>
    <n v="0"/>
    <n v="0"/>
    <n v="0"/>
    <n v="0"/>
    <n v="0"/>
    <n v="0"/>
    <n v="0.125"/>
    <n v="0.10625"/>
    <n v="0"/>
    <n v="0"/>
    <n v="0"/>
    <n v="0"/>
    <n v="0"/>
  </r>
  <r>
    <x v="265"/>
    <x v="258"/>
    <m/>
    <x v="7"/>
    <s v="H15"/>
    <x v="1"/>
    <s v="V191-5"/>
    <s v="Umeå"/>
    <m/>
    <m/>
    <m/>
    <n v="100"/>
    <x v="0"/>
    <m/>
    <m/>
    <n v="1"/>
    <n v="0.125"/>
    <n v="0.85"/>
    <n v="0.10625"/>
    <n v="2193"/>
    <x v="1"/>
    <s v="Sam"/>
    <x v="7"/>
    <n v="21634"/>
    <n v="26986"/>
    <n v="5571.5124999999998"/>
    <n v="3400"/>
    <n v="425"/>
    <n v="5996.5124999999998"/>
    <n v="0"/>
    <n v="0"/>
    <n v="0"/>
    <n v="0"/>
    <n v="0"/>
    <n v="0"/>
    <n v="0"/>
    <n v="0"/>
    <n v="1"/>
    <n v="0"/>
    <n v="0"/>
    <n v="0"/>
    <s v="Enl Ladok 190318"/>
    <m/>
    <n v="0"/>
    <n v="0"/>
    <n v="0"/>
    <n v="0"/>
    <n v="0"/>
    <n v="0"/>
    <n v="0"/>
    <n v="0"/>
    <n v="0"/>
    <n v="0"/>
    <n v="0"/>
    <n v="0"/>
    <n v="0"/>
    <n v="0"/>
    <n v="0"/>
    <n v="0"/>
    <n v="0.125"/>
    <n v="0.10625"/>
    <n v="0"/>
    <n v="0"/>
    <n v="0"/>
    <n v="0"/>
    <n v="0"/>
  </r>
  <r>
    <x v="265"/>
    <x v="258"/>
    <m/>
    <x v="7"/>
    <s v="H16"/>
    <x v="2"/>
    <s v="H191-5"/>
    <m/>
    <m/>
    <m/>
    <m/>
    <n v="100"/>
    <x v="0"/>
    <m/>
    <m/>
    <n v="56"/>
    <n v="7"/>
    <n v="0.85"/>
    <n v="5.95"/>
    <n v="2193"/>
    <x v="1"/>
    <s v="Sam"/>
    <x v="7"/>
    <n v="21634"/>
    <n v="26986"/>
    <n v="312004.7"/>
    <n v="3400"/>
    <n v="23800"/>
    <n v="335804.7"/>
    <n v="0"/>
    <n v="0"/>
    <n v="0"/>
    <n v="0"/>
    <n v="0"/>
    <n v="0"/>
    <n v="0"/>
    <n v="0"/>
    <n v="1"/>
    <n v="0"/>
    <n v="0"/>
    <n v="0"/>
    <s v="Enligt SP 190924"/>
    <m/>
    <n v="0"/>
    <n v="0"/>
    <n v="0"/>
    <n v="0"/>
    <n v="0"/>
    <n v="0"/>
    <n v="0"/>
    <n v="0"/>
    <n v="0"/>
    <n v="0"/>
    <n v="0"/>
    <n v="0"/>
    <n v="0"/>
    <n v="0"/>
    <n v="0"/>
    <n v="0"/>
    <n v="7"/>
    <n v="5.95"/>
    <n v="0"/>
    <n v="0"/>
    <n v="0"/>
    <n v="0"/>
    <n v="0"/>
  </r>
  <r>
    <x v="265"/>
    <x v="258"/>
    <m/>
    <x v="7"/>
    <s v="V16"/>
    <x v="1"/>
    <s v="V191-5"/>
    <s v="Umeå"/>
    <m/>
    <m/>
    <m/>
    <n v="100"/>
    <x v="0"/>
    <m/>
    <m/>
    <n v="21"/>
    <n v="2.625"/>
    <n v="0.85"/>
    <n v="2.2312499999999997"/>
    <n v="2193"/>
    <x v="1"/>
    <s v="Sam"/>
    <x v="7"/>
    <n v="21634"/>
    <n v="26986"/>
    <n v="117001.76249999998"/>
    <n v="3400"/>
    <n v="8925"/>
    <n v="125926.76249999998"/>
    <n v="0"/>
    <n v="0"/>
    <n v="0"/>
    <n v="0"/>
    <n v="0"/>
    <n v="0"/>
    <n v="0"/>
    <n v="0"/>
    <n v="1"/>
    <n v="0"/>
    <n v="0"/>
    <n v="0"/>
    <s v="Enl Ladok 190318"/>
    <m/>
    <n v="0"/>
    <n v="0"/>
    <n v="0"/>
    <n v="0"/>
    <n v="0"/>
    <n v="0"/>
    <n v="0"/>
    <n v="0"/>
    <n v="0"/>
    <n v="0"/>
    <n v="0"/>
    <n v="0"/>
    <n v="0"/>
    <n v="0"/>
    <n v="0"/>
    <n v="0"/>
    <n v="2.625"/>
    <n v="2.2312499999999997"/>
    <n v="0"/>
    <n v="0"/>
    <n v="0"/>
    <n v="0"/>
    <n v="0"/>
  </r>
  <r>
    <x v="265"/>
    <x v="258"/>
    <m/>
    <x v="7"/>
    <s v="V16"/>
    <x v="1"/>
    <s v="V191-5"/>
    <s v="Umeå"/>
    <m/>
    <m/>
    <m/>
    <n v="100"/>
    <x v="0"/>
    <m/>
    <m/>
    <n v="1"/>
    <n v="0.125"/>
    <n v="0.85"/>
    <n v="0.10625"/>
    <n v="2193"/>
    <x v="1"/>
    <s v="Sam"/>
    <x v="7"/>
    <n v="21634"/>
    <n v="26986"/>
    <n v="5571.5124999999998"/>
    <n v="3400"/>
    <n v="425"/>
    <n v="5996.5124999999998"/>
    <n v="0"/>
    <n v="0"/>
    <n v="0"/>
    <n v="0"/>
    <n v="0"/>
    <n v="0"/>
    <n v="0"/>
    <n v="0"/>
    <n v="1"/>
    <n v="0"/>
    <n v="0"/>
    <n v="0"/>
    <s v="Enl Ladok 190318"/>
    <m/>
    <n v="0"/>
    <n v="0"/>
    <n v="0"/>
    <n v="0"/>
    <n v="0"/>
    <n v="0"/>
    <n v="0"/>
    <n v="0"/>
    <n v="0"/>
    <n v="0"/>
    <n v="0"/>
    <n v="0"/>
    <n v="0"/>
    <n v="0"/>
    <n v="0"/>
    <n v="0"/>
    <n v="0.125"/>
    <n v="0.10625"/>
    <n v="0"/>
    <n v="0"/>
    <n v="0"/>
    <n v="0"/>
    <n v="0"/>
  </r>
  <r>
    <x v="265"/>
    <x v="258"/>
    <m/>
    <x v="7"/>
    <s v="V16"/>
    <x v="2"/>
    <s v="H191-5"/>
    <m/>
    <m/>
    <m/>
    <m/>
    <n v="100"/>
    <x v="0"/>
    <m/>
    <m/>
    <n v="3"/>
    <n v="0.375"/>
    <n v="0.85"/>
    <n v="0.31874999999999998"/>
    <n v="2193"/>
    <x v="1"/>
    <s v="Sam"/>
    <x v="7"/>
    <n v="21634"/>
    <n v="26986"/>
    <n v="16714.537499999999"/>
    <n v="3400"/>
    <n v="1275"/>
    <n v="17989.537499999999"/>
    <n v="0"/>
    <n v="0"/>
    <n v="0"/>
    <n v="0"/>
    <n v="0"/>
    <n v="0"/>
    <n v="0"/>
    <n v="0"/>
    <n v="1"/>
    <n v="0"/>
    <n v="0"/>
    <n v="0"/>
    <s v="Enligt SP 190924"/>
    <m/>
    <n v="0"/>
    <n v="0"/>
    <n v="0"/>
    <n v="0"/>
    <n v="0"/>
    <n v="0"/>
    <n v="0"/>
    <n v="0"/>
    <n v="0"/>
    <n v="0"/>
    <n v="0"/>
    <n v="0"/>
    <n v="0"/>
    <n v="0"/>
    <n v="0"/>
    <n v="0"/>
    <n v="0.375"/>
    <n v="0.31874999999999998"/>
    <n v="0"/>
    <n v="0"/>
    <n v="0"/>
    <n v="0"/>
    <n v="0"/>
  </r>
  <r>
    <x v="265"/>
    <x v="258"/>
    <m/>
    <x v="7"/>
    <s v="V17"/>
    <x v="1"/>
    <s v="V191-5"/>
    <s v="Umeå"/>
    <m/>
    <m/>
    <m/>
    <n v="100"/>
    <x v="0"/>
    <m/>
    <m/>
    <n v="1"/>
    <n v="0.125"/>
    <n v="0.85"/>
    <n v="0.10625"/>
    <n v="2193"/>
    <x v="1"/>
    <s v="Sam"/>
    <x v="7"/>
    <n v="21634"/>
    <n v="26986"/>
    <n v="5571.5124999999998"/>
    <n v="3400"/>
    <n v="425"/>
    <n v="5996.5124999999998"/>
    <n v="0"/>
    <n v="0"/>
    <n v="0"/>
    <n v="0"/>
    <n v="0"/>
    <n v="0"/>
    <n v="0"/>
    <n v="0"/>
    <n v="1"/>
    <n v="0"/>
    <n v="0"/>
    <n v="0"/>
    <s v="Enl Ladok 190318"/>
    <m/>
    <n v="0"/>
    <n v="0"/>
    <n v="0"/>
    <n v="0"/>
    <n v="0"/>
    <n v="0"/>
    <n v="0"/>
    <n v="0"/>
    <n v="0"/>
    <n v="0"/>
    <n v="0"/>
    <n v="0"/>
    <n v="0"/>
    <n v="0"/>
    <n v="0"/>
    <n v="0"/>
    <n v="0.125"/>
    <n v="0.10625"/>
    <n v="0"/>
    <n v="0"/>
    <n v="0"/>
    <n v="0"/>
    <n v="0"/>
  </r>
  <r>
    <x v="266"/>
    <x v="259"/>
    <m/>
    <x v="7"/>
    <s v="H14"/>
    <x v="1"/>
    <s v="V196-15"/>
    <s v="Umeå"/>
    <m/>
    <m/>
    <m/>
    <n v="100"/>
    <x v="1"/>
    <m/>
    <m/>
    <n v="1"/>
    <n v="0.25"/>
    <n v="0.85"/>
    <n v="0.21249999999999999"/>
    <n v="2193"/>
    <x v="1"/>
    <s v="Sam"/>
    <x v="7"/>
    <n v="18405"/>
    <n v="15773"/>
    <n v="7953.0124999999998"/>
    <n v="5800"/>
    <n v="1450"/>
    <n v="9403.0125000000007"/>
    <n v="0"/>
    <n v="0"/>
    <n v="0"/>
    <n v="0"/>
    <n v="0"/>
    <n v="0"/>
    <n v="1"/>
    <n v="0"/>
    <n v="0"/>
    <n v="0"/>
    <n v="0"/>
    <n v="0"/>
    <s v="Enl Ladok 190318"/>
    <m/>
    <n v="0"/>
    <n v="0"/>
    <n v="0"/>
    <n v="0"/>
    <n v="0"/>
    <n v="0"/>
    <n v="0"/>
    <n v="0"/>
    <n v="0"/>
    <n v="0"/>
    <n v="0"/>
    <n v="0"/>
    <n v="0.25"/>
    <n v="0.21249999999999999"/>
    <n v="0"/>
    <n v="0"/>
    <n v="0"/>
    <n v="0"/>
    <n v="0"/>
    <n v="0"/>
    <n v="0"/>
    <n v="0"/>
    <n v="0"/>
  </r>
  <r>
    <x v="266"/>
    <x v="259"/>
    <m/>
    <x v="7"/>
    <s v="H15"/>
    <x v="1"/>
    <s v="V196-15"/>
    <s v="Umeå"/>
    <m/>
    <m/>
    <m/>
    <n v="100"/>
    <x v="1"/>
    <m/>
    <m/>
    <n v="1"/>
    <n v="0.25"/>
    <n v="0.85"/>
    <n v="0.21249999999999999"/>
    <n v="2193"/>
    <x v="1"/>
    <s v="Sam"/>
    <x v="7"/>
    <n v="18405"/>
    <n v="15773"/>
    <n v="7953.0124999999998"/>
    <n v="5800"/>
    <n v="1450"/>
    <n v="9403.0125000000007"/>
    <n v="0"/>
    <n v="0"/>
    <n v="0"/>
    <n v="0"/>
    <n v="0"/>
    <n v="0"/>
    <n v="1"/>
    <n v="0"/>
    <n v="0"/>
    <n v="0"/>
    <n v="0"/>
    <n v="0"/>
    <s v="Enl Ladok 190318"/>
    <m/>
    <n v="0"/>
    <n v="0"/>
    <n v="0"/>
    <n v="0"/>
    <n v="0"/>
    <n v="0"/>
    <n v="0"/>
    <n v="0"/>
    <n v="0"/>
    <n v="0"/>
    <n v="0"/>
    <n v="0"/>
    <n v="0.25"/>
    <n v="0.21249999999999999"/>
    <n v="0"/>
    <n v="0"/>
    <n v="0"/>
    <n v="0"/>
    <n v="0"/>
    <n v="0"/>
    <n v="0"/>
    <n v="0"/>
    <n v="0"/>
  </r>
  <r>
    <x v="266"/>
    <x v="259"/>
    <m/>
    <x v="7"/>
    <s v="H16"/>
    <x v="2"/>
    <s v="H196-15"/>
    <m/>
    <m/>
    <m/>
    <m/>
    <n v="100"/>
    <x v="1"/>
    <m/>
    <m/>
    <n v="59"/>
    <n v="14.75"/>
    <n v="0.85"/>
    <n v="12.5375"/>
    <n v="2193"/>
    <x v="1"/>
    <s v="Sam"/>
    <x v="7"/>
    <n v="18405"/>
    <n v="15773"/>
    <n v="469227.73749999999"/>
    <n v="5800"/>
    <n v="85550"/>
    <n v="554777.73750000005"/>
    <n v="0"/>
    <n v="0"/>
    <n v="0"/>
    <n v="0"/>
    <n v="0"/>
    <n v="0"/>
    <n v="1"/>
    <n v="0"/>
    <n v="0"/>
    <n v="0"/>
    <n v="0"/>
    <n v="0"/>
    <s v="Enligt SP 190924"/>
    <m/>
    <n v="0"/>
    <n v="0"/>
    <n v="0"/>
    <n v="0"/>
    <n v="0"/>
    <n v="0"/>
    <n v="0"/>
    <n v="0"/>
    <n v="0"/>
    <n v="0"/>
    <n v="0"/>
    <n v="0"/>
    <n v="14.75"/>
    <n v="12.5375"/>
    <n v="0"/>
    <n v="0"/>
    <n v="0"/>
    <n v="0"/>
    <n v="0"/>
    <n v="0"/>
    <n v="0"/>
    <n v="0"/>
    <n v="0"/>
  </r>
  <r>
    <x v="266"/>
    <x v="259"/>
    <m/>
    <x v="7"/>
    <s v="V16"/>
    <x v="1"/>
    <s v="V196-15"/>
    <s v="Umeå"/>
    <m/>
    <m/>
    <m/>
    <n v="100"/>
    <x v="1"/>
    <m/>
    <m/>
    <n v="22"/>
    <n v="5.5"/>
    <n v="0.85"/>
    <n v="4.6749999999999998"/>
    <n v="2193"/>
    <x v="1"/>
    <s v="Sam"/>
    <x v="7"/>
    <n v="18405"/>
    <n v="15773"/>
    <n v="174966.27499999999"/>
    <n v="5800"/>
    <n v="31900"/>
    <n v="206866.27499999999"/>
    <n v="0"/>
    <n v="0"/>
    <n v="0"/>
    <n v="0"/>
    <n v="0"/>
    <n v="0"/>
    <n v="1"/>
    <n v="0"/>
    <n v="0"/>
    <n v="0"/>
    <n v="0"/>
    <n v="0"/>
    <s v="Enl Ladok 190318"/>
    <m/>
    <n v="0"/>
    <n v="0"/>
    <n v="0"/>
    <n v="0"/>
    <n v="0"/>
    <n v="0"/>
    <n v="0"/>
    <n v="0"/>
    <n v="0"/>
    <n v="0"/>
    <n v="0"/>
    <n v="0"/>
    <n v="5.5"/>
    <n v="4.6749999999999998"/>
    <n v="0"/>
    <n v="0"/>
    <n v="0"/>
    <n v="0"/>
    <n v="0"/>
    <n v="0"/>
    <n v="0"/>
    <n v="0"/>
    <n v="0"/>
  </r>
  <r>
    <x v="266"/>
    <x v="259"/>
    <m/>
    <x v="7"/>
    <s v="V16"/>
    <x v="1"/>
    <s v="V196-15"/>
    <s v="Umeå"/>
    <m/>
    <m/>
    <m/>
    <n v="100"/>
    <x v="1"/>
    <m/>
    <m/>
    <n v="1"/>
    <n v="0.25"/>
    <n v="0.85"/>
    <n v="0.21249999999999999"/>
    <n v="2193"/>
    <x v="1"/>
    <s v="Sam"/>
    <x v="7"/>
    <n v="18405"/>
    <n v="15773"/>
    <n v="7953.0124999999998"/>
    <n v="5800"/>
    <n v="1450"/>
    <n v="9403.0125000000007"/>
    <n v="0"/>
    <n v="0"/>
    <n v="0"/>
    <n v="0"/>
    <n v="0"/>
    <n v="0"/>
    <n v="1"/>
    <n v="0"/>
    <n v="0"/>
    <n v="0"/>
    <n v="0"/>
    <n v="0"/>
    <s v="Enl Ladok 190318"/>
    <m/>
    <n v="0"/>
    <n v="0"/>
    <n v="0"/>
    <n v="0"/>
    <n v="0"/>
    <n v="0"/>
    <n v="0"/>
    <n v="0"/>
    <n v="0"/>
    <n v="0"/>
    <n v="0"/>
    <n v="0"/>
    <n v="0.25"/>
    <n v="0.21249999999999999"/>
    <n v="0"/>
    <n v="0"/>
    <n v="0"/>
    <n v="0"/>
    <n v="0"/>
    <n v="0"/>
    <n v="0"/>
    <n v="0"/>
    <n v="0"/>
  </r>
  <r>
    <x v="266"/>
    <x v="259"/>
    <m/>
    <x v="7"/>
    <s v="V16"/>
    <x v="2"/>
    <s v="H196-15"/>
    <m/>
    <m/>
    <m/>
    <m/>
    <n v="100"/>
    <x v="1"/>
    <m/>
    <m/>
    <n v="3"/>
    <n v="0.75"/>
    <n v="0.85"/>
    <n v="0.63749999999999996"/>
    <n v="2193"/>
    <x v="1"/>
    <s v="Sam"/>
    <x v="7"/>
    <n v="18405"/>
    <n v="15773"/>
    <n v="23859.037499999999"/>
    <n v="5800"/>
    <n v="4350"/>
    <n v="28209.037499999999"/>
    <n v="0"/>
    <n v="0"/>
    <n v="0"/>
    <n v="0"/>
    <n v="0"/>
    <n v="0"/>
    <n v="1"/>
    <n v="0"/>
    <n v="0"/>
    <n v="0"/>
    <n v="0"/>
    <n v="0"/>
    <s v="Enligt SP 190924"/>
    <m/>
    <n v="0"/>
    <n v="0"/>
    <n v="0"/>
    <n v="0"/>
    <n v="0"/>
    <n v="0"/>
    <n v="0"/>
    <n v="0"/>
    <n v="0"/>
    <n v="0"/>
    <n v="0"/>
    <n v="0"/>
    <n v="0.75"/>
    <n v="0.63749999999999996"/>
    <n v="0"/>
    <n v="0"/>
    <n v="0"/>
    <n v="0"/>
    <n v="0"/>
    <n v="0"/>
    <n v="0"/>
    <n v="0"/>
    <n v="0"/>
  </r>
  <r>
    <x v="266"/>
    <x v="259"/>
    <m/>
    <x v="7"/>
    <s v="V17"/>
    <x v="1"/>
    <s v="V196-15"/>
    <s v="Umeå"/>
    <m/>
    <m/>
    <m/>
    <n v="100"/>
    <x v="1"/>
    <m/>
    <m/>
    <n v="1"/>
    <n v="0.25"/>
    <n v="0.85"/>
    <n v="0.21249999999999999"/>
    <n v="2193"/>
    <x v="1"/>
    <s v="Sam"/>
    <x v="7"/>
    <n v="18405"/>
    <n v="15773"/>
    <n v="7953.0124999999998"/>
    <n v="5800"/>
    <n v="1450"/>
    <n v="9403.0125000000007"/>
    <n v="0"/>
    <n v="0"/>
    <n v="0"/>
    <n v="0"/>
    <n v="0"/>
    <n v="0"/>
    <n v="1"/>
    <n v="0"/>
    <n v="0"/>
    <n v="0"/>
    <n v="0"/>
    <n v="0"/>
    <s v="Enl Ladok 190318"/>
    <m/>
    <n v="0"/>
    <n v="0"/>
    <n v="0"/>
    <n v="0"/>
    <n v="0"/>
    <n v="0"/>
    <n v="0"/>
    <n v="0"/>
    <n v="0"/>
    <n v="0"/>
    <n v="0"/>
    <n v="0"/>
    <n v="0.25"/>
    <n v="0.21249999999999999"/>
    <n v="0"/>
    <n v="0"/>
    <n v="0"/>
    <n v="0"/>
    <n v="0"/>
    <n v="0"/>
    <n v="0"/>
    <n v="0"/>
    <n v="0"/>
  </r>
  <r>
    <x v="267"/>
    <x v="260"/>
    <m/>
    <x v="5"/>
    <s v="H18"/>
    <x v="2"/>
    <s v="H191-20"/>
    <m/>
    <m/>
    <s v="GRHF"/>
    <m/>
    <n v="50"/>
    <x v="1"/>
    <m/>
    <m/>
    <n v="14"/>
    <n v="3.5"/>
    <n v="0.85"/>
    <n v="2.9750000000000001"/>
    <n v="5740"/>
    <x v="9"/>
    <s v="TekNat"/>
    <x v="5"/>
    <n v="23641"/>
    <n v="28786"/>
    <n v="168381.85"/>
    <n v="5800"/>
    <n v="20300"/>
    <n v="188681.85"/>
    <n v="0"/>
    <n v="0"/>
    <n v="0"/>
    <n v="1"/>
    <n v="0"/>
    <n v="0"/>
    <n v="0"/>
    <n v="0"/>
    <n v="0"/>
    <n v="0"/>
    <n v="0"/>
    <n v="0"/>
    <s v="Enligt SP 190924"/>
    <m/>
    <n v="0"/>
    <n v="0"/>
    <n v="0"/>
    <n v="0"/>
    <n v="0"/>
    <n v="0"/>
    <n v="3.5"/>
    <n v="2.9750000000000001"/>
    <n v="0"/>
    <n v="0"/>
    <n v="0"/>
    <n v="0"/>
    <n v="0"/>
    <n v="0"/>
    <n v="0"/>
    <n v="0"/>
    <n v="0"/>
    <n v="0"/>
    <n v="0"/>
    <n v="0"/>
    <n v="0"/>
    <n v="0"/>
    <n v="0"/>
  </r>
  <r>
    <x v="267"/>
    <x v="260"/>
    <m/>
    <x v="5"/>
    <s v="H19"/>
    <x v="2"/>
    <s v="H191-20"/>
    <m/>
    <m/>
    <s v="GRHF"/>
    <m/>
    <n v="50"/>
    <x v="1"/>
    <m/>
    <m/>
    <n v="1"/>
    <n v="0.25"/>
    <n v="0.85"/>
    <n v="0.21249999999999999"/>
    <n v="5740"/>
    <x v="9"/>
    <s v="TekNat"/>
    <x v="5"/>
    <n v="23641"/>
    <n v="28786"/>
    <n v="12027.275"/>
    <n v="5800"/>
    <n v="1450"/>
    <n v="13477.275"/>
    <n v="0"/>
    <n v="0"/>
    <n v="0"/>
    <n v="1"/>
    <n v="0"/>
    <n v="0"/>
    <n v="0"/>
    <n v="0"/>
    <n v="0"/>
    <n v="0"/>
    <n v="0"/>
    <n v="0"/>
    <s v="Enligt SP 190924"/>
    <m/>
    <n v="0"/>
    <n v="0"/>
    <n v="0"/>
    <n v="0"/>
    <n v="0"/>
    <n v="0"/>
    <n v="0.25"/>
    <n v="0.21249999999999999"/>
    <n v="0"/>
    <n v="0"/>
    <n v="0"/>
    <n v="0"/>
    <n v="0"/>
    <n v="0"/>
    <n v="0"/>
    <n v="0"/>
    <n v="0"/>
    <n v="0"/>
    <n v="0"/>
    <n v="0"/>
    <n v="0"/>
    <n v="0"/>
    <n v="0"/>
  </r>
  <r>
    <x v="267"/>
    <x v="260"/>
    <m/>
    <x v="6"/>
    <s v="H17"/>
    <x v="2"/>
    <s v="H191-20"/>
    <m/>
    <m/>
    <s v="GYHF"/>
    <m/>
    <n v="50"/>
    <x v="1"/>
    <m/>
    <m/>
    <n v="1"/>
    <n v="0.25"/>
    <n v="0.85"/>
    <n v="0.21249999999999999"/>
    <n v="5740"/>
    <x v="9"/>
    <s v="TekNat"/>
    <x v="6"/>
    <n v="23641"/>
    <n v="28786"/>
    <n v="12027.275"/>
    <n v="5800"/>
    <n v="1450"/>
    <n v="13477.275"/>
    <n v="0"/>
    <n v="0"/>
    <n v="0"/>
    <n v="1"/>
    <n v="0"/>
    <n v="0"/>
    <n v="0"/>
    <n v="0"/>
    <n v="0"/>
    <n v="0"/>
    <n v="0"/>
    <n v="0"/>
    <s v="Enligt SP 190924"/>
    <m/>
    <n v="0"/>
    <n v="0"/>
    <n v="0"/>
    <n v="0"/>
    <n v="0"/>
    <n v="0"/>
    <n v="0.25"/>
    <n v="0.21249999999999999"/>
    <n v="0"/>
    <n v="0"/>
    <n v="0"/>
    <n v="0"/>
    <n v="0"/>
    <n v="0"/>
    <n v="0"/>
    <n v="0"/>
    <n v="0"/>
    <n v="0"/>
    <n v="0"/>
    <n v="0"/>
    <n v="0"/>
    <n v="0"/>
    <n v="0"/>
  </r>
  <r>
    <x v="267"/>
    <x v="260"/>
    <m/>
    <x v="6"/>
    <s v="H18"/>
    <x v="2"/>
    <s v="H191-20"/>
    <m/>
    <m/>
    <s v="ESTE"/>
    <m/>
    <n v="50"/>
    <x v="1"/>
    <m/>
    <m/>
    <n v="1"/>
    <n v="0.25"/>
    <n v="0.85"/>
    <n v="0.21249999999999999"/>
    <n v="5740"/>
    <x v="9"/>
    <s v="TekNat"/>
    <x v="6"/>
    <n v="23641"/>
    <n v="28786"/>
    <n v="12027.275"/>
    <n v="5800"/>
    <n v="1450"/>
    <n v="13477.275"/>
    <n v="0"/>
    <n v="0"/>
    <n v="0"/>
    <n v="1"/>
    <n v="0"/>
    <n v="0"/>
    <n v="0"/>
    <n v="0"/>
    <n v="0"/>
    <n v="0"/>
    <n v="0"/>
    <n v="0"/>
    <s v="Enligt SP 190924"/>
    <m/>
    <n v="0"/>
    <n v="0"/>
    <n v="0"/>
    <n v="0"/>
    <n v="0"/>
    <n v="0"/>
    <n v="0.25"/>
    <n v="0.21249999999999999"/>
    <n v="0"/>
    <n v="0"/>
    <n v="0"/>
    <n v="0"/>
    <n v="0"/>
    <n v="0"/>
    <n v="0"/>
    <n v="0"/>
    <n v="0"/>
    <n v="0"/>
    <n v="0"/>
    <n v="0"/>
    <n v="0"/>
    <n v="0"/>
    <n v="0"/>
  </r>
  <r>
    <x v="267"/>
    <x v="260"/>
    <m/>
    <x v="6"/>
    <s v="H18"/>
    <x v="2"/>
    <s v="H191-20"/>
    <m/>
    <m/>
    <s v="GYHF"/>
    <m/>
    <n v="50"/>
    <x v="1"/>
    <m/>
    <m/>
    <n v="8"/>
    <n v="2"/>
    <n v="0.85"/>
    <n v="1.7"/>
    <n v="5740"/>
    <x v="9"/>
    <s v="TekNat"/>
    <x v="6"/>
    <n v="23641"/>
    <n v="28786"/>
    <n v="96218.2"/>
    <n v="5800"/>
    <n v="11600"/>
    <n v="107818.2"/>
    <n v="0"/>
    <n v="0"/>
    <n v="0"/>
    <n v="1"/>
    <n v="0"/>
    <n v="0"/>
    <n v="0"/>
    <n v="0"/>
    <n v="0"/>
    <n v="0"/>
    <n v="0"/>
    <n v="0"/>
    <s v="Enligt SP 190924"/>
    <m/>
    <n v="0"/>
    <n v="0"/>
    <n v="0"/>
    <n v="0"/>
    <n v="0"/>
    <n v="0"/>
    <n v="2"/>
    <n v="1.7"/>
    <n v="0"/>
    <n v="0"/>
    <n v="0"/>
    <n v="0"/>
    <n v="0"/>
    <n v="0"/>
    <n v="0"/>
    <n v="0"/>
    <n v="0"/>
    <n v="0"/>
    <n v="0"/>
    <n v="0"/>
    <n v="0"/>
    <n v="0"/>
    <n v="0"/>
  </r>
  <r>
    <x v="268"/>
    <x v="261"/>
    <m/>
    <x v="2"/>
    <s v="H15"/>
    <x v="2"/>
    <s v="H191-15"/>
    <m/>
    <m/>
    <m/>
    <m/>
    <n v="100"/>
    <x v="6"/>
    <m/>
    <m/>
    <n v="2"/>
    <n v="0.75"/>
    <n v="0.85"/>
    <n v="0.63749999999999996"/>
    <n v="5740"/>
    <x v="9"/>
    <s v="TekNat"/>
    <x v="2"/>
    <n v="21634"/>
    <n v="26986"/>
    <n v="33429.074999999997"/>
    <n v="3400"/>
    <n v="2550"/>
    <n v="35979.074999999997"/>
    <n v="0"/>
    <n v="0"/>
    <n v="0"/>
    <n v="0"/>
    <n v="0"/>
    <n v="0"/>
    <n v="0"/>
    <n v="0"/>
    <n v="1"/>
    <n v="0"/>
    <n v="0"/>
    <n v="0"/>
    <s v="Enligt SP 190924"/>
    <m/>
    <n v="0"/>
    <n v="0"/>
    <n v="0"/>
    <n v="0"/>
    <n v="0"/>
    <n v="0"/>
    <n v="0"/>
    <n v="0"/>
    <n v="0"/>
    <n v="0"/>
    <n v="0"/>
    <n v="0"/>
    <n v="0"/>
    <n v="0"/>
    <n v="0"/>
    <n v="0"/>
    <n v="0.75"/>
    <n v="0.63749999999999996"/>
    <n v="0"/>
    <n v="0"/>
    <n v="0"/>
    <n v="0"/>
    <n v="0"/>
  </r>
  <r>
    <x v="268"/>
    <x v="261"/>
    <m/>
    <x v="2"/>
    <s v="H16"/>
    <x v="2"/>
    <s v="H191-15"/>
    <m/>
    <m/>
    <m/>
    <m/>
    <n v="100"/>
    <x v="6"/>
    <m/>
    <m/>
    <n v="38"/>
    <n v="14.25"/>
    <n v="0.85"/>
    <n v="12.112499999999999"/>
    <n v="5740"/>
    <x v="9"/>
    <s v="TekNat"/>
    <x v="2"/>
    <n v="21634"/>
    <n v="26986"/>
    <n v="635152.42500000005"/>
    <n v="3400"/>
    <n v="48450"/>
    <n v="683602.42500000005"/>
    <n v="0"/>
    <n v="0"/>
    <n v="0"/>
    <n v="0"/>
    <n v="0"/>
    <n v="0"/>
    <n v="0"/>
    <n v="0"/>
    <n v="1"/>
    <n v="0"/>
    <n v="0"/>
    <n v="0"/>
    <s v="Enligt SP 190924"/>
    <m/>
    <n v="0"/>
    <n v="0"/>
    <n v="0"/>
    <n v="0"/>
    <n v="0"/>
    <n v="0"/>
    <n v="0"/>
    <n v="0"/>
    <n v="0"/>
    <n v="0"/>
    <n v="0"/>
    <n v="0"/>
    <n v="0"/>
    <n v="0"/>
    <n v="0"/>
    <n v="0"/>
    <n v="14.25"/>
    <n v="12.112499999999999"/>
    <n v="0"/>
    <n v="0"/>
    <n v="0"/>
    <n v="0"/>
    <n v="0"/>
  </r>
  <r>
    <x v="269"/>
    <x v="262"/>
    <m/>
    <x v="3"/>
    <s v="H15"/>
    <x v="2"/>
    <s v="H191-15"/>
    <m/>
    <m/>
    <m/>
    <m/>
    <n v="100"/>
    <x v="6"/>
    <m/>
    <m/>
    <n v="2"/>
    <n v="0.75"/>
    <n v="0.85"/>
    <n v="0.63749999999999996"/>
    <n v="5740"/>
    <x v="9"/>
    <s v="TekNat"/>
    <x v="3"/>
    <n v="21634"/>
    <n v="26986"/>
    <n v="33429.074999999997"/>
    <n v="3400"/>
    <n v="2550"/>
    <n v="35979.074999999997"/>
    <n v="0"/>
    <n v="0"/>
    <n v="0"/>
    <n v="0"/>
    <n v="0"/>
    <n v="0"/>
    <n v="0"/>
    <n v="0"/>
    <n v="1"/>
    <n v="0"/>
    <n v="0"/>
    <n v="0"/>
    <s v="Enligt SP 190924"/>
    <m/>
    <n v="0"/>
    <n v="0"/>
    <n v="0"/>
    <n v="0"/>
    <n v="0"/>
    <n v="0"/>
    <n v="0"/>
    <n v="0"/>
    <n v="0"/>
    <n v="0"/>
    <n v="0"/>
    <n v="0"/>
    <n v="0"/>
    <n v="0"/>
    <n v="0"/>
    <n v="0"/>
    <n v="0.75"/>
    <n v="0.63749999999999996"/>
    <n v="0"/>
    <n v="0"/>
    <n v="0"/>
    <n v="0"/>
    <n v="0"/>
  </r>
  <r>
    <x v="269"/>
    <x v="262"/>
    <m/>
    <x v="3"/>
    <s v="H16"/>
    <x v="2"/>
    <s v="H191-15"/>
    <m/>
    <m/>
    <m/>
    <m/>
    <n v="100"/>
    <x v="6"/>
    <m/>
    <m/>
    <n v="23"/>
    <n v="8.625"/>
    <n v="0.85"/>
    <n v="7.3312499999999998"/>
    <n v="5740"/>
    <x v="9"/>
    <s v="TekNat"/>
    <x v="3"/>
    <n v="21634"/>
    <n v="26986"/>
    <n v="384434.36249999999"/>
    <n v="3400"/>
    <n v="29325"/>
    <n v="413759.36249999999"/>
    <n v="0"/>
    <n v="0"/>
    <n v="0"/>
    <n v="0"/>
    <n v="0"/>
    <n v="0"/>
    <n v="0"/>
    <n v="0"/>
    <n v="1"/>
    <n v="0"/>
    <n v="0"/>
    <n v="0"/>
    <s v="Enligt SP 190924"/>
    <m/>
    <n v="0"/>
    <n v="0"/>
    <n v="0"/>
    <n v="0"/>
    <n v="0"/>
    <n v="0"/>
    <n v="0"/>
    <n v="0"/>
    <n v="0"/>
    <n v="0"/>
    <n v="0"/>
    <n v="0"/>
    <n v="0"/>
    <n v="0"/>
    <n v="0"/>
    <n v="0"/>
    <n v="8.625"/>
    <n v="7.3312499999999998"/>
    <n v="0"/>
    <n v="0"/>
    <n v="0"/>
    <n v="0"/>
    <n v="0"/>
  </r>
  <r>
    <x v="270"/>
    <x v="263"/>
    <m/>
    <x v="8"/>
    <s v="H16"/>
    <x v="1"/>
    <s v="V191-5"/>
    <s v="Umeå"/>
    <m/>
    <m/>
    <m/>
    <n v="100"/>
    <x v="0"/>
    <m/>
    <m/>
    <n v="21"/>
    <n v="2.625"/>
    <n v="0.85"/>
    <n v="2.2312499999999997"/>
    <n v="2193"/>
    <x v="1"/>
    <s v="Sam"/>
    <x v="8"/>
    <n v="21634"/>
    <n v="26986"/>
    <n v="117001.76249999998"/>
    <n v="3400"/>
    <n v="8925"/>
    <n v="125926.76249999998"/>
    <n v="0"/>
    <n v="0"/>
    <n v="0"/>
    <n v="0"/>
    <n v="0"/>
    <n v="0"/>
    <n v="0"/>
    <n v="0"/>
    <n v="1"/>
    <n v="0"/>
    <n v="0"/>
    <n v="0"/>
    <s v="Enl Ladok 190318"/>
    <m/>
    <n v="0"/>
    <n v="0"/>
    <n v="0"/>
    <n v="0"/>
    <n v="0"/>
    <n v="0"/>
    <n v="0"/>
    <n v="0"/>
    <n v="0"/>
    <n v="0"/>
    <n v="0"/>
    <n v="0"/>
    <n v="0"/>
    <n v="0"/>
    <n v="0"/>
    <n v="0"/>
    <n v="2.625"/>
    <n v="2.2312499999999997"/>
    <n v="0"/>
    <n v="0"/>
    <n v="0"/>
    <n v="0"/>
    <n v="0"/>
  </r>
  <r>
    <x v="271"/>
    <x v="264"/>
    <m/>
    <x v="7"/>
    <s v="H15"/>
    <x v="1"/>
    <s v="V191-10"/>
    <s v="Umeå"/>
    <m/>
    <m/>
    <m/>
    <n v="100"/>
    <x v="1"/>
    <m/>
    <m/>
    <n v="1"/>
    <n v="0.25"/>
    <n v="0.85"/>
    <n v="0.21249999999999999"/>
    <n v="2193"/>
    <x v="1"/>
    <s v="Sam"/>
    <x v="7"/>
    <n v="18405"/>
    <n v="15773"/>
    <n v="7953.0124999999998"/>
    <n v="5800"/>
    <n v="1450"/>
    <n v="9403.0125000000007"/>
    <n v="0"/>
    <n v="0"/>
    <n v="0"/>
    <n v="0"/>
    <n v="0"/>
    <n v="0"/>
    <n v="1"/>
    <n v="0"/>
    <n v="0"/>
    <n v="0"/>
    <n v="0"/>
    <n v="0"/>
    <s v="Enl Ladok 190318"/>
    <m/>
    <n v="0"/>
    <n v="0"/>
    <n v="0"/>
    <n v="0"/>
    <n v="0"/>
    <n v="0"/>
    <n v="0"/>
    <n v="0"/>
    <n v="0"/>
    <n v="0"/>
    <n v="0"/>
    <n v="0"/>
    <n v="0.25"/>
    <n v="0.21249999999999999"/>
    <n v="0"/>
    <n v="0"/>
    <n v="0"/>
    <n v="0"/>
    <n v="0"/>
    <n v="0"/>
    <n v="0"/>
    <n v="0"/>
    <n v="0"/>
  </r>
  <r>
    <x v="271"/>
    <x v="264"/>
    <m/>
    <x v="7"/>
    <s v="H16"/>
    <x v="1"/>
    <s v="V191-10"/>
    <s v="Umeå"/>
    <m/>
    <m/>
    <m/>
    <n v="100"/>
    <x v="1"/>
    <m/>
    <m/>
    <n v="58"/>
    <n v="14.5"/>
    <n v="0.85"/>
    <n v="12.324999999999999"/>
    <n v="2193"/>
    <x v="1"/>
    <s v="Sam"/>
    <x v="7"/>
    <n v="18405"/>
    <n v="15773"/>
    <n v="461274.72499999998"/>
    <n v="5800"/>
    <n v="84100"/>
    <n v="545374.72499999998"/>
    <n v="0"/>
    <n v="0"/>
    <n v="0"/>
    <n v="0"/>
    <n v="0"/>
    <n v="0"/>
    <n v="1"/>
    <n v="0"/>
    <n v="0"/>
    <n v="0"/>
    <n v="0"/>
    <n v="0"/>
    <s v="Enl Ladok 190318"/>
    <m/>
    <n v="0"/>
    <n v="0"/>
    <n v="0"/>
    <n v="0"/>
    <n v="0"/>
    <n v="0"/>
    <n v="0"/>
    <n v="0"/>
    <n v="0"/>
    <n v="0"/>
    <n v="0"/>
    <n v="0"/>
    <n v="14.5"/>
    <n v="12.324999999999999"/>
    <n v="0"/>
    <n v="0"/>
    <n v="0"/>
    <n v="0"/>
    <n v="0"/>
    <n v="0"/>
    <n v="0"/>
    <n v="0"/>
    <n v="0"/>
  </r>
  <r>
    <x v="271"/>
    <x v="264"/>
    <m/>
    <x v="7"/>
    <s v="H16"/>
    <x v="2"/>
    <s v="H191-10"/>
    <m/>
    <m/>
    <m/>
    <m/>
    <n v="100"/>
    <x v="1"/>
    <m/>
    <m/>
    <n v="3"/>
    <n v="0.75"/>
    <n v="0.85"/>
    <n v="0.63749999999999996"/>
    <n v="2193"/>
    <x v="1"/>
    <s v="Sam"/>
    <x v="7"/>
    <n v="18405"/>
    <n v="15773"/>
    <n v="23859.037499999999"/>
    <n v="5800"/>
    <n v="4350"/>
    <n v="28209.037499999999"/>
    <n v="0"/>
    <n v="0"/>
    <n v="0"/>
    <n v="0"/>
    <n v="0"/>
    <n v="0"/>
    <n v="1"/>
    <n v="0"/>
    <n v="0"/>
    <n v="0"/>
    <n v="0"/>
    <n v="0"/>
    <s v="Enligt SP 190924"/>
    <m/>
    <n v="0"/>
    <n v="0"/>
    <n v="0"/>
    <n v="0"/>
    <n v="0"/>
    <n v="0"/>
    <n v="0"/>
    <n v="0"/>
    <n v="0"/>
    <n v="0"/>
    <n v="0"/>
    <n v="0"/>
    <n v="0.75"/>
    <n v="0.63749999999999996"/>
    <n v="0"/>
    <n v="0"/>
    <n v="0"/>
    <n v="0"/>
    <n v="0"/>
    <n v="0"/>
    <n v="0"/>
    <n v="0"/>
    <n v="0"/>
  </r>
  <r>
    <x v="271"/>
    <x v="264"/>
    <m/>
    <x v="7"/>
    <s v="V16"/>
    <x v="1"/>
    <s v="V191-10"/>
    <s v="Umeå"/>
    <m/>
    <m/>
    <m/>
    <n v="100"/>
    <x v="1"/>
    <m/>
    <m/>
    <n v="1"/>
    <n v="0.25"/>
    <n v="0.85"/>
    <n v="0.21249999999999999"/>
    <n v="2193"/>
    <x v="1"/>
    <s v="Sam"/>
    <x v="7"/>
    <n v="18405"/>
    <n v="15773"/>
    <n v="7953.0124999999998"/>
    <n v="5800"/>
    <n v="1450"/>
    <n v="9403.0125000000007"/>
    <n v="0"/>
    <n v="0"/>
    <n v="0"/>
    <n v="0"/>
    <n v="0"/>
    <n v="0"/>
    <n v="1"/>
    <n v="0"/>
    <n v="0"/>
    <n v="0"/>
    <n v="0"/>
    <n v="0"/>
    <s v="Enl Ladok 190318"/>
    <m/>
    <n v="0"/>
    <n v="0"/>
    <n v="0"/>
    <n v="0"/>
    <n v="0"/>
    <n v="0"/>
    <n v="0"/>
    <n v="0"/>
    <n v="0"/>
    <n v="0"/>
    <n v="0"/>
    <n v="0"/>
    <n v="0.25"/>
    <n v="0.21249999999999999"/>
    <n v="0"/>
    <n v="0"/>
    <n v="0"/>
    <n v="0"/>
    <n v="0"/>
    <n v="0"/>
    <n v="0"/>
    <n v="0"/>
    <n v="0"/>
  </r>
  <r>
    <x v="271"/>
    <x v="264"/>
    <m/>
    <x v="7"/>
    <s v="V16"/>
    <x v="1"/>
    <s v="V191-10"/>
    <s v="Umeå"/>
    <m/>
    <m/>
    <m/>
    <n v="100"/>
    <x v="1"/>
    <m/>
    <m/>
    <n v="2"/>
    <n v="0.5"/>
    <n v="0.85"/>
    <n v="0.42499999999999999"/>
    <n v="2193"/>
    <x v="1"/>
    <s v="Sam"/>
    <x v="7"/>
    <n v="18405"/>
    <n v="15773"/>
    <n v="15906.025"/>
    <n v="5800"/>
    <n v="2900"/>
    <n v="18806.025000000001"/>
    <n v="0"/>
    <n v="0"/>
    <n v="0"/>
    <n v="0"/>
    <n v="0"/>
    <n v="0"/>
    <n v="1"/>
    <n v="0"/>
    <n v="0"/>
    <n v="0"/>
    <n v="0"/>
    <n v="0"/>
    <s v="Enl Ladok 190318"/>
    <m/>
    <n v="0"/>
    <n v="0"/>
    <n v="0"/>
    <n v="0"/>
    <n v="0"/>
    <n v="0"/>
    <n v="0"/>
    <n v="0"/>
    <n v="0"/>
    <n v="0"/>
    <n v="0"/>
    <n v="0"/>
    <n v="0.5"/>
    <n v="0.42499999999999999"/>
    <n v="0"/>
    <n v="0"/>
    <n v="0"/>
    <n v="0"/>
    <n v="0"/>
    <n v="0"/>
    <n v="0"/>
    <n v="0"/>
    <n v="0"/>
  </r>
  <r>
    <x v="271"/>
    <x v="264"/>
    <m/>
    <x v="7"/>
    <s v="V16"/>
    <x v="2"/>
    <s v="H191-10"/>
    <m/>
    <m/>
    <m/>
    <m/>
    <n v="100"/>
    <x v="1"/>
    <m/>
    <m/>
    <n v="1"/>
    <n v="0.25"/>
    <n v="0.85"/>
    <n v="0.21249999999999999"/>
    <n v="2193"/>
    <x v="1"/>
    <s v="Sam"/>
    <x v="7"/>
    <n v="18405"/>
    <n v="15773"/>
    <n v="7953.0124999999998"/>
    <n v="5800"/>
    <n v="1450"/>
    <n v="9403.0125000000007"/>
    <n v="0"/>
    <n v="0"/>
    <n v="0"/>
    <n v="0"/>
    <n v="0"/>
    <n v="0"/>
    <n v="1"/>
    <n v="0"/>
    <n v="0"/>
    <n v="0"/>
    <n v="0"/>
    <n v="0"/>
    <s v="Enligt SP 190924"/>
    <m/>
    <n v="0"/>
    <n v="0"/>
    <n v="0"/>
    <n v="0"/>
    <n v="0"/>
    <n v="0"/>
    <n v="0"/>
    <n v="0"/>
    <n v="0"/>
    <n v="0"/>
    <n v="0"/>
    <n v="0"/>
    <n v="0.25"/>
    <n v="0.21249999999999999"/>
    <n v="0"/>
    <n v="0"/>
    <n v="0"/>
    <n v="0"/>
    <n v="0"/>
    <n v="0"/>
    <n v="0"/>
    <n v="0"/>
    <n v="0"/>
  </r>
  <r>
    <x v="271"/>
    <x v="264"/>
    <m/>
    <x v="7"/>
    <s v="V17"/>
    <x v="2"/>
    <s v="H191-10"/>
    <m/>
    <m/>
    <m/>
    <m/>
    <n v="100"/>
    <x v="1"/>
    <m/>
    <m/>
    <n v="20"/>
    <n v="5"/>
    <n v="0.85"/>
    <n v="4.25"/>
    <n v="2193"/>
    <x v="1"/>
    <s v="Sam"/>
    <x v="7"/>
    <n v="18405"/>
    <n v="15773"/>
    <n v="159060.25"/>
    <n v="5800"/>
    <n v="29000"/>
    <n v="188060.25"/>
    <n v="0"/>
    <n v="0"/>
    <n v="0"/>
    <n v="0"/>
    <n v="0"/>
    <n v="0"/>
    <n v="1"/>
    <n v="0"/>
    <n v="0"/>
    <n v="0"/>
    <n v="0"/>
    <n v="0"/>
    <s v="Enligt SP 190924"/>
    <m/>
    <n v="0"/>
    <n v="0"/>
    <n v="0"/>
    <n v="0"/>
    <n v="0"/>
    <n v="0"/>
    <n v="0"/>
    <n v="0"/>
    <n v="0"/>
    <n v="0"/>
    <n v="0"/>
    <n v="0"/>
    <n v="5"/>
    <n v="4.25"/>
    <n v="0"/>
    <n v="0"/>
    <n v="0"/>
    <n v="0"/>
    <n v="0"/>
    <n v="0"/>
    <n v="0"/>
    <n v="0"/>
    <n v="0"/>
  </r>
  <r>
    <x v="272"/>
    <x v="265"/>
    <m/>
    <x v="7"/>
    <s v="H14"/>
    <x v="1"/>
    <s v="V1916-20"/>
    <s v="Umeå"/>
    <m/>
    <m/>
    <m/>
    <n v="100"/>
    <x v="0"/>
    <m/>
    <m/>
    <n v="1"/>
    <n v="0.125"/>
    <n v="0.85"/>
    <n v="0.10625"/>
    <n v="2193"/>
    <x v="1"/>
    <s v="Sam"/>
    <x v="7"/>
    <n v="23641"/>
    <n v="28786"/>
    <n v="6013.6374999999998"/>
    <n v="5800"/>
    <n v="725"/>
    <n v="6738.6374999999998"/>
    <n v="0"/>
    <n v="0"/>
    <n v="0"/>
    <n v="1"/>
    <n v="0"/>
    <n v="0"/>
    <n v="0"/>
    <n v="0"/>
    <n v="0"/>
    <n v="0"/>
    <n v="0"/>
    <n v="0"/>
    <s v="Enl Ladok 190523"/>
    <m/>
    <n v="0"/>
    <n v="0"/>
    <n v="0"/>
    <n v="0"/>
    <n v="0"/>
    <n v="0"/>
    <n v="0.125"/>
    <n v="0.10625"/>
    <n v="0"/>
    <n v="0"/>
    <n v="0"/>
    <n v="0"/>
    <n v="0"/>
    <n v="0"/>
    <n v="0"/>
    <n v="0"/>
    <n v="0"/>
    <n v="0"/>
    <n v="0"/>
    <n v="0"/>
    <n v="0"/>
    <n v="0"/>
    <n v="0"/>
  </r>
  <r>
    <x v="272"/>
    <x v="265"/>
    <m/>
    <x v="7"/>
    <s v="H14"/>
    <x v="1"/>
    <s v="V1916-20"/>
    <s v="Umeå"/>
    <m/>
    <m/>
    <m/>
    <n v="100"/>
    <x v="0"/>
    <m/>
    <m/>
    <n v="1"/>
    <n v="0.125"/>
    <n v="0.85"/>
    <n v="0.10625"/>
    <n v="2193"/>
    <x v="1"/>
    <s v="Sam"/>
    <x v="7"/>
    <n v="23641"/>
    <n v="28786"/>
    <n v="6013.6374999999998"/>
    <n v="5800"/>
    <n v="725"/>
    <n v="6738.6374999999998"/>
    <n v="0"/>
    <n v="0"/>
    <n v="0"/>
    <n v="1"/>
    <n v="0"/>
    <n v="0"/>
    <n v="0"/>
    <n v="0"/>
    <n v="0"/>
    <n v="0"/>
    <n v="0"/>
    <n v="0"/>
    <s v="Enl Ladok 190523"/>
    <m/>
    <n v="0"/>
    <n v="0"/>
    <n v="0"/>
    <n v="0"/>
    <n v="0"/>
    <n v="0"/>
    <n v="0.125"/>
    <n v="0.10625"/>
    <n v="0"/>
    <n v="0"/>
    <n v="0"/>
    <n v="0"/>
    <n v="0"/>
    <n v="0"/>
    <n v="0"/>
    <n v="0"/>
    <n v="0"/>
    <n v="0"/>
    <n v="0"/>
    <n v="0"/>
    <n v="0"/>
    <n v="0"/>
    <n v="0"/>
  </r>
  <r>
    <x v="272"/>
    <x v="265"/>
    <m/>
    <x v="7"/>
    <s v="H15"/>
    <x v="1"/>
    <s v="V1916-20"/>
    <s v="Umeå"/>
    <m/>
    <m/>
    <m/>
    <n v="100"/>
    <x v="0"/>
    <m/>
    <m/>
    <n v="1"/>
    <n v="0.125"/>
    <n v="0.85"/>
    <n v="0.10625"/>
    <n v="2193"/>
    <x v="1"/>
    <s v="Sam"/>
    <x v="7"/>
    <n v="23641"/>
    <n v="28786"/>
    <n v="6013.6374999999998"/>
    <n v="5800"/>
    <n v="725"/>
    <n v="6738.6374999999998"/>
    <n v="0"/>
    <n v="0"/>
    <n v="0"/>
    <n v="1"/>
    <n v="0"/>
    <n v="0"/>
    <n v="0"/>
    <n v="0"/>
    <n v="0"/>
    <n v="0"/>
    <n v="0"/>
    <n v="0"/>
    <s v="Enl Ladok 190523"/>
    <m/>
    <n v="0"/>
    <n v="0"/>
    <n v="0"/>
    <n v="0"/>
    <n v="0"/>
    <n v="0"/>
    <n v="0.125"/>
    <n v="0.10625"/>
    <n v="0"/>
    <n v="0"/>
    <n v="0"/>
    <n v="0"/>
    <n v="0"/>
    <n v="0"/>
    <n v="0"/>
    <n v="0"/>
    <n v="0"/>
    <n v="0"/>
    <n v="0"/>
    <n v="0"/>
    <n v="0"/>
    <n v="0"/>
    <n v="0"/>
  </r>
  <r>
    <x v="272"/>
    <x v="265"/>
    <m/>
    <x v="7"/>
    <s v="H16"/>
    <x v="2"/>
    <s v="H1916-20"/>
    <m/>
    <m/>
    <m/>
    <m/>
    <n v="100"/>
    <x v="0"/>
    <m/>
    <m/>
    <n v="57"/>
    <n v="7.125"/>
    <n v="0.85"/>
    <n v="6.0562499999999995"/>
    <n v="2193"/>
    <x v="1"/>
    <s v="Sam"/>
    <x v="7"/>
    <n v="23641"/>
    <n v="28786"/>
    <n v="342777.33750000002"/>
    <n v="5800"/>
    <n v="41325"/>
    <n v="384102.33750000002"/>
    <n v="0"/>
    <n v="0"/>
    <n v="0"/>
    <n v="1"/>
    <n v="0"/>
    <n v="0"/>
    <n v="0"/>
    <n v="0"/>
    <n v="0"/>
    <n v="0"/>
    <n v="0"/>
    <n v="0"/>
    <s v="Enligt SP 190924"/>
    <m/>
    <n v="0"/>
    <n v="0"/>
    <n v="0"/>
    <n v="0"/>
    <n v="0"/>
    <n v="0"/>
    <n v="7.125"/>
    <n v="6.0562499999999995"/>
    <n v="0"/>
    <n v="0"/>
    <n v="0"/>
    <n v="0"/>
    <n v="0"/>
    <n v="0"/>
    <n v="0"/>
    <n v="0"/>
    <n v="0"/>
    <n v="0"/>
    <n v="0"/>
    <n v="0"/>
    <n v="0"/>
    <n v="0"/>
    <n v="0"/>
  </r>
  <r>
    <x v="272"/>
    <x v="265"/>
    <m/>
    <x v="7"/>
    <s v="V16"/>
    <x v="1"/>
    <s v="V1916-20"/>
    <s v="Umeå"/>
    <m/>
    <m/>
    <m/>
    <n v="100"/>
    <x v="0"/>
    <m/>
    <m/>
    <n v="23"/>
    <n v="2.875"/>
    <n v="0.85"/>
    <n v="2.4437500000000001"/>
    <n v="2193"/>
    <x v="1"/>
    <s v="Sam"/>
    <x v="7"/>
    <n v="23641"/>
    <n v="28786"/>
    <n v="138313.66250000001"/>
    <n v="5800"/>
    <n v="16675"/>
    <n v="154988.66250000001"/>
    <n v="0"/>
    <n v="0"/>
    <n v="0"/>
    <n v="1"/>
    <n v="0"/>
    <n v="0"/>
    <n v="0"/>
    <n v="0"/>
    <n v="0"/>
    <n v="0"/>
    <n v="0"/>
    <n v="0"/>
    <s v="Enl Ladok 190523"/>
    <m/>
    <n v="0"/>
    <n v="0"/>
    <n v="0"/>
    <n v="0"/>
    <n v="0"/>
    <n v="0"/>
    <n v="2.875"/>
    <n v="2.4437500000000001"/>
    <n v="0"/>
    <n v="0"/>
    <n v="0"/>
    <n v="0"/>
    <n v="0"/>
    <n v="0"/>
    <n v="0"/>
    <n v="0"/>
    <n v="0"/>
    <n v="0"/>
    <n v="0"/>
    <n v="0"/>
    <n v="0"/>
    <n v="0"/>
    <n v="0"/>
  </r>
  <r>
    <x v="272"/>
    <x v="265"/>
    <m/>
    <x v="7"/>
    <s v="V16"/>
    <x v="1"/>
    <s v="V1916-20"/>
    <s v="Umeå"/>
    <m/>
    <m/>
    <m/>
    <n v="100"/>
    <x v="0"/>
    <m/>
    <m/>
    <n v="1"/>
    <n v="0.125"/>
    <n v="0.85"/>
    <n v="0.10625"/>
    <n v="2193"/>
    <x v="1"/>
    <s v="Sam"/>
    <x v="7"/>
    <n v="23641"/>
    <n v="28786"/>
    <n v="6013.6374999999998"/>
    <n v="5800"/>
    <n v="725"/>
    <n v="6738.6374999999998"/>
    <n v="0"/>
    <n v="0"/>
    <n v="0"/>
    <n v="1"/>
    <n v="0"/>
    <n v="0"/>
    <n v="0"/>
    <n v="0"/>
    <n v="0"/>
    <n v="0"/>
    <n v="0"/>
    <n v="0"/>
    <s v="Enl Ladok 190523"/>
    <m/>
    <n v="0"/>
    <n v="0"/>
    <n v="0"/>
    <n v="0"/>
    <n v="0"/>
    <n v="0"/>
    <n v="0.125"/>
    <n v="0.10625"/>
    <n v="0"/>
    <n v="0"/>
    <n v="0"/>
    <n v="0"/>
    <n v="0"/>
    <n v="0"/>
    <n v="0"/>
    <n v="0"/>
    <n v="0"/>
    <n v="0"/>
    <n v="0"/>
    <n v="0"/>
    <n v="0"/>
    <n v="0"/>
    <n v="0"/>
  </r>
  <r>
    <x v="272"/>
    <x v="265"/>
    <m/>
    <x v="7"/>
    <s v="V16"/>
    <x v="2"/>
    <s v="H1916-20"/>
    <m/>
    <m/>
    <m/>
    <m/>
    <n v="100"/>
    <x v="0"/>
    <m/>
    <m/>
    <n v="3"/>
    <n v="0.375"/>
    <n v="0.85"/>
    <n v="0.31874999999999998"/>
    <n v="2193"/>
    <x v="1"/>
    <s v="Sam"/>
    <x v="7"/>
    <n v="23641"/>
    <n v="28786"/>
    <n v="18040.912499999999"/>
    <n v="5800"/>
    <n v="2175"/>
    <n v="20215.912499999999"/>
    <n v="0"/>
    <n v="0"/>
    <n v="0"/>
    <n v="1"/>
    <n v="0"/>
    <n v="0"/>
    <n v="0"/>
    <n v="0"/>
    <n v="0"/>
    <n v="0"/>
    <n v="0"/>
    <n v="0"/>
    <s v="Enligt SP 190924"/>
    <m/>
    <n v="0"/>
    <n v="0"/>
    <n v="0"/>
    <n v="0"/>
    <n v="0"/>
    <n v="0"/>
    <n v="0.375"/>
    <n v="0.31874999999999998"/>
    <n v="0"/>
    <n v="0"/>
    <n v="0"/>
    <n v="0"/>
    <n v="0"/>
    <n v="0"/>
    <n v="0"/>
    <n v="0"/>
    <n v="0"/>
    <n v="0"/>
    <n v="0"/>
    <n v="0"/>
    <n v="0"/>
    <n v="0"/>
    <n v="0"/>
  </r>
  <r>
    <x v="273"/>
    <x v="266"/>
    <m/>
    <x v="8"/>
    <s v="H16"/>
    <x v="1"/>
    <s v="V1916-20"/>
    <s v="Umeå"/>
    <m/>
    <m/>
    <m/>
    <n v="100"/>
    <x v="0"/>
    <m/>
    <m/>
    <n v="1"/>
    <n v="0.125"/>
    <n v="0.85"/>
    <n v="0.10625"/>
    <n v="2193"/>
    <x v="1"/>
    <s v="Sam"/>
    <x v="8"/>
    <n v="23641"/>
    <n v="28786"/>
    <n v="6013.6374999999998"/>
    <n v="5800"/>
    <n v="725"/>
    <n v="6738.6374999999998"/>
    <n v="0"/>
    <n v="0"/>
    <n v="0"/>
    <n v="1"/>
    <n v="0"/>
    <n v="0"/>
    <n v="0"/>
    <n v="0"/>
    <n v="0"/>
    <n v="0"/>
    <n v="0"/>
    <n v="0"/>
    <s v="Enl Ladok 190523"/>
    <m/>
    <n v="0"/>
    <n v="0"/>
    <n v="0"/>
    <n v="0"/>
    <n v="0"/>
    <n v="0"/>
    <n v="0.125"/>
    <n v="0.10625"/>
    <n v="0"/>
    <n v="0"/>
    <n v="0"/>
    <n v="0"/>
    <n v="0"/>
    <n v="0"/>
    <n v="0"/>
    <n v="0"/>
    <n v="0"/>
    <n v="0"/>
    <n v="0"/>
    <n v="0"/>
    <n v="0"/>
    <n v="0"/>
    <n v="0"/>
  </r>
  <r>
    <x v="273"/>
    <x v="266"/>
    <m/>
    <x v="8"/>
    <s v="H16"/>
    <x v="1"/>
    <s v="V1916-20"/>
    <s v="Umeå"/>
    <m/>
    <m/>
    <m/>
    <n v="100"/>
    <x v="0"/>
    <m/>
    <m/>
    <n v="21"/>
    <n v="2.625"/>
    <n v="0.85"/>
    <n v="2.2312499999999997"/>
    <n v="2193"/>
    <x v="1"/>
    <s v="Sam"/>
    <x v="8"/>
    <n v="23641"/>
    <n v="28786"/>
    <n v="126286.38749999998"/>
    <n v="5800"/>
    <n v="15225"/>
    <n v="141511.38749999998"/>
    <n v="0"/>
    <n v="0"/>
    <n v="0"/>
    <n v="1"/>
    <n v="0"/>
    <n v="0"/>
    <n v="0"/>
    <n v="0"/>
    <n v="0"/>
    <n v="0"/>
    <n v="0"/>
    <n v="0"/>
    <s v="Enl Ladok 190523"/>
    <m/>
    <n v="0"/>
    <n v="0"/>
    <n v="0"/>
    <n v="0"/>
    <n v="0"/>
    <n v="0"/>
    <n v="2.625"/>
    <n v="2.2312499999999997"/>
    <n v="0"/>
    <n v="0"/>
    <n v="0"/>
    <n v="0"/>
    <n v="0"/>
    <n v="0"/>
    <n v="0"/>
    <n v="0"/>
    <n v="0"/>
    <n v="0"/>
    <n v="0"/>
    <n v="0"/>
    <n v="0"/>
    <n v="0"/>
    <n v="0"/>
  </r>
  <r>
    <x v="274"/>
    <x v="267"/>
    <m/>
    <x v="0"/>
    <m/>
    <x v="1"/>
    <m/>
    <m/>
    <s v="Campus"/>
    <m/>
    <m/>
    <n v="100"/>
    <x v="0"/>
    <m/>
    <m/>
    <n v="0"/>
    <n v="0"/>
    <n v="0.8"/>
    <n v="0"/>
    <n v="2193"/>
    <x v="1"/>
    <s v="Sam"/>
    <x v="0"/>
    <n v="18405"/>
    <n v="15773"/>
    <n v="0"/>
    <n v="5800"/>
    <n v="0"/>
    <n v="0"/>
    <n v="0"/>
    <n v="0"/>
    <n v="0"/>
    <n v="0"/>
    <n v="0"/>
    <n v="0"/>
    <n v="1"/>
    <n v="0"/>
    <n v="0"/>
    <n v="0"/>
    <n v="0"/>
    <n v="0"/>
    <s v="Enl Ladok 190515"/>
    <s v="Äskat - Beslut p43 180607"/>
    <n v="0"/>
    <n v="0"/>
    <n v="0"/>
    <n v="0"/>
    <n v="0"/>
    <n v="0"/>
    <n v="0"/>
    <n v="0"/>
    <n v="0"/>
    <n v="0"/>
    <n v="0"/>
    <n v="0"/>
    <n v="0"/>
    <n v="0"/>
    <n v="0"/>
    <n v="0"/>
    <n v="0"/>
    <n v="0"/>
    <n v="0"/>
    <n v="0"/>
    <n v="0"/>
    <n v="0"/>
    <n v="0"/>
  </r>
  <r>
    <x v="275"/>
    <x v="268"/>
    <m/>
    <x v="8"/>
    <s v="H19"/>
    <x v="2"/>
    <s v="H191-4"/>
    <m/>
    <m/>
    <m/>
    <m/>
    <n v="100"/>
    <x v="2"/>
    <m/>
    <m/>
    <n v="25"/>
    <n v="2.5"/>
    <n v="0.85"/>
    <n v="2.125"/>
    <n v="5740"/>
    <x v="9"/>
    <s v="TekNat"/>
    <x v="8"/>
    <n v="23641"/>
    <n v="28786"/>
    <n v="120272.75"/>
    <n v="5800"/>
    <n v="14500"/>
    <n v="134772.75"/>
    <n v="0"/>
    <n v="0"/>
    <n v="0"/>
    <n v="1"/>
    <n v="0"/>
    <n v="0"/>
    <n v="0"/>
    <n v="0"/>
    <n v="0"/>
    <n v="0"/>
    <n v="0"/>
    <n v="0"/>
    <s v="Enligt SP 190924"/>
    <m/>
    <n v="0"/>
    <n v="0"/>
    <n v="0"/>
    <n v="0"/>
    <n v="0"/>
    <n v="0"/>
    <n v="2.5"/>
    <n v="2.125"/>
    <n v="0"/>
    <n v="0"/>
    <n v="0"/>
    <n v="0"/>
    <n v="0"/>
    <n v="0"/>
    <n v="0"/>
    <n v="0"/>
    <n v="0"/>
    <n v="0"/>
    <n v="0"/>
    <n v="0"/>
    <n v="0"/>
    <n v="0"/>
    <n v="0"/>
  </r>
  <r>
    <x v="275"/>
    <x v="268"/>
    <m/>
    <x v="2"/>
    <s v="H14"/>
    <x v="2"/>
    <s v="H191-4"/>
    <m/>
    <m/>
    <m/>
    <m/>
    <n v="100"/>
    <x v="2"/>
    <m/>
    <m/>
    <n v="1"/>
    <n v="0.1"/>
    <n v="0.85"/>
    <n v="8.5000000000000006E-2"/>
    <n v="5740"/>
    <x v="9"/>
    <s v="TekNat"/>
    <x v="2"/>
    <n v="23641"/>
    <n v="28786"/>
    <n v="4810.91"/>
    <n v="5800"/>
    <n v="580"/>
    <n v="5390.91"/>
    <n v="0"/>
    <n v="0"/>
    <n v="0"/>
    <n v="1"/>
    <n v="0"/>
    <n v="0"/>
    <n v="0"/>
    <n v="0"/>
    <n v="0"/>
    <n v="0"/>
    <n v="0"/>
    <n v="0"/>
    <s v="Enligt SP 190924"/>
    <m/>
    <n v="0"/>
    <n v="0"/>
    <n v="0"/>
    <n v="0"/>
    <n v="0"/>
    <n v="0"/>
    <n v="0.1"/>
    <n v="8.5000000000000006E-2"/>
    <n v="0"/>
    <n v="0"/>
    <n v="0"/>
    <n v="0"/>
    <n v="0"/>
    <n v="0"/>
    <n v="0"/>
    <n v="0"/>
    <n v="0"/>
    <n v="0"/>
    <n v="0"/>
    <n v="0"/>
    <n v="0"/>
    <n v="0"/>
    <n v="0"/>
  </r>
  <r>
    <x v="275"/>
    <x v="268"/>
    <m/>
    <x v="2"/>
    <s v="H18"/>
    <x v="2"/>
    <s v="H191-4"/>
    <m/>
    <m/>
    <m/>
    <m/>
    <n v="100"/>
    <x v="2"/>
    <m/>
    <m/>
    <n v="1"/>
    <n v="0.1"/>
    <n v="0.85"/>
    <n v="8.5000000000000006E-2"/>
    <n v="5740"/>
    <x v="9"/>
    <s v="TekNat"/>
    <x v="2"/>
    <n v="23641"/>
    <n v="28786"/>
    <n v="4810.91"/>
    <n v="5800"/>
    <n v="580"/>
    <n v="5390.91"/>
    <n v="0"/>
    <n v="0"/>
    <n v="0"/>
    <n v="1"/>
    <n v="0"/>
    <n v="0"/>
    <n v="0"/>
    <n v="0"/>
    <n v="0"/>
    <n v="0"/>
    <n v="0"/>
    <n v="0"/>
    <s v="Enligt SP 190924"/>
    <m/>
    <n v="0"/>
    <n v="0"/>
    <n v="0"/>
    <n v="0"/>
    <n v="0"/>
    <n v="0"/>
    <n v="0.1"/>
    <n v="8.5000000000000006E-2"/>
    <n v="0"/>
    <n v="0"/>
    <n v="0"/>
    <n v="0"/>
    <n v="0"/>
    <n v="0"/>
    <n v="0"/>
    <n v="0"/>
    <n v="0"/>
    <n v="0"/>
    <n v="0"/>
    <n v="0"/>
    <n v="0"/>
    <n v="0"/>
    <n v="0"/>
  </r>
  <r>
    <x v="275"/>
    <x v="268"/>
    <m/>
    <x v="2"/>
    <s v="H19"/>
    <x v="2"/>
    <s v="H191-4"/>
    <m/>
    <m/>
    <m/>
    <m/>
    <n v="100"/>
    <x v="2"/>
    <m/>
    <m/>
    <n v="52"/>
    <n v="5.2"/>
    <n v="0.85"/>
    <n v="4.42"/>
    <n v="5740"/>
    <x v="9"/>
    <s v="TekNat"/>
    <x v="2"/>
    <n v="23641"/>
    <n v="28786"/>
    <n v="250167.32"/>
    <n v="5800"/>
    <n v="30160"/>
    <n v="280327.32"/>
    <n v="0"/>
    <n v="0"/>
    <n v="0"/>
    <n v="1"/>
    <n v="0"/>
    <n v="0"/>
    <n v="0"/>
    <n v="0"/>
    <n v="0"/>
    <n v="0"/>
    <n v="0"/>
    <n v="0"/>
    <s v="Enligt SP 190924"/>
    <m/>
    <n v="0"/>
    <n v="0"/>
    <n v="0"/>
    <n v="0"/>
    <n v="0"/>
    <n v="0"/>
    <n v="5.2"/>
    <n v="4.42"/>
    <n v="0"/>
    <n v="0"/>
    <n v="0"/>
    <n v="0"/>
    <n v="0"/>
    <n v="0"/>
    <n v="0"/>
    <n v="0"/>
    <n v="0"/>
    <n v="0"/>
    <n v="0"/>
    <n v="0"/>
    <n v="0"/>
    <n v="0"/>
    <n v="0"/>
  </r>
  <r>
    <x v="275"/>
    <x v="268"/>
    <m/>
    <x v="2"/>
    <s v="V18"/>
    <x v="2"/>
    <s v="H191-4"/>
    <m/>
    <m/>
    <m/>
    <m/>
    <n v="100"/>
    <x v="2"/>
    <m/>
    <m/>
    <n v="1"/>
    <n v="0.1"/>
    <n v="0.85"/>
    <n v="8.5000000000000006E-2"/>
    <n v="5740"/>
    <x v="9"/>
    <s v="TekNat"/>
    <x v="2"/>
    <n v="23641"/>
    <n v="28786"/>
    <n v="4810.91"/>
    <n v="5800"/>
    <n v="580"/>
    <n v="5390.91"/>
    <n v="0"/>
    <n v="0"/>
    <n v="0"/>
    <n v="1"/>
    <n v="0"/>
    <n v="0"/>
    <n v="0"/>
    <n v="0"/>
    <n v="0"/>
    <n v="0"/>
    <n v="0"/>
    <n v="0"/>
    <s v="Enligt SP 190924"/>
    <m/>
    <n v="0"/>
    <n v="0"/>
    <n v="0"/>
    <n v="0"/>
    <n v="0"/>
    <n v="0"/>
    <n v="0.1"/>
    <n v="8.5000000000000006E-2"/>
    <n v="0"/>
    <n v="0"/>
    <n v="0"/>
    <n v="0"/>
    <n v="0"/>
    <n v="0"/>
    <n v="0"/>
    <n v="0"/>
    <n v="0"/>
    <n v="0"/>
    <n v="0"/>
    <n v="0"/>
    <n v="0"/>
    <n v="0"/>
    <n v="0"/>
  </r>
  <r>
    <x v="275"/>
    <x v="268"/>
    <m/>
    <x v="3"/>
    <s v="H19"/>
    <x v="2"/>
    <s v="H191-4"/>
    <m/>
    <m/>
    <m/>
    <m/>
    <n v="100"/>
    <x v="2"/>
    <m/>
    <m/>
    <n v="35"/>
    <n v="3.5"/>
    <n v="0.85"/>
    <n v="2.9750000000000001"/>
    <n v="5740"/>
    <x v="9"/>
    <s v="TekNat"/>
    <x v="3"/>
    <n v="23641"/>
    <n v="28786"/>
    <n v="168381.85"/>
    <n v="5800"/>
    <n v="20300"/>
    <n v="188681.85"/>
    <n v="0"/>
    <n v="0"/>
    <n v="0"/>
    <n v="1"/>
    <n v="0"/>
    <n v="0"/>
    <n v="0"/>
    <n v="0"/>
    <n v="0"/>
    <n v="0"/>
    <n v="0"/>
    <n v="0"/>
    <s v="Enligt SP 190924"/>
    <m/>
    <n v="0"/>
    <n v="0"/>
    <n v="0"/>
    <n v="0"/>
    <n v="0"/>
    <n v="0"/>
    <n v="3.5"/>
    <n v="2.9750000000000001"/>
    <n v="0"/>
    <n v="0"/>
    <n v="0"/>
    <n v="0"/>
    <n v="0"/>
    <n v="0"/>
    <n v="0"/>
    <n v="0"/>
    <n v="0"/>
    <n v="0"/>
    <n v="0"/>
    <n v="0"/>
    <n v="0"/>
    <n v="0"/>
    <n v="0"/>
  </r>
  <r>
    <x v="276"/>
    <x v="269"/>
    <m/>
    <x v="3"/>
    <s v="H12"/>
    <x v="1"/>
    <s v="V1916-20"/>
    <s v="Umeå"/>
    <m/>
    <m/>
    <m/>
    <n v="100"/>
    <x v="0"/>
    <m/>
    <m/>
    <n v="1"/>
    <n v="0.125"/>
    <n v="0.85"/>
    <n v="0.10625"/>
    <n v="5740"/>
    <x v="9"/>
    <s v="TekNat"/>
    <x v="3"/>
    <n v="23641"/>
    <n v="28786"/>
    <n v="6013.6374999999998"/>
    <n v="5800"/>
    <n v="725"/>
    <n v="6738.6374999999998"/>
    <n v="0"/>
    <n v="0"/>
    <n v="0"/>
    <n v="1"/>
    <n v="0"/>
    <n v="0"/>
    <n v="0"/>
    <n v="0"/>
    <n v="0"/>
    <n v="0"/>
    <n v="0"/>
    <n v="0"/>
    <s v="Enl Ladok 190523"/>
    <m/>
    <n v="0"/>
    <n v="0"/>
    <n v="0"/>
    <n v="0"/>
    <n v="0"/>
    <n v="0"/>
    <n v="0.125"/>
    <n v="0.10625"/>
    <n v="0"/>
    <n v="0"/>
    <n v="0"/>
    <n v="0"/>
    <n v="0"/>
    <n v="0"/>
    <n v="0"/>
    <n v="0"/>
    <n v="0"/>
    <n v="0"/>
    <n v="0"/>
    <n v="0"/>
    <n v="0"/>
    <n v="0"/>
    <n v="0"/>
  </r>
  <r>
    <x v="276"/>
    <x v="269"/>
    <m/>
    <x v="3"/>
    <s v="H15"/>
    <x v="1"/>
    <s v="V1916-20"/>
    <s v="Umeå"/>
    <m/>
    <m/>
    <m/>
    <n v="100"/>
    <x v="0"/>
    <m/>
    <m/>
    <n v="24"/>
    <n v="3"/>
    <n v="0.85"/>
    <n v="2.5499999999999998"/>
    <n v="5740"/>
    <x v="9"/>
    <s v="TekNat"/>
    <x v="3"/>
    <n v="23641"/>
    <n v="28786"/>
    <n v="144327.29999999999"/>
    <n v="5800"/>
    <n v="17400"/>
    <n v="161727.29999999999"/>
    <n v="0"/>
    <n v="0"/>
    <n v="0"/>
    <n v="1"/>
    <n v="0"/>
    <n v="0"/>
    <n v="0"/>
    <n v="0"/>
    <n v="0"/>
    <n v="0"/>
    <n v="0"/>
    <n v="0"/>
    <s v="Enl Ladok 190523"/>
    <m/>
    <n v="0"/>
    <n v="0"/>
    <n v="0"/>
    <n v="0"/>
    <n v="0"/>
    <n v="0"/>
    <n v="3"/>
    <n v="2.5499999999999998"/>
    <n v="0"/>
    <n v="0"/>
    <n v="0"/>
    <n v="0"/>
    <n v="0"/>
    <n v="0"/>
    <n v="0"/>
    <n v="0"/>
    <n v="0"/>
    <n v="0"/>
    <n v="0"/>
    <n v="0"/>
    <n v="0"/>
    <n v="0"/>
    <n v="0"/>
  </r>
  <r>
    <x v="276"/>
    <x v="269"/>
    <m/>
    <x v="3"/>
    <s v="H16"/>
    <x v="1"/>
    <s v="V1916-20"/>
    <s v="Umeå"/>
    <m/>
    <m/>
    <m/>
    <n v="100"/>
    <x v="0"/>
    <m/>
    <m/>
    <n v="2"/>
    <n v="0.25"/>
    <n v="0.85"/>
    <n v="0.21249999999999999"/>
    <n v="5740"/>
    <x v="9"/>
    <s v="TekNat"/>
    <x v="3"/>
    <n v="23641"/>
    <n v="28786"/>
    <n v="12027.275"/>
    <n v="5800"/>
    <n v="1450"/>
    <n v="13477.275"/>
    <n v="0"/>
    <n v="0"/>
    <n v="0"/>
    <n v="1"/>
    <n v="0"/>
    <n v="0"/>
    <n v="0"/>
    <n v="0"/>
    <n v="0"/>
    <n v="0"/>
    <n v="0"/>
    <n v="0"/>
    <s v="Enl Ladok 190523"/>
    <m/>
    <n v="0"/>
    <n v="0"/>
    <n v="0"/>
    <n v="0"/>
    <n v="0"/>
    <n v="0"/>
    <n v="0.25"/>
    <n v="0.21249999999999999"/>
    <n v="0"/>
    <n v="0"/>
    <n v="0"/>
    <n v="0"/>
    <n v="0"/>
    <n v="0"/>
    <n v="0"/>
    <n v="0"/>
    <n v="0"/>
    <n v="0"/>
    <n v="0"/>
    <n v="0"/>
    <n v="0"/>
    <n v="0"/>
    <n v="0"/>
  </r>
  <r>
    <x v="277"/>
    <x v="270"/>
    <m/>
    <x v="2"/>
    <s v="H14"/>
    <x v="1"/>
    <s v="V1916-20"/>
    <s v="Umeå"/>
    <m/>
    <m/>
    <m/>
    <n v="100"/>
    <x v="0"/>
    <m/>
    <m/>
    <n v="2"/>
    <n v="0.25"/>
    <n v="0.85"/>
    <n v="0.21249999999999999"/>
    <n v="5740"/>
    <x v="9"/>
    <s v="TekNat"/>
    <x v="2"/>
    <n v="23641"/>
    <n v="28786"/>
    <n v="12027.275"/>
    <n v="5800"/>
    <n v="1450"/>
    <n v="13477.275"/>
    <n v="0"/>
    <n v="0"/>
    <n v="0"/>
    <n v="1"/>
    <n v="0"/>
    <n v="0"/>
    <n v="0"/>
    <n v="0"/>
    <n v="0"/>
    <n v="0"/>
    <n v="0"/>
    <n v="0"/>
    <s v="Enl Ladok 190523"/>
    <m/>
    <n v="0"/>
    <n v="0"/>
    <n v="0"/>
    <n v="0"/>
    <n v="0"/>
    <n v="0"/>
    <n v="0.25"/>
    <n v="0.21249999999999999"/>
    <n v="0"/>
    <n v="0"/>
    <n v="0"/>
    <n v="0"/>
    <n v="0"/>
    <n v="0"/>
    <n v="0"/>
    <n v="0"/>
    <n v="0"/>
    <n v="0"/>
    <n v="0"/>
    <n v="0"/>
    <n v="0"/>
    <n v="0"/>
    <n v="0"/>
  </r>
  <r>
    <x v="277"/>
    <x v="270"/>
    <m/>
    <x v="2"/>
    <s v="H15"/>
    <x v="1"/>
    <s v="V1916-20"/>
    <s v="Umeå"/>
    <m/>
    <m/>
    <m/>
    <n v="100"/>
    <x v="0"/>
    <m/>
    <m/>
    <n v="1"/>
    <n v="0.125"/>
    <n v="0.85"/>
    <n v="0.10625"/>
    <n v="5740"/>
    <x v="9"/>
    <s v="TekNat"/>
    <x v="2"/>
    <n v="23641"/>
    <n v="28786"/>
    <n v="6013.6374999999998"/>
    <n v="5800"/>
    <n v="725"/>
    <n v="6738.6374999999998"/>
    <n v="0"/>
    <n v="0"/>
    <n v="0"/>
    <n v="1"/>
    <n v="0"/>
    <n v="0"/>
    <n v="0"/>
    <n v="0"/>
    <n v="0"/>
    <n v="0"/>
    <n v="0"/>
    <n v="0"/>
    <s v="Enl Ladok 190523"/>
    <m/>
    <n v="0"/>
    <n v="0"/>
    <n v="0"/>
    <n v="0"/>
    <n v="0"/>
    <n v="0"/>
    <n v="0.125"/>
    <n v="0.10625"/>
    <n v="0"/>
    <n v="0"/>
    <n v="0"/>
    <n v="0"/>
    <n v="0"/>
    <n v="0"/>
    <n v="0"/>
    <n v="0"/>
    <n v="0"/>
    <n v="0"/>
    <n v="0"/>
    <n v="0"/>
    <n v="0"/>
    <n v="0"/>
    <n v="0"/>
  </r>
  <r>
    <x v="277"/>
    <x v="270"/>
    <m/>
    <x v="2"/>
    <s v="H15"/>
    <x v="1"/>
    <s v="V1916-20"/>
    <s v="Umeå"/>
    <m/>
    <m/>
    <m/>
    <n v="100"/>
    <x v="0"/>
    <m/>
    <m/>
    <n v="43"/>
    <n v="5.375"/>
    <n v="0.85"/>
    <n v="4.5687499999999996"/>
    <n v="5740"/>
    <x v="9"/>
    <s v="TekNat"/>
    <x v="2"/>
    <n v="23641"/>
    <n v="28786"/>
    <n v="258586.41249999998"/>
    <n v="5800"/>
    <n v="31175"/>
    <n v="289761.41249999998"/>
    <n v="0"/>
    <n v="0"/>
    <n v="0"/>
    <n v="1"/>
    <n v="0"/>
    <n v="0"/>
    <n v="0"/>
    <n v="0"/>
    <n v="0"/>
    <n v="0"/>
    <n v="0"/>
    <n v="0"/>
    <s v="Enl Ladok 190523"/>
    <m/>
    <n v="0"/>
    <n v="0"/>
    <n v="0"/>
    <n v="0"/>
    <n v="0"/>
    <n v="0"/>
    <n v="5.375"/>
    <n v="4.5687499999999996"/>
    <n v="0"/>
    <n v="0"/>
    <n v="0"/>
    <n v="0"/>
    <n v="0"/>
    <n v="0"/>
    <n v="0"/>
    <n v="0"/>
    <n v="0"/>
    <n v="0"/>
    <n v="0"/>
    <n v="0"/>
    <n v="0"/>
    <n v="0"/>
    <n v="0"/>
  </r>
  <r>
    <x v="277"/>
    <x v="270"/>
    <m/>
    <x v="2"/>
    <s v="H15"/>
    <x v="1"/>
    <s v="V1916-20"/>
    <s v="Umeå"/>
    <m/>
    <m/>
    <m/>
    <n v="100"/>
    <x v="0"/>
    <m/>
    <m/>
    <n v="1"/>
    <n v="0.125"/>
    <n v="0.85"/>
    <n v="0.10625"/>
    <n v="5740"/>
    <x v="9"/>
    <s v="TekNat"/>
    <x v="2"/>
    <n v="23641"/>
    <n v="28786"/>
    <n v="6013.6374999999998"/>
    <n v="5800"/>
    <n v="725"/>
    <n v="6738.6374999999998"/>
    <n v="0"/>
    <n v="0"/>
    <n v="0"/>
    <n v="1"/>
    <n v="0"/>
    <n v="0"/>
    <n v="0"/>
    <n v="0"/>
    <n v="0"/>
    <n v="0"/>
    <n v="0"/>
    <n v="0"/>
    <s v="Enl Ladok 190523"/>
    <m/>
    <n v="0"/>
    <n v="0"/>
    <n v="0"/>
    <n v="0"/>
    <n v="0"/>
    <n v="0"/>
    <n v="0.125"/>
    <n v="0.10625"/>
    <n v="0"/>
    <n v="0"/>
    <n v="0"/>
    <n v="0"/>
    <n v="0"/>
    <n v="0"/>
    <n v="0"/>
    <n v="0"/>
    <n v="0"/>
    <n v="0"/>
    <n v="0"/>
    <n v="0"/>
    <n v="0"/>
    <n v="0"/>
    <n v="0"/>
  </r>
  <r>
    <x v="278"/>
    <x v="271"/>
    <m/>
    <x v="12"/>
    <s v="V19"/>
    <x v="1"/>
    <s v="V1918-20"/>
    <s v="Umeå"/>
    <m/>
    <m/>
    <m/>
    <n v="100"/>
    <x v="0"/>
    <m/>
    <m/>
    <n v="15"/>
    <n v="1.875"/>
    <n v="0.85"/>
    <n v="1.59375"/>
    <n v="5740"/>
    <x v="9"/>
    <s v="TekNat"/>
    <x v="12"/>
    <n v="23641"/>
    <n v="28786"/>
    <n v="90204.5625"/>
    <n v="5800"/>
    <n v="10875"/>
    <n v="101079.5625"/>
    <n v="0"/>
    <n v="0"/>
    <n v="0"/>
    <n v="1"/>
    <n v="0"/>
    <n v="0"/>
    <n v="0"/>
    <n v="0"/>
    <n v="0"/>
    <n v="0"/>
    <n v="0"/>
    <n v="0"/>
    <s v="Enl Ladok 190523"/>
    <m/>
    <n v="0"/>
    <n v="0"/>
    <n v="0"/>
    <n v="0"/>
    <n v="0"/>
    <n v="0"/>
    <n v="1.875"/>
    <n v="1.59375"/>
    <n v="0"/>
    <n v="0"/>
    <n v="0"/>
    <n v="0"/>
    <n v="0"/>
    <n v="0"/>
    <n v="0"/>
    <n v="0"/>
    <n v="0"/>
    <n v="0"/>
    <n v="0"/>
    <n v="0"/>
    <n v="0"/>
    <n v="0"/>
    <n v="0"/>
  </r>
  <r>
    <x v="278"/>
    <x v="271"/>
    <m/>
    <x v="5"/>
    <s v="H19"/>
    <x v="2"/>
    <s v="H1918-20"/>
    <m/>
    <m/>
    <s v="FHHK"/>
    <m/>
    <n v="150"/>
    <x v="0"/>
    <m/>
    <m/>
    <n v="2"/>
    <n v="0.25"/>
    <n v="0.85"/>
    <n v="0.21249999999999999"/>
    <n v="5740"/>
    <x v="9"/>
    <s v="TekNat"/>
    <x v="5"/>
    <n v="23641"/>
    <n v="28786"/>
    <n v="12027.275"/>
    <n v="5800"/>
    <n v="1450"/>
    <n v="13477.275"/>
    <n v="0"/>
    <n v="0"/>
    <n v="0"/>
    <n v="1"/>
    <n v="0"/>
    <n v="0"/>
    <n v="0"/>
    <n v="0"/>
    <n v="0"/>
    <n v="0"/>
    <n v="0"/>
    <n v="0"/>
    <s v="Enligt SP 190924"/>
    <m/>
    <n v="0"/>
    <n v="0"/>
    <n v="0"/>
    <n v="0"/>
    <n v="0"/>
    <n v="0"/>
    <n v="0.25"/>
    <n v="0.21249999999999999"/>
    <n v="0"/>
    <n v="0"/>
    <n v="0"/>
    <n v="0"/>
    <n v="0"/>
    <n v="0"/>
    <n v="0"/>
    <n v="0"/>
    <n v="0"/>
    <n v="0"/>
    <n v="0"/>
    <n v="0"/>
    <n v="0"/>
    <n v="0"/>
    <n v="0"/>
  </r>
  <r>
    <x v="278"/>
    <x v="271"/>
    <m/>
    <x v="5"/>
    <s v="H19"/>
    <x v="2"/>
    <s v="H1918-20"/>
    <m/>
    <m/>
    <s v="FHOV"/>
    <m/>
    <n v="150"/>
    <x v="0"/>
    <m/>
    <m/>
    <n v="12"/>
    <n v="1.5"/>
    <n v="0.85"/>
    <n v="1.2749999999999999"/>
    <n v="5740"/>
    <x v="9"/>
    <s v="TekNat"/>
    <x v="5"/>
    <n v="23641"/>
    <n v="28786"/>
    <n v="72163.649999999994"/>
    <n v="5800"/>
    <n v="8700"/>
    <n v="80863.649999999994"/>
    <n v="0"/>
    <n v="0"/>
    <n v="0"/>
    <n v="1"/>
    <n v="0"/>
    <n v="0"/>
    <n v="0"/>
    <n v="0"/>
    <n v="0"/>
    <n v="0"/>
    <n v="0"/>
    <n v="0"/>
    <s v="Enligt SP 190924"/>
    <m/>
    <n v="0"/>
    <n v="0"/>
    <n v="0"/>
    <n v="0"/>
    <n v="0"/>
    <n v="0"/>
    <n v="1.5"/>
    <n v="1.2749999999999999"/>
    <n v="0"/>
    <n v="0"/>
    <n v="0"/>
    <n v="0"/>
    <n v="0"/>
    <n v="0"/>
    <n v="0"/>
    <n v="0"/>
    <n v="0"/>
    <n v="0"/>
    <n v="0"/>
    <n v="0"/>
    <n v="0"/>
    <n v="0"/>
    <n v="0"/>
  </r>
  <r>
    <x v="278"/>
    <x v="271"/>
    <m/>
    <x v="5"/>
    <s v="H19"/>
    <x v="2"/>
    <s v="H1918-20"/>
    <m/>
    <m/>
    <s v="FHSL"/>
    <m/>
    <n v="150"/>
    <x v="0"/>
    <m/>
    <m/>
    <n v="4"/>
    <n v="0.5"/>
    <n v="0.85"/>
    <n v="0.42499999999999999"/>
    <n v="5740"/>
    <x v="9"/>
    <s v="TekNat"/>
    <x v="5"/>
    <n v="23641"/>
    <n v="28786"/>
    <n v="24054.55"/>
    <n v="5800"/>
    <n v="2900"/>
    <n v="26954.55"/>
    <n v="0"/>
    <n v="0"/>
    <n v="0"/>
    <n v="1"/>
    <n v="0"/>
    <n v="0"/>
    <n v="0"/>
    <n v="0"/>
    <n v="0"/>
    <n v="0"/>
    <n v="0"/>
    <n v="0"/>
    <s v="Enligt SP 190924"/>
    <m/>
    <n v="0"/>
    <n v="0"/>
    <n v="0"/>
    <n v="0"/>
    <n v="0"/>
    <n v="0"/>
    <n v="0.5"/>
    <n v="0.42499999999999999"/>
    <n v="0"/>
    <n v="0"/>
    <n v="0"/>
    <n v="0"/>
    <n v="0"/>
    <n v="0"/>
    <n v="0"/>
    <n v="0"/>
    <n v="0"/>
    <n v="0"/>
    <n v="0"/>
    <n v="0"/>
    <n v="0"/>
    <n v="0"/>
    <n v="0"/>
  </r>
  <r>
    <x v="278"/>
    <x v="271"/>
    <m/>
    <x v="6"/>
    <s v="H08"/>
    <x v="2"/>
    <s v="H1918-20"/>
    <m/>
    <m/>
    <s v="FHOV"/>
    <m/>
    <n v="150"/>
    <x v="0"/>
    <m/>
    <m/>
    <n v="1"/>
    <n v="0.125"/>
    <n v="0.85"/>
    <n v="0.10625"/>
    <n v="5740"/>
    <x v="9"/>
    <s v="TekNat"/>
    <x v="6"/>
    <n v="23641"/>
    <n v="28786"/>
    <n v="6013.6374999999998"/>
    <n v="5800"/>
    <n v="725"/>
    <n v="6738.6374999999998"/>
    <n v="0"/>
    <n v="0"/>
    <n v="0"/>
    <n v="1"/>
    <n v="0"/>
    <n v="0"/>
    <n v="0"/>
    <n v="0"/>
    <n v="0"/>
    <n v="0"/>
    <n v="0"/>
    <n v="0"/>
    <s v="Enligt SP 190924"/>
    <m/>
    <n v="0"/>
    <n v="0"/>
    <n v="0"/>
    <n v="0"/>
    <n v="0"/>
    <n v="0"/>
    <n v="0.125"/>
    <n v="0.10625"/>
    <n v="0"/>
    <n v="0"/>
    <n v="0"/>
    <n v="0"/>
    <n v="0"/>
    <n v="0"/>
    <n v="0"/>
    <n v="0"/>
    <n v="0"/>
    <n v="0"/>
    <n v="0"/>
    <n v="0"/>
    <n v="0"/>
    <n v="0"/>
    <n v="0"/>
  </r>
  <r>
    <x v="278"/>
    <x v="271"/>
    <m/>
    <x v="6"/>
    <s v="H19"/>
    <x v="2"/>
    <s v="H1918-20"/>
    <m/>
    <m/>
    <s v="FHFK"/>
    <m/>
    <n v="150"/>
    <x v="0"/>
    <m/>
    <m/>
    <n v="4"/>
    <n v="0.5"/>
    <n v="0.85"/>
    <n v="0.42499999999999999"/>
    <n v="5740"/>
    <x v="9"/>
    <s v="TekNat"/>
    <x v="6"/>
    <n v="23641"/>
    <n v="28786"/>
    <n v="24054.55"/>
    <n v="5800"/>
    <n v="2900"/>
    <n v="26954.55"/>
    <n v="0"/>
    <n v="0"/>
    <n v="0"/>
    <n v="1"/>
    <n v="0"/>
    <n v="0"/>
    <n v="0"/>
    <n v="0"/>
    <n v="0"/>
    <n v="0"/>
    <n v="0"/>
    <n v="0"/>
    <s v="Enligt SP 190924"/>
    <m/>
    <n v="0"/>
    <n v="0"/>
    <n v="0"/>
    <n v="0"/>
    <n v="0"/>
    <n v="0"/>
    <n v="0.5"/>
    <n v="0.42499999999999999"/>
    <n v="0"/>
    <n v="0"/>
    <n v="0"/>
    <n v="0"/>
    <n v="0"/>
    <n v="0"/>
    <n v="0"/>
    <n v="0"/>
    <n v="0"/>
    <n v="0"/>
    <n v="0"/>
    <n v="0"/>
    <n v="0"/>
    <n v="0"/>
    <n v="0"/>
  </r>
  <r>
    <x v="278"/>
    <x v="271"/>
    <m/>
    <x v="6"/>
    <s v="H19"/>
    <x v="2"/>
    <s v="H1918-20"/>
    <m/>
    <m/>
    <s v="FHOV"/>
    <m/>
    <n v="150"/>
    <x v="0"/>
    <m/>
    <m/>
    <n v="18"/>
    <n v="2.25"/>
    <n v="0.85"/>
    <n v="1.9124999999999999"/>
    <n v="5740"/>
    <x v="9"/>
    <s v="TekNat"/>
    <x v="6"/>
    <n v="23641"/>
    <n v="28786"/>
    <n v="108245.47500000001"/>
    <n v="5800"/>
    <n v="13050"/>
    <n v="121295.47500000001"/>
    <n v="0"/>
    <n v="0"/>
    <n v="0"/>
    <n v="1"/>
    <n v="0"/>
    <n v="0"/>
    <n v="0"/>
    <n v="0"/>
    <n v="0"/>
    <n v="0"/>
    <n v="0"/>
    <n v="0"/>
    <s v="Enligt SP 190924"/>
    <m/>
    <n v="0"/>
    <n v="0"/>
    <n v="0"/>
    <n v="0"/>
    <n v="0"/>
    <n v="0"/>
    <n v="2.25"/>
    <n v="1.9124999999999999"/>
    <n v="0"/>
    <n v="0"/>
    <n v="0"/>
    <n v="0"/>
    <n v="0"/>
    <n v="0"/>
    <n v="0"/>
    <n v="0"/>
    <n v="0"/>
    <n v="0"/>
    <n v="0"/>
    <n v="0"/>
    <n v="0"/>
    <n v="0"/>
    <n v="0"/>
  </r>
  <r>
    <x v="278"/>
    <x v="271"/>
    <m/>
    <x v="6"/>
    <s v="H19"/>
    <x v="2"/>
    <s v="H1918-20"/>
    <m/>
    <m/>
    <s v="GYFH"/>
    <m/>
    <n v="150"/>
    <x v="0"/>
    <m/>
    <m/>
    <n v="2"/>
    <n v="0.25"/>
    <n v="0.85"/>
    <n v="0.21249999999999999"/>
    <n v="5740"/>
    <x v="9"/>
    <s v="TekNat"/>
    <x v="6"/>
    <n v="23641"/>
    <n v="28786"/>
    <n v="12027.275"/>
    <n v="5800"/>
    <n v="1450"/>
    <n v="13477.275"/>
    <n v="0"/>
    <n v="0"/>
    <n v="0"/>
    <n v="1"/>
    <n v="0"/>
    <n v="0"/>
    <n v="0"/>
    <n v="0"/>
    <n v="0"/>
    <n v="0"/>
    <n v="0"/>
    <n v="0"/>
    <s v="Enligt SP 190924"/>
    <m/>
    <n v="0"/>
    <n v="0"/>
    <n v="0"/>
    <n v="0"/>
    <n v="0"/>
    <n v="0"/>
    <n v="0.25"/>
    <n v="0.21249999999999999"/>
    <n v="0"/>
    <n v="0"/>
    <n v="0"/>
    <n v="0"/>
    <n v="0"/>
    <n v="0"/>
    <n v="0"/>
    <n v="0"/>
    <n v="0"/>
    <n v="0"/>
    <n v="0"/>
    <n v="0"/>
    <n v="0"/>
    <n v="0"/>
    <n v="0"/>
  </r>
  <r>
    <x v="279"/>
    <x v="272"/>
    <m/>
    <x v="8"/>
    <s v="H19"/>
    <x v="2"/>
    <s v="H195"/>
    <m/>
    <m/>
    <m/>
    <m/>
    <n v="100"/>
    <x v="4"/>
    <n v="-0.08"/>
    <n v="25"/>
    <n v="23"/>
    <n v="0.57500000000000007"/>
    <n v="0.85"/>
    <n v="0.48875000000000002"/>
    <n v="5740"/>
    <x v="9"/>
    <s v="TekNat"/>
    <x v="8"/>
    <n v="21634"/>
    <n v="26986"/>
    <n v="25628.957500000004"/>
    <n v="3400"/>
    <n v="1955.0000000000002"/>
    <n v="27583.957500000004"/>
    <n v="0"/>
    <n v="0"/>
    <n v="0"/>
    <n v="0"/>
    <n v="0"/>
    <n v="0"/>
    <n v="0"/>
    <n v="0"/>
    <n v="1"/>
    <n v="0"/>
    <n v="0"/>
    <n v="0"/>
    <s v="Prognostal"/>
    <m/>
    <n v="0"/>
    <n v="0"/>
    <n v="0"/>
    <n v="0"/>
    <n v="0"/>
    <n v="0"/>
    <n v="0"/>
    <n v="0"/>
    <n v="0"/>
    <n v="0"/>
    <n v="0"/>
    <n v="0"/>
    <n v="0"/>
    <n v="0"/>
    <n v="0"/>
    <n v="0"/>
    <n v="0.57500000000000007"/>
    <n v="0.48875000000000002"/>
    <n v="0"/>
    <n v="0"/>
    <n v="0"/>
    <n v="0"/>
    <n v="0"/>
  </r>
  <r>
    <x v="279"/>
    <x v="272"/>
    <m/>
    <x v="2"/>
    <s v="H14"/>
    <x v="2"/>
    <s v="H195"/>
    <m/>
    <m/>
    <m/>
    <m/>
    <n v="100"/>
    <x v="4"/>
    <m/>
    <m/>
    <n v="1"/>
    <n v="2.5000000000000001E-2"/>
    <n v="0.85"/>
    <n v="2.1250000000000002E-2"/>
    <n v="5740"/>
    <x v="9"/>
    <s v="TekNat"/>
    <x v="2"/>
    <n v="21634"/>
    <n v="26986"/>
    <n v="1114.3025"/>
    <n v="3400"/>
    <n v="85"/>
    <n v="1199.3025"/>
    <n v="0"/>
    <n v="0"/>
    <n v="0"/>
    <n v="0"/>
    <n v="0"/>
    <n v="0"/>
    <n v="0"/>
    <n v="0"/>
    <n v="1"/>
    <n v="0"/>
    <n v="0"/>
    <n v="0"/>
    <s v="Enligt SP 190924"/>
    <m/>
    <n v="0"/>
    <n v="0"/>
    <n v="0"/>
    <n v="0"/>
    <n v="0"/>
    <n v="0"/>
    <n v="0"/>
    <n v="0"/>
    <n v="0"/>
    <n v="0"/>
    <n v="0"/>
    <n v="0"/>
    <n v="0"/>
    <n v="0"/>
    <n v="0"/>
    <n v="0"/>
    <n v="2.5000000000000001E-2"/>
    <n v="2.1250000000000002E-2"/>
    <n v="0"/>
    <n v="0"/>
    <n v="0"/>
    <n v="0"/>
    <n v="0"/>
  </r>
  <r>
    <x v="279"/>
    <x v="272"/>
    <m/>
    <x v="2"/>
    <s v="H18"/>
    <x v="2"/>
    <s v="H195"/>
    <m/>
    <m/>
    <m/>
    <m/>
    <n v="100"/>
    <x v="4"/>
    <m/>
    <m/>
    <n v="1"/>
    <n v="2.5000000000000001E-2"/>
    <n v="0.85"/>
    <n v="2.1250000000000002E-2"/>
    <n v="5740"/>
    <x v="9"/>
    <s v="TekNat"/>
    <x v="2"/>
    <n v="21634"/>
    <n v="26986"/>
    <n v="1114.3025"/>
    <n v="3400"/>
    <n v="85"/>
    <n v="1199.3025"/>
    <n v="0"/>
    <n v="0"/>
    <n v="0"/>
    <n v="0"/>
    <n v="0"/>
    <n v="0"/>
    <n v="0"/>
    <n v="0"/>
    <n v="1"/>
    <n v="0"/>
    <n v="0"/>
    <n v="0"/>
    <s v="Enligt SP 190924"/>
    <m/>
    <n v="0"/>
    <n v="0"/>
    <n v="0"/>
    <n v="0"/>
    <n v="0"/>
    <n v="0"/>
    <n v="0"/>
    <n v="0"/>
    <n v="0"/>
    <n v="0"/>
    <n v="0"/>
    <n v="0"/>
    <n v="0"/>
    <n v="0"/>
    <n v="0"/>
    <n v="0"/>
    <n v="2.5000000000000001E-2"/>
    <n v="2.1250000000000002E-2"/>
    <n v="0"/>
    <n v="0"/>
    <n v="0"/>
    <n v="0"/>
    <n v="0"/>
  </r>
  <r>
    <x v="279"/>
    <x v="272"/>
    <m/>
    <x v="2"/>
    <s v="H19"/>
    <x v="2"/>
    <s v="H195"/>
    <m/>
    <m/>
    <m/>
    <m/>
    <n v="100"/>
    <x v="4"/>
    <n v="-0.05"/>
    <n v="51"/>
    <n v="48.45"/>
    <n v="1.2112500000000002"/>
    <n v="0.85"/>
    <n v="1.0295625000000002"/>
    <n v="5740"/>
    <x v="9"/>
    <s v="TekNat"/>
    <x v="2"/>
    <n v="21634"/>
    <n v="26986"/>
    <n v="53987.956125000012"/>
    <n v="3400"/>
    <n v="4118.2500000000009"/>
    <n v="58106.206125000012"/>
    <n v="0"/>
    <n v="0"/>
    <n v="0"/>
    <n v="0"/>
    <n v="0"/>
    <n v="0"/>
    <n v="0"/>
    <n v="0"/>
    <n v="1"/>
    <n v="0"/>
    <n v="0"/>
    <n v="0"/>
    <s v="Prognostal"/>
    <m/>
    <n v="0"/>
    <n v="0"/>
    <n v="0"/>
    <n v="0"/>
    <n v="0"/>
    <n v="0"/>
    <n v="0"/>
    <n v="0"/>
    <n v="0"/>
    <n v="0"/>
    <n v="0"/>
    <n v="0"/>
    <n v="0"/>
    <n v="0"/>
    <n v="0"/>
    <n v="0"/>
    <n v="1.2112500000000002"/>
    <n v="1.0295625000000002"/>
    <n v="0"/>
    <n v="0"/>
    <n v="0"/>
    <n v="0"/>
    <n v="0"/>
  </r>
  <r>
    <x v="279"/>
    <x v="272"/>
    <m/>
    <x v="2"/>
    <s v="V18"/>
    <x v="2"/>
    <s v="H195"/>
    <m/>
    <m/>
    <m/>
    <m/>
    <n v="100"/>
    <x v="4"/>
    <m/>
    <m/>
    <n v="1"/>
    <n v="2.5000000000000001E-2"/>
    <n v="0.85"/>
    <n v="2.1250000000000002E-2"/>
    <n v="5740"/>
    <x v="9"/>
    <s v="TekNat"/>
    <x v="2"/>
    <n v="21634"/>
    <n v="26986"/>
    <n v="1114.3025"/>
    <n v="3400"/>
    <n v="85"/>
    <n v="1199.3025"/>
    <n v="0"/>
    <n v="0"/>
    <n v="0"/>
    <n v="0"/>
    <n v="0"/>
    <n v="0"/>
    <n v="0"/>
    <n v="0"/>
    <n v="1"/>
    <n v="0"/>
    <n v="0"/>
    <n v="0"/>
    <s v="Enligt SP 190924"/>
    <m/>
    <n v="0"/>
    <n v="0"/>
    <n v="0"/>
    <n v="0"/>
    <n v="0"/>
    <n v="0"/>
    <n v="0"/>
    <n v="0"/>
    <n v="0"/>
    <n v="0"/>
    <n v="0"/>
    <n v="0"/>
    <n v="0"/>
    <n v="0"/>
    <n v="0"/>
    <n v="0"/>
    <n v="2.5000000000000001E-2"/>
    <n v="2.1250000000000002E-2"/>
    <n v="0"/>
    <n v="0"/>
    <n v="0"/>
    <n v="0"/>
    <n v="0"/>
  </r>
  <r>
    <x v="279"/>
    <x v="272"/>
    <m/>
    <x v="3"/>
    <s v="H19"/>
    <x v="2"/>
    <s v="H195"/>
    <m/>
    <m/>
    <m/>
    <m/>
    <n v="100"/>
    <x v="4"/>
    <n v="-0.05"/>
    <n v="35"/>
    <n v="33.25"/>
    <n v="0.83125000000000004"/>
    <n v="0.85"/>
    <n v="0.70656249999999998"/>
    <n v="5740"/>
    <x v="9"/>
    <s v="TekNat"/>
    <x v="3"/>
    <n v="21634"/>
    <n v="26986"/>
    <n v="37050.558124999996"/>
    <n v="3400"/>
    <n v="2826.25"/>
    <n v="39876.808124999996"/>
    <n v="0"/>
    <n v="0"/>
    <n v="0"/>
    <n v="0"/>
    <n v="0"/>
    <n v="0"/>
    <n v="0"/>
    <n v="0"/>
    <n v="1"/>
    <n v="0"/>
    <n v="0"/>
    <n v="0"/>
    <s v="Prognostal"/>
    <m/>
    <n v="0"/>
    <n v="0"/>
    <n v="0"/>
    <n v="0"/>
    <n v="0"/>
    <n v="0"/>
    <n v="0"/>
    <n v="0"/>
    <n v="0"/>
    <n v="0"/>
    <n v="0"/>
    <n v="0"/>
    <n v="0"/>
    <n v="0"/>
    <n v="0"/>
    <n v="0"/>
    <n v="0.83125000000000004"/>
    <n v="0.70656249999999998"/>
    <n v="0"/>
    <n v="0"/>
    <n v="0"/>
    <n v="0"/>
    <n v="0"/>
  </r>
  <r>
    <x v="280"/>
    <x v="273"/>
    <m/>
    <x v="1"/>
    <s v="H17"/>
    <x v="2"/>
    <s v="H1913-16"/>
    <m/>
    <m/>
    <s v="BIOL"/>
    <m/>
    <n v="100"/>
    <x v="2"/>
    <m/>
    <m/>
    <n v="1"/>
    <n v="0.1"/>
    <n v="0.85"/>
    <n v="8.5000000000000006E-2"/>
    <n v="5740"/>
    <x v="9"/>
    <s v="TekNat"/>
    <x v="1"/>
    <n v="21634"/>
    <n v="26986"/>
    <n v="4457.21"/>
    <n v="3400"/>
    <n v="340"/>
    <n v="4797.21"/>
    <n v="0"/>
    <n v="0"/>
    <n v="0"/>
    <n v="0"/>
    <n v="0"/>
    <n v="0"/>
    <n v="0"/>
    <n v="0"/>
    <n v="1"/>
    <n v="0"/>
    <n v="0"/>
    <n v="0"/>
    <s v="Enligt SP 190924"/>
    <m/>
    <n v="0"/>
    <n v="0"/>
    <n v="0"/>
    <n v="0"/>
    <n v="0"/>
    <n v="0"/>
    <n v="0"/>
    <n v="0"/>
    <n v="0"/>
    <n v="0"/>
    <n v="0"/>
    <n v="0"/>
    <n v="0"/>
    <n v="0"/>
    <n v="0"/>
    <n v="0"/>
    <n v="0.1"/>
    <n v="8.5000000000000006E-2"/>
    <n v="0"/>
    <n v="0"/>
    <n v="0"/>
    <n v="0"/>
    <n v="0"/>
  </r>
  <r>
    <x v="280"/>
    <x v="273"/>
    <m/>
    <x v="1"/>
    <s v="H18"/>
    <x v="2"/>
    <s v="H1913-16"/>
    <m/>
    <m/>
    <s v="BIOL"/>
    <m/>
    <n v="100"/>
    <x v="2"/>
    <m/>
    <m/>
    <n v="3"/>
    <n v="0.30000000000000004"/>
    <n v="0.85"/>
    <n v="0.255"/>
    <n v="5740"/>
    <x v="9"/>
    <s v="TekNat"/>
    <x v="1"/>
    <n v="21634"/>
    <n v="26986"/>
    <n v="13371.630000000001"/>
    <n v="3400"/>
    <n v="1020.0000000000001"/>
    <n v="14391.630000000001"/>
    <n v="0"/>
    <n v="0"/>
    <n v="0"/>
    <n v="0"/>
    <n v="0"/>
    <n v="0"/>
    <n v="0"/>
    <n v="0"/>
    <n v="1"/>
    <n v="0"/>
    <n v="0"/>
    <n v="0"/>
    <s v="Enligt SP 190924"/>
    <m/>
    <n v="0"/>
    <n v="0"/>
    <n v="0"/>
    <n v="0"/>
    <n v="0"/>
    <n v="0"/>
    <n v="0"/>
    <n v="0"/>
    <n v="0"/>
    <n v="0"/>
    <n v="0"/>
    <n v="0"/>
    <n v="0"/>
    <n v="0"/>
    <n v="0"/>
    <n v="0"/>
    <n v="0.30000000000000004"/>
    <n v="0.255"/>
    <n v="0"/>
    <n v="0"/>
    <n v="0"/>
    <n v="0"/>
    <n v="0"/>
  </r>
  <r>
    <x v="281"/>
    <x v="274"/>
    <m/>
    <x v="1"/>
    <s v="H16"/>
    <x v="2"/>
    <s v="H1913-16"/>
    <m/>
    <m/>
    <s v="IDRH"/>
    <m/>
    <n v="100"/>
    <x v="2"/>
    <m/>
    <m/>
    <n v="1"/>
    <n v="0.1"/>
    <n v="0.85"/>
    <n v="8.5000000000000006E-2"/>
    <n v="2180"/>
    <x v="0"/>
    <s v="Sam"/>
    <x v="1"/>
    <n v="21634"/>
    <n v="26986"/>
    <n v="4457.21"/>
    <n v="3400"/>
    <n v="340"/>
    <n v="4797.21"/>
    <n v="0"/>
    <n v="0"/>
    <n v="0"/>
    <n v="0"/>
    <n v="0"/>
    <n v="0"/>
    <n v="0"/>
    <n v="0"/>
    <n v="1"/>
    <n v="0"/>
    <n v="0"/>
    <n v="0"/>
    <s v="Enligt SP 190924"/>
    <m/>
    <n v="0"/>
    <n v="0"/>
    <n v="0"/>
    <n v="0"/>
    <n v="0"/>
    <n v="0"/>
    <n v="0"/>
    <n v="0"/>
    <n v="0"/>
    <n v="0"/>
    <n v="0"/>
    <n v="0"/>
    <n v="0"/>
    <n v="0"/>
    <n v="0"/>
    <n v="0"/>
    <n v="0.1"/>
    <n v="8.5000000000000006E-2"/>
    <n v="0"/>
    <n v="0"/>
    <n v="0"/>
    <n v="0"/>
    <n v="0"/>
  </r>
  <r>
    <x v="281"/>
    <x v="274"/>
    <m/>
    <x v="1"/>
    <s v="H17"/>
    <x v="2"/>
    <s v="H1913-16"/>
    <m/>
    <m/>
    <s v="IDRH"/>
    <m/>
    <n v="100"/>
    <x v="2"/>
    <m/>
    <m/>
    <n v="16"/>
    <n v="1.6"/>
    <n v="0.85"/>
    <n v="1.36"/>
    <n v="2180"/>
    <x v="0"/>
    <s v="Sam"/>
    <x v="1"/>
    <n v="21634"/>
    <n v="26986"/>
    <n v="71315.360000000001"/>
    <n v="3400"/>
    <n v="5440"/>
    <n v="76755.360000000001"/>
    <n v="0"/>
    <n v="0"/>
    <n v="0"/>
    <n v="0"/>
    <n v="0"/>
    <n v="0"/>
    <n v="0"/>
    <n v="0"/>
    <n v="1"/>
    <n v="0"/>
    <n v="0"/>
    <n v="0"/>
    <s v="Enligt SP 190924"/>
    <m/>
    <n v="0"/>
    <n v="0"/>
    <n v="0"/>
    <n v="0"/>
    <n v="0"/>
    <n v="0"/>
    <n v="0"/>
    <n v="0"/>
    <n v="0"/>
    <n v="0"/>
    <n v="0"/>
    <n v="0"/>
    <n v="0"/>
    <n v="0"/>
    <n v="0"/>
    <n v="0"/>
    <n v="1.6"/>
    <n v="1.36"/>
    <n v="0"/>
    <n v="0"/>
    <n v="0"/>
    <n v="0"/>
    <n v="0"/>
  </r>
  <r>
    <x v="282"/>
    <x v="275"/>
    <m/>
    <x v="1"/>
    <s v="H16"/>
    <x v="2"/>
    <s v="H1913-16"/>
    <m/>
    <m/>
    <s v="SAMK"/>
    <m/>
    <n v="100"/>
    <x v="2"/>
    <m/>
    <m/>
    <n v="2"/>
    <n v="0.2"/>
    <n v="0.85"/>
    <n v="0.17"/>
    <n v="2180"/>
    <x v="0"/>
    <s v="Sam"/>
    <x v="1"/>
    <n v="21634"/>
    <n v="26986"/>
    <n v="8914.42"/>
    <n v="3400"/>
    <n v="680"/>
    <n v="9594.42"/>
    <n v="0"/>
    <n v="0"/>
    <n v="0"/>
    <n v="0"/>
    <n v="0"/>
    <n v="0"/>
    <n v="0"/>
    <n v="0"/>
    <n v="1"/>
    <n v="0"/>
    <n v="0"/>
    <n v="0"/>
    <s v="Enligt SP 190924"/>
    <m/>
    <n v="0"/>
    <n v="0"/>
    <n v="0"/>
    <n v="0"/>
    <n v="0"/>
    <n v="0"/>
    <n v="0"/>
    <n v="0"/>
    <n v="0"/>
    <n v="0"/>
    <n v="0"/>
    <n v="0"/>
    <n v="0"/>
    <n v="0"/>
    <n v="0"/>
    <n v="0"/>
    <n v="0.2"/>
    <n v="0.17"/>
    <n v="0"/>
    <n v="0"/>
    <n v="0"/>
    <n v="0"/>
    <n v="0"/>
  </r>
  <r>
    <x v="282"/>
    <x v="275"/>
    <m/>
    <x v="1"/>
    <s v="H17"/>
    <x v="2"/>
    <s v="H1913-16"/>
    <m/>
    <m/>
    <s v="SAMK"/>
    <m/>
    <n v="100"/>
    <x v="2"/>
    <m/>
    <m/>
    <n v="6"/>
    <n v="0.60000000000000009"/>
    <n v="0.85"/>
    <n v="0.51"/>
    <n v="2180"/>
    <x v="0"/>
    <s v="Sam"/>
    <x v="1"/>
    <n v="21634"/>
    <n v="26986"/>
    <n v="26743.260000000002"/>
    <n v="3400"/>
    <n v="2040.0000000000002"/>
    <n v="28783.260000000002"/>
    <n v="0"/>
    <n v="0"/>
    <n v="0"/>
    <n v="0"/>
    <n v="0"/>
    <n v="0"/>
    <n v="0"/>
    <n v="0"/>
    <n v="1"/>
    <n v="0"/>
    <n v="0"/>
    <n v="0"/>
    <s v="Enligt SP 190924"/>
    <m/>
    <n v="0"/>
    <n v="0"/>
    <n v="0"/>
    <n v="0"/>
    <n v="0"/>
    <n v="0"/>
    <n v="0"/>
    <n v="0"/>
    <n v="0"/>
    <n v="0"/>
    <n v="0"/>
    <n v="0"/>
    <n v="0"/>
    <n v="0"/>
    <n v="0"/>
    <n v="0"/>
    <n v="0.60000000000000009"/>
    <n v="0.51"/>
    <n v="0"/>
    <n v="0"/>
    <n v="0"/>
    <n v="0"/>
    <n v="0"/>
  </r>
  <r>
    <x v="283"/>
    <x v="276"/>
    <m/>
    <x v="0"/>
    <m/>
    <x v="0"/>
    <s v="Sommarkurs"/>
    <m/>
    <s v="Campus"/>
    <m/>
    <m/>
    <n v="50"/>
    <x v="0"/>
    <m/>
    <m/>
    <n v="22"/>
    <n v="2.75"/>
    <n v="0.8"/>
    <n v="2.2000000000000002"/>
    <n v="2180"/>
    <x v="0"/>
    <s v="Sam"/>
    <x v="0"/>
    <n v="18405"/>
    <n v="15773"/>
    <n v="85314.35"/>
    <n v="5800"/>
    <n v="15950"/>
    <n v="101264.35"/>
    <n v="0"/>
    <n v="0"/>
    <n v="0"/>
    <n v="0"/>
    <n v="0"/>
    <n v="0"/>
    <n v="1"/>
    <n v="0"/>
    <n v="0"/>
    <n v="0"/>
    <n v="0"/>
    <n v="0"/>
    <s v="Äskat - Beslut p43 180607"/>
    <m/>
    <n v="0"/>
    <n v="0"/>
    <n v="0"/>
    <n v="0"/>
    <n v="0"/>
    <n v="0"/>
    <n v="0"/>
    <n v="0"/>
    <n v="0"/>
    <n v="0"/>
    <n v="0"/>
    <n v="0"/>
    <n v="2.75"/>
    <n v="2.2000000000000002"/>
    <n v="0"/>
    <n v="0"/>
    <n v="0"/>
    <n v="0"/>
    <n v="0"/>
    <n v="0"/>
    <n v="0"/>
    <n v="0"/>
    <n v="0"/>
  </r>
  <r>
    <x v="284"/>
    <x v="277"/>
    <m/>
    <x v="0"/>
    <m/>
    <x v="1"/>
    <m/>
    <m/>
    <s v="Campus"/>
    <m/>
    <m/>
    <n v="50"/>
    <x v="0"/>
    <m/>
    <m/>
    <n v="1"/>
    <n v="0.125"/>
    <n v="0.8"/>
    <n v="0.1"/>
    <n v="2180"/>
    <x v="0"/>
    <s v="Sam"/>
    <x v="0"/>
    <n v="18405"/>
    <n v="15773"/>
    <n v="3877.9250000000002"/>
    <n v="5800"/>
    <n v="725"/>
    <n v="4602.9250000000002"/>
    <n v="0"/>
    <n v="0"/>
    <n v="0"/>
    <n v="0"/>
    <n v="0"/>
    <n v="0"/>
    <n v="1"/>
    <n v="0"/>
    <n v="0"/>
    <n v="0"/>
    <n v="0"/>
    <n v="0"/>
    <s v="Äskat - Beslut p43 180607"/>
    <m/>
    <n v="0"/>
    <n v="0"/>
    <n v="0"/>
    <n v="0"/>
    <n v="0"/>
    <n v="0"/>
    <n v="0"/>
    <n v="0"/>
    <n v="0"/>
    <n v="0"/>
    <n v="0"/>
    <n v="0"/>
    <n v="0.125"/>
    <n v="0.1"/>
    <n v="0"/>
    <n v="0"/>
    <n v="0"/>
    <n v="0"/>
    <n v="0"/>
    <n v="0"/>
    <n v="0"/>
    <n v="0"/>
    <n v="0"/>
  </r>
  <r>
    <x v="285"/>
    <x v="278"/>
    <m/>
    <x v="0"/>
    <m/>
    <x v="1"/>
    <m/>
    <m/>
    <s v="Distans"/>
    <m/>
    <m/>
    <n v="50"/>
    <x v="1"/>
    <m/>
    <m/>
    <n v="60"/>
    <n v="15"/>
    <n v="0.8"/>
    <n v="12"/>
    <n v="2193"/>
    <x v="1"/>
    <s v="Sam"/>
    <x v="0"/>
    <n v="18405"/>
    <n v="15773"/>
    <n v="465351"/>
    <n v="5800"/>
    <n v="87000"/>
    <n v="552351"/>
    <n v="0"/>
    <n v="0"/>
    <n v="0"/>
    <n v="0"/>
    <n v="0"/>
    <n v="0"/>
    <n v="1"/>
    <n v="0"/>
    <n v="0"/>
    <n v="0"/>
    <n v="0"/>
    <n v="0"/>
    <s v="Enl Ladok 190318"/>
    <s v="Äskat - Beslut p43 180607"/>
    <n v="0"/>
    <n v="0"/>
    <n v="0"/>
    <n v="0"/>
    <n v="0"/>
    <n v="0"/>
    <n v="0"/>
    <n v="0"/>
    <n v="0"/>
    <n v="0"/>
    <n v="0"/>
    <n v="0"/>
    <n v="15"/>
    <n v="12"/>
    <n v="0"/>
    <n v="0"/>
    <n v="0"/>
    <n v="0"/>
    <n v="0"/>
    <n v="0"/>
    <n v="0"/>
    <n v="0"/>
    <n v="0"/>
  </r>
  <r>
    <x v="285"/>
    <x v="278"/>
    <m/>
    <x v="0"/>
    <m/>
    <x v="2"/>
    <m/>
    <m/>
    <s v="Distans"/>
    <m/>
    <m/>
    <n v="50"/>
    <x v="1"/>
    <m/>
    <m/>
    <n v="50"/>
    <n v="12.5"/>
    <n v="0.8"/>
    <n v="10"/>
    <n v="2193"/>
    <x v="1"/>
    <s v="Sam"/>
    <x v="0"/>
    <n v="18405"/>
    <n v="15773"/>
    <n v="387792.5"/>
    <n v="5800"/>
    <n v="72500"/>
    <n v="460292.5"/>
    <n v="0"/>
    <n v="0"/>
    <n v="0"/>
    <n v="0"/>
    <n v="0"/>
    <n v="0"/>
    <n v="1"/>
    <n v="0"/>
    <n v="0"/>
    <n v="0"/>
    <n v="0"/>
    <n v="0"/>
    <s v="Äskat - Beslut p43 180607"/>
    <m/>
    <n v="0"/>
    <n v="0"/>
    <n v="0"/>
    <n v="0"/>
    <n v="0"/>
    <n v="0"/>
    <n v="0"/>
    <n v="0"/>
    <n v="0"/>
    <n v="0"/>
    <n v="0"/>
    <n v="0"/>
    <n v="12.5"/>
    <n v="10"/>
    <n v="0"/>
    <n v="0"/>
    <n v="0"/>
    <n v="0"/>
    <n v="0"/>
    <n v="0"/>
    <n v="0"/>
    <n v="0"/>
    <n v="0"/>
  </r>
  <r>
    <x v="286"/>
    <x v="279"/>
    <m/>
    <x v="0"/>
    <m/>
    <x v="1"/>
    <m/>
    <m/>
    <s v="Distans"/>
    <m/>
    <m/>
    <n v="25"/>
    <x v="0"/>
    <m/>
    <m/>
    <n v="45"/>
    <n v="5.625"/>
    <n v="0.8"/>
    <n v="4.5"/>
    <n v="2193"/>
    <x v="1"/>
    <s v="Sam"/>
    <x v="0"/>
    <n v="18405"/>
    <n v="15773"/>
    <n v="174506.625"/>
    <n v="5800"/>
    <n v="32625"/>
    <n v="207131.625"/>
    <n v="0"/>
    <n v="0"/>
    <n v="0"/>
    <n v="0"/>
    <n v="0"/>
    <n v="0"/>
    <n v="1"/>
    <n v="0"/>
    <n v="0"/>
    <n v="0"/>
    <n v="0"/>
    <n v="0"/>
    <s v="Enl Ladok 190318"/>
    <s v="Äskat - Beslut p43 180607"/>
    <n v="0"/>
    <n v="0"/>
    <n v="0"/>
    <n v="0"/>
    <n v="0"/>
    <n v="0"/>
    <n v="0"/>
    <n v="0"/>
    <n v="0"/>
    <n v="0"/>
    <n v="0"/>
    <n v="0"/>
    <n v="5.625"/>
    <n v="4.5"/>
    <n v="0"/>
    <n v="0"/>
    <n v="0"/>
    <n v="0"/>
    <n v="0"/>
    <n v="0"/>
    <n v="0"/>
    <n v="0"/>
    <n v="0"/>
  </r>
  <r>
    <x v="286"/>
    <x v="279"/>
    <m/>
    <x v="0"/>
    <m/>
    <x v="2"/>
    <m/>
    <m/>
    <s v="Distans"/>
    <m/>
    <m/>
    <n v="25"/>
    <x v="0"/>
    <m/>
    <m/>
    <n v="50"/>
    <n v="6.25"/>
    <n v="0.8"/>
    <n v="5"/>
    <n v="2193"/>
    <x v="1"/>
    <s v="Sam"/>
    <x v="0"/>
    <n v="18405"/>
    <n v="15773"/>
    <n v="193896.25"/>
    <n v="5800"/>
    <n v="36250"/>
    <n v="230146.25"/>
    <n v="0"/>
    <n v="0"/>
    <n v="0"/>
    <n v="0"/>
    <n v="0"/>
    <n v="0"/>
    <n v="1"/>
    <n v="0"/>
    <n v="0"/>
    <n v="0"/>
    <n v="0"/>
    <n v="0"/>
    <s v="Äskat - Beslut p43 180607"/>
    <m/>
    <n v="0"/>
    <n v="0"/>
    <n v="0"/>
    <n v="0"/>
    <n v="0"/>
    <n v="0"/>
    <n v="0"/>
    <n v="0"/>
    <n v="0"/>
    <n v="0"/>
    <n v="0"/>
    <n v="0"/>
    <n v="6.25"/>
    <n v="5"/>
    <n v="0"/>
    <n v="0"/>
    <n v="0"/>
    <n v="0"/>
    <n v="0"/>
    <n v="0"/>
    <n v="0"/>
    <n v="0"/>
    <n v="0"/>
  </r>
  <r>
    <x v="287"/>
    <x v="280"/>
    <m/>
    <x v="11"/>
    <s v="H18"/>
    <x v="2"/>
    <s v="H196-15"/>
    <m/>
    <m/>
    <s v="MAGG"/>
    <m/>
    <n v="100"/>
    <x v="1"/>
    <m/>
    <m/>
    <n v="8"/>
    <n v="2"/>
    <n v="0.85"/>
    <n v="1.7"/>
    <n v="5740"/>
    <x v="9"/>
    <s v="TekNat"/>
    <x v="11"/>
    <n v="19473"/>
    <n v="34806"/>
    <n v="98116.2"/>
    <n v="21800"/>
    <n v="43600"/>
    <n v="141716.20000000001"/>
    <n v="0"/>
    <n v="0"/>
    <n v="0"/>
    <n v="0"/>
    <n v="0"/>
    <n v="1"/>
    <n v="0"/>
    <n v="0"/>
    <n v="0"/>
    <n v="0"/>
    <n v="0"/>
    <n v="0"/>
    <s v="Enligt SP 190924"/>
    <m/>
    <n v="0"/>
    <n v="0"/>
    <n v="0"/>
    <n v="0"/>
    <n v="0"/>
    <n v="0"/>
    <n v="0"/>
    <n v="0"/>
    <n v="0"/>
    <n v="0"/>
    <n v="2"/>
    <n v="1.7"/>
    <n v="0"/>
    <n v="0"/>
    <n v="0"/>
    <n v="0"/>
    <n v="0"/>
    <n v="0"/>
    <n v="0"/>
    <n v="0"/>
    <n v="0"/>
    <n v="0"/>
    <n v="0"/>
  </r>
  <r>
    <x v="288"/>
    <x v="281"/>
    <m/>
    <x v="0"/>
    <m/>
    <x v="2"/>
    <m/>
    <m/>
    <s v="Distans"/>
    <m/>
    <m/>
    <n v="50"/>
    <x v="1"/>
    <m/>
    <m/>
    <n v="30"/>
    <n v="7.5"/>
    <n v="0.8"/>
    <n v="6"/>
    <n v="2193"/>
    <x v="1"/>
    <s v="Sam"/>
    <x v="0"/>
    <n v="18405"/>
    <n v="15773"/>
    <n v="232675.5"/>
    <n v="5800"/>
    <n v="43500"/>
    <n v="276175.5"/>
    <n v="0"/>
    <n v="0"/>
    <n v="0"/>
    <n v="0"/>
    <n v="0"/>
    <n v="0"/>
    <n v="1"/>
    <n v="0"/>
    <n v="0"/>
    <n v="0"/>
    <n v="0"/>
    <n v="0"/>
    <s v="Kompl.äskande se Beslut p7 190121"/>
    <m/>
    <n v="0"/>
    <n v="0"/>
    <n v="0"/>
    <n v="0"/>
    <n v="0"/>
    <n v="0"/>
    <n v="0"/>
    <n v="0"/>
    <n v="0"/>
    <n v="0"/>
    <n v="0"/>
    <n v="0"/>
    <n v="7.5"/>
    <n v="6"/>
    <n v="0"/>
    <n v="0"/>
    <n v="0"/>
    <n v="0"/>
    <n v="0"/>
    <n v="0"/>
    <n v="0"/>
    <n v="0"/>
    <n v="0"/>
  </r>
  <r>
    <x v="289"/>
    <x v="282"/>
    <m/>
    <x v="13"/>
    <s v="H12"/>
    <x v="2"/>
    <s v="H1916-20"/>
    <m/>
    <m/>
    <m/>
    <m/>
    <n v="100"/>
    <x v="0"/>
    <m/>
    <m/>
    <n v="1"/>
    <n v="0.125"/>
    <n v="0.85"/>
    <n v="0.10625"/>
    <n v="5740"/>
    <x v="9"/>
    <s v="TekNat"/>
    <x v="13"/>
    <n v="19473"/>
    <n v="34806"/>
    <n v="6132.2624999999998"/>
    <n v="21800"/>
    <n v="2725"/>
    <n v="8857.2625000000007"/>
    <n v="0"/>
    <n v="0"/>
    <n v="0"/>
    <n v="0"/>
    <n v="0"/>
    <n v="1"/>
    <n v="0"/>
    <n v="0"/>
    <n v="0"/>
    <n v="0"/>
    <n v="0"/>
    <n v="0"/>
    <s v="Enligt SP 190924"/>
    <m/>
    <n v="0"/>
    <n v="0"/>
    <n v="0"/>
    <n v="0"/>
    <n v="0"/>
    <n v="0"/>
    <n v="0"/>
    <n v="0"/>
    <n v="0"/>
    <n v="0"/>
    <n v="0.125"/>
    <n v="0.10625"/>
    <n v="0"/>
    <n v="0"/>
    <n v="0"/>
    <n v="0"/>
    <n v="0"/>
    <n v="0"/>
    <n v="0"/>
    <n v="0"/>
    <n v="0"/>
    <n v="0"/>
    <n v="0"/>
  </r>
  <r>
    <x v="289"/>
    <x v="282"/>
    <m/>
    <x v="13"/>
    <s v="H18"/>
    <x v="2"/>
    <s v="H1916-20"/>
    <m/>
    <m/>
    <m/>
    <m/>
    <n v="100"/>
    <x v="0"/>
    <m/>
    <m/>
    <n v="35"/>
    <n v="4.375"/>
    <n v="0.85"/>
    <n v="3.71875"/>
    <n v="5740"/>
    <x v="9"/>
    <s v="TekNat"/>
    <x v="13"/>
    <n v="19473"/>
    <n v="34806"/>
    <n v="214629.1875"/>
    <n v="21800"/>
    <n v="95375"/>
    <n v="310004.1875"/>
    <n v="0"/>
    <n v="0"/>
    <n v="0"/>
    <n v="0"/>
    <n v="0"/>
    <n v="1"/>
    <n v="0"/>
    <n v="0"/>
    <n v="0"/>
    <n v="0"/>
    <n v="0"/>
    <n v="0"/>
    <s v="Enligt SP 190924"/>
    <m/>
    <n v="0"/>
    <n v="0"/>
    <n v="0"/>
    <n v="0"/>
    <n v="0"/>
    <n v="0"/>
    <n v="0"/>
    <n v="0"/>
    <n v="0"/>
    <n v="0"/>
    <n v="4.375"/>
    <n v="3.71875"/>
    <n v="0"/>
    <n v="0"/>
    <n v="0"/>
    <n v="0"/>
    <n v="0"/>
    <n v="0"/>
    <n v="0"/>
    <n v="0"/>
    <n v="0"/>
    <n v="0"/>
    <n v="0"/>
  </r>
  <r>
    <x v="289"/>
    <x v="282"/>
    <m/>
    <x v="11"/>
    <s v="H18"/>
    <x v="2"/>
    <s v="H1916-20"/>
    <m/>
    <m/>
    <s v="UTGG"/>
    <m/>
    <n v="100"/>
    <x v="0"/>
    <m/>
    <m/>
    <n v="3"/>
    <n v="0.375"/>
    <n v="0.85"/>
    <n v="0.31874999999999998"/>
    <n v="5740"/>
    <x v="9"/>
    <s v="TekNat"/>
    <x v="11"/>
    <n v="19473"/>
    <n v="34806"/>
    <n v="18396.787499999999"/>
    <n v="21800"/>
    <n v="8175"/>
    <n v="26571.787499999999"/>
    <n v="0"/>
    <n v="0"/>
    <n v="0"/>
    <n v="0"/>
    <n v="0"/>
    <n v="1"/>
    <n v="0"/>
    <n v="0"/>
    <n v="0"/>
    <n v="0"/>
    <n v="0"/>
    <n v="0"/>
    <s v="Enligt SP 190924"/>
    <m/>
    <n v="0"/>
    <n v="0"/>
    <n v="0"/>
    <n v="0"/>
    <n v="0"/>
    <n v="0"/>
    <n v="0"/>
    <n v="0"/>
    <n v="0"/>
    <n v="0"/>
    <n v="0.375"/>
    <n v="0.31874999999999998"/>
    <n v="0"/>
    <n v="0"/>
    <n v="0"/>
    <n v="0"/>
    <n v="0"/>
    <n v="0"/>
    <n v="0"/>
    <n v="0"/>
    <n v="0"/>
    <n v="0"/>
    <n v="0"/>
  </r>
  <r>
    <x v="290"/>
    <x v="283"/>
    <m/>
    <x v="11"/>
    <s v="H18"/>
    <x v="2"/>
    <s v="H1916-20"/>
    <m/>
    <m/>
    <s v="SVGG"/>
    <m/>
    <n v="100"/>
    <x v="0"/>
    <m/>
    <m/>
    <n v="16"/>
    <n v="2"/>
    <n v="0.85"/>
    <n v="1.7"/>
    <n v="5740"/>
    <x v="9"/>
    <s v="TekNat"/>
    <x v="11"/>
    <n v="19473"/>
    <n v="34806"/>
    <n v="98116.2"/>
    <n v="21800"/>
    <n v="43600"/>
    <n v="141716.20000000001"/>
    <n v="0"/>
    <n v="0"/>
    <n v="0"/>
    <n v="0"/>
    <n v="0"/>
    <n v="1"/>
    <n v="0"/>
    <n v="0"/>
    <n v="0"/>
    <n v="0"/>
    <n v="0"/>
    <n v="0"/>
    <s v="Enligt SP 190924"/>
    <m/>
    <n v="0"/>
    <n v="0"/>
    <n v="0"/>
    <n v="0"/>
    <n v="0"/>
    <n v="0"/>
    <n v="0"/>
    <n v="0"/>
    <n v="0"/>
    <n v="0"/>
    <n v="2"/>
    <n v="1.7"/>
    <n v="0"/>
    <n v="0"/>
    <n v="0"/>
    <n v="0"/>
    <n v="0"/>
    <n v="0"/>
    <n v="0"/>
    <n v="0"/>
    <n v="0"/>
    <n v="0"/>
    <n v="0"/>
  </r>
  <r>
    <x v="291"/>
    <x v="284"/>
    <m/>
    <x v="5"/>
    <s v="H18"/>
    <x v="1"/>
    <s v="V1910-20"/>
    <s v="Umeå"/>
    <m/>
    <m/>
    <m/>
    <n v="50"/>
    <x v="10"/>
    <m/>
    <m/>
    <n v="15"/>
    <n v="2.5"/>
    <n v="0.85"/>
    <n v="2.125"/>
    <n v="2180"/>
    <x v="0"/>
    <s v="Sam"/>
    <x v="5"/>
    <n v="23641"/>
    <n v="28786"/>
    <n v="120272.75"/>
    <n v="5800"/>
    <n v="14500"/>
    <n v="134772.75"/>
    <n v="0"/>
    <n v="0"/>
    <n v="0"/>
    <n v="1"/>
    <n v="0"/>
    <n v="0"/>
    <n v="0"/>
    <n v="0"/>
    <n v="0"/>
    <n v="0"/>
    <n v="0"/>
    <n v="0"/>
    <s v="Enl Ladok 190523"/>
    <m/>
    <n v="0"/>
    <n v="0"/>
    <n v="0"/>
    <n v="0"/>
    <n v="0"/>
    <n v="0"/>
    <n v="2.5"/>
    <n v="2.125"/>
    <n v="0"/>
    <n v="0"/>
    <n v="0"/>
    <n v="0"/>
    <n v="0"/>
    <n v="0"/>
    <n v="0"/>
    <n v="0"/>
    <n v="0"/>
    <n v="0"/>
    <n v="0"/>
    <n v="0"/>
    <n v="0"/>
    <n v="0"/>
    <n v="0"/>
  </r>
  <r>
    <x v="291"/>
    <x v="284"/>
    <m/>
    <x v="6"/>
    <s v="H18"/>
    <x v="1"/>
    <s v="V1910-20"/>
    <s v="Umeå"/>
    <m/>
    <m/>
    <m/>
    <n v="50"/>
    <x v="10"/>
    <m/>
    <m/>
    <n v="7"/>
    <n v="1.1666666666666665"/>
    <n v="0.85"/>
    <n v="0.99166666666666647"/>
    <n v="2180"/>
    <x v="0"/>
    <s v="Sam"/>
    <x v="6"/>
    <n v="23641"/>
    <n v="28786"/>
    <n v="56127.283333333326"/>
    <n v="5800"/>
    <n v="6766.6666666666661"/>
    <n v="62893.94999999999"/>
    <n v="0"/>
    <n v="0"/>
    <n v="0"/>
    <n v="1"/>
    <n v="0"/>
    <n v="0"/>
    <n v="0"/>
    <n v="0"/>
    <n v="0"/>
    <n v="0"/>
    <n v="0"/>
    <n v="0"/>
    <s v="Enl Ladok 190523"/>
    <m/>
    <n v="0"/>
    <n v="0"/>
    <n v="0"/>
    <n v="0"/>
    <n v="0"/>
    <n v="0"/>
    <n v="1.1666666666666665"/>
    <n v="0.99166666666666647"/>
    <n v="0"/>
    <n v="0"/>
    <n v="0"/>
    <n v="0"/>
    <n v="0"/>
    <n v="0"/>
    <n v="0"/>
    <n v="0"/>
    <n v="0"/>
    <n v="0"/>
    <n v="0"/>
    <n v="0"/>
    <n v="0"/>
    <n v="0"/>
    <n v="0"/>
  </r>
  <r>
    <x v="291"/>
    <x v="284"/>
    <m/>
    <x v="9"/>
    <s v="H18"/>
    <x v="1"/>
    <s v="V1910-20"/>
    <s v="Umeå"/>
    <m/>
    <m/>
    <m/>
    <n v="50"/>
    <x v="10"/>
    <m/>
    <m/>
    <n v="44"/>
    <n v="7.333333333333333"/>
    <n v="0.85"/>
    <n v="6.2333333333333325"/>
    <n v="2180"/>
    <x v="0"/>
    <s v="Sam"/>
    <x v="9"/>
    <n v="23641"/>
    <n v="28786"/>
    <n v="352800.06666666665"/>
    <n v="5800"/>
    <n v="42533.333333333328"/>
    <n v="395333.39999999997"/>
    <n v="0"/>
    <n v="0"/>
    <n v="0"/>
    <n v="1"/>
    <n v="0"/>
    <n v="0"/>
    <n v="0"/>
    <n v="0"/>
    <n v="0"/>
    <n v="0"/>
    <n v="0"/>
    <n v="0"/>
    <s v="Enl Ladok 190523"/>
    <m/>
    <n v="0"/>
    <n v="0"/>
    <n v="0"/>
    <n v="0"/>
    <n v="0"/>
    <n v="0"/>
    <n v="7.333333333333333"/>
    <n v="6.2333333333333325"/>
    <n v="0"/>
    <n v="0"/>
    <n v="0"/>
    <n v="0"/>
    <n v="0"/>
    <n v="0"/>
    <n v="0"/>
    <n v="0"/>
    <n v="0"/>
    <n v="0"/>
    <n v="0"/>
    <n v="0"/>
    <n v="0"/>
    <n v="0"/>
    <n v="0"/>
  </r>
  <r>
    <x v="292"/>
    <x v="285"/>
    <m/>
    <x v="1"/>
    <s v="H16"/>
    <x v="2"/>
    <s v="H191-20"/>
    <m/>
    <m/>
    <s v="SAMK"/>
    <m/>
    <n v="100"/>
    <x v="7"/>
    <m/>
    <m/>
    <n v="1"/>
    <n v="0.5"/>
    <n v="0.85"/>
    <n v="0.42499999999999999"/>
    <n v="1630"/>
    <x v="12"/>
    <s v="Hum"/>
    <x v="1"/>
    <n v="18405"/>
    <n v="15773"/>
    <n v="15906.025"/>
    <n v="5800"/>
    <n v="2900"/>
    <n v="18806.025000000001"/>
    <n v="0"/>
    <n v="1"/>
    <n v="0"/>
    <n v="0"/>
    <n v="0"/>
    <n v="0"/>
    <n v="0"/>
    <n v="0"/>
    <n v="0"/>
    <n v="0"/>
    <n v="0"/>
    <n v="0"/>
    <s v="Enligt SP 190924"/>
    <m/>
    <n v="0"/>
    <n v="0"/>
    <n v="0.5"/>
    <n v="0.42499999999999999"/>
    <n v="0"/>
    <n v="0"/>
    <n v="0"/>
    <n v="0"/>
    <n v="0"/>
    <n v="0"/>
    <n v="0"/>
    <n v="0"/>
    <n v="0"/>
    <n v="0"/>
    <n v="0"/>
    <n v="0"/>
    <n v="0"/>
    <n v="0"/>
    <n v="0"/>
    <n v="0"/>
    <n v="0"/>
    <n v="0"/>
    <n v="0"/>
  </r>
  <r>
    <x v="292"/>
    <x v="285"/>
    <m/>
    <x v="1"/>
    <s v="H16"/>
    <x v="2"/>
    <s v="H191-20"/>
    <m/>
    <m/>
    <s v="SVAA"/>
    <m/>
    <n v="100"/>
    <x v="7"/>
    <m/>
    <m/>
    <n v="1"/>
    <n v="0.5"/>
    <n v="0.85"/>
    <n v="0.42499999999999999"/>
    <n v="1630"/>
    <x v="12"/>
    <s v="Hum"/>
    <x v="1"/>
    <n v="18405"/>
    <n v="15773"/>
    <n v="15906.025"/>
    <n v="5800"/>
    <n v="2900"/>
    <n v="18806.025000000001"/>
    <n v="0"/>
    <n v="1"/>
    <n v="0"/>
    <n v="0"/>
    <n v="0"/>
    <n v="0"/>
    <n v="0"/>
    <n v="0"/>
    <n v="0"/>
    <n v="0"/>
    <n v="0"/>
    <n v="0"/>
    <s v="Enligt SP 190924"/>
    <m/>
    <n v="0"/>
    <n v="0"/>
    <n v="0.5"/>
    <n v="0.42499999999999999"/>
    <n v="0"/>
    <n v="0"/>
    <n v="0"/>
    <n v="0"/>
    <n v="0"/>
    <n v="0"/>
    <n v="0"/>
    <n v="0"/>
    <n v="0"/>
    <n v="0"/>
    <n v="0"/>
    <n v="0"/>
    <n v="0"/>
    <n v="0"/>
    <n v="0"/>
    <n v="0"/>
    <n v="0"/>
    <n v="0"/>
    <n v="0"/>
  </r>
  <r>
    <x v="293"/>
    <x v="286"/>
    <m/>
    <x v="1"/>
    <s v="H12"/>
    <x v="1"/>
    <s v="H1816-20:V191-15"/>
    <s v="Umeå"/>
    <m/>
    <s v="HIST"/>
    <m/>
    <n v="100"/>
    <x v="6"/>
    <m/>
    <m/>
    <n v="1"/>
    <n v="0.375"/>
    <n v="0.85"/>
    <n v="0.31874999999999998"/>
    <n v="1630"/>
    <x v="12"/>
    <s v="Hum"/>
    <x v="1"/>
    <n v="18405"/>
    <n v="15773"/>
    <n v="11929.518749999999"/>
    <n v="5800"/>
    <n v="2175"/>
    <n v="14104.518749999999"/>
    <n v="0"/>
    <n v="1"/>
    <n v="0"/>
    <n v="0"/>
    <n v="0"/>
    <n v="0"/>
    <n v="0"/>
    <n v="0"/>
    <n v="0"/>
    <n v="0"/>
    <n v="0"/>
    <n v="0"/>
    <s v="Enl Ladok 190318"/>
    <s v="Läser 22,5 av 30 hp denna termin"/>
    <n v="0"/>
    <n v="0"/>
    <n v="0.375"/>
    <n v="0.31874999999999998"/>
    <n v="0"/>
    <n v="0"/>
    <n v="0"/>
    <n v="0"/>
    <n v="0"/>
    <n v="0"/>
    <n v="0"/>
    <n v="0"/>
    <n v="0"/>
    <n v="0"/>
    <n v="0"/>
    <n v="0"/>
    <n v="0"/>
    <n v="0"/>
    <n v="0"/>
    <n v="0"/>
    <n v="0"/>
    <n v="0"/>
    <n v="0"/>
  </r>
  <r>
    <x v="293"/>
    <x v="286"/>
    <m/>
    <x v="1"/>
    <s v="H14"/>
    <x v="1"/>
    <s v="H1816-20:V191-15"/>
    <s v="Umeå"/>
    <m/>
    <s v="RELK"/>
    <m/>
    <n v="100"/>
    <x v="6"/>
    <m/>
    <m/>
    <n v="2"/>
    <n v="0.75"/>
    <n v="0.85"/>
    <n v="0.63749999999999996"/>
    <n v="1630"/>
    <x v="12"/>
    <s v="Hum"/>
    <x v="1"/>
    <n v="18405"/>
    <n v="15773"/>
    <n v="23859.037499999999"/>
    <n v="5800"/>
    <n v="4350"/>
    <n v="28209.037499999999"/>
    <n v="0"/>
    <n v="1"/>
    <n v="0"/>
    <n v="0"/>
    <n v="0"/>
    <n v="0"/>
    <n v="0"/>
    <n v="0"/>
    <n v="0"/>
    <n v="0"/>
    <n v="0"/>
    <n v="0"/>
    <s v="Enl Ladok 190318"/>
    <s v="Läser 22,5 av 30 hp denna termin"/>
    <n v="0"/>
    <n v="0"/>
    <n v="0.75"/>
    <n v="0.63749999999999996"/>
    <n v="0"/>
    <n v="0"/>
    <n v="0"/>
    <n v="0"/>
    <n v="0"/>
    <n v="0"/>
    <n v="0"/>
    <n v="0"/>
    <n v="0"/>
    <n v="0"/>
    <n v="0"/>
    <n v="0"/>
    <n v="0"/>
    <n v="0"/>
    <n v="0"/>
    <n v="0"/>
    <n v="0"/>
    <n v="0"/>
    <n v="0"/>
  </r>
  <r>
    <x v="293"/>
    <x v="286"/>
    <m/>
    <x v="1"/>
    <s v="H15"/>
    <x v="1"/>
    <s v="H1816-20:V191-15"/>
    <s v="Umeå"/>
    <m/>
    <s v="ENGS"/>
    <m/>
    <n v="100"/>
    <x v="6"/>
    <m/>
    <m/>
    <n v="1"/>
    <n v="0.375"/>
    <n v="0.85"/>
    <n v="0.31874999999999998"/>
    <n v="1630"/>
    <x v="12"/>
    <s v="Hum"/>
    <x v="1"/>
    <n v="18405"/>
    <n v="15773"/>
    <n v="11929.518749999999"/>
    <n v="5800"/>
    <n v="2175"/>
    <n v="14104.518749999999"/>
    <n v="0"/>
    <n v="1"/>
    <n v="0"/>
    <n v="0"/>
    <n v="0"/>
    <n v="0"/>
    <n v="0"/>
    <n v="0"/>
    <n v="0"/>
    <n v="0"/>
    <n v="0"/>
    <n v="0"/>
    <s v="Enl Ladok 190318"/>
    <s v="Läser 22,5 av 30 hp denna termin"/>
    <n v="0"/>
    <n v="0"/>
    <n v="0.375"/>
    <n v="0.31874999999999998"/>
    <n v="0"/>
    <n v="0"/>
    <n v="0"/>
    <n v="0"/>
    <n v="0"/>
    <n v="0"/>
    <n v="0"/>
    <n v="0"/>
    <n v="0"/>
    <n v="0"/>
    <n v="0"/>
    <n v="0"/>
    <n v="0"/>
    <n v="0"/>
    <n v="0"/>
    <n v="0"/>
    <n v="0"/>
    <n v="0"/>
    <n v="0"/>
  </r>
  <r>
    <x v="293"/>
    <x v="286"/>
    <m/>
    <x v="1"/>
    <s v="H15"/>
    <x v="2"/>
    <s v="H1916-20:V201-15"/>
    <m/>
    <m/>
    <s v="RELK"/>
    <m/>
    <n v="100"/>
    <x v="0"/>
    <m/>
    <m/>
    <n v="1"/>
    <n v="0.125"/>
    <n v="0.85"/>
    <n v="0.10625"/>
    <n v="1630"/>
    <x v="12"/>
    <s v="Hum"/>
    <x v="1"/>
    <n v="18405"/>
    <n v="15773"/>
    <n v="3976.5062499999999"/>
    <n v="5800"/>
    <n v="725"/>
    <n v="4701.5062500000004"/>
    <n v="0"/>
    <n v="1"/>
    <n v="0"/>
    <n v="0"/>
    <n v="0"/>
    <n v="0"/>
    <n v="0"/>
    <n v="0"/>
    <n v="0"/>
    <n v="0"/>
    <n v="0"/>
    <n v="0"/>
    <s v="Enligt SP 190924"/>
    <s v="Läser 7,5 av 30 denna termin"/>
    <n v="0"/>
    <n v="0"/>
    <n v="0.125"/>
    <n v="0.10625"/>
    <n v="0"/>
    <n v="0"/>
    <n v="0"/>
    <n v="0"/>
    <n v="0"/>
    <n v="0"/>
    <n v="0"/>
    <n v="0"/>
    <n v="0"/>
    <n v="0"/>
    <n v="0"/>
    <n v="0"/>
    <n v="0"/>
    <n v="0"/>
    <n v="0"/>
    <n v="0"/>
    <n v="0"/>
    <n v="0"/>
    <n v="0"/>
  </r>
  <r>
    <x v="294"/>
    <x v="287"/>
    <m/>
    <x v="1"/>
    <s v="H14"/>
    <x v="2"/>
    <s v="H191-15"/>
    <m/>
    <m/>
    <s v="RELK"/>
    <m/>
    <n v="100"/>
    <x v="6"/>
    <m/>
    <m/>
    <n v="1"/>
    <n v="0.375"/>
    <n v="0.85"/>
    <n v="0.31874999999999998"/>
    <n v="1630"/>
    <x v="12"/>
    <s v="Hum"/>
    <x v="1"/>
    <n v="21634"/>
    <n v="26986"/>
    <n v="16714.537499999999"/>
    <n v="3400"/>
    <n v="1275"/>
    <n v="17989.537499999999"/>
    <n v="0"/>
    <n v="0"/>
    <n v="0"/>
    <n v="0"/>
    <n v="0"/>
    <n v="0"/>
    <n v="0"/>
    <n v="0"/>
    <n v="1"/>
    <n v="0"/>
    <n v="0"/>
    <n v="0"/>
    <s v="Enligt SP 190924"/>
    <m/>
    <n v="0"/>
    <n v="0"/>
    <n v="0"/>
    <n v="0"/>
    <n v="0"/>
    <n v="0"/>
    <n v="0"/>
    <n v="0"/>
    <n v="0"/>
    <n v="0"/>
    <n v="0"/>
    <n v="0"/>
    <n v="0"/>
    <n v="0"/>
    <n v="0"/>
    <n v="0"/>
    <n v="0.375"/>
    <n v="0.31874999999999998"/>
    <n v="0"/>
    <n v="0"/>
    <n v="0"/>
    <n v="0"/>
    <n v="0"/>
  </r>
  <r>
    <x v="294"/>
    <x v="287"/>
    <m/>
    <x v="1"/>
    <s v="H15"/>
    <x v="2"/>
    <s v="H191-15"/>
    <m/>
    <m/>
    <s v="RELK"/>
    <m/>
    <n v="100"/>
    <x v="6"/>
    <m/>
    <m/>
    <n v="2"/>
    <n v="0.75"/>
    <n v="0.85"/>
    <n v="0.63749999999999996"/>
    <n v="1630"/>
    <x v="12"/>
    <s v="Hum"/>
    <x v="1"/>
    <n v="21634"/>
    <n v="26986"/>
    <n v="33429.074999999997"/>
    <n v="3400"/>
    <n v="2550"/>
    <n v="35979.074999999997"/>
    <n v="0"/>
    <n v="0"/>
    <n v="0"/>
    <n v="0"/>
    <n v="0"/>
    <n v="0"/>
    <n v="0"/>
    <n v="0"/>
    <n v="1"/>
    <n v="0"/>
    <n v="0"/>
    <n v="0"/>
    <s v="Enligt SP 190924"/>
    <m/>
    <n v="0"/>
    <n v="0"/>
    <n v="0"/>
    <n v="0"/>
    <n v="0"/>
    <n v="0"/>
    <n v="0"/>
    <n v="0"/>
    <n v="0"/>
    <n v="0"/>
    <n v="0"/>
    <n v="0"/>
    <n v="0"/>
    <n v="0"/>
    <n v="0"/>
    <n v="0"/>
    <n v="0.75"/>
    <n v="0.63749999999999996"/>
    <n v="0"/>
    <n v="0"/>
    <n v="0"/>
    <n v="0"/>
    <n v="0"/>
  </r>
  <r>
    <x v="295"/>
    <x v="288"/>
    <m/>
    <x v="1"/>
    <s v="H16"/>
    <x v="2"/>
    <s v="H1913-16"/>
    <m/>
    <m/>
    <s v="RELK"/>
    <m/>
    <n v="100"/>
    <x v="2"/>
    <m/>
    <m/>
    <n v="1"/>
    <n v="0.1"/>
    <n v="0.85"/>
    <n v="8.5000000000000006E-2"/>
    <n v="1630"/>
    <x v="12"/>
    <s v="Hum"/>
    <x v="1"/>
    <n v="21634"/>
    <n v="26986"/>
    <n v="4457.21"/>
    <n v="3400"/>
    <n v="340"/>
    <n v="4797.21"/>
    <n v="0"/>
    <n v="0"/>
    <n v="0"/>
    <n v="0"/>
    <n v="0"/>
    <n v="0"/>
    <n v="0"/>
    <n v="0"/>
    <n v="1"/>
    <n v="0"/>
    <n v="0"/>
    <n v="0"/>
    <s v="Enligt SP 190924"/>
    <m/>
    <n v="0"/>
    <n v="0"/>
    <n v="0"/>
    <n v="0"/>
    <n v="0"/>
    <n v="0"/>
    <n v="0"/>
    <n v="0"/>
    <n v="0"/>
    <n v="0"/>
    <n v="0"/>
    <n v="0"/>
    <n v="0"/>
    <n v="0"/>
    <n v="0"/>
    <n v="0"/>
    <n v="0.1"/>
    <n v="8.5000000000000006E-2"/>
    <n v="0"/>
    <n v="0"/>
    <n v="0"/>
    <n v="0"/>
    <n v="0"/>
  </r>
  <r>
    <x v="295"/>
    <x v="288"/>
    <m/>
    <x v="1"/>
    <s v="H17"/>
    <x v="2"/>
    <s v="H1913-16"/>
    <m/>
    <m/>
    <s v="RELK"/>
    <m/>
    <n v="100"/>
    <x v="2"/>
    <m/>
    <m/>
    <n v="4"/>
    <n v="0.4"/>
    <n v="0.85"/>
    <n v="0.34"/>
    <n v="1630"/>
    <x v="12"/>
    <s v="Hum"/>
    <x v="1"/>
    <n v="21634"/>
    <n v="26986"/>
    <n v="17828.84"/>
    <n v="3400"/>
    <n v="1360"/>
    <n v="19188.84"/>
    <n v="0"/>
    <n v="0"/>
    <n v="0"/>
    <n v="0"/>
    <n v="0"/>
    <n v="0"/>
    <n v="0"/>
    <n v="0"/>
    <n v="1"/>
    <n v="0"/>
    <n v="0"/>
    <n v="0"/>
    <s v="Enligt SP 190924"/>
    <m/>
    <n v="0"/>
    <n v="0"/>
    <n v="0"/>
    <n v="0"/>
    <n v="0"/>
    <n v="0"/>
    <n v="0"/>
    <n v="0"/>
    <n v="0"/>
    <n v="0"/>
    <n v="0"/>
    <n v="0"/>
    <n v="0"/>
    <n v="0"/>
    <n v="0"/>
    <n v="0"/>
    <n v="0.4"/>
    <n v="0.34"/>
    <n v="0"/>
    <n v="0"/>
    <n v="0"/>
    <n v="0"/>
    <n v="0"/>
  </r>
  <r>
    <x v="296"/>
    <x v="289"/>
    <m/>
    <x v="1"/>
    <s v="H16"/>
    <x v="2"/>
    <s v="H191-20"/>
    <m/>
    <m/>
    <s v="BILÄ"/>
    <m/>
    <n v="100"/>
    <x v="7"/>
    <m/>
    <m/>
    <n v="1"/>
    <n v="0.5"/>
    <n v="0.85"/>
    <n v="0.42499999999999999"/>
    <n v="1630"/>
    <x v="12"/>
    <s v="Hum"/>
    <x v="1"/>
    <n v="18405"/>
    <n v="15773"/>
    <n v="15906.025"/>
    <n v="5800"/>
    <n v="2900"/>
    <n v="18806.025000000001"/>
    <n v="0"/>
    <n v="1"/>
    <n v="0"/>
    <n v="0"/>
    <n v="0"/>
    <n v="0"/>
    <n v="0"/>
    <n v="0"/>
    <n v="0"/>
    <n v="0"/>
    <n v="0"/>
    <n v="0"/>
    <s v="Enligt SP 190924"/>
    <m/>
    <n v="0"/>
    <n v="0"/>
    <n v="0.5"/>
    <n v="0.42499999999999999"/>
    <n v="0"/>
    <n v="0"/>
    <n v="0"/>
    <n v="0"/>
    <n v="0"/>
    <n v="0"/>
    <n v="0"/>
    <n v="0"/>
    <n v="0"/>
    <n v="0"/>
    <n v="0"/>
    <n v="0"/>
    <n v="0"/>
    <n v="0"/>
    <n v="0"/>
    <n v="0"/>
    <n v="0"/>
    <n v="0"/>
    <n v="0"/>
  </r>
  <r>
    <x v="296"/>
    <x v="289"/>
    <m/>
    <x v="1"/>
    <s v="H16"/>
    <x v="2"/>
    <s v="H191-20"/>
    <m/>
    <m/>
    <s v="ENGS"/>
    <m/>
    <n v="100"/>
    <x v="7"/>
    <m/>
    <m/>
    <n v="1"/>
    <n v="0.5"/>
    <n v="0.85"/>
    <n v="0.42499999999999999"/>
    <n v="1630"/>
    <x v="12"/>
    <s v="Hum"/>
    <x v="1"/>
    <n v="18405"/>
    <n v="15773"/>
    <n v="15906.025"/>
    <n v="5800"/>
    <n v="2900"/>
    <n v="18806.025000000001"/>
    <n v="0"/>
    <n v="1"/>
    <n v="0"/>
    <n v="0"/>
    <n v="0"/>
    <n v="0"/>
    <n v="0"/>
    <n v="0"/>
    <n v="0"/>
    <n v="0"/>
    <n v="0"/>
    <n v="0"/>
    <s v="Enligt SP 190924"/>
    <m/>
    <n v="0"/>
    <n v="0"/>
    <n v="0.5"/>
    <n v="0.42499999999999999"/>
    <n v="0"/>
    <n v="0"/>
    <n v="0"/>
    <n v="0"/>
    <n v="0"/>
    <n v="0"/>
    <n v="0"/>
    <n v="0"/>
    <n v="0"/>
    <n v="0"/>
    <n v="0"/>
    <n v="0"/>
    <n v="0"/>
    <n v="0"/>
    <n v="0"/>
    <n v="0"/>
    <n v="0"/>
    <n v="0"/>
    <n v="0"/>
  </r>
  <r>
    <x v="296"/>
    <x v="289"/>
    <m/>
    <x v="1"/>
    <s v="H16"/>
    <x v="2"/>
    <s v="H191-20"/>
    <m/>
    <m/>
    <s v="HIST"/>
    <m/>
    <n v="100"/>
    <x v="7"/>
    <m/>
    <m/>
    <n v="2"/>
    <n v="1"/>
    <n v="0.85"/>
    <n v="0.85"/>
    <n v="1630"/>
    <x v="12"/>
    <s v="Hum"/>
    <x v="1"/>
    <n v="18405"/>
    <n v="15773"/>
    <n v="31812.05"/>
    <n v="5800"/>
    <n v="5800"/>
    <n v="37612.050000000003"/>
    <n v="0"/>
    <n v="1"/>
    <n v="0"/>
    <n v="0"/>
    <n v="0"/>
    <n v="0"/>
    <n v="0"/>
    <n v="0"/>
    <n v="0"/>
    <n v="0"/>
    <n v="0"/>
    <n v="0"/>
    <s v="Enligt SP 190924"/>
    <m/>
    <n v="0"/>
    <n v="0"/>
    <n v="1"/>
    <n v="0.85"/>
    <n v="0"/>
    <n v="0"/>
    <n v="0"/>
    <n v="0"/>
    <n v="0"/>
    <n v="0"/>
    <n v="0"/>
    <n v="0"/>
    <n v="0"/>
    <n v="0"/>
    <n v="0"/>
    <n v="0"/>
    <n v="0"/>
    <n v="0"/>
    <n v="0"/>
    <n v="0"/>
    <n v="0"/>
    <n v="0"/>
    <n v="0"/>
  </r>
  <r>
    <x v="296"/>
    <x v="289"/>
    <m/>
    <x v="1"/>
    <s v="H16"/>
    <x v="2"/>
    <s v="H191-20"/>
    <m/>
    <m/>
    <s v="MATT"/>
    <m/>
    <n v="100"/>
    <x v="7"/>
    <m/>
    <m/>
    <n v="1"/>
    <n v="0.5"/>
    <n v="0.85"/>
    <n v="0.42499999999999999"/>
    <n v="1630"/>
    <x v="12"/>
    <s v="Hum"/>
    <x v="1"/>
    <n v="18405"/>
    <n v="15773"/>
    <n v="15906.025"/>
    <n v="5800"/>
    <n v="2900"/>
    <n v="18806.025000000001"/>
    <n v="0"/>
    <n v="1"/>
    <n v="0"/>
    <n v="0"/>
    <n v="0"/>
    <n v="0"/>
    <n v="0"/>
    <n v="0"/>
    <n v="0"/>
    <n v="0"/>
    <n v="0"/>
    <n v="0"/>
    <s v="Enligt SP 190924"/>
    <m/>
    <n v="0"/>
    <n v="0"/>
    <n v="0.5"/>
    <n v="0.42499999999999999"/>
    <n v="0"/>
    <n v="0"/>
    <n v="0"/>
    <n v="0"/>
    <n v="0"/>
    <n v="0"/>
    <n v="0"/>
    <n v="0"/>
    <n v="0"/>
    <n v="0"/>
    <n v="0"/>
    <n v="0"/>
    <n v="0"/>
    <n v="0"/>
    <n v="0"/>
    <n v="0"/>
    <n v="0"/>
    <n v="0"/>
    <n v="0"/>
  </r>
  <r>
    <x v="296"/>
    <x v="289"/>
    <m/>
    <x v="1"/>
    <s v="H17"/>
    <x v="2"/>
    <s v="H191-20"/>
    <m/>
    <m/>
    <s v="RELK"/>
    <m/>
    <n v="100"/>
    <x v="7"/>
    <m/>
    <m/>
    <n v="1"/>
    <n v="0.5"/>
    <n v="0.85"/>
    <n v="0.42499999999999999"/>
    <n v="1630"/>
    <x v="12"/>
    <s v="Hum"/>
    <x v="1"/>
    <n v="18405"/>
    <n v="15773"/>
    <n v="15906.025"/>
    <n v="5800"/>
    <n v="2900"/>
    <n v="18806.025000000001"/>
    <n v="0"/>
    <n v="1"/>
    <n v="0"/>
    <n v="0"/>
    <n v="0"/>
    <n v="0"/>
    <n v="0"/>
    <n v="0"/>
    <n v="0"/>
    <n v="0"/>
    <n v="0"/>
    <n v="0"/>
    <s v="Enligt SP 190924"/>
    <m/>
    <n v="0"/>
    <n v="0"/>
    <n v="0.5"/>
    <n v="0.42499999999999999"/>
    <n v="0"/>
    <n v="0"/>
    <n v="0"/>
    <n v="0"/>
    <n v="0"/>
    <n v="0"/>
    <n v="0"/>
    <n v="0"/>
    <n v="0"/>
    <n v="0"/>
    <n v="0"/>
    <n v="0"/>
    <n v="0"/>
    <n v="0"/>
    <n v="0"/>
    <n v="0"/>
    <n v="0"/>
    <n v="0"/>
    <n v="0"/>
  </r>
  <r>
    <x v="296"/>
    <x v="289"/>
    <m/>
    <x v="1"/>
    <s v="H18"/>
    <x v="2"/>
    <s v="H191-20"/>
    <m/>
    <m/>
    <s v="RELK"/>
    <m/>
    <n v="100"/>
    <x v="7"/>
    <m/>
    <m/>
    <n v="6"/>
    <n v="3"/>
    <n v="0.85"/>
    <n v="2.5499999999999998"/>
    <n v="1630"/>
    <x v="12"/>
    <s v="Hum"/>
    <x v="1"/>
    <n v="18405"/>
    <n v="15773"/>
    <n v="95436.15"/>
    <n v="5800"/>
    <n v="17400"/>
    <n v="112836.15"/>
    <n v="0"/>
    <n v="1"/>
    <n v="0"/>
    <n v="0"/>
    <n v="0"/>
    <n v="0"/>
    <n v="0"/>
    <n v="0"/>
    <n v="0"/>
    <n v="0"/>
    <n v="0"/>
    <n v="0"/>
    <s v="Enligt SP 190924"/>
    <m/>
    <n v="0"/>
    <n v="0"/>
    <n v="3"/>
    <n v="2.5499999999999998"/>
    <n v="0"/>
    <n v="0"/>
    <n v="0"/>
    <n v="0"/>
    <n v="0"/>
    <n v="0"/>
    <n v="0"/>
    <n v="0"/>
    <n v="0"/>
    <n v="0"/>
    <n v="0"/>
    <n v="0"/>
    <n v="0"/>
    <n v="0"/>
    <n v="0"/>
    <n v="0"/>
    <n v="0"/>
    <n v="0"/>
    <n v="0"/>
  </r>
  <r>
    <x v="296"/>
    <x v="289"/>
    <m/>
    <x v="1"/>
    <s v="H18"/>
    <x v="2"/>
    <s v="H191-20"/>
    <m/>
    <m/>
    <s v="SVAA"/>
    <m/>
    <n v="100"/>
    <x v="7"/>
    <m/>
    <m/>
    <n v="1"/>
    <n v="0.5"/>
    <n v="0.85"/>
    <n v="0.42499999999999999"/>
    <n v="1630"/>
    <x v="12"/>
    <s v="Hum"/>
    <x v="1"/>
    <n v="18405"/>
    <n v="15773"/>
    <n v="15906.025"/>
    <n v="5800"/>
    <n v="2900"/>
    <n v="18806.025000000001"/>
    <n v="0"/>
    <n v="1"/>
    <n v="0"/>
    <n v="0"/>
    <n v="0"/>
    <n v="0"/>
    <n v="0"/>
    <n v="0"/>
    <n v="0"/>
    <n v="0"/>
    <n v="0"/>
    <n v="0"/>
    <s v="Enligt SP 190924"/>
    <m/>
    <n v="0"/>
    <n v="0"/>
    <n v="0.5"/>
    <n v="0.42499999999999999"/>
    <n v="0"/>
    <n v="0"/>
    <n v="0"/>
    <n v="0"/>
    <n v="0"/>
    <n v="0"/>
    <n v="0"/>
    <n v="0"/>
    <n v="0"/>
    <n v="0"/>
    <n v="0"/>
    <n v="0"/>
    <n v="0"/>
    <n v="0"/>
    <n v="0"/>
    <n v="0"/>
    <n v="0"/>
    <n v="0"/>
    <n v="0"/>
  </r>
  <r>
    <x v="297"/>
    <x v="290"/>
    <m/>
    <x v="1"/>
    <s v="H16"/>
    <x v="1"/>
    <s v="V191-20"/>
    <s v="Umeå"/>
    <m/>
    <s v="BILÄ"/>
    <m/>
    <n v="100"/>
    <x v="7"/>
    <m/>
    <m/>
    <n v="1"/>
    <n v="0.5"/>
    <n v="0.85"/>
    <n v="0.42499999999999999"/>
    <n v="1630"/>
    <x v="12"/>
    <s v="Hum"/>
    <x v="1"/>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297"/>
    <x v="290"/>
    <m/>
    <x v="1"/>
    <s v="H16"/>
    <x v="1"/>
    <s v="V191-20"/>
    <s v="Umeå"/>
    <m/>
    <s v="ENGS"/>
    <m/>
    <n v="100"/>
    <x v="7"/>
    <m/>
    <m/>
    <n v="1"/>
    <n v="0.5"/>
    <n v="0.85"/>
    <n v="0.42499999999999999"/>
    <n v="1630"/>
    <x v="12"/>
    <s v="Hum"/>
    <x v="1"/>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297"/>
    <x v="290"/>
    <m/>
    <x v="1"/>
    <s v="H16"/>
    <x v="1"/>
    <s v="V191-20"/>
    <s v="Umeå"/>
    <m/>
    <s v="HIST"/>
    <m/>
    <n v="100"/>
    <x v="7"/>
    <m/>
    <m/>
    <n v="2"/>
    <n v="1"/>
    <n v="0.85"/>
    <n v="0.85"/>
    <n v="1630"/>
    <x v="12"/>
    <s v="Hum"/>
    <x v="1"/>
    <n v="18405"/>
    <n v="15773"/>
    <n v="31812.05"/>
    <n v="5800"/>
    <n v="5800"/>
    <n v="37612.050000000003"/>
    <n v="0"/>
    <n v="1"/>
    <n v="0"/>
    <n v="0"/>
    <n v="0"/>
    <n v="0"/>
    <n v="0"/>
    <n v="0"/>
    <n v="0"/>
    <n v="0"/>
    <n v="0"/>
    <n v="0"/>
    <s v="Enl Ladok 190318"/>
    <m/>
    <n v="0"/>
    <n v="0"/>
    <n v="1"/>
    <n v="0.85"/>
    <n v="0"/>
    <n v="0"/>
    <n v="0"/>
    <n v="0"/>
    <n v="0"/>
    <n v="0"/>
    <n v="0"/>
    <n v="0"/>
    <n v="0"/>
    <n v="0"/>
    <n v="0"/>
    <n v="0"/>
    <n v="0"/>
    <n v="0"/>
    <n v="0"/>
    <n v="0"/>
    <n v="0"/>
    <n v="0"/>
    <n v="0"/>
  </r>
  <r>
    <x v="297"/>
    <x v="290"/>
    <m/>
    <x v="1"/>
    <s v="H16"/>
    <x v="1"/>
    <s v="V191-20"/>
    <s v="Umeå"/>
    <m/>
    <s v="MATT"/>
    <m/>
    <n v="100"/>
    <x v="7"/>
    <m/>
    <m/>
    <n v="1"/>
    <n v="0.5"/>
    <n v="0.85"/>
    <n v="0.42499999999999999"/>
    <n v="1630"/>
    <x v="12"/>
    <s v="Hum"/>
    <x v="1"/>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297"/>
    <x v="290"/>
    <m/>
    <x v="1"/>
    <s v="H16"/>
    <x v="1"/>
    <s v="V191-20"/>
    <s v="Umeå"/>
    <m/>
    <s v="SAMK"/>
    <m/>
    <n v="100"/>
    <x v="7"/>
    <m/>
    <m/>
    <n v="1"/>
    <n v="0.5"/>
    <n v="0.85"/>
    <n v="0.42499999999999999"/>
    <n v="1630"/>
    <x v="12"/>
    <s v="Hum"/>
    <x v="1"/>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297"/>
    <x v="290"/>
    <m/>
    <x v="1"/>
    <s v="H18"/>
    <x v="1"/>
    <s v="V191-20"/>
    <s v="Umeå"/>
    <m/>
    <s v="RELK"/>
    <m/>
    <n v="100"/>
    <x v="7"/>
    <m/>
    <m/>
    <n v="7"/>
    <n v="3.5"/>
    <n v="0.85"/>
    <n v="2.9750000000000001"/>
    <n v="1630"/>
    <x v="12"/>
    <s v="Hum"/>
    <x v="1"/>
    <n v="18405"/>
    <n v="15773"/>
    <n v="111342.175"/>
    <n v="5800"/>
    <n v="20300"/>
    <n v="131642.17499999999"/>
    <n v="0"/>
    <n v="1"/>
    <n v="0"/>
    <n v="0"/>
    <n v="0"/>
    <n v="0"/>
    <n v="0"/>
    <n v="0"/>
    <n v="0"/>
    <n v="0"/>
    <n v="0"/>
    <n v="0"/>
    <s v="Enl Ladok 190318"/>
    <m/>
    <n v="0"/>
    <n v="0"/>
    <n v="3.5"/>
    <n v="2.9750000000000001"/>
    <n v="0"/>
    <n v="0"/>
    <n v="0"/>
    <n v="0"/>
    <n v="0"/>
    <n v="0"/>
    <n v="0"/>
    <n v="0"/>
    <n v="0"/>
    <n v="0"/>
    <n v="0"/>
    <n v="0"/>
    <n v="0"/>
    <n v="0"/>
    <n v="0"/>
    <n v="0"/>
    <n v="0"/>
    <n v="0"/>
    <n v="0"/>
  </r>
  <r>
    <x v="297"/>
    <x v="290"/>
    <m/>
    <x v="1"/>
    <s v="H18"/>
    <x v="1"/>
    <s v="V191-20"/>
    <s v="Umeå"/>
    <m/>
    <s v="SVAA"/>
    <m/>
    <n v="100"/>
    <x v="7"/>
    <m/>
    <m/>
    <n v="2"/>
    <n v="1"/>
    <n v="0.85"/>
    <n v="0.85"/>
    <n v="1630"/>
    <x v="12"/>
    <s v="Hum"/>
    <x v="1"/>
    <n v="18405"/>
    <n v="15773"/>
    <n v="31812.05"/>
    <n v="5800"/>
    <n v="5800"/>
    <n v="37612.050000000003"/>
    <n v="0"/>
    <n v="1"/>
    <n v="0"/>
    <n v="0"/>
    <n v="0"/>
    <n v="0"/>
    <n v="0"/>
    <n v="0"/>
    <n v="0"/>
    <n v="0"/>
    <n v="0"/>
    <n v="0"/>
    <s v="Enl Ladok 190318"/>
    <m/>
    <n v="0"/>
    <n v="0"/>
    <n v="1"/>
    <n v="0.85"/>
    <n v="0"/>
    <n v="0"/>
    <n v="0"/>
    <n v="0"/>
    <n v="0"/>
    <n v="0"/>
    <n v="0"/>
    <n v="0"/>
    <n v="0"/>
    <n v="0"/>
    <n v="0"/>
    <n v="0"/>
    <n v="0"/>
    <n v="0"/>
    <n v="0"/>
    <n v="0"/>
    <n v="0"/>
    <n v="0"/>
    <n v="0"/>
  </r>
  <r>
    <x v="298"/>
    <x v="291"/>
    <m/>
    <x v="1"/>
    <s v="H15"/>
    <x v="1"/>
    <s v="V191-20"/>
    <s v="Umeå"/>
    <m/>
    <s v="HIST"/>
    <m/>
    <n v="100"/>
    <x v="7"/>
    <m/>
    <m/>
    <n v="5"/>
    <n v="2.5"/>
    <n v="0.85"/>
    <n v="2.125"/>
    <n v="1630"/>
    <x v="12"/>
    <s v="Hum"/>
    <x v="1"/>
    <n v="18405"/>
    <n v="15773"/>
    <n v="79530.125"/>
    <n v="5800"/>
    <n v="14500"/>
    <n v="94030.125"/>
    <n v="0"/>
    <n v="1"/>
    <n v="0"/>
    <n v="0"/>
    <n v="0"/>
    <n v="0"/>
    <n v="0"/>
    <n v="0"/>
    <n v="0"/>
    <n v="0"/>
    <n v="0"/>
    <n v="0"/>
    <s v="Enl Ladok 190318"/>
    <m/>
    <n v="0"/>
    <n v="0"/>
    <n v="2.5"/>
    <n v="2.125"/>
    <n v="0"/>
    <n v="0"/>
    <n v="0"/>
    <n v="0"/>
    <n v="0"/>
    <n v="0"/>
    <n v="0"/>
    <n v="0"/>
    <n v="0"/>
    <n v="0"/>
    <n v="0"/>
    <n v="0"/>
    <n v="0"/>
    <n v="0"/>
    <n v="0"/>
    <n v="0"/>
    <n v="0"/>
    <n v="0"/>
    <n v="0"/>
  </r>
  <r>
    <x v="298"/>
    <x v="291"/>
    <m/>
    <x v="1"/>
    <s v="H16"/>
    <x v="1"/>
    <s v="V191-20"/>
    <s v="Umeå"/>
    <m/>
    <s v="RELK"/>
    <m/>
    <n v="100"/>
    <x v="7"/>
    <m/>
    <m/>
    <n v="4"/>
    <n v="2"/>
    <n v="0.85"/>
    <n v="1.7"/>
    <n v="1630"/>
    <x v="12"/>
    <s v="Hum"/>
    <x v="1"/>
    <n v="18405"/>
    <n v="15773"/>
    <n v="63624.1"/>
    <n v="5800"/>
    <n v="11600"/>
    <n v="75224.100000000006"/>
    <n v="0"/>
    <n v="1"/>
    <n v="0"/>
    <n v="0"/>
    <n v="0"/>
    <n v="0"/>
    <n v="0"/>
    <n v="0"/>
    <n v="0"/>
    <n v="0"/>
    <n v="0"/>
    <n v="0"/>
    <s v="Enl Ladok 190318"/>
    <m/>
    <n v="0"/>
    <n v="0"/>
    <n v="2"/>
    <n v="1.7"/>
    <n v="0"/>
    <n v="0"/>
    <n v="0"/>
    <n v="0"/>
    <n v="0"/>
    <n v="0"/>
    <n v="0"/>
    <n v="0"/>
    <n v="0"/>
    <n v="0"/>
    <n v="0"/>
    <n v="0"/>
    <n v="0"/>
    <n v="0"/>
    <n v="0"/>
    <n v="0"/>
    <n v="0"/>
    <n v="0"/>
    <n v="0"/>
  </r>
  <r>
    <x v="298"/>
    <x v="291"/>
    <m/>
    <x v="1"/>
    <s v="H17"/>
    <x v="1"/>
    <s v="V191-20"/>
    <s v="Umeå"/>
    <m/>
    <s v="IDRH"/>
    <m/>
    <n v="100"/>
    <x v="7"/>
    <m/>
    <m/>
    <n v="1"/>
    <n v="0.5"/>
    <n v="0.85"/>
    <n v="0.42499999999999999"/>
    <n v="1630"/>
    <x v="12"/>
    <s v="Hum"/>
    <x v="1"/>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298"/>
    <x v="291"/>
    <m/>
    <x v="1"/>
    <s v="H17"/>
    <x v="1"/>
    <s v="V191-20"/>
    <s v="Umeå"/>
    <m/>
    <s v="RELK"/>
    <m/>
    <n v="100"/>
    <x v="7"/>
    <m/>
    <m/>
    <n v="2"/>
    <n v="1"/>
    <n v="0.85"/>
    <n v="0.85"/>
    <n v="1630"/>
    <x v="12"/>
    <s v="Hum"/>
    <x v="1"/>
    <n v="18405"/>
    <n v="15773"/>
    <n v="31812.05"/>
    <n v="5800"/>
    <n v="5800"/>
    <n v="37612.050000000003"/>
    <n v="0"/>
    <n v="1"/>
    <n v="0"/>
    <n v="0"/>
    <n v="0"/>
    <n v="0"/>
    <n v="0"/>
    <n v="0"/>
    <n v="0"/>
    <n v="0"/>
    <n v="0"/>
    <n v="0"/>
    <s v="Enl Ladok 190318"/>
    <m/>
    <n v="0"/>
    <n v="0"/>
    <n v="1"/>
    <n v="0.85"/>
    <n v="0"/>
    <n v="0"/>
    <n v="0"/>
    <n v="0"/>
    <n v="0"/>
    <n v="0"/>
    <n v="0"/>
    <n v="0"/>
    <n v="0"/>
    <n v="0"/>
    <n v="0"/>
    <n v="0"/>
    <n v="0"/>
    <n v="0"/>
    <n v="0"/>
    <n v="0"/>
    <n v="0"/>
    <n v="0"/>
    <n v="0"/>
  </r>
  <r>
    <x v="299"/>
    <x v="292"/>
    <m/>
    <x v="1"/>
    <s v="H17"/>
    <x v="1"/>
    <s v="V191-20"/>
    <s v="Umeå"/>
    <m/>
    <s v="RELK"/>
    <m/>
    <n v="100"/>
    <x v="7"/>
    <m/>
    <m/>
    <n v="4"/>
    <n v="2"/>
    <n v="0.85"/>
    <n v="1.7"/>
    <n v="1630"/>
    <x v="12"/>
    <s v="Hum"/>
    <x v="1"/>
    <n v="18405"/>
    <n v="15773"/>
    <n v="63624.1"/>
    <n v="5800"/>
    <n v="11600"/>
    <n v="75224.100000000006"/>
    <n v="0"/>
    <n v="1"/>
    <n v="0"/>
    <n v="0"/>
    <n v="0"/>
    <n v="0"/>
    <n v="0"/>
    <n v="0"/>
    <n v="0"/>
    <n v="0"/>
    <n v="0"/>
    <n v="0"/>
    <s v="Enl Ladok 190318"/>
    <m/>
    <n v="0"/>
    <n v="0"/>
    <n v="2"/>
    <n v="1.7"/>
    <n v="0"/>
    <n v="0"/>
    <n v="0"/>
    <n v="0"/>
    <n v="0"/>
    <n v="0"/>
    <n v="0"/>
    <n v="0"/>
    <n v="0"/>
    <n v="0"/>
    <n v="0"/>
    <n v="0"/>
    <n v="0"/>
    <n v="0"/>
    <n v="0"/>
    <n v="0"/>
    <n v="0"/>
    <n v="0"/>
    <n v="0"/>
  </r>
  <r>
    <x v="299"/>
    <x v="292"/>
    <m/>
    <x v="1"/>
    <m/>
    <x v="1"/>
    <s v="V191-20"/>
    <s v="Umeå"/>
    <m/>
    <s v="ENGS"/>
    <m/>
    <n v="100"/>
    <x v="7"/>
    <m/>
    <m/>
    <n v="2"/>
    <n v="1"/>
    <n v="0.85"/>
    <n v="0.85"/>
    <n v="1630"/>
    <x v="12"/>
    <s v="Hum"/>
    <x v="1"/>
    <n v="18405"/>
    <n v="15773"/>
    <n v="31812.05"/>
    <n v="5800"/>
    <n v="5800"/>
    <n v="37612.050000000003"/>
    <n v="0"/>
    <n v="1"/>
    <n v="0"/>
    <n v="0"/>
    <n v="0"/>
    <n v="0"/>
    <n v="0"/>
    <n v="0"/>
    <n v="0"/>
    <n v="0"/>
    <n v="0"/>
    <n v="0"/>
    <s v="Enl Ladok 190318"/>
    <m/>
    <n v="0"/>
    <n v="0"/>
    <n v="1"/>
    <n v="0.85"/>
    <n v="0"/>
    <n v="0"/>
    <n v="0"/>
    <n v="0"/>
    <n v="0"/>
    <n v="0"/>
    <n v="0"/>
    <n v="0"/>
    <n v="0"/>
    <n v="0"/>
    <n v="0"/>
    <n v="0"/>
    <n v="0"/>
    <n v="0"/>
    <n v="0"/>
    <n v="0"/>
    <n v="0"/>
    <n v="0"/>
    <n v="0"/>
  </r>
  <r>
    <x v="299"/>
    <x v="292"/>
    <m/>
    <x v="1"/>
    <m/>
    <x v="1"/>
    <s v="V191-20"/>
    <s v="Umeå"/>
    <m/>
    <s v="HIST"/>
    <m/>
    <n v="100"/>
    <x v="7"/>
    <m/>
    <m/>
    <n v="2"/>
    <n v="1"/>
    <n v="0.85"/>
    <n v="0.85"/>
    <n v="1630"/>
    <x v="12"/>
    <s v="Hum"/>
    <x v="1"/>
    <n v="18405"/>
    <n v="15773"/>
    <n v="31812.05"/>
    <n v="5800"/>
    <n v="5800"/>
    <n v="37612.050000000003"/>
    <n v="0"/>
    <n v="1"/>
    <n v="0"/>
    <n v="0"/>
    <n v="0"/>
    <n v="0"/>
    <n v="0"/>
    <n v="0"/>
    <n v="0"/>
    <n v="0"/>
    <n v="0"/>
    <n v="0"/>
    <s v="Enl Ladok 190318"/>
    <m/>
    <n v="0"/>
    <n v="0"/>
    <n v="1"/>
    <n v="0.85"/>
    <n v="0"/>
    <n v="0"/>
    <n v="0"/>
    <n v="0"/>
    <n v="0"/>
    <n v="0"/>
    <n v="0"/>
    <n v="0"/>
    <n v="0"/>
    <n v="0"/>
    <n v="0"/>
    <n v="0"/>
    <n v="0"/>
    <n v="0"/>
    <n v="0"/>
    <n v="0"/>
    <n v="0"/>
    <n v="0"/>
    <n v="0"/>
  </r>
  <r>
    <x v="299"/>
    <x v="292"/>
    <m/>
    <x v="1"/>
    <m/>
    <x v="1"/>
    <s v="V191-20"/>
    <s v="Umeå"/>
    <m/>
    <s v="SAMK"/>
    <m/>
    <n v="100"/>
    <x v="7"/>
    <m/>
    <m/>
    <n v="1"/>
    <n v="0.5"/>
    <n v="0.85"/>
    <n v="0.42499999999999999"/>
    <n v="1630"/>
    <x v="12"/>
    <s v="Hum"/>
    <x v="1"/>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299"/>
    <x v="292"/>
    <m/>
    <x v="1"/>
    <m/>
    <x v="1"/>
    <s v="V191-20"/>
    <s v="Umeå"/>
    <m/>
    <s v="SVAA"/>
    <m/>
    <n v="100"/>
    <x v="7"/>
    <m/>
    <m/>
    <n v="1"/>
    <n v="0.5"/>
    <n v="0.85"/>
    <n v="0.42499999999999999"/>
    <n v="1630"/>
    <x v="12"/>
    <s v="Hum"/>
    <x v="1"/>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300"/>
    <x v="293"/>
    <m/>
    <x v="0"/>
    <m/>
    <x v="1"/>
    <m/>
    <m/>
    <s v="Campus"/>
    <m/>
    <m/>
    <n v="100"/>
    <x v="7"/>
    <m/>
    <m/>
    <n v="1"/>
    <n v="0.5"/>
    <n v="0.8"/>
    <n v="0.4"/>
    <n v="1620"/>
    <x v="10"/>
    <s v="Hum"/>
    <x v="0"/>
    <n v="18405"/>
    <n v="15773"/>
    <n v="15511.7"/>
    <n v="5800"/>
    <n v="2900"/>
    <n v="18411.7"/>
    <n v="0"/>
    <n v="1"/>
    <n v="0"/>
    <n v="0"/>
    <n v="0"/>
    <n v="0"/>
    <n v="0"/>
    <n v="0"/>
    <n v="0"/>
    <n v="0"/>
    <n v="0"/>
    <n v="0"/>
    <s v="Äskat - Beslut p43 180607"/>
    <s v="Äskat - Beslut p43 180607"/>
    <n v="0"/>
    <n v="0"/>
    <n v="0.5"/>
    <n v="0.4"/>
    <n v="0"/>
    <n v="0"/>
    <n v="0"/>
    <n v="0"/>
    <n v="0"/>
    <n v="0"/>
    <n v="0"/>
    <n v="0"/>
    <n v="0"/>
    <n v="0"/>
    <n v="0"/>
    <n v="0"/>
    <n v="0"/>
    <n v="0"/>
    <n v="0"/>
    <n v="0"/>
    <n v="0"/>
    <n v="0"/>
    <n v="0"/>
  </r>
  <r>
    <x v="300"/>
    <x v="293"/>
    <m/>
    <x v="1"/>
    <s v="H15"/>
    <x v="1"/>
    <s v="V191-20"/>
    <s v="Umeå"/>
    <m/>
    <s v="ENGS"/>
    <m/>
    <n v="100"/>
    <x v="7"/>
    <m/>
    <m/>
    <n v="1"/>
    <n v="0.5"/>
    <n v="0.85"/>
    <n v="0.42499999999999999"/>
    <n v="1620"/>
    <x v="10"/>
    <s v="Hum"/>
    <x v="1"/>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300"/>
    <x v="293"/>
    <m/>
    <x v="1"/>
    <s v="H15"/>
    <x v="1"/>
    <s v="V191-20"/>
    <s v="Umeå"/>
    <m/>
    <s v="SVAA"/>
    <m/>
    <n v="100"/>
    <x v="7"/>
    <m/>
    <m/>
    <n v="1"/>
    <n v="0.5"/>
    <n v="0.85"/>
    <n v="0.42499999999999999"/>
    <n v="1620"/>
    <x v="10"/>
    <s v="Hum"/>
    <x v="1"/>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300"/>
    <x v="293"/>
    <m/>
    <x v="1"/>
    <s v="H18"/>
    <x v="1"/>
    <s v="V191-20"/>
    <s v="Umeå"/>
    <m/>
    <s v="SPAN"/>
    <m/>
    <n v="100"/>
    <x v="7"/>
    <m/>
    <m/>
    <n v="2"/>
    <n v="1"/>
    <n v="0.85"/>
    <n v="0.85"/>
    <n v="1620"/>
    <x v="10"/>
    <s v="Hum"/>
    <x v="1"/>
    <n v="18405"/>
    <n v="15773"/>
    <n v="31812.05"/>
    <n v="5800"/>
    <n v="5800"/>
    <n v="37612.050000000003"/>
    <n v="0"/>
    <n v="1"/>
    <n v="0"/>
    <n v="0"/>
    <n v="0"/>
    <n v="0"/>
    <n v="0"/>
    <n v="0"/>
    <n v="0"/>
    <n v="0"/>
    <n v="0"/>
    <n v="0"/>
    <s v="Enl Ladok 190318"/>
    <m/>
    <n v="0"/>
    <n v="0"/>
    <n v="1"/>
    <n v="0.85"/>
    <n v="0"/>
    <n v="0"/>
    <n v="0"/>
    <n v="0"/>
    <n v="0"/>
    <n v="0"/>
    <n v="0"/>
    <n v="0"/>
    <n v="0"/>
    <n v="0"/>
    <n v="0"/>
    <n v="0"/>
    <n v="0"/>
    <n v="0"/>
    <n v="0"/>
    <n v="0"/>
    <n v="0"/>
    <n v="0"/>
    <n v="0"/>
  </r>
  <r>
    <x v="301"/>
    <x v="294"/>
    <m/>
    <x v="0"/>
    <m/>
    <x v="1"/>
    <m/>
    <m/>
    <s v="Campus"/>
    <m/>
    <m/>
    <n v="100"/>
    <x v="7"/>
    <m/>
    <m/>
    <n v="0"/>
    <n v="0"/>
    <n v="0.8"/>
    <n v="0"/>
    <n v="1620"/>
    <x v="10"/>
    <s v="Hum"/>
    <x v="0"/>
    <n v="18405"/>
    <n v="15773"/>
    <n v="0"/>
    <n v="5800"/>
    <n v="0"/>
    <n v="0"/>
    <n v="0"/>
    <n v="1"/>
    <n v="0"/>
    <n v="0"/>
    <n v="0"/>
    <n v="0"/>
    <n v="0"/>
    <n v="0"/>
    <n v="0"/>
    <n v="0"/>
    <n v="0"/>
    <n v="0"/>
    <s v="Äskat - Beslut p43 180607"/>
    <m/>
    <n v="0"/>
    <n v="0"/>
    <n v="0"/>
    <n v="0"/>
    <n v="0"/>
    <n v="0"/>
    <n v="0"/>
    <n v="0"/>
    <n v="0"/>
    <n v="0"/>
    <n v="0"/>
    <n v="0"/>
    <n v="0"/>
    <n v="0"/>
    <n v="0"/>
    <n v="0"/>
    <n v="0"/>
    <n v="0"/>
    <n v="0"/>
    <n v="0"/>
    <n v="0"/>
    <n v="0"/>
    <n v="0"/>
  </r>
  <r>
    <x v="301"/>
    <x v="294"/>
    <m/>
    <x v="1"/>
    <s v="H17"/>
    <x v="1"/>
    <s v="V191-20"/>
    <s v="Umeå"/>
    <m/>
    <s v="SPAN"/>
    <m/>
    <n v="100"/>
    <x v="7"/>
    <m/>
    <m/>
    <n v="3"/>
    <n v="1.5"/>
    <n v="0.85"/>
    <n v="1.2749999999999999"/>
    <n v="1620"/>
    <x v="10"/>
    <s v="Hum"/>
    <x v="1"/>
    <n v="18405"/>
    <n v="15773"/>
    <n v="47718.074999999997"/>
    <n v="5800"/>
    <n v="8700"/>
    <n v="56418.074999999997"/>
    <n v="0"/>
    <n v="1"/>
    <n v="0"/>
    <n v="0"/>
    <n v="0"/>
    <n v="0"/>
    <n v="0"/>
    <n v="0"/>
    <n v="0"/>
    <n v="0"/>
    <n v="0"/>
    <n v="0"/>
    <s v="Enl Ladok 190318"/>
    <m/>
    <n v="0"/>
    <n v="0"/>
    <n v="1.5"/>
    <n v="1.2749999999999999"/>
    <n v="0"/>
    <n v="0"/>
    <n v="0"/>
    <n v="0"/>
    <n v="0"/>
    <n v="0"/>
    <n v="0"/>
    <n v="0"/>
    <n v="0"/>
    <n v="0"/>
    <n v="0"/>
    <n v="0"/>
    <n v="0"/>
    <n v="0"/>
    <n v="0"/>
    <n v="0"/>
    <n v="0"/>
    <n v="0"/>
    <n v="0"/>
  </r>
  <r>
    <x v="302"/>
    <x v="295"/>
    <m/>
    <x v="0"/>
    <m/>
    <x v="2"/>
    <m/>
    <m/>
    <s v="Campus"/>
    <m/>
    <m/>
    <n v="100"/>
    <x v="7"/>
    <m/>
    <m/>
    <n v="2"/>
    <n v="1"/>
    <n v="0.8"/>
    <n v="0.8"/>
    <n v="1620"/>
    <x v="10"/>
    <s v="Hum"/>
    <x v="0"/>
    <n v="18405"/>
    <n v="15773"/>
    <n v="31023.4"/>
    <n v="5800"/>
    <n v="5800"/>
    <n v="36823.4"/>
    <n v="0"/>
    <n v="1"/>
    <n v="0"/>
    <n v="0"/>
    <n v="0"/>
    <n v="0"/>
    <n v="0"/>
    <n v="0"/>
    <n v="0"/>
    <n v="0"/>
    <n v="0"/>
    <n v="0"/>
    <s v="Äskat - Beslut p43 180607"/>
    <m/>
    <n v="0"/>
    <n v="0"/>
    <n v="1"/>
    <n v="0.8"/>
    <n v="0"/>
    <n v="0"/>
    <n v="0"/>
    <n v="0"/>
    <n v="0"/>
    <n v="0"/>
    <n v="0"/>
    <n v="0"/>
    <n v="0"/>
    <n v="0"/>
    <n v="0"/>
    <n v="0"/>
    <n v="0"/>
    <n v="0"/>
    <n v="0"/>
    <n v="0"/>
    <n v="0"/>
    <n v="0"/>
    <n v="0"/>
  </r>
  <r>
    <x v="303"/>
    <x v="296"/>
    <m/>
    <x v="1"/>
    <s v="H17"/>
    <x v="2"/>
    <s v="H1913-16"/>
    <m/>
    <m/>
    <s v="SPAN"/>
    <m/>
    <n v="100"/>
    <x v="2"/>
    <m/>
    <m/>
    <n v="2"/>
    <n v="0.2"/>
    <n v="0.85"/>
    <n v="0.17"/>
    <n v="1620"/>
    <x v="10"/>
    <s v="Hum"/>
    <x v="1"/>
    <n v="21634"/>
    <n v="26986"/>
    <n v="8914.42"/>
    <n v="3400"/>
    <n v="680"/>
    <n v="9594.42"/>
    <n v="0"/>
    <n v="0"/>
    <n v="0"/>
    <n v="0"/>
    <n v="0"/>
    <n v="0"/>
    <n v="0"/>
    <n v="0"/>
    <n v="1"/>
    <n v="0"/>
    <n v="0"/>
    <n v="0"/>
    <s v="Enligt SP 190924"/>
    <m/>
    <n v="0"/>
    <n v="0"/>
    <n v="0"/>
    <n v="0"/>
    <n v="0"/>
    <n v="0"/>
    <n v="0"/>
    <n v="0"/>
    <n v="0"/>
    <n v="0"/>
    <n v="0"/>
    <n v="0"/>
    <n v="0"/>
    <n v="0"/>
    <n v="0"/>
    <n v="0"/>
    <n v="0.2"/>
    <n v="0.17"/>
    <n v="0"/>
    <n v="0"/>
    <n v="0"/>
    <n v="0"/>
    <n v="0"/>
  </r>
  <r>
    <x v="304"/>
    <x v="297"/>
    <m/>
    <x v="1"/>
    <s v="H15"/>
    <x v="2"/>
    <s v="H191-20"/>
    <m/>
    <m/>
    <s v="ENGS"/>
    <m/>
    <n v="100"/>
    <x v="7"/>
    <m/>
    <m/>
    <n v="1"/>
    <n v="0.5"/>
    <n v="0.85"/>
    <n v="0.42499999999999999"/>
    <n v="1620"/>
    <x v="10"/>
    <s v="Hum"/>
    <x v="1"/>
    <n v="18405"/>
    <n v="15773"/>
    <n v="15906.025"/>
    <n v="5800"/>
    <n v="2900"/>
    <n v="18806.025000000001"/>
    <n v="0"/>
    <n v="1"/>
    <n v="0"/>
    <n v="0"/>
    <n v="0"/>
    <n v="0"/>
    <n v="0"/>
    <n v="0"/>
    <n v="0"/>
    <n v="0"/>
    <n v="0"/>
    <n v="0"/>
    <s v="Enligt SP 190924"/>
    <m/>
    <n v="0"/>
    <n v="0"/>
    <n v="0.5"/>
    <n v="0.42499999999999999"/>
    <n v="0"/>
    <n v="0"/>
    <n v="0"/>
    <n v="0"/>
    <n v="0"/>
    <n v="0"/>
    <n v="0"/>
    <n v="0"/>
    <n v="0"/>
    <n v="0"/>
    <n v="0"/>
    <n v="0"/>
    <n v="0"/>
    <n v="0"/>
    <n v="0"/>
    <n v="0"/>
    <n v="0"/>
    <n v="0"/>
    <n v="0"/>
  </r>
  <r>
    <x v="304"/>
    <x v="297"/>
    <m/>
    <x v="1"/>
    <s v="H15"/>
    <x v="2"/>
    <s v="H191-20"/>
    <m/>
    <m/>
    <s v="IDRH"/>
    <m/>
    <n v="100"/>
    <x v="7"/>
    <m/>
    <m/>
    <n v="1"/>
    <n v="0.5"/>
    <n v="0.85"/>
    <n v="0.42499999999999999"/>
    <n v="1620"/>
    <x v="10"/>
    <s v="Hum"/>
    <x v="1"/>
    <n v="18405"/>
    <n v="15773"/>
    <n v="15906.025"/>
    <n v="5800"/>
    <n v="2900"/>
    <n v="18806.025000000001"/>
    <n v="0"/>
    <n v="1"/>
    <n v="0"/>
    <n v="0"/>
    <n v="0"/>
    <n v="0"/>
    <n v="0"/>
    <n v="0"/>
    <n v="0"/>
    <n v="0"/>
    <n v="0"/>
    <n v="0"/>
    <s v="Enligt SP 190924"/>
    <m/>
    <n v="0"/>
    <n v="0"/>
    <n v="0.5"/>
    <n v="0.42499999999999999"/>
    <n v="0"/>
    <n v="0"/>
    <n v="0"/>
    <n v="0"/>
    <n v="0"/>
    <n v="0"/>
    <n v="0"/>
    <n v="0"/>
    <n v="0"/>
    <n v="0"/>
    <n v="0"/>
    <n v="0"/>
    <n v="0"/>
    <n v="0"/>
    <n v="0"/>
    <n v="0"/>
    <n v="0"/>
    <n v="0"/>
    <n v="0"/>
  </r>
  <r>
    <x v="304"/>
    <x v="297"/>
    <m/>
    <x v="1"/>
    <s v="H15"/>
    <x v="2"/>
    <s v="H191-20"/>
    <m/>
    <m/>
    <s v="SVAA"/>
    <m/>
    <n v="100"/>
    <x v="7"/>
    <m/>
    <m/>
    <n v="1"/>
    <n v="0.5"/>
    <n v="0.85"/>
    <n v="0.42499999999999999"/>
    <n v="1620"/>
    <x v="10"/>
    <s v="Hum"/>
    <x v="1"/>
    <n v="18405"/>
    <n v="15773"/>
    <n v="15906.025"/>
    <n v="5800"/>
    <n v="2900"/>
    <n v="18806.025000000001"/>
    <n v="0"/>
    <n v="1"/>
    <n v="0"/>
    <n v="0"/>
    <n v="0"/>
    <n v="0"/>
    <n v="0"/>
    <n v="0"/>
    <n v="0"/>
    <n v="0"/>
    <n v="0"/>
    <n v="0"/>
    <s v="Enligt SP 190924"/>
    <m/>
    <n v="0"/>
    <n v="0"/>
    <n v="0.5"/>
    <n v="0.42499999999999999"/>
    <n v="0"/>
    <n v="0"/>
    <n v="0"/>
    <n v="0"/>
    <n v="0"/>
    <n v="0"/>
    <n v="0"/>
    <n v="0"/>
    <n v="0"/>
    <n v="0"/>
    <n v="0"/>
    <n v="0"/>
    <n v="0"/>
    <n v="0"/>
    <n v="0"/>
    <n v="0"/>
    <n v="0"/>
    <n v="0"/>
    <n v="0"/>
  </r>
  <r>
    <x v="304"/>
    <x v="297"/>
    <m/>
    <x v="1"/>
    <s v="H18"/>
    <x v="2"/>
    <s v="H191-20"/>
    <m/>
    <m/>
    <s v="SPAN"/>
    <m/>
    <n v="100"/>
    <x v="7"/>
    <m/>
    <m/>
    <n v="2"/>
    <n v="1"/>
    <n v="0.85"/>
    <n v="0.85"/>
    <n v="1620"/>
    <x v="10"/>
    <s v="Hum"/>
    <x v="1"/>
    <n v="18405"/>
    <n v="15773"/>
    <n v="31812.05"/>
    <n v="5800"/>
    <n v="5800"/>
    <n v="37612.050000000003"/>
    <n v="0"/>
    <n v="1"/>
    <n v="0"/>
    <n v="0"/>
    <n v="0"/>
    <n v="0"/>
    <n v="0"/>
    <n v="0"/>
    <n v="0"/>
    <n v="0"/>
    <n v="0"/>
    <n v="0"/>
    <s v="Enligt SP 190924"/>
    <m/>
    <n v="0"/>
    <n v="0"/>
    <n v="1"/>
    <n v="0.85"/>
    <n v="0"/>
    <n v="0"/>
    <n v="0"/>
    <n v="0"/>
    <n v="0"/>
    <n v="0"/>
    <n v="0"/>
    <n v="0"/>
    <n v="0"/>
    <n v="0"/>
    <n v="0"/>
    <n v="0"/>
    <n v="0"/>
    <n v="0"/>
    <n v="0"/>
    <n v="0"/>
    <n v="0"/>
    <n v="0"/>
    <n v="0"/>
  </r>
  <r>
    <x v="305"/>
    <x v="298"/>
    <m/>
    <x v="1"/>
    <s v="H14"/>
    <x v="1"/>
    <s v="H1816-20:V191-15"/>
    <s v="Umeå"/>
    <m/>
    <s v="ENGS"/>
    <m/>
    <n v="100"/>
    <x v="6"/>
    <m/>
    <m/>
    <n v="2"/>
    <n v="0.75"/>
    <n v="0.85"/>
    <n v="0.63749999999999996"/>
    <n v="1620"/>
    <x v="10"/>
    <s v="Hum"/>
    <x v="1"/>
    <n v="18405"/>
    <n v="15773"/>
    <n v="23859.037499999999"/>
    <n v="5800"/>
    <n v="4350"/>
    <n v="28209.037499999999"/>
    <n v="0"/>
    <n v="1"/>
    <n v="0"/>
    <n v="0"/>
    <n v="0"/>
    <n v="0"/>
    <n v="0"/>
    <n v="0"/>
    <n v="0"/>
    <n v="0"/>
    <n v="0"/>
    <n v="0"/>
    <s v="Enl Ladok 190318"/>
    <s v="Läser 22,5 av 30 hp denna termin"/>
    <n v="0"/>
    <n v="0"/>
    <n v="0.75"/>
    <n v="0.63749999999999996"/>
    <n v="0"/>
    <n v="0"/>
    <n v="0"/>
    <n v="0"/>
    <n v="0"/>
    <n v="0"/>
    <n v="0"/>
    <n v="0"/>
    <n v="0"/>
    <n v="0"/>
    <n v="0"/>
    <n v="0"/>
    <n v="0"/>
    <n v="0"/>
    <n v="0"/>
    <n v="0"/>
    <n v="0"/>
    <n v="0"/>
    <n v="0"/>
  </r>
  <r>
    <x v="305"/>
    <x v="298"/>
    <m/>
    <x v="1"/>
    <s v="H14"/>
    <x v="1"/>
    <s v="H1816-20:V191-15"/>
    <s v="Umeå"/>
    <m/>
    <s v="IDRH"/>
    <m/>
    <n v="100"/>
    <x v="6"/>
    <m/>
    <m/>
    <n v="2"/>
    <n v="0.75"/>
    <n v="0.85"/>
    <n v="0.63749999999999996"/>
    <n v="1620"/>
    <x v="10"/>
    <s v="Hum"/>
    <x v="1"/>
    <n v="18405"/>
    <n v="15773"/>
    <n v="23859.037499999999"/>
    <n v="5800"/>
    <n v="4350"/>
    <n v="28209.037499999999"/>
    <n v="0"/>
    <n v="1"/>
    <n v="0"/>
    <n v="0"/>
    <n v="0"/>
    <n v="0"/>
    <n v="0"/>
    <n v="0"/>
    <n v="0"/>
    <n v="0"/>
    <n v="0"/>
    <n v="0"/>
    <s v="Enl Ladok 190318"/>
    <s v="Läser 22,5 av 30 hp denna termin"/>
    <n v="0"/>
    <n v="0"/>
    <n v="0.75"/>
    <n v="0.63749999999999996"/>
    <n v="0"/>
    <n v="0"/>
    <n v="0"/>
    <n v="0"/>
    <n v="0"/>
    <n v="0"/>
    <n v="0"/>
    <n v="0"/>
    <n v="0"/>
    <n v="0"/>
    <n v="0"/>
    <n v="0"/>
    <n v="0"/>
    <n v="0"/>
    <n v="0"/>
    <n v="0"/>
    <n v="0"/>
    <n v="0"/>
    <n v="0"/>
  </r>
  <r>
    <x v="305"/>
    <x v="298"/>
    <m/>
    <x v="1"/>
    <s v="H14"/>
    <x v="1"/>
    <s v="H1816-20:V191-15"/>
    <s v="Umeå"/>
    <m/>
    <s v="SVAA"/>
    <m/>
    <n v="100"/>
    <x v="6"/>
    <m/>
    <m/>
    <n v="7"/>
    <n v="2.625"/>
    <n v="0.85"/>
    <n v="2.2312499999999997"/>
    <n v="1620"/>
    <x v="10"/>
    <s v="Hum"/>
    <x v="1"/>
    <n v="18405"/>
    <n v="15773"/>
    <n v="83506.631250000006"/>
    <n v="5800"/>
    <n v="15225"/>
    <n v="98731.631250000006"/>
    <n v="0"/>
    <n v="1"/>
    <n v="0"/>
    <n v="0"/>
    <n v="0"/>
    <n v="0"/>
    <n v="0"/>
    <n v="0"/>
    <n v="0"/>
    <n v="0"/>
    <n v="0"/>
    <n v="0"/>
    <s v="Enl Ladok 190318"/>
    <s v="Läser 22,5 av 30 hp denna termin"/>
    <n v="0"/>
    <n v="0"/>
    <n v="2.625"/>
    <n v="2.2312499999999997"/>
    <n v="0"/>
    <n v="0"/>
    <n v="0"/>
    <n v="0"/>
    <n v="0"/>
    <n v="0"/>
    <n v="0"/>
    <n v="0"/>
    <n v="0"/>
    <n v="0"/>
    <n v="0"/>
    <n v="0"/>
    <n v="0"/>
    <n v="0"/>
    <n v="0"/>
    <n v="0"/>
    <n v="0"/>
    <n v="0"/>
    <n v="0"/>
  </r>
  <r>
    <x v="305"/>
    <x v="298"/>
    <m/>
    <x v="1"/>
    <s v="H15"/>
    <x v="2"/>
    <s v="H1916-20:V201-15"/>
    <m/>
    <m/>
    <s v="ENGS"/>
    <m/>
    <n v="100"/>
    <x v="0"/>
    <m/>
    <m/>
    <n v="2"/>
    <n v="0.25"/>
    <n v="0.85"/>
    <n v="0.21249999999999999"/>
    <n v="1620"/>
    <x v="10"/>
    <s v="Hum"/>
    <x v="1"/>
    <n v="18405"/>
    <n v="15773"/>
    <n v="7953.0124999999998"/>
    <n v="5800"/>
    <n v="1450"/>
    <n v="9403.0125000000007"/>
    <n v="0"/>
    <n v="1"/>
    <n v="0"/>
    <n v="0"/>
    <n v="0"/>
    <n v="0"/>
    <n v="0"/>
    <n v="0"/>
    <n v="0"/>
    <n v="0"/>
    <n v="0"/>
    <n v="0"/>
    <s v="Enligt SP 190924"/>
    <s v="Läser 7,5 av 30 denna termin"/>
    <n v="0"/>
    <n v="0"/>
    <n v="0.25"/>
    <n v="0.21249999999999999"/>
    <n v="0"/>
    <n v="0"/>
    <n v="0"/>
    <n v="0"/>
    <n v="0"/>
    <n v="0"/>
    <n v="0"/>
    <n v="0"/>
    <n v="0"/>
    <n v="0"/>
    <n v="0"/>
    <n v="0"/>
    <n v="0"/>
    <n v="0"/>
    <n v="0"/>
    <n v="0"/>
    <n v="0"/>
    <n v="0"/>
    <n v="0"/>
  </r>
  <r>
    <x v="305"/>
    <x v="298"/>
    <m/>
    <x v="1"/>
    <s v="H15"/>
    <x v="2"/>
    <s v="H1916-20:V201-15"/>
    <m/>
    <m/>
    <s v="IDRH"/>
    <m/>
    <n v="100"/>
    <x v="0"/>
    <m/>
    <m/>
    <n v="1"/>
    <n v="0.125"/>
    <n v="0.85"/>
    <n v="0.10625"/>
    <n v="1620"/>
    <x v="10"/>
    <s v="Hum"/>
    <x v="1"/>
    <n v="18405"/>
    <n v="15773"/>
    <n v="3976.5062499999999"/>
    <n v="5800"/>
    <n v="725"/>
    <n v="4701.5062500000004"/>
    <n v="0"/>
    <n v="1"/>
    <n v="0"/>
    <n v="0"/>
    <n v="0"/>
    <n v="0"/>
    <n v="0"/>
    <n v="0"/>
    <n v="0"/>
    <n v="0"/>
    <n v="0"/>
    <n v="0"/>
    <s v="Enligt SP 190924"/>
    <s v="Läser 7,5 av 30 denna termin"/>
    <n v="0"/>
    <n v="0"/>
    <n v="0.125"/>
    <n v="0.10625"/>
    <n v="0"/>
    <n v="0"/>
    <n v="0"/>
    <n v="0"/>
    <n v="0"/>
    <n v="0"/>
    <n v="0"/>
    <n v="0"/>
    <n v="0"/>
    <n v="0"/>
    <n v="0"/>
    <n v="0"/>
    <n v="0"/>
    <n v="0"/>
    <n v="0"/>
    <n v="0"/>
    <n v="0"/>
    <n v="0"/>
    <n v="0"/>
  </r>
  <r>
    <x v="305"/>
    <x v="298"/>
    <m/>
    <x v="1"/>
    <s v="H15"/>
    <x v="2"/>
    <s v="H1916-20:V201-15"/>
    <m/>
    <m/>
    <s v="SVAA"/>
    <m/>
    <n v="100"/>
    <x v="0"/>
    <m/>
    <m/>
    <n v="10"/>
    <n v="1.25"/>
    <n v="0.85"/>
    <n v="1.0625"/>
    <n v="1620"/>
    <x v="10"/>
    <s v="Hum"/>
    <x v="1"/>
    <n v="18405"/>
    <n v="15773"/>
    <n v="39765.0625"/>
    <n v="5800"/>
    <n v="7250"/>
    <n v="47015.0625"/>
    <n v="0"/>
    <n v="1"/>
    <n v="0"/>
    <n v="0"/>
    <n v="0"/>
    <n v="0"/>
    <n v="0"/>
    <n v="0"/>
    <n v="0"/>
    <n v="0"/>
    <n v="0"/>
    <n v="0"/>
    <s v="Enligt SP 190924"/>
    <s v="Läser 7,5 av 30 denna termin"/>
    <n v="0"/>
    <n v="0"/>
    <n v="1.25"/>
    <n v="1.0625"/>
    <n v="0"/>
    <n v="0"/>
    <n v="0"/>
    <n v="0"/>
    <n v="0"/>
    <n v="0"/>
    <n v="0"/>
    <n v="0"/>
    <n v="0"/>
    <n v="0"/>
    <n v="0"/>
    <n v="0"/>
    <n v="0"/>
    <n v="0"/>
    <n v="0"/>
    <n v="0"/>
    <n v="0"/>
    <n v="0"/>
    <n v="0"/>
  </r>
  <r>
    <x v="305"/>
    <x v="298"/>
    <m/>
    <x v="1"/>
    <s v="H16"/>
    <x v="2"/>
    <s v="H1916-20:V201-15"/>
    <m/>
    <m/>
    <s v="IDRH"/>
    <m/>
    <n v="100"/>
    <x v="0"/>
    <m/>
    <m/>
    <n v="1"/>
    <n v="0.125"/>
    <n v="0.85"/>
    <n v="0.10625"/>
    <n v="1620"/>
    <x v="10"/>
    <s v="Hum"/>
    <x v="1"/>
    <n v="18405"/>
    <n v="15773"/>
    <n v="3976.5062499999999"/>
    <n v="5800"/>
    <n v="725"/>
    <n v="4701.5062500000004"/>
    <n v="0"/>
    <n v="1"/>
    <n v="0"/>
    <n v="0"/>
    <n v="0"/>
    <n v="0"/>
    <n v="0"/>
    <n v="0"/>
    <n v="0"/>
    <n v="0"/>
    <n v="0"/>
    <n v="0"/>
    <s v="Enligt SP 190924"/>
    <s v="Läser 7,5 av 30 denna termin"/>
    <n v="0"/>
    <n v="0"/>
    <n v="0.125"/>
    <n v="0.10625"/>
    <n v="0"/>
    <n v="0"/>
    <n v="0"/>
    <n v="0"/>
    <n v="0"/>
    <n v="0"/>
    <n v="0"/>
    <n v="0"/>
    <n v="0"/>
    <n v="0"/>
    <n v="0"/>
    <n v="0"/>
    <n v="0"/>
    <n v="0"/>
    <n v="0"/>
    <n v="0"/>
    <n v="0"/>
    <n v="0"/>
    <n v="0"/>
  </r>
  <r>
    <x v="305"/>
    <x v="298"/>
    <m/>
    <x v="1"/>
    <s v="H16"/>
    <x v="2"/>
    <s v="H1916-20:V201-15"/>
    <m/>
    <m/>
    <s v="SVAA"/>
    <m/>
    <n v="100"/>
    <x v="0"/>
    <m/>
    <m/>
    <n v="1"/>
    <n v="0.125"/>
    <n v="0.85"/>
    <n v="0.10625"/>
    <n v="1620"/>
    <x v="10"/>
    <s v="Hum"/>
    <x v="1"/>
    <n v="18405"/>
    <n v="15773"/>
    <n v="3976.5062499999999"/>
    <n v="5800"/>
    <n v="725"/>
    <n v="4701.5062500000004"/>
    <n v="0"/>
    <n v="1"/>
    <n v="0"/>
    <n v="0"/>
    <n v="0"/>
    <n v="0"/>
    <n v="0"/>
    <n v="0"/>
    <n v="0"/>
    <n v="0"/>
    <n v="0"/>
    <n v="0"/>
    <s v="Enligt SP 190924"/>
    <s v="Läser 7,5 av 30 denna termin"/>
    <n v="0"/>
    <n v="0"/>
    <n v="0.125"/>
    <n v="0.10625"/>
    <n v="0"/>
    <n v="0"/>
    <n v="0"/>
    <n v="0"/>
    <n v="0"/>
    <n v="0"/>
    <n v="0"/>
    <n v="0"/>
    <n v="0"/>
    <n v="0"/>
    <n v="0"/>
    <n v="0"/>
    <n v="0"/>
    <n v="0"/>
    <n v="0"/>
    <n v="0"/>
    <n v="0"/>
    <n v="0"/>
    <n v="0"/>
  </r>
  <r>
    <x v="306"/>
    <x v="299"/>
    <m/>
    <x v="1"/>
    <s v="H12"/>
    <x v="1"/>
    <s v="H1816-20:V191-15"/>
    <s v="Umeå"/>
    <m/>
    <s v="ENGS"/>
    <m/>
    <n v="100"/>
    <x v="6"/>
    <m/>
    <m/>
    <n v="1"/>
    <n v="0.375"/>
    <n v="0.85"/>
    <n v="0.31874999999999998"/>
    <n v="1620"/>
    <x v="10"/>
    <s v="Hum"/>
    <x v="1"/>
    <n v="18405"/>
    <n v="15773"/>
    <n v="11929.518749999999"/>
    <n v="5800"/>
    <n v="2175"/>
    <n v="14104.518749999999"/>
    <n v="0"/>
    <n v="1"/>
    <n v="0"/>
    <n v="0"/>
    <n v="0"/>
    <n v="0"/>
    <n v="0"/>
    <n v="0"/>
    <n v="0"/>
    <n v="0"/>
    <n v="0"/>
    <n v="0"/>
    <s v="Enl Ladok 190318"/>
    <s v="Läser 22,5 av 30 hp denna termin"/>
    <n v="0"/>
    <n v="0"/>
    <n v="0.375"/>
    <n v="0.31874999999999998"/>
    <n v="0"/>
    <n v="0"/>
    <n v="0"/>
    <n v="0"/>
    <n v="0"/>
    <n v="0"/>
    <n v="0"/>
    <n v="0"/>
    <n v="0"/>
    <n v="0"/>
    <n v="0"/>
    <n v="0"/>
    <n v="0"/>
    <n v="0"/>
    <n v="0"/>
    <n v="0"/>
    <n v="0"/>
    <n v="0"/>
    <n v="0"/>
  </r>
  <r>
    <x v="306"/>
    <x v="299"/>
    <m/>
    <x v="1"/>
    <s v="H14"/>
    <x v="1"/>
    <s v="H1816-20:V191-15"/>
    <s v="Umeå"/>
    <m/>
    <s v="ENGS"/>
    <m/>
    <n v="100"/>
    <x v="6"/>
    <m/>
    <m/>
    <n v="9"/>
    <n v="3.375"/>
    <n v="0.85"/>
    <n v="2.8687499999999999"/>
    <n v="1620"/>
    <x v="10"/>
    <s v="Hum"/>
    <x v="1"/>
    <n v="18405"/>
    <n v="15773"/>
    <n v="107365.66875"/>
    <n v="5800"/>
    <n v="19575"/>
    <n v="126940.66875"/>
    <n v="0"/>
    <n v="1"/>
    <n v="0"/>
    <n v="0"/>
    <n v="0"/>
    <n v="0"/>
    <n v="0"/>
    <n v="0"/>
    <n v="0"/>
    <n v="0"/>
    <n v="0"/>
    <n v="0"/>
    <s v="Enl Ladok 190318"/>
    <s v="Läser 22,5 av 30 hp denna termin"/>
    <n v="0"/>
    <n v="0"/>
    <n v="3.375"/>
    <n v="2.8687499999999999"/>
    <n v="0"/>
    <n v="0"/>
    <n v="0"/>
    <n v="0"/>
    <n v="0"/>
    <n v="0"/>
    <n v="0"/>
    <n v="0"/>
    <n v="0"/>
    <n v="0"/>
    <n v="0"/>
    <n v="0"/>
    <n v="0"/>
    <n v="0"/>
    <n v="0"/>
    <n v="0"/>
    <n v="0"/>
    <n v="0"/>
    <n v="0"/>
  </r>
  <r>
    <x v="306"/>
    <x v="299"/>
    <m/>
    <x v="1"/>
    <s v="H14"/>
    <x v="1"/>
    <s v="H1816-20:V191-15"/>
    <s v="Umeå"/>
    <m/>
    <s v="HIST"/>
    <m/>
    <n v="100"/>
    <x v="6"/>
    <m/>
    <m/>
    <n v="1"/>
    <n v="0.375"/>
    <n v="0.85"/>
    <n v="0.31874999999999998"/>
    <n v="1620"/>
    <x v="10"/>
    <s v="Hum"/>
    <x v="1"/>
    <n v="18405"/>
    <n v="15773"/>
    <n v="11929.518749999999"/>
    <n v="5800"/>
    <n v="2175"/>
    <n v="14104.518749999999"/>
    <n v="0"/>
    <n v="1"/>
    <n v="0"/>
    <n v="0"/>
    <n v="0"/>
    <n v="0"/>
    <n v="0"/>
    <n v="0"/>
    <n v="0"/>
    <n v="0"/>
    <n v="0"/>
    <n v="0"/>
    <s v="Enl Ladok 190318"/>
    <s v="Läser 22,5 av 30 hp denna termin"/>
    <n v="0"/>
    <n v="0"/>
    <n v="0.375"/>
    <n v="0.31874999999999998"/>
    <n v="0"/>
    <n v="0"/>
    <n v="0"/>
    <n v="0"/>
    <n v="0"/>
    <n v="0"/>
    <n v="0"/>
    <n v="0"/>
    <n v="0"/>
    <n v="0"/>
    <n v="0"/>
    <n v="0"/>
    <n v="0"/>
    <n v="0"/>
    <n v="0"/>
    <n v="0"/>
    <n v="0"/>
    <n v="0"/>
    <n v="0"/>
  </r>
  <r>
    <x v="306"/>
    <x v="299"/>
    <m/>
    <x v="1"/>
    <s v="H14"/>
    <x v="1"/>
    <s v="H1816-20:V191-15"/>
    <s v="Umeå"/>
    <m/>
    <s v="MATT"/>
    <m/>
    <n v="100"/>
    <x v="6"/>
    <m/>
    <m/>
    <n v="3"/>
    <n v="1.125"/>
    <n v="0.85"/>
    <n v="0.95624999999999993"/>
    <n v="1620"/>
    <x v="10"/>
    <s v="Hum"/>
    <x v="1"/>
    <n v="18405"/>
    <n v="15773"/>
    <n v="35788.556250000001"/>
    <n v="5800"/>
    <n v="6525"/>
    <n v="42313.556250000001"/>
    <n v="0"/>
    <n v="1"/>
    <n v="0"/>
    <n v="0"/>
    <n v="0"/>
    <n v="0"/>
    <n v="0"/>
    <n v="0"/>
    <n v="0"/>
    <n v="0"/>
    <n v="0"/>
    <n v="0"/>
    <s v="Enl Ladok 190318"/>
    <s v="Läser 22,5 av 30 hp denna termin"/>
    <n v="0"/>
    <n v="0"/>
    <n v="1.125"/>
    <n v="0.95624999999999993"/>
    <n v="0"/>
    <n v="0"/>
    <n v="0"/>
    <n v="0"/>
    <n v="0"/>
    <n v="0"/>
    <n v="0"/>
    <n v="0"/>
    <n v="0"/>
    <n v="0"/>
    <n v="0"/>
    <n v="0"/>
    <n v="0"/>
    <n v="0"/>
    <n v="0"/>
    <n v="0"/>
    <n v="0"/>
    <n v="0"/>
    <n v="0"/>
  </r>
  <r>
    <x v="306"/>
    <x v="299"/>
    <m/>
    <x v="1"/>
    <s v="H14"/>
    <x v="2"/>
    <s v="H1916-20:V201-15"/>
    <m/>
    <m/>
    <s v="ENGS"/>
    <m/>
    <n v="100"/>
    <x v="0"/>
    <m/>
    <m/>
    <n v="2"/>
    <n v="0.25"/>
    <n v="0.85"/>
    <n v="0.21249999999999999"/>
    <n v="1620"/>
    <x v="10"/>
    <s v="Hum"/>
    <x v="1"/>
    <n v="18405"/>
    <n v="15773"/>
    <n v="7953.0124999999998"/>
    <n v="5800"/>
    <n v="1450"/>
    <n v="9403.0125000000007"/>
    <n v="0"/>
    <n v="1"/>
    <n v="0"/>
    <n v="0"/>
    <n v="0"/>
    <n v="0"/>
    <n v="0"/>
    <n v="0"/>
    <n v="0"/>
    <n v="0"/>
    <n v="0"/>
    <n v="0"/>
    <s v="Enligt SP 190924"/>
    <s v="Läser 7,5 av 30 denna termin"/>
    <n v="0"/>
    <n v="0"/>
    <n v="0.25"/>
    <n v="0.21249999999999999"/>
    <n v="0"/>
    <n v="0"/>
    <n v="0"/>
    <n v="0"/>
    <n v="0"/>
    <n v="0"/>
    <n v="0"/>
    <n v="0"/>
    <n v="0"/>
    <n v="0"/>
    <n v="0"/>
    <n v="0"/>
    <n v="0"/>
    <n v="0"/>
    <n v="0"/>
    <n v="0"/>
    <n v="0"/>
    <n v="0"/>
    <n v="0"/>
  </r>
  <r>
    <x v="306"/>
    <x v="299"/>
    <m/>
    <x v="1"/>
    <s v="H15"/>
    <x v="2"/>
    <s v="H1916-20:V201-15"/>
    <m/>
    <m/>
    <s v="ENGS"/>
    <m/>
    <n v="100"/>
    <x v="0"/>
    <m/>
    <m/>
    <n v="5"/>
    <n v="0.625"/>
    <n v="0.85"/>
    <n v="0.53125"/>
    <n v="1620"/>
    <x v="10"/>
    <s v="Hum"/>
    <x v="1"/>
    <n v="18405"/>
    <n v="15773"/>
    <n v="19882.53125"/>
    <n v="5800"/>
    <n v="3625"/>
    <n v="23507.53125"/>
    <n v="0"/>
    <n v="1"/>
    <n v="0"/>
    <n v="0"/>
    <n v="0"/>
    <n v="0"/>
    <n v="0"/>
    <n v="0"/>
    <n v="0"/>
    <n v="0"/>
    <n v="0"/>
    <n v="0"/>
    <s v="Enligt SP 190924"/>
    <s v="Läser 7,5 av 30 denna termin"/>
    <n v="0"/>
    <n v="0"/>
    <n v="0.625"/>
    <n v="0.53125"/>
    <n v="0"/>
    <n v="0"/>
    <n v="0"/>
    <n v="0"/>
    <n v="0"/>
    <n v="0"/>
    <n v="0"/>
    <n v="0"/>
    <n v="0"/>
    <n v="0"/>
    <n v="0"/>
    <n v="0"/>
    <n v="0"/>
    <n v="0"/>
    <n v="0"/>
    <n v="0"/>
    <n v="0"/>
    <n v="0"/>
    <n v="0"/>
  </r>
  <r>
    <x v="306"/>
    <x v="299"/>
    <m/>
    <x v="1"/>
    <s v="H15"/>
    <x v="2"/>
    <s v="H1916-20:V201-15"/>
    <m/>
    <m/>
    <s v="RELK"/>
    <m/>
    <n v="100"/>
    <x v="0"/>
    <m/>
    <m/>
    <n v="1"/>
    <n v="0.125"/>
    <n v="0.85"/>
    <n v="0.10625"/>
    <n v="1620"/>
    <x v="10"/>
    <s v="Hum"/>
    <x v="1"/>
    <n v="18405"/>
    <n v="15773"/>
    <n v="3976.5062499999999"/>
    <n v="5800"/>
    <n v="725"/>
    <n v="4701.5062500000004"/>
    <n v="0"/>
    <n v="1"/>
    <n v="0"/>
    <n v="0"/>
    <n v="0"/>
    <n v="0"/>
    <n v="0"/>
    <n v="0"/>
    <n v="0"/>
    <n v="0"/>
    <n v="0"/>
    <n v="0"/>
    <s v="Enligt SP 190924"/>
    <s v="Läser 7,5 av 30 denna termin"/>
    <n v="0"/>
    <n v="0"/>
    <n v="0.125"/>
    <n v="0.10625"/>
    <n v="0"/>
    <n v="0"/>
    <n v="0"/>
    <n v="0"/>
    <n v="0"/>
    <n v="0"/>
    <n v="0"/>
    <n v="0"/>
    <n v="0"/>
    <n v="0"/>
    <n v="0"/>
    <n v="0"/>
    <n v="0"/>
    <n v="0"/>
    <n v="0"/>
    <n v="0"/>
    <n v="0"/>
    <n v="0"/>
    <n v="0"/>
  </r>
  <r>
    <x v="306"/>
    <x v="299"/>
    <m/>
    <x v="1"/>
    <s v="H16"/>
    <x v="1"/>
    <s v="H1816-20:V191-15"/>
    <s v="Umeå"/>
    <m/>
    <s v="ENGS"/>
    <m/>
    <n v="100"/>
    <x v="6"/>
    <m/>
    <m/>
    <n v="1"/>
    <n v="0.375"/>
    <n v="0.85"/>
    <n v="0.31874999999999998"/>
    <n v="1620"/>
    <x v="10"/>
    <s v="Hum"/>
    <x v="1"/>
    <n v="18405"/>
    <n v="15773"/>
    <n v="11929.518749999999"/>
    <n v="5800"/>
    <n v="2175"/>
    <n v="14104.518749999999"/>
    <n v="0"/>
    <n v="1"/>
    <n v="0"/>
    <n v="0"/>
    <n v="0"/>
    <n v="0"/>
    <n v="0"/>
    <n v="0"/>
    <n v="0"/>
    <n v="0"/>
    <n v="0"/>
    <n v="0"/>
    <s v="Enl Ladok 190318"/>
    <s v="Läser 22,5 av 30 hp denna termin"/>
    <n v="0"/>
    <n v="0"/>
    <n v="0.375"/>
    <n v="0.31874999999999998"/>
    <n v="0"/>
    <n v="0"/>
    <n v="0"/>
    <n v="0"/>
    <n v="0"/>
    <n v="0"/>
    <n v="0"/>
    <n v="0"/>
    <n v="0"/>
    <n v="0"/>
    <n v="0"/>
    <n v="0"/>
    <n v="0"/>
    <n v="0"/>
    <n v="0"/>
    <n v="0"/>
    <n v="0"/>
    <n v="0"/>
    <n v="0"/>
  </r>
  <r>
    <x v="307"/>
    <x v="300"/>
    <m/>
    <x v="0"/>
    <m/>
    <x v="2"/>
    <m/>
    <m/>
    <s v="Distans"/>
    <m/>
    <m/>
    <n v="25"/>
    <x v="0"/>
    <m/>
    <m/>
    <n v="6"/>
    <n v="0.75"/>
    <n v="0.8"/>
    <n v="0.60000000000000009"/>
    <n v="1620"/>
    <x v="10"/>
    <s v="Hum"/>
    <x v="0"/>
    <n v="18405"/>
    <n v="15773"/>
    <n v="23267.550000000003"/>
    <n v="5800"/>
    <n v="4350"/>
    <n v="27617.550000000003"/>
    <n v="0"/>
    <n v="1"/>
    <n v="0"/>
    <n v="0"/>
    <n v="0"/>
    <n v="0"/>
    <n v="0"/>
    <n v="0"/>
    <n v="0"/>
    <n v="0"/>
    <n v="0"/>
    <n v="0"/>
    <s v="Äskat - Beslut p43 180607"/>
    <m/>
    <n v="0"/>
    <n v="0"/>
    <n v="0.75"/>
    <n v="0.60000000000000009"/>
    <n v="0"/>
    <n v="0"/>
    <n v="0"/>
    <n v="0"/>
    <n v="0"/>
    <n v="0"/>
    <n v="0"/>
    <n v="0"/>
    <n v="0"/>
    <n v="0"/>
    <n v="0"/>
    <n v="0"/>
    <n v="0"/>
    <n v="0"/>
    <n v="0"/>
    <n v="0"/>
    <n v="0"/>
    <n v="0"/>
    <n v="0"/>
  </r>
  <r>
    <x v="308"/>
    <x v="301"/>
    <m/>
    <x v="0"/>
    <m/>
    <x v="1"/>
    <m/>
    <m/>
    <s v="Distans"/>
    <m/>
    <m/>
    <n v="50"/>
    <x v="1"/>
    <m/>
    <m/>
    <n v="0"/>
    <n v="0"/>
    <n v="0.8"/>
    <n v="0"/>
    <n v="1620"/>
    <x v="10"/>
    <s v="Hum"/>
    <x v="0"/>
    <n v="18405"/>
    <n v="15773"/>
    <n v="0"/>
    <n v="5800"/>
    <n v="0"/>
    <n v="0"/>
    <n v="0"/>
    <n v="1"/>
    <n v="0"/>
    <n v="0"/>
    <n v="0"/>
    <n v="0"/>
    <n v="0"/>
    <n v="0"/>
    <n v="0"/>
    <n v="0"/>
    <n v="0"/>
    <n v="0"/>
    <s v="Äskat - Beslut p43 180607"/>
    <m/>
    <n v="0"/>
    <n v="0"/>
    <n v="0"/>
    <n v="0"/>
    <n v="0"/>
    <n v="0"/>
    <n v="0"/>
    <n v="0"/>
    <n v="0"/>
    <n v="0"/>
    <n v="0"/>
    <n v="0"/>
    <n v="0"/>
    <n v="0"/>
    <n v="0"/>
    <n v="0"/>
    <n v="0"/>
    <n v="0"/>
    <n v="0"/>
    <n v="0"/>
    <n v="0"/>
    <n v="0"/>
    <n v="0"/>
  </r>
  <r>
    <x v="309"/>
    <x v="302"/>
    <m/>
    <x v="0"/>
    <m/>
    <x v="2"/>
    <m/>
    <m/>
    <s v="Distans"/>
    <m/>
    <m/>
    <n v="25"/>
    <x v="0"/>
    <m/>
    <m/>
    <n v="20"/>
    <n v="2.5"/>
    <n v="0.8"/>
    <n v="2"/>
    <n v="1620"/>
    <x v="10"/>
    <s v="Hum"/>
    <x v="0"/>
    <n v="18405"/>
    <n v="15773"/>
    <n v="77558.5"/>
    <n v="5800"/>
    <n v="14500"/>
    <n v="92058.5"/>
    <n v="0"/>
    <n v="1"/>
    <n v="0"/>
    <n v="0"/>
    <n v="0"/>
    <n v="0"/>
    <n v="0"/>
    <n v="0"/>
    <n v="0"/>
    <n v="0"/>
    <n v="0"/>
    <n v="0"/>
    <s v="Äskat - Beslut p43 180607"/>
    <m/>
    <n v="0"/>
    <n v="0"/>
    <n v="2.5"/>
    <n v="2"/>
    <n v="0"/>
    <n v="0"/>
    <n v="0"/>
    <n v="0"/>
    <n v="0"/>
    <n v="0"/>
    <n v="0"/>
    <n v="0"/>
    <n v="0"/>
    <n v="0"/>
    <n v="0"/>
    <n v="0"/>
    <n v="0"/>
    <n v="0"/>
    <n v="0"/>
    <n v="0"/>
    <n v="0"/>
    <n v="0"/>
    <n v="0"/>
  </r>
  <r>
    <x v="310"/>
    <x v="303"/>
    <m/>
    <x v="0"/>
    <m/>
    <x v="1"/>
    <m/>
    <m/>
    <s v="Distans"/>
    <m/>
    <m/>
    <n v="25"/>
    <x v="0"/>
    <m/>
    <m/>
    <n v="0"/>
    <n v="0"/>
    <n v="0.8"/>
    <n v="0"/>
    <n v="1620"/>
    <x v="10"/>
    <s v="Hum"/>
    <x v="0"/>
    <n v="18405"/>
    <n v="15773"/>
    <n v="0"/>
    <n v="5800"/>
    <n v="0"/>
    <n v="0"/>
    <n v="0"/>
    <n v="1"/>
    <n v="0"/>
    <n v="0"/>
    <n v="0"/>
    <n v="0"/>
    <n v="0"/>
    <n v="0"/>
    <n v="0"/>
    <n v="0"/>
    <n v="0"/>
    <n v="0"/>
    <s v="Äskat - Beslut p43 180607"/>
    <m/>
    <n v="0"/>
    <n v="0"/>
    <n v="0"/>
    <n v="0"/>
    <n v="0"/>
    <n v="0"/>
    <n v="0"/>
    <n v="0"/>
    <n v="0"/>
    <n v="0"/>
    <n v="0"/>
    <n v="0"/>
    <n v="0"/>
    <n v="0"/>
    <n v="0"/>
    <n v="0"/>
    <n v="0"/>
    <n v="0"/>
    <n v="0"/>
    <n v="0"/>
    <n v="0"/>
    <n v="0"/>
    <n v="0"/>
  </r>
  <r>
    <x v="311"/>
    <x v="304"/>
    <m/>
    <x v="11"/>
    <s v="H18"/>
    <x v="1"/>
    <s v="V191-20"/>
    <s v="Umeå"/>
    <m/>
    <s v="SVGG"/>
    <m/>
    <n v="100"/>
    <x v="7"/>
    <m/>
    <m/>
    <n v="1"/>
    <n v="0.5"/>
    <n v="0.85"/>
    <n v="0.42499999999999999"/>
    <n v="1620"/>
    <x v="10"/>
    <s v="Hum"/>
    <x v="11"/>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311"/>
    <x v="304"/>
    <m/>
    <x v="11"/>
    <s v="H18"/>
    <x v="1"/>
    <s v="V191-20"/>
    <s v="Umeå"/>
    <m/>
    <s v="SVGG"/>
    <m/>
    <n v="100"/>
    <x v="7"/>
    <m/>
    <m/>
    <n v="16"/>
    <n v="8"/>
    <n v="0.85"/>
    <n v="6.8"/>
    <n v="1620"/>
    <x v="10"/>
    <s v="Hum"/>
    <x v="11"/>
    <n v="18405"/>
    <n v="15773"/>
    <n v="254496.4"/>
    <n v="5800"/>
    <n v="46400"/>
    <n v="300896.40000000002"/>
    <n v="0"/>
    <n v="1"/>
    <n v="0"/>
    <n v="0"/>
    <n v="0"/>
    <n v="0"/>
    <n v="0"/>
    <n v="0"/>
    <n v="0"/>
    <n v="0"/>
    <n v="0"/>
    <n v="0"/>
    <s v="Enl Ladok 190318"/>
    <m/>
    <n v="0"/>
    <n v="0"/>
    <n v="8"/>
    <n v="6.8"/>
    <n v="0"/>
    <n v="0"/>
    <n v="0"/>
    <n v="0"/>
    <n v="0"/>
    <n v="0"/>
    <n v="0"/>
    <n v="0"/>
    <n v="0"/>
    <n v="0"/>
    <n v="0"/>
    <n v="0"/>
    <n v="0"/>
    <n v="0"/>
    <n v="0"/>
    <n v="0"/>
    <n v="0"/>
    <n v="0"/>
    <n v="0"/>
  </r>
  <r>
    <x v="312"/>
    <x v="305"/>
    <m/>
    <x v="11"/>
    <s v="H18"/>
    <x v="2"/>
    <s v="H196-15"/>
    <m/>
    <m/>
    <s v="SVGG"/>
    <m/>
    <n v="100"/>
    <x v="1"/>
    <m/>
    <m/>
    <n v="16"/>
    <n v="4"/>
    <n v="0.85"/>
    <n v="3.4"/>
    <n v="1620"/>
    <x v="10"/>
    <s v="Hum"/>
    <x v="11"/>
    <n v="18405"/>
    <n v="15773"/>
    <n v="127248.2"/>
    <n v="5800"/>
    <n v="23200"/>
    <n v="150448.20000000001"/>
    <n v="0"/>
    <n v="0"/>
    <n v="0"/>
    <n v="0"/>
    <n v="0"/>
    <n v="0"/>
    <n v="1"/>
    <n v="0"/>
    <n v="0"/>
    <n v="0"/>
    <n v="0"/>
    <n v="0"/>
    <s v="Enligt SP 190924"/>
    <m/>
    <n v="0"/>
    <n v="0"/>
    <n v="0"/>
    <n v="0"/>
    <n v="0"/>
    <n v="0"/>
    <n v="0"/>
    <n v="0"/>
    <n v="0"/>
    <n v="0"/>
    <n v="0"/>
    <n v="0"/>
    <n v="4"/>
    <n v="3.4"/>
    <n v="0"/>
    <n v="0"/>
    <n v="0"/>
    <n v="0"/>
    <n v="0"/>
    <n v="0"/>
    <n v="0"/>
    <n v="0"/>
    <n v="0"/>
  </r>
  <r>
    <x v="313"/>
    <x v="306"/>
    <m/>
    <x v="11"/>
    <s v="H18"/>
    <x v="2"/>
    <s v="H1916-20"/>
    <m/>
    <m/>
    <s v="MAGG"/>
    <m/>
    <n v="100"/>
    <x v="0"/>
    <m/>
    <m/>
    <n v="8"/>
    <n v="1"/>
    <n v="0.85"/>
    <n v="0.85"/>
    <n v="1620"/>
    <x v="10"/>
    <s v="Hum"/>
    <x v="11"/>
    <n v="18405"/>
    <n v="15773"/>
    <n v="31812.05"/>
    <n v="5800"/>
    <n v="5800"/>
    <n v="37612.050000000003"/>
    <n v="0"/>
    <n v="0"/>
    <n v="0"/>
    <n v="0"/>
    <n v="0"/>
    <n v="0"/>
    <n v="1"/>
    <n v="0"/>
    <n v="0"/>
    <n v="0"/>
    <n v="0"/>
    <n v="0"/>
    <s v="Enligt SP 190924"/>
    <m/>
    <n v="0"/>
    <n v="0"/>
    <n v="0"/>
    <n v="0"/>
    <n v="0"/>
    <n v="0"/>
    <n v="0"/>
    <n v="0"/>
    <n v="0"/>
    <n v="0"/>
    <n v="0"/>
    <n v="0"/>
    <n v="1"/>
    <n v="0.85"/>
    <n v="0"/>
    <n v="0"/>
    <n v="0"/>
    <n v="0"/>
    <n v="0"/>
    <n v="0"/>
    <n v="0"/>
    <n v="0"/>
    <n v="0"/>
  </r>
  <r>
    <x v="314"/>
    <x v="307"/>
    <m/>
    <x v="1"/>
    <s v="H16"/>
    <x v="1"/>
    <s v="V191-20"/>
    <s v="Umeå"/>
    <m/>
    <s v="ENGS"/>
    <m/>
    <n v="100"/>
    <x v="7"/>
    <m/>
    <m/>
    <n v="3"/>
    <n v="1.5"/>
    <n v="0.85"/>
    <n v="1.2749999999999999"/>
    <n v="2340"/>
    <x v="16"/>
    <s v="Sam"/>
    <x v="1"/>
    <n v="18405"/>
    <n v="15773"/>
    <n v="47718.074999999997"/>
    <n v="5800"/>
    <n v="8700"/>
    <n v="56418.074999999997"/>
    <n v="0"/>
    <n v="1"/>
    <n v="0"/>
    <n v="0"/>
    <n v="0"/>
    <n v="0"/>
    <n v="0"/>
    <n v="0"/>
    <n v="0"/>
    <n v="0"/>
    <n v="0"/>
    <n v="0"/>
    <s v="Enl Ladok 190318"/>
    <m/>
    <n v="0"/>
    <n v="0"/>
    <n v="1.5"/>
    <n v="1.2749999999999999"/>
    <n v="0"/>
    <n v="0"/>
    <n v="0"/>
    <n v="0"/>
    <n v="0"/>
    <n v="0"/>
    <n v="0"/>
    <n v="0"/>
    <n v="0"/>
    <n v="0"/>
    <n v="0"/>
    <n v="0"/>
    <n v="0"/>
    <n v="0"/>
    <n v="0"/>
    <n v="0"/>
    <n v="0"/>
    <n v="0"/>
    <n v="0"/>
  </r>
  <r>
    <x v="314"/>
    <x v="307"/>
    <m/>
    <x v="1"/>
    <s v="H16"/>
    <x v="1"/>
    <s v="V191-20"/>
    <s v="Umeå"/>
    <m/>
    <s v="HIST"/>
    <m/>
    <n v="100"/>
    <x v="7"/>
    <m/>
    <m/>
    <n v="2"/>
    <n v="1"/>
    <n v="0.85"/>
    <n v="0.85"/>
    <n v="2340"/>
    <x v="16"/>
    <s v="Sam"/>
    <x v="1"/>
    <n v="18405"/>
    <n v="15773"/>
    <n v="31812.05"/>
    <n v="5800"/>
    <n v="5800"/>
    <n v="37612.050000000003"/>
    <n v="0"/>
    <n v="1"/>
    <n v="0"/>
    <n v="0"/>
    <n v="0"/>
    <n v="0"/>
    <n v="0"/>
    <n v="0"/>
    <n v="0"/>
    <n v="0"/>
    <n v="0"/>
    <n v="0"/>
    <s v="Enl Ladok 190318"/>
    <m/>
    <n v="0"/>
    <n v="0"/>
    <n v="1"/>
    <n v="0.85"/>
    <n v="0"/>
    <n v="0"/>
    <n v="0"/>
    <n v="0"/>
    <n v="0"/>
    <n v="0"/>
    <n v="0"/>
    <n v="0"/>
    <n v="0"/>
    <n v="0"/>
    <n v="0"/>
    <n v="0"/>
    <n v="0"/>
    <n v="0"/>
    <n v="0"/>
    <n v="0"/>
    <n v="0"/>
    <n v="0"/>
    <n v="0"/>
  </r>
  <r>
    <x v="314"/>
    <x v="307"/>
    <m/>
    <x v="1"/>
    <s v="H16"/>
    <x v="1"/>
    <s v="V191-20"/>
    <s v="Umeå"/>
    <m/>
    <s v="IDRH"/>
    <m/>
    <n v="100"/>
    <x v="7"/>
    <m/>
    <m/>
    <n v="2"/>
    <n v="1"/>
    <n v="0.85"/>
    <n v="0.85"/>
    <n v="2340"/>
    <x v="16"/>
    <s v="Sam"/>
    <x v="1"/>
    <n v="18405"/>
    <n v="15773"/>
    <n v="31812.05"/>
    <n v="5800"/>
    <n v="5800"/>
    <n v="37612.050000000003"/>
    <n v="0"/>
    <n v="1"/>
    <n v="0"/>
    <n v="0"/>
    <n v="0"/>
    <n v="0"/>
    <n v="0"/>
    <n v="0"/>
    <n v="0"/>
    <n v="0"/>
    <n v="0"/>
    <n v="0"/>
    <s v="Enl Ladok 190318"/>
    <m/>
    <n v="0"/>
    <n v="0"/>
    <n v="1"/>
    <n v="0.85"/>
    <n v="0"/>
    <n v="0"/>
    <n v="0"/>
    <n v="0"/>
    <n v="0"/>
    <n v="0"/>
    <n v="0"/>
    <n v="0"/>
    <n v="0"/>
    <n v="0"/>
    <n v="0"/>
    <n v="0"/>
    <n v="0"/>
    <n v="0"/>
    <n v="0"/>
    <n v="0"/>
    <n v="0"/>
    <n v="0"/>
    <n v="0"/>
  </r>
  <r>
    <x v="314"/>
    <x v="307"/>
    <m/>
    <x v="1"/>
    <s v="H18"/>
    <x v="1"/>
    <s v="V191-20"/>
    <s v="Umeå"/>
    <m/>
    <s v="ENGS"/>
    <m/>
    <n v="100"/>
    <x v="7"/>
    <m/>
    <m/>
    <n v="1"/>
    <n v="0.5"/>
    <n v="0.85"/>
    <n v="0.42499999999999999"/>
    <n v="2340"/>
    <x v="16"/>
    <s v="Sam"/>
    <x v="1"/>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314"/>
    <x v="307"/>
    <m/>
    <x v="1"/>
    <s v="H18"/>
    <x v="1"/>
    <s v="V191-20"/>
    <s v="Umeå"/>
    <m/>
    <s v="SAMK"/>
    <m/>
    <n v="100"/>
    <x v="7"/>
    <m/>
    <m/>
    <n v="14"/>
    <n v="7"/>
    <n v="0.85"/>
    <n v="5.95"/>
    <n v="2340"/>
    <x v="16"/>
    <s v="Sam"/>
    <x v="1"/>
    <n v="18405"/>
    <n v="15773"/>
    <n v="222684.35"/>
    <n v="5800"/>
    <n v="40600"/>
    <n v="263284.34999999998"/>
    <n v="0"/>
    <n v="1"/>
    <n v="0"/>
    <n v="0"/>
    <n v="0"/>
    <n v="0"/>
    <n v="0"/>
    <n v="0"/>
    <n v="0"/>
    <n v="0"/>
    <n v="0"/>
    <n v="0"/>
    <s v="Enl Ladok 190318"/>
    <m/>
    <n v="0"/>
    <n v="0"/>
    <n v="7"/>
    <n v="5.95"/>
    <n v="0"/>
    <n v="0"/>
    <n v="0"/>
    <n v="0"/>
    <n v="0"/>
    <n v="0"/>
    <n v="0"/>
    <n v="0"/>
    <n v="0"/>
    <n v="0"/>
    <n v="0"/>
    <n v="0"/>
    <n v="0"/>
    <n v="0"/>
    <n v="0"/>
    <n v="0"/>
    <n v="0"/>
    <n v="0"/>
    <n v="0"/>
  </r>
  <r>
    <x v="315"/>
    <x v="308"/>
    <m/>
    <x v="1"/>
    <s v="H16"/>
    <x v="2"/>
    <s v="H191-20"/>
    <m/>
    <m/>
    <s v="ENGS"/>
    <m/>
    <n v="100"/>
    <x v="7"/>
    <m/>
    <m/>
    <n v="3"/>
    <n v="1.5"/>
    <n v="0.85"/>
    <n v="1.2749999999999999"/>
    <n v="2340"/>
    <x v="16"/>
    <s v="Sam"/>
    <x v="1"/>
    <n v="18405"/>
    <n v="15773"/>
    <n v="47718.074999999997"/>
    <n v="5800"/>
    <n v="8700"/>
    <n v="56418.074999999997"/>
    <n v="0"/>
    <n v="0"/>
    <n v="0"/>
    <n v="0"/>
    <n v="0"/>
    <n v="0"/>
    <n v="1"/>
    <n v="0"/>
    <n v="0"/>
    <n v="0"/>
    <n v="0"/>
    <n v="0"/>
    <s v="Enligt SP 190924"/>
    <m/>
    <n v="0"/>
    <n v="0"/>
    <n v="0"/>
    <n v="0"/>
    <n v="0"/>
    <n v="0"/>
    <n v="0"/>
    <n v="0"/>
    <n v="0"/>
    <n v="0"/>
    <n v="0"/>
    <n v="0"/>
    <n v="1.5"/>
    <n v="1.2749999999999999"/>
    <n v="0"/>
    <n v="0"/>
    <n v="0"/>
    <n v="0"/>
    <n v="0"/>
    <n v="0"/>
    <n v="0"/>
    <n v="0"/>
    <n v="0"/>
  </r>
  <r>
    <x v="315"/>
    <x v="308"/>
    <m/>
    <x v="1"/>
    <s v="H16"/>
    <x v="2"/>
    <s v="H191-20"/>
    <m/>
    <m/>
    <s v="HIST"/>
    <m/>
    <n v="100"/>
    <x v="7"/>
    <m/>
    <m/>
    <n v="2"/>
    <n v="1"/>
    <n v="0.85"/>
    <n v="0.85"/>
    <n v="2340"/>
    <x v="16"/>
    <s v="Sam"/>
    <x v="1"/>
    <n v="18405"/>
    <n v="15773"/>
    <n v="31812.05"/>
    <n v="5800"/>
    <n v="5800"/>
    <n v="37612.050000000003"/>
    <n v="0"/>
    <n v="0"/>
    <n v="0"/>
    <n v="0"/>
    <n v="0"/>
    <n v="0"/>
    <n v="1"/>
    <n v="0"/>
    <n v="0"/>
    <n v="0"/>
    <n v="0"/>
    <n v="0"/>
    <s v="Enligt SP 190924"/>
    <m/>
    <n v="0"/>
    <n v="0"/>
    <n v="0"/>
    <n v="0"/>
    <n v="0"/>
    <n v="0"/>
    <n v="0"/>
    <n v="0"/>
    <n v="0"/>
    <n v="0"/>
    <n v="0"/>
    <n v="0"/>
    <n v="1"/>
    <n v="0.85"/>
    <n v="0"/>
    <n v="0"/>
    <n v="0"/>
    <n v="0"/>
    <n v="0"/>
    <n v="0"/>
    <n v="0"/>
    <n v="0"/>
    <n v="0"/>
  </r>
  <r>
    <x v="315"/>
    <x v="308"/>
    <m/>
    <x v="1"/>
    <s v="H16"/>
    <x v="2"/>
    <s v="H191-20"/>
    <m/>
    <m/>
    <s v="IDRH"/>
    <m/>
    <n v="100"/>
    <x v="7"/>
    <m/>
    <m/>
    <n v="1"/>
    <n v="0.5"/>
    <n v="0.85"/>
    <n v="0.42499999999999999"/>
    <n v="2340"/>
    <x v="16"/>
    <s v="Sam"/>
    <x v="1"/>
    <n v="18405"/>
    <n v="15773"/>
    <n v="15906.025"/>
    <n v="5800"/>
    <n v="2900"/>
    <n v="18806.025000000001"/>
    <n v="0"/>
    <n v="0"/>
    <n v="0"/>
    <n v="0"/>
    <n v="0"/>
    <n v="0"/>
    <n v="1"/>
    <n v="0"/>
    <n v="0"/>
    <n v="0"/>
    <n v="0"/>
    <n v="0"/>
    <s v="Enligt SP 190924"/>
    <m/>
    <n v="0"/>
    <n v="0"/>
    <n v="0"/>
    <n v="0"/>
    <n v="0"/>
    <n v="0"/>
    <n v="0"/>
    <n v="0"/>
    <n v="0"/>
    <n v="0"/>
    <n v="0"/>
    <n v="0"/>
    <n v="0.5"/>
    <n v="0.42499999999999999"/>
    <n v="0"/>
    <n v="0"/>
    <n v="0"/>
    <n v="0"/>
    <n v="0"/>
    <n v="0"/>
    <n v="0"/>
    <n v="0"/>
    <n v="0"/>
  </r>
  <r>
    <x v="315"/>
    <x v="308"/>
    <m/>
    <x v="1"/>
    <s v="H16"/>
    <x v="2"/>
    <s v="H191-20"/>
    <m/>
    <m/>
    <s v="RELK"/>
    <m/>
    <n v="100"/>
    <x v="7"/>
    <m/>
    <m/>
    <n v="1"/>
    <n v="0.5"/>
    <n v="0.85"/>
    <n v="0.42499999999999999"/>
    <n v="2340"/>
    <x v="16"/>
    <s v="Sam"/>
    <x v="1"/>
    <n v="18405"/>
    <n v="15773"/>
    <n v="15906.025"/>
    <n v="5800"/>
    <n v="2900"/>
    <n v="18806.025000000001"/>
    <n v="0"/>
    <n v="0"/>
    <n v="0"/>
    <n v="0"/>
    <n v="0"/>
    <n v="0"/>
    <n v="1"/>
    <n v="0"/>
    <n v="0"/>
    <n v="0"/>
    <n v="0"/>
    <n v="0"/>
    <s v="Enligt SP 190924"/>
    <m/>
    <n v="0"/>
    <n v="0"/>
    <n v="0"/>
    <n v="0"/>
    <n v="0"/>
    <n v="0"/>
    <n v="0"/>
    <n v="0"/>
    <n v="0"/>
    <n v="0"/>
    <n v="0"/>
    <n v="0"/>
    <n v="0.5"/>
    <n v="0.42499999999999999"/>
    <n v="0"/>
    <n v="0"/>
    <n v="0"/>
    <n v="0"/>
    <n v="0"/>
    <n v="0"/>
    <n v="0"/>
    <n v="0"/>
    <n v="0"/>
  </r>
  <r>
    <x v="315"/>
    <x v="308"/>
    <m/>
    <x v="1"/>
    <s v="H17"/>
    <x v="2"/>
    <s v="H191-20"/>
    <m/>
    <m/>
    <s v="SAMK"/>
    <m/>
    <n v="100"/>
    <x v="7"/>
    <m/>
    <m/>
    <n v="1"/>
    <n v="0.5"/>
    <n v="0.85"/>
    <n v="0.42499999999999999"/>
    <n v="2340"/>
    <x v="16"/>
    <s v="Sam"/>
    <x v="1"/>
    <n v="18405"/>
    <n v="15773"/>
    <n v="15906.025"/>
    <n v="5800"/>
    <n v="2900"/>
    <n v="18806.025000000001"/>
    <n v="0"/>
    <n v="0"/>
    <n v="0"/>
    <n v="0"/>
    <n v="0"/>
    <n v="0"/>
    <n v="1"/>
    <n v="0"/>
    <n v="0"/>
    <n v="0"/>
    <n v="0"/>
    <n v="0"/>
    <s v="Enligt SP 190924"/>
    <m/>
    <n v="0"/>
    <n v="0"/>
    <n v="0"/>
    <n v="0"/>
    <n v="0"/>
    <n v="0"/>
    <n v="0"/>
    <n v="0"/>
    <n v="0"/>
    <n v="0"/>
    <n v="0"/>
    <n v="0"/>
    <n v="0.5"/>
    <n v="0.42499999999999999"/>
    <n v="0"/>
    <n v="0"/>
    <n v="0"/>
    <n v="0"/>
    <n v="0"/>
    <n v="0"/>
    <n v="0"/>
    <n v="0"/>
    <n v="0"/>
  </r>
  <r>
    <x v="315"/>
    <x v="308"/>
    <m/>
    <x v="1"/>
    <s v="H18"/>
    <x v="2"/>
    <s v="H191-20"/>
    <m/>
    <m/>
    <s v="SAMK"/>
    <m/>
    <n v="100"/>
    <x v="7"/>
    <m/>
    <m/>
    <n v="13"/>
    <n v="6.5"/>
    <n v="0.85"/>
    <n v="5.5249999999999995"/>
    <n v="2340"/>
    <x v="16"/>
    <s v="Sam"/>
    <x v="1"/>
    <n v="18405"/>
    <n v="15773"/>
    <n v="206778.32500000001"/>
    <n v="5800"/>
    <n v="37700"/>
    <n v="244478.32500000001"/>
    <n v="0"/>
    <n v="0"/>
    <n v="0"/>
    <n v="0"/>
    <n v="0"/>
    <n v="0"/>
    <n v="1"/>
    <n v="0"/>
    <n v="0"/>
    <n v="0"/>
    <n v="0"/>
    <n v="0"/>
    <s v="Enligt SP 190924"/>
    <m/>
    <n v="0"/>
    <n v="0"/>
    <n v="0"/>
    <n v="0"/>
    <n v="0"/>
    <n v="0"/>
    <n v="0"/>
    <n v="0"/>
    <n v="0"/>
    <n v="0"/>
    <n v="0"/>
    <n v="0"/>
    <n v="6.5"/>
    <n v="5.5249999999999995"/>
    <n v="0"/>
    <n v="0"/>
    <n v="0"/>
    <n v="0"/>
    <n v="0"/>
    <n v="0"/>
    <n v="0"/>
    <n v="0"/>
    <n v="0"/>
  </r>
  <r>
    <x v="316"/>
    <x v="309"/>
    <m/>
    <x v="1"/>
    <s v="H14"/>
    <x v="1"/>
    <s v="V191-20"/>
    <s v="Umeå"/>
    <m/>
    <s v="SAMK"/>
    <m/>
    <n v="100"/>
    <x v="7"/>
    <m/>
    <m/>
    <n v="1"/>
    <n v="0.5"/>
    <n v="0.85"/>
    <n v="0.42499999999999999"/>
    <n v="2340"/>
    <x v="16"/>
    <s v="Sam"/>
    <x v="1"/>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316"/>
    <x v="309"/>
    <m/>
    <x v="1"/>
    <s v="H15"/>
    <x v="1"/>
    <s v="V191-20"/>
    <s v="Umeå"/>
    <m/>
    <s v="ENGS"/>
    <m/>
    <n v="100"/>
    <x v="7"/>
    <m/>
    <m/>
    <n v="1"/>
    <n v="0.5"/>
    <n v="0.85"/>
    <n v="0.42499999999999999"/>
    <n v="2340"/>
    <x v="16"/>
    <s v="Sam"/>
    <x v="1"/>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316"/>
    <x v="309"/>
    <m/>
    <x v="1"/>
    <s v="H15"/>
    <x v="1"/>
    <s v="V191-20"/>
    <s v="Umeå"/>
    <m/>
    <s v="HIST"/>
    <m/>
    <n v="100"/>
    <x v="7"/>
    <m/>
    <m/>
    <n v="4"/>
    <n v="2"/>
    <n v="0.85"/>
    <n v="1.7"/>
    <n v="2340"/>
    <x v="16"/>
    <s v="Sam"/>
    <x v="1"/>
    <n v="18405"/>
    <n v="15773"/>
    <n v="63624.1"/>
    <n v="5800"/>
    <n v="11600"/>
    <n v="75224.100000000006"/>
    <n v="0"/>
    <n v="1"/>
    <n v="0"/>
    <n v="0"/>
    <n v="0"/>
    <n v="0"/>
    <n v="0"/>
    <n v="0"/>
    <n v="0"/>
    <n v="0"/>
    <n v="0"/>
    <n v="0"/>
    <s v="Enl Ladok 190318"/>
    <m/>
    <n v="0"/>
    <n v="0"/>
    <n v="2"/>
    <n v="1.7"/>
    <n v="0"/>
    <n v="0"/>
    <n v="0"/>
    <n v="0"/>
    <n v="0"/>
    <n v="0"/>
    <n v="0"/>
    <n v="0"/>
    <n v="0"/>
    <n v="0"/>
    <n v="0"/>
    <n v="0"/>
    <n v="0"/>
    <n v="0"/>
    <n v="0"/>
    <n v="0"/>
    <n v="0"/>
    <n v="0"/>
    <n v="0"/>
  </r>
  <r>
    <x v="316"/>
    <x v="309"/>
    <m/>
    <x v="1"/>
    <s v="H17"/>
    <x v="1"/>
    <s v="V191-20"/>
    <s v="Umeå"/>
    <m/>
    <s v="SAMK"/>
    <m/>
    <n v="100"/>
    <x v="7"/>
    <m/>
    <m/>
    <n v="7"/>
    <n v="3.5"/>
    <n v="0.85"/>
    <n v="2.9750000000000001"/>
    <n v="2340"/>
    <x v="16"/>
    <s v="Sam"/>
    <x v="1"/>
    <n v="18405"/>
    <n v="15773"/>
    <n v="111342.175"/>
    <n v="5800"/>
    <n v="20300"/>
    <n v="131642.17499999999"/>
    <n v="0"/>
    <n v="1"/>
    <n v="0"/>
    <n v="0"/>
    <n v="0"/>
    <n v="0"/>
    <n v="0"/>
    <n v="0"/>
    <n v="0"/>
    <n v="0"/>
    <n v="0"/>
    <n v="0"/>
    <s v="Enl Ladok 190318"/>
    <m/>
    <n v="0"/>
    <n v="0"/>
    <n v="3.5"/>
    <n v="2.9750000000000001"/>
    <n v="0"/>
    <n v="0"/>
    <n v="0"/>
    <n v="0"/>
    <n v="0"/>
    <n v="0"/>
    <n v="0"/>
    <n v="0"/>
    <n v="0"/>
    <n v="0"/>
    <n v="0"/>
    <n v="0"/>
    <n v="0"/>
    <n v="0"/>
    <n v="0"/>
    <n v="0"/>
    <n v="0"/>
    <n v="0"/>
    <n v="0"/>
  </r>
  <r>
    <x v="317"/>
    <x v="310"/>
    <m/>
    <x v="4"/>
    <s v="H14"/>
    <x v="2"/>
    <s v="V1916-20:H191-15"/>
    <m/>
    <m/>
    <s v="SAMK"/>
    <m/>
    <n v="100"/>
    <x v="0"/>
    <m/>
    <m/>
    <n v="1"/>
    <n v="0.125"/>
    <n v="0.85"/>
    <n v="0.10625"/>
    <n v="2340"/>
    <x v="16"/>
    <s v="Sam"/>
    <x v="4"/>
    <n v="18405"/>
    <n v="15773"/>
    <n v="3976.5062499999999"/>
    <n v="5800"/>
    <n v="725"/>
    <n v="4701.5062500000004"/>
    <n v="0"/>
    <n v="0"/>
    <n v="0"/>
    <n v="0"/>
    <n v="0"/>
    <n v="0"/>
    <n v="1"/>
    <n v="0"/>
    <n v="0"/>
    <n v="0"/>
    <n v="0"/>
    <n v="0"/>
    <s v="Enligt SP 190924"/>
    <s v="Läser 7,5 av 30 denna termin"/>
    <n v="0"/>
    <n v="0"/>
    <n v="0"/>
    <n v="0"/>
    <n v="0"/>
    <n v="0"/>
    <n v="0"/>
    <n v="0"/>
    <n v="0"/>
    <n v="0"/>
    <n v="0"/>
    <n v="0"/>
    <n v="0.125"/>
    <n v="0.10625"/>
    <n v="0"/>
    <n v="0"/>
    <n v="0"/>
    <n v="0"/>
    <n v="0"/>
    <n v="0"/>
    <n v="0"/>
    <n v="0"/>
    <n v="0"/>
  </r>
  <r>
    <x v="317"/>
    <x v="310"/>
    <m/>
    <x v="1"/>
    <s v="H11"/>
    <x v="1"/>
    <s v="H1816-20:V191-15"/>
    <s v="Umeå"/>
    <m/>
    <s v="SAMK"/>
    <m/>
    <n v="100"/>
    <x v="6"/>
    <m/>
    <m/>
    <n v="1"/>
    <n v="0.375"/>
    <n v="0.85"/>
    <n v="0.31874999999999998"/>
    <n v="2340"/>
    <x v="16"/>
    <s v="Sam"/>
    <x v="1"/>
    <n v="18405"/>
    <n v="15773"/>
    <n v="11929.518749999999"/>
    <n v="5800"/>
    <n v="2175"/>
    <n v="14104.518749999999"/>
    <n v="0"/>
    <n v="0"/>
    <n v="0"/>
    <n v="0"/>
    <n v="0"/>
    <n v="0"/>
    <n v="1"/>
    <n v="0"/>
    <n v="0"/>
    <n v="0"/>
    <n v="0"/>
    <n v="0"/>
    <s v="Enl Ladok 190318"/>
    <s v="Läser 22,5 av 30 hp denna termin"/>
    <n v="0"/>
    <n v="0"/>
    <n v="0"/>
    <n v="0"/>
    <n v="0"/>
    <n v="0"/>
    <n v="0"/>
    <n v="0"/>
    <n v="0"/>
    <n v="0"/>
    <n v="0"/>
    <n v="0"/>
    <n v="0.375"/>
    <n v="0.31874999999999998"/>
    <n v="0"/>
    <n v="0"/>
    <n v="0"/>
    <n v="0"/>
    <n v="0"/>
    <n v="0"/>
    <n v="0"/>
    <n v="0"/>
    <n v="0"/>
  </r>
  <r>
    <x v="317"/>
    <x v="310"/>
    <m/>
    <x v="1"/>
    <s v="H14"/>
    <x v="1"/>
    <s v="H1816-20:V191-15"/>
    <s v="Umeå"/>
    <m/>
    <s v="HIST"/>
    <m/>
    <n v="100"/>
    <x v="6"/>
    <m/>
    <m/>
    <n v="4"/>
    <n v="1.5"/>
    <n v="0.85"/>
    <n v="1.2749999999999999"/>
    <n v="2340"/>
    <x v="16"/>
    <s v="Sam"/>
    <x v="1"/>
    <n v="18405"/>
    <n v="15773"/>
    <n v="47718.074999999997"/>
    <n v="5800"/>
    <n v="8700"/>
    <n v="56418.074999999997"/>
    <n v="0"/>
    <n v="0"/>
    <n v="0"/>
    <n v="0"/>
    <n v="0"/>
    <n v="0"/>
    <n v="1"/>
    <n v="0"/>
    <n v="0"/>
    <n v="0"/>
    <n v="0"/>
    <n v="0"/>
    <s v="Enl Ladok 190318"/>
    <s v="Läser 22,5 av 30 hp denna termin"/>
    <n v="0"/>
    <n v="0"/>
    <n v="0"/>
    <n v="0"/>
    <n v="0"/>
    <n v="0"/>
    <n v="0"/>
    <n v="0"/>
    <n v="0"/>
    <n v="0"/>
    <n v="0"/>
    <n v="0"/>
    <n v="1.5"/>
    <n v="1.2749999999999999"/>
    <n v="0"/>
    <n v="0"/>
    <n v="0"/>
    <n v="0"/>
    <n v="0"/>
    <n v="0"/>
    <n v="0"/>
    <n v="0"/>
    <n v="0"/>
  </r>
  <r>
    <x v="317"/>
    <x v="310"/>
    <m/>
    <x v="1"/>
    <s v="H14"/>
    <x v="1"/>
    <s v="H1816-20:V191-15"/>
    <s v="Umeå"/>
    <m/>
    <s v="IDRH"/>
    <m/>
    <n v="100"/>
    <x v="6"/>
    <m/>
    <m/>
    <n v="2"/>
    <n v="0.75"/>
    <n v="0.85"/>
    <n v="0.63749999999999996"/>
    <n v="2340"/>
    <x v="16"/>
    <s v="Sam"/>
    <x v="1"/>
    <n v="18405"/>
    <n v="15773"/>
    <n v="23859.037499999999"/>
    <n v="5800"/>
    <n v="4350"/>
    <n v="28209.037499999999"/>
    <n v="0"/>
    <n v="0"/>
    <n v="0"/>
    <n v="0"/>
    <n v="0"/>
    <n v="0"/>
    <n v="1"/>
    <n v="0"/>
    <n v="0"/>
    <n v="0"/>
    <n v="0"/>
    <n v="0"/>
    <s v="Enl Ladok 190318"/>
    <s v="Läser 22,5 av 30 hp denna termin"/>
    <n v="0"/>
    <n v="0"/>
    <n v="0"/>
    <n v="0"/>
    <n v="0"/>
    <n v="0"/>
    <n v="0"/>
    <n v="0"/>
    <n v="0"/>
    <n v="0"/>
    <n v="0"/>
    <n v="0"/>
    <n v="0.75"/>
    <n v="0.63749999999999996"/>
    <n v="0"/>
    <n v="0"/>
    <n v="0"/>
    <n v="0"/>
    <n v="0"/>
    <n v="0"/>
    <n v="0"/>
    <n v="0"/>
    <n v="0"/>
  </r>
  <r>
    <x v="317"/>
    <x v="310"/>
    <m/>
    <x v="1"/>
    <s v="H14"/>
    <x v="1"/>
    <s v="H1816-20:V191-15"/>
    <s v="Umeå"/>
    <m/>
    <s v="RELK"/>
    <m/>
    <n v="100"/>
    <x v="6"/>
    <m/>
    <m/>
    <n v="2"/>
    <n v="0.75"/>
    <n v="0.85"/>
    <n v="0.63749999999999996"/>
    <n v="2340"/>
    <x v="16"/>
    <s v="Sam"/>
    <x v="1"/>
    <n v="18405"/>
    <n v="15773"/>
    <n v="23859.037499999999"/>
    <n v="5800"/>
    <n v="4350"/>
    <n v="28209.037499999999"/>
    <n v="0"/>
    <n v="0"/>
    <n v="0"/>
    <n v="0"/>
    <n v="0"/>
    <n v="0"/>
    <n v="1"/>
    <n v="0"/>
    <n v="0"/>
    <n v="0"/>
    <n v="0"/>
    <n v="0"/>
    <s v="Enl Ladok 190318"/>
    <s v="Läser 22,5 av 30 hp denna termin"/>
    <n v="0"/>
    <n v="0"/>
    <n v="0"/>
    <n v="0"/>
    <n v="0"/>
    <n v="0"/>
    <n v="0"/>
    <n v="0"/>
    <n v="0"/>
    <n v="0"/>
    <n v="0"/>
    <n v="0"/>
    <n v="0.75"/>
    <n v="0.63749999999999996"/>
    <n v="0"/>
    <n v="0"/>
    <n v="0"/>
    <n v="0"/>
    <n v="0"/>
    <n v="0"/>
    <n v="0"/>
    <n v="0"/>
    <n v="0"/>
  </r>
  <r>
    <x v="317"/>
    <x v="310"/>
    <m/>
    <x v="1"/>
    <s v="H14"/>
    <x v="1"/>
    <s v="H1816-20:V191-15"/>
    <s v="Umeå"/>
    <m/>
    <s v="SAMK"/>
    <m/>
    <n v="100"/>
    <x v="6"/>
    <m/>
    <m/>
    <n v="7"/>
    <n v="2.625"/>
    <n v="0.85"/>
    <n v="2.2312499999999997"/>
    <n v="2340"/>
    <x v="16"/>
    <s v="Sam"/>
    <x v="1"/>
    <n v="18405"/>
    <n v="15773"/>
    <n v="83506.631250000006"/>
    <n v="5800"/>
    <n v="15225"/>
    <n v="98731.631250000006"/>
    <n v="0"/>
    <n v="0"/>
    <n v="0"/>
    <n v="0"/>
    <n v="0"/>
    <n v="0"/>
    <n v="1"/>
    <n v="0"/>
    <n v="0"/>
    <n v="0"/>
    <n v="0"/>
    <n v="0"/>
    <s v="Enl Ladok 190318"/>
    <s v="Läser 22,5 av 30 hp denna termin"/>
    <n v="0"/>
    <n v="0"/>
    <n v="0"/>
    <n v="0"/>
    <n v="0"/>
    <n v="0"/>
    <n v="0"/>
    <n v="0"/>
    <n v="0"/>
    <n v="0"/>
    <n v="0"/>
    <n v="0"/>
    <n v="2.625"/>
    <n v="2.2312499999999997"/>
    <n v="0"/>
    <n v="0"/>
    <n v="0"/>
    <n v="0"/>
    <n v="0"/>
    <n v="0"/>
    <n v="0"/>
    <n v="0"/>
    <n v="0"/>
  </r>
  <r>
    <x v="317"/>
    <x v="310"/>
    <m/>
    <x v="1"/>
    <s v="H15"/>
    <x v="2"/>
    <s v="H1916-20:V201-15"/>
    <m/>
    <m/>
    <s v="ENGS"/>
    <m/>
    <n v="100"/>
    <x v="0"/>
    <m/>
    <m/>
    <n v="1"/>
    <n v="0.125"/>
    <n v="0.85"/>
    <n v="0.10625"/>
    <n v="2340"/>
    <x v="16"/>
    <s v="Sam"/>
    <x v="1"/>
    <n v="18405"/>
    <n v="15773"/>
    <n v="3976.5062499999999"/>
    <n v="5800"/>
    <n v="725"/>
    <n v="4701.5062500000004"/>
    <n v="0"/>
    <n v="0"/>
    <n v="0"/>
    <n v="0"/>
    <n v="0"/>
    <n v="0"/>
    <n v="1"/>
    <n v="0"/>
    <n v="0"/>
    <n v="0"/>
    <n v="0"/>
    <n v="0"/>
    <s v="Enligt SP 190924"/>
    <s v="Läser 7,5 av 30 denna termin"/>
    <n v="0"/>
    <n v="0"/>
    <n v="0"/>
    <n v="0"/>
    <n v="0"/>
    <n v="0"/>
    <n v="0"/>
    <n v="0"/>
    <n v="0"/>
    <n v="0"/>
    <n v="0"/>
    <n v="0"/>
    <n v="0.125"/>
    <n v="0.10625"/>
    <n v="0"/>
    <n v="0"/>
    <n v="0"/>
    <n v="0"/>
    <n v="0"/>
    <n v="0"/>
    <n v="0"/>
    <n v="0"/>
    <n v="0"/>
  </r>
  <r>
    <x v="317"/>
    <x v="310"/>
    <m/>
    <x v="1"/>
    <s v="H15"/>
    <x v="2"/>
    <s v="H1916-20:V201-15"/>
    <m/>
    <m/>
    <s v="HIST"/>
    <m/>
    <n v="100"/>
    <x v="0"/>
    <m/>
    <m/>
    <n v="2"/>
    <n v="0.25"/>
    <n v="0.85"/>
    <n v="0.21249999999999999"/>
    <n v="2340"/>
    <x v="16"/>
    <s v="Sam"/>
    <x v="1"/>
    <n v="18405"/>
    <n v="15773"/>
    <n v="7953.0124999999998"/>
    <n v="5800"/>
    <n v="1450"/>
    <n v="9403.0125000000007"/>
    <n v="0"/>
    <n v="0"/>
    <n v="0"/>
    <n v="0"/>
    <n v="0"/>
    <n v="0"/>
    <n v="1"/>
    <n v="0"/>
    <n v="0"/>
    <n v="0"/>
    <n v="0"/>
    <n v="0"/>
    <s v="Enligt SP 190924"/>
    <s v="Läser 7,5 av 30 denna termin"/>
    <n v="0"/>
    <n v="0"/>
    <n v="0"/>
    <n v="0"/>
    <n v="0"/>
    <n v="0"/>
    <n v="0"/>
    <n v="0"/>
    <n v="0"/>
    <n v="0"/>
    <n v="0"/>
    <n v="0"/>
    <n v="0.25"/>
    <n v="0.21249999999999999"/>
    <n v="0"/>
    <n v="0"/>
    <n v="0"/>
    <n v="0"/>
    <n v="0"/>
    <n v="0"/>
    <n v="0"/>
    <n v="0"/>
    <n v="0"/>
  </r>
  <r>
    <x v="317"/>
    <x v="310"/>
    <m/>
    <x v="1"/>
    <s v="H15"/>
    <x v="2"/>
    <s v="H1916-20:V201-15"/>
    <m/>
    <m/>
    <s v="SAMK"/>
    <m/>
    <n v="100"/>
    <x v="0"/>
    <m/>
    <m/>
    <n v="4"/>
    <n v="0.5"/>
    <n v="0.85"/>
    <n v="0.42499999999999999"/>
    <n v="2340"/>
    <x v="16"/>
    <s v="Sam"/>
    <x v="1"/>
    <n v="18405"/>
    <n v="15773"/>
    <n v="15906.025"/>
    <n v="5800"/>
    <n v="2900"/>
    <n v="18806.025000000001"/>
    <n v="0"/>
    <n v="0"/>
    <n v="0"/>
    <n v="0"/>
    <n v="0"/>
    <n v="0"/>
    <n v="1"/>
    <n v="0"/>
    <n v="0"/>
    <n v="0"/>
    <n v="0"/>
    <n v="0"/>
    <s v="Enligt SP 190924"/>
    <s v="Läser 7,5 av 30 denna termin"/>
    <n v="0"/>
    <n v="0"/>
    <n v="0"/>
    <n v="0"/>
    <n v="0"/>
    <n v="0"/>
    <n v="0"/>
    <n v="0"/>
    <n v="0"/>
    <n v="0"/>
    <n v="0"/>
    <n v="0"/>
    <n v="0.5"/>
    <n v="0.42499999999999999"/>
    <n v="0"/>
    <n v="0"/>
    <n v="0"/>
    <n v="0"/>
    <n v="0"/>
    <n v="0"/>
    <n v="0"/>
    <n v="0"/>
    <n v="0"/>
  </r>
  <r>
    <x v="318"/>
    <x v="311"/>
    <m/>
    <x v="0"/>
    <m/>
    <x v="1"/>
    <m/>
    <s v="Umeå"/>
    <m/>
    <m/>
    <m/>
    <n v="100"/>
    <x v="0"/>
    <m/>
    <m/>
    <n v="1"/>
    <n v="0.125"/>
    <n v="0.85"/>
    <n v="0.10625"/>
    <n v="2340"/>
    <x v="16"/>
    <s v="Sam"/>
    <x v="0"/>
    <n v="23641"/>
    <n v="28786"/>
    <n v="6013.6374999999998"/>
    <n v="5800"/>
    <n v="725"/>
    <n v="6738.6374999999998"/>
    <n v="0"/>
    <n v="0"/>
    <n v="0"/>
    <n v="1"/>
    <n v="0"/>
    <n v="0"/>
    <n v="0"/>
    <n v="0"/>
    <n v="0"/>
    <n v="0"/>
    <n v="0"/>
    <n v="0"/>
    <s v="Enl Ladok 190515"/>
    <m/>
    <n v="0"/>
    <n v="0"/>
    <n v="0"/>
    <n v="0"/>
    <n v="0"/>
    <n v="0"/>
    <n v="0.125"/>
    <n v="0.10625"/>
    <n v="0"/>
    <n v="0"/>
    <n v="0"/>
    <n v="0"/>
    <n v="0"/>
    <n v="0"/>
    <n v="0"/>
    <n v="0"/>
    <n v="0"/>
    <n v="0"/>
    <n v="0"/>
    <n v="0"/>
    <n v="0"/>
    <n v="0"/>
    <n v="0"/>
  </r>
  <r>
    <x v="318"/>
    <x v="311"/>
    <m/>
    <x v="4"/>
    <s v="H14"/>
    <x v="1"/>
    <s v="V1916-20"/>
    <s v="Umeå"/>
    <m/>
    <s v="HEMK"/>
    <m/>
    <n v="100"/>
    <x v="0"/>
    <m/>
    <m/>
    <n v="1"/>
    <n v="0.125"/>
    <n v="0.85"/>
    <n v="0.10625"/>
    <n v="2340"/>
    <x v="16"/>
    <s v="Sam"/>
    <x v="4"/>
    <n v="23641"/>
    <n v="28786"/>
    <n v="6013.6374999999998"/>
    <n v="5800"/>
    <n v="725"/>
    <n v="6738.6374999999998"/>
    <n v="0"/>
    <n v="0"/>
    <n v="0"/>
    <n v="1"/>
    <n v="0"/>
    <n v="0"/>
    <n v="0"/>
    <n v="0"/>
    <n v="0"/>
    <n v="0"/>
    <n v="0"/>
    <n v="0"/>
    <s v="Enl Ladok 190523"/>
    <m/>
    <n v="0"/>
    <n v="0"/>
    <n v="0"/>
    <n v="0"/>
    <n v="0"/>
    <n v="0"/>
    <n v="0.125"/>
    <n v="0.10625"/>
    <n v="0"/>
    <n v="0"/>
    <n v="0"/>
    <n v="0"/>
    <n v="0"/>
    <n v="0"/>
    <n v="0"/>
    <n v="0"/>
    <n v="0"/>
    <n v="0"/>
    <n v="0"/>
    <n v="0"/>
    <n v="0"/>
    <n v="0"/>
    <n v="0"/>
  </r>
  <r>
    <x v="318"/>
    <x v="311"/>
    <m/>
    <x v="4"/>
    <s v="H14"/>
    <x v="1"/>
    <s v="V1916-20"/>
    <s v="Umeå"/>
    <m/>
    <s v="IDRH"/>
    <m/>
    <n v="100"/>
    <x v="0"/>
    <m/>
    <m/>
    <n v="2"/>
    <n v="0.25"/>
    <n v="0.85"/>
    <n v="0.21249999999999999"/>
    <n v="2340"/>
    <x v="16"/>
    <s v="Sam"/>
    <x v="4"/>
    <n v="23641"/>
    <n v="28786"/>
    <n v="12027.275"/>
    <n v="5800"/>
    <n v="1450"/>
    <n v="13477.275"/>
    <n v="0"/>
    <n v="0"/>
    <n v="0"/>
    <n v="1"/>
    <n v="0"/>
    <n v="0"/>
    <n v="0"/>
    <n v="0"/>
    <n v="0"/>
    <n v="0"/>
    <n v="0"/>
    <n v="0"/>
    <s v="Enl Ladok 190523"/>
    <m/>
    <n v="0"/>
    <n v="0"/>
    <n v="0"/>
    <n v="0"/>
    <n v="0"/>
    <n v="0"/>
    <n v="0.25"/>
    <n v="0.21249999999999999"/>
    <n v="0"/>
    <n v="0"/>
    <n v="0"/>
    <n v="0"/>
    <n v="0"/>
    <n v="0"/>
    <n v="0"/>
    <n v="0"/>
    <n v="0"/>
    <n v="0"/>
    <n v="0"/>
    <n v="0"/>
    <n v="0"/>
    <n v="0"/>
    <n v="0"/>
  </r>
  <r>
    <x v="318"/>
    <x v="311"/>
    <m/>
    <x v="4"/>
    <s v="H14"/>
    <x v="2"/>
    <s v="H1916-20"/>
    <m/>
    <m/>
    <s v="MATT"/>
    <m/>
    <n v="100"/>
    <x v="0"/>
    <m/>
    <m/>
    <n v="1"/>
    <n v="0.125"/>
    <n v="0.85"/>
    <n v="0.10625"/>
    <n v="2340"/>
    <x v="16"/>
    <s v="Sam"/>
    <x v="4"/>
    <n v="23641"/>
    <n v="28786"/>
    <n v="6013.6374999999998"/>
    <n v="5800"/>
    <n v="725"/>
    <n v="6738.6374999999998"/>
    <n v="0"/>
    <n v="0"/>
    <n v="0"/>
    <n v="1"/>
    <n v="0"/>
    <n v="0"/>
    <n v="0"/>
    <n v="0"/>
    <n v="0"/>
    <n v="0"/>
    <n v="0"/>
    <n v="0"/>
    <s v="Enligt SP 190924"/>
    <m/>
    <n v="0"/>
    <n v="0"/>
    <n v="0"/>
    <n v="0"/>
    <n v="0"/>
    <n v="0"/>
    <n v="0.125"/>
    <n v="0.10625"/>
    <n v="0"/>
    <n v="0"/>
    <n v="0"/>
    <n v="0"/>
    <n v="0"/>
    <n v="0"/>
    <n v="0"/>
    <n v="0"/>
    <n v="0"/>
    <n v="0"/>
    <n v="0"/>
    <n v="0"/>
    <n v="0"/>
    <n v="0"/>
    <n v="0"/>
  </r>
  <r>
    <x v="318"/>
    <x v="311"/>
    <m/>
    <x v="4"/>
    <s v="H14"/>
    <x v="2"/>
    <s v="H1916-20"/>
    <m/>
    <m/>
    <s v="SAMK"/>
    <m/>
    <n v="100"/>
    <x v="0"/>
    <m/>
    <m/>
    <n v="1"/>
    <n v="0.125"/>
    <n v="0.85"/>
    <n v="0.10625"/>
    <n v="2340"/>
    <x v="16"/>
    <s v="Sam"/>
    <x v="4"/>
    <n v="23641"/>
    <n v="28786"/>
    <n v="6013.6374999999998"/>
    <n v="5800"/>
    <n v="725"/>
    <n v="6738.6374999999998"/>
    <n v="0"/>
    <n v="0"/>
    <n v="0"/>
    <n v="1"/>
    <n v="0"/>
    <n v="0"/>
    <n v="0"/>
    <n v="0"/>
    <n v="0"/>
    <n v="0"/>
    <n v="0"/>
    <n v="0"/>
    <s v="Enligt SP 190924"/>
    <m/>
    <n v="0"/>
    <n v="0"/>
    <n v="0"/>
    <n v="0"/>
    <n v="0"/>
    <n v="0"/>
    <n v="0.125"/>
    <n v="0.10625"/>
    <n v="0"/>
    <n v="0"/>
    <n v="0"/>
    <n v="0"/>
    <n v="0"/>
    <n v="0"/>
    <n v="0"/>
    <n v="0"/>
    <n v="0"/>
    <n v="0"/>
    <n v="0"/>
    <n v="0"/>
    <n v="0"/>
    <n v="0"/>
    <n v="0"/>
  </r>
  <r>
    <x v="318"/>
    <x v="311"/>
    <m/>
    <x v="4"/>
    <s v="H15"/>
    <x v="2"/>
    <s v="H1916-20"/>
    <m/>
    <m/>
    <s v="IDRH"/>
    <m/>
    <n v="100"/>
    <x v="0"/>
    <m/>
    <m/>
    <n v="1"/>
    <n v="0.125"/>
    <n v="0.85"/>
    <n v="0.10625"/>
    <n v="2340"/>
    <x v="16"/>
    <s v="Sam"/>
    <x v="4"/>
    <n v="23641"/>
    <n v="28786"/>
    <n v="6013.6374999999998"/>
    <n v="5800"/>
    <n v="725"/>
    <n v="6738.6374999999998"/>
    <n v="0"/>
    <n v="0"/>
    <n v="0"/>
    <n v="1"/>
    <n v="0"/>
    <n v="0"/>
    <n v="0"/>
    <n v="0"/>
    <n v="0"/>
    <n v="0"/>
    <n v="0"/>
    <n v="0"/>
    <s v="Enligt SP 190924"/>
    <m/>
    <n v="0"/>
    <n v="0"/>
    <n v="0"/>
    <n v="0"/>
    <n v="0"/>
    <n v="0"/>
    <n v="0.125"/>
    <n v="0.10625"/>
    <n v="0"/>
    <n v="0"/>
    <n v="0"/>
    <n v="0"/>
    <n v="0"/>
    <n v="0"/>
    <n v="0"/>
    <n v="0"/>
    <n v="0"/>
    <n v="0"/>
    <n v="0"/>
    <n v="0"/>
    <n v="0"/>
    <n v="0"/>
    <n v="0"/>
  </r>
  <r>
    <x v="318"/>
    <x v="311"/>
    <m/>
    <x v="1"/>
    <s v="H13"/>
    <x v="1"/>
    <s v="V1916-20"/>
    <s v="Umeå"/>
    <m/>
    <s v="HIST"/>
    <m/>
    <n v="100"/>
    <x v="0"/>
    <m/>
    <m/>
    <n v="1"/>
    <n v="0.125"/>
    <n v="0.85"/>
    <n v="0.10625"/>
    <n v="2340"/>
    <x v="16"/>
    <s v="Sam"/>
    <x v="1"/>
    <n v="23641"/>
    <n v="28786"/>
    <n v="6013.6374999999998"/>
    <n v="5800"/>
    <n v="725"/>
    <n v="6738.6374999999998"/>
    <n v="0"/>
    <n v="0"/>
    <n v="0"/>
    <n v="1"/>
    <n v="0"/>
    <n v="0"/>
    <n v="0"/>
    <n v="0"/>
    <n v="0"/>
    <n v="0"/>
    <n v="0"/>
    <n v="0"/>
    <s v="Enl Ladok 190523"/>
    <m/>
    <n v="0"/>
    <n v="0"/>
    <n v="0"/>
    <n v="0"/>
    <n v="0"/>
    <n v="0"/>
    <n v="0.125"/>
    <n v="0.10625"/>
    <n v="0"/>
    <n v="0"/>
    <n v="0"/>
    <n v="0"/>
    <n v="0"/>
    <n v="0"/>
    <n v="0"/>
    <n v="0"/>
    <n v="0"/>
    <n v="0"/>
    <n v="0"/>
    <n v="0"/>
    <n v="0"/>
    <n v="0"/>
    <n v="0"/>
  </r>
  <r>
    <x v="318"/>
    <x v="311"/>
    <m/>
    <x v="1"/>
    <s v="H13"/>
    <x v="1"/>
    <s v="V1916-20"/>
    <s v="Umeå"/>
    <m/>
    <s v="IDRH"/>
    <m/>
    <n v="100"/>
    <x v="0"/>
    <m/>
    <m/>
    <n v="1"/>
    <n v="0.125"/>
    <n v="0.85"/>
    <n v="0.10625"/>
    <n v="2340"/>
    <x v="16"/>
    <s v="Sam"/>
    <x v="1"/>
    <n v="23641"/>
    <n v="28786"/>
    <n v="6013.6374999999998"/>
    <n v="5800"/>
    <n v="725"/>
    <n v="6738.6374999999998"/>
    <n v="0"/>
    <n v="0"/>
    <n v="0"/>
    <n v="1"/>
    <n v="0"/>
    <n v="0"/>
    <n v="0"/>
    <n v="0"/>
    <n v="0"/>
    <n v="0"/>
    <n v="0"/>
    <n v="0"/>
    <s v="Enl Ladok 190523"/>
    <m/>
    <n v="0"/>
    <n v="0"/>
    <n v="0"/>
    <n v="0"/>
    <n v="0"/>
    <n v="0"/>
    <n v="0.125"/>
    <n v="0.10625"/>
    <n v="0"/>
    <n v="0"/>
    <n v="0"/>
    <n v="0"/>
    <n v="0"/>
    <n v="0"/>
    <n v="0"/>
    <n v="0"/>
    <n v="0"/>
    <n v="0"/>
    <n v="0"/>
    <n v="0"/>
    <n v="0"/>
    <n v="0"/>
    <n v="0"/>
  </r>
  <r>
    <x v="318"/>
    <x v="311"/>
    <m/>
    <x v="1"/>
    <s v="H14"/>
    <x v="1"/>
    <s v="V1916-20"/>
    <s v="Umeå"/>
    <m/>
    <s v="ENGS"/>
    <m/>
    <n v="100"/>
    <x v="0"/>
    <m/>
    <m/>
    <n v="1"/>
    <n v="0.125"/>
    <n v="0.85"/>
    <n v="0.10625"/>
    <n v="2340"/>
    <x v="16"/>
    <s v="Sam"/>
    <x v="1"/>
    <n v="23641"/>
    <n v="28786"/>
    <n v="6013.6374999999998"/>
    <n v="5800"/>
    <n v="725"/>
    <n v="6738.6374999999998"/>
    <n v="0"/>
    <n v="0"/>
    <n v="0"/>
    <n v="1"/>
    <n v="0"/>
    <n v="0"/>
    <n v="0"/>
    <n v="0"/>
    <n v="0"/>
    <n v="0"/>
    <n v="0"/>
    <n v="0"/>
    <s v="Enl Ladok 190523"/>
    <m/>
    <n v="0"/>
    <n v="0"/>
    <n v="0"/>
    <n v="0"/>
    <n v="0"/>
    <n v="0"/>
    <n v="0.125"/>
    <n v="0.10625"/>
    <n v="0"/>
    <n v="0"/>
    <n v="0"/>
    <n v="0"/>
    <n v="0"/>
    <n v="0"/>
    <n v="0"/>
    <n v="0"/>
    <n v="0"/>
    <n v="0"/>
    <n v="0"/>
    <n v="0"/>
    <n v="0"/>
    <n v="0"/>
    <n v="0"/>
  </r>
  <r>
    <x v="318"/>
    <x v="311"/>
    <m/>
    <x v="1"/>
    <s v="H14"/>
    <x v="1"/>
    <s v="V1916-20"/>
    <s v="Umeå"/>
    <m/>
    <s v="ENGS"/>
    <m/>
    <n v="100"/>
    <x v="0"/>
    <m/>
    <m/>
    <n v="14"/>
    <n v="1.75"/>
    <n v="0.85"/>
    <n v="1.4875"/>
    <n v="2340"/>
    <x v="16"/>
    <s v="Sam"/>
    <x v="1"/>
    <n v="23641"/>
    <n v="28786"/>
    <n v="84190.925000000003"/>
    <n v="5800"/>
    <n v="10150"/>
    <n v="94340.925000000003"/>
    <n v="0"/>
    <n v="0"/>
    <n v="0"/>
    <n v="1"/>
    <n v="0"/>
    <n v="0"/>
    <n v="0"/>
    <n v="0"/>
    <n v="0"/>
    <n v="0"/>
    <n v="0"/>
    <n v="0"/>
    <s v="Enl Ladok 190523"/>
    <m/>
    <n v="0"/>
    <n v="0"/>
    <n v="0"/>
    <n v="0"/>
    <n v="0"/>
    <n v="0"/>
    <n v="1.75"/>
    <n v="1.4875"/>
    <n v="0"/>
    <n v="0"/>
    <n v="0"/>
    <n v="0"/>
    <n v="0"/>
    <n v="0"/>
    <n v="0"/>
    <n v="0"/>
    <n v="0"/>
    <n v="0"/>
    <n v="0"/>
    <n v="0"/>
    <n v="0"/>
    <n v="0"/>
    <n v="0"/>
  </r>
  <r>
    <x v="318"/>
    <x v="311"/>
    <m/>
    <x v="1"/>
    <s v="H14"/>
    <x v="1"/>
    <s v="V1916-20"/>
    <s v="Umeå"/>
    <m/>
    <s v="HIST"/>
    <m/>
    <n v="100"/>
    <x v="0"/>
    <m/>
    <m/>
    <n v="7"/>
    <n v="0.875"/>
    <n v="0.85"/>
    <n v="0.74375000000000002"/>
    <n v="2340"/>
    <x v="16"/>
    <s v="Sam"/>
    <x v="1"/>
    <n v="23641"/>
    <n v="28786"/>
    <n v="42095.462500000001"/>
    <n v="5800"/>
    <n v="5075"/>
    <n v="47170.462500000001"/>
    <n v="0"/>
    <n v="0"/>
    <n v="0"/>
    <n v="1"/>
    <n v="0"/>
    <n v="0"/>
    <n v="0"/>
    <n v="0"/>
    <n v="0"/>
    <n v="0"/>
    <n v="0"/>
    <n v="0"/>
    <s v="Enl Ladok 190523"/>
    <m/>
    <n v="0"/>
    <n v="0"/>
    <n v="0"/>
    <n v="0"/>
    <n v="0"/>
    <n v="0"/>
    <n v="0.875"/>
    <n v="0.74375000000000002"/>
    <n v="0"/>
    <n v="0"/>
    <n v="0"/>
    <n v="0"/>
    <n v="0"/>
    <n v="0"/>
    <n v="0"/>
    <n v="0"/>
    <n v="0"/>
    <n v="0"/>
    <n v="0"/>
    <n v="0"/>
    <n v="0"/>
    <n v="0"/>
    <n v="0"/>
  </r>
  <r>
    <x v="318"/>
    <x v="311"/>
    <m/>
    <x v="1"/>
    <s v="H14"/>
    <x v="1"/>
    <s v="V1916-20"/>
    <s v="Umeå"/>
    <m/>
    <s v="IDRH"/>
    <m/>
    <n v="100"/>
    <x v="0"/>
    <m/>
    <m/>
    <n v="12"/>
    <n v="1.5"/>
    <n v="0.85"/>
    <n v="1.2749999999999999"/>
    <n v="2340"/>
    <x v="16"/>
    <s v="Sam"/>
    <x v="1"/>
    <n v="23641"/>
    <n v="28786"/>
    <n v="72163.649999999994"/>
    <n v="5800"/>
    <n v="8700"/>
    <n v="80863.649999999994"/>
    <n v="0"/>
    <n v="0"/>
    <n v="0"/>
    <n v="1"/>
    <n v="0"/>
    <n v="0"/>
    <n v="0"/>
    <n v="0"/>
    <n v="0"/>
    <n v="0"/>
    <n v="0"/>
    <n v="0"/>
    <s v="Enl Ladok 190523"/>
    <m/>
    <n v="0"/>
    <n v="0"/>
    <n v="0"/>
    <n v="0"/>
    <n v="0"/>
    <n v="0"/>
    <n v="1.5"/>
    <n v="1.2749999999999999"/>
    <n v="0"/>
    <n v="0"/>
    <n v="0"/>
    <n v="0"/>
    <n v="0"/>
    <n v="0"/>
    <n v="0"/>
    <n v="0"/>
    <n v="0"/>
    <n v="0"/>
    <n v="0"/>
    <n v="0"/>
    <n v="0"/>
    <n v="0"/>
    <n v="0"/>
  </r>
  <r>
    <x v="318"/>
    <x v="311"/>
    <m/>
    <x v="1"/>
    <s v="H14"/>
    <x v="1"/>
    <s v="V1916-20"/>
    <s v="Umeå"/>
    <m/>
    <s v="MATT"/>
    <m/>
    <n v="100"/>
    <x v="0"/>
    <m/>
    <m/>
    <n v="3"/>
    <n v="0.375"/>
    <n v="0.85"/>
    <n v="0.31874999999999998"/>
    <n v="2340"/>
    <x v="16"/>
    <s v="Sam"/>
    <x v="1"/>
    <n v="23641"/>
    <n v="28786"/>
    <n v="18040.912499999999"/>
    <n v="5800"/>
    <n v="2175"/>
    <n v="20215.912499999999"/>
    <n v="0"/>
    <n v="0"/>
    <n v="0"/>
    <n v="1"/>
    <n v="0"/>
    <n v="0"/>
    <n v="0"/>
    <n v="0"/>
    <n v="0"/>
    <n v="0"/>
    <n v="0"/>
    <n v="0"/>
    <s v="Enl Ladok 190523"/>
    <m/>
    <n v="0"/>
    <n v="0"/>
    <n v="0"/>
    <n v="0"/>
    <n v="0"/>
    <n v="0"/>
    <n v="0.375"/>
    <n v="0.31874999999999998"/>
    <n v="0"/>
    <n v="0"/>
    <n v="0"/>
    <n v="0"/>
    <n v="0"/>
    <n v="0"/>
    <n v="0"/>
    <n v="0"/>
    <n v="0"/>
    <n v="0"/>
    <n v="0"/>
    <n v="0"/>
    <n v="0"/>
    <n v="0"/>
    <n v="0"/>
  </r>
  <r>
    <x v="318"/>
    <x v="311"/>
    <m/>
    <x v="1"/>
    <s v="H14"/>
    <x v="1"/>
    <s v="V1916-20"/>
    <s v="Umeå"/>
    <m/>
    <s v="MUSI"/>
    <m/>
    <n v="100"/>
    <x v="0"/>
    <m/>
    <m/>
    <n v="1"/>
    <n v="0.125"/>
    <n v="0.85"/>
    <n v="0.10625"/>
    <n v="2340"/>
    <x v="16"/>
    <s v="Sam"/>
    <x v="1"/>
    <n v="23641"/>
    <n v="28786"/>
    <n v="6013.6374999999998"/>
    <n v="5800"/>
    <n v="725"/>
    <n v="6738.6374999999998"/>
    <n v="0"/>
    <n v="0"/>
    <n v="0"/>
    <n v="1"/>
    <n v="0"/>
    <n v="0"/>
    <n v="0"/>
    <n v="0"/>
    <n v="0"/>
    <n v="0"/>
    <n v="0"/>
    <n v="0"/>
    <s v="Enl Ladok 190523"/>
    <m/>
    <n v="0"/>
    <n v="0"/>
    <n v="0"/>
    <n v="0"/>
    <n v="0"/>
    <n v="0"/>
    <n v="0.125"/>
    <n v="0.10625"/>
    <n v="0"/>
    <n v="0"/>
    <n v="0"/>
    <n v="0"/>
    <n v="0"/>
    <n v="0"/>
    <n v="0"/>
    <n v="0"/>
    <n v="0"/>
    <n v="0"/>
    <n v="0"/>
    <n v="0"/>
    <n v="0"/>
    <n v="0"/>
    <n v="0"/>
  </r>
  <r>
    <x v="318"/>
    <x v="311"/>
    <m/>
    <x v="1"/>
    <s v="H14"/>
    <x v="1"/>
    <s v="V1916-20"/>
    <s v="Umeå"/>
    <m/>
    <s v="RELK"/>
    <m/>
    <n v="100"/>
    <x v="0"/>
    <m/>
    <m/>
    <n v="4"/>
    <n v="0.5"/>
    <n v="0.85"/>
    <n v="0.42499999999999999"/>
    <n v="2340"/>
    <x v="16"/>
    <s v="Sam"/>
    <x v="1"/>
    <n v="23641"/>
    <n v="28786"/>
    <n v="24054.55"/>
    <n v="5800"/>
    <n v="2900"/>
    <n v="26954.55"/>
    <n v="0"/>
    <n v="0"/>
    <n v="0"/>
    <n v="1"/>
    <n v="0"/>
    <n v="0"/>
    <n v="0"/>
    <n v="0"/>
    <n v="0"/>
    <n v="0"/>
    <n v="0"/>
    <n v="0"/>
    <s v="Enl Ladok 190523"/>
    <m/>
    <n v="0"/>
    <n v="0"/>
    <n v="0"/>
    <n v="0"/>
    <n v="0"/>
    <n v="0"/>
    <n v="0.5"/>
    <n v="0.42499999999999999"/>
    <n v="0"/>
    <n v="0"/>
    <n v="0"/>
    <n v="0"/>
    <n v="0"/>
    <n v="0"/>
    <n v="0"/>
    <n v="0"/>
    <n v="0"/>
    <n v="0"/>
    <n v="0"/>
    <n v="0"/>
    <n v="0"/>
    <n v="0"/>
    <n v="0"/>
  </r>
  <r>
    <x v="318"/>
    <x v="311"/>
    <m/>
    <x v="1"/>
    <s v="H14"/>
    <x v="1"/>
    <s v="V1916-20"/>
    <s v="Umeå"/>
    <m/>
    <s v="SAMK"/>
    <m/>
    <n v="100"/>
    <x v="0"/>
    <m/>
    <m/>
    <n v="7"/>
    <n v="0.875"/>
    <n v="0.85"/>
    <n v="0.74375000000000002"/>
    <n v="2340"/>
    <x v="16"/>
    <s v="Sam"/>
    <x v="1"/>
    <n v="23641"/>
    <n v="28786"/>
    <n v="42095.462500000001"/>
    <n v="5800"/>
    <n v="5075"/>
    <n v="47170.462500000001"/>
    <n v="0"/>
    <n v="0"/>
    <n v="0"/>
    <n v="1"/>
    <n v="0"/>
    <n v="0"/>
    <n v="0"/>
    <n v="0"/>
    <n v="0"/>
    <n v="0"/>
    <n v="0"/>
    <n v="0"/>
    <s v="Enl Ladok 190523"/>
    <m/>
    <n v="0"/>
    <n v="0"/>
    <n v="0"/>
    <n v="0"/>
    <n v="0"/>
    <n v="0"/>
    <n v="0.875"/>
    <n v="0.74375000000000002"/>
    <n v="0"/>
    <n v="0"/>
    <n v="0"/>
    <n v="0"/>
    <n v="0"/>
    <n v="0"/>
    <n v="0"/>
    <n v="0"/>
    <n v="0"/>
    <n v="0"/>
    <n v="0"/>
    <n v="0"/>
    <n v="0"/>
    <n v="0"/>
    <n v="0"/>
  </r>
  <r>
    <x v="318"/>
    <x v="311"/>
    <m/>
    <x v="1"/>
    <s v="H14"/>
    <x v="1"/>
    <s v="V1916-20"/>
    <s v="Umeå"/>
    <m/>
    <s v="SVAA"/>
    <m/>
    <n v="100"/>
    <x v="0"/>
    <m/>
    <m/>
    <n v="7"/>
    <n v="0.875"/>
    <n v="0.85"/>
    <n v="0.74375000000000002"/>
    <n v="2340"/>
    <x v="16"/>
    <s v="Sam"/>
    <x v="1"/>
    <n v="23641"/>
    <n v="28786"/>
    <n v="42095.462500000001"/>
    <n v="5800"/>
    <n v="5075"/>
    <n v="47170.462500000001"/>
    <n v="0"/>
    <n v="0"/>
    <n v="0"/>
    <n v="1"/>
    <n v="0"/>
    <n v="0"/>
    <n v="0"/>
    <n v="0"/>
    <n v="0"/>
    <n v="0"/>
    <n v="0"/>
    <n v="0"/>
    <s v="Enl Ladok 190523"/>
    <m/>
    <n v="0"/>
    <n v="0"/>
    <n v="0"/>
    <n v="0"/>
    <n v="0"/>
    <n v="0"/>
    <n v="0.875"/>
    <n v="0.74375000000000002"/>
    <n v="0"/>
    <n v="0"/>
    <n v="0"/>
    <n v="0"/>
    <n v="0"/>
    <n v="0"/>
    <n v="0"/>
    <n v="0"/>
    <n v="0"/>
    <n v="0"/>
    <n v="0"/>
    <n v="0"/>
    <n v="0"/>
    <n v="0"/>
    <n v="0"/>
  </r>
  <r>
    <x v="318"/>
    <x v="311"/>
    <m/>
    <x v="1"/>
    <s v="H15"/>
    <x v="1"/>
    <s v="V1916-20"/>
    <s v="Umeå"/>
    <m/>
    <s v="IDRH"/>
    <m/>
    <n v="100"/>
    <x v="0"/>
    <m/>
    <m/>
    <n v="1"/>
    <n v="0.125"/>
    <n v="0.85"/>
    <n v="0.10625"/>
    <n v="2340"/>
    <x v="16"/>
    <s v="Sam"/>
    <x v="1"/>
    <n v="23641"/>
    <n v="28786"/>
    <n v="6013.6374999999998"/>
    <n v="5800"/>
    <n v="725"/>
    <n v="6738.6374999999998"/>
    <n v="0"/>
    <n v="0"/>
    <n v="0"/>
    <n v="1"/>
    <n v="0"/>
    <n v="0"/>
    <n v="0"/>
    <n v="0"/>
    <n v="0"/>
    <n v="0"/>
    <n v="0"/>
    <n v="0"/>
    <s v="Enl Ladok 190523"/>
    <m/>
    <n v="0"/>
    <n v="0"/>
    <n v="0"/>
    <n v="0"/>
    <n v="0"/>
    <n v="0"/>
    <n v="0.125"/>
    <n v="0.10625"/>
    <n v="0"/>
    <n v="0"/>
    <n v="0"/>
    <n v="0"/>
    <n v="0"/>
    <n v="0"/>
    <n v="0"/>
    <n v="0"/>
    <n v="0"/>
    <n v="0"/>
    <n v="0"/>
    <n v="0"/>
    <n v="0"/>
    <n v="0"/>
    <n v="0"/>
  </r>
  <r>
    <x v="319"/>
    <x v="312"/>
    <m/>
    <x v="0"/>
    <m/>
    <x v="2"/>
    <m/>
    <m/>
    <s v="Distans"/>
    <m/>
    <m/>
    <n v="50"/>
    <x v="1"/>
    <m/>
    <m/>
    <n v="22"/>
    <n v="5.5"/>
    <n v="0.8"/>
    <n v="4.4000000000000004"/>
    <n v="1650"/>
    <x v="11"/>
    <s v="Hum"/>
    <x v="0"/>
    <n v="19473"/>
    <n v="34806"/>
    <n v="260247.90000000002"/>
    <n v="21800"/>
    <n v="119900"/>
    <n v="380147.9"/>
    <n v="0"/>
    <n v="0"/>
    <n v="0"/>
    <n v="0"/>
    <n v="0"/>
    <n v="0"/>
    <n v="0"/>
    <n v="1"/>
    <n v="0"/>
    <n v="0"/>
    <n v="0"/>
    <n v="0"/>
    <s v="Äskat - Beslut p43 180607"/>
    <m/>
    <n v="0"/>
    <n v="0"/>
    <n v="0"/>
    <n v="0"/>
    <n v="0"/>
    <n v="0"/>
    <n v="0"/>
    <n v="0"/>
    <n v="0"/>
    <n v="0"/>
    <n v="0"/>
    <n v="0"/>
    <n v="0"/>
    <n v="0"/>
    <n v="5.5"/>
    <n v="4.4000000000000004"/>
    <n v="0"/>
    <n v="0"/>
    <n v="0"/>
    <n v="0"/>
    <n v="0"/>
    <n v="0"/>
    <n v="0"/>
  </r>
  <r>
    <x v="320"/>
    <x v="313"/>
    <m/>
    <x v="0"/>
    <m/>
    <x v="1"/>
    <m/>
    <m/>
    <s v="Distans"/>
    <m/>
    <m/>
    <n v="50"/>
    <x v="1"/>
    <m/>
    <m/>
    <n v="11"/>
    <n v="2.75"/>
    <n v="0.8"/>
    <n v="2.2000000000000002"/>
    <n v="1650"/>
    <x v="11"/>
    <s v="Hum"/>
    <x v="0"/>
    <n v="19473"/>
    <n v="34806"/>
    <n v="130123.95000000001"/>
    <n v="21800"/>
    <n v="59950"/>
    <n v="190073.95"/>
    <n v="0"/>
    <n v="0"/>
    <n v="0"/>
    <n v="0"/>
    <n v="0"/>
    <n v="0"/>
    <n v="0"/>
    <n v="1"/>
    <n v="0"/>
    <n v="0"/>
    <n v="0"/>
    <n v="0"/>
    <s v="Enl Ladok 190318"/>
    <s v="Äskat - Beslut p43 180607"/>
    <n v="0"/>
    <n v="0"/>
    <n v="0"/>
    <n v="0"/>
    <n v="0"/>
    <n v="0"/>
    <n v="0"/>
    <n v="0"/>
    <n v="0"/>
    <n v="0"/>
    <n v="0"/>
    <n v="0"/>
    <n v="0"/>
    <n v="0"/>
    <n v="2.75"/>
    <n v="2.2000000000000002"/>
    <n v="0"/>
    <n v="0"/>
    <n v="0"/>
    <n v="0"/>
    <n v="0"/>
    <n v="0"/>
    <n v="0"/>
  </r>
  <r>
    <x v="321"/>
    <x v="314"/>
    <m/>
    <x v="0"/>
    <m/>
    <x v="1"/>
    <m/>
    <m/>
    <s v="Campus"/>
    <m/>
    <m/>
    <n v="100"/>
    <x v="7"/>
    <m/>
    <m/>
    <n v="0"/>
    <n v="0"/>
    <n v="0.8"/>
    <n v="0"/>
    <n v="1650"/>
    <x v="11"/>
    <s v="Hum"/>
    <x v="0"/>
    <n v="19473"/>
    <n v="34806"/>
    <n v="0"/>
    <n v="21800"/>
    <n v="0"/>
    <n v="0"/>
    <n v="0"/>
    <n v="0"/>
    <n v="0"/>
    <n v="0"/>
    <n v="0"/>
    <n v="0"/>
    <n v="0"/>
    <n v="1"/>
    <n v="0"/>
    <n v="0"/>
    <n v="0"/>
    <n v="0"/>
    <s v="Enl Ladok 190318"/>
    <s v="Äskat - Beslut p43 180607"/>
    <n v="0"/>
    <n v="0"/>
    <n v="0"/>
    <n v="0"/>
    <n v="0"/>
    <n v="0"/>
    <n v="0"/>
    <n v="0"/>
    <n v="0"/>
    <n v="0"/>
    <n v="0"/>
    <n v="0"/>
    <n v="0"/>
    <n v="0"/>
    <n v="0"/>
    <n v="0"/>
    <n v="0"/>
    <n v="0"/>
    <n v="0"/>
    <n v="0"/>
    <n v="0"/>
    <n v="0"/>
    <n v="0"/>
  </r>
  <r>
    <x v="322"/>
    <x v="315"/>
    <m/>
    <x v="0"/>
    <m/>
    <x v="1"/>
    <m/>
    <m/>
    <s v="Distans"/>
    <m/>
    <m/>
    <n v="50"/>
    <x v="1"/>
    <m/>
    <m/>
    <n v="25"/>
    <n v="6.25"/>
    <n v="0.8"/>
    <n v="5"/>
    <n v="1650"/>
    <x v="11"/>
    <s v="Hum"/>
    <x v="0"/>
    <n v="19473"/>
    <n v="34806"/>
    <n v="295736.25"/>
    <n v="21800"/>
    <n v="136250"/>
    <n v="431986.25"/>
    <n v="0"/>
    <n v="0"/>
    <n v="0"/>
    <n v="0"/>
    <n v="0"/>
    <n v="0"/>
    <n v="0"/>
    <n v="1"/>
    <n v="0"/>
    <n v="0"/>
    <n v="0"/>
    <n v="0"/>
    <s v="Enl Ladok 190318"/>
    <s v="Äskat - Beslut p43 180607"/>
    <n v="0"/>
    <n v="0"/>
    <n v="0"/>
    <n v="0"/>
    <n v="0"/>
    <n v="0"/>
    <n v="0"/>
    <n v="0"/>
    <n v="0"/>
    <n v="0"/>
    <n v="0"/>
    <n v="0"/>
    <n v="0"/>
    <n v="0"/>
    <n v="6.25"/>
    <n v="5"/>
    <n v="0"/>
    <n v="0"/>
    <n v="0"/>
    <n v="0"/>
    <n v="0"/>
    <n v="0"/>
    <n v="0"/>
  </r>
  <r>
    <x v="322"/>
    <x v="315"/>
    <m/>
    <x v="0"/>
    <m/>
    <x v="2"/>
    <m/>
    <m/>
    <s v="Distans"/>
    <m/>
    <m/>
    <n v="50"/>
    <x v="1"/>
    <m/>
    <m/>
    <n v="36"/>
    <n v="9"/>
    <n v="0.8"/>
    <n v="7.2"/>
    <n v="1650"/>
    <x v="11"/>
    <s v="Hum"/>
    <x v="0"/>
    <n v="19473"/>
    <n v="34806"/>
    <n v="425860.2"/>
    <n v="21800"/>
    <n v="196200"/>
    <n v="622060.19999999995"/>
    <n v="0"/>
    <n v="0"/>
    <n v="0"/>
    <n v="0"/>
    <n v="0"/>
    <n v="0"/>
    <n v="0"/>
    <n v="1"/>
    <n v="0"/>
    <n v="0"/>
    <n v="0"/>
    <n v="0"/>
    <s v="Äskat - Beslut p43 180607"/>
    <m/>
    <n v="0"/>
    <n v="0"/>
    <n v="0"/>
    <n v="0"/>
    <n v="0"/>
    <n v="0"/>
    <n v="0"/>
    <n v="0"/>
    <n v="0"/>
    <n v="0"/>
    <n v="0"/>
    <n v="0"/>
    <n v="0"/>
    <n v="0"/>
    <n v="9"/>
    <n v="7.2"/>
    <n v="0"/>
    <n v="0"/>
    <n v="0"/>
    <n v="0"/>
    <n v="0"/>
    <n v="0"/>
    <n v="0"/>
  </r>
  <r>
    <x v="323"/>
    <x v="316"/>
    <m/>
    <x v="0"/>
    <m/>
    <x v="2"/>
    <m/>
    <m/>
    <s v="Distans"/>
    <m/>
    <m/>
    <n v="50"/>
    <x v="1"/>
    <m/>
    <m/>
    <n v="8"/>
    <n v="2"/>
    <n v="0.8"/>
    <n v="1.6"/>
    <n v="1650"/>
    <x v="11"/>
    <s v="Hum"/>
    <x v="0"/>
    <n v="19473"/>
    <n v="34806"/>
    <n v="94635.6"/>
    <n v="21800"/>
    <n v="43600"/>
    <n v="138235.6"/>
    <n v="0"/>
    <n v="0"/>
    <n v="0"/>
    <n v="0"/>
    <n v="0"/>
    <n v="0"/>
    <n v="0"/>
    <n v="1"/>
    <n v="0"/>
    <n v="0"/>
    <n v="0"/>
    <n v="0"/>
    <s v="Äskat - Beslut p43 180607"/>
    <m/>
    <n v="0"/>
    <n v="0"/>
    <n v="0"/>
    <n v="0"/>
    <n v="0"/>
    <n v="0"/>
    <n v="0"/>
    <n v="0"/>
    <n v="0"/>
    <n v="0"/>
    <n v="0"/>
    <n v="0"/>
    <n v="0"/>
    <n v="0"/>
    <n v="2"/>
    <n v="1.6"/>
    <n v="0"/>
    <n v="0"/>
    <n v="0"/>
    <n v="0"/>
    <n v="0"/>
    <n v="0"/>
    <n v="0"/>
  </r>
  <r>
    <x v="324"/>
    <x v="317"/>
    <m/>
    <x v="0"/>
    <m/>
    <x v="2"/>
    <m/>
    <m/>
    <s v="Campus"/>
    <m/>
    <m/>
    <n v="100"/>
    <x v="7"/>
    <m/>
    <m/>
    <n v="3"/>
    <n v="1.5"/>
    <n v="0.8"/>
    <n v="1.2000000000000002"/>
    <n v="1650"/>
    <x v="11"/>
    <s v="Hum"/>
    <x v="0"/>
    <n v="19473"/>
    <n v="34806"/>
    <n v="70976.700000000012"/>
    <n v="21800"/>
    <n v="32700"/>
    <n v="103676.70000000001"/>
    <n v="0"/>
    <n v="0"/>
    <n v="0"/>
    <n v="0"/>
    <n v="0"/>
    <n v="0"/>
    <n v="0"/>
    <n v="1"/>
    <n v="0"/>
    <n v="0"/>
    <n v="0"/>
    <n v="0"/>
    <s v="Äskat - Beslut p43 180607"/>
    <m/>
    <n v="0"/>
    <n v="0"/>
    <n v="0"/>
    <n v="0"/>
    <n v="0"/>
    <n v="0"/>
    <n v="0"/>
    <n v="0"/>
    <n v="0"/>
    <n v="0"/>
    <n v="0"/>
    <n v="0"/>
    <n v="0"/>
    <n v="0"/>
    <n v="1.5"/>
    <n v="1.2000000000000002"/>
    <n v="0"/>
    <n v="0"/>
    <n v="0"/>
    <n v="0"/>
    <n v="0"/>
    <n v="0"/>
    <n v="0"/>
  </r>
  <r>
    <x v="325"/>
    <x v="318"/>
    <m/>
    <x v="0"/>
    <m/>
    <x v="1"/>
    <m/>
    <m/>
    <s v="Distans"/>
    <m/>
    <m/>
    <n v="50"/>
    <x v="1"/>
    <m/>
    <m/>
    <n v="7"/>
    <n v="1.75"/>
    <n v="0.8"/>
    <n v="1.4000000000000001"/>
    <n v="1650"/>
    <x v="11"/>
    <s v="Hum"/>
    <x v="0"/>
    <n v="19473"/>
    <n v="34806"/>
    <n v="82806.149999999994"/>
    <n v="21800"/>
    <n v="38150"/>
    <n v="120956.15"/>
    <n v="0"/>
    <n v="0"/>
    <n v="0"/>
    <n v="0"/>
    <n v="0"/>
    <n v="0"/>
    <n v="0"/>
    <n v="1"/>
    <n v="0"/>
    <n v="0"/>
    <n v="0"/>
    <n v="0"/>
    <s v="Enl Ladok 190318"/>
    <s v="Äskat - Beslut p43 180607"/>
    <n v="0"/>
    <n v="0"/>
    <n v="0"/>
    <n v="0"/>
    <n v="0"/>
    <n v="0"/>
    <n v="0"/>
    <n v="0"/>
    <n v="0"/>
    <n v="0"/>
    <n v="0"/>
    <n v="0"/>
    <n v="0"/>
    <n v="0"/>
    <n v="1.75"/>
    <n v="1.4000000000000001"/>
    <n v="0"/>
    <n v="0"/>
    <n v="0"/>
    <n v="0"/>
    <n v="0"/>
    <n v="0"/>
    <n v="0"/>
  </r>
  <r>
    <x v="326"/>
    <x v="319"/>
    <m/>
    <x v="0"/>
    <m/>
    <x v="2"/>
    <m/>
    <m/>
    <s v="Distans"/>
    <m/>
    <m/>
    <n v="25"/>
    <x v="0"/>
    <m/>
    <m/>
    <n v="10"/>
    <n v="1.25"/>
    <n v="0.8"/>
    <n v="1"/>
    <n v="1620"/>
    <x v="10"/>
    <s v="Hum"/>
    <x v="0"/>
    <n v="15846"/>
    <n v="26926"/>
    <n v="46733.5"/>
    <n v="17300"/>
    <n v="21625"/>
    <n v="68358.5"/>
    <n v="0"/>
    <n v="0"/>
    <n v="0"/>
    <n v="0"/>
    <n v="0"/>
    <n v="0"/>
    <n v="0"/>
    <n v="0"/>
    <n v="0"/>
    <n v="0"/>
    <n v="1"/>
    <n v="0"/>
    <s v="Äskat - Beslut p43 180607"/>
    <m/>
    <n v="0"/>
    <n v="0"/>
    <n v="0"/>
    <n v="0"/>
    <n v="0"/>
    <n v="0"/>
    <n v="0"/>
    <n v="0"/>
    <n v="0"/>
    <n v="0"/>
    <n v="0"/>
    <n v="0"/>
    <n v="0"/>
    <n v="0"/>
    <n v="0"/>
    <n v="0"/>
    <n v="0"/>
    <n v="0"/>
    <n v="0"/>
    <n v="1.25"/>
    <n v="1"/>
    <n v="0"/>
    <n v="0"/>
  </r>
  <r>
    <x v="327"/>
    <x v="320"/>
    <m/>
    <x v="0"/>
    <m/>
    <x v="0"/>
    <s v="Sommarkurs"/>
    <m/>
    <s v="Distans"/>
    <m/>
    <m/>
    <n v="50"/>
    <x v="9"/>
    <m/>
    <m/>
    <n v="0"/>
    <n v="0"/>
    <n v="0.8"/>
    <n v="0"/>
    <n v="2750"/>
    <x v="14"/>
    <s v="Sam"/>
    <x v="0"/>
    <n v="19473"/>
    <n v="34806"/>
    <n v="0"/>
    <n v="21800"/>
    <n v="0"/>
    <n v="0"/>
    <n v="0"/>
    <n v="0"/>
    <n v="0"/>
    <n v="0"/>
    <n v="0"/>
    <n v="1"/>
    <n v="0"/>
    <n v="0"/>
    <n v="0"/>
    <n v="0"/>
    <n v="0"/>
    <n v="0"/>
    <s v="Äskat - Beslut p43 180607"/>
    <s v="Ställs in enl uppg fr inst 190213"/>
    <n v="0"/>
    <n v="0"/>
    <n v="0"/>
    <n v="0"/>
    <n v="0"/>
    <n v="0"/>
    <n v="0"/>
    <n v="0"/>
    <n v="0"/>
    <n v="0"/>
    <n v="0"/>
    <n v="0"/>
    <n v="0"/>
    <n v="0"/>
    <n v="0"/>
    <n v="0"/>
    <n v="0"/>
    <n v="0"/>
    <n v="0"/>
    <n v="0"/>
    <n v="0"/>
    <n v="0"/>
    <n v="0"/>
  </r>
  <r>
    <x v="328"/>
    <x v="321"/>
    <m/>
    <x v="13"/>
    <s v="H19"/>
    <x v="2"/>
    <s v="H191-5"/>
    <m/>
    <m/>
    <m/>
    <m/>
    <n v="100"/>
    <x v="0"/>
    <m/>
    <m/>
    <n v="34"/>
    <n v="4.25"/>
    <n v="0.85"/>
    <n v="3.6124999999999998"/>
    <n v="2180"/>
    <x v="0"/>
    <s v="Sam"/>
    <x v="13"/>
    <n v="18405"/>
    <n v="15773"/>
    <n v="135201.21249999999"/>
    <n v="5800"/>
    <n v="24650"/>
    <n v="159851.21249999999"/>
    <n v="0"/>
    <n v="0"/>
    <n v="0"/>
    <n v="0"/>
    <n v="0"/>
    <n v="0"/>
    <n v="1"/>
    <n v="0"/>
    <n v="0"/>
    <n v="0"/>
    <n v="0"/>
    <n v="0"/>
    <s v="Enligt SP 190924"/>
    <m/>
    <n v="0"/>
    <n v="0"/>
    <n v="0"/>
    <n v="0"/>
    <n v="0"/>
    <n v="0"/>
    <n v="0"/>
    <n v="0"/>
    <n v="0"/>
    <n v="0"/>
    <n v="0"/>
    <n v="0"/>
    <n v="4.25"/>
    <n v="3.6124999999999998"/>
    <n v="0"/>
    <n v="0"/>
    <n v="0"/>
    <n v="0"/>
    <n v="0"/>
    <n v="0"/>
    <n v="0"/>
    <n v="0"/>
    <n v="0"/>
  </r>
  <r>
    <x v="328"/>
    <x v="321"/>
    <m/>
    <x v="11"/>
    <s v="H03"/>
    <x v="2"/>
    <s v="H191-5"/>
    <m/>
    <m/>
    <s v="SVGG"/>
    <m/>
    <n v="100"/>
    <x v="0"/>
    <m/>
    <m/>
    <n v="2"/>
    <n v="0.25"/>
    <n v="0.85"/>
    <n v="0.21249999999999999"/>
    <n v="2180"/>
    <x v="0"/>
    <s v="Sam"/>
    <x v="11"/>
    <n v="18405"/>
    <n v="15773"/>
    <n v="7953.0124999999998"/>
    <n v="5800"/>
    <n v="1450"/>
    <n v="9403.0125000000007"/>
    <n v="0"/>
    <n v="0"/>
    <n v="0"/>
    <n v="0"/>
    <n v="0"/>
    <n v="0"/>
    <n v="1"/>
    <n v="0"/>
    <n v="0"/>
    <n v="0"/>
    <n v="0"/>
    <n v="0"/>
    <s v="Enligt SP 190924"/>
    <m/>
    <n v="0"/>
    <n v="0"/>
    <n v="0"/>
    <n v="0"/>
    <n v="0"/>
    <n v="0"/>
    <n v="0"/>
    <n v="0"/>
    <n v="0"/>
    <n v="0"/>
    <n v="0"/>
    <n v="0"/>
    <n v="0.25"/>
    <n v="0.21249999999999999"/>
    <n v="0"/>
    <n v="0"/>
    <n v="0"/>
    <n v="0"/>
    <n v="0"/>
    <n v="0"/>
    <n v="0"/>
    <n v="0"/>
    <n v="0"/>
  </r>
  <r>
    <x v="328"/>
    <x v="321"/>
    <m/>
    <x v="11"/>
    <s v="H03"/>
    <x v="2"/>
    <s v="H191-5"/>
    <m/>
    <m/>
    <s v="UTGG"/>
    <m/>
    <n v="100"/>
    <x v="0"/>
    <m/>
    <m/>
    <n v="1"/>
    <n v="0.125"/>
    <n v="0.85"/>
    <n v="0.10625"/>
    <n v="2180"/>
    <x v="0"/>
    <s v="Sam"/>
    <x v="11"/>
    <n v="18405"/>
    <n v="15773"/>
    <n v="3976.5062499999999"/>
    <n v="5800"/>
    <n v="725"/>
    <n v="4701.5062500000004"/>
    <n v="0"/>
    <n v="0"/>
    <n v="0"/>
    <n v="0"/>
    <n v="0"/>
    <n v="0"/>
    <n v="1"/>
    <n v="0"/>
    <n v="0"/>
    <n v="0"/>
    <n v="0"/>
    <n v="0"/>
    <s v="Enligt SP 190924"/>
    <m/>
    <n v="0"/>
    <n v="0"/>
    <n v="0"/>
    <n v="0"/>
    <n v="0"/>
    <n v="0"/>
    <n v="0"/>
    <n v="0"/>
    <n v="0"/>
    <n v="0"/>
    <n v="0"/>
    <n v="0"/>
    <n v="0.125"/>
    <n v="0.10625"/>
    <n v="0"/>
    <n v="0"/>
    <n v="0"/>
    <n v="0"/>
    <n v="0"/>
    <n v="0"/>
    <n v="0"/>
    <n v="0"/>
    <n v="0"/>
  </r>
  <r>
    <x v="328"/>
    <x v="321"/>
    <m/>
    <x v="11"/>
    <s v="H19"/>
    <x v="2"/>
    <s v="H191-5"/>
    <m/>
    <m/>
    <s v="MAGG"/>
    <m/>
    <n v="100"/>
    <x v="0"/>
    <m/>
    <m/>
    <n v="15"/>
    <n v="1.875"/>
    <n v="0.85"/>
    <n v="1.59375"/>
    <n v="2180"/>
    <x v="0"/>
    <s v="Sam"/>
    <x v="11"/>
    <n v="18405"/>
    <n v="15773"/>
    <n v="59647.59375"/>
    <n v="5800"/>
    <n v="10875"/>
    <n v="70522.59375"/>
    <n v="0"/>
    <n v="0"/>
    <n v="0"/>
    <n v="0"/>
    <n v="0"/>
    <n v="0"/>
    <n v="1"/>
    <n v="0"/>
    <n v="0"/>
    <n v="0"/>
    <n v="0"/>
    <n v="0"/>
    <s v="Enligt SP 190924"/>
    <m/>
    <n v="0"/>
    <n v="0"/>
    <n v="0"/>
    <n v="0"/>
    <n v="0"/>
    <n v="0"/>
    <n v="0"/>
    <n v="0"/>
    <n v="0"/>
    <n v="0"/>
    <n v="0"/>
    <n v="0"/>
    <n v="1.875"/>
    <n v="1.59375"/>
    <n v="0"/>
    <n v="0"/>
    <n v="0"/>
    <n v="0"/>
    <n v="0"/>
    <n v="0"/>
    <n v="0"/>
    <n v="0"/>
    <n v="0"/>
  </r>
  <r>
    <x v="328"/>
    <x v="321"/>
    <m/>
    <x v="11"/>
    <s v="H19"/>
    <x v="2"/>
    <s v="H191-5"/>
    <m/>
    <m/>
    <s v="SVGG"/>
    <m/>
    <n v="100"/>
    <x v="0"/>
    <m/>
    <m/>
    <n v="16"/>
    <n v="2"/>
    <n v="0.85"/>
    <n v="1.7"/>
    <n v="2180"/>
    <x v="0"/>
    <s v="Sam"/>
    <x v="11"/>
    <n v="18405"/>
    <n v="15773"/>
    <n v="63624.1"/>
    <n v="5800"/>
    <n v="11600"/>
    <n v="75224.100000000006"/>
    <n v="0"/>
    <n v="0"/>
    <n v="0"/>
    <n v="0"/>
    <n v="0"/>
    <n v="0"/>
    <n v="1"/>
    <n v="0"/>
    <n v="0"/>
    <n v="0"/>
    <n v="0"/>
    <n v="0"/>
    <s v="Enligt SP 190924"/>
    <m/>
    <n v="0"/>
    <n v="0"/>
    <n v="0"/>
    <n v="0"/>
    <n v="0"/>
    <n v="0"/>
    <n v="0"/>
    <n v="0"/>
    <n v="0"/>
    <n v="0"/>
    <n v="0"/>
    <n v="0"/>
    <n v="2"/>
    <n v="1.7"/>
    <n v="0"/>
    <n v="0"/>
    <n v="0"/>
    <n v="0"/>
    <n v="0"/>
    <n v="0"/>
    <n v="0"/>
    <n v="0"/>
    <n v="0"/>
  </r>
  <r>
    <x v="328"/>
    <x v="321"/>
    <m/>
    <x v="11"/>
    <s v="H19"/>
    <x v="2"/>
    <s v="H191-5"/>
    <m/>
    <m/>
    <s v="UTGG"/>
    <m/>
    <n v="100"/>
    <x v="0"/>
    <m/>
    <m/>
    <n v="14"/>
    <n v="1.75"/>
    <n v="0.85"/>
    <n v="1.4875"/>
    <n v="2180"/>
    <x v="0"/>
    <s v="Sam"/>
    <x v="11"/>
    <n v="18405"/>
    <n v="15773"/>
    <n v="55671.087500000001"/>
    <n v="5800"/>
    <n v="10150"/>
    <n v="65821.087499999994"/>
    <n v="0"/>
    <n v="0"/>
    <n v="0"/>
    <n v="0"/>
    <n v="0"/>
    <n v="0"/>
    <n v="1"/>
    <n v="0"/>
    <n v="0"/>
    <n v="0"/>
    <n v="0"/>
    <n v="0"/>
    <s v="Enligt SP 190924"/>
    <m/>
    <n v="0"/>
    <n v="0"/>
    <n v="0"/>
    <n v="0"/>
    <n v="0"/>
    <n v="0"/>
    <n v="0"/>
    <n v="0"/>
    <n v="0"/>
    <n v="0"/>
    <n v="0"/>
    <n v="0"/>
    <n v="1.75"/>
    <n v="1.4875"/>
    <n v="0"/>
    <n v="0"/>
    <n v="0"/>
    <n v="0"/>
    <n v="0"/>
    <n v="0"/>
    <n v="0"/>
    <n v="0"/>
    <n v="0"/>
  </r>
  <r>
    <x v="328"/>
    <x v="321"/>
    <m/>
    <x v="11"/>
    <s v="V07"/>
    <x v="2"/>
    <s v="H191-5"/>
    <m/>
    <m/>
    <s v="UTGG"/>
    <m/>
    <n v="100"/>
    <x v="0"/>
    <m/>
    <m/>
    <n v="1"/>
    <n v="0.125"/>
    <n v="0.85"/>
    <n v="0.10625"/>
    <n v="2180"/>
    <x v="0"/>
    <s v="Sam"/>
    <x v="11"/>
    <n v="18405"/>
    <n v="15773"/>
    <n v="3976.5062499999999"/>
    <n v="5800"/>
    <n v="725"/>
    <n v="4701.5062500000004"/>
    <n v="0"/>
    <n v="0"/>
    <n v="0"/>
    <n v="0"/>
    <n v="0"/>
    <n v="0"/>
    <n v="1"/>
    <n v="0"/>
    <n v="0"/>
    <n v="0"/>
    <n v="0"/>
    <n v="0"/>
    <s v="Enligt SP 190924"/>
    <m/>
    <n v="0"/>
    <n v="0"/>
    <n v="0"/>
    <n v="0"/>
    <n v="0"/>
    <n v="0"/>
    <n v="0"/>
    <n v="0"/>
    <n v="0"/>
    <n v="0"/>
    <n v="0"/>
    <n v="0"/>
    <n v="0.125"/>
    <n v="0.10625"/>
    <n v="0"/>
    <n v="0"/>
    <n v="0"/>
    <n v="0"/>
    <n v="0"/>
    <n v="0"/>
    <n v="0"/>
    <n v="0"/>
    <n v="0"/>
  </r>
  <r>
    <x v="328"/>
    <x v="321"/>
    <m/>
    <x v="11"/>
    <s v="V08"/>
    <x v="2"/>
    <s v="H191-5"/>
    <m/>
    <m/>
    <s v="SVGG"/>
    <m/>
    <n v="100"/>
    <x v="0"/>
    <m/>
    <m/>
    <n v="2"/>
    <n v="0.25"/>
    <n v="0.85"/>
    <n v="0.21249999999999999"/>
    <n v="2180"/>
    <x v="0"/>
    <s v="Sam"/>
    <x v="11"/>
    <n v="18405"/>
    <n v="15773"/>
    <n v="7953.0124999999998"/>
    <n v="5800"/>
    <n v="1450"/>
    <n v="9403.0125000000007"/>
    <n v="0"/>
    <n v="0"/>
    <n v="0"/>
    <n v="0"/>
    <n v="0"/>
    <n v="0"/>
    <n v="1"/>
    <n v="0"/>
    <n v="0"/>
    <n v="0"/>
    <n v="0"/>
    <n v="0"/>
    <s v="Enligt SP 190924"/>
    <m/>
    <n v="0"/>
    <n v="0"/>
    <n v="0"/>
    <n v="0"/>
    <n v="0"/>
    <n v="0"/>
    <n v="0"/>
    <n v="0"/>
    <n v="0"/>
    <n v="0"/>
    <n v="0"/>
    <n v="0"/>
    <n v="0.25"/>
    <n v="0.21249999999999999"/>
    <n v="0"/>
    <n v="0"/>
    <n v="0"/>
    <n v="0"/>
    <n v="0"/>
    <n v="0"/>
    <n v="0"/>
    <n v="0"/>
    <n v="0"/>
  </r>
  <r>
    <x v="329"/>
    <x v="322"/>
    <m/>
    <x v="0"/>
    <m/>
    <x v="2"/>
    <m/>
    <m/>
    <s v="Campus"/>
    <m/>
    <m/>
    <n v="100"/>
    <x v="0"/>
    <m/>
    <m/>
    <n v="10"/>
    <n v="1.25"/>
    <n v="0.8"/>
    <n v="1"/>
    <n v="2180"/>
    <x v="0"/>
    <s v="Sam"/>
    <x v="0"/>
    <n v="18405"/>
    <n v="15773"/>
    <n v="38779.25"/>
    <n v="5800"/>
    <n v="7250"/>
    <n v="46029.25"/>
    <n v="0"/>
    <n v="0"/>
    <n v="0"/>
    <n v="0"/>
    <n v="0"/>
    <n v="0"/>
    <n v="1"/>
    <n v="0"/>
    <n v="0"/>
    <n v="0"/>
    <n v="0"/>
    <n v="0"/>
    <s v="Äskat - Beslut p43 180607"/>
    <m/>
    <n v="0"/>
    <n v="0"/>
    <n v="0"/>
    <n v="0"/>
    <n v="0"/>
    <n v="0"/>
    <n v="0"/>
    <n v="0"/>
    <n v="0"/>
    <n v="0"/>
    <n v="0"/>
    <n v="0"/>
    <n v="1.25"/>
    <n v="1"/>
    <n v="0"/>
    <n v="0"/>
    <n v="0"/>
    <n v="0"/>
    <n v="0"/>
    <n v="0"/>
    <n v="0"/>
    <n v="0"/>
    <n v="0"/>
  </r>
  <r>
    <x v="329"/>
    <x v="322"/>
    <m/>
    <x v="13"/>
    <s v="H19"/>
    <x v="2"/>
    <s v="H1916-20"/>
    <m/>
    <m/>
    <m/>
    <m/>
    <n v="100"/>
    <x v="0"/>
    <n v="-0.1"/>
    <n v="34"/>
    <n v="30.6"/>
    <n v="3.8250000000000002"/>
    <n v="0.85"/>
    <n v="3.2512500000000002"/>
    <n v="2180"/>
    <x v="0"/>
    <s v="Sam"/>
    <x v="13"/>
    <n v="18405"/>
    <n v="15773"/>
    <n v="121681.09125"/>
    <n v="5800"/>
    <n v="22185"/>
    <n v="143866.09125"/>
    <n v="0"/>
    <n v="0"/>
    <n v="0"/>
    <n v="0"/>
    <n v="0"/>
    <n v="0"/>
    <n v="1"/>
    <n v="0"/>
    <n v="0"/>
    <n v="0"/>
    <n v="0"/>
    <n v="0"/>
    <s v="Prognostal"/>
    <m/>
    <n v="0"/>
    <n v="0"/>
    <n v="0"/>
    <n v="0"/>
    <n v="0"/>
    <n v="0"/>
    <n v="0"/>
    <n v="0"/>
    <n v="0"/>
    <n v="0"/>
    <n v="0"/>
    <n v="0"/>
    <n v="3.8250000000000002"/>
    <n v="3.2512500000000002"/>
    <n v="0"/>
    <n v="0"/>
    <n v="0"/>
    <n v="0"/>
    <n v="0"/>
    <n v="0"/>
    <n v="0"/>
    <n v="0"/>
    <n v="0"/>
  </r>
  <r>
    <x v="329"/>
    <x v="322"/>
    <m/>
    <x v="11"/>
    <s v="H03"/>
    <x v="2"/>
    <s v="H1916-20"/>
    <m/>
    <m/>
    <s v="SVGG"/>
    <m/>
    <n v="100"/>
    <x v="0"/>
    <m/>
    <m/>
    <n v="2"/>
    <n v="0.25"/>
    <n v="0.85"/>
    <n v="0.21249999999999999"/>
    <n v="2180"/>
    <x v="0"/>
    <s v="Sam"/>
    <x v="11"/>
    <n v="18405"/>
    <n v="15773"/>
    <n v="7953.0124999999998"/>
    <n v="5800"/>
    <n v="1450"/>
    <n v="9403.0125000000007"/>
    <n v="0"/>
    <n v="0"/>
    <n v="0"/>
    <n v="0"/>
    <n v="0"/>
    <n v="0"/>
    <n v="1"/>
    <n v="0"/>
    <n v="0"/>
    <n v="0"/>
    <n v="0"/>
    <n v="0"/>
    <s v="Enligt SP 190924"/>
    <m/>
    <n v="0"/>
    <n v="0"/>
    <n v="0"/>
    <n v="0"/>
    <n v="0"/>
    <n v="0"/>
    <n v="0"/>
    <n v="0"/>
    <n v="0"/>
    <n v="0"/>
    <n v="0"/>
    <n v="0"/>
    <n v="0.25"/>
    <n v="0.21249999999999999"/>
    <n v="0"/>
    <n v="0"/>
    <n v="0"/>
    <n v="0"/>
    <n v="0"/>
    <n v="0"/>
    <n v="0"/>
    <n v="0"/>
    <n v="0"/>
  </r>
  <r>
    <x v="329"/>
    <x v="322"/>
    <m/>
    <x v="11"/>
    <s v="H03"/>
    <x v="2"/>
    <s v="H1916-20"/>
    <m/>
    <m/>
    <s v="UTGG"/>
    <m/>
    <n v="100"/>
    <x v="0"/>
    <m/>
    <m/>
    <n v="1"/>
    <n v="0.125"/>
    <n v="0.85"/>
    <n v="0.10625"/>
    <n v="2180"/>
    <x v="0"/>
    <s v="Sam"/>
    <x v="11"/>
    <n v="18405"/>
    <n v="15773"/>
    <n v="3976.5062499999999"/>
    <n v="5800"/>
    <n v="725"/>
    <n v="4701.5062500000004"/>
    <n v="0"/>
    <n v="0"/>
    <n v="0"/>
    <n v="0"/>
    <n v="0"/>
    <n v="0"/>
    <n v="1"/>
    <n v="0"/>
    <n v="0"/>
    <n v="0"/>
    <n v="0"/>
    <n v="0"/>
    <s v="Enligt SP 190924"/>
    <m/>
    <n v="0"/>
    <n v="0"/>
    <n v="0"/>
    <n v="0"/>
    <n v="0"/>
    <n v="0"/>
    <n v="0"/>
    <n v="0"/>
    <n v="0"/>
    <n v="0"/>
    <n v="0"/>
    <n v="0"/>
    <n v="0.125"/>
    <n v="0.10625"/>
    <n v="0"/>
    <n v="0"/>
    <n v="0"/>
    <n v="0"/>
    <n v="0"/>
    <n v="0"/>
    <n v="0"/>
    <n v="0"/>
    <n v="0"/>
  </r>
  <r>
    <x v="329"/>
    <x v="322"/>
    <m/>
    <x v="11"/>
    <s v="H18"/>
    <x v="2"/>
    <s v="H1916-20"/>
    <m/>
    <m/>
    <s v="UTGG"/>
    <m/>
    <n v="100"/>
    <x v="0"/>
    <m/>
    <m/>
    <n v="1"/>
    <n v="0.125"/>
    <n v="0.85"/>
    <n v="0.10625"/>
    <n v="2180"/>
    <x v="0"/>
    <s v="Sam"/>
    <x v="11"/>
    <n v="18405"/>
    <n v="15773"/>
    <n v="3976.5062499999999"/>
    <n v="5800"/>
    <n v="725"/>
    <n v="4701.5062500000004"/>
    <n v="0"/>
    <n v="0"/>
    <n v="0"/>
    <n v="0"/>
    <n v="0"/>
    <n v="0"/>
    <n v="1"/>
    <n v="0"/>
    <n v="0"/>
    <n v="0"/>
    <n v="0"/>
    <n v="0"/>
    <s v="Enligt SP 190924"/>
    <m/>
    <n v="0"/>
    <n v="0"/>
    <n v="0"/>
    <n v="0"/>
    <n v="0"/>
    <n v="0"/>
    <n v="0"/>
    <n v="0"/>
    <n v="0"/>
    <n v="0"/>
    <n v="0"/>
    <n v="0"/>
    <n v="0.125"/>
    <n v="0.10625"/>
    <n v="0"/>
    <n v="0"/>
    <n v="0"/>
    <n v="0"/>
    <n v="0"/>
    <n v="0"/>
    <n v="0"/>
    <n v="0"/>
    <n v="0"/>
  </r>
  <r>
    <x v="329"/>
    <x v="322"/>
    <m/>
    <x v="11"/>
    <s v="H19"/>
    <x v="2"/>
    <s v="H1916-20"/>
    <m/>
    <m/>
    <s v="MAGG"/>
    <m/>
    <n v="100"/>
    <x v="0"/>
    <m/>
    <m/>
    <n v="15"/>
    <n v="1.875"/>
    <n v="0.85"/>
    <n v="1.59375"/>
    <n v="2180"/>
    <x v="0"/>
    <s v="Sam"/>
    <x v="11"/>
    <n v="18405"/>
    <n v="15773"/>
    <n v="59647.59375"/>
    <n v="5800"/>
    <n v="10875"/>
    <n v="70522.59375"/>
    <n v="0"/>
    <n v="0"/>
    <n v="0"/>
    <n v="0"/>
    <n v="0"/>
    <n v="0"/>
    <n v="1"/>
    <n v="0"/>
    <n v="0"/>
    <n v="0"/>
    <n v="0"/>
    <n v="0"/>
    <s v="Enligt SP 190924"/>
    <m/>
    <n v="0"/>
    <n v="0"/>
    <n v="0"/>
    <n v="0"/>
    <n v="0"/>
    <n v="0"/>
    <n v="0"/>
    <n v="0"/>
    <n v="0"/>
    <n v="0"/>
    <n v="0"/>
    <n v="0"/>
    <n v="1.875"/>
    <n v="1.59375"/>
    <n v="0"/>
    <n v="0"/>
    <n v="0"/>
    <n v="0"/>
    <n v="0"/>
    <n v="0"/>
    <n v="0"/>
    <n v="0"/>
    <n v="0"/>
  </r>
  <r>
    <x v="329"/>
    <x v="322"/>
    <m/>
    <x v="11"/>
    <s v="H19"/>
    <x v="2"/>
    <s v="H1916-20"/>
    <m/>
    <m/>
    <s v="SVGG"/>
    <m/>
    <n v="100"/>
    <x v="0"/>
    <m/>
    <m/>
    <n v="15"/>
    <n v="1.875"/>
    <n v="0.85"/>
    <n v="1.59375"/>
    <n v="2180"/>
    <x v="0"/>
    <s v="Sam"/>
    <x v="11"/>
    <n v="18405"/>
    <n v="15773"/>
    <n v="59647.59375"/>
    <n v="5800"/>
    <n v="10875"/>
    <n v="70522.59375"/>
    <n v="0"/>
    <n v="0"/>
    <n v="0"/>
    <n v="0"/>
    <n v="0"/>
    <n v="0"/>
    <n v="1"/>
    <n v="0"/>
    <n v="0"/>
    <n v="0"/>
    <n v="0"/>
    <n v="0"/>
    <s v="Enligt SP 190924"/>
    <m/>
    <n v="0"/>
    <n v="0"/>
    <n v="0"/>
    <n v="0"/>
    <n v="0"/>
    <n v="0"/>
    <n v="0"/>
    <n v="0"/>
    <n v="0"/>
    <n v="0"/>
    <n v="0"/>
    <n v="0"/>
    <n v="1.875"/>
    <n v="1.59375"/>
    <n v="0"/>
    <n v="0"/>
    <n v="0"/>
    <n v="0"/>
    <n v="0"/>
    <n v="0"/>
    <n v="0"/>
    <n v="0"/>
    <n v="0"/>
  </r>
  <r>
    <x v="329"/>
    <x v="322"/>
    <m/>
    <x v="11"/>
    <s v="H19"/>
    <x v="2"/>
    <s v="H1916-20"/>
    <m/>
    <m/>
    <s v="UTGG"/>
    <m/>
    <n v="100"/>
    <x v="0"/>
    <m/>
    <m/>
    <n v="14"/>
    <n v="1.75"/>
    <n v="0.85"/>
    <n v="1.4875"/>
    <n v="2180"/>
    <x v="0"/>
    <s v="Sam"/>
    <x v="11"/>
    <n v="18405"/>
    <n v="15773"/>
    <n v="55671.087500000001"/>
    <n v="5800"/>
    <n v="10150"/>
    <n v="65821.087499999994"/>
    <n v="0"/>
    <n v="0"/>
    <n v="0"/>
    <n v="0"/>
    <n v="0"/>
    <n v="0"/>
    <n v="1"/>
    <n v="0"/>
    <n v="0"/>
    <n v="0"/>
    <n v="0"/>
    <n v="0"/>
    <s v="Enligt SP 190924"/>
    <m/>
    <n v="0"/>
    <n v="0"/>
    <n v="0"/>
    <n v="0"/>
    <n v="0"/>
    <n v="0"/>
    <n v="0"/>
    <n v="0"/>
    <n v="0"/>
    <n v="0"/>
    <n v="0"/>
    <n v="0"/>
    <n v="1.75"/>
    <n v="1.4875"/>
    <n v="0"/>
    <n v="0"/>
    <n v="0"/>
    <n v="0"/>
    <n v="0"/>
    <n v="0"/>
    <n v="0"/>
    <n v="0"/>
    <n v="0"/>
  </r>
  <r>
    <x v="329"/>
    <x v="322"/>
    <m/>
    <x v="11"/>
    <s v="V07"/>
    <x v="2"/>
    <s v="H1916-20"/>
    <m/>
    <m/>
    <s v="UTGG"/>
    <m/>
    <n v="100"/>
    <x v="0"/>
    <m/>
    <m/>
    <n v="1"/>
    <n v="0.125"/>
    <n v="0.85"/>
    <n v="0.10625"/>
    <n v="2180"/>
    <x v="0"/>
    <s v="Sam"/>
    <x v="11"/>
    <n v="18405"/>
    <n v="15773"/>
    <n v="3976.5062499999999"/>
    <n v="5800"/>
    <n v="725"/>
    <n v="4701.5062500000004"/>
    <n v="0"/>
    <n v="0"/>
    <n v="0"/>
    <n v="0"/>
    <n v="0"/>
    <n v="0"/>
    <n v="1"/>
    <n v="0"/>
    <n v="0"/>
    <n v="0"/>
    <n v="0"/>
    <n v="0"/>
    <s v="Enligt SP 190924"/>
    <m/>
    <n v="0"/>
    <n v="0"/>
    <n v="0"/>
    <n v="0"/>
    <n v="0"/>
    <n v="0"/>
    <n v="0"/>
    <n v="0"/>
    <n v="0"/>
    <n v="0"/>
    <n v="0"/>
    <n v="0"/>
    <n v="0.125"/>
    <n v="0.10625"/>
    <n v="0"/>
    <n v="0"/>
    <n v="0"/>
    <n v="0"/>
    <n v="0"/>
    <n v="0"/>
    <n v="0"/>
    <n v="0"/>
    <n v="0"/>
  </r>
  <r>
    <x v="329"/>
    <x v="322"/>
    <m/>
    <x v="11"/>
    <s v="V08"/>
    <x v="2"/>
    <s v="H1916-20"/>
    <m/>
    <m/>
    <s v="SVGG"/>
    <m/>
    <n v="100"/>
    <x v="0"/>
    <m/>
    <m/>
    <n v="2"/>
    <n v="0.25"/>
    <n v="0.85"/>
    <n v="0.21249999999999999"/>
    <n v="2180"/>
    <x v="0"/>
    <s v="Sam"/>
    <x v="11"/>
    <n v="18405"/>
    <n v="15773"/>
    <n v="7953.0124999999998"/>
    <n v="5800"/>
    <n v="1450"/>
    <n v="9403.0125000000007"/>
    <n v="0"/>
    <n v="0"/>
    <n v="0"/>
    <n v="0"/>
    <n v="0"/>
    <n v="0"/>
    <n v="1"/>
    <n v="0"/>
    <n v="0"/>
    <n v="0"/>
    <n v="0"/>
    <n v="0"/>
    <s v="Enligt SP 190924"/>
    <m/>
    <n v="0"/>
    <n v="0"/>
    <n v="0"/>
    <n v="0"/>
    <n v="0"/>
    <n v="0"/>
    <n v="0"/>
    <n v="0"/>
    <n v="0"/>
    <n v="0"/>
    <n v="0"/>
    <n v="0"/>
    <n v="0.25"/>
    <n v="0.21249999999999999"/>
    <n v="0"/>
    <n v="0"/>
    <n v="0"/>
    <n v="0"/>
    <n v="0"/>
    <n v="0"/>
    <n v="0"/>
    <n v="0"/>
    <n v="0"/>
  </r>
  <r>
    <x v="330"/>
    <x v="323"/>
    <m/>
    <x v="13"/>
    <s v="H19"/>
    <x v="2"/>
    <s v="H196-15"/>
    <m/>
    <m/>
    <m/>
    <m/>
    <n v="100"/>
    <x v="1"/>
    <n v="-0.05"/>
    <n v="34"/>
    <n v="32.299999999999997"/>
    <n v="8.0749999999999993"/>
    <n v="0.85"/>
    <n v="6.8637499999999996"/>
    <n v="2193"/>
    <x v="1"/>
    <s v="Sam"/>
    <x v="13"/>
    <n v="34144.199999999997"/>
    <n v="33557.800000000003"/>
    <n v="506046.76474999997"/>
    <n v="5800"/>
    <n v="46834.999999999993"/>
    <n v="552881.76474999997"/>
    <n v="0"/>
    <n v="0"/>
    <n v="0"/>
    <n v="0"/>
    <n v="0"/>
    <n v="0"/>
    <n v="0.2"/>
    <n v="0"/>
    <n v="0"/>
    <n v="0"/>
    <n v="0"/>
    <n v="0.8"/>
    <s v="Prognostal"/>
    <m/>
    <n v="0"/>
    <n v="0"/>
    <n v="0"/>
    <n v="0"/>
    <n v="0"/>
    <n v="0"/>
    <n v="0"/>
    <n v="0"/>
    <n v="0"/>
    <n v="0"/>
    <n v="0"/>
    <n v="0"/>
    <n v="1.615"/>
    <n v="1.3727499999999999"/>
    <n v="0"/>
    <n v="0"/>
    <n v="0"/>
    <n v="0"/>
    <n v="0"/>
    <n v="0"/>
    <n v="0"/>
    <n v="6.46"/>
    <n v="5.4909999999999997"/>
  </r>
  <r>
    <x v="330"/>
    <x v="323"/>
    <m/>
    <x v="11"/>
    <s v="H03"/>
    <x v="2"/>
    <s v="H196-15"/>
    <m/>
    <m/>
    <s v="SVGG"/>
    <m/>
    <n v="100"/>
    <x v="1"/>
    <m/>
    <m/>
    <n v="2"/>
    <n v="0.5"/>
    <n v="0.85"/>
    <n v="0.42499999999999999"/>
    <n v="2193"/>
    <x v="1"/>
    <s v="Sam"/>
    <x v="11"/>
    <n v="34144.199999999997"/>
    <n v="33557.800000000003"/>
    <n v="31334.165000000001"/>
    <n v="5800"/>
    <n v="2900"/>
    <n v="34234.165000000001"/>
    <n v="0"/>
    <n v="0"/>
    <n v="0"/>
    <n v="0"/>
    <n v="0"/>
    <n v="0"/>
    <n v="0.2"/>
    <n v="0"/>
    <n v="0"/>
    <n v="0"/>
    <n v="0"/>
    <n v="0.8"/>
    <s v="Enligt SP 190924"/>
    <m/>
    <n v="0"/>
    <n v="0"/>
    <n v="0"/>
    <n v="0"/>
    <n v="0"/>
    <n v="0"/>
    <n v="0"/>
    <n v="0"/>
    <n v="0"/>
    <n v="0"/>
    <n v="0"/>
    <n v="0"/>
    <n v="0.1"/>
    <n v="8.5000000000000006E-2"/>
    <n v="0"/>
    <n v="0"/>
    <n v="0"/>
    <n v="0"/>
    <n v="0"/>
    <n v="0"/>
    <n v="0"/>
    <n v="0.4"/>
    <n v="0.34"/>
  </r>
  <r>
    <x v="330"/>
    <x v="323"/>
    <m/>
    <x v="11"/>
    <s v="H03"/>
    <x v="2"/>
    <s v="H196-15"/>
    <m/>
    <m/>
    <s v="UTGG"/>
    <m/>
    <n v="100"/>
    <x v="1"/>
    <m/>
    <m/>
    <n v="1"/>
    <n v="0.25"/>
    <n v="0.85"/>
    <n v="0.21249999999999999"/>
    <n v="2193"/>
    <x v="1"/>
    <s v="Sam"/>
    <x v="11"/>
    <n v="34144.199999999997"/>
    <n v="33557.800000000003"/>
    <n v="15667.0825"/>
    <n v="5800"/>
    <n v="1450"/>
    <n v="17117.0825"/>
    <n v="0"/>
    <n v="0"/>
    <n v="0"/>
    <n v="0"/>
    <n v="0"/>
    <n v="0"/>
    <n v="0.2"/>
    <n v="0"/>
    <n v="0"/>
    <n v="0"/>
    <n v="0"/>
    <n v="0.8"/>
    <s v="Enligt SP 190924"/>
    <m/>
    <n v="0"/>
    <n v="0"/>
    <n v="0"/>
    <n v="0"/>
    <n v="0"/>
    <n v="0"/>
    <n v="0"/>
    <n v="0"/>
    <n v="0"/>
    <n v="0"/>
    <n v="0"/>
    <n v="0"/>
    <n v="0.05"/>
    <n v="4.2500000000000003E-2"/>
    <n v="0"/>
    <n v="0"/>
    <n v="0"/>
    <n v="0"/>
    <n v="0"/>
    <n v="0"/>
    <n v="0"/>
    <n v="0.2"/>
    <n v="0.17"/>
  </r>
  <r>
    <x v="330"/>
    <x v="323"/>
    <m/>
    <x v="11"/>
    <s v="H19"/>
    <x v="2"/>
    <s v="H196-15"/>
    <m/>
    <m/>
    <s v="MAGG"/>
    <m/>
    <n v="100"/>
    <x v="1"/>
    <m/>
    <m/>
    <n v="15"/>
    <n v="3.75"/>
    <n v="0.85"/>
    <n v="3.1875"/>
    <n v="2193"/>
    <x v="1"/>
    <s v="Sam"/>
    <x v="11"/>
    <n v="34144.199999999997"/>
    <n v="33557.800000000003"/>
    <n v="235006.23749999999"/>
    <n v="5800"/>
    <n v="21750"/>
    <n v="256756.23749999999"/>
    <n v="0"/>
    <n v="0"/>
    <n v="0"/>
    <n v="0"/>
    <n v="0"/>
    <n v="0"/>
    <n v="0.2"/>
    <n v="0"/>
    <n v="0"/>
    <n v="0"/>
    <n v="0"/>
    <n v="0.8"/>
    <s v="Enligt SP 190924"/>
    <m/>
    <n v="0"/>
    <n v="0"/>
    <n v="0"/>
    <n v="0"/>
    <n v="0"/>
    <n v="0"/>
    <n v="0"/>
    <n v="0"/>
    <n v="0"/>
    <n v="0"/>
    <n v="0"/>
    <n v="0"/>
    <n v="0.75"/>
    <n v="0.63750000000000007"/>
    <n v="0"/>
    <n v="0"/>
    <n v="0"/>
    <n v="0"/>
    <n v="0"/>
    <n v="0"/>
    <n v="0"/>
    <n v="3"/>
    <n v="2.5500000000000003"/>
  </r>
  <r>
    <x v="330"/>
    <x v="323"/>
    <m/>
    <x v="11"/>
    <s v="H19"/>
    <x v="2"/>
    <s v="H196-15"/>
    <m/>
    <m/>
    <s v="SVGG"/>
    <m/>
    <n v="100"/>
    <x v="1"/>
    <m/>
    <m/>
    <n v="15"/>
    <n v="3.75"/>
    <n v="0.85"/>
    <n v="3.1875"/>
    <n v="2193"/>
    <x v="1"/>
    <s v="Sam"/>
    <x v="11"/>
    <n v="34144.199999999997"/>
    <n v="33557.800000000003"/>
    <n v="235006.23749999999"/>
    <n v="5800"/>
    <n v="21750"/>
    <n v="256756.23749999999"/>
    <n v="0"/>
    <n v="0"/>
    <n v="0"/>
    <n v="0"/>
    <n v="0"/>
    <n v="0"/>
    <n v="0.2"/>
    <n v="0"/>
    <n v="0"/>
    <n v="0"/>
    <n v="0"/>
    <n v="0.8"/>
    <s v="Enligt SP 190924"/>
    <m/>
    <n v="0"/>
    <n v="0"/>
    <n v="0"/>
    <n v="0"/>
    <n v="0"/>
    <n v="0"/>
    <n v="0"/>
    <n v="0"/>
    <n v="0"/>
    <n v="0"/>
    <n v="0"/>
    <n v="0"/>
    <n v="0.75"/>
    <n v="0.63750000000000007"/>
    <n v="0"/>
    <n v="0"/>
    <n v="0"/>
    <n v="0"/>
    <n v="0"/>
    <n v="0"/>
    <n v="0"/>
    <n v="3"/>
    <n v="2.5500000000000003"/>
  </r>
  <r>
    <x v="330"/>
    <x v="323"/>
    <m/>
    <x v="11"/>
    <s v="H19"/>
    <x v="2"/>
    <s v="H196-15"/>
    <m/>
    <m/>
    <s v="UTGG"/>
    <m/>
    <n v="100"/>
    <x v="1"/>
    <m/>
    <m/>
    <n v="14"/>
    <n v="3.5"/>
    <n v="0.85"/>
    <n v="2.9750000000000001"/>
    <n v="2193"/>
    <x v="1"/>
    <s v="Sam"/>
    <x v="11"/>
    <n v="34144.199999999997"/>
    <n v="33557.800000000003"/>
    <n v="219339.155"/>
    <n v="5800"/>
    <n v="20300"/>
    <n v="239639.155"/>
    <n v="0"/>
    <n v="0"/>
    <n v="0"/>
    <n v="0"/>
    <n v="0"/>
    <n v="0"/>
    <n v="0.2"/>
    <n v="0"/>
    <n v="0"/>
    <n v="0"/>
    <n v="0"/>
    <n v="0.8"/>
    <s v="Enligt SP 190924"/>
    <m/>
    <n v="0"/>
    <n v="0"/>
    <n v="0"/>
    <n v="0"/>
    <n v="0"/>
    <n v="0"/>
    <n v="0"/>
    <n v="0"/>
    <n v="0"/>
    <n v="0"/>
    <n v="0"/>
    <n v="0"/>
    <n v="0.70000000000000007"/>
    <n v="0.59500000000000008"/>
    <n v="0"/>
    <n v="0"/>
    <n v="0"/>
    <n v="0"/>
    <n v="0"/>
    <n v="0"/>
    <n v="0"/>
    <n v="2.8000000000000003"/>
    <n v="2.3800000000000003"/>
  </r>
  <r>
    <x v="330"/>
    <x v="323"/>
    <m/>
    <x v="11"/>
    <s v="V07"/>
    <x v="2"/>
    <s v="H196-15"/>
    <m/>
    <m/>
    <s v="UTGG"/>
    <m/>
    <n v="100"/>
    <x v="1"/>
    <m/>
    <m/>
    <n v="1"/>
    <n v="0.25"/>
    <n v="0.85"/>
    <n v="0.21249999999999999"/>
    <n v="2193"/>
    <x v="1"/>
    <s v="Sam"/>
    <x v="11"/>
    <n v="34144.199999999997"/>
    <n v="33557.800000000003"/>
    <n v="15667.0825"/>
    <n v="5800"/>
    <n v="1450"/>
    <n v="17117.0825"/>
    <n v="0"/>
    <n v="0"/>
    <n v="0"/>
    <n v="0"/>
    <n v="0"/>
    <n v="0"/>
    <n v="0.2"/>
    <n v="0"/>
    <n v="0"/>
    <n v="0"/>
    <n v="0"/>
    <n v="0.8"/>
    <s v="Enligt SP 190924"/>
    <m/>
    <n v="0"/>
    <n v="0"/>
    <n v="0"/>
    <n v="0"/>
    <n v="0"/>
    <n v="0"/>
    <n v="0"/>
    <n v="0"/>
    <n v="0"/>
    <n v="0"/>
    <n v="0"/>
    <n v="0"/>
    <n v="0.05"/>
    <n v="4.2500000000000003E-2"/>
    <n v="0"/>
    <n v="0"/>
    <n v="0"/>
    <n v="0"/>
    <n v="0"/>
    <n v="0"/>
    <n v="0"/>
    <n v="0.2"/>
    <n v="0.17"/>
  </r>
  <r>
    <x v="330"/>
    <x v="323"/>
    <m/>
    <x v="11"/>
    <s v="V08"/>
    <x v="2"/>
    <s v="H196-15"/>
    <m/>
    <m/>
    <s v="SVGG"/>
    <m/>
    <n v="100"/>
    <x v="1"/>
    <m/>
    <m/>
    <n v="2"/>
    <n v="0.5"/>
    <n v="0.85"/>
    <n v="0.42499999999999999"/>
    <n v="2193"/>
    <x v="1"/>
    <s v="Sam"/>
    <x v="11"/>
    <n v="34144.199999999997"/>
    <n v="33557.800000000003"/>
    <n v="31334.165000000001"/>
    <n v="5800"/>
    <n v="2900"/>
    <n v="34234.165000000001"/>
    <n v="0"/>
    <n v="0"/>
    <n v="0"/>
    <n v="0"/>
    <n v="0"/>
    <n v="0"/>
    <n v="0.2"/>
    <n v="0"/>
    <n v="0"/>
    <n v="0"/>
    <n v="0"/>
    <n v="0.8"/>
    <s v="Enligt SP 190924"/>
    <m/>
    <n v="0"/>
    <n v="0"/>
    <n v="0"/>
    <n v="0"/>
    <n v="0"/>
    <n v="0"/>
    <n v="0"/>
    <n v="0"/>
    <n v="0"/>
    <n v="0"/>
    <n v="0"/>
    <n v="0"/>
    <n v="0.1"/>
    <n v="8.5000000000000006E-2"/>
    <n v="0"/>
    <n v="0"/>
    <n v="0"/>
    <n v="0"/>
    <n v="0"/>
    <n v="0"/>
    <n v="0"/>
    <n v="0.4"/>
    <n v="0.34"/>
  </r>
  <r>
    <x v="331"/>
    <x v="324"/>
    <m/>
    <x v="0"/>
    <m/>
    <x v="1"/>
    <m/>
    <m/>
    <s v="Distans"/>
    <m/>
    <m/>
    <n v="100"/>
    <x v="6"/>
    <m/>
    <m/>
    <n v="1"/>
    <n v="0.375"/>
    <n v="0.8"/>
    <n v="0.30000000000000004"/>
    <n v="2180"/>
    <x v="0"/>
    <s v="Sam"/>
    <x v="0"/>
    <n v="18405"/>
    <n v="15773"/>
    <n v="11633.775000000001"/>
    <n v="5800"/>
    <n v="2175"/>
    <n v="13808.775000000001"/>
    <n v="0"/>
    <n v="0"/>
    <n v="0"/>
    <n v="0"/>
    <n v="0"/>
    <n v="0"/>
    <n v="1"/>
    <n v="0"/>
    <n v="0"/>
    <n v="0"/>
    <n v="0"/>
    <n v="0"/>
    <s v="Enl Ladok 190318"/>
    <s v="Äskat - Beslut p43 180607"/>
    <n v="0"/>
    <n v="0"/>
    <n v="0"/>
    <n v="0"/>
    <n v="0"/>
    <n v="0"/>
    <n v="0"/>
    <n v="0"/>
    <n v="0"/>
    <n v="0"/>
    <n v="0"/>
    <n v="0"/>
    <n v="0.375"/>
    <n v="0.30000000000000004"/>
    <n v="0"/>
    <n v="0"/>
    <n v="0"/>
    <n v="0"/>
    <n v="0"/>
    <n v="0"/>
    <n v="0"/>
    <n v="0"/>
    <n v="0"/>
  </r>
  <r>
    <x v="331"/>
    <x v="324"/>
    <m/>
    <x v="13"/>
    <s v="H12"/>
    <x v="1"/>
    <s v="V196-20"/>
    <s v="Umeå"/>
    <m/>
    <s v="ALLM"/>
    <m/>
    <n v="100"/>
    <x v="6"/>
    <m/>
    <m/>
    <n v="1"/>
    <n v="0.375"/>
    <n v="0.85"/>
    <n v="0.31874999999999998"/>
    <n v="2180"/>
    <x v="0"/>
    <s v="Sam"/>
    <x v="13"/>
    <n v="18405"/>
    <n v="15773"/>
    <n v="11929.518749999999"/>
    <n v="5800"/>
    <n v="2175"/>
    <n v="14104.518749999999"/>
    <n v="0"/>
    <n v="0"/>
    <n v="0"/>
    <n v="0"/>
    <n v="0"/>
    <n v="0"/>
    <n v="1"/>
    <n v="0"/>
    <n v="0"/>
    <n v="0"/>
    <n v="0"/>
    <n v="0"/>
    <s v="Enl Ladok 190318"/>
    <m/>
    <n v="0"/>
    <n v="0"/>
    <n v="0"/>
    <n v="0"/>
    <n v="0"/>
    <n v="0"/>
    <n v="0"/>
    <n v="0"/>
    <n v="0"/>
    <n v="0"/>
    <n v="0"/>
    <n v="0"/>
    <n v="0.375"/>
    <n v="0.31874999999999998"/>
    <n v="0"/>
    <n v="0"/>
    <n v="0"/>
    <n v="0"/>
    <n v="0"/>
    <n v="0"/>
    <n v="0"/>
    <n v="0"/>
    <n v="0"/>
  </r>
  <r>
    <x v="331"/>
    <x v="324"/>
    <m/>
    <x v="13"/>
    <s v="H18"/>
    <x v="1"/>
    <s v="V196-20"/>
    <s v="Umeå"/>
    <m/>
    <s v="ALLM"/>
    <m/>
    <n v="100"/>
    <x v="6"/>
    <m/>
    <m/>
    <n v="38"/>
    <n v="14.25"/>
    <n v="0.85"/>
    <n v="12.112499999999999"/>
    <n v="2180"/>
    <x v="0"/>
    <s v="Sam"/>
    <x v="13"/>
    <n v="18405"/>
    <n v="15773"/>
    <n v="453321.71250000002"/>
    <n v="5800"/>
    <n v="82650"/>
    <n v="535971.71250000002"/>
    <n v="0"/>
    <n v="0"/>
    <n v="0"/>
    <n v="0"/>
    <n v="0"/>
    <n v="0"/>
    <n v="1"/>
    <n v="0"/>
    <n v="0"/>
    <n v="0"/>
    <n v="0"/>
    <n v="0"/>
    <s v="Enl Ladok 190318"/>
    <m/>
    <n v="0"/>
    <n v="0"/>
    <n v="0"/>
    <n v="0"/>
    <n v="0"/>
    <n v="0"/>
    <n v="0"/>
    <n v="0"/>
    <n v="0"/>
    <n v="0"/>
    <n v="0"/>
    <n v="0"/>
    <n v="14.25"/>
    <n v="12.112499999999999"/>
    <n v="0"/>
    <n v="0"/>
    <n v="0"/>
    <n v="0"/>
    <n v="0"/>
    <n v="0"/>
    <n v="0"/>
    <n v="0"/>
    <n v="0"/>
  </r>
  <r>
    <x v="332"/>
    <x v="325"/>
    <m/>
    <x v="0"/>
    <m/>
    <x v="1"/>
    <m/>
    <m/>
    <s v="Distans"/>
    <m/>
    <m/>
    <n v="100"/>
    <x v="1"/>
    <m/>
    <m/>
    <n v="0"/>
    <n v="0"/>
    <n v="0.8"/>
    <n v="0"/>
    <n v="2180"/>
    <x v="0"/>
    <s v="Sam"/>
    <x v="0"/>
    <n v="18405"/>
    <n v="15773"/>
    <n v="0"/>
    <n v="5800"/>
    <n v="0"/>
    <n v="0"/>
    <n v="0"/>
    <n v="0"/>
    <n v="0"/>
    <n v="0"/>
    <n v="0"/>
    <n v="0"/>
    <n v="1"/>
    <n v="0"/>
    <n v="0"/>
    <n v="0"/>
    <n v="0"/>
    <n v="0"/>
    <s v="Enl Ladok 190515"/>
    <s v="Äskat - Beslut p43 180607"/>
    <n v="0"/>
    <n v="0"/>
    <n v="0"/>
    <n v="0"/>
    <n v="0"/>
    <n v="0"/>
    <n v="0"/>
    <n v="0"/>
    <n v="0"/>
    <n v="0"/>
    <n v="0"/>
    <n v="0"/>
    <n v="0"/>
    <n v="0"/>
    <n v="0"/>
    <n v="0"/>
    <n v="0"/>
    <n v="0"/>
    <n v="0"/>
    <n v="0"/>
    <n v="0"/>
    <n v="0"/>
    <n v="0"/>
  </r>
  <r>
    <x v="332"/>
    <x v="325"/>
    <m/>
    <x v="11"/>
    <s v="H18"/>
    <x v="1"/>
    <s v="V191-10"/>
    <s v="Umeå"/>
    <m/>
    <s v="UTGG"/>
    <m/>
    <n v="100"/>
    <x v="1"/>
    <m/>
    <m/>
    <n v="3"/>
    <n v="0.75"/>
    <n v="0.85"/>
    <n v="0.63749999999999996"/>
    <n v="2180"/>
    <x v="0"/>
    <s v="Sam"/>
    <x v="11"/>
    <n v="18405"/>
    <n v="15773"/>
    <n v="23859.037499999999"/>
    <n v="5800"/>
    <n v="4350"/>
    <n v="28209.037499999999"/>
    <n v="0"/>
    <n v="0"/>
    <n v="0"/>
    <n v="0"/>
    <n v="0"/>
    <n v="0"/>
    <n v="1"/>
    <n v="0"/>
    <n v="0"/>
    <n v="0"/>
    <n v="0"/>
    <n v="0"/>
    <s v="Enl Ladok 190318"/>
    <m/>
    <n v="0"/>
    <n v="0"/>
    <n v="0"/>
    <n v="0"/>
    <n v="0"/>
    <n v="0"/>
    <n v="0"/>
    <n v="0"/>
    <n v="0"/>
    <n v="0"/>
    <n v="0"/>
    <n v="0"/>
    <n v="0.75"/>
    <n v="0.63749999999999996"/>
    <n v="0"/>
    <n v="0"/>
    <n v="0"/>
    <n v="0"/>
    <n v="0"/>
    <n v="0"/>
    <n v="0"/>
    <n v="0"/>
    <n v="0"/>
  </r>
  <r>
    <x v="333"/>
    <x v="326"/>
    <m/>
    <x v="0"/>
    <m/>
    <x v="1"/>
    <m/>
    <m/>
    <s v="Distans"/>
    <m/>
    <m/>
    <n v="100"/>
    <x v="1"/>
    <m/>
    <m/>
    <n v="0"/>
    <n v="0"/>
    <n v="0.8"/>
    <n v="0"/>
    <n v="2180"/>
    <x v="0"/>
    <s v="Sam"/>
    <x v="0"/>
    <n v="18405"/>
    <n v="15773"/>
    <n v="0"/>
    <n v="5800"/>
    <n v="0"/>
    <n v="0"/>
    <n v="0"/>
    <n v="0"/>
    <n v="0"/>
    <n v="0"/>
    <n v="0"/>
    <n v="0"/>
    <n v="1"/>
    <n v="0"/>
    <n v="0"/>
    <n v="0"/>
    <n v="0"/>
    <n v="0"/>
    <s v="Enl Ladok 190515"/>
    <s v="Äskat - Beslut p43 180607"/>
    <n v="0"/>
    <n v="0"/>
    <n v="0"/>
    <n v="0"/>
    <n v="0"/>
    <n v="0"/>
    <n v="0"/>
    <n v="0"/>
    <n v="0"/>
    <n v="0"/>
    <n v="0"/>
    <n v="0"/>
    <n v="0"/>
    <n v="0"/>
    <n v="0"/>
    <n v="0"/>
    <n v="0"/>
    <n v="0"/>
    <n v="0"/>
    <n v="0"/>
    <n v="0"/>
    <n v="0"/>
    <n v="0"/>
  </r>
  <r>
    <x v="333"/>
    <x v="326"/>
    <m/>
    <x v="11"/>
    <s v="H18"/>
    <x v="1"/>
    <s v="V1911-20"/>
    <s v="Umeå"/>
    <m/>
    <s v="UTGG"/>
    <m/>
    <n v="100"/>
    <x v="1"/>
    <m/>
    <m/>
    <n v="3"/>
    <n v="0.75"/>
    <n v="0.85"/>
    <n v="0.63749999999999996"/>
    <n v="2180"/>
    <x v="0"/>
    <s v="Sam"/>
    <x v="11"/>
    <n v="18405"/>
    <n v="15773"/>
    <n v="23859.037499999999"/>
    <n v="5800"/>
    <n v="4350"/>
    <n v="28209.037499999999"/>
    <n v="0"/>
    <n v="0"/>
    <n v="0"/>
    <n v="0"/>
    <n v="0"/>
    <n v="0"/>
    <n v="1"/>
    <n v="0"/>
    <n v="0"/>
    <n v="0"/>
    <n v="0"/>
    <n v="0"/>
    <s v="Enl Ladok 190523"/>
    <m/>
    <n v="0"/>
    <n v="0"/>
    <n v="0"/>
    <n v="0"/>
    <n v="0"/>
    <n v="0"/>
    <n v="0"/>
    <n v="0"/>
    <n v="0"/>
    <n v="0"/>
    <n v="0"/>
    <n v="0"/>
    <n v="0.75"/>
    <n v="0.63749999999999996"/>
    <n v="0"/>
    <n v="0"/>
    <n v="0"/>
    <n v="0"/>
    <n v="0"/>
    <n v="0"/>
    <n v="0"/>
    <n v="0"/>
    <n v="0"/>
  </r>
  <r>
    <x v="334"/>
    <x v="327"/>
    <m/>
    <x v="0"/>
    <m/>
    <x v="1"/>
    <m/>
    <m/>
    <s v="Distans"/>
    <m/>
    <m/>
    <n v="50"/>
    <x v="1"/>
    <m/>
    <m/>
    <n v="57"/>
    <n v="14.25"/>
    <n v="0.8"/>
    <n v="11.4"/>
    <n v="2193"/>
    <x v="1"/>
    <s v="Sam"/>
    <x v="0"/>
    <n v="18405"/>
    <n v="15773"/>
    <n v="442083.45"/>
    <n v="5800"/>
    <n v="82650"/>
    <n v="524733.44999999995"/>
    <n v="0"/>
    <n v="0"/>
    <n v="0"/>
    <n v="0"/>
    <n v="0"/>
    <n v="0"/>
    <n v="1"/>
    <n v="0"/>
    <n v="0"/>
    <n v="0"/>
    <n v="0"/>
    <n v="0"/>
    <s v="Enl Ladok 190318"/>
    <s v="Äskat - Beslut p43 180607"/>
    <n v="0"/>
    <n v="0"/>
    <n v="0"/>
    <n v="0"/>
    <n v="0"/>
    <n v="0"/>
    <n v="0"/>
    <n v="0"/>
    <n v="0"/>
    <n v="0"/>
    <n v="0"/>
    <n v="0"/>
    <n v="14.25"/>
    <n v="11.4"/>
    <n v="0"/>
    <n v="0"/>
    <n v="0"/>
    <n v="0"/>
    <n v="0"/>
    <n v="0"/>
    <n v="0"/>
    <n v="0"/>
    <n v="0"/>
  </r>
  <r>
    <x v="334"/>
    <x v="327"/>
    <m/>
    <x v="0"/>
    <m/>
    <x v="2"/>
    <m/>
    <m/>
    <s v="Distans"/>
    <m/>
    <m/>
    <n v="50"/>
    <x v="1"/>
    <m/>
    <m/>
    <n v="30"/>
    <n v="7.5"/>
    <n v="0.8"/>
    <n v="6"/>
    <n v="2193"/>
    <x v="1"/>
    <s v="Sam"/>
    <x v="0"/>
    <n v="18405"/>
    <n v="15773"/>
    <n v="232675.5"/>
    <n v="5800"/>
    <n v="43500"/>
    <n v="276175.5"/>
    <n v="0"/>
    <n v="0"/>
    <n v="0"/>
    <n v="0"/>
    <n v="0"/>
    <n v="0"/>
    <n v="1"/>
    <n v="0"/>
    <n v="0"/>
    <n v="0"/>
    <n v="0"/>
    <n v="0"/>
    <s v="Äskat - Beslut p43 180607"/>
    <m/>
    <n v="0"/>
    <n v="0"/>
    <n v="0"/>
    <n v="0"/>
    <n v="0"/>
    <n v="0"/>
    <n v="0"/>
    <n v="0"/>
    <n v="0"/>
    <n v="0"/>
    <n v="0"/>
    <n v="0"/>
    <n v="7.5"/>
    <n v="6"/>
    <n v="0"/>
    <n v="0"/>
    <n v="0"/>
    <n v="0"/>
    <n v="0"/>
    <n v="0"/>
    <n v="0"/>
    <n v="0"/>
    <n v="0"/>
  </r>
  <r>
    <x v="335"/>
    <x v="328"/>
    <m/>
    <x v="13"/>
    <s v="H12"/>
    <x v="1"/>
    <s v="V191-5"/>
    <s v="Umeå"/>
    <m/>
    <s v="ALLM"/>
    <m/>
    <n v="100"/>
    <x v="0"/>
    <m/>
    <m/>
    <n v="1"/>
    <n v="0.125"/>
    <n v="0.85"/>
    <n v="0.10625"/>
    <n v="2193"/>
    <x v="1"/>
    <s v="Sam"/>
    <x v="13"/>
    <n v="18405"/>
    <n v="15773"/>
    <n v="3976.5062499999999"/>
    <n v="5800"/>
    <n v="725"/>
    <n v="4701.5062500000004"/>
    <n v="0"/>
    <n v="0"/>
    <n v="0"/>
    <n v="0"/>
    <n v="0"/>
    <n v="0"/>
    <n v="1"/>
    <n v="0"/>
    <n v="0"/>
    <n v="0"/>
    <n v="0"/>
    <n v="0"/>
    <s v="Enl Ladok 190318"/>
    <m/>
    <n v="0"/>
    <n v="0"/>
    <n v="0"/>
    <n v="0"/>
    <n v="0"/>
    <n v="0"/>
    <n v="0"/>
    <n v="0"/>
    <n v="0"/>
    <n v="0"/>
    <n v="0"/>
    <n v="0"/>
    <n v="0.125"/>
    <n v="0.10625"/>
    <n v="0"/>
    <n v="0"/>
    <n v="0"/>
    <n v="0"/>
    <n v="0"/>
    <n v="0"/>
    <n v="0"/>
    <n v="0"/>
    <n v="0"/>
  </r>
  <r>
    <x v="335"/>
    <x v="328"/>
    <m/>
    <x v="13"/>
    <s v="H18"/>
    <x v="1"/>
    <s v="V191-5"/>
    <s v="Umeå"/>
    <m/>
    <s v="ALLM"/>
    <m/>
    <n v="100"/>
    <x v="0"/>
    <m/>
    <m/>
    <n v="38"/>
    <n v="4.75"/>
    <n v="0.85"/>
    <n v="4.0374999999999996"/>
    <n v="2193"/>
    <x v="1"/>
    <s v="Sam"/>
    <x v="13"/>
    <n v="18405"/>
    <n v="15773"/>
    <n v="151107.23749999999"/>
    <n v="5800"/>
    <n v="27550"/>
    <n v="178657.23749999999"/>
    <n v="0"/>
    <n v="0"/>
    <n v="0"/>
    <n v="0"/>
    <n v="0"/>
    <n v="0"/>
    <n v="1"/>
    <n v="0"/>
    <n v="0"/>
    <n v="0"/>
    <n v="0"/>
    <n v="0"/>
    <s v="Enl Ladok 190318"/>
    <m/>
    <n v="0"/>
    <n v="0"/>
    <n v="0"/>
    <n v="0"/>
    <n v="0"/>
    <n v="0"/>
    <n v="0"/>
    <n v="0"/>
    <n v="0"/>
    <n v="0"/>
    <n v="0"/>
    <n v="0"/>
    <n v="4.75"/>
    <n v="4.0374999999999996"/>
    <n v="0"/>
    <n v="0"/>
    <n v="0"/>
    <n v="0"/>
    <n v="0"/>
    <n v="0"/>
    <n v="0"/>
    <n v="0"/>
    <n v="0"/>
  </r>
  <r>
    <x v="336"/>
    <x v="329"/>
    <m/>
    <x v="13"/>
    <s v="H18"/>
    <x v="2"/>
    <s v="H191-5"/>
    <m/>
    <m/>
    <m/>
    <m/>
    <n v="100"/>
    <x v="0"/>
    <m/>
    <m/>
    <n v="33"/>
    <n v="4.125"/>
    <n v="0.85"/>
    <n v="3.5062500000000001"/>
    <n v="2180"/>
    <x v="0"/>
    <s v="Sam"/>
    <x v="13"/>
    <n v="18405"/>
    <n v="15773"/>
    <n v="131224.70624999999"/>
    <n v="5800"/>
    <n v="23925"/>
    <n v="155149.70624999999"/>
    <n v="0"/>
    <n v="0"/>
    <n v="0"/>
    <n v="0"/>
    <n v="0"/>
    <n v="0"/>
    <n v="1"/>
    <n v="0"/>
    <n v="0"/>
    <n v="0"/>
    <n v="0"/>
    <n v="0"/>
    <s v="Enligt SP 190924"/>
    <m/>
    <n v="0"/>
    <n v="0"/>
    <n v="0"/>
    <n v="0"/>
    <n v="0"/>
    <n v="0"/>
    <n v="0"/>
    <n v="0"/>
    <n v="0"/>
    <n v="0"/>
    <n v="0"/>
    <n v="0"/>
    <n v="4.125"/>
    <n v="3.5062500000000001"/>
    <n v="0"/>
    <n v="0"/>
    <n v="0"/>
    <n v="0"/>
    <n v="0"/>
    <n v="0"/>
    <n v="0"/>
    <n v="0"/>
    <n v="0"/>
  </r>
  <r>
    <x v="336"/>
    <x v="329"/>
    <m/>
    <x v="11"/>
    <s v="H18"/>
    <x v="2"/>
    <s v="H191-5"/>
    <m/>
    <m/>
    <s v="MAGG"/>
    <m/>
    <n v="100"/>
    <x v="0"/>
    <m/>
    <m/>
    <n v="8"/>
    <n v="1"/>
    <n v="0.85"/>
    <n v="0.85"/>
    <n v="2180"/>
    <x v="0"/>
    <s v="Sam"/>
    <x v="11"/>
    <n v="18405"/>
    <n v="15773"/>
    <n v="31812.05"/>
    <n v="5800"/>
    <n v="5800"/>
    <n v="37612.050000000003"/>
    <n v="0"/>
    <n v="0"/>
    <n v="0"/>
    <n v="0"/>
    <n v="0"/>
    <n v="0"/>
    <n v="1"/>
    <n v="0"/>
    <n v="0"/>
    <n v="0"/>
    <n v="0"/>
    <n v="0"/>
    <s v="Enligt SP 190924"/>
    <m/>
    <n v="0"/>
    <n v="0"/>
    <n v="0"/>
    <n v="0"/>
    <n v="0"/>
    <n v="0"/>
    <n v="0"/>
    <n v="0"/>
    <n v="0"/>
    <n v="0"/>
    <n v="0"/>
    <n v="0"/>
    <n v="1"/>
    <n v="0.85"/>
    <n v="0"/>
    <n v="0"/>
    <n v="0"/>
    <n v="0"/>
    <n v="0"/>
    <n v="0"/>
    <n v="0"/>
    <n v="0"/>
    <n v="0"/>
  </r>
  <r>
    <x v="336"/>
    <x v="329"/>
    <m/>
    <x v="11"/>
    <s v="H18"/>
    <x v="2"/>
    <s v="H191-5"/>
    <m/>
    <m/>
    <s v="SVGG"/>
    <m/>
    <n v="100"/>
    <x v="0"/>
    <m/>
    <m/>
    <n v="16"/>
    <n v="2"/>
    <n v="0.85"/>
    <n v="1.7"/>
    <n v="2180"/>
    <x v="0"/>
    <s v="Sam"/>
    <x v="11"/>
    <n v="18405"/>
    <n v="15773"/>
    <n v="63624.1"/>
    <n v="5800"/>
    <n v="11600"/>
    <n v="75224.100000000006"/>
    <n v="0"/>
    <n v="0"/>
    <n v="0"/>
    <n v="0"/>
    <n v="0"/>
    <n v="0"/>
    <n v="1"/>
    <n v="0"/>
    <n v="0"/>
    <n v="0"/>
    <n v="0"/>
    <n v="0"/>
    <s v="Enligt SP 190924"/>
    <m/>
    <n v="0"/>
    <n v="0"/>
    <n v="0"/>
    <n v="0"/>
    <n v="0"/>
    <n v="0"/>
    <n v="0"/>
    <n v="0"/>
    <n v="0"/>
    <n v="0"/>
    <n v="0"/>
    <n v="0"/>
    <n v="2"/>
    <n v="1.7"/>
    <n v="0"/>
    <n v="0"/>
    <n v="0"/>
    <n v="0"/>
    <n v="0"/>
    <n v="0"/>
    <n v="0"/>
    <n v="0"/>
    <n v="0"/>
  </r>
  <r>
    <x v="336"/>
    <x v="329"/>
    <m/>
    <x v="11"/>
    <s v="H18"/>
    <x v="2"/>
    <s v="H191-5"/>
    <m/>
    <m/>
    <s v="UTGG"/>
    <m/>
    <n v="100"/>
    <x v="0"/>
    <m/>
    <m/>
    <n v="3"/>
    <n v="0.375"/>
    <n v="0.85"/>
    <n v="0.31874999999999998"/>
    <n v="2180"/>
    <x v="0"/>
    <s v="Sam"/>
    <x v="11"/>
    <n v="18405"/>
    <n v="15773"/>
    <n v="11929.518749999999"/>
    <n v="5800"/>
    <n v="2175"/>
    <n v="14104.518749999999"/>
    <n v="0"/>
    <n v="0"/>
    <n v="0"/>
    <n v="0"/>
    <n v="0"/>
    <n v="0"/>
    <n v="1"/>
    <n v="0"/>
    <n v="0"/>
    <n v="0"/>
    <n v="0"/>
    <n v="0"/>
    <s v="Enligt SP 190924"/>
    <m/>
    <n v="0"/>
    <n v="0"/>
    <n v="0"/>
    <n v="0"/>
    <n v="0"/>
    <n v="0"/>
    <n v="0"/>
    <n v="0"/>
    <n v="0"/>
    <n v="0"/>
    <n v="0"/>
    <n v="0"/>
    <n v="0.375"/>
    <n v="0.31874999999999998"/>
    <n v="0"/>
    <n v="0"/>
    <n v="0"/>
    <n v="0"/>
    <n v="0"/>
    <n v="0"/>
    <n v="0"/>
    <n v="0"/>
    <n v="0"/>
  </r>
  <r>
    <x v="337"/>
    <x v="330"/>
    <m/>
    <x v="11"/>
    <s v="H18"/>
    <x v="2"/>
    <s v="H196-15"/>
    <m/>
    <m/>
    <s v="UTGG"/>
    <m/>
    <n v="100"/>
    <x v="1"/>
    <m/>
    <m/>
    <n v="3"/>
    <n v="0.75"/>
    <n v="0.85"/>
    <n v="0.63749999999999996"/>
    <n v="2180"/>
    <x v="0"/>
    <s v="Sam"/>
    <x v="11"/>
    <n v="18405"/>
    <n v="15773"/>
    <n v="23859.037499999999"/>
    <n v="5800"/>
    <n v="4350"/>
    <n v="28209.037499999999"/>
    <n v="0"/>
    <n v="0"/>
    <n v="0"/>
    <n v="0"/>
    <n v="0"/>
    <n v="0"/>
    <n v="1"/>
    <n v="0"/>
    <n v="0"/>
    <n v="0"/>
    <n v="0"/>
    <n v="0"/>
    <s v="Enligt SP 190924"/>
    <m/>
    <n v="0"/>
    <n v="0"/>
    <n v="0"/>
    <n v="0"/>
    <n v="0"/>
    <n v="0"/>
    <n v="0"/>
    <n v="0"/>
    <n v="0"/>
    <n v="0"/>
    <n v="0"/>
    <n v="0"/>
    <n v="0.75"/>
    <n v="0.63749999999999996"/>
    <n v="0"/>
    <n v="0"/>
    <n v="0"/>
    <n v="0"/>
    <n v="0"/>
    <n v="0"/>
    <n v="0"/>
    <n v="0"/>
    <n v="0"/>
  </r>
  <r>
    <x v="338"/>
    <x v="331"/>
    <m/>
    <x v="13"/>
    <s v="H12"/>
    <x v="2"/>
    <s v="H196-15"/>
    <m/>
    <m/>
    <m/>
    <m/>
    <n v="100"/>
    <x v="1"/>
    <m/>
    <m/>
    <n v="1"/>
    <n v="0.25"/>
    <n v="0.85"/>
    <n v="0.21249999999999999"/>
    <n v="2180"/>
    <x v="0"/>
    <s v="Sam"/>
    <x v="13"/>
    <n v="18405"/>
    <n v="15773"/>
    <n v="7953.0124999999998"/>
    <n v="5800"/>
    <n v="1450"/>
    <n v="9403.0125000000007"/>
    <n v="0"/>
    <n v="0"/>
    <n v="0"/>
    <n v="0"/>
    <n v="0"/>
    <n v="0"/>
    <n v="1"/>
    <n v="0"/>
    <n v="0"/>
    <n v="0"/>
    <n v="0"/>
    <n v="0"/>
    <s v="Enligt SP 190924"/>
    <m/>
    <n v="0"/>
    <n v="0"/>
    <n v="0"/>
    <n v="0"/>
    <n v="0"/>
    <n v="0"/>
    <n v="0"/>
    <n v="0"/>
    <n v="0"/>
    <n v="0"/>
    <n v="0"/>
    <n v="0"/>
    <n v="0.25"/>
    <n v="0.21249999999999999"/>
    <n v="0"/>
    <n v="0"/>
    <n v="0"/>
    <n v="0"/>
    <n v="0"/>
    <n v="0"/>
    <n v="0"/>
    <n v="0"/>
    <n v="0"/>
  </r>
  <r>
    <x v="338"/>
    <x v="331"/>
    <m/>
    <x v="13"/>
    <s v="H18"/>
    <x v="2"/>
    <s v="H196-15"/>
    <m/>
    <m/>
    <m/>
    <m/>
    <n v="100"/>
    <x v="1"/>
    <m/>
    <m/>
    <n v="36"/>
    <n v="9"/>
    <n v="0.85"/>
    <n v="7.6499999999999995"/>
    <n v="2180"/>
    <x v="0"/>
    <s v="Sam"/>
    <x v="13"/>
    <n v="18405"/>
    <n v="15773"/>
    <n v="286308.45"/>
    <n v="5800"/>
    <n v="52200"/>
    <n v="338508.45"/>
    <n v="0"/>
    <n v="0"/>
    <n v="0"/>
    <n v="0"/>
    <n v="0"/>
    <n v="0"/>
    <n v="1"/>
    <n v="0"/>
    <n v="0"/>
    <n v="0"/>
    <n v="0"/>
    <n v="0"/>
    <s v="Enligt SP 190924"/>
    <m/>
    <n v="0"/>
    <n v="0"/>
    <n v="0"/>
    <n v="0"/>
    <n v="0"/>
    <n v="0"/>
    <n v="0"/>
    <n v="0"/>
    <n v="0"/>
    <n v="0"/>
    <n v="0"/>
    <n v="0"/>
    <n v="9"/>
    <n v="7.6499999999999995"/>
    <n v="0"/>
    <n v="0"/>
    <n v="0"/>
    <n v="0"/>
    <n v="0"/>
    <n v="0"/>
    <n v="0"/>
    <n v="0"/>
    <n v="0"/>
  </r>
  <r>
    <x v="338"/>
    <x v="331"/>
    <m/>
    <x v="11"/>
    <s v="H18"/>
    <x v="2"/>
    <s v="H196-15"/>
    <m/>
    <m/>
    <s v="SVGG"/>
    <m/>
    <n v="100"/>
    <x v="1"/>
    <m/>
    <m/>
    <n v="1"/>
    <n v="0.25"/>
    <n v="0.85"/>
    <n v="0.21249999999999999"/>
    <n v="2180"/>
    <x v="0"/>
    <s v="Sam"/>
    <x v="11"/>
    <n v="18405"/>
    <n v="15773"/>
    <n v="7953.0124999999998"/>
    <n v="5800"/>
    <n v="1450"/>
    <n v="9403.0125000000007"/>
    <n v="0"/>
    <n v="0"/>
    <n v="0"/>
    <n v="0"/>
    <n v="0"/>
    <n v="0"/>
    <n v="1"/>
    <n v="0"/>
    <n v="0"/>
    <n v="0"/>
    <n v="0"/>
    <n v="0"/>
    <s v="Enligt SP 190924"/>
    <m/>
    <n v="0"/>
    <n v="0"/>
    <n v="0"/>
    <n v="0"/>
    <n v="0"/>
    <n v="0"/>
    <n v="0"/>
    <n v="0"/>
    <n v="0"/>
    <n v="0"/>
    <n v="0"/>
    <n v="0"/>
    <n v="0.25"/>
    <n v="0.21249999999999999"/>
    <n v="0"/>
    <n v="0"/>
    <n v="0"/>
    <n v="0"/>
    <n v="0"/>
    <n v="0"/>
    <n v="0"/>
    <n v="0"/>
    <n v="0"/>
  </r>
  <r>
    <x v="339"/>
    <x v="332"/>
    <m/>
    <x v="10"/>
    <s v="H16"/>
    <x v="1"/>
    <s v="V191-10"/>
    <s v="Umeå"/>
    <s v="REGU"/>
    <m/>
    <m/>
    <n v="100"/>
    <x v="1"/>
    <m/>
    <m/>
    <n v="0"/>
    <n v="0"/>
    <n v="0.85"/>
    <n v="0"/>
    <n v="2340"/>
    <x v="16"/>
    <s v="Sam"/>
    <x v="10"/>
    <n v="18405"/>
    <n v="15773"/>
    <n v="0"/>
    <n v="5800"/>
    <n v="0"/>
    <n v="0"/>
    <n v="0"/>
    <n v="0"/>
    <n v="0"/>
    <n v="0"/>
    <n v="0"/>
    <n v="0"/>
    <n v="1"/>
    <n v="0"/>
    <n v="0"/>
    <n v="0"/>
    <n v="0"/>
    <n v="0"/>
    <s v="Enl Ladok 190318"/>
    <m/>
    <n v="0"/>
    <n v="0"/>
    <n v="0"/>
    <n v="0"/>
    <n v="0"/>
    <n v="0"/>
    <n v="0"/>
    <n v="0"/>
    <n v="0"/>
    <n v="0"/>
    <n v="0"/>
    <n v="0"/>
    <n v="0"/>
    <n v="0"/>
    <n v="0"/>
    <n v="0"/>
    <n v="0"/>
    <n v="0"/>
    <n v="0"/>
    <n v="0"/>
    <n v="0"/>
    <n v="0"/>
    <n v="0"/>
  </r>
  <r>
    <x v="339"/>
    <x v="332"/>
    <m/>
    <x v="10"/>
    <s v="H18"/>
    <x v="1"/>
    <s v="V191-10"/>
    <s v="Umeå"/>
    <s v="DIST"/>
    <m/>
    <m/>
    <n v="100"/>
    <x v="1"/>
    <m/>
    <m/>
    <n v="20"/>
    <n v="5"/>
    <n v="0.85"/>
    <n v="4.25"/>
    <n v="2340"/>
    <x v="16"/>
    <s v="Sam"/>
    <x v="10"/>
    <n v="18405"/>
    <n v="15773"/>
    <n v="159060.25"/>
    <n v="5800"/>
    <n v="29000"/>
    <n v="188060.25"/>
    <n v="0"/>
    <n v="0"/>
    <n v="0"/>
    <n v="0"/>
    <n v="0"/>
    <n v="0"/>
    <n v="1"/>
    <n v="0"/>
    <n v="0"/>
    <n v="0"/>
    <n v="0"/>
    <n v="0"/>
    <s v="Enl Ladok 190318"/>
    <m/>
    <n v="0"/>
    <n v="0"/>
    <n v="0"/>
    <n v="0"/>
    <n v="0"/>
    <n v="0"/>
    <n v="0"/>
    <n v="0"/>
    <n v="0"/>
    <n v="0"/>
    <n v="0"/>
    <n v="0"/>
    <n v="5"/>
    <n v="4.25"/>
    <n v="0"/>
    <n v="0"/>
    <n v="0"/>
    <n v="0"/>
    <n v="0"/>
    <n v="0"/>
    <n v="0"/>
    <n v="0"/>
    <n v="0"/>
  </r>
  <r>
    <x v="339"/>
    <x v="332"/>
    <m/>
    <x v="10"/>
    <s v="H18"/>
    <x v="1"/>
    <s v="V191-10"/>
    <s v="Umeå"/>
    <s v="REGU"/>
    <m/>
    <m/>
    <n v="100"/>
    <x v="1"/>
    <m/>
    <m/>
    <n v="25"/>
    <n v="6.25"/>
    <n v="0.85"/>
    <n v="5.3125"/>
    <n v="2340"/>
    <x v="16"/>
    <s v="Sam"/>
    <x v="10"/>
    <n v="18405"/>
    <n v="15773"/>
    <n v="198825.3125"/>
    <n v="5800"/>
    <n v="36250"/>
    <n v="235075.3125"/>
    <n v="0"/>
    <n v="0"/>
    <n v="0"/>
    <n v="0"/>
    <n v="0"/>
    <n v="0"/>
    <n v="1"/>
    <n v="0"/>
    <n v="0"/>
    <n v="0"/>
    <n v="0"/>
    <n v="0"/>
    <s v="Enl Ladok 190318"/>
    <m/>
    <n v="0"/>
    <n v="0"/>
    <n v="0"/>
    <n v="0"/>
    <n v="0"/>
    <n v="0"/>
    <n v="0"/>
    <n v="0"/>
    <n v="0"/>
    <n v="0"/>
    <n v="0"/>
    <n v="0"/>
    <n v="6.25"/>
    <n v="5.3125"/>
    <n v="0"/>
    <n v="0"/>
    <n v="0"/>
    <n v="0"/>
    <n v="0"/>
    <n v="0"/>
    <n v="0"/>
    <n v="0"/>
    <n v="0"/>
  </r>
  <r>
    <x v="340"/>
    <x v="333"/>
    <m/>
    <x v="10"/>
    <s v="H18"/>
    <x v="1"/>
    <s v="V1911-20"/>
    <s v="Umeå"/>
    <s v="DIST"/>
    <m/>
    <m/>
    <n v="100"/>
    <x v="0"/>
    <m/>
    <m/>
    <n v="21"/>
    <n v="2.625"/>
    <n v="0.85"/>
    <n v="2.2312499999999997"/>
    <n v="2340"/>
    <x v="16"/>
    <s v="Sam"/>
    <x v="10"/>
    <n v="18405"/>
    <n v="15773"/>
    <n v="83506.631250000006"/>
    <n v="5800"/>
    <n v="15225"/>
    <n v="98731.631250000006"/>
    <n v="0"/>
    <n v="0"/>
    <n v="0"/>
    <n v="0"/>
    <n v="0"/>
    <n v="0"/>
    <n v="1"/>
    <n v="0"/>
    <n v="0"/>
    <n v="0"/>
    <n v="0"/>
    <n v="0"/>
    <s v="Enl Ladok 190523"/>
    <m/>
    <n v="0"/>
    <n v="0"/>
    <n v="0"/>
    <n v="0"/>
    <n v="0"/>
    <n v="0"/>
    <n v="0"/>
    <n v="0"/>
    <n v="0"/>
    <n v="0"/>
    <n v="0"/>
    <n v="0"/>
    <n v="2.625"/>
    <n v="2.2312499999999997"/>
    <n v="0"/>
    <n v="0"/>
    <n v="0"/>
    <n v="0"/>
    <n v="0"/>
    <n v="0"/>
    <n v="0"/>
    <n v="0"/>
    <n v="0"/>
  </r>
  <r>
    <x v="340"/>
    <x v="333"/>
    <m/>
    <x v="10"/>
    <s v="H18"/>
    <x v="1"/>
    <s v="V1911-20"/>
    <s v="Umeå"/>
    <s v="REGU"/>
    <m/>
    <m/>
    <n v="100"/>
    <x v="0"/>
    <m/>
    <m/>
    <n v="23"/>
    <n v="2.875"/>
    <n v="0.85"/>
    <n v="2.4437500000000001"/>
    <n v="2340"/>
    <x v="16"/>
    <s v="Sam"/>
    <x v="10"/>
    <n v="18405"/>
    <n v="15773"/>
    <n v="91459.643750000003"/>
    <n v="5800"/>
    <n v="16675"/>
    <n v="108134.64375"/>
    <n v="0"/>
    <n v="0"/>
    <n v="0"/>
    <n v="0"/>
    <n v="0"/>
    <n v="0"/>
    <n v="1"/>
    <n v="0"/>
    <n v="0"/>
    <n v="0"/>
    <n v="0"/>
    <n v="0"/>
    <s v="Enl Ladok 190523"/>
    <m/>
    <n v="0"/>
    <n v="0"/>
    <n v="0"/>
    <n v="0"/>
    <n v="0"/>
    <n v="0"/>
    <n v="0"/>
    <n v="0"/>
    <n v="0"/>
    <n v="0"/>
    <n v="0"/>
    <n v="0"/>
    <n v="2.875"/>
    <n v="2.4437500000000001"/>
    <n v="0"/>
    <n v="0"/>
    <n v="0"/>
    <n v="0"/>
    <n v="0"/>
    <n v="0"/>
    <n v="0"/>
    <n v="0"/>
    <n v="0"/>
  </r>
  <r>
    <x v="341"/>
    <x v="334"/>
    <m/>
    <x v="1"/>
    <s v="H16"/>
    <x v="1"/>
    <s v="V191-20"/>
    <s v="Umeå"/>
    <m/>
    <s v="ENGS"/>
    <m/>
    <n v="100"/>
    <x v="7"/>
    <m/>
    <m/>
    <n v="5"/>
    <n v="2.5"/>
    <n v="0.85"/>
    <n v="2.125"/>
    <n v="1620"/>
    <x v="10"/>
    <s v="Hum"/>
    <x v="1"/>
    <n v="18405"/>
    <n v="15773"/>
    <n v="79530.125"/>
    <n v="5800"/>
    <n v="14500"/>
    <n v="94030.125"/>
    <n v="0"/>
    <n v="1"/>
    <n v="0"/>
    <n v="0"/>
    <n v="0"/>
    <n v="0"/>
    <n v="0"/>
    <n v="0"/>
    <n v="0"/>
    <n v="0"/>
    <n v="0"/>
    <n v="0"/>
    <s v="Enl Ladok 190318"/>
    <m/>
    <n v="0"/>
    <n v="0"/>
    <n v="2.5"/>
    <n v="2.125"/>
    <n v="0"/>
    <n v="0"/>
    <n v="0"/>
    <n v="0"/>
    <n v="0"/>
    <n v="0"/>
    <n v="0"/>
    <n v="0"/>
    <n v="0"/>
    <n v="0"/>
    <n v="0"/>
    <n v="0"/>
    <n v="0"/>
    <n v="0"/>
    <n v="0"/>
    <n v="0"/>
    <n v="0"/>
    <n v="0"/>
    <n v="0"/>
  </r>
  <r>
    <x v="341"/>
    <x v="334"/>
    <m/>
    <x v="1"/>
    <s v="H16"/>
    <x v="1"/>
    <s v="V191-20"/>
    <s v="Umeå"/>
    <m/>
    <s v="HIST"/>
    <m/>
    <n v="100"/>
    <x v="7"/>
    <m/>
    <m/>
    <n v="1"/>
    <n v="0.5"/>
    <n v="0.85"/>
    <n v="0.42499999999999999"/>
    <n v="1620"/>
    <x v="10"/>
    <s v="Hum"/>
    <x v="1"/>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341"/>
    <x v="334"/>
    <m/>
    <x v="1"/>
    <s v="H16"/>
    <x v="1"/>
    <s v="V191-20"/>
    <s v="Umeå"/>
    <m/>
    <s v="RELK"/>
    <m/>
    <n v="100"/>
    <x v="7"/>
    <m/>
    <m/>
    <n v="2"/>
    <n v="1"/>
    <n v="0.85"/>
    <n v="0.85"/>
    <n v="1620"/>
    <x v="10"/>
    <s v="Hum"/>
    <x v="1"/>
    <n v="18405"/>
    <n v="15773"/>
    <n v="31812.05"/>
    <n v="5800"/>
    <n v="5800"/>
    <n v="37612.050000000003"/>
    <n v="0"/>
    <n v="1"/>
    <n v="0"/>
    <n v="0"/>
    <n v="0"/>
    <n v="0"/>
    <n v="0"/>
    <n v="0"/>
    <n v="0"/>
    <n v="0"/>
    <n v="0"/>
    <n v="0"/>
    <s v="Enl Ladok 190318"/>
    <m/>
    <n v="0"/>
    <n v="0"/>
    <n v="1"/>
    <n v="0.85"/>
    <n v="0"/>
    <n v="0"/>
    <n v="0"/>
    <n v="0"/>
    <n v="0"/>
    <n v="0"/>
    <n v="0"/>
    <n v="0"/>
    <n v="0"/>
    <n v="0"/>
    <n v="0"/>
    <n v="0"/>
    <n v="0"/>
    <n v="0"/>
    <n v="0"/>
    <n v="0"/>
    <n v="0"/>
    <n v="0"/>
    <n v="0"/>
  </r>
  <r>
    <x v="341"/>
    <x v="334"/>
    <m/>
    <x v="1"/>
    <s v="H16"/>
    <x v="1"/>
    <s v="V191-20"/>
    <s v="Umeå"/>
    <m/>
    <s v="SAMK"/>
    <m/>
    <n v="100"/>
    <x v="7"/>
    <m/>
    <m/>
    <n v="1"/>
    <n v="0.5"/>
    <n v="0.85"/>
    <n v="0.42499999999999999"/>
    <n v="1620"/>
    <x v="10"/>
    <s v="Hum"/>
    <x v="1"/>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341"/>
    <x v="334"/>
    <m/>
    <x v="1"/>
    <s v="H16"/>
    <x v="1"/>
    <s v="V191-20"/>
    <s v="Umeå"/>
    <m/>
    <s v="SVAN"/>
    <m/>
    <n v="100"/>
    <x v="7"/>
    <m/>
    <m/>
    <n v="1"/>
    <n v="0.5"/>
    <n v="0.85"/>
    <n v="0.42499999999999999"/>
    <n v="1620"/>
    <x v="10"/>
    <s v="Hum"/>
    <x v="1"/>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341"/>
    <x v="334"/>
    <m/>
    <x v="1"/>
    <s v="H17"/>
    <x v="1"/>
    <s v="V191-20"/>
    <s v="Umeå"/>
    <m/>
    <s v="SVAA"/>
    <m/>
    <n v="100"/>
    <x v="7"/>
    <m/>
    <m/>
    <n v="1"/>
    <n v="0.5"/>
    <n v="0.85"/>
    <n v="0.42499999999999999"/>
    <n v="1620"/>
    <x v="10"/>
    <s v="Hum"/>
    <x v="1"/>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341"/>
    <x v="334"/>
    <m/>
    <x v="1"/>
    <s v="H18"/>
    <x v="1"/>
    <s v="V191-20"/>
    <s v="Umeå"/>
    <m/>
    <s v="ENGS"/>
    <m/>
    <n v="100"/>
    <x v="7"/>
    <m/>
    <m/>
    <n v="1"/>
    <n v="0.5"/>
    <n v="0.85"/>
    <n v="0.42499999999999999"/>
    <n v="1620"/>
    <x v="10"/>
    <s v="Hum"/>
    <x v="1"/>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341"/>
    <x v="334"/>
    <m/>
    <x v="1"/>
    <s v="H18"/>
    <x v="1"/>
    <s v="V191-20"/>
    <s v="Umeå"/>
    <m/>
    <s v="SVAA"/>
    <m/>
    <n v="100"/>
    <x v="7"/>
    <m/>
    <m/>
    <n v="15"/>
    <n v="7.5"/>
    <n v="0.85"/>
    <n v="6.375"/>
    <n v="1620"/>
    <x v="10"/>
    <s v="Hum"/>
    <x v="1"/>
    <n v="18405"/>
    <n v="15773"/>
    <n v="238590.375"/>
    <n v="5800"/>
    <n v="43500"/>
    <n v="282090.375"/>
    <n v="0"/>
    <n v="1"/>
    <n v="0"/>
    <n v="0"/>
    <n v="0"/>
    <n v="0"/>
    <n v="0"/>
    <n v="0"/>
    <n v="0"/>
    <n v="0"/>
    <n v="0"/>
    <n v="0"/>
    <s v="Enl Ladok 190318"/>
    <m/>
    <n v="0"/>
    <n v="0"/>
    <n v="7.5"/>
    <n v="6.375"/>
    <n v="0"/>
    <n v="0"/>
    <n v="0"/>
    <n v="0"/>
    <n v="0"/>
    <n v="0"/>
    <n v="0"/>
    <n v="0"/>
    <n v="0"/>
    <n v="0"/>
    <n v="0"/>
    <n v="0"/>
    <n v="0"/>
    <n v="0"/>
    <n v="0"/>
    <n v="0"/>
    <n v="0"/>
    <n v="0"/>
    <n v="0"/>
  </r>
  <r>
    <x v="342"/>
    <x v="335"/>
    <m/>
    <x v="2"/>
    <s v="H18"/>
    <x v="1"/>
    <s v="V191-10"/>
    <s v="Umeå"/>
    <m/>
    <m/>
    <m/>
    <n v="100"/>
    <x v="1"/>
    <m/>
    <m/>
    <n v="47"/>
    <n v="11.75"/>
    <n v="0.85"/>
    <n v="9.9874999999999989"/>
    <n v="1620"/>
    <x v="10"/>
    <s v="Hum"/>
    <x v="2"/>
    <n v="18405"/>
    <n v="15773"/>
    <n v="373791.58750000002"/>
    <n v="5800"/>
    <n v="68150"/>
    <n v="441941.58750000002"/>
    <n v="0"/>
    <n v="1"/>
    <n v="0"/>
    <n v="0"/>
    <n v="0"/>
    <n v="0"/>
    <n v="0"/>
    <n v="0"/>
    <n v="0"/>
    <n v="0"/>
    <n v="0"/>
    <n v="0"/>
    <s v="Enl Ladok 190318"/>
    <m/>
    <n v="0"/>
    <n v="0"/>
    <n v="11.75"/>
    <n v="9.9874999999999989"/>
    <n v="0"/>
    <n v="0"/>
    <n v="0"/>
    <n v="0"/>
    <n v="0"/>
    <n v="0"/>
    <n v="0"/>
    <n v="0"/>
    <n v="0"/>
    <n v="0"/>
    <n v="0"/>
    <n v="0"/>
    <n v="0"/>
    <n v="0"/>
    <n v="0"/>
    <n v="0"/>
    <n v="0"/>
    <n v="0"/>
    <n v="0"/>
  </r>
  <r>
    <x v="343"/>
    <x v="336"/>
    <m/>
    <x v="2"/>
    <s v="H18"/>
    <x v="2"/>
    <s v="H1916-20"/>
    <m/>
    <m/>
    <m/>
    <m/>
    <n v="100"/>
    <x v="0"/>
    <m/>
    <m/>
    <n v="44"/>
    <n v="5.5"/>
    <n v="0.85"/>
    <n v="4.6749999999999998"/>
    <n v="1620"/>
    <x v="10"/>
    <s v="Hum"/>
    <x v="2"/>
    <n v="18405"/>
    <n v="15773"/>
    <n v="174966.27499999999"/>
    <n v="5800"/>
    <n v="31900"/>
    <n v="206866.27499999999"/>
    <n v="0"/>
    <n v="1"/>
    <n v="0"/>
    <n v="0"/>
    <n v="0"/>
    <n v="0"/>
    <n v="0"/>
    <n v="0"/>
    <n v="0"/>
    <n v="0"/>
    <n v="0"/>
    <n v="0"/>
    <s v="Enligt SP 190924"/>
    <m/>
    <n v="0"/>
    <n v="0"/>
    <n v="5.5"/>
    <n v="4.6749999999999998"/>
    <n v="0"/>
    <n v="0"/>
    <n v="0"/>
    <n v="0"/>
    <n v="0"/>
    <n v="0"/>
    <n v="0"/>
    <n v="0"/>
    <n v="0"/>
    <n v="0"/>
    <n v="0"/>
    <n v="0"/>
    <n v="0"/>
    <n v="0"/>
    <n v="0"/>
    <n v="0"/>
    <n v="0"/>
    <n v="0"/>
    <n v="0"/>
  </r>
  <r>
    <x v="344"/>
    <x v="337"/>
    <m/>
    <x v="2"/>
    <s v="H15"/>
    <x v="2"/>
    <s v="H1911-15"/>
    <m/>
    <m/>
    <m/>
    <m/>
    <n v="100"/>
    <x v="0"/>
    <m/>
    <m/>
    <n v="1"/>
    <n v="0.125"/>
    <n v="0.85"/>
    <n v="0.10625"/>
    <n v="1620"/>
    <x v="10"/>
    <s v="Hum"/>
    <x v="2"/>
    <n v="18405"/>
    <n v="15773"/>
    <n v="3976.5062499999999"/>
    <n v="5800"/>
    <n v="725"/>
    <n v="4701.5062500000004"/>
    <n v="0"/>
    <n v="1"/>
    <n v="0"/>
    <n v="0"/>
    <n v="0"/>
    <n v="0"/>
    <n v="0"/>
    <n v="0"/>
    <n v="0"/>
    <n v="0"/>
    <n v="0"/>
    <n v="0"/>
    <s v="Enligt SP 190924"/>
    <m/>
    <n v="0"/>
    <n v="0"/>
    <n v="0.125"/>
    <n v="0.10625"/>
    <n v="0"/>
    <n v="0"/>
    <n v="0"/>
    <n v="0"/>
    <n v="0"/>
    <n v="0"/>
    <n v="0"/>
    <n v="0"/>
    <n v="0"/>
    <n v="0"/>
    <n v="0"/>
    <n v="0"/>
    <n v="0"/>
    <n v="0"/>
    <n v="0"/>
    <n v="0"/>
    <n v="0"/>
    <n v="0"/>
    <n v="0"/>
  </r>
  <r>
    <x v="344"/>
    <x v="337"/>
    <m/>
    <x v="2"/>
    <s v="H17"/>
    <x v="2"/>
    <s v="H1911-15"/>
    <m/>
    <m/>
    <m/>
    <m/>
    <n v="100"/>
    <x v="0"/>
    <m/>
    <m/>
    <n v="34"/>
    <n v="4.25"/>
    <n v="0.85"/>
    <n v="3.6124999999999998"/>
    <n v="1620"/>
    <x v="10"/>
    <s v="Hum"/>
    <x v="2"/>
    <n v="18405"/>
    <n v="15773"/>
    <n v="135201.21249999999"/>
    <n v="5800"/>
    <n v="24650"/>
    <n v="159851.21249999999"/>
    <n v="0"/>
    <n v="1"/>
    <n v="0"/>
    <n v="0"/>
    <n v="0"/>
    <n v="0"/>
    <n v="0"/>
    <n v="0"/>
    <n v="0"/>
    <n v="0"/>
    <n v="0"/>
    <n v="0"/>
    <s v="Enligt SP 190924"/>
    <m/>
    <n v="0"/>
    <n v="0"/>
    <n v="4.25"/>
    <n v="3.6124999999999998"/>
    <n v="0"/>
    <n v="0"/>
    <n v="0"/>
    <n v="0"/>
    <n v="0"/>
    <n v="0"/>
    <n v="0"/>
    <n v="0"/>
    <n v="0"/>
    <n v="0"/>
    <n v="0"/>
    <n v="0"/>
    <n v="0"/>
    <n v="0"/>
    <n v="0"/>
    <n v="0"/>
    <n v="0"/>
    <n v="0"/>
    <n v="0"/>
  </r>
  <r>
    <x v="344"/>
    <x v="337"/>
    <m/>
    <x v="2"/>
    <s v="H19"/>
    <x v="2"/>
    <s v="H1911-15"/>
    <m/>
    <m/>
    <m/>
    <m/>
    <n v="100"/>
    <x v="0"/>
    <m/>
    <m/>
    <n v="1"/>
    <n v="0.125"/>
    <n v="0.85"/>
    <n v="0.10625"/>
    <n v="1620"/>
    <x v="10"/>
    <s v="Hum"/>
    <x v="2"/>
    <n v="18405"/>
    <n v="15773"/>
    <n v="3976.5062499999999"/>
    <n v="5800"/>
    <n v="725"/>
    <n v="4701.5062500000004"/>
    <n v="0"/>
    <n v="1"/>
    <n v="0"/>
    <n v="0"/>
    <n v="0"/>
    <n v="0"/>
    <n v="0"/>
    <n v="0"/>
    <n v="0"/>
    <n v="0"/>
    <n v="0"/>
    <n v="0"/>
    <s v="Enligt SP 190924"/>
    <m/>
    <n v="0"/>
    <n v="0"/>
    <n v="0.125"/>
    <n v="0.10625"/>
    <n v="0"/>
    <n v="0"/>
    <n v="0"/>
    <n v="0"/>
    <n v="0"/>
    <n v="0"/>
    <n v="0"/>
    <n v="0"/>
    <n v="0"/>
    <n v="0"/>
    <n v="0"/>
    <n v="0"/>
    <n v="0"/>
    <n v="0"/>
    <n v="0"/>
    <n v="0"/>
    <n v="0"/>
    <n v="0"/>
    <n v="0"/>
  </r>
  <r>
    <x v="345"/>
    <x v="338"/>
    <m/>
    <x v="3"/>
    <s v="H18"/>
    <x v="1"/>
    <s v="V191-10"/>
    <s v="Umeå"/>
    <m/>
    <m/>
    <m/>
    <n v="100"/>
    <x v="1"/>
    <m/>
    <m/>
    <n v="27"/>
    <n v="6.75"/>
    <n v="0.85"/>
    <n v="5.7374999999999998"/>
    <n v="1620"/>
    <x v="10"/>
    <s v="Hum"/>
    <x v="3"/>
    <n v="18405"/>
    <n v="15773"/>
    <n v="214731.33749999999"/>
    <n v="5800"/>
    <n v="39150"/>
    <n v="253881.33749999999"/>
    <n v="0"/>
    <n v="1"/>
    <n v="0"/>
    <n v="0"/>
    <n v="0"/>
    <n v="0"/>
    <n v="0"/>
    <n v="0"/>
    <n v="0"/>
    <n v="0"/>
    <n v="0"/>
    <n v="0"/>
    <s v="Enl Ladok 190318"/>
    <m/>
    <n v="0"/>
    <n v="0"/>
    <n v="6.75"/>
    <n v="5.7374999999999998"/>
    <n v="0"/>
    <n v="0"/>
    <n v="0"/>
    <n v="0"/>
    <n v="0"/>
    <n v="0"/>
    <n v="0"/>
    <n v="0"/>
    <n v="0"/>
    <n v="0"/>
    <n v="0"/>
    <n v="0"/>
    <n v="0"/>
    <n v="0"/>
    <n v="0"/>
    <n v="0"/>
    <n v="0"/>
    <n v="0"/>
    <n v="0"/>
  </r>
  <r>
    <x v="346"/>
    <x v="339"/>
    <m/>
    <x v="3"/>
    <s v="H18"/>
    <x v="2"/>
    <s v="H1916-20"/>
    <m/>
    <m/>
    <m/>
    <m/>
    <n v="100"/>
    <x v="0"/>
    <m/>
    <m/>
    <n v="21"/>
    <n v="2.625"/>
    <n v="0.85"/>
    <n v="2.2312499999999997"/>
    <n v="1620"/>
    <x v="10"/>
    <s v="Hum"/>
    <x v="3"/>
    <n v="18405"/>
    <n v="15773"/>
    <n v="83506.631250000006"/>
    <n v="5800"/>
    <n v="15225"/>
    <n v="98731.631250000006"/>
    <n v="0"/>
    <n v="1"/>
    <n v="0"/>
    <n v="0"/>
    <n v="0"/>
    <n v="0"/>
    <n v="0"/>
    <n v="0"/>
    <n v="0"/>
    <n v="0"/>
    <n v="0"/>
    <n v="0"/>
    <s v="Enligt SP 190924"/>
    <m/>
    <n v="0"/>
    <n v="0"/>
    <n v="2.625"/>
    <n v="2.2312499999999997"/>
    <n v="0"/>
    <n v="0"/>
    <n v="0"/>
    <n v="0"/>
    <n v="0"/>
    <n v="0"/>
    <n v="0"/>
    <n v="0"/>
    <n v="0"/>
    <n v="0"/>
    <n v="0"/>
    <n v="0"/>
    <n v="0"/>
    <n v="0"/>
    <n v="0"/>
    <n v="0"/>
    <n v="0"/>
    <n v="0"/>
    <n v="0"/>
  </r>
  <r>
    <x v="347"/>
    <x v="340"/>
    <m/>
    <x v="3"/>
    <s v="H17"/>
    <x v="2"/>
    <s v="H1911-15"/>
    <m/>
    <m/>
    <m/>
    <m/>
    <n v="100"/>
    <x v="0"/>
    <m/>
    <m/>
    <n v="28"/>
    <n v="3.5"/>
    <n v="0.85"/>
    <n v="2.9750000000000001"/>
    <n v="1620"/>
    <x v="10"/>
    <s v="Hum"/>
    <x v="3"/>
    <n v="18405"/>
    <n v="15773"/>
    <n v="111342.175"/>
    <n v="5800"/>
    <n v="20300"/>
    <n v="131642.17499999999"/>
    <n v="0"/>
    <n v="1"/>
    <n v="0"/>
    <n v="0"/>
    <n v="0"/>
    <n v="0"/>
    <n v="0"/>
    <n v="0"/>
    <n v="0"/>
    <n v="0"/>
    <n v="0"/>
    <n v="0"/>
    <s v="Enligt SP 190924"/>
    <m/>
    <n v="0"/>
    <n v="0"/>
    <n v="3.5"/>
    <n v="2.9750000000000001"/>
    <n v="0"/>
    <n v="0"/>
    <n v="0"/>
    <n v="0"/>
    <n v="0"/>
    <n v="0"/>
    <n v="0"/>
    <n v="0"/>
    <n v="0"/>
    <n v="0"/>
    <n v="0"/>
    <n v="0"/>
    <n v="0"/>
    <n v="0"/>
    <n v="0"/>
    <n v="0"/>
    <n v="0"/>
    <n v="0"/>
    <n v="0"/>
  </r>
  <r>
    <x v="348"/>
    <x v="341"/>
    <m/>
    <x v="1"/>
    <s v="H16"/>
    <x v="2"/>
    <s v="H191-20"/>
    <m/>
    <m/>
    <s v="ENGS"/>
    <m/>
    <n v="100"/>
    <x v="7"/>
    <m/>
    <m/>
    <n v="5"/>
    <n v="2.5"/>
    <n v="0.85"/>
    <n v="2.125"/>
    <n v="1620"/>
    <x v="10"/>
    <s v="Hum"/>
    <x v="1"/>
    <n v="18405"/>
    <n v="15773"/>
    <n v="79530.125"/>
    <n v="5800"/>
    <n v="14500"/>
    <n v="94030.125"/>
    <n v="0"/>
    <n v="1"/>
    <n v="0"/>
    <n v="0"/>
    <n v="0"/>
    <n v="0"/>
    <n v="0"/>
    <n v="0"/>
    <n v="0"/>
    <n v="0"/>
    <n v="0"/>
    <n v="0"/>
    <s v="Enligt SP 190924"/>
    <m/>
    <n v="0"/>
    <n v="0"/>
    <n v="2.5"/>
    <n v="2.125"/>
    <n v="0"/>
    <n v="0"/>
    <n v="0"/>
    <n v="0"/>
    <n v="0"/>
    <n v="0"/>
    <n v="0"/>
    <n v="0"/>
    <n v="0"/>
    <n v="0"/>
    <n v="0"/>
    <n v="0"/>
    <n v="0"/>
    <n v="0"/>
    <n v="0"/>
    <n v="0"/>
    <n v="0"/>
    <n v="0"/>
    <n v="0"/>
  </r>
  <r>
    <x v="348"/>
    <x v="341"/>
    <m/>
    <x v="1"/>
    <s v="H16"/>
    <x v="2"/>
    <s v="H191-20"/>
    <m/>
    <m/>
    <s v="HIST"/>
    <m/>
    <n v="100"/>
    <x v="7"/>
    <m/>
    <m/>
    <n v="1"/>
    <n v="0.5"/>
    <n v="0.85"/>
    <n v="0.42499999999999999"/>
    <n v="1620"/>
    <x v="10"/>
    <s v="Hum"/>
    <x v="1"/>
    <n v="18405"/>
    <n v="15773"/>
    <n v="15906.025"/>
    <n v="5800"/>
    <n v="2900"/>
    <n v="18806.025000000001"/>
    <n v="0"/>
    <n v="1"/>
    <n v="0"/>
    <n v="0"/>
    <n v="0"/>
    <n v="0"/>
    <n v="0"/>
    <n v="0"/>
    <n v="0"/>
    <n v="0"/>
    <n v="0"/>
    <n v="0"/>
    <s v="Enligt SP 190924"/>
    <m/>
    <n v="0"/>
    <n v="0"/>
    <n v="0.5"/>
    <n v="0.42499999999999999"/>
    <n v="0"/>
    <n v="0"/>
    <n v="0"/>
    <n v="0"/>
    <n v="0"/>
    <n v="0"/>
    <n v="0"/>
    <n v="0"/>
    <n v="0"/>
    <n v="0"/>
    <n v="0"/>
    <n v="0"/>
    <n v="0"/>
    <n v="0"/>
    <n v="0"/>
    <n v="0"/>
    <n v="0"/>
    <n v="0"/>
    <n v="0"/>
  </r>
  <r>
    <x v="348"/>
    <x v="341"/>
    <m/>
    <x v="1"/>
    <s v="H16"/>
    <x v="2"/>
    <s v="H191-20"/>
    <m/>
    <m/>
    <s v="RELK"/>
    <m/>
    <n v="100"/>
    <x v="7"/>
    <m/>
    <m/>
    <n v="2"/>
    <n v="1"/>
    <n v="0.85"/>
    <n v="0.85"/>
    <n v="1620"/>
    <x v="10"/>
    <s v="Hum"/>
    <x v="1"/>
    <n v="18405"/>
    <n v="15773"/>
    <n v="31812.05"/>
    <n v="5800"/>
    <n v="5800"/>
    <n v="37612.050000000003"/>
    <n v="0"/>
    <n v="1"/>
    <n v="0"/>
    <n v="0"/>
    <n v="0"/>
    <n v="0"/>
    <n v="0"/>
    <n v="0"/>
    <n v="0"/>
    <n v="0"/>
    <n v="0"/>
    <n v="0"/>
    <s v="Enligt SP 190924"/>
    <m/>
    <n v="0"/>
    <n v="0"/>
    <n v="1"/>
    <n v="0.85"/>
    <n v="0"/>
    <n v="0"/>
    <n v="0"/>
    <n v="0"/>
    <n v="0"/>
    <n v="0"/>
    <n v="0"/>
    <n v="0"/>
    <n v="0"/>
    <n v="0"/>
    <n v="0"/>
    <n v="0"/>
    <n v="0"/>
    <n v="0"/>
    <n v="0"/>
    <n v="0"/>
    <n v="0"/>
    <n v="0"/>
    <n v="0"/>
  </r>
  <r>
    <x v="348"/>
    <x v="341"/>
    <m/>
    <x v="1"/>
    <s v="H16"/>
    <x v="2"/>
    <s v="H191-20"/>
    <m/>
    <m/>
    <s v="SVAN"/>
    <m/>
    <n v="100"/>
    <x v="7"/>
    <m/>
    <m/>
    <n v="1"/>
    <n v="0.5"/>
    <n v="0.85"/>
    <n v="0.42499999999999999"/>
    <n v="1620"/>
    <x v="10"/>
    <s v="Hum"/>
    <x v="1"/>
    <n v="18405"/>
    <n v="15773"/>
    <n v="15906.025"/>
    <n v="5800"/>
    <n v="2900"/>
    <n v="18806.025000000001"/>
    <n v="0"/>
    <n v="1"/>
    <n v="0"/>
    <n v="0"/>
    <n v="0"/>
    <n v="0"/>
    <n v="0"/>
    <n v="0"/>
    <n v="0"/>
    <n v="0"/>
    <n v="0"/>
    <n v="0"/>
    <s v="Enligt SP 190924"/>
    <m/>
    <n v="0"/>
    <n v="0"/>
    <n v="0.5"/>
    <n v="0.42499999999999999"/>
    <n v="0"/>
    <n v="0"/>
    <n v="0"/>
    <n v="0"/>
    <n v="0"/>
    <n v="0"/>
    <n v="0"/>
    <n v="0"/>
    <n v="0"/>
    <n v="0"/>
    <n v="0"/>
    <n v="0"/>
    <n v="0"/>
    <n v="0"/>
    <n v="0"/>
    <n v="0"/>
    <n v="0"/>
    <n v="0"/>
    <n v="0"/>
  </r>
  <r>
    <x v="348"/>
    <x v="341"/>
    <m/>
    <x v="1"/>
    <s v="H18"/>
    <x v="2"/>
    <s v="H191-20"/>
    <m/>
    <m/>
    <s v="ENGS"/>
    <m/>
    <n v="100"/>
    <x v="7"/>
    <m/>
    <m/>
    <n v="1"/>
    <n v="0.5"/>
    <n v="0.85"/>
    <n v="0.42499999999999999"/>
    <n v="1620"/>
    <x v="10"/>
    <s v="Hum"/>
    <x v="1"/>
    <n v="18405"/>
    <n v="15773"/>
    <n v="15906.025"/>
    <n v="5800"/>
    <n v="2900"/>
    <n v="18806.025000000001"/>
    <n v="0"/>
    <n v="1"/>
    <n v="0"/>
    <n v="0"/>
    <n v="0"/>
    <n v="0"/>
    <n v="0"/>
    <n v="0"/>
    <n v="0"/>
    <n v="0"/>
    <n v="0"/>
    <n v="0"/>
    <s v="Enligt SP 190924"/>
    <m/>
    <n v="0"/>
    <n v="0"/>
    <n v="0.5"/>
    <n v="0.42499999999999999"/>
    <n v="0"/>
    <n v="0"/>
    <n v="0"/>
    <n v="0"/>
    <n v="0"/>
    <n v="0"/>
    <n v="0"/>
    <n v="0"/>
    <n v="0"/>
    <n v="0"/>
    <n v="0"/>
    <n v="0"/>
    <n v="0"/>
    <n v="0"/>
    <n v="0"/>
    <n v="0"/>
    <n v="0"/>
    <n v="0"/>
    <n v="0"/>
  </r>
  <r>
    <x v="348"/>
    <x v="341"/>
    <m/>
    <x v="1"/>
    <s v="H18"/>
    <x v="2"/>
    <s v="H191-20"/>
    <m/>
    <m/>
    <s v="SVAA"/>
    <m/>
    <n v="100"/>
    <x v="7"/>
    <m/>
    <m/>
    <n v="16"/>
    <n v="8"/>
    <n v="0.85"/>
    <n v="6.8"/>
    <n v="1620"/>
    <x v="10"/>
    <s v="Hum"/>
    <x v="1"/>
    <n v="18405"/>
    <n v="15773"/>
    <n v="254496.4"/>
    <n v="5800"/>
    <n v="46400"/>
    <n v="300896.40000000002"/>
    <n v="0"/>
    <n v="1"/>
    <n v="0"/>
    <n v="0"/>
    <n v="0"/>
    <n v="0"/>
    <n v="0"/>
    <n v="0"/>
    <n v="0"/>
    <n v="0"/>
    <n v="0"/>
    <n v="0"/>
    <s v="Enligt SP 190924"/>
    <m/>
    <n v="0"/>
    <n v="0"/>
    <n v="8"/>
    <n v="6.8"/>
    <n v="0"/>
    <n v="0"/>
    <n v="0"/>
    <n v="0"/>
    <n v="0"/>
    <n v="0"/>
    <n v="0"/>
    <n v="0"/>
    <n v="0"/>
    <n v="0"/>
    <n v="0"/>
    <n v="0"/>
    <n v="0"/>
    <n v="0"/>
    <n v="0"/>
    <n v="0"/>
    <n v="0"/>
    <n v="0"/>
    <n v="0"/>
  </r>
  <r>
    <x v="349"/>
    <x v="342"/>
    <m/>
    <x v="1"/>
    <s v="H15"/>
    <x v="1"/>
    <s v="V191-20"/>
    <s v="Umeå"/>
    <m/>
    <s v="ENGS"/>
    <m/>
    <n v="100"/>
    <x v="7"/>
    <m/>
    <m/>
    <n v="2"/>
    <n v="1"/>
    <n v="0.85"/>
    <n v="0.85"/>
    <n v="1620"/>
    <x v="10"/>
    <s v="Hum"/>
    <x v="1"/>
    <n v="18405"/>
    <n v="15773"/>
    <n v="31812.05"/>
    <n v="5800"/>
    <n v="5800"/>
    <n v="37612.050000000003"/>
    <n v="0"/>
    <n v="1"/>
    <n v="0"/>
    <n v="0"/>
    <n v="0"/>
    <n v="0"/>
    <n v="0"/>
    <n v="0"/>
    <n v="0"/>
    <n v="0"/>
    <n v="0"/>
    <n v="0"/>
    <s v="Enl Ladok 190318"/>
    <m/>
    <n v="0"/>
    <n v="0"/>
    <n v="1"/>
    <n v="0.85"/>
    <n v="0"/>
    <n v="0"/>
    <n v="0"/>
    <n v="0"/>
    <n v="0"/>
    <n v="0"/>
    <n v="0"/>
    <n v="0"/>
    <n v="0"/>
    <n v="0"/>
    <n v="0"/>
    <n v="0"/>
    <n v="0"/>
    <n v="0"/>
    <n v="0"/>
    <n v="0"/>
    <n v="0"/>
    <n v="0"/>
    <n v="0"/>
  </r>
  <r>
    <x v="349"/>
    <x v="342"/>
    <m/>
    <x v="1"/>
    <s v="H15"/>
    <x v="1"/>
    <s v="V191-20"/>
    <s v="Umeå"/>
    <m/>
    <s v="IDRH"/>
    <m/>
    <n v="100"/>
    <x v="7"/>
    <m/>
    <m/>
    <n v="1"/>
    <n v="0.5"/>
    <n v="0.85"/>
    <n v="0.42499999999999999"/>
    <n v="1620"/>
    <x v="10"/>
    <s v="Hum"/>
    <x v="1"/>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349"/>
    <x v="342"/>
    <m/>
    <x v="1"/>
    <s v="H16"/>
    <x v="1"/>
    <s v="V191-20"/>
    <s v="Umeå"/>
    <m/>
    <s v="IDRH"/>
    <m/>
    <n v="100"/>
    <x v="7"/>
    <m/>
    <m/>
    <n v="1"/>
    <n v="0.5"/>
    <n v="0.85"/>
    <n v="0.42499999999999999"/>
    <n v="1620"/>
    <x v="10"/>
    <s v="Hum"/>
    <x v="1"/>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349"/>
    <x v="342"/>
    <m/>
    <x v="1"/>
    <s v="H17"/>
    <x v="1"/>
    <s v="V191-20"/>
    <s v="Umeå"/>
    <m/>
    <s v="SVAA"/>
    <m/>
    <n v="100"/>
    <x v="7"/>
    <m/>
    <m/>
    <n v="10"/>
    <n v="5"/>
    <n v="0.85"/>
    <n v="4.25"/>
    <n v="1620"/>
    <x v="10"/>
    <s v="Hum"/>
    <x v="1"/>
    <n v="18405"/>
    <n v="15773"/>
    <n v="159060.25"/>
    <n v="5800"/>
    <n v="29000"/>
    <n v="188060.25"/>
    <n v="0"/>
    <n v="1"/>
    <n v="0"/>
    <n v="0"/>
    <n v="0"/>
    <n v="0"/>
    <n v="0"/>
    <n v="0"/>
    <n v="0"/>
    <n v="0"/>
    <n v="0"/>
    <n v="0"/>
    <s v="Enl Ladok 190318"/>
    <m/>
    <n v="0"/>
    <n v="0"/>
    <n v="5"/>
    <n v="4.25"/>
    <n v="0"/>
    <n v="0"/>
    <n v="0"/>
    <n v="0"/>
    <n v="0"/>
    <n v="0"/>
    <n v="0"/>
    <n v="0"/>
    <n v="0"/>
    <n v="0"/>
    <n v="0"/>
    <n v="0"/>
    <n v="0"/>
    <n v="0"/>
    <n v="0"/>
    <n v="0"/>
    <n v="0"/>
    <n v="0"/>
    <n v="0"/>
  </r>
  <r>
    <x v="350"/>
    <x v="343"/>
    <m/>
    <x v="1"/>
    <s v="H14"/>
    <x v="2"/>
    <s v="H1913-16"/>
    <m/>
    <m/>
    <s v="SVAA"/>
    <m/>
    <n v="100"/>
    <x v="2"/>
    <m/>
    <m/>
    <n v="1"/>
    <n v="0.1"/>
    <n v="0.85"/>
    <n v="8.5000000000000006E-2"/>
    <n v="1620"/>
    <x v="10"/>
    <s v="Hum"/>
    <x v="1"/>
    <n v="21634"/>
    <n v="26986"/>
    <n v="4457.21"/>
    <n v="3400"/>
    <n v="340"/>
    <n v="4797.21"/>
    <n v="0"/>
    <n v="0"/>
    <n v="0"/>
    <n v="0"/>
    <n v="0"/>
    <n v="0"/>
    <n v="0"/>
    <n v="0"/>
    <n v="1"/>
    <n v="0"/>
    <n v="0"/>
    <n v="0"/>
    <s v="Enligt SP 190924"/>
    <m/>
    <n v="0"/>
    <n v="0"/>
    <n v="0"/>
    <n v="0"/>
    <n v="0"/>
    <n v="0"/>
    <n v="0"/>
    <n v="0"/>
    <n v="0"/>
    <n v="0"/>
    <n v="0"/>
    <n v="0"/>
    <n v="0"/>
    <n v="0"/>
    <n v="0"/>
    <n v="0"/>
    <n v="0.1"/>
    <n v="8.5000000000000006E-2"/>
    <n v="0"/>
    <n v="0"/>
    <n v="0"/>
    <n v="0"/>
    <n v="0"/>
  </r>
  <r>
    <x v="351"/>
    <x v="344"/>
    <m/>
    <x v="1"/>
    <s v="H17"/>
    <x v="2"/>
    <s v="H1913-16"/>
    <m/>
    <m/>
    <s v="SVAA"/>
    <m/>
    <n v="100"/>
    <x v="2"/>
    <m/>
    <m/>
    <n v="11"/>
    <n v="1.1000000000000001"/>
    <n v="0.85"/>
    <n v="0.93500000000000005"/>
    <n v="1620"/>
    <x v="10"/>
    <s v="Hum"/>
    <x v="1"/>
    <n v="21634"/>
    <n v="26986"/>
    <n v="49029.31"/>
    <n v="3400"/>
    <n v="3740.0000000000005"/>
    <n v="52769.31"/>
    <n v="0"/>
    <n v="0"/>
    <n v="0"/>
    <n v="0"/>
    <n v="0"/>
    <n v="0"/>
    <n v="0"/>
    <n v="0"/>
    <n v="1"/>
    <n v="0"/>
    <n v="0"/>
    <n v="0"/>
    <s v="Enligt SP 190924"/>
    <m/>
    <n v="0"/>
    <n v="0"/>
    <n v="0"/>
    <n v="0"/>
    <n v="0"/>
    <n v="0"/>
    <n v="0"/>
    <n v="0"/>
    <n v="0"/>
    <n v="0"/>
    <n v="0"/>
    <n v="0"/>
    <n v="0"/>
    <n v="0"/>
    <n v="0"/>
    <n v="0"/>
    <n v="1.1000000000000001"/>
    <n v="0.93500000000000005"/>
    <n v="0"/>
    <n v="0"/>
    <n v="0"/>
    <n v="0"/>
    <n v="0"/>
  </r>
  <r>
    <x v="352"/>
    <x v="345"/>
    <m/>
    <x v="0"/>
    <m/>
    <x v="1"/>
    <m/>
    <m/>
    <s v="Campus"/>
    <m/>
    <m/>
    <n v="100"/>
    <x v="7"/>
    <m/>
    <m/>
    <n v="6"/>
    <n v="3"/>
    <n v="0.8"/>
    <n v="2.4000000000000004"/>
    <n v="1620"/>
    <x v="10"/>
    <s v="Hum"/>
    <x v="0"/>
    <n v="18405"/>
    <n v="15773"/>
    <n v="93070.200000000012"/>
    <n v="5800"/>
    <n v="17400"/>
    <n v="110470.20000000001"/>
    <n v="0"/>
    <n v="1"/>
    <n v="0"/>
    <n v="0"/>
    <n v="0"/>
    <n v="0"/>
    <n v="0"/>
    <n v="0"/>
    <n v="0"/>
    <n v="0"/>
    <n v="0"/>
    <n v="0"/>
    <s v="Enl Ladok 190318"/>
    <s v="Äskat - Beslut p43 180607"/>
    <n v="0"/>
    <n v="0"/>
    <n v="3"/>
    <n v="2.4000000000000004"/>
    <n v="0"/>
    <n v="0"/>
    <n v="0"/>
    <n v="0"/>
    <n v="0"/>
    <n v="0"/>
    <n v="0"/>
    <n v="0"/>
    <n v="0"/>
    <n v="0"/>
    <n v="0"/>
    <n v="0"/>
    <n v="0"/>
    <n v="0"/>
    <n v="0"/>
    <n v="0"/>
    <n v="0"/>
    <n v="0"/>
    <n v="0"/>
  </r>
  <r>
    <x v="353"/>
    <x v="346"/>
    <m/>
    <x v="0"/>
    <m/>
    <x v="2"/>
    <m/>
    <m/>
    <s v="Campus"/>
    <m/>
    <m/>
    <n v="100"/>
    <x v="7"/>
    <m/>
    <m/>
    <n v="8"/>
    <n v="4"/>
    <n v="0.8"/>
    <n v="3.2"/>
    <n v="1620"/>
    <x v="10"/>
    <s v="Hum"/>
    <x v="0"/>
    <n v="18405"/>
    <n v="15773"/>
    <n v="124093.6"/>
    <n v="5800"/>
    <n v="23200"/>
    <n v="147293.6"/>
    <n v="0"/>
    <n v="1"/>
    <n v="0"/>
    <n v="0"/>
    <n v="0"/>
    <n v="0"/>
    <n v="0"/>
    <n v="0"/>
    <n v="0"/>
    <n v="0"/>
    <n v="0"/>
    <n v="0"/>
    <s v="Äskat - Beslut p43 180607"/>
    <m/>
    <n v="0"/>
    <n v="0"/>
    <n v="4"/>
    <n v="3.2"/>
    <n v="0"/>
    <n v="0"/>
    <n v="0"/>
    <n v="0"/>
    <n v="0"/>
    <n v="0"/>
    <n v="0"/>
    <n v="0"/>
    <n v="0"/>
    <n v="0"/>
    <n v="0"/>
    <n v="0"/>
    <n v="0"/>
    <n v="0"/>
    <n v="0"/>
    <n v="0"/>
    <n v="0"/>
    <n v="0"/>
    <n v="0"/>
  </r>
  <r>
    <x v="354"/>
    <x v="347"/>
    <m/>
    <x v="0"/>
    <m/>
    <x v="1"/>
    <m/>
    <m/>
    <s v="Distans"/>
    <m/>
    <m/>
    <n v="50"/>
    <x v="1"/>
    <m/>
    <m/>
    <n v="2"/>
    <n v="0.5"/>
    <n v="0.8"/>
    <n v="0.4"/>
    <n v="1620"/>
    <x v="10"/>
    <s v="Hum"/>
    <x v="0"/>
    <n v="18405"/>
    <n v="15773"/>
    <n v="15511.7"/>
    <n v="5800"/>
    <n v="2900"/>
    <n v="18411.7"/>
    <n v="0"/>
    <n v="1"/>
    <n v="0"/>
    <n v="0"/>
    <n v="0"/>
    <n v="0"/>
    <n v="0"/>
    <n v="0"/>
    <n v="0"/>
    <n v="0"/>
    <n v="0"/>
    <n v="0"/>
    <s v="Enl Ladok 190515"/>
    <s v="Äskat - Beslut p43 180607"/>
    <n v="0"/>
    <n v="0"/>
    <n v="0.5"/>
    <n v="0.4"/>
    <n v="0"/>
    <n v="0"/>
    <n v="0"/>
    <n v="0"/>
    <n v="0"/>
    <n v="0"/>
    <n v="0"/>
    <n v="0"/>
    <n v="0"/>
    <n v="0"/>
    <n v="0"/>
    <n v="0"/>
    <n v="0"/>
    <n v="0"/>
    <n v="0"/>
    <n v="0"/>
    <n v="0"/>
    <n v="0"/>
    <n v="0"/>
  </r>
  <r>
    <x v="355"/>
    <x v="348"/>
    <m/>
    <x v="0"/>
    <m/>
    <x v="1"/>
    <m/>
    <m/>
    <s v="Distans"/>
    <m/>
    <m/>
    <n v="50"/>
    <x v="1"/>
    <m/>
    <m/>
    <n v="2"/>
    <n v="0.5"/>
    <n v="0.8"/>
    <n v="0.4"/>
    <n v="1620"/>
    <x v="10"/>
    <s v="Hum"/>
    <x v="0"/>
    <n v="18405"/>
    <n v="15773"/>
    <n v="15511.7"/>
    <n v="5800"/>
    <n v="2900"/>
    <n v="18411.7"/>
    <n v="0"/>
    <n v="1"/>
    <n v="0"/>
    <n v="0"/>
    <n v="0"/>
    <n v="0"/>
    <n v="0"/>
    <n v="0"/>
    <n v="0"/>
    <n v="0"/>
    <n v="0"/>
    <n v="0"/>
    <s v="Enl Ladok 190515"/>
    <s v="Äskat - Beslut p43 180607"/>
    <n v="0"/>
    <n v="0"/>
    <n v="0.5"/>
    <n v="0.4"/>
    <n v="0"/>
    <n v="0"/>
    <n v="0"/>
    <n v="0"/>
    <n v="0"/>
    <n v="0"/>
    <n v="0"/>
    <n v="0"/>
    <n v="0"/>
    <n v="0"/>
    <n v="0"/>
    <n v="0"/>
    <n v="0"/>
    <n v="0"/>
    <n v="0"/>
    <n v="0"/>
    <n v="0"/>
    <n v="0"/>
    <n v="0"/>
  </r>
  <r>
    <x v="356"/>
    <x v="349"/>
    <m/>
    <x v="0"/>
    <m/>
    <x v="1"/>
    <m/>
    <m/>
    <s v="Campus"/>
    <m/>
    <m/>
    <n v="100"/>
    <x v="7"/>
    <m/>
    <m/>
    <n v="0"/>
    <n v="0"/>
    <n v="0.8"/>
    <n v="0"/>
    <n v="1620"/>
    <x v="10"/>
    <s v="Hum"/>
    <x v="0"/>
    <n v="18405"/>
    <n v="15773"/>
    <n v="0"/>
    <n v="5800"/>
    <n v="0"/>
    <n v="0"/>
    <n v="0"/>
    <n v="1"/>
    <n v="0"/>
    <n v="0"/>
    <n v="0"/>
    <n v="0"/>
    <n v="0"/>
    <n v="0"/>
    <n v="0"/>
    <n v="0"/>
    <n v="0"/>
    <n v="0"/>
    <s v="Enl Ladok 190318"/>
    <s v="Äskat - Beslut p43 180607"/>
    <n v="0"/>
    <n v="0"/>
    <n v="0"/>
    <n v="0"/>
    <n v="0"/>
    <n v="0"/>
    <n v="0"/>
    <n v="0"/>
    <n v="0"/>
    <n v="0"/>
    <n v="0"/>
    <n v="0"/>
    <n v="0"/>
    <n v="0"/>
    <n v="0"/>
    <n v="0"/>
    <n v="0"/>
    <n v="0"/>
    <n v="0"/>
    <n v="0"/>
    <n v="0"/>
    <n v="0"/>
    <n v="0"/>
  </r>
  <r>
    <x v="356"/>
    <x v="349"/>
    <m/>
    <x v="1"/>
    <s v="H14"/>
    <x v="1"/>
    <s v="V191-20"/>
    <s v="Umeå"/>
    <m/>
    <s v="ENGS"/>
    <m/>
    <n v="100"/>
    <x v="7"/>
    <m/>
    <m/>
    <n v="1"/>
    <n v="0.5"/>
    <n v="0.85"/>
    <n v="0.42499999999999999"/>
    <n v="1620"/>
    <x v="10"/>
    <s v="Hum"/>
    <x v="1"/>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356"/>
    <x v="349"/>
    <m/>
    <x v="1"/>
    <s v="H16"/>
    <x v="1"/>
    <s v="V191-20"/>
    <s v="Umeå"/>
    <m/>
    <s v="BILÄ"/>
    <m/>
    <n v="100"/>
    <x v="7"/>
    <m/>
    <m/>
    <n v="1"/>
    <n v="0.5"/>
    <n v="0.85"/>
    <n v="0.42499999999999999"/>
    <n v="1620"/>
    <x v="10"/>
    <s v="Hum"/>
    <x v="1"/>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356"/>
    <x v="349"/>
    <m/>
    <x v="1"/>
    <s v="H16"/>
    <x v="1"/>
    <s v="V191-20"/>
    <s v="Umeå"/>
    <m/>
    <s v="ENGS"/>
    <m/>
    <n v="100"/>
    <x v="7"/>
    <m/>
    <m/>
    <n v="9"/>
    <n v="4.5"/>
    <n v="0.85"/>
    <n v="3.8249999999999997"/>
    <n v="1620"/>
    <x v="10"/>
    <s v="Hum"/>
    <x v="1"/>
    <n v="18405"/>
    <n v="15773"/>
    <n v="143154.22500000001"/>
    <n v="5800"/>
    <n v="26100"/>
    <n v="169254.22500000001"/>
    <n v="0"/>
    <n v="1"/>
    <n v="0"/>
    <n v="0"/>
    <n v="0"/>
    <n v="0"/>
    <n v="0"/>
    <n v="0"/>
    <n v="0"/>
    <n v="0"/>
    <n v="0"/>
    <n v="0"/>
    <s v="Enl Ladok 190318"/>
    <m/>
    <n v="0"/>
    <n v="0"/>
    <n v="4.5"/>
    <n v="3.8249999999999997"/>
    <n v="0"/>
    <n v="0"/>
    <n v="0"/>
    <n v="0"/>
    <n v="0"/>
    <n v="0"/>
    <n v="0"/>
    <n v="0"/>
    <n v="0"/>
    <n v="0"/>
    <n v="0"/>
    <n v="0"/>
    <n v="0"/>
    <n v="0"/>
    <n v="0"/>
    <n v="0"/>
    <n v="0"/>
    <n v="0"/>
    <n v="0"/>
  </r>
  <r>
    <x v="356"/>
    <x v="349"/>
    <m/>
    <x v="1"/>
    <s v="H16"/>
    <x v="1"/>
    <s v="V191-20"/>
    <s v="Umeå"/>
    <m/>
    <s v="IDRH"/>
    <m/>
    <n v="100"/>
    <x v="7"/>
    <m/>
    <m/>
    <n v="6"/>
    <n v="3"/>
    <n v="0.85"/>
    <n v="2.5499999999999998"/>
    <n v="1620"/>
    <x v="10"/>
    <s v="Hum"/>
    <x v="1"/>
    <n v="18405"/>
    <n v="15773"/>
    <n v="95436.15"/>
    <n v="5800"/>
    <n v="17400"/>
    <n v="112836.15"/>
    <n v="0"/>
    <n v="1"/>
    <n v="0"/>
    <n v="0"/>
    <n v="0"/>
    <n v="0"/>
    <n v="0"/>
    <n v="0"/>
    <n v="0"/>
    <n v="0"/>
    <n v="0"/>
    <n v="0"/>
    <s v="Enl Ladok 190318"/>
    <m/>
    <n v="0"/>
    <n v="0"/>
    <n v="3"/>
    <n v="2.5499999999999998"/>
    <n v="0"/>
    <n v="0"/>
    <n v="0"/>
    <n v="0"/>
    <n v="0"/>
    <n v="0"/>
    <n v="0"/>
    <n v="0"/>
    <n v="0"/>
    <n v="0"/>
    <n v="0"/>
    <n v="0"/>
    <n v="0"/>
    <n v="0"/>
    <n v="0"/>
    <n v="0"/>
    <n v="0"/>
    <n v="0"/>
    <n v="0"/>
  </r>
  <r>
    <x v="356"/>
    <x v="349"/>
    <m/>
    <x v="1"/>
    <s v="H16"/>
    <x v="1"/>
    <s v="V191-20"/>
    <s v="Umeå"/>
    <m/>
    <s v="SVAA"/>
    <m/>
    <n v="100"/>
    <x v="7"/>
    <m/>
    <m/>
    <n v="5"/>
    <n v="2.5"/>
    <n v="0.85"/>
    <n v="2.125"/>
    <n v="1620"/>
    <x v="10"/>
    <s v="Hum"/>
    <x v="1"/>
    <n v="18405"/>
    <n v="15773"/>
    <n v="79530.125"/>
    <n v="5800"/>
    <n v="14500"/>
    <n v="94030.125"/>
    <n v="0"/>
    <n v="1"/>
    <n v="0"/>
    <n v="0"/>
    <n v="0"/>
    <n v="0"/>
    <n v="0"/>
    <n v="0"/>
    <n v="0"/>
    <n v="0"/>
    <n v="0"/>
    <n v="0"/>
    <s v="Enl Ladok 190318"/>
    <m/>
    <n v="0"/>
    <n v="0"/>
    <n v="2.5"/>
    <n v="2.125"/>
    <n v="0"/>
    <n v="0"/>
    <n v="0"/>
    <n v="0"/>
    <n v="0"/>
    <n v="0"/>
    <n v="0"/>
    <n v="0"/>
    <n v="0"/>
    <n v="0"/>
    <n v="0"/>
    <n v="0"/>
    <n v="0"/>
    <n v="0"/>
    <n v="0"/>
    <n v="0"/>
    <n v="0"/>
    <n v="0"/>
    <n v="0"/>
  </r>
  <r>
    <x v="356"/>
    <x v="349"/>
    <m/>
    <x v="1"/>
    <s v="H17"/>
    <x v="1"/>
    <s v="V191-20"/>
    <s v="Umeå"/>
    <m/>
    <s v="ENGS"/>
    <m/>
    <n v="100"/>
    <x v="7"/>
    <m/>
    <m/>
    <n v="1"/>
    <n v="0.5"/>
    <n v="0.85"/>
    <n v="0.42499999999999999"/>
    <n v="1620"/>
    <x v="10"/>
    <s v="Hum"/>
    <x v="1"/>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356"/>
    <x v="349"/>
    <m/>
    <x v="1"/>
    <s v="H17"/>
    <x v="1"/>
    <s v="V191-20"/>
    <s v="Umeå"/>
    <m/>
    <s v="MATT"/>
    <m/>
    <n v="100"/>
    <x v="7"/>
    <m/>
    <m/>
    <n v="1"/>
    <n v="0.5"/>
    <n v="0.85"/>
    <n v="0.42499999999999999"/>
    <n v="1620"/>
    <x v="10"/>
    <s v="Hum"/>
    <x v="1"/>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356"/>
    <x v="349"/>
    <m/>
    <x v="1"/>
    <s v="H18"/>
    <x v="1"/>
    <s v="V191-20"/>
    <s v="Umeå"/>
    <m/>
    <s v="SVAN"/>
    <m/>
    <n v="100"/>
    <x v="7"/>
    <m/>
    <m/>
    <n v="2"/>
    <n v="1"/>
    <n v="0.85"/>
    <n v="0.85"/>
    <n v="1620"/>
    <x v="10"/>
    <s v="Hum"/>
    <x v="1"/>
    <n v="18405"/>
    <n v="15773"/>
    <n v="31812.05"/>
    <n v="5800"/>
    <n v="5800"/>
    <n v="37612.050000000003"/>
    <n v="0"/>
    <n v="1"/>
    <n v="0"/>
    <n v="0"/>
    <n v="0"/>
    <n v="0"/>
    <n v="0"/>
    <n v="0"/>
    <n v="0"/>
    <n v="0"/>
    <n v="0"/>
    <n v="0"/>
    <s v="Enl Ladok 190318"/>
    <m/>
    <n v="0"/>
    <n v="0"/>
    <n v="1"/>
    <n v="0.85"/>
    <n v="0"/>
    <n v="0"/>
    <n v="0"/>
    <n v="0"/>
    <n v="0"/>
    <n v="0"/>
    <n v="0"/>
    <n v="0"/>
    <n v="0"/>
    <n v="0"/>
    <n v="0"/>
    <n v="0"/>
    <n v="0"/>
    <n v="0"/>
    <n v="0"/>
    <n v="0"/>
    <n v="0"/>
    <n v="0"/>
    <n v="0"/>
  </r>
  <r>
    <x v="356"/>
    <x v="349"/>
    <m/>
    <x v="1"/>
    <m/>
    <x v="1"/>
    <s v="V191-20"/>
    <s v="Umeå"/>
    <m/>
    <s v="RELK"/>
    <m/>
    <n v="100"/>
    <x v="7"/>
    <m/>
    <m/>
    <n v="1"/>
    <n v="0.5"/>
    <n v="0.85"/>
    <n v="0.42499999999999999"/>
    <n v="1620"/>
    <x v="10"/>
    <s v="Hum"/>
    <x v="1"/>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357"/>
    <x v="350"/>
    <m/>
    <x v="0"/>
    <m/>
    <x v="2"/>
    <m/>
    <m/>
    <s v="Campus"/>
    <m/>
    <m/>
    <n v="100"/>
    <x v="7"/>
    <m/>
    <m/>
    <n v="2"/>
    <n v="1"/>
    <n v="0.8"/>
    <n v="0.8"/>
    <n v="1620"/>
    <x v="10"/>
    <s v="Hum"/>
    <x v="0"/>
    <n v="18405"/>
    <n v="15773"/>
    <n v="31023.4"/>
    <n v="5800"/>
    <n v="5800"/>
    <n v="36823.4"/>
    <n v="0"/>
    <n v="1"/>
    <n v="0"/>
    <n v="0"/>
    <n v="0"/>
    <n v="0"/>
    <n v="0"/>
    <n v="0"/>
    <n v="0"/>
    <n v="0"/>
    <n v="0"/>
    <n v="0"/>
    <s v="Äskat - Beslut p43 180607"/>
    <m/>
    <n v="0"/>
    <n v="0"/>
    <n v="1"/>
    <n v="0.8"/>
    <n v="0"/>
    <n v="0"/>
    <n v="0"/>
    <n v="0"/>
    <n v="0"/>
    <n v="0"/>
    <n v="0"/>
    <n v="0"/>
    <n v="0"/>
    <n v="0"/>
    <n v="0"/>
    <n v="0"/>
    <n v="0"/>
    <n v="0"/>
    <n v="0"/>
    <n v="0"/>
    <n v="0"/>
    <n v="0"/>
    <n v="0"/>
  </r>
  <r>
    <x v="357"/>
    <x v="350"/>
    <m/>
    <x v="1"/>
    <s v="H14"/>
    <x v="2"/>
    <s v="H191-20"/>
    <m/>
    <m/>
    <s v="ENGS"/>
    <m/>
    <n v="100"/>
    <x v="7"/>
    <m/>
    <m/>
    <n v="1"/>
    <n v="0.5"/>
    <n v="0.85"/>
    <n v="0.42499999999999999"/>
    <n v="1620"/>
    <x v="10"/>
    <s v="Hum"/>
    <x v="1"/>
    <n v="18405"/>
    <n v="15773"/>
    <n v="15906.025"/>
    <n v="5800"/>
    <n v="2900"/>
    <n v="18806.025000000001"/>
    <n v="0"/>
    <n v="1"/>
    <n v="0"/>
    <n v="0"/>
    <n v="0"/>
    <n v="0"/>
    <n v="0"/>
    <n v="0"/>
    <n v="0"/>
    <n v="0"/>
    <n v="0"/>
    <n v="0"/>
    <s v="Enligt SP 190924"/>
    <m/>
    <n v="0"/>
    <n v="0"/>
    <n v="0.5"/>
    <n v="0.42499999999999999"/>
    <n v="0"/>
    <n v="0"/>
    <n v="0"/>
    <n v="0"/>
    <n v="0"/>
    <n v="0"/>
    <n v="0"/>
    <n v="0"/>
    <n v="0"/>
    <n v="0"/>
    <n v="0"/>
    <n v="0"/>
    <n v="0"/>
    <n v="0"/>
    <n v="0"/>
    <n v="0"/>
    <n v="0"/>
    <n v="0"/>
    <n v="0"/>
  </r>
  <r>
    <x v="357"/>
    <x v="350"/>
    <m/>
    <x v="1"/>
    <s v="H15"/>
    <x v="2"/>
    <s v="H191-20"/>
    <m/>
    <m/>
    <s v="ENGS"/>
    <m/>
    <n v="100"/>
    <x v="7"/>
    <m/>
    <m/>
    <n v="1"/>
    <n v="0.5"/>
    <n v="0.85"/>
    <n v="0.42499999999999999"/>
    <n v="1620"/>
    <x v="10"/>
    <s v="Hum"/>
    <x v="1"/>
    <n v="18405"/>
    <n v="15773"/>
    <n v="15906.025"/>
    <n v="5800"/>
    <n v="2900"/>
    <n v="18806.025000000001"/>
    <n v="0"/>
    <n v="1"/>
    <n v="0"/>
    <n v="0"/>
    <n v="0"/>
    <n v="0"/>
    <n v="0"/>
    <n v="0"/>
    <n v="0"/>
    <n v="0"/>
    <n v="0"/>
    <n v="0"/>
    <s v="Enligt SP 190924"/>
    <m/>
    <n v="0"/>
    <n v="0"/>
    <n v="0.5"/>
    <n v="0.42499999999999999"/>
    <n v="0"/>
    <n v="0"/>
    <n v="0"/>
    <n v="0"/>
    <n v="0"/>
    <n v="0"/>
    <n v="0"/>
    <n v="0"/>
    <n v="0"/>
    <n v="0"/>
    <n v="0"/>
    <n v="0"/>
    <n v="0"/>
    <n v="0"/>
    <n v="0"/>
    <n v="0"/>
    <n v="0"/>
    <n v="0"/>
    <n v="0"/>
  </r>
  <r>
    <x v="357"/>
    <x v="350"/>
    <m/>
    <x v="1"/>
    <s v="H16"/>
    <x v="2"/>
    <s v="H191-20"/>
    <m/>
    <m/>
    <s v="BILÄ"/>
    <m/>
    <n v="100"/>
    <x v="7"/>
    <m/>
    <m/>
    <n v="1"/>
    <n v="0.5"/>
    <n v="0.85"/>
    <n v="0.42499999999999999"/>
    <n v="1620"/>
    <x v="10"/>
    <s v="Hum"/>
    <x v="1"/>
    <n v="18405"/>
    <n v="15773"/>
    <n v="15906.025"/>
    <n v="5800"/>
    <n v="2900"/>
    <n v="18806.025000000001"/>
    <n v="0"/>
    <n v="1"/>
    <n v="0"/>
    <n v="0"/>
    <n v="0"/>
    <n v="0"/>
    <n v="0"/>
    <n v="0"/>
    <n v="0"/>
    <n v="0"/>
    <n v="0"/>
    <n v="0"/>
    <s v="Enligt SP 190924"/>
    <m/>
    <n v="0"/>
    <n v="0"/>
    <n v="0.5"/>
    <n v="0.42499999999999999"/>
    <n v="0"/>
    <n v="0"/>
    <n v="0"/>
    <n v="0"/>
    <n v="0"/>
    <n v="0"/>
    <n v="0"/>
    <n v="0"/>
    <n v="0"/>
    <n v="0"/>
    <n v="0"/>
    <n v="0"/>
    <n v="0"/>
    <n v="0"/>
    <n v="0"/>
    <n v="0"/>
    <n v="0"/>
    <n v="0"/>
    <n v="0"/>
  </r>
  <r>
    <x v="357"/>
    <x v="350"/>
    <m/>
    <x v="1"/>
    <s v="H16"/>
    <x v="2"/>
    <s v="H191-20"/>
    <m/>
    <m/>
    <s v="ENGS"/>
    <m/>
    <n v="100"/>
    <x v="7"/>
    <m/>
    <m/>
    <n v="8"/>
    <n v="4"/>
    <n v="0.85"/>
    <n v="3.4"/>
    <n v="1620"/>
    <x v="10"/>
    <s v="Hum"/>
    <x v="1"/>
    <n v="18405"/>
    <n v="15773"/>
    <n v="127248.2"/>
    <n v="5800"/>
    <n v="23200"/>
    <n v="150448.20000000001"/>
    <n v="0"/>
    <n v="1"/>
    <n v="0"/>
    <n v="0"/>
    <n v="0"/>
    <n v="0"/>
    <n v="0"/>
    <n v="0"/>
    <n v="0"/>
    <n v="0"/>
    <n v="0"/>
    <n v="0"/>
    <s v="Enligt SP 190924"/>
    <m/>
    <n v="0"/>
    <n v="0"/>
    <n v="4"/>
    <n v="3.4"/>
    <n v="0"/>
    <n v="0"/>
    <n v="0"/>
    <n v="0"/>
    <n v="0"/>
    <n v="0"/>
    <n v="0"/>
    <n v="0"/>
    <n v="0"/>
    <n v="0"/>
    <n v="0"/>
    <n v="0"/>
    <n v="0"/>
    <n v="0"/>
    <n v="0"/>
    <n v="0"/>
    <n v="0"/>
    <n v="0"/>
    <n v="0"/>
  </r>
  <r>
    <x v="357"/>
    <x v="350"/>
    <m/>
    <x v="1"/>
    <s v="H16"/>
    <x v="2"/>
    <s v="H191-20"/>
    <m/>
    <m/>
    <s v="IDRH"/>
    <m/>
    <n v="100"/>
    <x v="7"/>
    <m/>
    <m/>
    <n v="5"/>
    <n v="2.5"/>
    <n v="0.85"/>
    <n v="2.125"/>
    <n v="1620"/>
    <x v="10"/>
    <s v="Hum"/>
    <x v="1"/>
    <n v="18405"/>
    <n v="15773"/>
    <n v="79530.125"/>
    <n v="5800"/>
    <n v="14500"/>
    <n v="94030.125"/>
    <n v="0"/>
    <n v="1"/>
    <n v="0"/>
    <n v="0"/>
    <n v="0"/>
    <n v="0"/>
    <n v="0"/>
    <n v="0"/>
    <n v="0"/>
    <n v="0"/>
    <n v="0"/>
    <n v="0"/>
    <s v="Enligt SP 190924"/>
    <m/>
    <n v="0"/>
    <n v="0"/>
    <n v="2.5"/>
    <n v="2.125"/>
    <n v="0"/>
    <n v="0"/>
    <n v="0"/>
    <n v="0"/>
    <n v="0"/>
    <n v="0"/>
    <n v="0"/>
    <n v="0"/>
    <n v="0"/>
    <n v="0"/>
    <n v="0"/>
    <n v="0"/>
    <n v="0"/>
    <n v="0"/>
    <n v="0"/>
    <n v="0"/>
    <n v="0"/>
    <n v="0"/>
    <n v="0"/>
  </r>
  <r>
    <x v="357"/>
    <x v="350"/>
    <m/>
    <x v="1"/>
    <s v="H16"/>
    <x v="2"/>
    <s v="H191-20"/>
    <m/>
    <m/>
    <s v="SVAA"/>
    <m/>
    <n v="100"/>
    <x v="7"/>
    <m/>
    <m/>
    <n v="4"/>
    <n v="2"/>
    <n v="0.85"/>
    <n v="1.7"/>
    <n v="1620"/>
    <x v="10"/>
    <s v="Hum"/>
    <x v="1"/>
    <n v="18405"/>
    <n v="15773"/>
    <n v="63624.1"/>
    <n v="5800"/>
    <n v="11600"/>
    <n v="75224.100000000006"/>
    <n v="0"/>
    <n v="1"/>
    <n v="0"/>
    <n v="0"/>
    <n v="0"/>
    <n v="0"/>
    <n v="0"/>
    <n v="0"/>
    <n v="0"/>
    <n v="0"/>
    <n v="0"/>
    <n v="0"/>
    <s v="Enligt SP 190924"/>
    <m/>
    <n v="0"/>
    <n v="0"/>
    <n v="2"/>
    <n v="1.7"/>
    <n v="0"/>
    <n v="0"/>
    <n v="0"/>
    <n v="0"/>
    <n v="0"/>
    <n v="0"/>
    <n v="0"/>
    <n v="0"/>
    <n v="0"/>
    <n v="0"/>
    <n v="0"/>
    <n v="0"/>
    <n v="0"/>
    <n v="0"/>
    <n v="0"/>
    <n v="0"/>
    <n v="0"/>
    <n v="0"/>
    <n v="0"/>
  </r>
  <r>
    <x v="357"/>
    <x v="350"/>
    <m/>
    <x v="1"/>
    <s v="H17"/>
    <x v="2"/>
    <s v="H191-20"/>
    <m/>
    <m/>
    <s v="SVAN"/>
    <m/>
    <n v="100"/>
    <x v="7"/>
    <m/>
    <m/>
    <n v="1"/>
    <n v="0.5"/>
    <n v="0.85"/>
    <n v="0.42499999999999999"/>
    <n v="1620"/>
    <x v="10"/>
    <s v="Hum"/>
    <x v="1"/>
    <n v="18405"/>
    <n v="15773"/>
    <n v="15906.025"/>
    <n v="5800"/>
    <n v="2900"/>
    <n v="18806.025000000001"/>
    <n v="0"/>
    <n v="1"/>
    <n v="0"/>
    <n v="0"/>
    <n v="0"/>
    <n v="0"/>
    <n v="0"/>
    <n v="0"/>
    <n v="0"/>
    <n v="0"/>
    <n v="0"/>
    <n v="0"/>
    <s v="Enligt SP 190924"/>
    <m/>
    <n v="0"/>
    <n v="0"/>
    <n v="0.5"/>
    <n v="0.42499999999999999"/>
    <n v="0"/>
    <n v="0"/>
    <n v="0"/>
    <n v="0"/>
    <n v="0"/>
    <n v="0"/>
    <n v="0"/>
    <n v="0"/>
    <n v="0"/>
    <n v="0"/>
    <n v="0"/>
    <n v="0"/>
    <n v="0"/>
    <n v="0"/>
    <n v="0"/>
    <n v="0"/>
    <n v="0"/>
    <n v="0"/>
    <n v="0"/>
  </r>
  <r>
    <x v="357"/>
    <x v="350"/>
    <m/>
    <x v="1"/>
    <s v="H18"/>
    <x v="2"/>
    <s v="H191-20"/>
    <m/>
    <m/>
    <s v="SVAN"/>
    <m/>
    <n v="100"/>
    <x v="7"/>
    <m/>
    <m/>
    <n v="2"/>
    <n v="1"/>
    <n v="0.85"/>
    <n v="0.85"/>
    <n v="1620"/>
    <x v="10"/>
    <s v="Hum"/>
    <x v="1"/>
    <n v="18405"/>
    <n v="15773"/>
    <n v="31812.05"/>
    <n v="5800"/>
    <n v="5800"/>
    <n v="37612.050000000003"/>
    <n v="0"/>
    <n v="1"/>
    <n v="0"/>
    <n v="0"/>
    <n v="0"/>
    <n v="0"/>
    <n v="0"/>
    <n v="0"/>
    <n v="0"/>
    <n v="0"/>
    <n v="0"/>
    <n v="0"/>
    <s v="Enligt SP 190924"/>
    <m/>
    <n v="0"/>
    <n v="0"/>
    <n v="1"/>
    <n v="0.85"/>
    <n v="0"/>
    <n v="0"/>
    <n v="0"/>
    <n v="0"/>
    <n v="0"/>
    <n v="0"/>
    <n v="0"/>
    <n v="0"/>
    <n v="0"/>
    <n v="0"/>
    <n v="0"/>
    <n v="0"/>
    <n v="0"/>
    <n v="0"/>
    <n v="0"/>
    <n v="0"/>
    <n v="0"/>
    <n v="0"/>
    <n v="0"/>
  </r>
  <r>
    <x v="358"/>
    <x v="351"/>
    <m/>
    <x v="0"/>
    <m/>
    <x v="1"/>
    <m/>
    <m/>
    <s v="Campus"/>
    <m/>
    <m/>
    <n v="100"/>
    <x v="7"/>
    <m/>
    <m/>
    <n v="0"/>
    <n v="0"/>
    <n v="0.8"/>
    <n v="0"/>
    <n v="1620"/>
    <x v="10"/>
    <s v="Hum"/>
    <x v="0"/>
    <n v="18405"/>
    <n v="15773"/>
    <n v="0"/>
    <n v="5800"/>
    <n v="0"/>
    <n v="0"/>
    <n v="0"/>
    <n v="1"/>
    <n v="0"/>
    <n v="0"/>
    <n v="0"/>
    <n v="0"/>
    <n v="0"/>
    <n v="0"/>
    <n v="0"/>
    <n v="0"/>
    <n v="0"/>
    <n v="0"/>
    <s v="Enl Ladok 190318"/>
    <s v="Äskat - Beslut p43 180607"/>
    <n v="0"/>
    <n v="0"/>
    <n v="0"/>
    <n v="0"/>
    <n v="0"/>
    <n v="0"/>
    <n v="0"/>
    <n v="0"/>
    <n v="0"/>
    <n v="0"/>
    <n v="0"/>
    <n v="0"/>
    <n v="0"/>
    <n v="0"/>
    <n v="0"/>
    <n v="0"/>
    <n v="0"/>
    <n v="0"/>
    <n v="0"/>
    <n v="0"/>
    <n v="0"/>
    <n v="0"/>
    <n v="0"/>
  </r>
  <r>
    <x v="358"/>
    <x v="351"/>
    <m/>
    <x v="1"/>
    <s v="H14"/>
    <x v="1"/>
    <s v="V191-20"/>
    <s v="Umeå"/>
    <m/>
    <s v="BILÄ"/>
    <m/>
    <n v="100"/>
    <x v="7"/>
    <m/>
    <m/>
    <n v="1"/>
    <n v="0.5"/>
    <n v="0.85"/>
    <n v="0.42499999999999999"/>
    <n v="1620"/>
    <x v="10"/>
    <s v="Hum"/>
    <x v="1"/>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358"/>
    <x v="351"/>
    <m/>
    <x v="1"/>
    <s v="H15"/>
    <x v="1"/>
    <s v="V191-20"/>
    <s v="Umeå"/>
    <m/>
    <s v="ENGS"/>
    <m/>
    <n v="100"/>
    <x v="7"/>
    <m/>
    <m/>
    <n v="2"/>
    <n v="1"/>
    <n v="0.85"/>
    <n v="0.85"/>
    <n v="1620"/>
    <x v="10"/>
    <s v="Hum"/>
    <x v="1"/>
    <n v="18405"/>
    <n v="15773"/>
    <n v="31812.05"/>
    <n v="5800"/>
    <n v="5800"/>
    <n v="37612.050000000003"/>
    <n v="0"/>
    <n v="1"/>
    <n v="0"/>
    <n v="0"/>
    <n v="0"/>
    <n v="0"/>
    <n v="0"/>
    <n v="0"/>
    <n v="0"/>
    <n v="0"/>
    <n v="0"/>
    <n v="0"/>
    <s v="Enl Ladok 190318"/>
    <m/>
    <n v="0"/>
    <n v="0"/>
    <n v="1"/>
    <n v="0.85"/>
    <n v="0"/>
    <n v="0"/>
    <n v="0"/>
    <n v="0"/>
    <n v="0"/>
    <n v="0"/>
    <n v="0"/>
    <n v="0"/>
    <n v="0"/>
    <n v="0"/>
    <n v="0"/>
    <n v="0"/>
    <n v="0"/>
    <n v="0"/>
    <n v="0"/>
    <n v="0"/>
    <n v="0"/>
    <n v="0"/>
    <n v="0"/>
  </r>
  <r>
    <x v="358"/>
    <x v="351"/>
    <m/>
    <x v="1"/>
    <s v="H15"/>
    <x v="1"/>
    <s v="V191-20"/>
    <s v="Umeå"/>
    <m/>
    <s v="SVAA"/>
    <m/>
    <n v="100"/>
    <x v="7"/>
    <m/>
    <m/>
    <n v="2"/>
    <n v="1"/>
    <n v="0.85"/>
    <n v="0.85"/>
    <n v="1620"/>
    <x v="10"/>
    <s v="Hum"/>
    <x v="1"/>
    <n v="18405"/>
    <n v="15773"/>
    <n v="31812.05"/>
    <n v="5800"/>
    <n v="5800"/>
    <n v="37612.050000000003"/>
    <n v="0"/>
    <n v="1"/>
    <n v="0"/>
    <n v="0"/>
    <n v="0"/>
    <n v="0"/>
    <n v="0"/>
    <n v="0"/>
    <n v="0"/>
    <n v="0"/>
    <n v="0"/>
    <n v="0"/>
    <s v="Enl Ladok 190318"/>
    <m/>
    <n v="0"/>
    <n v="0"/>
    <n v="1"/>
    <n v="0.85"/>
    <n v="0"/>
    <n v="0"/>
    <n v="0"/>
    <n v="0"/>
    <n v="0"/>
    <n v="0"/>
    <n v="0"/>
    <n v="0"/>
    <n v="0"/>
    <n v="0"/>
    <n v="0"/>
    <n v="0"/>
    <n v="0"/>
    <n v="0"/>
    <n v="0"/>
    <n v="0"/>
    <n v="0"/>
    <n v="0"/>
    <n v="0"/>
  </r>
  <r>
    <x v="358"/>
    <x v="351"/>
    <m/>
    <x v="1"/>
    <s v="H16"/>
    <x v="1"/>
    <s v="V191-20"/>
    <s v="Umeå"/>
    <m/>
    <s v="SVAA"/>
    <m/>
    <n v="100"/>
    <x v="7"/>
    <m/>
    <m/>
    <n v="1"/>
    <n v="0.5"/>
    <n v="0.85"/>
    <n v="0.42499999999999999"/>
    <n v="1620"/>
    <x v="10"/>
    <s v="Hum"/>
    <x v="1"/>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358"/>
    <x v="351"/>
    <m/>
    <x v="1"/>
    <m/>
    <x v="1"/>
    <s v="V191-20"/>
    <s v="Umeå"/>
    <m/>
    <s v="IDRH"/>
    <m/>
    <n v="100"/>
    <x v="7"/>
    <m/>
    <m/>
    <n v="1"/>
    <n v="0.5"/>
    <n v="0.85"/>
    <n v="0.42499999999999999"/>
    <n v="1620"/>
    <x v="10"/>
    <s v="Hum"/>
    <x v="1"/>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359"/>
    <x v="352"/>
    <m/>
    <x v="0"/>
    <m/>
    <x v="0"/>
    <s v="Sommarkurs"/>
    <m/>
    <s v="Distans"/>
    <m/>
    <m/>
    <n v="50"/>
    <x v="0"/>
    <m/>
    <m/>
    <n v="30"/>
    <n v="3.75"/>
    <n v="0.8"/>
    <n v="3"/>
    <n v="1620"/>
    <x v="10"/>
    <s v="Hum"/>
    <x v="0"/>
    <n v="18405"/>
    <n v="15773"/>
    <n v="116337.75"/>
    <n v="5800"/>
    <n v="21750"/>
    <n v="138087.75"/>
    <n v="0"/>
    <n v="1"/>
    <n v="0"/>
    <n v="0"/>
    <n v="0"/>
    <n v="0"/>
    <n v="0"/>
    <n v="0"/>
    <n v="0"/>
    <n v="0"/>
    <n v="0"/>
    <n v="0"/>
    <s v="Äskat - Beslut p43 180607"/>
    <m/>
    <n v="0"/>
    <n v="0"/>
    <n v="3.75"/>
    <n v="3"/>
    <n v="0"/>
    <n v="0"/>
    <n v="0"/>
    <n v="0"/>
    <n v="0"/>
    <n v="0"/>
    <n v="0"/>
    <n v="0"/>
    <n v="0"/>
    <n v="0"/>
    <n v="0"/>
    <n v="0"/>
    <n v="0"/>
    <n v="0"/>
    <n v="0"/>
    <n v="0"/>
    <n v="0"/>
    <n v="0"/>
    <n v="0"/>
  </r>
  <r>
    <x v="360"/>
    <x v="353"/>
    <m/>
    <x v="0"/>
    <m/>
    <x v="0"/>
    <s v="Sommarkurs"/>
    <m/>
    <s v="Distans"/>
    <m/>
    <m/>
    <n v="50"/>
    <x v="0"/>
    <m/>
    <m/>
    <n v="32"/>
    <n v="4"/>
    <n v="0.8"/>
    <n v="3.2"/>
    <n v="1620"/>
    <x v="10"/>
    <s v="Hum"/>
    <x v="0"/>
    <n v="18405"/>
    <n v="15773"/>
    <n v="124093.6"/>
    <n v="5800"/>
    <n v="23200"/>
    <n v="147293.6"/>
    <n v="0"/>
    <n v="1"/>
    <n v="0"/>
    <n v="0"/>
    <n v="0"/>
    <n v="0"/>
    <n v="0"/>
    <n v="0"/>
    <n v="0"/>
    <n v="0"/>
    <n v="0"/>
    <n v="0"/>
    <s v="Äskat - Beslut p43 180607"/>
    <m/>
    <n v="0"/>
    <n v="0"/>
    <n v="4"/>
    <n v="3.2"/>
    <n v="0"/>
    <n v="0"/>
    <n v="0"/>
    <n v="0"/>
    <n v="0"/>
    <n v="0"/>
    <n v="0"/>
    <n v="0"/>
    <n v="0"/>
    <n v="0"/>
    <n v="0"/>
    <n v="0"/>
    <n v="0"/>
    <n v="0"/>
    <n v="0"/>
    <n v="0"/>
    <n v="0"/>
    <n v="0"/>
    <n v="0"/>
  </r>
  <r>
    <x v="361"/>
    <x v="354"/>
    <m/>
    <x v="0"/>
    <m/>
    <x v="0"/>
    <s v="Sommarkurs"/>
    <m/>
    <s v="Distans"/>
    <m/>
    <m/>
    <n v="50"/>
    <x v="0"/>
    <m/>
    <m/>
    <n v="24"/>
    <n v="3"/>
    <n v="0.8"/>
    <n v="2.4000000000000004"/>
    <n v="1620"/>
    <x v="10"/>
    <s v="Hum"/>
    <x v="0"/>
    <n v="18405"/>
    <n v="15773"/>
    <n v="93070.200000000012"/>
    <n v="5800"/>
    <n v="17400"/>
    <n v="110470.20000000001"/>
    <n v="0"/>
    <n v="1"/>
    <n v="0"/>
    <n v="0"/>
    <n v="0"/>
    <n v="0"/>
    <n v="0"/>
    <n v="0"/>
    <n v="0"/>
    <n v="0"/>
    <n v="0"/>
    <n v="0"/>
    <s v="Enl Ladok 190821"/>
    <s v="Äskat - Beslut p43 180607"/>
    <n v="0"/>
    <n v="0"/>
    <n v="3"/>
    <n v="2.4000000000000004"/>
    <n v="0"/>
    <n v="0"/>
    <n v="0"/>
    <n v="0"/>
    <n v="0"/>
    <n v="0"/>
    <n v="0"/>
    <n v="0"/>
    <n v="0"/>
    <n v="0"/>
    <n v="0"/>
    <n v="0"/>
    <n v="0"/>
    <n v="0"/>
    <n v="0"/>
    <n v="0"/>
    <n v="0"/>
    <n v="0"/>
    <n v="0"/>
  </r>
  <r>
    <x v="362"/>
    <x v="355"/>
    <m/>
    <x v="10"/>
    <s v="H18"/>
    <x v="2"/>
    <s v="H191-10"/>
    <m/>
    <s v="REGU"/>
    <m/>
    <m/>
    <n v="100"/>
    <x v="1"/>
    <m/>
    <m/>
    <n v="1"/>
    <n v="0.25"/>
    <n v="0.85"/>
    <n v="0.21249999999999999"/>
    <n v="2193"/>
    <x v="1"/>
    <s v="Sam"/>
    <x v="10"/>
    <n v="22339.8"/>
    <n v="20219.2"/>
    <n v="9881.5299999999988"/>
    <n v="5800"/>
    <n v="1450"/>
    <n v="11331.529999999999"/>
    <n v="0"/>
    <n v="0"/>
    <n v="0"/>
    <n v="0"/>
    <n v="0"/>
    <n v="0"/>
    <n v="0.8"/>
    <n v="0"/>
    <n v="0"/>
    <n v="0"/>
    <n v="0"/>
    <n v="0.2"/>
    <s v="Enligt SP 190924"/>
    <m/>
    <n v="0"/>
    <n v="0"/>
    <n v="0"/>
    <n v="0"/>
    <n v="0"/>
    <n v="0"/>
    <n v="0"/>
    <n v="0"/>
    <n v="0"/>
    <n v="0"/>
    <n v="0"/>
    <n v="0"/>
    <n v="0.2"/>
    <n v="0.17"/>
    <n v="0"/>
    <n v="0"/>
    <n v="0"/>
    <n v="0"/>
    <n v="0"/>
    <n v="0"/>
    <n v="0"/>
    <n v="0.05"/>
    <n v="4.2500000000000003E-2"/>
  </r>
  <r>
    <x v="362"/>
    <x v="355"/>
    <m/>
    <x v="10"/>
    <s v="H19"/>
    <x v="2"/>
    <s v="H191-10"/>
    <m/>
    <s v="DIST"/>
    <m/>
    <m/>
    <n v="100"/>
    <x v="1"/>
    <m/>
    <m/>
    <n v="29"/>
    <n v="7.25"/>
    <n v="0.85"/>
    <n v="6.1624999999999996"/>
    <n v="2193"/>
    <x v="1"/>
    <s v="Sam"/>
    <x v="10"/>
    <n v="22339.8"/>
    <n v="20219.2"/>
    <n v="286564.37"/>
    <n v="5800"/>
    <n v="42050"/>
    <n v="328614.37"/>
    <n v="0"/>
    <n v="0"/>
    <n v="0"/>
    <n v="0"/>
    <n v="0"/>
    <n v="0"/>
    <n v="0.8"/>
    <n v="0"/>
    <n v="0"/>
    <n v="0"/>
    <n v="0"/>
    <n v="0.2"/>
    <s v="Enligt SP 190924"/>
    <m/>
    <n v="0"/>
    <n v="0"/>
    <n v="0"/>
    <n v="0"/>
    <n v="0"/>
    <n v="0"/>
    <n v="0"/>
    <n v="0"/>
    <n v="0"/>
    <n v="0"/>
    <n v="0"/>
    <n v="0"/>
    <n v="5.8000000000000007"/>
    <n v="4.93"/>
    <n v="0"/>
    <n v="0"/>
    <n v="0"/>
    <n v="0"/>
    <n v="0"/>
    <n v="0"/>
    <n v="0"/>
    <n v="1.4500000000000002"/>
    <n v="1.2324999999999999"/>
  </r>
  <r>
    <x v="362"/>
    <x v="355"/>
    <m/>
    <x v="10"/>
    <s v="H19"/>
    <x v="2"/>
    <s v="H191-10"/>
    <m/>
    <s v="REGU"/>
    <m/>
    <m/>
    <n v="100"/>
    <x v="1"/>
    <m/>
    <m/>
    <n v="32"/>
    <n v="8"/>
    <n v="0.85"/>
    <n v="6.8"/>
    <n v="2193"/>
    <x v="1"/>
    <s v="Sam"/>
    <x v="10"/>
    <n v="22339.8"/>
    <n v="20219.2"/>
    <n v="316208.95999999996"/>
    <n v="5800"/>
    <n v="46400"/>
    <n v="362608.95999999996"/>
    <n v="0"/>
    <n v="0"/>
    <n v="0"/>
    <n v="0"/>
    <n v="0"/>
    <n v="0"/>
    <n v="0.8"/>
    <n v="0"/>
    <n v="0"/>
    <n v="0"/>
    <n v="0"/>
    <n v="0.2"/>
    <s v="Enligt SP 190924"/>
    <m/>
    <n v="0"/>
    <n v="0"/>
    <n v="0"/>
    <n v="0"/>
    <n v="0"/>
    <n v="0"/>
    <n v="0"/>
    <n v="0"/>
    <n v="0"/>
    <n v="0"/>
    <n v="0"/>
    <n v="0"/>
    <n v="6.4"/>
    <n v="5.44"/>
    <n v="0"/>
    <n v="0"/>
    <n v="0"/>
    <n v="0"/>
    <n v="0"/>
    <n v="0"/>
    <n v="0"/>
    <n v="1.6"/>
    <n v="1.36"/>
  </r>
  <r>
    <x v="363"/>
    <x v="356"/>
    <m/>
    <x v="10"/>
    <s v="H18"/>
    <x v="2"/>
    <s v="H1916-20"/>
    <m/>
    <s v="REGU"/>
    <m/>
    <m/>
    <n v="100"/>
    <x v="0"/>
    <m/>
    <m/>
    <n v="1"/>
    <n v="0.125"/>
    <n v="0.85"/>
    <n v="0.10625"/>
    <n v="2193"/>
    <x v="1"/>
    <s v="Sam"/>
    <x v="10"/>
    <n v="18405"/>
    <n v="15773"/>
    <n v="3976.5062499999999"/>
    <n v="5800"/>
    <n v="725"/>
    <n v="4701.5062500000004"/>
    <n v="0"/>
    <n v="0"/>
    <n v="0"/>
    <n v="0"/>
    <n v="0"/>
    <n v="0"/>
    <n v="1"/>
    <n v="0"/>
    <n v="0"/>
    <n v="0"/>
    <n v="0"/>
    <n v="0"/>
    <s v="Enligt SP 190924"/>
    <m/>
    <n v="0"/>
    <n v="0"/>
    <n v="0"/>
    <n v="0"/>
    <n v="0"/>
    <n v="0"/>
    <n v="0"/>
    <n v="0"/>
    <n v="0"/>
    <n v="0"/>
    <n v="0"/>
    <n v="0"/>
    <n v="0.125"/>
    <n v="0.10625"/>
    <n v="0"/>
    <n v="0"/>
    <n v="0"/>
    <n v="0"/>
    <n v="0"/>
    <n v="0"/>
    <n v="0"/>
    <n v="0"/>
    <n v="0"/>
  </r>
  <r>
    <x v="363"/>
    <x v="356"/>
    <m/>
    <x v="10"/>
    <s v="H19"/>
    <x v="2"/>
    <s v="H1916-20"/>
    <m/>
    <s v="DIST"/>
    <m/>
    <m/>
    <n v="100"/>
    <x v="0"/>
    <n v="-0.08"/>
    <n v="29"/>
    <n v="26.68"/>
    <n v="3.335"/>
    <n v="0.85"/>
    <n v="2.8347500000000001"/>
    <n v="2193"/>
    <x v="1"/>
    <s v="Sam"/>
    <x v="10"/>
    <n v="18405"/>
    <n v="15773"/>
    <n v="106093.18675000001"/>
    <n v="5800"/>
    <n v="19343"/>
    <n v="125436.18675000001"/>
    <n v="0"/>
    <n v="0"/>
    <n v="0"/>
    <n v="0"/>
    <n v="0"/>
    <n v="0"/>
    <n v="1"/>
    <n v="0"/>
    <n v="0"/>
    <n v="0"/>
    <n v="0"/>
    <n v="0"/>
    <s v="Prognostal"/>
    <m/>
    <n v="0"/>
    <n v="0"/>
    <n v="0"/>
    <n v="0"/>
    <n v="0"/>
    <n v="0"/>
    <n v="0"/>
    <n v="0"/>
    <n v="0"/>
    <n v="0"/>
    <n v="0"/>
    <n v="0"/>
    <n v="3.335"/>
    <n v="2.8347500000000001"/>
    <n v="0"/>
    <n v="0"/>
    <n v="0"/>
    <n v="0"/>
    <n v="0"/>
    <n v="0"/>
    <n v="0"/>
    <n v="0"/>
    <n v="0"/>
  </r>
  <r>
    <x v="363"/>
    <x v="356"/>
    <m/>
    <x v="10"/>
    <s v="H19"/>
    <x v="2"/>
    <s v="H1916-20"/>
    <m/>
    <s v="REGU"/>
    <m/>
    <m/>
    <n v="100"/>
    <x v="0"/>
    <n v="-0.08"/>
    <n v="32"/>
    <n v="29.44"/>
    <n v="3.68"/>
    <n v="0.85"/>
    <n v="3.1280000000000001"/>
    <n v="2193"/>
    <x v="1"/>
    <s v="Sam"/>
    <x v="10"/>
    <n v="18405"/>
    <n v="15773"/>
    <n v="117068.34400000001"/>
    <n v="5800"/>
    <n v="21344"/>
    <n v="138412.34400000001"/>
    <n v="0"/>
    <n v="0"/>
    <n v="0"/>
    <n v="0"/>
    <n v="0"/>
    <n v="0"/>
    <n v="1"/>
    <n v="0"/>
    <n v="0"/>
    <n v="0"/>
    <n v="0"/>
    <n v="0"/>
    <s v="Prognostal"/>
    <m/>
    <n v="0"/>
    <n v="0"/>
    <n v="0"/>
    <n v="0"/>
    <n v="0"/>
    <n v="0"/>
    <n v="0"/>
    <n v="0"/>
    <n v="0"/>
    <n v="0"/>
    <n v="0"/>
    <n v="0"/>
    <n v="3.68"/>
    <n v="3.1280000000000001"/>
    <n v="0"/>
    <n v="0"/>
    <n v="0"/>
    <n v="0"/>
    <n v="0"/>
    <n v="0"/>
    <n v="0"/>
    <n v="0"/>
    <n v="0"/>
  </r>
  <r>
    <x v="364"/>
    <x v="357"/>
    <m/>
    <x v="10"/>
    <s v="H18"/>
    <x v="2"/>
    <s v="H191-7"/>
    <m/>
    <s v="DIST"/>
    <m/>
    <m/>
    <n v="100"/>
    <x v="10"/>
    <m/>
    <m/>
    <n v="19"/>
    <n v="3.1666666666666665"/>
    <n v="0.85"/>
    <n v="2.6916666666666664"/>
    <n v="2193"/>
    <x v="1"/>
    <s v="Sam"/>
    <x v="10"/>
    <n v="18405"/>
    <n v="15773"/>
    <n v="100738.15833333333"/>
    <n v="5800"/>
    <n v="18366.666666666664"/>
    <n v="119104.82499999998"/>
    <n v="0"/>
    <n v="0"/>
    <n v="0"/>
    <n v="0"/>
    <n v="0"/>
    <n v="0"/>
    <n v="1"/>
    <n v="0"/>
    <n v="0"/>
    <n v="0"/>
    <n v="0"/>
    <n v="0"/>
    <s v="Enligt SP 190924"/>
    <m/>
    <n v="0"/>
    <n v="0"/>
    <n v="0"/>
    <n v="0"/>
    <n v="0"/>
    <n v="0"/>
    <n v="0"/>
    <n v="0"/>
    <n v="0"/>
    <n v="0"/>
    <n v="0"/>
    <n v="0"/>
    <n v="3.1666666666666665"/>
    <n v="2.6916666666666664"/>
    <n v="0"/>
    <n v="0"/>
    <n v="0"/>
    <n v="0"/>
    <n v="0"/>
    <n v="0"/>
    <n v="0"/>
    <n v="0"/>
    <n v="0"/>
  </r>
  <r>
    <x v="364"/>
    <x v="357"/>
    <m/>
    <x v="10"/>
    <s v="H18"/>
    <x v="2"/>
    <s v="H191-7"/>
    <m/>
    <s v="REGU"/>
    <m/>
    <m/>
    <n v="100"/>
    <x v="10"/>
    <m/>
    <m/>
    <n v="24"/>
    <n v="4"/>
    <n v="0.85"/>
    <n v="3.4"/>
    <n v="2193"/>
    <x v="1"/>
    <s v="Sam"/>
    <x v="10"/>
    <n v="18405"/>
    <n v="15773"/>
    <n v="127248.2"/>
    <n v="5800"/>
    <n v="23200"/>
    <n v="150448.20000000001"/>
    <n v="0"/>
    <n v="0"/>
    <n v="0"/>
    <n v="0"/>
    <n v="0"/>
    <n v="0"/>
    <n v="1"/>
    <n v="0"/>
    <n v="0"/>
    <n v="0"/>
    <n v="0"/>
    <n v="0"/>
    <s v="Enligt SP 190924"/>
    <m/>
    <n v="0"/>
    <n v="0"/>
    <n v="0"/>
    <n v="0"/>
    <n v="0"/>
    <n v="0"/>
    <n v="0"/>
    <n v="0"/>
    <n v="0"/>
    <n v="0"/>
    <n v="0"/>
    <n v="0"/>
    <n v="4"/>
    <n v="3.4"/>
    <n v="0"/>
    <n v="0"/>
    <n v="0"/>
    <n v="0"/>
    <n v="0"/>
    <n v="0"/>
    <n v="0"/>
    <n v="0"/>
    <n v="0"/>
  </r>
  <r>
    <x v="365"/>
    <x v="358"/>
    <m/>
    <x v="10"/>
    <s v="H15"/>
    <x v="1"/>
    <s v="V191-10"/>
    <s v="Umeå"/>
    <s v="DIST"/>
    <s v="DIOB"/>
    <m/>
    <n v="100"/>
    <x v="1"/>
    <m/>
    <m/>
    <n v="1"/>
    <n v="0.25"/>
    <n v="0.85"/>
    <n v="0.21249999999999999"/>
    <n v="2193"/>
    <x v="1"/>
    <s v="Sam"/>
    <x v="10"/>
    <n v="24307.199999999997"/>
    <n v="22442.299999999996"/>
    <n v="10845.788749999998"/>
    <n v="5800"/>
    <n v="1450"/>
    <n v="12295.788749999998"/>
    <n v="0"/>
    <n v="0"/>
    <n v="0"/>
    <n v="0"/>
    <n v="0"/>
    <n v="0"/>
    <n v="0.7"/>
    <n v="0"/>
    <n v="0"/>
    <n v="0"/>
    <n v="0"/>
    <n v="0.3"/>
    <s v="Enl Ladok 190318"/>
    <m/>
    <n v="0"/>
    <n v="0"/>
    <n v="0"/>
    <n v="0"/>
    <n v="0"/>
    <n v="0"/>
    <n v="0"/>
    <n v="0"/>
    <n v="0"/>
    <n v="0"/>
    <n v="0"/>
    <n v="0"/>
    <n v="0.17499999999999999"/>
    <n v="0.14874999999999999"/>
    <n v="0"/>
    <n v="0"/>
    <n v="0"/>
    <n v="0"/>
    <n v="0"/>
    <n v="0"/>
    <n v="0"/>
    <n v="7.4999999999999997E-2"/>
    <n v="6.3750000000000001E-2"/>
  </r>
  <r>
    <x v="365"/>
    <x v="358"/>
    <m/>
    <x v="10"/>
    <s v="H15"/>
    <x v="1"/>
    <s v="V191-10"/>
    <s v="Umeå"/>
    <s v="DIST"/>
    <m/>
    <m/>
    <n v="100"/>
    <x v="1"/>
    <m/>
    <m/>
    <n v="1"/>
    <n v="0.25"/>
    <n v="0.85"/>
    <n v="0.21249999999999999"/>
    <n v="2193"/>
    <x v="1"/>
    <s v="Sam"/>
    <x v="10"/>
    <n v="24307.199999999997"/>
    <n v="22442.299999999996"/>
    <n v="10845.788749999998"/>
    <n v="5800"/>
    <n v="1450"/>
    <n v="12295.788749999998"/>
    <n v="0"/>
    <n v="0"/>
    <n v="0"/>
    <n v="0"/>
    <n v="0"/>
    <n v="0"/>
    <n v="0.7"/>
    <n v="0"/>
    <n v="0"/>
    <n v="0"/>
    <n v="0"/>
    <n v="0.3"/>
    <s v="Enl Ladok 190318"/>
    <m/>
    <n v="0"/>
    <n v="0"/>
    <n v="0"/>
    <n v="0"/>
    <n v="0"/>
    <n v="0"/>
    <n v="0"/>
    <n v="0"/>
    <n v="0"/>
    <n v="0"/>
    <n v="0"/>
    <n v="0"/>
    <n v="0.17499999999999999"/>
    <n v="0.14874999999999999"/>
    <n v="0"/>
    <n v="0"/>
    <n v="0"/>
    <n v="0"/>
    <n v="0"/>
    <n v="0"/>
    <n v="0"/>
    <n v="7.4999999999999997E-2"/>
    <n v="6.3750000000000001E-2"/>
  </r>
  <r>
    <x v="365"/>
    <x v="358"/>
    <m/>
    <x v="10"/>
    <s v="H15"/>
    <x v="1"/>
    <s v="V191-10"/>
    <s v="Umeå"/>
    <s v="DIST"/>
    <m/>
    <m/>
    <n v="100"/>
    <x v="1"/>
    <m/>
    <m/>
    <n v="1"/>
    <n v="0.25"/>
    <n v="0.85"/>
    <n v="0.21249999999999999"/>
    <n v="2193"/>
    <x v="1"/>
    <s v="Sam"/>
    <x v="10"/>
    <n v="24307.199999999997"/>
    <n v="22442.299999999996"/>
    <n v="10845.788749999998"/>
    <n v="5800"/>
    <n v="1450"/>
    <n v="12295.788749999998"/>
    <n v="0"/>
    <n v="0"/>
    <n v="0"/>
    <n v="0"/>
    <n v="0"/>
    <n v="0"/>
    <n v="0.7"/>
    <n v="0"/>
    <n v="0"/>
    <n v="0"/>
    <n v="0"/>
    <n v="0.3"/>
    <s v="Enl Ladok 190318"/>
    <m/>
    <n v="0"/>
    <n v="0"/>
    <n v="0"/>
    <n v="0"/>
    <n v="0"/>
    <n v="0"/>
    <n v="0"/>
    <n v="0"/>
    <n v="0"/>
    <n v="0"/>
    <n v="0"/>
    <n v="0"/>
    <n v="0.17499999999999999"/>
    <n v="0.14874999999999999"/>
    <n v="0"/>
    <n v="0"/>
    <n v="0"/>
    <n v="0"/>
    <n v="0"/>
    <n v="0"/>
    <n v="0"/>
    <n v="7.4999999999999997E-2"/>
    <n v="6.3750000000000001E-2"/>
  </r>
  <r>
    <x v="365"/>
    <x v="358"/>
    <m/>
    <x v="10"/>
    <s v="H15"/>
    <x v="1"/>
    <s v="V191-10"/>
    <s v="Umeå"/>
    <s v="REGU"/>
    <m/>
    <m/>
    <n v="100"/>
    <x v="1"/>
    <m/>
    <m/>
    <n v="0"/>
    <n v="0"/>
    <n v="0.85"/>
    <n v="0"/>
    <n v="2193"/>
    <x v="1"/>
    <s v="Sam"/>
    <x v="10"/>
    <n v="24307.199999999997"/>
    <n v="22442.299999999996"/>
    <n v="0"/>
    <n v="5800"/>
    <n v="0"/>
    <n v="0"/>
    <n v="0"/>
    <n v="0"/>
    <n v="0"/>
    <n v="0"/>
    <n v="0"/>
    <n v="0"/>
    <n v="0.7"/>
    <n v="0"/>
    <n v="0"/>
    <n v="0"/>
    <n v="0"/>
    <n v="0.3"/>
    <s v="Enl Ladok 190318"/>
    <m/>
    <n v="0"/>
    <n v="0"/>
    <n v="0"/>
    <n v="0"/>
    <n v="0"/>
    <n v="0"/>
    <n v="0"/>
    <n v="0"/>
    <n v="0"/>
    <n v="0"/>
    <n v="0"/>
    <n v="0"/>
    <n v="0"/>
    <n v="0"/>
    <n v="0"/>
    <n v="0"/>
    <n v="0"/>
    <n v="0"/>
    <n v="0"/>
    <n v="0"/>
    <n v="0"/>
    <n v="0"/>
    <n v="0"/>
  </r>
  <r>
    <x v="365"/>
    <x v="358"/>
    <m/>
    <x v="10"/>
    <s v="H16"/>
    <x v="1"/>
    <s v="V191-10"/>
    <s v="Umeå"/>
    <s v="DIST"/>
    <s v="DIOB"/>
    <m/>
    <n v="100"/>
    <x v="1"/>
    <m/>
    <m/>
    <n v="21"/>
    <n v="5.25"/>
    <n v="0.85"/>
    <n v="4.4624999999999995"/>
    <n v="2193"/>
    <x v="1"/>
    <s v="Sam"/>
    <x v="10"/>
    <n v="24307.199999999997"/>
    <n v="22442.299999999996"/>
    <n v="227761.56374999997"/>
    <n v="5800"/>
    <n v="30450"/>
    <n v="258211.56374999997"/>
    <n v="0"/>
    <n v="0"/>
    <n v="0"/>
    <n v="0"/>
    <n v="0"/>
    <n v="0"/>
    <n v="0.7"/>
    <n v="0"/>
    <n v="0"/>
    <n v="0"/>
    <n v="0"/>
    <n v="0.3"/>
    <s v="Enl Ladok 190318"/>
    <m/>
    <n v="0"/>
    <n v="0"/>
    <n v="0"/>
    <n v="0"/>
    <n v="0"/>
    <n v="0"/>
    <n v="0"/>
    <n v="0"/>
    <n v="0"/>
    <n v="0"/>
    <n v="0"/>
    <n v="0"/>
    <n v="3.6749999999999998"/>
    <n v="3.1237499999999994"/>
    <n v="0"/>
    <n v="0"/>
    <n v="0"/>
    <n v="0"/>
    <n v="0"/>
    <n v="0"/>
    <n v="0"/>
    <n v="1.575"/>
    <n v="1.3387499999999999"/>
  </r>
  <r>
    <x v="365"/>
    <x v="358"/>
    <m/>
    <x v="10"/>
    <s v="H16"/>
    <x v="1"/>
    <s v="V191-10"/>
    <s v="Umeå"/>
    <s v="DIST"/>
    <m/>
    <m/>
    <n v="100"/>
    <x v="1"/>
    <m/>
    <m/>
    <n v="19"/>
    <n v="4.75"/>
    <n v="0.85"/>
    <n v="4.0374999999999996"/>
    <n v="2193"/>
    <x v="1"/>
    <s v="Sam"/>
    <x v="10"/>
    <n v="24307.199999999997"/>
    <n v="22442.299999999996"/>
    <n v="206069.98624999996"/>
    <n v="5800"/>
    <n v="27550"/>
    <n v="233619.98624999996"/>
    <n v="0"/>
    <n v="0"/>
    <n v="0"/>
    <n v="0"/>
    <n v="0"/>
    <n v="0"/>
    <n v="0.7"/>
    <n v="0"/>
    <n v="0"/>
    <n v="0"/>
    <n v="0"/>
    <n v="0.3"/>
    <s v="Enl Ladok 190318"/>
    <m/>
    <n v="0"/>
    <n v="0"/>
    <n v="0"/>
    <n v="0"/>
    <n v="0"/>
    <n v="0"/>
    <n v="0"/>
    <n v="0"/>
    <n v="0"/>
    <n v="0"/>
    <n v="0"/>
    <n v="0"/>
    <n v="3.3249999999999997"/>
    <n v="2.8262499999999995"/>
    <n v="0"/>
    <n v="0"/>
    <n v="0"/>
    <n v="0"/>
    <n v="0"/>
    <n v="0"/>
    <n v="0"/>
    <n v="1.425"/>
    <n v="1.2112499999999999"/>
  </r>
  <r>
    <x v="365"/>
    <x v="358"/>
    <m/>
    <x v="10"/>
    <s v="H16"/>
    <x v="1"/>
    <s v="V191-10"/>
    <s v="Umeå"/>
    <s v="DIST"/>
    <m/>
    <m/>
    <n v="100"/>
    <x v="1"/>
    <m/>
    <m/>
    <n v="1"/>
    <n v="0.25"/>
    <n v="0.85"/>
    <n v="0.21249999999999999"/>
    <n v="2193"/>
    <x v="1"/>
    <s v="Sam"/>
    <x v="10"/>
    <n v="24307.199999999997"/>
    <n v="22442.299999999996"/>
    <n v="10845.788749999998"/>
    <n v="5800"/>
    <n v="1450"/>
    <n v="12295.788749999998"/>
    <n v="0"/>
    <n v="0"/>
    <n v="0"/>
    <n v="0"/>
    <n v="0"/>
    <n v="0"/>
    <n v="0.7"/>
    <n v="0"/>
    <n v="0"/>
    <n v="0"/>
    <n v="0"/>
    <n v="0.3"/>
    <s v="Enl Ladok 190318"/>
    <m/>
    <n v="0"/>
    <n v="0"/>
    <n v="0"/>
    <n v="0"/>
    <n v="0"/>
    <n v="0"/>
    <n v="0"/>
    <n v="0"/>
    <n v="0"/>
    <n v="0"/>
    <n v="0"/>
    <n v="0"/>
    <n v="0.17499999999999999"/>
    <n v="0.14874999999999999"/>
    <n v="0"/>
    <n v="0"/>
    <n v="0"/>
    <n v="0"/>
    <n v="0"/>
    <n v="0"/>
    <n v="0"/>
    <n v="7.4999999999999997E-2"/>
    <n v="6.3750000000000001E-2"/>
  </r>
  <r>
    <x v="365"/>
    <x v="358"/>
    <m/>
    <x v="10"/>
    <s v="H16"/>
    <x v="1"/>
    <s v="V191-10"/>
    <s v="Umeå"/>
    <s v="REGU"/>
    <m/>
    <m/>
    <n v="100"/>
    <x v="1"/>
    <m/>
    <m/>
    <n v="1"/>
    <n v="0.25"/>
    <n v="0.85"/>
    <n v="0.21249999999999999"/>
    <n v="2193"/>
    <x v="1"/>
    <s v="Sam"/>
    <x v="10"/>
    <n v="24307.199999999997"/>
    <n v="22442.299999999996"/>
    <n v="10845.788749999998"/>
    <n v="5800"/>
    <n v="1450"/>
    <n v="12295.788749999998"/>
    <n v="0"/>
    <n v="0"/>
    <n v="0"/>
    <n v="0"/>
    <n v="0"/>
    <n v="0"/>
    <n v="0.7"/>
    <n v="0"/>
    <n v="0"/>
    <n v="0"/>
    <n v="0"/>
    <n v="0.3"/>
    <s v="Enl Ladok 190318"/>
    <m/>
    <n v="0"/>
    <n v="0"/>
    <n v="0"/>
    <n v="0"/>
    <n v="0"/>
    <n v="0"/>
    <n v="0"/>
    <n v="0"/>
    <n v="0"/>
    <n v="0"/>
    <n v="0"/>
    <n v="0"/>
    <n v="0.17499999999999999"/>
    <n v="0.14874999999999999"/>
    <n v="0"/>
    <n v="0"/>
    <n v="0"/>
    <n v="0"/>
    <n v="0"/>
    <n v="0"/>
    <n v="0"/>
    <n v="7.4999999999999997E-2"/>
    <n v="6.3750000000000001E-2"/>
  </r>
  <r>
    <x v="365"/>
    <x v="358"/>
    <m/>
    <x v="10"/>
    <s v="H16"/>
    <x v="1"/>
    <s v="V191-10"/>
    <s v="Umeå"/>
    <s v="REGU"/>
    <m/>
    <m/>
    <n v="100"/>
    <x v="1"/>
    <m/>
    <m/>
    <n v="28"/>
    <n v="7"/>
    <n v="0.85"/>
    <n v="5.95"/>
    <n v="2193"/>
    <x v="1"/>
    <s v="Sam"/>
    <x v="10"/>
    <n v="24307.199999999997"/>
    <n v="22442.299999999996"/>
    <n v="303682.08499999996"/>
    <n v="5800"/>
    <n v="40600"/>
    <n v="344282.08499999996"/>
    <n v="0"/>
    <n v="0"/>
    <n v="0"/>
    <n v="0"/>
    <n v="0"/>
    <n v="0"/>
    <n v="0.7"/>
    <n v="0"/>
    <n v="0"/>
    <n v="0"/>
    <n v="0"/>
    <n v="0.3"/>
    <s v="Enl Ladok 190318"/>
    <m/>
    <n v="0"/>
    <n v="0"/>
    <n v="0"/>
    <n v="0"/>
    <n v="0"/>
    <n v="0"/>
    <n v="0"/>
    <n v="0"/>
    <n v="0"/>
    <n v="0"/>
    <n v="0"/>
    <n v="0"/>
    <n v="4.8999999999999995"/>
    <n v="4.165"/>
    <n v="0"/>
    <n v="0"/>
    <n v="0"/>
    <n v="0"/>
    <n v="0"/>
    <n v="0"/>
    <n v="0"/>
    <n v="2.1"/>
    <n v="1.7849999999999999"/>
  </r>
  <r>
    <x v="366"/>
    <x v="359"/>
    <m/>
    <x v="10"/>
    <s v="H16"/>
    <x v="1"/>
    <s v="V196-15"/>
    <s v="Umeå"/>
    <s v="DIST"/>
    <m/>
    <m/>
    <n v="100"/>
    <x v="1"/>
    <m/>
    <m/>
    <n v="2"/>
    <n v="0.5"/>
    <n v="0.85"/>
    <n v="0.42499999999999999"/>
    <n v="2193"/>
    <x v="1"/>
    <s v="Sam"/>
    <x v="10"/>
    <n v="18405"/>
    <n v="15773"/>
    <n v="15906.025"/>
    <n v="5800"/>
    <n v="2900"/>
    <n v="18806.025000000001"/>
    <n v="0"/>
    <n v="0"/>
    <n v="0"/>
    <n v="0"/>
    <n v="0"/>
    <n v="0"/>
    <n v="1"/>
    <n v="0"/>
    <n v="0"/>
    <n v="0"/>
    <n v="0"/>
    <n v="0"/>
    <s v="Enl Ladok 190318"/>
    <m/>
    <n v="0"/>
    <n v="0"/>
    <n v="0"/>
    <n v="0"/>
    <n v="0"/>
    <n v="0"/>
    <n v="0"/>
    <n v="0"/>
    <n v="0"/>
    <n v="0"/>
    <n v="0"/>
    <n v="0"/>
    <n v="0.5"/>
    <n v="0.42499999999999999"/>
    <n v="0"/>
    <n v="0"/>
    <n v="0"/>
    <n v="0"/>
    <n v="0"/>
    <n v="0"/>
    <n v="0"/>
    <n v="0"/>
    <n v="0"/>
  </r>
  <r>
    <x v="366"/>
    <x v="359"/>
    <m/>
    <x v="10"/>
    <s v="H16"/>
    <x v="1"/>
    <s v="V196-15"/>
    <s v="Umeå"/>
    <s v="REGU"/>
    <m/>
    <m/>
    <n v="100"/>
    <x v="1"/>
    <m/>
    <m/>
    <n v="1"/>
    <n v="0.25"/>
    <n v="0.85"/>
    <n v="0.21249999999999999"/>
    <n v="2193"/>
    <x v="1"/>
    <s v="Sam"/>
    <x v="10"/>
    <n v="18405"/>
    <n v="15773"/>
    <n v="7953.0124999999998"/>
    <n v="5800"/>
    <n v="1450"/>
    <n v="9403.0125000000007"/>
    <n v="0"/>
    <n v="0"/>
    <n v="0"/>
    <n v="0"/>
    <n v="0"/>
    <n v="0"/>
    <n v="1"/>
    <n v="0"/>
    <n v="0"/>
    <n v="0"/>
    <n v="0"/>
    <n v="0"/>
    <s v="Enl Ladok 190318"/>
    <m/>
    <n v="0"/>
    <n v="0"/>
    <n v="0"/>
    <n v="0"/>
    <n v="0"/>
    <n v="0"/>
    <n v="0"/>
    <n v="0"/>
    <n v="0"/>
    <n v="0"/>
    <n v="0"/>
    <n v="0"/>
    <n v="0.25"/>
    <n v="0.21249999999999999"/>
    <n v="0"/>
    <n v="0"/>
    <n v="0"/>
    <n v="0"/>
    <n v="0"/>
    <n v="0"/>
    <n v="0"/>
    <n v="0"/>
    <n v="0"/>
  </r>
  <r>
    <x v="366"/>
    <x v="359"/>
    <m/>
    <x v="10"/>
    <s v="H16"/>
    <x v="1"/>
    <s v="V196-15"/>
    <s v="Umeå"/>
    <s v="REGU"/>
    <m/>
    <m/>
    <n v="100"/>
    <x v="1"/>
    <m/>
    <m/>
    <n v="0"/>
    <n v="0"/>
    <n v="0.85"/>
    <n v="0"/>
    <n v="2193"/>
    <x v="1"/>
    <s v="Sam"/>
    <x v="10"/>
    <n v="18405"/>
    <n v="15773"/>
    <n v="0"/>
    <n v="5800"/>
    <n v="0"/>
    <n v="0"/>
    <n v="0"/>
    <n v="0"/>
    <n v="0"/>
    <n v="0"/>
    <n v="0"/>
    <n v="0"/>
    <n v="1"/>
    <n v="0"/>
    <n v="0"/>
    <n v="0"/>
    <n v="0"/>
    <n v="0"/>
    <s v="Enl Ladok 190318"/>
    <m/>
    <n v="0"/>
    <n v="0"/>
    <n v="0"/>
    <n v="0"/>
    <n v="0"/>
    <n v="0"/>
    <n v="0"/>
    <n v="0"/>
    <n v="0"/>
    <n v="0"/>
    <n v="0"/>
    <n v="0"/>
    <n v="0"/>
    <n v="0"/>
    <n v="0"/>
    <n v="0"/>
    <n v="0"/>
    <n v="0"/>
    <n v="0"/>
    <n v="0"/>
    <n v="0"/>
    <n v="0"/>
    <n v="0"/>
  </r>
  <r>
    <x v="366"/>
    <x v="359"/>
    <m/>
    <x v="10"/>
    <s v="H17"/>
    <x v="1"/>
    <s v="V196-15"/>
    <s v="Umeå"/>
    <s v="DIST"/>
    <m/>
    <m/>
    <n v="100"/>
    <x v="1"/>
    <m/>
    <m/>
    <n v="0"/>
    <n v="0"/>
    <n v="0.85"/>
    <n v="0"/>
    <n v="2193"/>
    <x v="1"/>
    <s v="Sam"/>
    <x v="10"/>
    <n v="18405"/>
    <n v="15773"/>
    <n v="0"/>
    <n v="5800"/>
    <n v="0"/>
    <n v="0"/>
    <n v="0"/>
    <n v="0"/>
    <n v="0"/>
    <n v="0"/>
    <n v="0"/>
    <n v="0"/>
    <n v="1"/>
    <n v="0"/>
    <n v="0"/>
    <n v="0"/>
    <n v="0"/>
    <n v="0"/>
    <s v="Enl Ladok 190318"/>
    <m/>
    <n v="0"/>
    <n v="0"/>
    <n v="0"/>
    <n v="0"/>
    <n v="0"/>
    <n v="0"/>
    <n v="0"/>
    <n v="0"/>
    <n v="0"/>
    <n v="0"/>
    <n v="0"/>
    <n v="0"/>
    <n v="0"/>
    <n v="0"/>
    <n v="0"/>
    <n v="0"/>
    <n v="0"/>
    <n v="0"/>
    <n v="0"/>
    <n v="0"/>
    <n v="0"/>
    <n v="0"/>
    <n v="0"/>
  </r>
  <r>
    <x v="366"/>
    <x v="359"/>
    <m/>
    <x v="10"/>
    <s v="H17"/>
    <x v="1"/>
    <s v="V196-15"/>
    <s v="Umeå"/>
    <s v="DIST"/>
    <m/>
    <m/>
    <n v="100"/>
    <x v="1"/>
    <m/>
    <m/>
    <n v="9"/>
    <n v="2.25"/>
    <n v="0.85"/>
    <n v="1.9124999999999999"/>
    <n v="2193"/>
    <x v="1"/>
    <s v="Sam"/>
    <x v="10"/>
    <n v="18405"/>
    <n v="15773"/>
    <n v="71577.112500000003"/>
    <n v="5800"/>
    <n v="13050"/>
    <n v="84627.112500000003"/>
    <n v="0"/>
    <n v="0"/>
    <n v="0"/>
    <n v="0"/>
    <n v="0"/>
    <n v="0"/>
    <n v="1"/>
    <n v="0"/>
    <n v="0"/>
    <n v="0"/>
    <n v="0"/>
    <n v="0"/>
    <s v="Enl Ladok 190318"/>
    <m/>
    <n v="0"/>
    <n v="0"/>
    <n v="0"/>
    <n v="0"/>
    <n v="0"/>
    <n v="0"/>
    <n v="0"/>
    <n v="0"/>
    <n v="0"/>
    <n v="0"/>
    <n v="0"/>
    <n v="0"/>
    <n v="2.25"/>
    <n v="1.9124999999999999"/>
    <n v="0"/>
    <n v="0"/>
    <n v="0"/>
    <n v="0"/>
    <n v="0"/>
    <n v="0"/>
    <n v="0"/>
    <n v="0"/>
    <n v="0"/>
  </r>
  <r>
    <x v="366"/>
    <x v="359"/>
    <m/>
    <x v="10"/>
    <s v="H17"/>
    <x v="1"/>
    <s v="V196-15"/>
    <s v="Umeå"/>
    <s v="REGU"/>
    <m/>
    <m/>
    <n v="100"/>
    <x v="1"/>
    <m/>
    <m/>
    <n v="1"/>
    <n v="0.25"/>
    <n v="0.85"/>
    <n v="0.21249999999999999"/>
    <n v="2193"/>
    <x v="1"/>
    <s v="Sam"/>
    <x v="10"/>
    <n v="18405"/>
    <n v="15773"/>
    <n v="7953.0124999999998"/>
    <n v="5800"/>
    <n v="1450"/>
    <n v="9403.0125000000007"/>
    <n v="0"/>
    <n v="0"/>
    <n v="0"/>
    <n v="0"/>
    <n v="0"/>
    <n v="0"/>
    <n v="1"/>
    <n v="0"/>
    <n v="0"/>
    <n v="0"/>
    <n v="0"/>
    <n v="0"/>
    <s v="Enl Ladok 190318"/>
    <m/>
    <n v="0"/>
    <n v="0"/>
    <n v="0"/>
    <n v="0"/>
    <n v="0"/>
    <n v="0"/>
    <n v="0"/>
    <n v="0"/>
    <n v="0"/>
    <n v="0"/>
    <n v="0"/>
    <n v="0"/>
    <n v="0.25"/>
    <n v="0.21249999999999999"/>
    <n v="0"/>
    <n v="0"/>
    <n v="0"/>
    <n v="0"/>
    <n v="0"/>
    <n v="0"/>
    <n v="0"/>
    <n v="0"/>
    <n v="0"/>
  </r>
  <r>
    <x v="366"/>
    <x v="359"/>
    <m/>
    <x v="10"/>
    <s v="H17"/>
    <x v="1"/>
    <s v="V196-15"/>
    <s v="Umeå"/>
    <s v="REGU"/>
    <m/>
    <m/>
    <n v="100"/>
    <x v="1"/>
    <m/>
    <m/>
    <n v="1"/>
    <n v="0.25"/>
    <n v="0.85"/>
    <n v="0.21249999999999999"/>
    <n v="2193"/>
    <x v="1"/>
    <s v="Sam"/>
    <x v="10"/>
    <n v="18405"/>
    <n v="15773"/>
    <n v="7953.0124999999998"/>
    <n v="5800"/>
    <n v="1450"/>
    <n v="9403.0125000000007"/>
    <n v="0"/>
    <n v="0"/>
    <n v="0"/>
    <n v="0"/>
    <n v="0"/>
    <n v="0"/>
    <n v="1"/>
    <n v="0"/>
    <n v="0"/>
    <n v="0"/>
    <n v="0"/>
    <n v="0"/>
    <s v="Enl Ladok 190318"/>
    <m/>
    <n v="0"/>
    <n v="0"/>
    <n v="0"/>
    <n v="0"/>
    <n v="0"/>
    <n v="0"/>
    <n v="0"/>
    <n v="0"/>
    <n v="0"/>
    <n v="0"/>
    <n v="0"/>
    <n v="0"/>
    <n v="0.25"/>
    <n v="0.21249999999999999"/>
    <n v="0"/>
    <n v="0"/>
    <n v="0"/>
    <n v="0"/>
    <n v="0"/>
    <n v="0"/>
    <n v="0"/>
    <n v="0"/>
    <n v="0"/>
  </r>
  <r>
    <x v="366"/>
    <x v="359"/>
    <m/>
    <x v="10"/>
    <s v="H17"/>
    <x v="1"/>
    <s v="V196-15"/>
    <s v="Umeå"/>
    <s v="REGU"/>
    <m/>
    <m/>
    <n v="100"/>
    <x v="1"/>
    <m/>
    <m/>
    <n v="19"/>
    <n v="4.75"/>
    <n v="0.85"/>
    <n v="4.0374999999999996"/>
    <n v="2193"/>
    <x v="1"/>
    <s v="Sam"/>
    <x v="10"/>
    <n v="18405"/>
    <n v="15773"/>
    <n v="151107.23749999999"/>
    <n v="5800"/>
    <n v="27550"/>
    <n v="178657.23749999999"/>
    <n v="0"/>
    <n v="0"/>
    <n v="0"/>
    <n v="0"/>
    <n v="0"/>
    <n v="0"/>
    <n v="1"/>
    <n v="0"/>
    <n v="0"/>
    <n v="0"/>
    <n v="0"/>
    <n v="0"/>
    <s v="Enl Ladok 190318"/>
    <m/>
    <n v="0"/>
    <n v="0"/>
    <n v="0"/>
    <n v="0"/>
    <n v="0"/>
    <n v="0"/>
    <n v="0"/>
    <n v="0"/>
    <n v="0"/>
    <n v="0"/>
    <n v="0"/>
    <n v="0"/>
    <n v="4.75"/>
    <n v="4.0374999999999996"/>
    <n v="0"/>
    <n v="0"/>
    <n v="0"/>
    <n v="0"/>
    <n v="0"/>
    <n v="0"/>
    <n v="0"/>
    <n v="0"/>
    <n v="0"/>
  </r>
  <r>
    <x v="367"/>
    <x v="360"/>
    <m/>
    <x v="10"/>
    <s v="H16"/>
    <x v="2"/>
    <s v="H191-10"/>
    <m/>
    <s v="REGU"/>
    <m/>
    <m/>
    <n v="100"/>
    <x v="10"/>
    <m/>
    <m/>
    <n v="2"/>
    <n v="0.33333333333333331"/>
    <n v="0.85"/>
    <n v="0.28333333333333333"/>
    <n v="2193"/>
    <x v="1"/>
    <s v="Sam"/>
    <x v="10"/>
    <n v="22339.8"/>
    <n v="20219.2"/>
    <n v="13175.373333333333"/>
    <n v="5800"/>
    <n v="1933.3333333333333"/>
    <n v="15108.706666666667"/>
    <n v="0"/>
    <n v="0"/>
    <n v="0"/>
    <n v="0"/>
    <n v="0"/>
    <n v="0"/>
    <n v="0.8"/>
    <n v="0"/>
    <n v="0"/>
    <n v="0"/>
    <n v="0"/>
    <n v="0.2"/>
    <s v="Enligt SP 190924"/>
    <m/>
    <n v="0"/>
    <n v="0"/>
    <n v="0"/>
    <n v="0"/>
    <n v="0"/>
    <n v="0"/>
    <n v="0"/>
    <n v="0"/>
    <n v="0"/>
    <n v="0"/>
    <n v="0"/>
    <n v="0"/>
    <n v="0.26666666666666666"/>
    <n v="0.22666666666666668"/>
    <n v="0"/>
    <n v="0"/>
    <n v="0"/>
    <n v="0"/>
    <n v="0"/>
    <n v="0"/>
    <n v="0"/>
    <n v="6.6666666666666666E-2"/>
    <n v="5.6666666666666671E-2"/>
  </r>
  <r>
    <x v="367"/>
    <x v="360"/>
    <m/>
    <x v="10"/>
    <s v="H17"/>
    <x v="2"/>
    <s v="H191-10"/>
    <m/>
    <s v="DIST"/>
    <m/>
    <m/>
    <n v="100"/>
    <x v="10"/>
    <m/>
    <m/>
    <n v="12"/>
    <n v="2"/>
    <n v="0.85"/>
    <n v="1.7"/>
    <n v="2193"/>
    <x v="1"/>
    <s v="Sam"/>
    <x v="10"/>
    <n v="22339.8"/>
    <n v="20219.2"/>
    <n v="79052.239999999991"/>
    <n v="5800"/>
    <n v="11600"/>
    <n v="90652.239999999991"/>
    <n v="0"/>
    <n v="0"/>
    <n v="0"/>
    <n v="0"/>
    <n v="0"/>
    <n v="0"/>
    <n v="0.8"/>
    <n v="0"/>
    <n v="0"/>
    <n v="0"/>
    <n v="0"/>
    <n v="0.2"/>
    <s v="Enligt SP 190924"/>
    <m/>
    <n v="0"/>
    <n v="0"/>
    <n v="0"/>
    <n v="0"/>
    <n v="0"/>
    <n v="0"/>
    <n v="0"/>
    <n v="0"/>
    <n v="0"/>
    <n v="0"/>
    <n v="0"/>
    <n v="0"/>
    <n v="1.6"/>
    <n v="1.36"/>
    <n v="0"/>
    <n v="0"/>
    <n v="0"/>
    <n v="0"/>
    <n v="0"/>
    <n v="0"/>
    <n v="0"/>
    <n v="0.4"/>
    <n v="0.34"/>
  </r>
  <r>
    <x v="367"/>
    <x v="360"/>
    <m/>
    <x v="10"/>
    <s v="H17"/>
    <x v="2"/>
    <s v="H191-10"/>
    <m/>
    <s v="REGU"/>
    <m/>
    <m/>
    <n v="100"/>
    <x v="10"/>
    <m/>
    <m/>
    <n v="19"/>
    <n v="3.1666666666666665"/>
    <n v="0.85"/>
    <n v="2.6916666666666664"/>
    <n v="2193"/>
    <x v="1"/>
    <s v="Sam"/>
    <x v="10"/>
    <n v="22339.8"/>
    <n v="20219.2"/>
    <n v="125166.04666666666"/>
    <n v="5800"/>
    <n v="18366.666666666664"/>
    <n v="143532.71333333332"/>
    <n v="0"/>
    <n v="0"/>
    <n v="0"/>
    <n v="0"/>
    <n v="0"/>
    <n v="0"/>
    <n v="0.8"/>
    <n v="0"/>
    <n v="0"/>
    <n v="0"/>
    <n v="0"/>
    <n v="0.2"/>
    <s v="Enligt SP 190924"/>
    <m/>
    <n v="0"/>
    <n v="0"/>
    <n v="0"/>
    <n v="0"/>
    <n v="0"/>
    <n v="0"/>
    <n v="0"/>
    <n v="0"/>
    <n v="0"/>
    <n v="0"/>
    <n v="0"/>
    <n v="0"/>
    <n v="2.5333333333333332"/>
    <n v="2.1533333333333333"/>
    <n v="0"/>
    <n v="0"/>
    <n v="0"/>
    <n v="0"/>
    <n v="0"/>
    <n v="0"/>
    <n v="0"/>
    <n v="0.6333333333333333"/>
    <n v="0.53833333333333333"/>
  </r>
  <r>
    <x v="367"/>
    <x v="360"/>
    <m/>
    <x v="10"/>
    <s v="H18"/>
    <x v="2"/>
    <s v="H191-10"/>
    <m/>
    <s v="REGU"/>
    <m/>
    <m/>
    <n v="100"/>
    <x v="10"/>
    <m/>
    <m/>
    <n v="1"/>
    <n v="0.16666666666666666"/>
    <n v="0.85"/>
    <n v="0.14166666666666666"/>
    <n v="2193"/>
    <x v="1"/>
    <s v="Sam"/>
    <x v="10"/>
    <n v="22339.8"/>
    <n v="20219.2"/>
    <n v="6587.6866666666665"/>
    <n v="5800"/>
    <n v="966.66666666666663"/>
    <n v="7554.3533333333335"/>
    <n v="0"/>
    <n v="0"/>
    <n v="0"/>
    <n v="0"/>
    <n v="0"/>
    <n v="0"/>
    <n v="0.8"/>
    <n v="0"/>
    <n v="0"/>
    <n v="0"/>
    <n v="0"/>
    <n v="0.2"/>
    <s v="Enligt SP 190924"/>
    <m/>
    <n v="0"/>
    <n v="0"/>
    <n v="0"/>
    <n v="0"/>
    <n v="0"/>
    <n v="0"/>
    <n v="0"/>
    <n v="0"/>
    <n v="0"/>
    <n v="0"/>
    <n v="0"/>
    <n v="0"/>
    <n v="0.13333333333333333"/>
    <n v="0.11333333333333334"/>
    <n v="0"/>
    <n v="0"/>
    <n v="0"/>
    <n v="0"/>
    <n v="0"/>
    <n v="0"/>
    <n v="0"/>
    <n v="3.3333333333333333E-2"/>
    <n v="2.8333333333333335E-2"/>
  </r>
  <r>
    <x v="367"/>
    <x v="360"/>
    <m/>
    <x v="10"/>
    <s v="H19"/>
    <x v="2"/>
    <s v="H191-10"/>
    <m/>
    <s v="DIST"/>
    <s v="DIOB"/>
    <m/>
    <n v="100"/>
    <x v="10"/>
    <m/>
    <m/>
    <n v="27"/>
    <n v="4.5"/>
    <n v="0.85"/>
    <n v="3.8249999999999997"/>
    <n v="2193"/>
    <x v="1"/>
    <s v="Sam"/>
    <x v="10"/>
    <n v="22339.8"/>
    <n v="20219.2"/>
    <n v="177867.53999999998"/>
    <n v="5800"/>
    <n v="26100"/>
    <n v="203967.53999999998"/>
    <n v="0"/>
    <n v="0"/>
    <n v="0"/>
    <n v="0"/>
    <n v="0"/>
    <n v="0"/>
    <n v="0.8"/>
    <n v="0"/>
    <n v="0"/>
    <n v="0"/>
    <n v="0"/>
    <n v="0.2"/>
    <s v="Enligt SP 190924"/>
    <m/>
    <n v="0"/>
    <n v="0"/>
    <n v="0"/>
    <n v="0"/>
    <n v="0"/>
    <n v="0"/>
    <n v="0"/>
    <n v="0"/>
    <n v="0"/>
    <n v="0"/>
    <n v="0"/>
    <n v="0"/>
    <n v="3.6"/>
    <n v="3.06"/>
    <n v="0"/>
    <n v="0"/>
    <n v="0"/>
    <n v="0"/>
    <n v="0"/>
    <n v="0"/>
    <n v="0"/>
    <n v="0.9"/>
    <n v="0.76500000000000001"/>
  </r>
  <r>
    <x v="368"/>
    <x v="361"/>
    <m/>
    <x v="10"/>
    <s v="H10"/>
    <x v="2"/>
    <s v="H1911-15"/>
    <m/>
    <s v="DIST"/>
    <m/>
    <m/>
    <n v="100"/>
    <x v="19"/>
    <m/>
    <m/>
    <n v="1"/>
    <n v="0.20833333333333334"/>
    <n v="0.85"/>
    <n v="0.17708333333333334"/>
    <n v="2193"/>
    <x v="1"/>
    <s v="Sam"/>
    <x v="10"/>
    <n v="18405"/>
    <n v="15773"/>
    <n v="6627.510416666667"/>
    <n v="5800"/>
    <n v="1208.3333333333335"/>
    <n v="7835.84375"/>
    <n v="0"/>
    <n v="0"/>
    <n v="0"/>
    <n v="0"/>
    <n v="0"/>
    <n v="0"/>
    <n v="1"/>
    <n v="0"/>
    <n v="0"/>
    <n v="0"/>
    <n v="0"/>
    <n v="0"/>
    <s v="Enligt SP 190924"/>
    <m/>
    <n v="0"/>
    <n v="0"/>
    <n v="0"/>
    <n v="0"/>
    <n v="0"/>
    <n v="0"/>
    <n v="0"/>
    <n v="0"/>
    <n v="0"/>
    <n v="0"/>
    <n v="0"/>
    <n v="0"/>
    <n v="0.20833333333333334"/>
    <n v="0.17708333333333334"/>
    <n v="0"/>
    <n v="0"/>
    <n v="0"/>
    <n v="0"/>
    <n v="0"/>
    <n v="0"/>
    <n v="0"/>
    <n v="0"/>
    <n v="0"/>
  </r>
  <r>
    <x v="368"/>
    <x v="361"/>
    <m/>
    <x v="10"/>
    <s v="H16"/>
    <x v="2"/>
    <s v="H1911-15"/>
    <m/>
    <s v="DIST"/>
    <m/>
    <m/>
    <n v="100"/>
    <x v="19"/>
    <m/>
    <m/>
    <n v="1"/>
    <n v="0.20833333333333334"/>
    <n v="0.85"/>
    <n v="0.17708333333333334"/>
    <n v="2193"/>
    <x v="1"/>
    <s v="Sam"/>
    <x v="10"/>
    <n v="18405"/>
    <n v="15773"/>
    <n v="6627.510416666667"/>
    <n v="5800"/>
    <n v="1208.3333333333335"/>
    <n v="7835.84375"/>
    <n v="0"/>
    <n v="0"/>
    <n v="0"/>
    <n v="0"/>
    <n v="0"/>
    <n v="0"/>
    <n v="1"/>
    <n v="0"/>
    <n v="0"/>
    <n v="0"/>
    <n v="0"/>
    <n v="0"/>
    <s v="Enligt SP 190924"/>
    <m/>
    <n v="0"/>
    <n v="0"/>
    <n v="0"/>
    <n v="0"/>
    <n v="0"/>
    <n v="0"/>
    <n v="0"/>
    <n v="0"/>
    <n v="0"/>
    <n v="0"/>
    <n v="0"/>
    <n v="0"/>
    <n v="0.20833333333333334"/>
    <n v="0.17708333333333334"/>
    <n v="0"/>
    <n v="0"/>
    <n v="0"/>
    <n v="0"/>
    <n v="0"/>
    <n v="0"/>
    <n v="0"/>
    <n v="0"/>
    <n v="0"/>
  </r>
  <r>
    <x v="368"/>
    <x v="361"/>
    <m/>
    <x v="10"/>
    <s v="H16"/>
    <x v="2"/>
    <s v="H1911-15"/>
    <m/>
    <s v="REGU"/>
    <m/>
    <m/>
    <n v="100"/>
    <x v="19"/>
    <m/>
    <m/>
    <n v="1"/>
    <n v="0.20833333333333334"/>
    <n v="0.85"/>
    <n v="0.17708333333333334"/>
    <n v="2193"/>
    <x v="1"/>
    <s v="Sam"/>
    <x v="10"/>
    <n v="18405"/>
    <n v="15773"/>
    <n v="6627.510416666667"/>
    <n v="5800"/>
    <n v="1208.3333333333335"/>
    <n v="7835.84375"/>
    <n v="0"/>
    <n v="0"/>
    <n v="0"/>
    <n v="0"/>
    <n v="0"/>
    <n v="0"/>
    <n v="1"/>
    <n v="0"/>
    <n v="0"/>
    <n v="0"/>
    <n v="0"/>
    <n v="0"/>
    <s v="Enligt SP 190924"/>
    <m/>
    <n v="0"/>
    <n v="0"/>
    <n v="0"/>
    <n v="0"/>
    <n v="0"/>
    <n v="0"/>
    <n v="0"/>
    <n v="0"/>
    <n v="0"/>
    <n v="0"/>
    <n v="0"/>
    <n v="0"/>
    <n v="0.20833333333333334"/>
    <n v="0.17708333333333334"/>
    <n v="0"/>
    <n v="0"/>
    <n v="0"/>
    <n v="0"/>
    <n v="0"/>
    <n v="0"/>
    <n v="0"/>
    <n v="0"/>
    <n v="0"/>
  </r>
  <r>
    <x v="368"/>
    <x v="361"/>
    <m/>
    <x v="10"/>
    <s v="H17"/>
    <x v="2"/>
    <s v="H1911-15"/>
    <m/>
    <s v="DIST"/>
    <m/>
    <m/>
    <n v="100"/>
    <x v="19"/>
    <m/>
    <m/>
    <n v="13"/>
    <n v="2.7083333333333335"/>
    <n v="0.85"/>
    <n v="2.3020833333333335"/>
    <n v="2193"/>
    <x v="1"/>
    <s v="Sam"/>
    <x v="10"/>
    <n v="18405"/>
    <n v="15773"/>
    <n v="86157.635416666672"/>
    <n v="5800"/>
    <n v="15708.333333333334"/>
    <n v="101865.96875"/>
    <n v="0"/>
    <n v="0"/>
    <n v="0"/>
    <n v="0"/>
    <n v="0"/>
    <n v="0"/>
    <n v="1"/>
    <n v="0"/>
    <n v="0"/>
    <n v="0"/>
    <n v="0"/>
    <n v="0"/>
    <s v="Enligt SP 190924"/>
    <m/>
    <n v="0"/>
    <n v="0"/>
    <n v="0"/>
    <n v="0"/>
    <n v="0"/>
    <n v="0"/>
    <n v="0"/>
    <n v="0"/>
    <n v="0"/>
    <n v="0"/>
    <n v="0"/>
    <n v="0"/>
    <n v="2.7083333333333335"/>
    <n v="2.3020833333333335"/>
    <n v="0"/>
    <n v="0"/>
    <n v="0"/>
    <n v="0"/>
    <n v="0"/>
    <n v="0"/>
    <n v="0"/>
    <n v="0"/>
    <n v="0"/>
  </r>
  <r>
    <x v="368"/>
    <x v="361"/>
    <m/>
    <x v="10"/>
    <s v="H17"/>
    <x v="2"/>
    <s v="H1911-15"/>
    <m/>
    <s v="REGU"/>
    <m/>
    <m/>
    <n v="100"/>
    <x v="19"/>
    <m/>
    <m/>
    <n v="19"/>
    <n v="3.9583333333333335"/>
    <n v="0.85"/>
    <n v="3.3645833333333335"/>
    <n v="2193"/>
    <x v="1"/>
    <s v="Sam"/>
    <x v="10"/>
    <n v="18405"/>
    <n v="15773"/>
    <n v="125922.69791666667"/>
    <n v="5800"/>
    <n v="22958.333333333336"/>
    <n v="148881.03125"/>
    <n v="0"/>
    <n v="0"/>
    <n v="0"/>
    <n v="0"/>
    <n v="0"/>
    <n v="0"/>
    <n v="1"/>
    <n v="0"/>
    <n v="0"/>
    <n v="0"/>
    <n v="0"/>
    <n v="0"/>
    <s v="Enligt SP 190924"/>
    <m/>
    <n v="0"/>
    <n v="0"/>
    <n v="0"/>
    <n v="0"/>
    <n v="0"/>
    <n v="0"/>
    <n v="0"/>
    <n v="0"/>
    <n v="0"/>
    <n v="0"/>
    <n v="0"/>
    <n v="0"/>
    <n v="3.9583333333333335"/>
    <n v="3.3645833333333335"/>
    <n v="0"/>
    <n v="0"/>
    <n v="0"/>
    <n v="0"/>
    <n v="0"/>
    <n v="0"/>
    <n v="0"/>
    <n v="0"/>
    <n v="0"/>
  </r>
  <r>
    <x v="368"/>
    <x v="361"/>
    <m/>
    <x v="10"/>
    <s v="H18"/>
    <x v="2"/>
    <s v="H1911-15"/>
    <m/>
    <s v="REGU"/>
    <m/>
    <m/>
    <n v="100"/>
    <x v="19"/>
    <m/>
    <m/>
    <n v="1"/>
    <n v="0.20833333333333334"/>
    <n v="0.85"/>
    <n v="0.17708333333333334"/>
    <n v="2193"/>
    <x v="1"/>
    <s v="Sam"/>
    <x v="10"/>
    <n v="18405"/>
    <n v="15773"/>
    <n v="6627.510416666667"/>
    <n v="5800"/>
    <n v="1208.3333333333335"/>
    <n v="7835.84375"/>
    <n v="0"/>
    <n v="0"/>
    <n v="0"/>
    <n v="0"/>
    <n v="0"/>
    <n v="0"/>
    <n v="1"/>
    <n v="0"/>
    <n v="0"/>
    <n v="0"/>
    <n v="0"/>
    <n v="0"/>
    <s v="Enligt SP 190924"/>
    <m/>
    <n v="0"/>
    <n v="0"/>
    <n v="0"/>
    <n v="0"/>
    <n v="0"/>
    <n v="0"/>
    <n v="0"/>
    <n v="0"/>
    <n v="0"/>
    <n v="0"/>
    <n v="0"/>
    <n v="0"/>
    <n v="0.20833333333333334"/>
    <n v="0.17708333333333334"/>
    <n v="0"/>
    <n v="0"/>
    <n v="0"/>
    <n v="0"/>
    <n v="0"/>
    <n v="0"/>
    <n v="0"/>
    <n v="0"/>
    <n v="0"/>
  </r>
  <r>
    <x v="368"/>
    <x v="361"/>
    <m/>
    <x v="10"/>
    <s v="H19"/>
    <x v="2"/>
    <s v="H1911-15"/>
    <m/>
    <s v="DIST"/>
    <s v="DIOB"/>
    <m/>
    <n v="100"/>
    <x v="19"/>
    <n v="-0.05"/>
    <n v="27"/>
    <n v="25.65"/>
    <n v="5.34375"/>
    <n v="0.85"/>
    <n v="4.5421874999999998"/>
    <n v="2193"/>
    <x v="1"/>
    <s v="Sam"/>
    <x v="10"/>
    <n v="18405"/>
    <n v="15773"/>
    <n v="169995.64218749999"/>
    <n v="5800"/>
    <n v="30993.75"/>
    <n v="200989.39218749999"/>
    <n v="0"/>
    <n v="0"/>
    <n v="0"/>
    <n v="0"/>
    <n v="0"/>
    <n v="0"/>
    <n v="1"/>
    <n v="0"/>
    <n v="0"/>
    <n v="0"/>
    <n v="0"/>
    <n v="0"/>
    <s v="Prognostal"/>
    <m/>
    <n v="0"/>
    <n v="0"/>
    <n v="0"/>
    <n v="0"/>
    <n v="0"/>
    <n v="0"/>
    <n v="0"/>
    <n v="0"/>
    <n v="0"/>
    <n v="0"/>
    <n v="0"/>
    <n v="0"/>
    <n v="5.34375"/>
    <n v="4.5421874999999998"/>
    <n v="0"/>
    <n v="0"/>
    <n v="0"/>
    <n v="0"/>
    <n v="0"/>
    <n v="0"/>
    <n v="0"/>
    <n v="0"/>
    <n v="0"/>
  </r>
  <r>
    <x v="369"/>
    <x v="362"/>
    <m/>
    <x v="10"/>
    <s v="H16"/>
    <x v="2"/>
    <s v="H1916-20"/>
    <m/>
    <s v="REGU"/>
    <m/>
    <m/>
    <n v="100"/>
    <x v="0"/>
    <m/>
    <m/>
    <n v="1"/>
    <n v="0.125"/>
    <n v="0.85"/>
    <n v="0.10625"/>
    <n v="2193"/>
    <x v="1"/>
    <s v="Sam"/>
    <x v="10"/>
    <n v="34144.199999999997"/>
    <n v="33557.800000000003"/>
    <n v="7833.5412500000002"/>
    <n v="5800"/>
    <n v="725"/>
    <n v="8558.5412500000002"/>
    <n v="0"/>
    <n v="0"/>
    <n v="0"/>
    <n v="0"/>
    <n v="0"/>
    <n v="0"/>
    <n v="0.2"/>
    <n v="0"/>
    <n v="0"/>
    <n v="0"/>
    <n v="0"/>
    <n v="0.8"/>
    <s v="Enligt SP 190924"/>
    <m/>
    <n v="0"/>
    <n v="0"/>
    <n v="0"/>
    <n v="0"/>
    <n v="0"/>
    <n v="0"/>
    <n v="0"/>
    <n v="0"/>
    <n v="0"/>
    <n v="0"/>
    <n v="0"/>
    <n v="0"/>
    <n v="2.5000000000000001E-2"/>
    <n v="2.1250000000000002E-2"/>
    <n v="0"/>
    <n v="0"/>
    <n v="0"/>
    <n v="0"/>
    <n v="0"/>
    <n v="0"/>
    <n v="0"/>
    <n v="0.1"/>
    <n v="8.5000000000000006E-2"/>
  </r>
  <r>
    <x v="369"/>
    <x v="362"/>
    <m/>
    <x v="10"/>
    <s v="H17"/>
    <x v="2"/>
    <s v="H1916-20"/>
    <m/>
    <s v="DIST"/>
    <m/>
    <m/>
    <n v="100"/>
    <x v="0"/>
    <m/>
    <m/>
    <n v="12"/>
    <n v="1.5"/>
    <n v="0.85"/>
    <n v="1.2749999999999999"/>
    <n v="2193"/>
    <x v="1"/>
    <s v="Sam"/>
    <x v="10"/>
    <n v="34144.199999999997"/>
    <n v="33557.800000000003"/>
    <n v="94002.494999999995"/>
    <n v="5800"/>
    <n v="8700"/>
    <n v="102702.495"/>
    <n v="0"/>
    <n v="0"/>
    <n v="0"/>
    <n v="0"/>
    <n v="0"/>
    <n v="0"/>
    <n v="0.2"/>
    <n v="0"/>
    <n v="0"/>
    <n v="0"/>
    <n v="0"/>
    <n v="0.8"/>
    <s v="Enligt SP 190924"/>
    <m/>
    <n v="0"/>
    <n v="0"/>
    <n v="0"/>
    <n v="0"/>
    <n v="0"/>
    <n v="0"/>
    <n v="0"/>
    <n v="0"/>
    <n v="0"/>
    <n v="0"/>
    <n v="0"/>
    <n v="0"/>
    <n v="0.30000000000000004"/>
    <n v="0.255"/>
    <n v="0"/>
    <n v="0"/>
    <n v="0"/>
    <n v="0"/>
    <n v="0"/>
    <n v="0"/>
    <n v="0"/>
    <n v="1.2000000000000002"/>
    <n v="1.02"/>
  </r>
  <r>
    <x v="369"/>
    <x v="362"/>
    <m/>
    <x v="10"/>
    <s v="H17"/>
    <x v="2"/>
    <s v="H1916-20"/>
    <m/>
    <s v="REGU"/>
    <m/>
    <m/>
    <n v="100"/>
    <x v="0"/>
    <m/>
    <m/>
    <n v="19"/>
    <n v="2.375"/>
    <n v="0.85"/>
    <n v="2.0187499999999998"/>
    <n v="2193"/>
    <x v="1"/>
    <s v="Sam"/>
    <x v="10"/>
    <n v="34144.199999999997"/>
    <n v="33557.800000000003"/>
    <n v="148837.28375"/>
    <n v="5800"/>
    <n v="13775"/>
    <n v="162612.28375"/>
    <n v="0"/>
    <n v="0"/>
    <n v="0"/>
    <n v="0"/>
    <n v="0"/>
    <n v="0"/>
    <n v="0.2"/>
    <n v="0"/>
    <n v="0"/>
    <n v="0"/>
    <n v="0"/>
    <n v="0.8"/>
    <s v="Enligt SP 190924"/>
    <m/>
    <n v="0"/>
    <n v="0"/>
    <n v="0"/>
    <n v="0"/>
    <n v="0"/>
    <n v="0"/>
    <n v="0"/>
    <n v="0"/>
    <n v="0"/>
    <n v="0"/>
    <n v="0"/>
    <n v="0"/>
    <n v="0.47500000000000003"/>
    <n v="0.40375"/>
    <n v="0"/>
    <n v="0"/>
    <n v="0"/>
    <n v="0"/>
    <n v="0"/>
    <n v="0"/>
    <n v="0"/>
    <n v="1.9000000000000001"/>
    <n v="1.615"/>
  </r>
  <r>
    <x v="369"/>
    <x v="362"/>
    <m/>
    <x v="10"/>
    <s v="H18"/>
    <x v="2"/>
    <s v="H1916-20"/>
    <m/>
    <s v="REGU"/>
    <m/>
    <m/>
    <n v="100"/>
    <x v="0"/>
    <m/>
    <m/>
    <n v="1"/>
    <n v="0.125"/>
    <n v="0.85"/>
    <n v="0.10625"/>
    <n v="2193"/>
    <x v="1"/>
    <s v="Sam"/>
    <x v="10"/>
    <n v="34144.199999999997"/>
    <n v="33557.800000000003"/>
    <n v="7833.5412500000002"/>
    <n v="5800"/>
    <n v="725"/>
    <n v="8558.5412500000002"/>
    <n v="0"/>
    <n v="0"/>
    <n v="0"/>
    <n v="0"/>
    <n v="0"/>
    <n v="0"/>
    <n v="0.2"/>
    <n v="0"/>
    <n v="0"/>
    <n v="0"/>
    <n v="0"/>
    <n v="0.8"/>
    <s v="Enligt SP 190924"/>
    <m/>
    <n v="0"/>
    <n v="0"/>
    <n v="0"/>
    <n v="0"/>
    <n v="0"/>
    <n v="0"/>
    <n v="0"/>
    <n v="0"/>
    <n v="0"/>
    <n v="0"/>
    <n v="0"/>
    <n v="0"/>
    <n v="2.5000000000000001E-2"/>
    <n v="2.1250000000000002E-2"/>
    <n v="0"/>
    <n v="0"/>
    <n v="0"/>
    <n v="0"/>
    <n v="0"/>
    <n v="0"/>
    <n v="0"/>
    <n v="0.1"/>
    <n v="8.5000000000000006E-2"/>
  </r>
  <r>
    <x v="369"/>
    <x v="362"/>
    <m/>
    <x v="10"/>
    <s v="H19"/>
    <x v="2"/>
    <s v="H1916-20"/>
    <m/>
    <s v="DIST"/>
    <s v="DIOB"/>
    <m/>
    <n v="100"/>
    <x v="0"/>
    <n v="-0.05"/>
    <n v="27"/>
    <n v="25.65"/>
    <n v="3.2062499999999998"/>
    <n v="0.85"/>
    <n v="2.7253124999999998"/>
    <n v="2193"/>
    <x v="1"/>
    <s v="Sam"/>
    <x v="10"/>
    <n v="34144.199999999997"/>
    <n v="33557.800000000003"/>
    <n v="200930.33306249999"/>
    <n v="5800"/>
    <n v="18596.25"/>
    <n v="219526.58306249999"/>
    <n v="0"/>
    <n v="0"/>
    <n v="0"/>
    <n v="0"/>
    <n v="0"/>
    <n v="0"/>
    <n v="0.2"/>
    <n v="0"/>
    <n v="0"/>
    <n v="0"/>
    <n v="0"/>
    <n v="0.8"/>
    <s v="Prognostal"/>
    <m/>
    <n v="0"/>
    <n v="0"/>
    <n v="0"/>
    <n v="0"/>
    <n v="0"/>
    <n v="0"/>
    <n v="0"/>
    <n v="0"/>
    <n v="0"/>
    <n v="0"/>
    <n v="0"/>
    <n v="0"/>
    <n v="0.64124999999999999"/>
    <n v="0.54506250000000001"/>
    <n v="0"/>
    <n v="0"/>
    <n v="0"/>
    <n v="0"/>
    <n v="0"/>
    <n v="0"/>
    <n v="0"/>
    <n v="2.5649999999999999"/>
    <n v="2.18025"/>
  </r>
  <r>
    <x v="370"/>
    <x v="363"/>
    <m/>
    <x v="10"/>
    <s v="H18"/>
    <x v="1"/>
    <s v="V1916-20"/>
    <s v="Umeå"/>
    <s v="DIST"/>
    <m/>
    <m/>
    <n v="100"/>
    <x v="0"/>
    <m/>
    <m/>
    <n v="20"/>
    <n v="2.5"/>
    <n v="0.85"/>
    <n v="2.125"/>
    <n v="2180"/>
    <x v="0"/>
    <s v="Sam"/>
    <x v="10"/>
    <n v="18405"/>
    <n v="15773"/>
    <n v="79530.125"/>
    <n v="5800"/>
    <n v="14500"/>
    <n v="94030.125"/>
    <n v="0"/>
    <n v="0"/>
    <n v="0"/>
    <n v="0"/>
    <n v="0"/>
    <n v="0"/>
    <n v="1"/>
    <n v="0"/>
    <n v="0"/>
    <n v="0"/>
    <n v="0"/>
    <n v="0"/>
    <s v="Enl Ladok 190523"/>
    <m/>
    <n v="0"/>
    <n v="0"/>
    <n v="0"/>
    <n v="0"/>
    <n v="0"/>
    <n v="0"/>
    <n v="0"/>
    <n v="0"/>
    <n v="0"/>
    <n v="0"/>
    <n v="0"/>
    <n v="0"/>
    <n v="2.5"/>
    <n v="2.125"/>
    <n v="0"/>
    <n v="0"/>
    <n v="0"/>
    <n v="0"/>
    <n v="0"/>
    <n v="0"/>
    <n v="0"/>
    <n v="0"/>
    <n v="0"/>
  </r>
  <r>
    <x v="370"/>
    <x v="363"/>
    <m/>
    <x v="10"/>
    <s v="H18"/>
    <x v="1"/>
    <s v="V1916-20"/>
    <s v="Umeå"/>
    <s v="REGU"/>
    <m/>
    <m/>
    <n v="100"/>
    <x v="0"/>
    <m/>
    <m/>
    <n v="23"/>
    <n v="2.875"/>
    <n v="0.85"/>
    <n v="2.4437500000000001"/>
    <n v="2180"/>
    <x v="0"/>
    <s v="Sam"/>
    <x v="10"/>
    <n v="18405"/>
    <n v="15773"/>
    <n v="91459.643750000003"/>
    <n v="5800"/>
    <n v="16675"/>
    <n v="108134.64375"/>
    <n v="0"/>
    <n v="0"/>
    <n v="0"/>
    <n v="0"/>
    <n v="0"/>
    <n v="0"/>
    <n v="1"/>
    <n v="0"/>
    <n v="0"/>
    <n v="0"/>
    <n v="0"/>
    <n v="0"/>
    <s v="Enl Ladok 190523"/>
    <m/>
    <n v="0"/>
    <n v="0"/>
    <n v="0"/>
    <n v="0"/>
    <n v="0"/>
    <n v="0"/>
    <n v="0"/>
    <n v="0"/>
    <n v="0"/>
    <n v="0"/>
    <n v="0"/>
    <n v="0"/>
    <n v="2.875"/>
    <n v="2.4437500000000001"/>
    <n v="0"/>
    <n v="0"/>
    <n v="0"/>
    <n v="0"/>
    <n v="0"/>
    <n v="0"/>
    <n v="0"/>
    <n v="0"/>
    <n v="0"/>
  </r>
  <r>
    <x v="371"/>
    <x v="364"/>
    <m/>
    <x v="0"/>
    <m/>
    <x v="1"/>
    <m/>
    <s v="Umeå"/>
    <s v="DIST"/>
    <s v="DIOB"/>
    <m/>
    <n v="100"/>
    <x v="19"/>
    <m/>
    <m/>
    <n v="33"/>
    <n v="6.875"/>
    <n v="0.85"/>
    <n v="5.84375"/>
    <n v="2193"/>
    <x v="1"/>
    <s v="Sam"/>
    <x v="0"/>
    <n v="18405"/>
    <n v="15773"/>
    <n v="218707.84375"/>
    <n v="5800"/>
    <n v="39875"/>
    <n v="258582.84375"/>
    <n v="0"/>
    <n v="0"/>
    <n v="0"/>
    <n v="0"/>
    <n v="0"/>
    <n v="0"/>
    <n v="1"/>
    <n v="0"/>
    <n v="0"/>
    <n v="0"/>
    <n v="0"/>
    <n v="0"/>
    <s v="Enl Ladok 190318"/>
    <s v="Kursen beställd av LH"/>
    <n v="0"/>
    <n v="0"/>
    <n v="0"/>
    <n v="0"/>
    <n v="0"/>
    <n v="0"/>
    <n v="0"/>
    <n v="0"/>
    <n v="0"/>
    <n v="0"/>
    <n v="0"/>
    <n v="0"/>
    <n v="6.875"/>
    <n v="5.84375"/>
    <n v="0"/>
    <n v="0"/>
    <n v="0"/>
    <n v="0"/>
    <n v="0"/>
    <n v="0"/>
    <n v="0"/>
    <n v="0"/>
    <n v="0"/>
  </r>
  <r>
    <x v="372"/>
    <x v="365"/>
    <m/>
    <x v="0"/>
    <m/>
    <x v="1"/>
    <m/>
    <s v="Umeå"/>
    <s v="DIST"/>
    <s v="DIOB"/>
    <m/>
    <n v="100"/>
    <x v="0"/>
    <m/>
    <m/>
    <n v="32"/>
    <n v="4"/>
    <n v="0.85"/>
    <n v="3.4"/>
    <n v="2193"/>
    <x v="1"/>
    <s v="Sam"/>
    <x v="0"/>
    <n v="18405"/>
    <n v="15773"/>
    <n v="127248.2"/>
    <n v="5800"/>
    <n v="23200"/>
    <n v="150448.20000000001"/>
    <n v="0"/>
    <n v="0"/>
    <n v="0"/>
    <n v="0"/>
    <n v="0"/>
    <n v="0"/>
    <n v="1"/>
    <n v="0"/>
    <n v="0"/>
    <n v="0"/>
    <n v="0"/>
    <n v="0"/>
    <s v="Enl Ladok 190318"/>
    <s v="Kursen beställd av LH"/>
    <n v="0"/>
    <n v="0"/>
    <n v="0"/>
    <n v="0"/>
    <n v="0"/>
    <n v="0"/>
    <n v="0"/>
    <n v="0"/>
    <n v="0"/>
    <n v="0"/>
    <n v="0"/>
    <n v="0"/>
    <n v="4"/>
    <n v="3.4"/>
    <n v="0"/>
    <n v="0"/>
    <n v="0"/>
    <n v="0"/>
    <n v="0"/>
    <n v="0"/>
    <n v="0"/>
    <n v="0"/>
    <n v="0"/>
  </r>
  <r>
    <x v="373"/>
    <x v="366"/>
    <m/>
    <x v="0"/>
    <m/>
    <x v="1"/>
    <m/>
    <s v="Umeå"/>
    <s v="DIST"/>
    <s v="DIOB"/>
    <m/>
    <n v="100"/>
    <x v="10"/>
    <n v="-0.08"/>
    <n v="33"/>
    <n v="30.36"/>
    <n v="5.0599999999999996"/>
    <n v="0.85"/>
    <n v="4.3009999999999993"/>
    <n v="2193"/>
    <x v="1"/>
    <s v="Sam"/>
    <x v="0"/>
    <n v="18405"/>
    <n v="15773"/>
    <n v="160968.973"/>
    <n v="5800"/>
    <n v="29347.999999999996"/>
    <n v="190316.973"/>
    <n v="0"/>
    <n v="0"/>
    <n v="0"/>
    <n v="0"/>
    <n v="0"/>
    <n v="0"/>
    <n v="1"/>
    <n v="0"/>
    <n v="0"/>
    <n v="0"/>
    <n v="0"/>
    <n v="0"/>
    <s v="Prognostal"/>
    <s v="Kursen beställd av LH"/>
    <n v="0"/>
    <n v="0"/>
    <n v="0"/>
    <n v="0"/>
    <n v="0"/>
    <n v="0"/>
    <n v="0"/>
    <n v="0"/>
    <n v="0"/>
    <n v="0"/>
    <n v="0"/>
    <n v="0"/>
    <n v="5.0599999999999996"/>
    <n v="4.3009999999999993"/>
    <n v="0"/>
    <n v="0"/>
    <n v="0"/>
    <n v="0"/>
    <n v="0"/>
    <n v="0"/>
    <n v="0"/>
    <n v="0"/>
    <n v="0"/>
  </r>
  <r>
    <x v="374"/>
    <x v="367"/>
    <m/>
    <x v="10"/>
    <s v="H16"/>
    <x v="1"/>
    <s v="V191-5"/>
    <s v="Umeå"/>
    <s v="DIST"/>
    <m/>
    <m/>
    <n v="100"/>
    <x v="0"/>
    <m/>
    <m/>
    <n v="1"/>
    <n v="0.125"/>
    <n v="0.85"/>
    <n v="0.10625"/>
    <n v="2180"/>
    <x v="0"/>
    <s v="Sam"/>
    <x v="10"/>
    <n v="18405"/>
    <n v="15773"/>
    <n v="3976.5062499999999"/>
    <n v="5800"/>
    <n v="725"/>
    <n v="4701.5062500000004"/>
    <n v="0"/>
    <n v="0"/>
    <n v="0"/>
    <n v="0"/>
    <n v="0"/>
    <n v="0"/>
    <n v="1"/>
    <n v="0"/>
    <n v="0"/>
    <n v="0"/>
    <n v="0"/>
    <n v="0"/>
    <s v="Enl Ladok 190318"/>
    <m/>
    <n v="0"/>
    <n v="0"/>
    <n v="0"/>
    <n v="0"/>
    <n v="0"/>
    <n v="0"/>
    <n v="0"/>
    <n v="0"/>
    <n v="0"/>
    <n v="0"/>
    <n v="0"/>
    <n v="0"/>
    <n v="0.125"/>
    <n v="0.10625"/>
    <n v="0"/>
    <n v="0"/>
    <n v="0"/>
    <n v="0"/>
    <n v="0"/>
    <n v="0"/>
    <n v="0"/>
    <n v="0"/>
    <n v="0"/>
  </r>
  <r>
    <x v="374"/>
    <x v="367"/>
    <m/>
    <x v="10"/>
    <s v="H17"/>
    <x v="1"/>
    <s v="V191-5"/>
    <s v="Umeå"/>
    <s v="DIST"/>
    <m/>
    <m/>
    <n v="100"/>
    <x v="0"/>
    <m/>
    <m/>
    <n v="1"/>
    <n v="0.125"/>
    <n v="0.85"/>
    <n v="0.10625"/>
    <n v="2180"/>
    <x v="0"/>
    <s v="Sam"/>
    <x v="10"/>
    <n v="18405"/>
    <n v="15773"/>
    <n v="3976.5062499999999"/>
    <n v="5800"/>
    <n v="725"/>
    <n v="4701.5062500000004"/>
    <n v="0"/>
    <n v="0"/>
    <n v="0"/>
    <n v="0"/>
    <n v="0"/>
    <n v="0"/>
    <n v="1"/>
    <n v="0"/>
    <n v="0"/>
    <n v="0"/>
    <n v="0"/>
    <n v="0"/>
    <s v="Enl Ladok 190318"/>
    <m/>
    <n v="0"/>
    <n v="0"/>
    <n v="0"/>
    <n v="0"/>
    <n v="0"/>
    <n v="0"/>
    <n v="0"/>
    <n v="0"/>
    <n v="0"/>
    <n v="0"/>
    <n v="0"/>
    <n v="0"/>
    <n v="0.125"/>
    <n v="0.10625"/>
    <n v="0"/>
    <n v="0"/>
    <n v="0"/>
    <n v="0"/>
    <n v="0"/>
    <n v="0"/>
    <n v="0"/>
    <n v="0"/>
    <n v="0"/>
  </r>
  <r>
    <x v="374"/>
    <x v="367"/>
    <m/>
    <x v="10"/>
    <s v="H17"/>
    <x v="1"/>
    <s v="V191-5"/>
    <s v="Umeå"/>
    <s v="DIST"/>
    <m/>
    <m/>
    <n v="100"/>
    <x v="0"/>
    <m/>
    <m/>
    <n v="10"/>
    <n v="1.25"/>
    <n v="0.85"/>
    <n v="1.0625"/>
    <n v="2180"/>
    <x v="0"/>
    <s v="Sam"/>
    <x v="10"/>
    <n v="18405"/>
    <n v="15773"/>
    <n v="39765.0625"/>
    <n v="5800"/>
    <n v="7250"/>
    <n v="47015.0625"/>
    <n v="0"/>
    <n v="0"/>
    <n v="0"/>
    <n v="0"/>
    <n v="0"/>
    <n v="0"/>
    <n v="1"/>
    <n v="0"/>
    <n v="0"/>
    <n v="0"/>
    <n v="0"/>
    <n v="0"/>
    <s v="Enl Ladok 190318"/>
    <m/>
    <n v="0"/>
    <n v="0"/>
    <n v="0"/>
    <n v="0"/>
    <n v="0"/>
    <n v="0"/>
    <n v="0"/>
    <n v="0"/>
    <n v="0"/>
    <n v="0"/>
    <n v="0"/>
    <n v="0"/>
    <n v="1.25"/>
    <n v="1.0625"/>
    <n v="0"/>
    <n v="0"/>
    <n v="0"/>
    <n v="0"/>
    <n v="0"/>
    <n v="0"/>
    <n v="0"/>
    <n v="0"/>
    <n v="0"/>
  </r>
  <r>
    <x v="374"/>
    <x v="367"/>
    <m/>
    <x v="10"/>
    <s v="H17"/>
    <x v="1"/>
    <s v="V191-5"/>
    <s v="Umeå"/>
    <s v="REGU"/>
    <m/>
    <m/>
    <n v="100"/>
    <x v="0"/>
    <m/>
    <m/>
    <n v="19"/>
    <n v="2.375"/>
    <n v="0.85"/>
    <n v="2.0187499999999998"/>
    <n v="2180"/>
    <x v="0"/>
    <s v="Sam"/>
    <x v="10"/>
    <n v="18405"/>
    <n v="15773"/>
    <n v="75553.618749999994"/>
    <n v="5800"/>
    <n v="13775"/>
    <n v="89328.618749999994"/>
    <n v="0"/>
    <n v="0"/>
    <n v="0"/>
    <n v="0"/>
    <n v="0"/>
    <n v="0"/>
    <n v="1"/>
    <n v="0"/>
    <n v="0"/>
    <n v="0"/>
    <n v="0"/>
    <n v="0"/>
    <s v="Enl Ladok 190318"/>
    <m/>
    <n v="0"/>
    <n v="0"/>
    <n v="0"/>
    <n v="0"/>
    <n v="0"/>
    <n v="0"/>
    <n v="0"/>
    <n v="0"/>
    <n v="0"/>
    <n v="0"/>
    <n v="0"/>
    <n v="0"/>
    <n v="2.375"/>
    <n v="2.0187499999999998"/>
    <n v="0"/>
    <n v="0"/>
    <n v="0"/>
    <n v="0"/>
    <n v="0"/>
    <n v="0"/>
    <n v="0"/>
    <n v="0"/>
    <n v="0"/>
  </r>
  <r>
    <x v="375"/>
    <x v="368"/>
    <m/>
    <x v="10"/>
    <s v="H18"/>
    <x v="2"/>
    <s v="H198-20"/>
    <m/>
    <s v="DIST"/>
    <m/>
    <m/>
    <n v="100"/>
    <x v="20"/>
    <m/>
    <m/>
    <n v="19"/>
    <n v="6.333333333333333"/>
    <n v="0.85"/>
    <n v="5.3833333333333329"/>
    <n v="2193"/>
    <x v="1"/>
    <s v="Sam"/>
    <x v="10"/>
    <n v="27258.3"/>
    <n v="25776.95"/>
    <n v="311401.81416666665"/>
    <n v="5800"/>
    <n v="36733.333333333328"/>
    <n v="348135.14749999996"/>
    <n v="0"/>
    <n v="0"/>
    <n v="0"/>
    <n v="0"/>
    <n v="0"/>
    <n v="0"/>
    <n v="0.55000000000000004"/>
    <n v="0"/>
    <n v="0"/>
    <n v="0"/>
    <n v="0"/>
    <n v="0.45"/>
    <s v="Enligt SP 190924"/>
    <m/>
    <n v="0"/>
    <n v="0"/>
    <n v="0"/>
    <n v="0"/>
    <n v="0"/>
    <n v="0"/>
    <n v="0"/>
    <n v="0"/>
    <n v="0"/>
    <n v="0"/>
    <n v="0"/>
    <n v="0"/>
    <n v="3.4833333333333334"/>
    <n v="2.9608333333333334"/>
    <n v="0"/>
    <n v="0"/>
    <n v="0"/>
    <n v="0"/>
    <n v="0"/>
    <n v="0"/>
    <n v="0"/>
    <n v="2.85"/>
    <n v="2.4224999999999999"/>
  </r>
  <r>
    <x v="375"/>
    <x v="368"/>
    <m/>
    <x v="10"/>
    <s v="H18"/>
    <x v="2"/>
    <s v="H198-20"/>
    <m/>
    <s v="REGU"/>
    <m/>
    <m/>
    <n v="100"/>
    <x v="20"/>
    <m/>
    <m/>
    <n v="22"/>
    <n v="7.333333333333333"/>
    <n v="0.85"/>
    <n v="6.2333333333333325"/>
    <n v="2193"/>
    <x v="1"/>
    <s v="Sam"/>
    <x v="10"/>
    <n v="27258.3"/>
    <n v="25776.95"/>
    <n v="360570.52166666661"/>
    <n v="5800"/>
    <n v="42533.333333333328"/>
    <n v="403103.85499999992"/>
    <n v="0"/>
    <n v="0"/>
    <n v="0"/>
    <n v="0"/>
    <n v="0"/>
    <n v="0"/>
    <n v="0.55000000000000004"/>
    <n v="0"/>
    <n v="0"/>
    <n v="0"/>
    <n v="0"/>
    <n v="0.45"/>
    <s v="Enligt SP 190924"/>
    <m/>
    <n v="0"/>
    <n v="0"/>
    <n v="0"/>
    <n v="0"/>
    <n v="0"/>
    <n v="0"/>
    <n v="0"/>
    <n v="0"/>
    <n v="0"/>
    <n v="0"/>
    <n v="0"/>
    <n v="0"/>
    <n v="4.0333333333333332"/>
    <n v="3.4283333333333332"/>
    <n v="0"/>
    <n v="0"/>
    <n v="0"/>
    <n v="0"/>
    <n v="0"/>
    <n v="0"/>
    <n v="0"/>
    <n v="3.3"/>
    <n v="2.8049999999999997"/>
  </r>
  <r>
    <x v="376"/>
    <x v="369"/>
    <m/>
    <x v="10"/>
    <s v="H18"/>
    <x v="2"/>
    <s v="H1911-15"/>
    <m/>
    <s v="REGU"/>
    <m/>
    <m/>
    <n v="100"/>
    <x v="0"/>
    <m/>
    <m/>
    <n v="1"/>
    <n v="0.125"/>
    <n v="0.85"/>
    <n v="0.10625"/>
    <n v="2193"/>
    <x v="1"/>
    <s v="Sam"/>
    <x v="10"/>
    <n v="18405"/>
    <n v="15773"/>
    <n v="3976.5062499999999"/>
    <n v="5800"/>
    <n v="725"/>
    <n v="4701.5062500000004"/>
    <n v="0"/>
    <n v="0"/>
    <n v="0"/>
    <n v="0"/>
    <n v="0"/>
    <n v="0"/>
    <n v="1"/>
    <n v="0"/>
    <n v="0"/>
    <n v="0"/>
    <n v="0"/>
    <n v="0"/>
    <s v="Enligt SP 190924"/>
    <m/>
    <n v="0"/>
    <n v="0"/>
    <n v="0"/>
    <n v="0"/>
    <n v="0"/>
    <n v="0"/>
    <n v="0"/>
    <n v="0"/>
    <n v="0"/>
    <n v="0"/>
    <n v="0"/>
    <n v="0"/>
    <n v="0.125"/>
    <n v="0.10625"/>
    <n v="0"/>
    <n v="0"/>
    <n v="0"/>
    <n v="0"/>
    <n v="0"/>
    <n v="0"/>
    <n v="0"/>
    <n v="0"/>
    <n v="0"/>
  </r>
  <r>
    <x v="376"/>
    <x v="369"/>
    <m/>
    <x v="10"/>
    <s v="H19"/>
    <x v="2"/>
    <s v="H1911-15"/>
    <m/>
    <s v="DIST"/>
    <m/>
    <m/>
    <n v="100"/>
    <x v="0"/>
    <n v="-0.05"/>
    <n v="29"/>
    <n v="27.55"/>
    <n v="3.4437500000000001"/>
    <n v="0.85"/>
    <n v="2.9271875000000001"/>
    <n v="2193"/>
    <x v="1"/>
    <s v="Sam"/>
    <x v="10"/>
    <n v="18405"/>
    <n v="15773"/>
    <n v="109552.7471875"/>
    <n v="5800"/>
    <n v="19973.75"/>
    <n v="129526.4971875"/>
    <n v="0"/>
    <n v="0"/>
    <n v="0"/>
    <n v="0"/>
    <n v="0"/>
    <n v="0"/>
    <n v="1"/>
    <n v="0"/>
    <n v="0"/>
    <n v="0"/>
    <n v="0"/>
    <n v="0"/>
    <s v="Prognostal"/>
    <m/>
    <n v="0"/>
    <n v="0"/>
    <n v="0"/>
    <n v="0"/>
    <n v="0"/>
    <n v="0"/>
    <n v="0"/>
    <n v="0"/>
    <n v="0"/>
    <n v="0"/>
    <n v="0"/>
    <n v="0"/>
    <n v="3.4437500000000001"/>
    <n v="2.9271875000000001"/>
    <n v="0"/>
    <n v="0"/>
    <n v="0"/>
    <n v="0"/>
    <n v="0"/>
    <n v="0"/>
    <n v="0"/>
    <n v="0"/>
    <n v="0"/>
  </r>
  <r>
    <x v="376"/>
    <x v="369"/>
    <m/>
    <x v="10"/>
    <s v="H19"/>
    <x v="2"/>
    <s v="H1911-15"/>
    <m/>
    <s v="REGU"/>
    <m/>
    <m/>
    <n v="100"/>
    <x v="0"/>
    <n v="-0.05"/>
    <n v="32"/>
    <n v="30.4"/>
    <n v="3.8"/>
    <n v="0.85"/>
    <n v="3.23"/>
    <n v="2193"/>
    <x v="1"/>
    <s v="Sam"/>
    <x v="10"/>
    <n v="18405"/>
    <n v="15773"/>
    <n v="120885.79000000001"/>
    <n v="5800"/>
    <n v="22040"/>
    <n v="142925.79"/>
    <n v="0"/>
    <n v="0"/>
    <n v="0"/>
    <n v="0"/>
    <n v="0"/>
    <n v="0"/>
    <n v="1"/>
    <n v="0"/>
    <n v="0"/>
    <n v="0"/>
    <n v="0"/>
    <n v="0"/>
    <s v="Prognostal"/>
    <m/>
    <n v="0"/>
    <n v="0"/>
    <n v="0"/>
    <n v="0"/>
    <n v="0"/>
    <n v="0"/>
    <n v="0"/>
    <n v="0"/>
    <n v="0"/>
    <n v="0"/>
    <n v="0"/>
    <n v="0"/>
    <n v="3.8"/>
    <n v="3.23"/>
    <n v="0"/>
    <n v="0"/>
    <n v="0"/>
    <n v="0"/>
    <n v="0"/>
    <n v="0"/>
    <n v="0"/>
    <n v="0"/>
    <n v="0"/>
  </r>
  <r>
    <x v="377"/>
    <x v="370"/>
    <m/>
    <x v="0"/>
    <m/>
    <x v="1"/>
    <m/>
    <m/>
    <s v="Distans"/>
    <m/>
    <m/>
    <n v="25"/>
    <x v="0"/>
    <m/>
    <m/>
    <n v="0"/>
    <n v="0"/>
    <n v="0.8"/>
    <n v="0"/>
    <n v="5740"/>
    <x v="9"/>
    <s v="TekNat"/>
    <x v="0"/>
    <n v="19473"/>
    <n v="34806"/>
    <n v="0"/>
    <n v="21800"/>
    <n v="0"/>
    <n v="0"/>
    <n v="0"/>
    <n v="0"/>
    <n v="0"/>
    <n v="0"/>
    <n v="0"/>
    <n v="0"/>
    <n v="0"/>
    <n v="1"/>
    <n v="0"/>
    <n v="0"/>
    <n v="0"/>
    <n v="0"/>
    <s v="Äskat - Beslut p43 180607"/>
    <s v="Ställs in enl uppg från inst 181203"/>
    <n v="0"/>
    <n v="0"/>
    <n v="0"/>
    <n v="0"/>
    <n v="0"/>
    <n v="0"/>
    <n v="0"/>
    <n v="0"/>
    <n v="0"/>
    <n v="0"/>
    <n v="0"/>
    <n v="0"/>
    <n v="0"/>
    <n v="0"/>
    <n v="0"/>
    <n v="0"/>
    <n v="0"/>
    <n v="0"/>
    <n v="0"/>
    <n v="0"/>
    <n v="0"/>
    <n v="0"/>
    <n v="0"/>
  </r>
  <r>
    <x v="378"/>
    <x v="371"/>
    <m/>
    <x v="0"/>
    <m/>
    <x v="1"/>
    <m/>
    <m/>
    <s v="Distans"/>
    <m/>
    <m/>
    <n v="50"/>
    <x v="1"/>
    <m/>
    <m/>
    <n v="0"/>
    <n v="0"/>
    <n v="0.8"/>
    <n v="0"/>
    <n v="1650"/>
    <x v="11"/>
    <s v="Hum"/>
    <x v="0"/>
    <n v="16934.099999999999"/>
    <n v="29289.999999999996"/>
    <n v="0"/>
    <n v="18650"/>
    <n v="0"/>
    <n v="0"/>
    <n v="0"/>
    <n v="0"/>
    <n v="0"/>
    <n v="0"/>
    <n v="0"/>
    <n v="0"/>
    <n v="0"/>
    <n v="0.3"/>
    <n v="0"/>
    <n v="0"/>
    <n v="0.7"/>
    <n v="0"/>
    <s v="Enl Ladok 190318"/>
    <s v="Äskat - Beslut p43 180607"/>
    <n v="0"/>
    <n v="0"/>
    <n v="0"/>
    <n v="0"/>
    <n v="0"/>
    <n v="0"/>
    <n v="0"/>
    <n v="0"/>
    <n v="0"/>
    <n v="0"/>
    <n v="0"/>
    <n v="0"/>
    <n v="0"/>
    <n v="0"/>
    <n v="0"/>
    <n v="0"/>
    <n v="0"/>
    <n v="0"/>
    <n v="0"/>
    <n v="0"/>
    <n v="0"/>
    <n v="0"/>
    <n v="0"/>
  </r>
  <r>
    <x v="378"/>
    <x v="371"/>
    <m/>
    <x v="0"/>
    <m/>
    <x v="2"/>
    <m/>
    <m/>
    <s v="Distans"/>
    <m/>
    <m/>
    <n v="50"/>
    <x v="1"/>
    <m/>
    <m/>
    <n v="16"/>
    <n v="4"/>
    <n v="0.8"/>
    <n v="3.2"/>
    <n v="1650"/>
    <x v="11"/>
    <s v="Hum"/>
    <x v="0"/>
    <n v="16934.099999999999"/>
    <n v="29289.999999999996"/>
    <n v="161464.4"/>
    <n v="18650"/>
    <n v="74600"/>
    <n v="236064.4"/>
    <n v="0"/>
    <n v="0"/>
    <n v="0"/>
    <n v="0"/>
    <n v="0"/>
    <n v="0"/>
    <n v="0"/>
    <n v="0.3"/>
    <n v="0"/>
    <n v="0"/>
    <n v="0.7"/>
    <n v="0"/>
    <s v="Äskat - Beslut p43 180607"/>
    <m/>
    <n v="0"/>
    <n v="0"/>
    <n v="0"/>
    <n v="0"/>
    <n v="0"/>
    <n v="0"/>
    <n v="0"/>
    <n v="0"/>
    <n v="0"/>
    <n v="0"/>
    <n v="0"/>
    <n v="0"/>
    <n v="0"/>
    <n v="0"/>
    <n v="1.2"/>
    <n v="0.96"/>
    <n v="0"/>
    <n v="0"/>
    <n v="0"/>
    <n v="2.8"/>
    <n v="2.2399999999999998"/>
    <n v="0"/>
    <n v="0"/>
  </r>
  <r>
    <x v="379"/>
    <x v="372"/>
    <m/>
    <x v="0"/>
    <m/>
    <x v="2"/>
    <m/>
    <m/>
    <s v="Distans"/>
    <m/>
    <m/>
    <n v="50"/>
    <x v="1"/>
    <m/>
    <m/>
    <n v="32"/>
    <n v="8"/>
    <n v="0.8"/>
    <n v="6.4"/>
    <n v="1650"/>
    <x v="11"/>
    <s v="Hum"/>
    <x v="0"/>
    <n v="19473"/>
    <n v="34806"/>
    <n v="378542.4"/>
    <n v="21800"/>
    <n v="174400"/>
    <n v="552942.4"/>
    <n v="0"/>
    <n v="0"/>
    <n v="0"/>
    <n v="0"/>
    <n v="0"/>
    <n v="0"/>
    <n v="0"/>
    <n v="1"/>
    <n v="0"/>
    <n v="0"/>
    <n v="0"/>
    <n v="0"/>
    <s v="Äskat - Beslut p43 180607"/>
    <m/>
    <n v="0"/>
    <n v="0"/>
    <n v="0"/>
    <n v="0"/>
    <n v="0"/>
    <n v="0"/>
    <n v="0"/>
    <n v="0"/>
    <n v="0"/>
    <n v="0"/>
    <n v="0"/>
    <n v="0"/>
    <n v="0"/>
    <n v="0"/>
    <n v="8"/>
    <n v="6.4"/>
    <n v="0"/>
    <n v="0"/>
    <n v="0"/>
    <n v="0"/>
    <n v="0"/>
    <n v="0"/>
    <n v="0"/>
  </r>
  <r>
    <x v="380"/>
    <x v="373"/>
    <m/>
    <x v="4"/>
    <s v="H18"/>
    <x v="1"/>
    <s v="V191-20"/>
    <s v="Umeå"/>
    <m/>
    <s v="TXAL"/>
    <m/>
    <n v="100"/>
    <x v="7"/>
    <m/>
    <m/>
    <n v="2"/>
    <n v="1"/>
    <n v="0.85"/>
    <n v="0.85"/>
    <n v="1650"/>
    <x v="11"/>
    <s v="Hum"/>
    <x v="4"/>
    <n v="19473"/>
    <n v="34806"/>
    <n v="49058.1"/>
    <n v="21800"/>
    <n v="21800"/>
    <n v="70858.100000000006"/>
    <n v="0"/>
    <n v="0"/>
    <n v="0"/>
    <n v="0"/>
    <n v="0"/>
    <n v="0"/>
    <n v="0"/>
    <n v="1"/>
    <n v="0"/>
    <n v="0"/>
    <n v="0"/>
    <n v="0"/>
    <s v="Enl Ladok 190318"/>
    <m/>
    <n v="0"/>
    <n v="0"/>
    <n v="0"/>
    <n v="0"/>
    <n v="0"/>
    <n v="0"/>
    <n v="0"/>
    <n v="0"/>
    <n v="0"/>
    <n v="0"/>
    <n v="0"/>
    <n v="0"/>
    <n v="0"/>
    <n v="0"/>
    <n v="1"/>
    <n v="0.85"/>
    <n v="0"/>
    <n v="0"/>
    <n v="0"/>
    <n v="0"/>
    <n v="0"/>
    <n v="0"/>
    <n v="0"/>
  </r>
  <r>
    <x v="381"/>
    <x v="374"/>
    <m/>
    <x v="0"/>
    <m/>
    <x v="1"/>
    <m/>
    <m/>
    <s v="Distans"/>
    <m/>
    <m/>
    <n v="50"/>
    <x v="1"/>
    <m/>
    <m/>
    <n v="11"/>
    <n v="2.75"/>
    <n v="0.8"/>
    <n v="2.2000000000000002"/>
    <n v="1650"/>
    <x v="11"/>
    <s v="Hum"/>
    <x v="0"/>
    <n v="19473"/>
    <n v="34806"/>
    <n v="130123.95000000001"/>
    <n v="21800"/>
    <n v="59950"/>
    <n v="190073.95"/>
    <n v="0"/>
    <n v="0"/>
    <n v="0"/>
    <n v="0"/>
    <n v="0"/>
    <n v="0"/>
    <n v="0"/>
    <n v="1"/>
    <n v="0"/>
    <n v="0"/>
    <n v="0"/>
    <n v="0"/>
    <s v="Enl Ladok 190318"/>
    <s v="Äskat - Beslut p43 180607"/>
    <n v="0"/>
    <n v="0"/>
    <n v="0"/>
    <n v="0"/>
    <n v="0"/>
    <n v="0"/>
    <n v="0"/>
    <n v="0"/>
    <n v="0"/>
    <n v="0"/>
    <n v="0"/>
    <n v="0"/>
    <n v="0"/>
    <n v="0"/>
    <n v="2.75"/>
    <n v="2.2000000000000002"/>
    <n v="0"/>
    <n v="0"/>
    <n v="0"/>
    <n v="0"/>
    <n v="0"/>
    <n v="0"/>
    <n v="0"/>
  </r>
  <r>
    <x v="382"/>
    <x v="375"/>
    <m/>
    <x v="0"/>
    <m/>
    <x v="1"/>
    <m/>
    <m/>
    <s v="Distans"/>
    <m/>
    <m/>
    <n v="50"/>
    <x v="1"/>
    <m/>
    <m/>
    <n v="18"/>
    <n v="4.5"/>
    <n v="0.8"/>
    <n v="3.6"/>
    <n v="1650"/>
    <x v="11"/>
    <s v="Hum"/>
    <x v="0"/>
    <n v="15846"/>
    <n v="26926"/>
    <n v="168240.6"/>
    <n v="17300"/>
    <n v="77850"/>
    <n v="246090.6"/>
    <n v="0"/>
    <n v="0"/>
    <n v="0"/>
    <n v="0"/>
    <n v="0"/>
    <n v="0"/>
    <n v="0"/>
    <n v="0"/>
    <n v="0"/>
    <n v="0"/>
    <n v="1"/>
    <n v="0"/>
    <s v="Äskat - Beslut p43 180607"/>
    <m/>
    <n v="0"/>
    <n v="0"/>
    <n v="0"/>
    <n v="0"/>
    <n v="0"/>
    <n v="0"/>
    <n v="0"/>
    <n v="0"/>
    <n v="0"/>
    <n v="0"/>
    <n v="0"/>
    <n v="0"/>
    <n v="0"/>
    <n v="0"/>
    <n v="0"/>
    <n v="0"/>
    <n v="0"/>
    <n v="0"/>
    <n v="0"/>
    <n v="4.5"/>
    <n v="3.6"/>
    <n v="0"/>
    <n v="0"/>
  </r>
  <r>
    <x v="383"/>
    <x v="376"/>
    <m/>
    <x v="0"/>
    <m/>
    <x v="1"/>
    <m/>
    <m/>
    <s v="Campus"/>
    <m/>
    <m/>
    <n v="100"/>
    <x v="7"/>
    <m/>
    <m/>
    <n v="2"/>
    <n v="1"/>
    <n v="0.8"/>
    <n v="0.8"/>
    <n v="1650"/>
    <x v="11"/>
    <s v="Hum"/>
    <x v="0"/>
    <n v="19473"/>
    <n v="34806"/>
    <n v="47317.8"/>
    <n v="21800"/>
    <n v="21800"/>
    <n v="69117.8"/>
    <n v="0"/>
    <n v="0"/>
    <n v="0"/>
    <n v="0"/>
    <n v="0"/>
    <n v="0"/>
    <n v="0"/>
    <n v="1"/>
    <n v="0"/>
    <n v="0"/>
    <n v="0"/>
    <n v="0"/>
    <s v="Enl Ladok 190318"/>
    <s v="Äskat - Beslut p43 180607"/>
    <n v="0"/>
    <n v="0"/>
    <n v="0"/>
    <n v="0"/>
    <n v="0"/>
    <n v="0"/>
    <n v="0"/>
    <n v="0"/>
    <n v="0"/>
    <n v="0"/>
    <n v="0"/>
    <n v="0"/>
    <n v="0"/>
    <n v="0"/>
    <n v="1"/>
    <n v="0.8"/>
    <n v="0"/>
    <n v="0"/>
    <n v="0"/>
    <n v="0"/>
    <n v="0"/>
    <n v="0"/>
    <n v="0"/>
  </r>
  <r>
    <x v="383"/>
    <x v="376"/>
    <m/>
    <x v="0"/>
    <m/>
    <x v="2"/>
    <m/>
    <m/>
    <s v="Campus"/>
    <m/>
    <m/>
    <n v="100"/>
    <x v="7"/>
    <m/>
    <m/>
    <n v="3"/>
    <n v="1.5"/>
    <n v="0.8"/>
    <n v="1.2000000000000002"/>
    <n v="1650"/>
    <x v="11"/>
    <s v="Hum"/>
    <x v="0"/>
    <n v="19473"/>
    <n v="34806"/>
    <n v="70976.700000000012"/>
    <n v="21800"/>
    <n v="32700"/>
    <n v="103676.70000000001"/>
    <n v="0"/>
    <n v="0"/>
    <n v="0"/>
    <n v="0"/>
    <n v="0"/>
    <n v="0"/>
    <n v="0"/>
    <n v="1"/>
    <n v="0"/>
    <n v="0"/>
    <n v="0"/>
    <n v="0"/>
    <s v="Äskat - Beslut p43 180607"/>
    <m/>
    <n v="0"/>
    <n v="0"/>
    <n v="0"/>
    <n v="0"/>
    <n v="0"/>
    <n v="0"/>
    <n v="0"/>
    <n v="0"/>
    <n v="0"/>
    <n v="0"/>
    <n v="0"/>
    <n v="0"/>
    <n v="0"/>
    <n v="0"/>
    <n v="1.5"/>
    <n v="1.2000000000000002"/>
    <n v="0"/>
    <n v="0"/>
    <n v="0"/>
    <n v="0"/>
    <n v="0"/>
    <n v="0"/>
    <n v="0"/>
  </r>
  <r>
    <x v="384"/>
    <x v="377"/>
    <m/>
    <x v="0"/>
    <m/>
    <x v="1"/>
    <m/>
    <m/>
    <s v="Distans"/>
    <m/>
    <m/>
    <n v="50"/>
    <x v="1"/>
    <m/>
    <m/>
    <n v="18"/>
    <n v="4.5"/>
    <n v="0.8"/>
    <n v="3.6"/>
    <n v="1650"/>
    <x v="11"/>
    <s v="Hum"/>
    <x v="0"/>
    <n v="19473"/>
    <n v="34806"/>
    <n v="212930.1"/>
    <n v="21800"/>
    <n v="98100"/>
    <n v="311030.09999999998"/>
    <n v="0"/>
    <n v="0"/>
    <n v="0"/>
    <n v="0"/>
    <n v="0"/>
    <n v="0"/>
    <n v="0"/>
    <n v="1"/>
    <n v="0"/>
    <n v="0"/>
    <n v="0"/>
    <n v="0"/>
    <s v="Enl Ladok 190318"/>
    <m/>
    <n v="0"/>
    <n v="0"/>
    <n v="0"/>
    <n v="0"/>
    <n v="0"/>
    <n v="0"/>
    <n v="0"/>
    <n v="0"/>
    <n v="0"/>
    <n v="0"/>
    <n v="0"/>
    <n v="0"/>
    <n v="0"/>
    <n v="0"/>
    <n v="4.5"/>
    <n v="3.6"/>
    <n v="0"/>
    <n v="0"/>
    <n v="0"/>
    <n v="0"/>
    <n v="0"/>
    <n v="0"/>
    <n v="0"/>
  </r>
  <r>
    <x v="385"/>
    <x v="378"/>
    <m/>
    <x v="0"/>
    <m/>
    <x v="1"/>
    <m/>
    <m/>
    <s v="Distans"/>
    <m/>
    <m/>
    <n v="50"/>
    <x v="1"/>
    <m/>
    <m/>
    <n v="32"/>
    <n v="8"/>
    <n v="0.8"/>
    <n v="6.4"/>
    <n v="1650"/>
    <x v="11"/>
    <s v="Hum"/>
    <x v="0"/>
    <n v="19473"/>
    <n v="34806"/>
    <n v="378542.4"/>
    <n v="21800"/>
    <n v="174400"/>
    <n v="552942.4"/>
    <n v="0"/>
    <n v="0"/>
    <n v="0"/>
    <n v="0"/>
    <n v="0"/>
    <n v="0"/>
    <n v="0"/>
    <n v="1"/>
    <n v="0"/>
    <n v="0"/>
    <n v="0"/>
    <n v="0"/>
    <s v="Enl Ladok 190318"/>
    <m/>
    <n v="0"/>
    <n v="0"/>
    <n v="0"/>
    <n v="0"/>
    <n v="0"/>
    <n v="0"/>
    <n v="0"/>
    <n v="0"/>
    <n v="0"/>
    <n v="0"/>
    <n v="0"/>
    <n v="0"/>
    <n v="0"/>
    <n v="0"/>
    <n v="8"/>
    <n v="6.4"/>
    <n v="0"/>
    <n v="0"/>
    <n v="0"/>
    <n v="0"/>
    <n v="0"/>
    <n v="0"/>
    <n v="0"/>
  </r>
  <r>
    <x v="385"/>
    <x v="378"/>
    <m/>
    <x v="0"/>
    <m/>
    <x v="2"/>
    <m/>
    <m/>
    <s v="Distans"/>
    <m/>
    <m/>
    <n v="50"/>
    <x v="1"/>
    <m/>
    <m/>
    <n v="38"/>
    <n v="9.5"/>
    <n v="0.8"/>
    <n v="7.6000000000000005"/>
    <n v="1650"/>
    <x v="11"/>
    <s v="Hum"/>
    <x v="0"/>
    <n v="19473"/>
    <n v="34806"/>
    <n v="449519.10000000003"/>
    <n v="21800"/>
    <n v="207100"/>
    <n v="656619.10000000009"/>
    <n v="0"/>
    <n v="0"/>
    <n v="0"/>
    <n v="0"/>
    <n v="0"/>
    <n v="0"/>
    <n v="0"/>
    <n v="1"/>
    <n v="0"/>
    <n v="0"/>
    <n v="0"/>
    <n v="0"/>
    <s v="Äskat - Beslut p43 180607"/>
    <m/>
    <n v="0"/>
    <n v="0"/>
    <n v="0"/>
    <n v="0"/>
    <n v="0"/>
    <n v="0"/>
    <n v="0"/>
    <n v="0"/>
    <n v="0"/>
    <n v="0"/>
    <n v="0"/>
    <n v="0"/>
    <n v="0"/>
    <n v="0"/>
    <n v="9.5"/>
    <n v="7.6000000000000005"/>
    <n v="0"/>
    <n v="0"/>
    <n v="0"/>
    <n v="0"/>
    <n v="0"/>
    <n v="0"/>
    <n v="0"/>
  </r>
  <r>
    <x v="386"/>
    <x v="379"/>
    <m/>
    <x v="0"/>
    <m/>
    <x v="2"/>
    <m/>
    <m/>
    <s v="Distans"/>
    <m/>
    <m/>
    <n v="50"/>
    <x v="0"/>
    <m/>
    <m/>
    <n v="16"/>
    <n v="2"/>
    <n v="0.8"/>
    <n v="1.6"/>
    <n v="1650"/>
    <x v="11"/>
    <s v="Hum"/>
    <x v="0"/>
    <n v="19473"/>
    <n v="34806"/>
    <n v="94635.6"/>
    <n v="21800"/>
    <n v="43600"/>
    <n v="138235.6"/>
    <n v="0"/>
    <n v="0"/>
    <n v="0"/>
    <n v="0"/>
    <n v="0"/>
    <n v="0"/>
    <n v="0"/>
    <n v="1"/>
    <n v="0"/>
    <n v="0"/>
    <n v="0"/>
    <n v="0"/>
    <s v="Äskat - Beslut p43 180607"/>
    <m/>
    <n v="0"/>
    <n v="0"/>
    <n v="0"/>
    <n v="0"/>
    <n v="0"/>
    <n v="0"/>
    <n v="0"/>
    <n v="0"/>
    <n v="0"/>
    <n v="0"/>
    <n v="0"/>
    <n v="0"/>
    <n v="0"/>
    <n v="0"/>
    <n v="2"/>
    <n v="1.6"/>
    <n v="0"/>
    <n v="0"/>
    <n v="0"/>
    <n v="0"/>
    <n v="0"/>
    <n v="0"/>
    <n v="0"/>
  </r>
  <r>
    <x v="387"/>
    <x v="380"/>
    <m/>
    <x v="0"/>
    <m/>
    <x v="2"/>
    <m/>
    <m/>
    <s v="Distans"/>
    <m/>
    <m/>
    <n v="50"/>
    <x v="0"/>
    <m/>
    <m/>
    <n v="8"/>
    <n v="1"/>
    <n v="0.8"/>
    <n v="0.8"/>
    <n v="1650"/>
    <x v="11"/>
    <s v="Hum"/>
    <x v="0"/>
    <n v="19473"/>
    <n v="34806"/>
    <n v="47317.8"/>
    <n v="21800"/>
    <n v="21800"/>
    <n v="69117.8"/>
    <n v="0"/>
    <n v="0"/>
    <n v="0"/>
    <n v="0"/>
    <n v="0"/>
    <n v="0"/>
    <n v="0"/>
    <n v="1"/>
    <n v="0"/>
    <n v="0"/>
    <n v="0"/>
    <n v="0"/>
    <s v="Äskat - Beslut p43 180607"/>
    <m/>
    <n v="0"/>
    <n v="0"/>
    <n v="0"/>
    <n v="0"/>
    <n v="0"/>
    <n v="0"/>
    <n v="0"/>
    <n v="0"/>
    <n v="0"/>
    <n v="0"/>
    <n v="0"/>
    <n v="0"/>
    <n v="0"/>
    <n v="0"/>
    <n v="1"/>
    <n v="0.8"/>
    <n v="0"/>
    <n v="0"/>
    <n v="0"/>
    <n v="0"/>
    <n v="0"/>
    <n v="0"/>
    <n v="0"/>
  </r>
  <r>
    <x v="388"/>
    <x v="381"/>
    <m/>
    <x v="0"/>
    <m/>
    <x v="2"/>
    <m/>
    <m/>
    <s v="Distans"/>
    <m/>
    <m/>
    <n v="50"/>
    <x v="0"/>
    <m/>
    <m/>
    <n v="15"/>
    <n v="1.875"/>
    <n v="0.8"/>
    <n v="1.5"/>
    <n v="1650"/>
    <x v="11"/>
    <s v="Hum"/>
    <x v="0"/>
    <n v="19473"/>
    <n v="34806"/>
    <n v="88720.875"/>
    <n v="21800"/>
    <n v="40875"/>
    <n v="129595.875"/>
    <n v="0"/>
    <n v="0"/>
    <n v="0"/>
    <n v="0"/>
    <n v="0"/>
    <n v="0"/>
    <n v="0"/>
    <n v="1"/>
    <n v="0"/>
    <n v="0"/>
    <n v="0"/>
    <n v="0"/>
    <s v="Äskat - Beslut p43 180607"/>
    <m/>
    <n v="0"/>
    <n v="0"/>
    <n v="0"/>
    <n v="0"/>
    <n v="0"/>
    <n v="0"/>
    <n v="0"/>
    <n v="0"/>
    <n v="0"/>
    <n v="0"/>
    <n v="0"/>
    <n v="0"/>
    <n v="0"/>
    <n v="0"/>
    <n v="1.875"/>
    <n v="1.5"/>
    <n v="0"/>
    <n v="0"/>
    <n v="0"/>
    <n v="0"/>
    <n v="0"/>
    <n v="0"/>
    <n v="0"/>
  </r>
  <r>
    <x v="389"/>
    <x v="382"/>
    <m/>
    <x v="0"/>
    <m/>
    <x v="1"/>
    <m/>
    <m/>
    <s v="Distans"/>
    <m/>
    <m/>
    <n v="50"/>
    <x v="1"/>
    <m/>
    <m/>
    <n v="6"/>
    <n v="1.5"/>
    <n v="0.8"/>
    <n v="1.2000000000000002"/>
    <n v="1650"/>
    <x v="11"/>
    <s v="Hum"/>
    <x v="0"/>
    <n v="18405"/>
    <n v="15773"/>
    <n v="46535.100000000006"/>
    <n v="5800"/>
    <n v="8700"/>
    <n v="55235.100000000006"/>
    <n v="0"/>
    <n v="1"/>
    <n v="0"/>
    <n v="0"/>
    <n v="0"/>
    <n v="0"/>
    <n v="0"/>
    <n v="0"/>
    <n v="0"/>
    <n v="0"/>
    <n v="0"/>
    <n v="0"/>
    <s v="Enl Ladok 190318"/>
    <m/>
    <n v="0"/>
    <n v="0"/>
    <n v="1.5"/>
    <n v="1.2000000000000002"/>
    <n v="0"/>
    <n v="0"/>
    <n v="0"/>
    <n v="0"/>
    <n v="0"/>
    <n v="0"/>
    <n v="0"/>
    <n v="0"/>
    <n v="0"/>
    <n v="0"/>
    <n v="0"/>
    <n v="0"/>
    <n v="0"/>
    <n v="0"/>
    <n v="0"/>
    <n v="0"/>
    <n v="0"/>
    <n v="0"/>
    <n v="0"/>
  </r>
  <r>
    <x v="390"/>
    <x v="383"/>
    <m/>
    <x v="4"/>
    <s v="H17"/>
    <x v="1"/>
    <s v="V191-20"/>
    <s v="Umeå"/>
    <m/>
    <s v="TXBI"/>
    <m/>
    <n v="100"/>
    <x v="7"/>
    <m/>
    <m/>
    <n v="4"/>
    <n v="2"/>
    <n v="0.85"/>
    <n v="1.7"/>
    <n v="1650"/>
    <x v="11"/>
    <s v="Hum"/>
    <x v="4"/>
    <n v="19473"/>
    <n v="34806"/>
    <n v="98116.2"/>
    <n v="21800"/>
    <n v="43600"/>
    <n v="141716.20000000001"/>
    <n v="0"/>
    <n v="0"/>
    <n v="0"/>
    <n v="0"/>
    <n v="0"/>
    <n v="0"/>
    <n v="0"/>
    <n v="1"/>
    <n v="0"/>
    <n v="0"/>
    <n v="0"/>
    <n v="0"/>
    <s v="Enl Ladok 190318"/>
    <m/>
    <n v="0"/>
    <n v="0"/>
    <n v="0"/>
    <n v="0"/>
    <n v="0"/>
    <n v="0"/>
    <n v="0"/>
    <n v="0"/>
    <n v="0"/>
    <n v="0"/>
    <n v="0"/>
    <n v="0"/>
    <n v="0"/>
    <n v="0"/>
    <n v="2"/>
    <n v="1.7"/>
    <n v="0"/>
    <n v="0"/>
    <n v="0"/>
    <n v="0"/>
    <n v="0"/>
    <n v="0"/>
    <n v="0"/>
  </r>
  <r>
    <x v="391"/>
    <x v="384"/>
    <m/>
    <x v="0"/>
    <m/>
    <x v="1"/>
    <m/>
    <m/>
    <s v="Campus"/>
    <m/>
    <m/>
    <n v="100"/>
    <x v="7"/>
    <m/>
    <m/>
    <n v="0"/>
    <n v="0"/>
    <n v="0.8"/>
    <n v="0"/>
    <n v="1650"/>
    <x v="11"/>
    <s v="Hum"/>
    <x v="0"/>
    <n v="19473"/>
    <n v="34806"/>
    <n v="0"/>
    <n v="21800"/>
    <n v="0"/>
    <n v="0"/>
    <n v="0"/>
    <n v="0"/>
    <n v="0"/>
    <n v="0"/>
    <n v="0"/>
    <n v="0"/>
    <n v="0"/>
    <n v="1"/>
    <n v="0"/>
    <n v="0"/>
    <n v="0"/>
    <n v="0"/>
    <s v="Enl Ladok 190318"/>
    <s v="Äskat - Beslut p43 180607"/>
    <n v="0"/>
    <n v="0"/>
    <n v="0"/>
    <n v="0"/>
    <n v="0"/>
    <n v="0"/>
    <n v="0"/>
    <n v="0"/>
    <n v="0"/>
    <n v="0"/>
    <n v="0"/>
    <n v="0"/>
    <n v="0"/>
    <n v="0"/>
    <n v="0"/>
    <n v="0"/>
    <n v="0"/>
    <n v="0"/>
    <n v="0"/>
    <n v="0"/>
    <n v="0"/>
    <n v="0"/>
    <n v="0"/>
  </r>
  <r>
    <x v="392"/>
    <x v="385"/>
    <m/>
    <x v="4"/>
    <s v="H18"/>
    <x v="2"/>
    <s v="H191-20"/>
    <m/>
    <m/>
    <s v="TXAL"/>
    <m/>
    <n v="100"/>
    <x v="7"/>
    <m/>
    <m/>
    <n v="2"/>
    <n v="1"/>
    <n v="0.85"/>
    <n v="0.85"/>
    <n v="1650"/>
    <x v="11"/>
    <s v="Hum"/>
    <x v="4"/>
    <n v="19473"/>
    <n v="34806"/>
    <n v="49058.1"/>
    <n v="21800"/>
    <n v="21800"/>
    <n v="70858.100000000006"/>
    <n v="0"/>
    <n v="0"/>
    <n v="0"/>
    <n v="0"/>
    <n v="0"/>
    <n v="0"/>
    <n v="0"/>
    <n v="1"/>
    <n v="0"/>
    <n v="0"/>
    <n v="0"/>
    <n v="0"/>
    <s v="Enligt SP 190924"/>
    <m/>
    <n v="0"/>
    <n v="0"/>
    <n v="0"/>
    <n v="0"/>
    <n v="0"/>
    <n v="0"/>
    <n v="0"/>
    <n v="0"/>
    <n v="0"/>
    <n v="0"/>
    <n v="0"/>
    <n v="0"/>
    <n v="0"/>
    <n v="0"/>
    <n v="1"/>
    <n v="0.85"/>
    <n v="0"/>
    <n v="0"/>
    <n v="0"/>
    <n v="0"/>
    <n v="0"/>
    <n v="0"/>
    <n v="0"/>
  </r>
  <r>
    <x v="393"/>
    <x v="386"/>
    <m/>
    <x v="0"/>
    <m/>
    <x v="1"/>
    <m/>
    <m/>
    <s v="Campus"/>
    <m/>
    <m/>
    <n v="100"/>
    <x v="7"/>
    <m/>
    <m/>
    <n v="0"/>
    <n v="0"/>
    <n v="0.8"/>
    <n v="0"/>
    <n v="1620"/>
    <x v="10"/>
    <s v="Hum"/>
    <x v="0"/>
    <n v="18405"/>
    <n v="15773"/>
    <n v="0"/>
    <n v="5800"/>
    <n v="0"/>
    <n v="0"/>
    <n v="0"/>
    <n v="1"/>
    <n v="0"/>
    <n v="0"/>
    <n v="0"/>
    <n v="0"/>
    <n v="0"/>
    <n v="0"/>
    <n v="0"/>
    <n v="0"/>
    <n v="0"/>
    <n v="0"/>
    <s v="Enl Ladok 190318"/>
    <s v="Äskat - Beslut p43 180607"/>
    <n v="0"/>
    <n v="0"/>
    <n v="0"/>
    <n v="0"/>
    <n v="0"/>
    <n v="0"/>
    <n v="0"/>
    <n v="0"/>
    <n v="0"/>
    <n v="0"/>
    <n v="0"/>
    <n v="0"/>
    <n v="0"/>
    <n v="0"/>
    <n v="0"/>
    <n v="0"/>
    <n v="0"/>
    <n v="0"/>
    <n v="0"/>
    <n v="0"/>
    <n v="0"/>
    <n v="0"/>
    <n v="0"/>
  </r>
  <r>
    <x v="394"/>
    <x v="387"/>
    <m/>
    <x v="0"/>
    <m/>
    <x v="2"/>
    <m/>
    <m/>
    <s v="Campus"/>
    <m/>
    <m/>
    <n v="100"/>
    <x v="7"/>
    <m/>
    <m/>
    <n v="1"/>
    <n v="0.5"/>
    <n v="0.8"/>
    <n v="0.4"/>
    <n v="1620"/>
    <x v="10"/>
    <s v="Hum"/>
    <x v="0"/>
    <n v="18405"/>
    <n v="15773"/>
    <n v="15511.7"/>
    <n v="5800"/>
    <n v="2900"/>
    <n v="18411.7"/>
    <n v="0"/>
    <n v="1"/>
    <n v="0"/>
    <n v="0"/>
    <n v="0"/>
    <n v="0"/>
    <n v="0"/>
    <n v="0"/>
    <n v="0"/>
    <n v="0"/>
    <n v="0"/>
    <n v="0"/>
    <s v="Äskat - Beslut p43 180607"/>
    <m/>
    <n v="0"/>
    <n v="0"/>
    <n v="0.5"/>
    <n v="0.4"/>
    <n v="0"/>
    <n v="0"/>
    <n v="0"/>
    <n v="0"/>
    <n v="0"/>
    <n v="0"/>
    <n v="0"/>
    <n v="0"/>
    <n v="0"/>
    <n v="0"/>
    <n v="0"/>
    <n v="0"/>
    <n v="0"/>
    <n v="0"/>
    <n v="0"/>
    <n v="0"/>
    <n v="0"/>
    <n v="0"/>
    <n v="0"/>
  </r>
  <r>
    <x v="395"/>
    <x v="388"/>
    <m/>
    <x v="0"/>
    <m/>
    <x v="1"/>
    <m/>
    <m/>
    <s v="Campus"/>
    <m/>
    <m/>
    <n v="100"/>
    <x v="7"/>
    <m/>
    <m/>
    <n v="1"/>
    <n v="0.5"/>
    <n v="0.8"/>
    <n v="0.4"/>
    <n v="1620"/>
    <x v="10"/>
    <s v="Hum"/>
    <x v="0"/>
    <n v="18405"/>
    <n v="15773"/>
    <n v="15511.7"/>
    <n v="5800"/>
    <n v="2900"/>
    <n v="18411.7"/>
    <n v="0"/>
    <n v="1"/>
    <n v="0"/>
    <n v="0"/>
    <n v="0"/>
    <n v="0"/>
    <n v="0"/>
    <n v="0"/>
    <n v="0"/>
    <n v="0"/>
    <n v="0"/>
    <n v="0"/>
    <s v="Enl Ladok 190318"/>
    <s v="Äskat - Beslut p43 180607"/>
    <n v="0"/>
    <n v="0"/>
    <n v="0.5"/>
    <n v="0.4"/>
    <n v="0"/>
    <n v="0"/>
    <n v="0"/>
    <n v="0"/>
    <n v="0"/>
    <n v="0"/>
    <n v="0"/>
    <n v="0"/>
    <n v="0"/>
    <n v="0"/>
    <n v="0"/>
    <n v="0"/>
    <n v="0"/>
    <n v="0"/>
    <n v="0"/>
    <n v="0"/>
    <n v="0"/>
    <n v="0"/>
    <n v="0"/>
  </r>
  <r>
    <x v="395"/>
    <x v="388"/>
    <m/>
    <x v="1"/>
    <s v="H17"/>
    <x v="1"/>
    <s v="V191-20"/>
    <s v="Umeå"/>
    <m/>
    <s v="TYSK"/>
    <m/>
    <n v="100"/>
    <x v="7"/>
    <m/>
    <m/>
    <n v="1"/>
    <n v="0.5"/>
    <n v="0.85"/>
    <n v="0.42499999999999999"/>
    <n v="1620"/>
    <x v="10"/>
    <s v="Hum"/>
    <x v="1"/>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396"/>
    <x v="389"/>
    <m/>
    <x v="1"/>
    <s v="H17"/>
    <x v="2"/>
    <s v="H1913-16"/>
    <m/>
    <m/>
    <s v="TYSK"/>
    <m/>
    <n v="100"/>
    <x v="2"/>
    <m/>
    <m/>
    <n v="1"/>
    <n v="0.1"/>
    <n v="0.85"/>
    <n v="8.5000000000000006E-2"/>
    <n v="1620"/>
    <x v="10"/>
    <s v="Hum"/>
    <x v="1"/>
    <n v="21634"/>
    <n v="26986"/>
    <n v="4457.21"/>
    <n v="3400"/>
    <n v="340"/>
    <n v="4797.21"/>
    <n v="0"/>
    <n v="0"/>
    <n v="0"/>
    <n v="0"/>
    <n v="0"/>
    <n v="0"/>
    <n v="0"/>
    <n v="0"/>
    <n v="1"/>
    <n v="0"/>
    <n v="0"/>
    <n v="0"/>
    <s v="Enligt SP 190924"/>
    <m/>
    <n v="0"/>
    <n v="0"/>
    <n v="0"/>
    <n v="0"/>
    <n v="0"/>
    <n v="0"/>
    <n v="0"/>
    <n v="0"/>
    <n v="0"/>
    <n v="0"/>
    <n v="0"/>
    <n v="0"/>
    <n v="0"/>
    <n v="0"/>
    <n v="0"/>
    <n v="0"/>
    <n v="0.1"/>
    <n v="8.5000000000000006E-2"/>
    <n v="0"/>
    <n v="0"/>
    <n v="0"/>
    <n v="0"/>
    <n v="0"/>
  </r>
  <r>
    <x v="397"/>
    <x v="390"/>
    <m/>
    <x v="1"/>
    <s v="H17"/>
    <x v="2"/>
    <s v="H191-20"/>
    <m/>
    <m/>
    <s v="TYSK"/>
    <m/>
    <n v="100"/>
    <x v="7"/>
    <m/>
    <m/>
    <n v="1"/>
    <n v="0.5"/>
    <n v="0.85"/>
    <n v="0.42499999999999999"/>
    <n v="1620"/>
    <x v="10"/>
    <s v="Hum"/>
    <x v="1"/>
    <n v="18405"/>
    <n v="15773"/>
    <n v="15906.025"/>
    <n v="5800"/>
    <n v="2900"/>
    <n v="18806.025000000001"/>
    <n v="0"/>
    <n v="1"/>
    <n v="0"/>
    <n v="0"/>
    <n v="0"/>
    <n v="0"/>
    <n v="0"/>
    <n v="0"/>
    <n v="0"/>
    <n v="0"/>
    <n v="0"/>
    <n v="0"/>
    <s v="Enligt SP 190924"/>
    <m/>
    <n v="0"/>
    <n v="0"/>
    <n v="0.5"/>
    <n v="0.42499999999999999"/>
    <n v="0"/>
    <n v="0"/>
    <n v="0"/>
    <n v="0"/>
    <n v="0"/>
    <n v="0"/>
    <n v="0"/>
    <n v="0"/>
    <n v="0"/>
    <n v="0"/>
    <n v="0"/>
    <n v="0"/>
    <n v="0"/>
    <n v="0"/>
    <n v="0"/>
    <n v="0"/>
    <n v="0"/>
    <n v="0"/>
    <n v="0"/>
  </r>
</pivotCacheRecords>
</file>

<file path=xl/pivotCache/pivotCacheRecords3.xml><?xml version="1.0" encoding="utf-8"?>
<pivotCacheRecords xmlns="http://schemas.openxmlformats.org/spreadsheetml/2006/main" xmlns:r="http://schemas.openxmlformats.org/officeDocument/2006/relationships" count="1277">
  <r>
    <s v="2ID004"/>
    <s v="Anpassad fysisk aktivitet med inriktning mot rörelsehinder"/>
    <m/>
    <s v="FRIST"/>
    <m/>
    <s v="Sommar"/>
    <s v="Sommarkurs"/>
    <m/>
    <s v="Campus"/>
    <m/>
    <m/>
    <n v="50"/>
    <n v="7.5"/>
    <m/>
    <m/>
    <n v="0"/>
    <n v="0"/>
    <n v="0.8"/>
    <n v="0"/>
    <x v="0"/>
    <s v="Pedagogik                     "/>
    <s v="Sam"/>
    <s v="Fristående och övriga kurser"/>
    <n v="31719.5"/>
    <n v="23660"/>
    <n v="0"/>
    <n v="20150"/>
    <n v="0"/>
    <n v="0"/>
    <n v="0"/>
    <n v="0"/>
    <n v="0.5"/>
    <n v="0"/>
    <n v="0"/>
    <n v="0"/>
    <n v="0.5"/>
    <n v="0"/>
    <n v="0"/>
    <n v="0"/>
    <n v="0"/>
    <n v="0"/>
  </r>
  <r>
    <s v="2IT029"/>
    <s v="Digital kompetens och lärande I"/>
    <m/>
    <s v="FRIST"/>
    <m/>
    <s v="Sommar"/>
    <s v="Sommarkurs"/>
    <m/>
    <s v="Distans"/>
    <m/>
    <m/>
    <n v="50"/>
    <n v="7.5"/>
    <m/>
    <m/>
    <n v="0"/>
    <n v="0"/>
    <n v="0.8"/>
    <n v="0"/>
    <x v="1"/>
    <s v="TUV "/>
    <s v="Sam"/>
    <s v="Fristående och övriga kurser"/>
    <n v="19473"/>
    <n v="34806"/>
    <n v="0"/>
    <n v="21800"/>
    <n v="0"/>
    <n v="0"/>
    <n v="0"/>
    <n v="0"/>
    <n v="0"/>
    <n v="0"/>
    <n v="0"/>
    <n v="1"/>
    <n v="0"/>
    <n v="0"/>
    <n v="0"/>
    <n v="0"/>
    <n v="0"/>
    <n v="0"/>
  </r>
  <r>
    <s v="5BI137"/>
    <s v="Fysiologi och cellbiologi"/>
    <m/>
    <s v="LYAGY"/>
    <s v="H15"/>
    <s v="V19"/>
    <s v="V1911-20"/>
    <s v="Umeå"/>
    <m/>
    <s v="ENGS"/>
    <m/>
    <n v="100"/>
    <n v="15"/>
    <m/>
    <m/>
    <n v="1"/>
    <n v="0.25"/>
    <n v="0.85"/>
    <n v="0.21249999999999999"/>
    <x v="2"/>
    <s v="Inst för Fysiologisk botanik  "/>
    <s v="TekNat"/>
    <s v="Ämneslärarprogrammet - Gy"/>
    <n v="19473"/>
    <n v="34806"/>
    <n v="12264.525"/>
    <n v="21800"/>
    <n v="5450"/>
    <n v="17714.525000000001"/>
    <n v="0"/>
    <n v="0"/>
    <n v="0"/>
    <n v="0"/>
    <n v="0"/>
    <n v="1"/>
    <n v="0"/>
    <n v="0"/>
    <n v="0"/>
    <n v="0"/>
    <n v="0"/>
    <n v="0"/>
  </r>
  <r>
    <s v="5BI137"/>
    <s v="Fysiologi och cellbiologi"/>
    <m/>
    <s v="LYAGY"/>
    <s v="H15"/>
    <s v="V19"/>
    <s v="V1911-20"/>
    <s v="Umeå"/>
    <m/>
    <s v="MATT"/>
    <m/>
    <n v="100"/>
    <n v="15"/>
    <m/>
    <m/>
    <n v="2"/>
    <n v="0.5"/>
    <n v="0.85"/>
    <n v="0.42499999999999999"/>
    <x v="2"/>
    <s v="Inst för Fysiologisk botanik  "/>
    <s v="TekNat"/>
    <s v="Ämneslärarprogrammet - Gy"/>
    <n v="19473"/>
    <n v="34806"/>
    <n v="24529.05"/>
    <n v="21800"/>
    <n v="10900"/>
    <n v="35429.050000000003"/>
    <n v="0"/>
    <n v="0"/>
    <n v="0"/>
    <n v="0"/>
    <n v="0"/>
    <n v="1"/>
    <n v="0"/>
    <n v="0"/>
    <n v="0"/>
    <n v="0"/>
    <n v="0"/>
    <n v="0"/>
  </r>
  <r>
    <s v="5BI137"/>
    <s v="Fysiologi och cellbiologi"/>
    <m/>
    <s v="LYAGY"/>
    <s v="H15"/>
    <s v="V19"/>
    <s v="V1911-20"/>
    <s v="Umeå"/>
    <m/>
    <s v="MUSI"/>
    <m/>
    <n v="100"/>
    <n v="15"/>
    <m/>
    <m/>
    <n v="1"/>
    <n v="0.25"/>
    <n v="0.85"/>
    <n v="0.21249999999999999"/>
    <x v="2"/>
    <s v="Inst för Fysiologisk botanik  "/>
    <s v="TekNat"/>
    <s v="Ämneslärarprogrammet - Gy"/>
    <n v="19473"/>
    <n v="34806"/>
    <n v="12264.525"/>
    <n v="21800"/>
    <n v="5450"/>
    <n v="17714.525000000001"/>
    <n v="0"/>
    <n v="0"/>
    <n v="0"/>
    <n v="0"/>
    <n v="0"/>
    <n v="1"/>
    <n v="0"/>
    <n v="0"/>
    <n v="0"/>
    <n v="0"/>
    <n v="0"/>
    <n v="0"/>
  </r>
  <r>
    <s v="5BI137"/>
    <s v="Fysiologi och cellbiologi"/>
    <m/>
    <s v="LYAGY"/>
    <s v="H15"/>
    <s v="V19"/>
    <s v="V1911-20"/>
    <s v="Umeå"/>
    <m/>
    <s v="SVAA"/>
    <m/>
    <n v="100"/>
    <n v="15"/>
    <m/>
    <m/>
    <n v="1"/>
    <n v="0.25"/>
    <n v="0.85"/>
    <n v="0.21249999999999999"/>
    <x v="2"/>
    <s v="Inst för Fysiologisk botanik  "/>
    <s v="TekNat"/>
    <s v="Ämneslärarprogrammet - Gy"/>
    <n v="19473"/>
    <n v="34806"/>
    <n v="12264.525"/>
    <n v="21800"/>
    <n v="5450"/>
    <n v="17714.525000000001"/>
    <n v="0"/>
    <n v="0"/>
    <n v="0"/>
    <n v="0"/>
    <n v="0"/>
    <n v="1"/>
    <n v="0"/>
    <n v="0"/>
    <n v="0"/>
    <n v="0"/>
    <n v="0"/>
    <n v="0"/>
  </r>
  <r>
    <s v="5BI137"/>
    <s v="Fysiologi och cellbiologi"/>
    <m/>
    <s v="LYAGY"/>
    <s v="H16"/>
    <s v="V19"/>
    <s v="V1911-20"/>
    <s v="Umeå"/>
    <m/>
    <s v="BILÄ"/>
    <m/>
    <n v="100"/>
    <n v="15"/>
    <m/>
    <m/>
    <n v="1"/>
    <n v="0.25"/>
    <n v="0.85"/>
    <n v="0.21249999999999999"/>
    <x v="2"/>
    <s v="Inst för Fysiologisk botanik  "/>
    <s v="TekNat"/>
    <s v="Ämneslärarprogrammet - Gy"/>
    <n v="19473"/>
    <n v="34806"/>
    <n v="12264.525"/>
    <n v="21800"/>
    <n v="5450"/>
    <n v="17714.525000000001"/>
    <n v="0"/>
    <n v="0"/>
    <n v="0"/>
    <n v="0"/>
    <n v="0"/>
    <n v="1"/>
    <n v="0"/>
    <n v="0"/>
    <n v="0"/>
    <n v="0"/>
    <n v="0"/>
    <n v="0"/>
  </r>
  <r>
    <s v="5BI137"/>
    <s v="Fysiologi och cellbiologi"/>
    <m/>
    <s v="LYAGY"/>
    <s v="H16"/>
    <s v="V19"/>
    <s v="V1911-20"/>
    <s v="Umeå"/>
    <m/>
    <s v="MATT"/>
    <m/>
    <n v="100"/>
    <n v="15"/>
    <m/>
    <m/>
    <n v="1"/>
    <n v="0.25"/>
    <n v="0.85"/>
    <n v="0.21249999999999999"/>
    <x v="2"/>
    <s v="Inst för Fysiologisk botanik  "/>
    <s v="TekNat"/>
    <s v="Ämneslärarprogrammet - Gy"/>
    <n v="19473"/>
    <n v="34806"/>
    <n v="12264.525"/>
    <n v="21800"/>
    <n v="5450"/>
    <n v="17714.525000000001"/>
    <n v="0"/>
    <n v="0"/>
    <n v="0"/>
    <n v="0"/>
    <n v="0"/>
    <n v="1"/>
    <n v="0"/>
    <n v="0"/>
    <n v="0"/>
    <n v="0"/>
    <n v="0"/>
    <n v="0"/>
  </r>
  <r>
    <s v="5BI137"/>
    <s v="Fysiologi och cellbiologi"/>
    <m/>
    <s v="LYAGY"/>
    <s v="H17"/>
    <s v="V19"/>
    <s v="V1911-20"/>
    <s v="Umeå"/>
    <m/>
    <s v="BIOL"/>
    <m/>
    <n v="100"/>
    <n v="15"/>
    <m/>
    <m/>
    <n v="1"/>
    <n v="0.25"/>
    <n v="0.85"/>
    <n v="0.21249999999999999"/>
    <x v="2"/>
    <s v="Inst för Fysiologisk botanik  "/>
    <s v="TekNat"/>
    <s v="Ämneslärarprogrammet - Gy"/>
    <n v="19473"/>
    <n v="34806"/>
    <n v="12264.525"/>
    <n v="21800"/>
    <n v="5450"/>
    <n v="17714.525000000001"/>
    <n v="0"/>
    <n v="0"/>
    <n v="0"/>
    <n v="0"/>
    <n v="0"/>
    <n v="1"/>
    <n v="0"/>
    <n v="0"/>
    <n v="0"/>
    <n v="0"/>
    <n v="0"/>
    <n v="0"/>
  </r>
  <r>
    <s v="5BI137"/>
    <s v="Fysiologi och cellbiologi"/>
    <m/>
    <s v="LYAGY"/>
    <s v="H18"/>
    <s v="V19"/>
    <s v="V1911-20"/>
    <s v="Umeå"/>
    <m/>
    <s v="NATU"/>
    <m/>
    <n v="100"/>
    <n v="15"/>
    <m/>
    <m/>
    <n v="1"/>
    <n v="0.25"/>
    <n v="0.85"/>
    <n v="0.21249999999999999"/>
    <x v="2"/>
    <s v="Inst för Fysiologisk botanik  "/>
    <s v="TekNat"/>
    <s v="Ämneslärarprogrammet - Gy"/>
    <n v="19473"/>
    <n v="34806"/>
    <n v="12264.525"/>
    <n v="21800"/>
    <n v="5450"/>
    <n v="17714.525000000001"/>
    <n v="0"/>
    <n v="0"/>
    <n v="0"/>
    <n v="0"/>
    <n v="0"/>
    <n v="1"/>
    <n v="0"/>
    <n v="0"/>
    <n v="0"/>
    <n v="0"/>
    <n v="0"/>
    <n v="0"/>
  </r>
  <r>
    <s v="5BI184"/>
    <s v="Naturens mångfald"/>
    <m/>
    <s v="LYAGY"/>
    <s v="H15"/>
    <s v="H19"/>
    <s v="H191-10"/>
    <m/>
    <m/>
    <s v="IDRH"/>
    <m/>
    <n v="100"/>
    <n v="15"/>
    <m/>
    <m/>
    <n v="1"/>
    <n v="0.25"/>
    <n v="0.85"/>
    <n v="0.21249999999999999"/>
    <x v="3"/>
    <s v="EMG"/>
    <s v="TekNat"/>
    <s v="Ämneslärarprogrammet - Gy"/>
    <n v="19473"/>
    <n v="34806"/>
    <n v="12264.525"/>
    <n v="21800"/>
    <n v="5450"/>
    <n v="17714.525000000001"/>
    <n v="0"/>
    <n v="0"/>
    <n v="0"/>
    <n v="0"/>
    <n v="0"/>
    <n v="1"/>
    <n v="0"/>
    <n v="0"/>
    <n v="0"/>
    <n v="0"/>
    <n v="0"/>
    <n v="0"/>
  </r>
  <r>
    <s v="5BI194"/>
    <s v="Genetik och evolution"/>
    <m/>
    <s v="LYAGY"/>
    <s v="H16"/>
    <s v="H19"/>
    <s v="H1911-20"/>
    <m/>
    <m/>
    <s v="BILÄ"/>
    <m/>
    <n v="100"/>
    <n v="15"/>
    <m/>
    <m/>
    <n v="1"/>
    <n v="0.25"/>
    <n v="0.85"/>
    <n v="0.21249999999999999"/>
    <x v="3"/>
    <s v="EMG"/>
    <s v="TekNat"/>
    <s v="Ämneslärarprogrammet - Gy"/>
    <n v="19473"/>
    <n v="34806"/>
    <n v="12264.525"/>
    <n v="21800"/>
    <n v="5450"/>
    <n v="17714.525000000001"/>
    <n v="0"/>
    <n v="0"/>
    <n v="0"/>
    <n v="0"/>
    <n v="0"/>
    <n v="0.5"/>
    <n v="0"/>
    <n v="0.5"/>
    <n v="0"/>
    <n v="0"/>
    <n v="0"/>
    <n v="0"/>
  </r>
  <r>
    <s v="5BI194"/>
    <s v="Genetik och evolution"/>
    <m/>
    <s v="LYAGY"/>
    <s v="H16"/>
    <s v="H19"/>
    <s v="H1911-20"/>
    <m/>
    <m/>
    <s v="IDRH"/>
    <m/>
    <n v="100"/>
    <n v="15"/>
    <m/>
    <m/>
    <n v="1"/>
    <n v="0.25"/>
    <n v="0.85"/>
    <n v="0.21249999999999999"/>
    <x v="3"/>
    <s v="EMG"/>
    <s v="TekNat"/>
    <s v="Ämneslärarprogrammet - Gy"/>
    <n v="19473"/>
    <n v="34806"/>
    <n v="12264.525"/>
    <n v="21800"/>
    <n v="5450"/>
    <n v="17714.525000000001"/>
    <n v="0"/>
    <n v="0"/>
    <n v="0"/>
    <n v="0"/>
    <n v="0"/>
    <n v="0.5"/>
    <n v="0"/>
    <n v="0.5"/>
    <n v="0"/>
    <n v="0"/>
    <n v="0"/>
    <n v="0"/>
  </r>
  <r>
    <s v="5BI194"/>
    <s v="Genetik och evolution"/>
    <m/>
    <s v="LYAGY"/>
    <s v="H16"/>
    <s v="H19"/>
    <s v="H1911-20"/>
    <m/>
    <m/>
    <s v="MATT"/>
    <m/>
    <n v="100"/>
    <n v="15"/>
    <m/>
    <m/>
    <n v="1"/>
    <n v="0.25"/>
    <n v="0.85"/>
    <n v="0.21249999999999999"/>
    <x v="3"/>
    <s v="EMG"/>
    <s v="TekNat"/>
    <s v="Ämneslärarprogrammet - Gy"/>
    <n v="19473"/>
    <n v="34806"/>
    <n v="12264.525"/>
    <n v="21800"/>
    <n v="5450"/>
    <n v="17714.525000000001"/>
    <n v="0"/>
    <n v="0"/>
    <n v="0"/>
    <n v="0"/>
    <n v="0"/>
    <n v="0.5"/>
    <n v="0"/>
    <n v="0.5"/>
    <n v="0"/>
    <n v="0"/>
    <n v="0"/>
    <n v="0"/>
  </r>
  <r>
    <s v="5BI194"/>
    <s v="Genetik och evolution"/>
    <m/>
    <s v="LYAGY"/>
    <s v="H17"/>
    <s v="H19"/>
    <s v="H1911-20"/>
    <m/>
    <m/>
    <s v="ENGS"/>
    <m/>
    <n v="100"/>
    <n v="15"/>
    <m/>
    <m/>
    <n v="1"/>
    <n v="0.25"/>
    <n v="0.85"/>
    <n v="0.21249999999999999"/>
    <x v="3"/>
    <s v="EMG"/>
    <s v="TekNat"/>
    <s v="Ämneslärarprogrammet - Gy"/>
    <n v="19473"/>
    <n v="34806"/>
    <n v="12264.525"/>
    <n v="21800"/>
    <n v="5450"/>
    <n v="17714.525000000001"/>
    <n v="0"/>
    <n v="0"/>
    <n v="0"/>
    <n v="0"/>
    <n v="0"/>
    <n v="0.5"/>
    <n v="0"/>
    <n v="0.5"/>
    <n v="0"/>
    <n v="0"/>
    <n v="0"/>
    <n v="0"/>
  </r>
  <r>
    <s v="5BI194"/>
    <s v="Genetik och evolution"/>
    <m/>
    <s v="LYAGY"/>
    <s v="H18"/>
    <s v="H19"/>
    <s v="H1911-20"/>
    <m/>
    <m/>
    <s v="BIOL"/>
    <m/>
    <n v="100"/>
    <n v="15"/>
    <m/>
    <m/>
    <n v="5"/>
    <n v="1.25"/>
    <n v="0.85"/>
    <n v="1.0625"/>
    <x v="3"/>
    <s v="EMG"/>
    <s v="TekNat"/>
    <s v="Ämneslärarprogrammet - Gy"/>
    <n v="19473"/>
    <n v="34806"/>
    <n v="61322.625"/>
    <n v="21800"/>
    <n v="27250"/>
    <n v="88572.625"/>
    <n v="0"/>
    <n v="0"/>
    <n v="0"/>
    <n v="0"/>
    <n v="0"/>
    <n v="0.5"/>
    <n v="0"/>
    <n v="0.5"/>
    <n v="0"/>
    <n v="0"/>
    <n v="0"/>
    <n v="0"/>
  </r>
  <r>
    <s v="5BI234"/>
    <s v="Ekologi"/>
    <m/>
    <s v="LYAGY"/>
    <s v="H15"/>
    <s v="V19"/>
    <s v="V1911-20"/>
    <s v="Umeå"/>
    <m/>
    <s v="IDRH"/>
    <m/>
    <n v="100"/>
    <n v="15"/>
    <m/>
    <m/>
    <n v="1"/>
    <n v="0.25"/>
    <n v="0.85"/>
    <n v="0.21249999999999999"/>
    <x v="3"/>
    <s v="EMG"/>
    <s v="TekNat"/>
    <s v="Ämneslärarprogrammet - Gy"/>
    <n v="19473"/>
    <n v="34806"/>
    <n v="12264.525"/>
    <n v="21800"/>
    <n v="5450"/>
    <n v="17714.525000000001"/>
    <n v="0"/>
    <n v="0"/>
    <n v="0"/>
    <n v="0"/>
    <n v="0"/>
    <n v="1"/>
    <n v="0"/>
    <n v="0"/>
    <n v="0"/>
    <n v="0"/>
    <n v="0"/>
    <n v="0"/>
  </r>
  <r>
    <s v="5BI234"/>
    <s v="Ekologi"/>
    <m/>
    <s v="LYAGY"/>
    <s v="H16"/>
    <s v="V19"/>
    <s v="V1911-20"/>
    <s v="Umeå"/>
    <m/>
    <s v="ENGS"/>
    <m/>
    <n v="100"/>
    <n v="15"/>
    <m/>
    <m/>
    <n v="1"/>
    <n v="0.25"/>
    <n v="0.85"/>
    <n v="0.21249999999999999"/>
    <x v="3"/>
    <s v="EMG"/>
    <s v="TekNat"/>
    <s v="Ämneslärarprogrammet - Gy"/>
    <n v="19473"/>
    <n v="34806"/>
    <n v="12264.525"/>
    <n v="21800"/>
    <n v="5450"/>
    <n v="17714.525000000001"/>
    <n v="0"/>
    <n v="0"/>
    <n v="0"/>
    <n v="0"/>
    <n v="0"/>
    <n v="1"/>
    <n v="0"/>
    <n v="0"/>
    <n v="0"/>
    <n v="0"/>
    <n v="0"/>
    <n v="0"/>
  </r>
  <r>
    <s v="5BI234"/>
    <s v="Ekologi"/>
    <m/>
    <s v="LYAGY"/>
    <s v="H16"/>
    <s v="V19"/>
    <s v="V1911-20"/>
    <s v="Umeå"/>
    <m/>
    <s v="IDRH"/>
    <m/>
    <n v="100"/>
    <n v="15"/>
    <m/>
    <m/>
    <n v="1"/>
    <n v="0.25"/>
    <n v="0.85"/>
    <n v="0.21249999999999999"/>
    <x v="3"/>
    <s v="EMG"/>
    <s v="TekNat"/>
    <s v="Ämneslärarprogrammet - Gy"/>
    <n v="19473"/>
    <n v="34806"/>
    <n v="12264.525"/>
    <n v="21800"/>
    <n v="5450"/>
    <n v="17714.525000000001"/>
    <n v="0"/>
    <n v="0"/>
    <n v="0"/>
    <n v="0"/>
    <n v="0"/>
    <n v="1"/>
    <n v="0"/>
    <n v="0"/>
    <n v="0"/>
    <n v="0"/>
    <n v="0"/>
    <n v="0"/>
  </r>
  <r>
    <s v="5BI234"/>
    <s v="Ekologi"/>
    <m/>
    <s v="LYAGY"/>
    <s v="H16"/>
    <s v="V19"/>
    <s v="V1911-20"/>
    <s v="Umeå"/>
    <m/>
    <s v="MATT"/>
    <m/>
    <n v="100"/>
    <n v="15"/>
    <m/>
    <m/>
    <n v="1"/>
    <n v="0.25"/>
    <n v="0.85"/>
    <n v="0.21249999999999999"/>
    <x v="3"/>
    <s v="EMG"/>
    <s v="TekNat"/>
    <s v="Ämneslärarprogrammet - Gy"/>
    <n v="19473"/>
    <n v="34806"/>
    <n v="12264.525"/>
    <n v="21800"/>
    <n v="5450"/>
    <n v="17714.525000000001"/>
    <n v="0"/>
    <n v="0"/>
    <n v="0"/>
    <n v="0"/>
    <n v="0"/>
    <n v="1"/>
    <n v="0"/>
    <n v="0"/>
    <n v="0"/>
    <n v="0"/>
    <n v="0"/>
    <n v="0"/>
  </r>
  <r>
    <s v="5BI234"/>
    <s v="Ekologi"/>
    <m/>
    <s v="LYAGY"/>
    <s v="H18"/>
    <s v="V19"/>
    <s v="V1911-20"/>
    <s v="Umeå"/>
    <m/>
    <s v="BIOL"/>
    <m/>
    <n v="100"/>
    <n v="15"/>
    <m/>
    <m/>
    <n v="6"/>
    <n v="1.5"/>
    <n v="0.85"/>
    <n v="1.2749999999999999"/>
    <x v="3"/>
    <s v="EMG"/>
    <s v="TekNat"/>
    <s v="Ämneslärarprogrammet - Gy"/>
    <n v="19473"/>
    <n v="34806"/>
    <n v="73587.149999999994"/>
    <n v="21800"/>
    <n v="32700"/>
    <n v="106287.15"/>
    <n v="0"/>
    <n v="0"/>
    <n v="0"/>
    <n v="0"/>
    <n v="0"/>
    <n v="1"/>
    <n v="0"/>
    <n v="0"/>
    <n v="0"/>
    <n v="0"/>
    <n v="0"/>
    <n v="0"/>
  </r>
  <r>
    <s v="5BI235"/>
    <s v="Ekologi A"/>
    <m/>
    <s v="LYAGY"/>
    <s v="H16"/>
    <s v="V19"/>
    <s v="V191-10"/>
    <s v="Umeå"/>
    <m/>
    <s v="ENGS"/>
    <m/>
    <n v="100"/>
    <n v="15"/>
    <m/>
    <m/>
    <n v="1"/>
    <n v="0.25"/>
    <n v="0.85"/>
    <n v="0.21249999999999999"/>
    <x v="3"/>
    <s v="EMG"/>
    <s v="TekNat"/>
    <s v="Ämneslärarprogrammet - Gy"/>
    <n v="19473"/>
    <n v="34806"/>
    <n v="12264.525"/>
    <n v="21800"/>
    <n v="5450"/>
    <n v="17714.525000000001"/>
    <n v="0"/>
    <n v="0"/>
    <n v="0"/>
    <n v="0"/>
    <n v="0"/>
    <n v="1"/>
    <n v="0"/>
    <n v="0"/>
    <n v="0"/>
    <n v="0"/>
    <n v="0"/>
    <n v="0"/>
  </r>
  <r>
    <s v="5BI235"/>
    <s v="Ekologi A"/>
    <m/>
    <s v="LYAGY"/>
    <s v="H16"/>
    <s v="V19"/>
    <s v="V191-10"/>
    <s v="Umeå"/>
    <m/>
    <s v="IDRH"/>
    <m/>
    <n v="100"/>
    <n v="15"/>
    <m/>
    <m/>
    <n v="1"/>
    <n v="0.25"/>
    <n v="0.85"/>
    <n v="0.21249999999999999"/>
    <x v="3"/>
    <s v="EMG"/>
    <s v="TekNat"/>
    <s v="Ämneslärarprogrammet - Gy"/>
    <n v="19473"/>
    <n v="34806"/>
    <n v="12264.525"/>
    <n v="21800"/>
    <n v="5450"/>
    <n v="17714.525000000001"/>
    <n v="0"/>
    <n v="0"/>
    <n v="0"/>
    <n v="0"/>
    <n v="0"/>
    <n v="1"/>
    <n v="0"/>
    <n v="0"/>
    <n v="0"/>
    <n v="0"/>
    <n v="0"/>
    <n v="0"/>
  </r>
  <r>
    <s v="5BI235"/>
    <s v="Ekologi A"/>
    <m/>
    <s v="LYAGY"/>
    <s v="H16"/>
    <s v="V19"/>
    <s v="V191-10"/>
    <s v="Umeå"/>
    <m/>
    <s v="MATT"/>
    <m/>
    <n v="100"/>
    <n v="15"/>
    <m/>
    <m/>
    <n v="2"/>
    <n v="0.5"/>
    <n v="0.85"/>
    <n v="0.42499999999999999"/>
    <x v="3"/>
    <s v="EMG"/>
    <s v="TekNat"/>
    <s v="Ämneslärarprogrammet - Gy"/>
    <n v="19473"/>
    <n v="34806"/>
    <n v="24529.05"/>
    <n v="21800"/>
    <n v="10900"/>
    <n v="35429.050000000003"/>
    <n v="0"/>
    <n v="0"/>
    <n v="0"/>
    <n v="0"/>
    <n v="0"/>
    <n v="1"/>
    <n v="0"/>
    <n v="0"/>
    <n v="0"/>
    <n v="0"/>
    <n v="0"/>
    <n v="0"/>
  </r>
  <r>
    <s v="5BI235"/>
    <s v="Ekologi A"/>
    <m/>
    <s v="LYAGY"/>
    <s v="H17"/>
    <s v="V19"/>
    <s v="V191-10"/>
    <s v="Umeå"/>
    <m/>
    <s v="MUSI"/>
    <m/>
    <n v="100"/>
    <n v="15"/>
    <m/>
    <m/>
    <n v="1"/>
    <n v="0.25"/>
    <n v="0.85"/>
    <n v="0.21249999999999999"/>
    <x v="3"/>
    <s v="EMG"/>
    <s v="TekNat"/>
    <s v="Ämneslärarprogrammet - Gy"/>
    <n v="19473"/>
    <n v="34806"/>
    <n v="12264.525"/>
    <n v="21800"/>
    <n v="5450"/>
    <n v="17714.525000000001"/>
    <n v="0"/>
    <n v="0"/>
    <n v="0"/>
    <n v="0"/>
    <n v="0"/>
    <n v="1"/>
    <n v="0"/>
    <n v="0"/>
    <n v="0"/>
    <n v="0"/>
    <n v="0"/>
    <n v="0"/>
  </r>
  <r>
    <s v="5BI235"/>
    <s v="Ekologi A"/>
    <m/>
    <s v="LYAGY"/>
    <s v="H18"/>
    <s v="V19"/>
    <s v="V191-10"/>
    <s v="Umeå"/>
    <m/>
    <s v="BIOL"/>
    <m/>
    <n v="100"/>
    <n v="15"/>
    <m/>
    <m/>
    <n v="6"/>
    <n v="1.5"/>
    <n v="0.85"/>
    <n v="1.2749999999999999"/>
    <x v="3"/>
    <s v="EMG"/>
    <s v="TekNat"/>
    <s v="Ämneslärarprogrammet - Gy"/>
    <n v="19473"/>
    <n v="34806"/>
    <n v="73587.149999999994"/>
    <n v="21800"/>
    <n v="32700"/>
    <n v="106287.15"/>
    <n v="0"/>
    <n v="0"/>
    <n v="0"/>
    <n v="0"/>
    <n v="0"/>
    <n v="1"/>
    <n v="0"/>
    <n v="0"/>
    <n v="0"/>
    <n v="0"/>
    <n v="0"/>
    <n v="0"/>
  </r>
  <r>
    <s v="5BI235"/>
    <s v="Ekologi A"/>
    <m/>
    <s v="LYAGY"/>
    <s v="H18"/>
    <s v="V19"/>
    <s v="V191-10"/>
    <s v="Umeå"/>
    <m/>
    <s v="NATU"/>
    <m/>
    <n v="100"/>
    <n v="15"/>
    <m/>
    <m/>
    <n v="1"/>
    <n v="0.25"/>
    <n v="0.85"/>
    <n v="0.21249999999999999"/>
    <x v="3"/>
    <s v="EMG"/>
    <s v="TekNat"/>
    <s v="Ämneslärarprogrammet - Gy"/>
    <n v="19473"/>
    <n v="34806"/>
    <n v="12264.525"/>
    <n v="21800"/>
    <n v="5450"/>
    <n v="17714.525000000001"/>
    <n v="0"/>
    <n v="0"/>
    <n v="0"/>
    <n v="0"/>
    <n v="0"/>
    <n v="1"/>
    <n v="0"/>
    <n v="0"/>
    <n v="0"/>
    <n v="0"/>
    <n v="0"/>
    <n v="0"/>
  </r>
  <r>
    <s v="5DV157"/>
    <s v="Programmeringsteknik med C och Matlab"/>
    <m/>
    <s v="LYAGY"/>
    <s v="H18"/>
    <s v="H19"/>
    <s v="H196-10"/>
    <m/>
    <m/>
    <s v="MATT"/>
    <m/>
    <n v="100"/>
    <n v="7.5"/>
    <m/>
    <m/>
    <n v="1"/>
    <n v="0.125"/>
    <n v="0.85"/>
    <n v="0.10625"/>
    <x v="4"/>
    <s v="Inst för datavetenskap        "/>
    <s v="TekNat"/>
    <s v="Ämneslärarprogrammet - Gy"/>
    <n v="19473"/>
    <n v="34806"/>
    <n v="6132.2624999999998"/>
    <n v="21800"/>
    <n v="2725"/>
    <n v="8857.2625000000007"/>
    <n v="0"/>
    <n v="0"/>
    <n v="0"/>
    <n v="0"/>
    <n v="0"/>
    <n v="0.5"/>
    <n v="0"/>
    <n v="0.5"/>
    <n v="0"/>
    <n v="0"/>
    <n v="0"/>
    <n v="0"/>
  </r>
  <r>
    <s v="5EL204"/>
    <s v="Analog kretsteknik"/>
    <m/>
    <s v="LYAGY"/>
    <s v="H15"/>
    <s v="V19"/>
    <s v="V1911-20"/>
    <s v="Umeå"/>
    <m/>
    <s v="MATT"/>
    <m/>
    <n v="50"/>
    <n v="6"/>
    <m/>
    <m/>
    <n v="1"/>
    <n v="0.1"/>
    <n v="0.85"/>
    <n v="8.5000000000000006E-2"/>
    <x v="5"/>
    <s v="TFE"/>
    <s v="TekNat"/>
    <s v="Ämneslärarprogrammet - Gy"/>
    <n v="19473"/>
    <n v="34806"/>
    <n v="4905.8100000000004"/>
    <n v="21800"/>
    <n v="2180"/>
    <n v="7085.81"/>
    <n v="0"/>
    <n v="0"/>
    <n v="0"/>
    <n v="0"/>
    <n v="0"/>
    <n v="0"/>
    <n v="0"/>
    <n v="1"/>
    <n v="0"/>
    <n v="0"/>
    <n v="0"/>
    <n v="0"/>
  </r>
  <r>
    <s v="5FY001"/>
    <s v="Analytisk mekanik, 6 hp"/>
    <m/>
    <s v="LYAGY"/>
    <s v="H15"/>
    <s v="V19"/>
    <s v="V1911-20"/>
    <s v="Umeå"/>
    <m/>
    <s v="MATT"/>
    <m/>
    <n v="50"/>
    <n v="6"/>
    <m/>
    <m/>
    <n v="1"/>
    <n v="0.1"/>
    <n v="0.85"/>
    <n v="8.5000000000000006E-2"/>
    <x v="6"/>
    <s v="Inst för Fysik                "/>
    <s v="TekNat"/>
    <s v="Ämneslärarprogrammet - Gy"/>
    <n v="19473"/>
    <n v="34806"/>
    <n v="4905.8100000000004"/>
    <n v="21800"/>
    <n v="2180"/>
    <n v="7085.81"/>
    <n v="0"/>
    <n v="0"/>
    <n v="0"/>
    <n v="0"/>
    <n v="0"/>
    <n v="0"/>
    <n v="0"/>
    <n v="1"/>
    <n v="0"/>
    <n v="0"/>
    <n v="0"/>
    <n v="0"/>
  </r>
  <r>
    <s v="5FY020"/>
    <s v="Fasta tillståndets fysik C, 7,5 hp"/>
    <m/>
    <s v="LYAGY"/>
    <s v="H15"/>
    <s v="V19"/>
    <s v="V196-10"/>
    <s v="Umeå"/>
    <m/>
    <s v="MATT"/>
    <m/>
    <n v="100"/>
    <n v="7.5"/>
    <m/>
    <m/>
    <n v="5"/>
    <n v="0.625"/>
    <n v="0.85"/>
    <n v="0.53125"/>
    <x v="6"/>
    <s v="Inst för Fysik                "/>
    <s v="TekNat"/>
    <s v="Ämneslärarprogrammet - Gy"/>
    <n v="19473"/>
    <n v="34806"/>
    <n v="30661.3125"/>
    <n v="21800"/>
    <n v="13625"/>
    <n v="44286.3125"/>
    <n v="0"/>
    <n v="0"/>
    <n v="0"/>
    <n v="0"/>
    <n v="0"/>
    <n v="0"/>
    <n v="0"/>
    <n v="1"/>
    <n v="0"/>
    <n v="0"/>
    <n v="0"/>
    <n v="0"/>
  </r>
  <r>
    <s v="5FY040"/>
    <s v="Klassisk mekanik A"/>
    <m/>
    <s v="LYAGY"/>
    <s v="H17"/>
    <s v="V19"/>
    <s v="V1911-20"/>
    <s v="Umeå"/>
    <m/>
    <s v="MATT"/>
    <m/>
    <n v="50"/>
    <n v="7.5"/>
    <m/>
    <m/>
    <n v="2"/>
    <n v="0.25"/>
    <n v="0.85"/>
    <n v="0.21249999999999999"/>
    <x v="6"/>
    <s v="Inst för Fysik                "/>
    <s v="TekNat"/>
    <s v="Ämneslärarprogrammet - Gy"/>
    <n v="19473"/>
    <n v="34806"/>
    <n v="12264.525"/>
    <n v="21800"/>
    <n v="5450"/>
    <n v="17714.525000000001"/>
    <n v="0"/>
    <n v="0"/>
    <n v="0"/>
    <n v="0"/>
    <n v="0"/>
    <n v="0"/>
    <n v="0"/>
    <n v="1"/>
    <n v="0"/>
    <n v="0"/>
    <n v="0"/>
    <n v="0"/>
  </r>
  <r>
    <s v="5FY041"/>
    <s v="Klassisk mekanik A"/>
    <m/>
    <s v="LYAGY"/>
    <s v="H16"/>
    <s v="V19"/>
    <s v="V1911-20"/>
    <s v="Umeå"/>
    <m/>
    <s v="MATT"/>
    <m/>
    <n v="100"/>
    <n v="9"/>
    <m/>
    <m/>
    <n v="1"/>
    <n v="0.15"/>
    <n v="0.85"/>
    <n v="0.1275"/>
    <x v="6"/>
    <s v="Inst för Fysik                "/>
    <s v="TekNat"/>
    <s v="Ämneslärarprogrammet - Gy"/>
    <n v="19473"/>
    <n v="34806"/>
    <n v="7358.7150000000001"/>
    <n v="21800"/>
    <n v="3270"/>
    <n v="10628.715"/>
    <n v="0"/>
    <n v="0"/>
    <n v="0"/>
    <n v="0"/>
    <n v="0"/>
    <n v="0"/>
    <n v="0"/>
    <n v="1"/>
    <n v="0"/>
    <n v="0"/>
    <n v="0"/>
    <n v="0"/>
  </r>
  <r>
    <s v="5FY083"/>
    <s v="Termodynamik B"/>
    <m/>
    <s v="LYAGY"/>
    <s v="H12"/>
    <s v="H19"/>
    <s v="H1911-20"/>
    <m/>
    <m/>
    <s v="MATT"/>
    <m/>
    <n v="50"/>
    <n v="6"/>
    <m/>
    <m/>
    <n v="1"/>
    <n v="0.1"/>
    <n v="0.85"/>
    <n v="8.5000000000000006E-2"/>
    <x v="6"/>
    <s v="Inst för Fysik                "/>
    <s v="TekNat"/>
    <s v="Ämneslärarprogrammet - Gy"/>
    <n v="19473"/>
    <n v="34806"/>
    <n v="4905.8100000000004"/>
    <n v="21800"/>
    <n v="2180"/>
    <n v="7085.81"/>
    <n v="0"/>
    <n v="0"/>
    <n v="0"/>
    <n v="0"/>
    <n v="0"/>
    <n v="0"/>
    <n v="0"/>
    <n v="1"/>
    <n v="0"/>
    <n v="0"/>
    <n v="0"/>
    <n v="0"/>
  </r>
  <r>
    <s v="5FY083"/>
    <s v="Termodynamik B"/>
    <m/>
    <s v="LYAGY"/>
    <s v="H17"/>
    <s v="H19"/>
    <s v="H1911-20"/>
    <m/>
    <m/>
    <s v="MATT"/>
    <m/>
    <n v="50"/>
    <n v="6"/>
    <m/>
    <m/>
    <n v="2"/>
    <n v="0.2"/>
    <n v="0.85"/>
    <n v="0.17"/>
    <x v="6"/>
    <s v="Inst för Fysik                "/>
    <s v="TekNat"/>
    <s v="Ämneslärarprogrammet - Gy"/>
    <n v="19473"/>
    <n v="34806"/>
    <n v="9811.6200000000008"/>
    <n v="21800"/>
    <n v="4360"/>
    <n v="14171.62"/>
    <n v="0"/>
    <n v="0"/>
    <n v="0"/>
    <n v="0"/>
    <n v="0"/>
    <n v="0"/>
    <n v="0"/>
    <n v="1"/>
    <n v="0"/>
    <n v="0"/>
    <n v="0"/>
    <n v="0"/>
  </r>
  <r>
    <s v="5FY083"/>
    <s v="Termodynamik B"/>
    <m/>
    <s v="LYAGY"/>
    <s v="H18"/>
    <s v="H19"/>
    <s v="H1911-20"/>
    <m/>
    <m/>
    <s v="MATT"/>
    <m/>
    <n v="50"/>
    <n v="6"/>
    <m/>
    <m/>
    <n v="1"/>
    <n v="0.1"/>
    <n v="0.85"/>
    <n v="8.5000000000000006E-2"/>
    <x v="6"/>
    <s v="Inst för Fysik                "/>
    <s v="TekNat"/>
    <s v="Ämneslärarprogrammet - Gy"/>
    <n v="19473"/>
    <n v="34806"/>
    <n v="4905.8100000000004"/>
    <n v="21800"/>
    <n v="2180"/>
    <n v="7085.81"/>
    <n v="0"/>
    <n v="0"/>
    <n v="0"/>
    <n v="0"/>
    <n v="0"/>
    <n v="0"/>
    <n v="0"/>
    <n v="1"/>
    <n v="0"/>
    <n v="0"/>
    <n v="0"/>
    <n v="0"/>
  </r>
  <r>
    <s v="5FY091"/>
    <s v="Vågfysik och optik B"/>
    <m/>
    <s v="LYAGY"/>
    <s v="H13"/>
    <s v="V19"/>
    <s v="V191-10"/>
    <s v="Umeå"/>
    <m/>
    <s v="MATT"/>
    <m/>
    <n v="50"/>
    <n v="6"/>
    <m/>
    <m/>
    <n v="0"/>
    <n v="0"/>
    <n v="0.85"/>
    <n v="0"/>
    <x v="6"/>
    <s v="Inst för Fysik                "/>
    <s v="TekNat"/>
    <s v="Ämneslärarprogrammet - Gy"/>
    <n v="19473"/>
    <n v="34806"/>
    <n v="0"/>
    <n v="21800"/>
    <n v="0"/>
    <n v="0"/>
    <n v="0"/>
    <n v="0"/>
    <n v="0"/>
    <n v="0"/>
    <n v="0"/>
    <n v="0"/>
    <n v="0"/>
    <n v="1"/>
    <n v="0"/>
    <n v="0"/>
    <n v="0"/>
    <n v="0"/>
  </r>
  <r>
    <s v="5FY091"/>
    <s v="Vågfysik och optik B"/>
    <m/>
    <s v="LYAGY"/>
    <s v="H15"/>
    <s v="V19"/>
    <s v="V191-10"/>
    <s v="Umeå"/>
    <m/>
    <s v="MATT"/>
    <m/>
    <n v="50"/>
    <n v="6"/>
    <m/>
    <m/>
    <n v="0"/>
    <n v="0"/>
    <n v="0.85"/>
    <n v="0"/>
    <x v="6"/>
    <s v="Inst för Fysik                "/>
    <s v="TekNat"/>
    <s v="Ämneslärarprogrammet - Gy"/>
    <n v="19473"/>
    <n v="34806"/>
    <n v="0"/>
    <n v="21800"/>
    <n v="0"/>
    <n v="0"/>
    <n v="0"/>
    <n v="0"/>
    <n v="0"/>
    <n v="0"/>
    <n v="0"/>
    <n v="0"/>
    <n v="0"/>
    <n v="1"/>
    <n v="0"/>
    <n v="0"/>
    <n v="0"/>
    <n v="0"/>
  </r>
  <r>
    <s v="5FY091"/>
    <s v="Vågfysik och optik B"/>
    <m/>
    <s v="LYAGY"/>
    <s v="H16"/>
    <s v="V19"/>
    <s v="V191-10"/>
    <s v="Umeå"/>
    <m/>
    <s v="MATT"/>
    <m/>
    <n v="50"/>
    <n v="6"/>
    <m/>
    <m/>
    <n v="1"/>
    <n v="0.1"/>
    <n v="0.85"/>
    <n v="8.5000000000000006E-2"/>
    <x v="6"/>
    <s v="Inst för Fysik                "/>
    <s v="TekNat"/>
    <s v="Ämneslärarprogrammet - Gy"/>
    <n v="19473"/>
    <n v="34806"/>
    <n v="4905.8100000000004"/>
    <n v="21800"/>
    <n v="2180"/>
    <n v="7085.81"/>
    <n v="0"/>
    <n v="0"/>
    <n v="0"/>
    <n v="0"/>
    <n v="0"/>
    <n v="0"/>
    <n v="0"/>
    <n v="1"/>
    <n v="0"/>
    <n v="0"/>
    <n v="0"/>
    <n v="0"/>
  </r>
  <r>
    <s v="5FY127"/>
    <s v="Elektromagnetismens grunder"/>
    <m/>
    <s v="LYAGY"/>
    <s v="H15"/>
    <s v="V19"/>
    <s v="V191-10"/>
    <s v="Umeå"/>
    <m/>
    <s v="MATT"/>
    <m/>
    <n v="50"/>
    <n v="6"/>
    <m/>
    <m/>
    <n v="0"/>
    <n v="0"/>
    <n v="0.85"/>
    <n v="0"/>
    <x v="6"/>
    <s v="Inst för Fysik                "/>
    <s v="TekNat"/>
    <s v="Ämneslärarprogrammet - Gy"/>
    <n v="19473"/>
    <n v="34806"/>
    <n v="0"/>
    <n v="21800"/>
    <n v="0"/>
    <n v="0"/>
    <n v="0"/>
    <n v="0"/>
    <n v="0"/>
    <n v="0"/>
    <n v="0"/>
    <n v="0.5"/>
    <n v="0"/>
    <n v="0.5"/>
    <n v="0"/>
    <n v="0"/>
    <n v="0"/>
    <n v="0"/>
  </r>
  <r>
    <s v="5FY127"/>
    <s v="Elektromagnetismens grunder"/>
    <m/>
    <s v="LYAGY"/>
    <s v="H16"/>
    <s v="V19"/>
    <s v="V191-10"/>
    <s v="Umeå"/>
    <m/>
    <s v="MATT"/>
    <m/>
    <n v="50"/>
    <n v="6"/>
    <m/>
    <m/>
    <n v="1"/>
    <n v="0.1"/>
    <n v="0.85"/>
    <n v="8.5000000000000006E-2"/>
    <x v="6"/>
    <s v="Inst för Fysik                "/>
    <s v="TekNat"/>
    <s v="Ämneslärarprogrammet - Gy"/>
    <n v="19473"/>
    <n v="34806"/>
    <n v="4905.8100000000004"/>
    <n v="21800"/>
    <n v="2180"/>
    <n v="7085.81"/>
    <n v="0"/>
    <n v="0"/>
    <n v="0"/>
    <n v="0"/>
    <n v="0"/>
    <n v="0.5"/>
    <n v="0"/>
    <n v="0.5"/>
    <n v="0"/>
    <n v="0"/>
    <n v="0"/>
    <n v="0"/>
  </r>
  <r>
    <s v="5FY140"/>
    <s v="Kvantfysik, 6 hp"/>
    <m/>
    <s v="LYAGY"/>
    <s v="H16"/>
    <s v="V19"/>
    <s v="V191-20"/>
    <s v="Umeå"/>
    <m/>
    <s v="MATT"/>
    <m/>
    <n v="25"/>
    <n v="6"/>
    <m/>
    <m/>
    <n v="0"/>
    <n v="0"/>
    <n v="0.85"/>
    <n v="0"/>
    <x v="6"/>
    <s v="Inst för Fysik                "/>
    <s v="TekNat"/>
    <s v="Ämneslärarprogrammet - Gy"/>
    <n v="19473"/>
    <n v="34806"/>
    <n v="0"/>
    <n v="21800"/>
    <n v="0"/>
    <n v="0"/>
    <n v="0"/>
    <n v="0"/>
    <n v="0"/>
    <n v="0"/>
    <n v="0"/>
    <n v="0.5"/>
    <n v="0"/>
    <n v="0.5"/>
    <n v="0"/>
    <n v="0"/>
    <n v="0"/>
    <n v="0"/>
  </r>
  <r>
    <s v="5FY154"/>
    <s v="Fördjupning i termodynamik"/>
    <m/>
    <s v="LYAGY"/>
    <s v="H12"/>
    <s v="H19"/>
    <s v="H1911-20"/>
    <m/>
    <m/>
    <s v="MATT"/>
    <m/>
    <n v="10"/>
    <n v="1.5"/>
    <m/>
    <m/>
    <n v="1"/>
    <n v="2.5000000000000001E-2"/>
    <n v="0.85"/>
    <n v="2.1250000000000002E-2"/>
    <x v="6"/>
    <s v="Inst för Fysik                "/>
    <s v="TekNat"/>
    <s v="Ämneslärarprogrammet - Gy"/>
    <n v="19473"/>
    <n v="34806"/>
    <n v="1226.4525000000001"/>
    <n v="21800"/>
    <n v="545"/>
    <n v="1771.4525000000001"/>
    <n v="0"/>
    <n v="0"/>
    <n v="0"/>
    <n v="0"/>
    <n v="0"/>
    <n v="0.5"/>
    <n v="0"/>
    <n v="0.5"/>
    <n v="0"/>
    <n v="0"/>
    <n v="0"/>
    <n v="0"/>
  </r>
  <r>
    <s v="5FY154"/>
    <s v="Fördjupning i termodynamik"/>
    <m/>
    <s v="LYAGY"/>
    <s v="H17"/>
    <s v="H19"/>
    <s v="H1911-20"/>
    <m/>
    <m/>
    <s v="MATT"/>
    <m/>
    <n v="10"/>
    <n v="1.5"/>
    <m/>
    <m/>
    <n v="2"/>
    <n v="0.05"/>
    <n v="0.85"/>
    <n v="4.2500000000000003E-2"/>
    <x v="6"/>
    <s v="Inst för Fysik                "/>
    <s v="TekNat"/>
    <s v="Ämneslärarprogrammet - Gy"/>
    <n v="19473"/>
    <n v="34806"/>
    <n v="2452.9050000000002"/>
    <n v="21800"/>
    <n v="1090"/>
    <n v="3542.9050000000002"/>
    <n v="0"/>
    <n v="0"/>
    <n v="0"/>
    <n v="0"/>
    <n v="0"/>
    <n v="0.5"/>
    <n v="0"/>
    <n v="0.5"/>
    <n v="0"/>
    <n v="0"/>
    <n v="0"/>
    <n v="0"/>
  </r>
  <r>
    <s v="5FY178"/>
    <s v="Avancerade material, 7,5 hp"/>
    <m/>
    <s v="LYAGY"/>
    <s v="H15"/>
    <s v="V19"/>
    <s v="V1911-20"/>
    <s v="Umeå"/>
    <m/>
    <s v="MATT"/>
    <m/>
    <n v="50"/>
    <n v="7.5"/>
    <m/>
    <m/>
    <n v="2"/>
    <n v="0.25"/>
    <n v="0.85"/>
    <n v="0.21249999999999999"/>
    <x v="6"/>
    <s v="Inst för Fysik                "/>
    <s v="TekNat"/>
    <s v="Ämneslärarprogrammet - Gy"/>
    <n v="19473"/>
    <n v="34806"/>
    <n v="12264.525"/>
    <n v="21800"/>
    <n v="5450"/>
    <n v="17714.525000000001"/>
    <n v="0"/>
    <n v="0"/>
    <n v="0"/>
    <n v="0"/>
    <n v="0"/>
    <n v="0.5"/>
    <n v="0"/>
    <n v="0.5"/>
    <n v="0"/>
    <n v="0"/>
    <n v="0"/>
    <n v="0"/>
  </r>
  <r>
    <s v="5FY185"/>
    <s v="Solceller, 7,5 hp"/>
    <m/>
    <s v="LYAGY"/>
    <s v="H15"/>
    <s v="V19"/>
    <s v="V1911-20"/>
    <s v="Umeå"/>
    <m/>
    <s v="MATT"/>
    <m/>
    <n v="50"/>
    <n v="7.5"/>
    <m/>
    <m/>
    <n v="2"/>
    <n v="0.25"/>
    <n v="0.85"/>
    <n v="0.21249999999999999"/>
    <x v="6"/>
    <s v="Inst för Fysik                "/>
    <s v="TekNat"/>
    <s v="Ämneslärarprogrammet - Gy"/>
    <n v="19473"/>
    <n v="34806"/>
    <n v="12264.525"/>
    <n v="21800"/>
    <n v="5450"/>
    <n v="17714.525000000001"/>
    <n v="0"/>
    <n v="0"/>
    <n v="0"/>
    <n v="0"/>
    <n v="0"/>
    <n v="0.5"/>
    <n v="0"/>
    <n v="0.5"/>
    <n v="0"/>
    <n v="0"/>
    <n v="0"/>
    <n v="0"/>
  </r>
  <r>
    <s v="5FY205"/>
    <s v="Modern fysik"/>
    <m/>
    <s v="LYAGY"/>
    <m/>
    <s v="V19"/>
    <m/>
    <s v="Umeå"/>
    <m/>
    <s v="MATT"/>
    <m/>
    <n v="100"/>
    <n v="4.5"/>
    <m/>
    <m/>
    <n v="1"/>
    <n v="7.4999999999999997E-2"/>
    <n v="0.85"/>
    <n v="6.3750000000000001E-2"/>
    <x v="6"/>
    <s v="Inst för Fysik                "/>
    <s v="TekNat"/>
    <s v="Ämneslärarprogrammet - Gy"/>
    <n v="19473"/>
    <n v="34806"/>
    <n v="3679.3575000000001"/>
    <n v="21800"/>
    <n v="1635"/>
    <n v="5314.3575000000001"/>
    <n v="0"/>
    <n v="0"/>
    <n v="0"/>
    <n v="0"/>
    <n v="0"/>
    <n v="0.5"/>
    <n v="0"/>
    <n v="0.5"/>
    <n v="0"/>
    <n v="0"/>
    <n v="0"/>
    <n v="0"/>
  </r>
  <r>
    <s v="5KE002"/>
    <s v="Akvatisk kemi"/>
    <m/>
    <s v="LYAGY"/>
    <s v="H16"/>
    <s v="H19"/>
    <s v="H1911-20"/>
    <m/>
    <m/>
    <s v="IDMA"/>
    <m/>
    <n v="100"/>
    <n v="15"/>
    <m/>
    <m/>
    <n v="1"/>
    <n v="0.25"/>
    <n v="0.85"/>
    <n v="0.21249999999999999"/>
    <x v="7"/>
    <s v="Kemiska institutionen         "/>
    <s v="TekNat"/>
    <s v="Ämneslärarprogrammet - Gy"/>
    <n v="19473"/>
    <n v="34806"/>
    <n v="12264.525"/>
    <n v="21800"/>
    <n v="5450"/>
    <n v="17714.525000000001"/>
    <n v="0"/>
    <n v="0"/>
    <n v="0"/>
    <n v="0"/>
    <n v="0"/>
    <n v="0"/>
    <n v="0"/>
    <n v="1"/>
    <n v="0"/>
    <n v="0"/>
    <n v="0"/>
    <n v="0"/>
  </r>
  <r>
    <s v="5KE011"/>
    <s v="Bioorganisk kemi, 15 hp"/>
    <m/>
    <s v="LYAGY"/>
    <s v="H15"/>
    <s v="V19"/>
    <s v="V191-10"/>
    <s v="Umeå"/>
    <m/>
    <s v="IDRH"/>
    <m/>
    <n v="100"/>
    <n v="15"/>
    <m/>
    <m/>
    <n v="0"/>
    <n v="0"/>
    <n v="0.85"/>
    <n v="0"/>
    <x v="7"/>
    <s v="Kemiska institutionen         "/>
    <s v="TekNat"/>
    <s v="Ämneslärarprogrammet - Gy"/>
    <n v="19473"/>
    <n v="34806"/>
    <n v="0"/>
    <n v="21800"/>
    <n v="0"/>
    <n v="0"/>
    <n v="0"/>
    <n v="0"/>
    <n v="0"/>
    <n v="0"/>
    <n v="0"/>
    <n v="0"/>
    <n v="0"/>
    <n v="1"/>
    <n v="0"/>
    <n v="0"/>
    <n v="0"/>
    <n v="0"/>
  </r>
  <r>
    <s v="5KE011"/>
    <s v="Bioorganisk kemi, 15 hp"/>
    <m/>
    <s v="LYAGY"/>
    <s v="H18"/>
    <s v="V19"/>
    <s v="V1911-20"/>
    <s v="Umeå"/>
    <m/>
    <s v="BIOL"/>
    <m/>
    <n v="100"/>
    <n v="15"/>
    <m/>
    <m/>
    <n v="2"/>
    <n v="0.5"/>
    <n v="0.85"/>
    <n v="0.42499999999999999"/>
    <x v="7"/>
    <s v="Kemiska institutionen         "/>
    <s v="TekNat"/>
    <s v="Ämneslärarprogrammet - Gy"/>
    <n v="19473"/>
    <n v="34806"/>
    <n v="24529.05"/>
    <n v="21800"/>
    <n v="10900"/>
    <n v="35429.050000000003"/>
    <n v="0"/>
    <n v="0"/>
    <n v="0"/>
    <n v="0"/>
    <n v="0"/>
    <n v="0"/>
    <n v="0"/>
    <n v="1"/>
    <n v="0"/>
    <n v="0"/>
    <n v="0"/>
    <n v="0"/>
  </r>
  <r>
    <s v="5KE020"/>
    <s v="Biokemi 15 hp"/>
    <m/>
    <s v="LYAGY"/>
    <s v="H16"/>
    <s v="V19"/>
    <s v="V1911-20"/>
    <s v="Umeå"/>
    <m/>
    <s v="IDMA"/>
    <m/>
    <n v="100"/>
    <n v="15"/>
    <m/>
    <m/>
    <n v="1"/>
    <n v="0.25"/>
    <n v="0.85"/>
    <n v="0.21249999999999999"/>
    <x v="7"/>
    <s v="Kemiska institutionen         "/>
    <s v="TekNat"/>
    <s v="Ämneslärarprogrammet - Gy"/>
    <n v="19473"/>
    <n v="34806"/>
    <n v="12264.525"/>
    <n v="21800"/>
    <n v="5450"/>
    <n v="17714.525000000001"/>
    <n v="0"/>
    <n v="0"/>
    <n v="0"/>
    <n v="0"/>
    <n v="0"/>
    <n v="0"/>
    <n v="0"/>
    <n v="1"/>
    <n v="0"/>
    <n v="0"/>
    <n v="0"/>
    <n v="0"/>
  </r>
  <r>
    <s v="5KE020"/>
    <s v="Biokemi 15 hp"/>
    <m/>
    <s v="LYAGY"/>
    <s v="H18"/>
    <s v="V19"/>
    <s v="V1911-20"/>
    <s v="Umeå"/>
    <m/>
    <s v="BIOL"/>
    <m/>
    <n v="100"/>
    <n v="15"/>
    <m/>
    <m/>
    <n v="1"/>
    <n v="0.25"/>
    <n v="0.85"/>
    <n v="0.21249999999999999"/>
    <x v="7"/>
    <s v="Kemiska institutionen         "/>
    <s v="TekNat"/>
    <s v="Ämneslärarprogrammet - Gy"/>
    <n v="19473"/>
    <n v="34806"/>
    <n v="12264.525"/>
    <n v="21800"/>
    <n v="5450"/>
    <n v="17714.525000000001"/>
    <n v="0"/>
    <n v="0"/>
    <n v="0"/>
    <n v="0"/>
    <n v="0"/>
    <n v="0"/>
    <n v="0"/>
    <n v="1"/>
    <n v="0"/>
    <n v="0"/>
    <n v="0"/>
    <n v="0"/>
  </r>
  <r>
    <s v="5KE034"/>
    <s v="Biofysikalisk kemi: Termodynamik"/>
    <m/>
    <s v="LYAGY"/>
    <s v="H16"/>
    <s v="H19"/>
    <s v="H191-5"/>
    <m/>
    <m/>
    <s v="IDMA"/>
    <m/>
    <n v="100"/>
    <n v="7.5"/>
    <m/>
    <m/>
    <n v="1"/>
    <n v="0.125"/>
    <n v="0.85"/>
    <n v="0.10625"/>
    <x v="7"/>
    <s v="Kemiska institutionen         "/>
    <s v="TekNat"/>
    <s v="Ämneslärarprogrammet - Gy"/>
    <n v="19473"/>
    <n v="34806"/>
    <n v="6132.2624999999998"/>
    <n v="21800"/>
    <n v="2725"/>
    <n v="8857.2625000000007"/>
    <n v="0"/>
    <n v="0"/>
    <n v="0"/>
    <n v="0"/>
    <n v="0"/>
    <n v="1"/>
    <n v="0"/>
    <n v="0"/>
    <n v="0"/>
    <n v="0"/>
    <n v="0"/>
    <n v="0"/>
  </r>
  <r>
    <s v="5KE038"/>
    <s v="Biofysikalisk kemi: Spektroskopi"/>
    <m/>
    <s v="LYAGY"/>
    <s v="H16"/>
    <s v="H19"/>
    <s v="H196-10"/>
    <m/>
    <m/>
    <s v="IDMA"/>
    <m/>
    <n v="100"/>
    <n v="7.5"/>
    <m/>
    <m/>
    <n v="1"/>
    <n v="0.125"/>
    <n v="0.85"/>
    <n v="0.10625"/>
    <x v="7"/>
    <s v="Kemiska institutionen         "/>
    <s v="TekNat"/>
    <s v="Ämneslärarprogrammet - Gy"/>
    <n v="19473"/>
    <n v="34806"/>
    <n v="6132.2624999999998"/>
    <n v="21800"/>
    <n v="2725"/>
    <n v="8857.2625000000007"/>
    <n v="0"/>
    <n v="0"/>
    <n v="0"/>
    <n v="0"/>
    <n v="0"/>
    <n v="1"/>
    <n v="0"/>
    <n v="0"/>
    <n v="0"/>
    <n v="0"/>
    <n v="0"/>
    <n v="0"/>
  </r>
  <r>
    <s v="5KE111"/>
    <s v="Biologisk kemi"/>
    <m/>
    <s v="LYAGY"/>
    <s v="H13"/>
    <s v="H19"/>
    <s v="H191-10"/>
    <m/>
    <m/>
    <s v="IDRH"/>
    <m/>
    <n v="100"/>
    <n v="15"/>
    <m/>
    <m/>
    <n v="1"/>
    <n v="0.25"/>
    <n v="0.85"/>
    <n v="0.21249999999999999"/>
    <x v="7"/>
    <s v="Kemiska institutionen         "/>
    <s v="TekNat"/>
    <s v="Ämneslärarprogrammet - Gy"/>
    <n v="19473"/>
    <n v="34806"/>
    <n v="12264.525"/>
    <n v="21800"/>
    <n v="5450"/>
    <n v="17714.525000000001"/>
    <n v="0"/>
    <n v="0"/>
    <n v="0"/>
    <n v="0"/>
    <n v="0"/>
    <n v="1"/>
    <n v="0"/>
    <n v="0"/>
    <n v="0"/>
    <n v="0"/>
    <n v="0"/>
    <n v="0"/>
  </r>
  <r>
    <s v="5KE111"/>
    <s v="Biologisk kemi"/>
    <m/>
    <s v="LYAGY"/>
    <s v="H13"/>
    <s v="H19"/>
    <s v="H191-10"/>
    <m/>
    <m/>
    <s v="SVAA"/>
    <m/>
    <n v="100"/>
    <n v="15"/>
    <m/>
    <m/>
    <n v="1"/>
    <n v="0.25"/>
    <n v="0.85"/>
    <n v="0.21249999999999999"/>
    <x v="7"/>
    <s v="Kemiska institutionen         "/>
    <s v="TekNat"/>
    <s v="Ämneslärarprogrammet - Gy"/>
    <n v="19473"/>
    <n v="34806"/>
    <n v="12264.525"/>
    <n v="21800"/>
    <n v="5450"/>
    <n v="17714.525000000001"/>
    <n v="0"/>
    <n v="0"/>
    <n v="0"/>
    <n v="0"/>
    <n v="0"/>
    <n v="1"/>
    <n v="0"/>
    <n v="0"/>
    <n v="0"/>
    <n v="0"/>
    <n v="0"/>
    <n v="0"/>
  </r>
  <r>
    <s v="5KE111"/>
    <s v="Biologisk kemi"/>
    <m/>
    <s v="LYAGY"/>
    <s v="H14"/>
    <s v="H19"/>
    <s v="H191-10"/>
    <m/>
    <m/>
    <s v="ENGS"/>
    <m/>
    <n v="100"/>
    <n v="15"/>
    <m/>
    <m/>
    <n v="1"/>
    <n v="0.25"/>
    <n v="0.85"/>
    <n v="0.21249999999999999"/>
    <x v="7"/>
    <s v="Kemiska institutionen         "/>
    <s v="TekNat"/>
    <s v="Ämneslärarprogrammet - Gy"/>
    <n v="19473"/>
    <n v="34806"/>
    <n v="12264.525"/>
    <n v="21800"/>
    <n v="5450"/>
    <n v="17714.525000000001"/>
    <n v="0"/>
    <n v="0"/>
    <n v="0"/>
    <n v="0"/>
    <n v="0"/>
    <n v="1"/>
    <n v="0"/>
    <n v="0"/>
    <n v="0"/>
    <n v="0"/>
    <n v="0"/>
    <n v="0"/>
  </r>
  <r>
    <s v="5KE111"/>
    <s v="Biologisk kemi"/>
    <m/>
    <s v="LYAGY"/>
    <s v="H16"/>
    <s v="H19"/>
    <s v="H191-10"/>
    <m/>
    <m/>
    <s v="NATU"/>
    <m/>
    <n v="100"/>
    <n v="15"/>
    <m/>
    <m/>
    <n v="1"/>
    <n v="0.25"/>
    <n v="0.85"/>
    <n v="0.21249999999999999"/>
    <x v="7"/>
    <s v="Kemiska institutionen         "/>
    <s v="TekNat"/>
    <s v="Ämneslärarprogrammet - Gy"/>
    <n v="19473"/>
    <n v="34806"/>
    <n v="12264.525"/>
    <n v="21800"/>
    <n v="5450"/>
    <n v="17714.525000000001"/>
    <n v="0"/>
    <n v="0"/>
    <n v="0"/>
    <n v="0"/>
    <n v="0"/>
    <n v="1"/>
    <n v="0"/>
    <n v="0"/>
    <n v="0"/>
    <n v="0"/>
    <n v="0"/>
    <n v="0"/>
  </r>
  <r>
    <s v="5KE165"/>
    <s v="Kemins grunder"/>
    <m/>
    <s v="LYAGY"/>
    <s v="H16"/>
    <s v="V19"/>
    <s v="V191-10"/>
    <s v="Umeå"/>
    <m/>
    <s v="BILÄ"/>
    <m/>
    <n v="100"/>
    <n v="15"/>
    <m/>
    <m/>
    <n v="1"/>
    <n v="0.25"/>
    <n v="0.85"/>
    <n v="0.21249999999999999"/>
    <x v="7"/>
    <s v="Kemiska institutionen         "/>
    <s v="TekNat"/>
    <s v="Ämneslärarprogrammet - Gy"/>
    <n v="19473"/>
    <n v="34806"/>
    <n v="12264.525"/>
    <n v="21800"/>
    <n v="5450"/>
    <n v="17714.525000000001"/>
    <n v="0"/>
    <n v="0"/>
    <n v="0"/>
    <n v="0"/>
    <n v="0"/>
    <n v="0.5"/>
    <n v="0"/>
    <n v="0.5"/>
    <n v="0"/>
    <n v="0"/>
    <n v="0"/>
    <n v="0"/>
  </r>
  <r>
    <s v="5KE165"/>
    <s v="Kemins grunder"/>
    <m/>
    <s v="LYAGY"/>
    <s v="H16"/>
    <s v="V19"/>
    <s v="V191-10"/>
    <s v="Umeå"/>
    <m/>
    <s v="IDMA"/>
    <m/>
    <n v="100"/>
    <n v="15"/>
    <m/>
    <m/>
    <n v="1"/>
    <n v="0.25"/>
    <n v="0.85"/>
    <n v="0.21249999999999999"/>
    <x v="7"/>
    <s v="Kemiska institutionen         "/>
    <s v="TekNat"/>
    <s v="Ämneslärarprogrammet - Gy"/>
    <n v="19473"/>
    <n v="34806"/>
    <n v="12264.525"/>
    <n v="21800"/>
    <n v="5450"/>
    <n v="17714.525000000001"/>
    <n v="0"/>
    <n v="0"/>
    <n v="0"/>
    <n v="0"/>
    <n v="0"/>
    <n v="0.5"/>
    <n v="0"/>
    <n v="0.5"/>
    <n v="0"/>
    <n v="0"/>
    <n v="0"/>
    <n v="0"/>
  </r>
  <r>
    <s v="5KE165"/>
    <s v="Kemins grunder"/>
    <m/>
    <s v="LYAGY"/>
    <s v="H17"/>
    <s v="V19"/>
    <s v="V191-10"/>
    <s v="Umeå"/>
    <m/>
    <s v="MATT"/>
    <m/>
    <n v="100"/>
    <n v="15"/>
    <m/>
    <m/>
    <n v="2"/>
    <n v="0.5"/>
    <n v="0.85"/>
    <n v="0.42499999999999999"/>
    <x v="7"/>
    <s v="Kemiska institutionen         "/>
    <s v="TekNat"/>
    <s v="Ämneslärarprogrammet - Gy"/>
    <n v="19473"/>
    <n v="34806"/>
    <n v="24529.05"/>
    <n v="21800"/>
    <n v="10900"/>
    <n v="35429.050000000003"/>
    <n v="0"/>
    <n v="0"/>
    <n v="0"/>
    <n v="0"/>
    <n v="0"/>
    <n v="0.5"/>
    <n v="0"/>
    <n v="0.5"/>
    <n v="0"/>
    <n v="0"/>
    <n v="0"/>
    <n v="0"/>
  </r>
  <r>
    <s v="5KE165"/>
    <s v="Kemins grunder"/>
    <m/>
    <s v="LYAGY"/>
    <s v="H18"/>
    <s v="V19"/>
    <s v="V191-10"/>
    <s v="Umeå"/>
    <m/>
    <s v="BIOL"/>
    <m/>
    <n v="100"/>
    <n v="15"/>
    <m/>
    <m/>
    <n v="1"/>
    <n v="0.25"/>
    <n v="0.85"/>
    <n v="0.21249999999999999"/>
    <x v="7"/>
    <s v="Kemiska institutionen         "/>
    <s v="TekNat"/>
    <s v="Ämneslärarprogrammet - Gy"/>
    <n v="19473"/>
    <n v="34806"/>
    <n v="12264.525"/>
    <n v="21800"/>
    <n v="5450"/>
    <n v="17714.525000000001"/>
    <n v="0"/>
    <n v="0"/>
    <n v="0"/>
    <n v="0"/>
    <n v="0"/>
    <n v="0.5"/>
    <n v="0"/>
    <n v="0.5"/>
    <n v="0"/>
    <n v="0"/>
    <n v="0"/>
    <n v="0"/>
  </r>
  <r>
    <s v="5KE177"/>
    <s v="Avancerad miljökemi"/>
    <m/>
    <s v="LYAGY"/>
    <s v="H17"/>
    <s v="V19"/>
    <s v="V1911-20"/>
    <s v="Umeå"/>
    <m/>
    <s v="BIOL"/>
    <m/>
    <n v="100"/>
    <n v="15"/>
    <m/>
    <m/>
    <n v="1"/>
    <n v="0.25"/>
    <n v="0.85"/>
    <n v="0.21249999999999999"/>
    <x v="7"/>
    <s v="Kemiska institutionen         "/>
    <s v="TekNat"/>
    <s v="Ämneslärarprogrammet - Gy"/>
    <n v="19473"/>
    <n v="34806"/>
    <n v="12264.525"/>
    <n v="21800"/>
    <n v="5450"/>
    <n v="17714.525000000001"/>
    <n v="0"/>
    <n v="0"/>
    <n v="0"/>
    <n v="0"/>
    <n v="0"/>
    <n v="0.5"/>
    <n v="0"/>
    <n v="0.5"/>
    <n v="0"/>
    <n v="0"/>
    <n v="0"/>
    <n v="0"/>
  </r>
  <r>
    <s v="5KE180"/>
    <s v="Organisk kemi"/>
    <m/>
    <s v="LYAGY"/>
    <m/>
    <s v="V19"/>
    <m/>
    <s v="Umeå"/>
    <m/>
    <s v="BIOL"/>
    <m/>
    <n v="100"/>
    <n v="15"/>
    <m/>
    <m/>
    <n v="1"/>
    <n v="0.25"/>
    <n v="0.85"/>
    <n v="0.21249999999999999"/>
    <x v="7"/>
    <s v="Kemiska institutionen         "/>
    <s v="TekNat"/>
    <s v="Ämneslärarprogrammet - Gy"/>
    <n v="19473"/>
    <n v="34806"/>
    <n v="12264.525"/>
    <n v="21800"/>
    <n v="5450"/>
    <n v="17714.525000000001"/>
    <n v="0"/>
    <n v="0"/>
    <n v="0"/>
    <n v="0"/>
    <n v="0"/>
    <n v="1"/>
    <n v="0"/>
    <n v="0"/>
    <n v="0"/>
    <n v="0"/>
    <n v="0"/>
    <n v="0"/>
  </r>
  <r>
    <s v="5KE180"/>
    <s v="Organisk kemi"/>
    <m/>
    <s v="LYAGY"/>
    <m/>
    <s v="V19"/>
    <m/>
    <s v="Umeå"/>
    <m/>
    <s v="IDRH"/>
    <m/>
    <n v="100"/>
    <n v="15"/>
    <m/>
    <m/>
    <n v="1"/>
    <n v="0.25"/>
    <n v="0.85"/>
    <n v="0.21249999999999999"/>
    <x v="7"/>
    <s v="Kemiska institutionen         "/>
    <s v="TekNat"/>
    <s v="Ämneslärarprogrammet - Gy"/>
    <n v="19473"/>
    <n v="34806"/>
    <n v="12264.525"/>
    <n v="21800"/>
    <n v="5450"/>
    <n v="17714.525000000001"/>
    <n v="0"/>
    <n v="0"/>
    <n v="0"/>
    <n v="0"/>
    <n v="0"/>
    <n v="1"/>
    <n v="0"/>
    <n v="0"/>
    <n v="0"/>
    <n v="0"/>
    <n v="0"/>
    <n v="0"/>
  </r>
  <r>
    <s v="5MA121"/>
    <s v="Differentialekvationer för teknologer"/>
    <m/>
    <s v="LYAGY"/>
    <s v="H12"/>
    <s v="H19"/>
    <s v="H191-5"/>
    <m/>
    <m/>
    <s v="MATT"/>
    <m/>
    <n v="100"/>
    <n v="7.5"/>
    <m/>
    <m/>
    <n v="1"/>
    <n v="0.125"/>
    <n v="0.85"/>
    <n v="0.10625"/>
    <x v="8"/>
    <s v="Inst för MA och MA statistik"/>
    <s v="TekNat"/>
    <s v="Ämneslärarprogrammet - Gy"/>
    <n v="19473"/>
    <n v="34806"/>
    <n v="6132.2624999999998"/>
    <n v="21800"/>
    <n v="2725"/>
    <n v="8857.2625000000007"/>
    <n v="0"/>
    <n v="0"/>
    <n v="0"/>
    <n v="0"/>
    <n v="0"/>
    <n v="0.5"/>
    <n v="0"/>
    <n v="0.5"/>
    <n v="0"/>
    <n v="0"/>
    <n v="0"/>
    <n v="0"/>
  </r>
  <r>
    <s v="5MA143"/>
    <s v="Introduktion till diskret matematik"/>
    <m/>
    <s v="LYAGY"/>
    <m/>
    <s v="V19"/>
    <m/>
    <s v="Umeå"/>
    <m/>
    <s v="IDRH"/>
    <m/>
    <n v="50"/>
    <n v="7.5"/>
    <m/>
    <m/>
    <n v="1"/>
    <n v="0.125"/>
    <n v="0.85"/>
    <n v="0.10625"/>
    <x v="8"/>
    <s v="Inst för MA och MA statistik"/>
    <s v="TekNat"/>
    <s v="Ämneslärarprogrammet - Gy"/>
    <n v="19473"/>
    <n v="34806"/>
    <n v="6132.2624999999998"/>
    <n v="21800"/>
    <n v="2725"/>
    <n v="8857.2625000000007"/>
    <n v="0"/>
    <n v="0"/>
    <n v="0"/>
    <n v="0"/>
    <n v="0"/>
    <n v="0.5"/>
    <n v="0"/>
    <n v="0.5"/>
    <n v="0"/>
    <n v="0"/>
    <n v="0"/>
    <n v="0"/>
  </r>
  <r>
    <s v="5MA143"/>
    <s v="Introduktion till diskret matematik"/>
    <m/>
    <s v="LYAGY"/>
    <m/>
    <s v="V19"/>
    <m/>
    <s v="Umeå"/>
    <m/>
    <s v="MATT"/>
    <m/>
    <n v="50"/>
    <n v="7.5"/>
    <m/>
    <m/>
    <n v="1"/>
    <n v="0.125"/>
    <n v="0.85"/>
    <n v="0.10625"/>
    <x v="8"/>
    <s v="Inst för MA och MA statistik"/>
    <s v="TekNat"/>
    <s v="Ämneslärarprogrammet - Gy"/>
    <n v="19473"/>
    <n v="34806"/>
    <n v="6132.2624999999998"/>
    <n v="21800"/>
    <n v="2725"/>
    <n v="8857.2625000000007"/>
    <n v="0"/>
    <n v="0"/>
    <n v="0"/>
    <n v="0"/>
    <n v="0"/>
    <n v="0.5"/>
    <n v="0"/>
    <n v="0.5"/>
    <n v="0"/>
    <n v="0"/>
    <n v="0"/>
    <n v="0"/>
  </r>
  <r>
    <s v="6BI009"/>
    <s v="Examensarbete för ämneslärarexamen - Biologi"/>
    <m/>
    <s v="LYAGY"/>
    <s v="H12"/>
    <s v="V19"/>
    <s v="H1816-20:V191-15"/>
    <s v="Umeå"/>
    <m/>
    <s v="MATT"/>
    <m/>
    <n v="100"/>
    <n v="22.5"/>
    <m/>
    <m/>
    <n v="1"/>
    <n v="0.375"/>
    <n v="0.85"/>
    <n v="0.31874999999999998"/>
    <x v="9"/>
    <s v="NMD"/>
    <s v="TekNat"/>
    <s v="Ämneslärarprogrammet - Gy"/>
    <n v="19473"/>
    <n v="34806"/>
    <n v="18396.787499999999"/>
    <n v="21800"/>
    <n v="8175"/>
    <n v="26571.787499999999"/>
    <n v="0"/>
    <n v="0"/>
    <n v="0"/>
    <n v="0"/>
    <n v="0"/>
    <n v="1"/>
    <n v="0"/>
    <n v="0"/>
    <n v="0"/>
    <n v="0"/>
    <n v="0"/>
    <n v="0"/>
  </r>
  <r>
    <s v="6BI009"/>
    <s v="Examensarbete för ämneslärarexamen - Biologi"/>
    <m/>
    <s v="LYAGY"/>
    <s v="H14"/>
    <s v="V19"/>
    <s v="H1816-20:V191-15"/>
    <s v="Umeå"/>
    <m/>
    <s v="ENGS"/>
    <m/>
    <n v="100"/>
    <n v="22.5"/>
    <m/>
    <m/>
    <n v="1"/>
    <n v="0.375"/>
    <n v="0.85"/>
    <n v="0.31874999999999998"/>
    <x v="9"/>
    <s v="NMD"/>
    <s v="TekNat"/>
    <s v="Ämneslärarprogrammet - Gy"/>
    <n v="19473"/>
    <n v="34806"/>
    <n v="18396.787499999999"/>
    <n v="21800"/>
    <n v="8175"/>
    <n v="26571.787499999999"/>
    <n v="0"/>
    <n v="0"/>
    <n v="0"/>
    <n v="0"/>
    <n v="0"/>
    <n v="1"/>
    <n v="0"/>
    <n v="0"/>
    <n v="0"/>
    <n v="0"/>
    <n v="0"/>
    <n v="0"/>
  </r>
  <r>
    <s v="6BI009"/>
    <s v="Examensarbete för ämneslärarexamen - Biologi"/>
    <m/>
    <s v="LYAGY"/>
    <s v="H15"/>
    <s v="H19"/>
    <s v="H1916-20:V201-15"/>
    <m/>
    <m/>
    <s v="ENGS"/>
    <m/>
    <n v="100"/>
    <n v="7.5"/>
    <m/>
    <m/>
    <n v="1"/>
    <n v="0.125"/>
    <n v="0.85"/>
    <n v="0.10625"/>
    <x v="9"/>
    <s v="NMD"/>
    <s v="TekNat"/>
    <s v="Ämneslärarprogrammet - Gy"/>
    <n v="19473"/>
    <n v="34806"/>
    <n v="6132.2624999999998"/>
    <n v="21800"/>
    <n v="2725"/>
    <n v="8857.2625000000007"/>
    <n v="0"/>
    <n v="0"/>
    <n v="0"/>
    <n v="0"/>
    <n v="0"/>
    <n v="1"/>
    <n v="0"/>
    <n v="0"/>
    <n v="0"/>
    <n v="0"/>
    <n v="0"/>
    <n v="0"/>
  </r>
  <r>
    <s v="6BI009"/>
    <s v="Examensarbete för ämneslärarexamen - Biologi"/>
    <m/>
    <s v="LYAGY"/>
    <s v="H16"/>
    <s v="H19"/>
    <s v="H1916-20:V201-15"/>
    <m/>
    <m/>
    <s v="BIOL"/>
    <m/>
    <n v="100"/>
    <n v="7.5"/>
    <m/>
    <m/>
    <n v="1"/>
    <n v="0.125"/>
    <n v="0.85"/>
    <n v="0.10625"/>
    <x v="9"/>
    <s v="NMD"/>
    <s v="TekNat"/>
    <s v="Ämneslärarprogrammet - Gy"/>
    <n v="19473"/>
    <n v="34806"/>
    <n v="6132.2624999999998"/>
    <n v="21800"/>
    <n v="2725"/>
    <n v="8857.2625000000007"/>
    <n v="0"/>
    <n v="0"/>
    <n v="0"/>
    <n v="0"/>
    <n v="0"/>
    <n v="1"/>
    <n v="0"/>
    <n v="0"/>
    <n v="0"/>
    <n v="0"/>
    <n v="0"/>
    <n v="0"/>
  </r>
  <r>
    <s v="6BI009"/>
    <s v="Examensarbete för ämneslärarexamen - Biologi"/>
    <m/>
    <s v="LYAGY"/>
    <s v="H17"/>
    <s v="H19"/>
    <s v="H1916-20:V201-15"/>
    <m/>
    <m/>
    <s v="BIOL"/>
    <m/>
    <n v="100"/>
    <n v="7.5"/>
    <m/>
    <m/>
    <n v="1"/>
    <n v="0.125"/>
    <n v="0.85"/>
    <n v="0.10625"/>
    <x v="9"/>
    <s v="NMD"/>
    <s v="TekNat"/>
    <s v="Ämneslärarprogrammet - Gy"/>
    <n v="19473"/>
    <n v="34806"/>
    <n v="6132.2624999999998"/>
    <n v="21800"/>
    <n v="2725"/>
    <n v="8857.2625000000007"/>
    <n v="0"/>
    <n v="0"/>
    <n v="0"/>
    <n v="0"/>
    <n v="0"/>
    <n v="1"/>
    <n v="0"/>
    <n v="0"/>
    <n v="0"/>
    <n v="0"/>
    <n v="0"/>
    <n v="0"/>
  </r>
  <r>
    <s v="6BI020"/>
    <s v="Läraryrkets dimensioner - ingångsämne biologi (VFU)"/>
    <m/>
    <s v="LYAGY"/>
    <s v="H16"/>
    <s v="H19"/>
    <s v="H191-15"/>
    <m/>
    <m/>
    <s v="BIOL"/>
    <m/>
    <n v="100"/>
    <n v="22.5"/>
    <m/>
    <m/>
    <n v="1"/>
    <n v="0.375"/>
    <n v="0.85"/>
    <n v="0.31874999999999998"/>
    <x v="9"/>
    <s v="NMD"/>
    <s v="TekNat"/>
    <s v="Ämneslärarprogrammet - Gy"/>
    <n v="21634"/>
    <n v="26986"/>
    <n v="16714.537499999999"/>
    <n v="3400"/>
    <n v="1275"/>
    <n v="17989.537499999999"/>
    <n v="0"/>
    <n v="0"/>
    <n v="0"/>
    <n v="0"/>
    <n v="0"/>
    <n v="0"/>
    <n v="0"/>
    <n v="0"/>
    <n v="1"/>
    <n v="0"/>
    <n v="0"/>
    <n v="0"/>
  </r>
  <r>
    <s v="6BI020"/>
    <s v="Läraryrkets dimensioner - ingångsämne biologi (VFU)"/>
    <m/>
    <s v="LYAGY"/>
    <s v="H17"/>
    <s v="H19"/>
    <s v="H191-15"/>
    <m/>
    <m/>
    <s v="BIOL"/>
    <m/>
    <n v="100"/>
    <n v="22.5"/>
    <m/>
    <m/>
    <n v="2"/>
    <n v="0.75"/>
    <n v="0.85"/>
    <n v="0.63749999999999996"/>
    <x v="9"/>
    <s v="NMD"/>
    <s v="TekNat"/>
    <s v="Ämneslärarprogrammet - Gy"/>
    <n v="21634"/>
    <n v="26986"/>
    <n v="33429.074999999997"/>
    <n v="3400"/>
    <n v="2550"/>
    <n v="35979.074999999997"/>
    <n v="0"/>
    <n v="0"/>
    <n v="0"/>
    <n v="0"/>
    <n v="0"/>
    <n v="0"/>
    <n v="0"/>
    <n v="0"/>
    <n v="1"/>
    <n v="0"/>
    <n v="0"/>
    <n v="0"/>
  </r>
  <r>
    <s v="6BI022"/>
    <s v="Naturens mångfald för naturkunskapslärare"/>
    <m/>
    <s v="LYAGY"/>
    <s v="H15"/>
    <s v="H19"/>
    <s v="H191-15"/>
    <m/>
    <m/>
    <s v="MUSI"/>
    <m/>
    <n v="100"/>
    <n v="15"/>
    <m/>
    <m/>
    <n v="1"/>
    <n v="0.25"/>
    <n v="0.85"/>
    <n v="0.21249999999999999"/>
    <x v="3"/>
    <s v="EMG"/>
    <s v="TekNat"/>
    <s v="Ämneslärarprogrammet - Gy"/>
    <n v="19473"/>
    <n v="34806"/>
    <n v="12264.525"/>
    <n v="21800"/>
    <n v="5450"/>
    <n v="17714.525000000001"/>
    <n v="0"/>
    <n v="0"/>
    <n v="0"/>
    <n v="0"/>
    <n v="0"/>
    <n v="1"/>
    <n v="0"/>
    <n v="0"/>
    <n v="0"/>
    <n v="0"/>
    <n v="0"/>
    <n v="0"/>
  </r>
  <r>
    <s v="6BI022"/>
    <s v="Naturens mångfald för naturkunskapslärare"/>
    <m/>
    <s v="LYAGY"/>
    <s v="H16"/>
    <s v="H19"/>
    <s v="H191-15"/>
    <m/>
    <m/>
    <s v="MATT"/>
    <m/>
    <n v="100"/>
    <n v="15"/>
    <m/>
    <m/>
    <n v="1"/>
    <n v="0.25"/>
    <n v="0.85"/>
    <n v="0.21249999999999999"/>
    <x v="3"/>
    <s v="EMG"/>
    <s v="TekNat"/>
    <s v="Ämneslärarprogrammet - Gy"/>
    <n v="19473"/>
    <n v="34806"/>
    <n v="12264.525"/>
    <n v="21800"/>
    <n v="5450"/>
    <n v="17714.525000000001"/>
    <n v="0"/>
    <n v="0"/>
    <n v="0"/>
    <n v="0"/>
    <n v="0"/>
    <n v="1"/>
    <n v="0"/>
    <n v="0"/>
    <n v="0"/>
    <n v="0"/>
    <n v="0"/>
    <n v="0"/>
  </r>
  <r>
    <s v="6BI022"/>
    <s v="Naturens mångfald för naturkunskapslärare"/>
    <m/>
    <s v="LYAGY"/>
    <s v="H18"/>
    <s v="H19"/>
    <s v="H191-15"/>
    <m/>
    <m/>
    <s v="NATU"/>
    <m/>
    <n v="100"/>
    <n v="15"/>
    <m/>
    <m/>
    <n v="1"/>
    <n v="0.25"/>
    <n v="0.85"/>
    <n v="0.21249999999999999"/>
    <x v="3"/>
    <s v="EMG"/>
    <s v="TekNat"/>
    <s v="Ämneslärarprogrammet - Gy"/>
    <n v="19473"/>
    <n v="34806"/>
    <n v="12264.525"/>
    <n v="21800"/>
    <n v="5450"/>
    <n v="17714.525000000001"/>
    <n v="0"/>
    <n v="0"/>
    <n v="0"/>
    <n v="0"/>
    <n v="0"/>
    <n v="1"/>
    <n v="0"/>
    <n v="0"/>
    <n v="0"/>
    <n v="0"/>
    <n v="0"/>
    <n v="0"/>
  </r>
  <r>
    <s v="6BI023"/>
    <s v="Artkunskap och systematik för biologilärare"/>
    <m/>
    <s v="LYAGY"/>
    <s v="H16"/>
    <s v="H19"/>
    <s v="H191-15"/>
    <m/>
    <m/>
    <s v="BILÄ"/>
    <m/>
    <n v="100"/>
    <n v="15"/>
    <m/>
    <m/>
    <n v="1"/>
    <n v="0.25"/>
    <n v="0.85"/>
    <n v="0.21249999999999999"/>
    <x v="3"/>
    <s v="EMG"/>
    <s v="TekNat"/>
    <s v="Ämneslärarprogrammet - Gy"/>
    <n v="19473"/>
    <n v="34806"/>
    <n v="12264.525"/>
    <n v="21800"/>
    <n v="5450"/>
    <n v="17714.525000000001"/>
    <n v="0"/>
    <n v="0"/>
    <n v="0"/>
    <n v="0"/>
    <n v="0"/>
    <n v="1"/>
    <n v="0"/>
    <n v="0"/>
    <n v="0"/>
    <n v="0"/>
    <n v="0"/>
    <n v="0"/>
  </r>
  <r>
    <s v="6BI023"/>
    <s v="Artkunskap och systematik för biologilärare"/>
    <m/>
    <s v="LYAGY"/>
    <s v="H16"/>
    <s v="H19"/>
    <s v="H191-15"/>
    <m/>
    <m/>
    <s v="IDRH"/>
    <m/>
    <n v="100"/>
    <n v="15"/>
    <m/>
    <m/>
    <n v="1"/>
    <n v="0.25"/>
    <n v="0.85"/>
    <n v="0.21249999999999999"/>
    <x v="3"/>
    <s v="EMG"/>
    <s v="TekNat"/>
    <s v="Ämneslärarprogrammet - Gy"/>
    <n v="19473"/>
    <n v="34806"/>
    <n v="12264.525"/>
    <n v="21800"/>
    <n v="5450"/>
    <n v="17714.525000000001"/>
    <n v="0"/>
    <n v="0"/>
    <n v="0"/>
    <n v="0"/>
    <n v="0"/>
    <n v="1"/>
    <n v="0"/>
    <n v="0"/>
    <n v="0"/>
    <n v="0"/>
    <n v="0"/>
    <n v="0"/>
  </r>
  <r>
    <s v="6BI023"/>
    <s v="Artkunskap och systematik för biologilärare"/>
    <m/>
    <s v="LYAGY"/>
    <s v="H16"/>
    <s v="H19"/>
    <s v="H191-15"/>
    <m/>
    <m/>
    <s v="MATT"/>
    <m/>
    <n v="100"/>
    <n v="15"/>
    <m/>
    <m/>
    <n v="1"/>
    <n v="0.25"/>
    <n v="0.85"/>
    <n v="0.21249999999999999"/>
    <x v="3"/>
    <s v="EMG"/>
    <s v="TekNat"/>
    <s v="Ämneslärarprogrammet - Gy"/>
    <n v="19473"/>
    <n v="34806"/>
    <n v="12264.525"/>
    <n v="21800"/>
    <n v="5450"/>
    <n v="17714.525000000001"/>
    <n v="0"/>
    <n v="0"/>
    <n v="0"/>
    <n v="0"/>
    <n v="0"/>
    <n v="1"/>
    <n v="0"/>
    <n v="0"/>
    <n v="0"/>
    <n v="0"/>
    <n v="0"/>
    <n v="0"/>
  </r>
  <r>
    <s v="6BI023"/>
    <s v="Artkunskap och systematik för biologilärare"/>
    <m/>
    <s v="LYAGY"/>
    <s v="H18"/>
    <s v="H19"/>
    <s v="H191-15"/>
    <m/>
    <m/>
    <s v="BIOL"/>
    <m/>
    <n v="100"/>
    <n v="15"/>
    <m/>
    <m/>
    <n v="5"/>
    <n v="1.25"/>
    <n v="0.85"/>
    <n v="1.0625"/>
    <x v="3"/>
    <s v="EMG"/>
    <s v="TekNat"/>
    <s v="Ämneslärarprogrammet - Gy"/>
    <n v="19473"/>
    <n v="34806"/>
    <n v="61322.625"/>
    <n v="21800"/>
    <n v="27250"/>
    <n v="88572.625"/>
    <n v="0"/>
    <n v="0"/>
    <n v="0"/>
    <n v="0"/>
    <n v="0"/>
    <n v="1"/>
    <n v="0"/>
    <n v="0"/>
    <n v="0"/>
    <n v="0"/>
    <n v="0"/>
    <n v="0"/>
  </r>
  <r>
    <s v="6BI100"/>
    <s v="Biologididaktik för ämneslärare för åk 7-9"/>
    <m/>
    <s v="FRIST"/>
    <m/>
    <s v="V19"/>
    <m/>
    <m/>
    <s v="Campus"/>
    <m/>
    <m/>
    <n v="50"/>
    <n v="7.5"/>
    <m/>
    <m/>
    <n v="0"/>
    <n v="0"/>
    <n v="0.8"/>
    <n v="0"/>
    <x v="9"/>
    <s v="NMD"/>
    <s v="TekNat"/>
    <s v="Fristående och övriga kurser"/>
    <n v="19473"/>
    <n v="34806"/>
    <n v="0"/>
    <n v="21800"/>
    <n v="0"/>
    <n v="0"/>
    <n v="0"/>
    <n v="0"/>
    <n v="0"/>
    <n v="0"/>
    <n v="0"/>
    <n v="1"/>
    <n v="0"/>
    <n v="0"/>
    <n v="0"/>
    <n v="0"/>
    <n v="0"/>
    <n v="0"/>
  </r>
  <r>
    <s v="6BI101"/>
    <s v="Biologididaktik 1 för ämneslärare för gymnasium"/>
    <m/>
    <s v="FRIST"/>
    <m/>
    <s v="V19"/>
    <m/>
    <m/>
    <s v="Campus"/>
    <m/>
    <m/>
    <n v="50"/>
    <n v="7.5"/>
    <m/>
    <m/>
    <n v="0"/>
    <n v="0"/>
    <n v="0.8"/>
    <n v="0"/>
    <x v="9"/>
    <s v="NMD"/>
    <s v="TekNat"/>
    <s v="Fristående och övriga kurser"/>
    <n v="19473"/>
    <n v="34806"/>
    <n v="0"/>
    <n v="21800"/>
    <n v="0"/>
    <n v="0"/>
    <n v="0"/>
    <n v="0"/>
    <n v="0"/>
    <n v="0"/>
    <n v="0"/>
    <n v="1"/>
    <n v="0"/>
    <n v="0"/>
    <n v="0"/>
    <n v="0"/>
    <n v="0"/>
    <n v="0"/>
  </r>
  <r>
    <s v="6BI101"/>
    <s v="Biologididaktik 1 för ämneslärare för gymnasium"/>
    <m/>
    <s v="LYAGY"/>
    <s v="H15"/>
    <s v="V19"/>
    <s v="V191-10"/>
    <s v="Umeå"/>
    <m/>
    <s v="ENGS"/>
    <m/>
    <n v="50"/>
    <n v="7.5"/>
    <m/>
    <m/>
    <n v="1"/>
    <n v="0.125"/>
    <n v="0.85"/>
    <n v="0.10625"/>
    <x v="9"/>
    <s v="NMD"/>
    <s v="TekNat"/>
    <s v="Ämneslärarprogrammet - Gy"/>
    <n v="19473"/>
    <n v="34806"/>
    <n v="6132.2624999999998"/>
    <n v="21800"/>
    <n v="2725"/>
    <n v="8857.2625000000007"/>
    <n v="0"/>
    <n v="0"/>
    <n v="0"/>
    <n v="0"/>
    <n v="0"/>
    <n v="1"/>
    <n v="0"/>
    <n v="0"/>
    <n v="0"/>
    <n v="0"/>
    <n v="0"/>
    <n v="0"/>
  </r>
  <r>
    <s v="6BI101"/>
    <s v="Biologididaktik 1 för ämneslärare för gymnasium"/>
    <m/>
    <s v="LYAGY"/>
    <s v="H15"/>
    <s v="V19"/>
    <s v="V191-10"/>
    <s v="Umeå"/>
    <m/>
    <s v="IDRH"/>
    <m/>
    <n v="50"/>
    <n v="7.5"/>
    <m/>
    <m/>
    <n v="1"/>
    <n v="0.125"/>
    <n v="0.85"/>
    <n v="0.10625"/>
    <x v="9"/>
    <s v="NMD"/>
    <s v="TekNat"/>
    <s v="Ämneslärarprogrammet - Gy"/>
    <n v="19473"/>
    <n v="34806"/>
    <n v="6132.2624999999998"/>
    <n v="21800"/>
    <n v="2725"/>
    <n v="8857.2625000000007"/>
    <n v="0"/>
    <n v="0"/>
    <n v="0"/>
    <n v="0"/>
    <n v="0"/>
    <n v="1"/>
    <n v="0"/>
    <n v="0"/>
    <n v="0"/>
    <n v="0"/>
    <n v="0"/>
    <n v="0"/>
  </r>
  <r>
    <s v="6BI101"/>
    <s v="Biologididaktik 1 för ämneslärare för gymnasium"/>
    <m/>
    <s v="LYAGY"/>
    <s v="H15"/>
    <s v="V19"/>
    <s v="V191-10"/>
    <s v="Umeå"/>
    <m/>
    <s v="MATT"/>
    <m/>
    <n v="50"/>
    <n v="7.5"/>
    <m/>
    <m/>
    <n v="2"/>
    <n v="0.25"/>
    <n v="0.85"/>
    <n v="0.21249999999999999"/>
    <x v="9"/>
    <s v="NMD"/>
    <s v="TekNat"/>
    <s v="Ämneslärarprogrammet - Gy"/>
    <n v="19473"/>
    <n v="34806"/>
    <n v="12264.525"/>
    <n v="21800"/>
    <n v="5450"/>
    <n v="17714.525000000001"/>
    <n v="0"/>
    <n v="0"/>
    <n v="0"/>
    <n v="0"/>
    <n v="0"/>
    <n v="1"/>
    <n v="0"/>
    <n v="0"/>
    <n v="0"/>
    <n v="0"/>
    <n v="0"/>
    <n v="0"/>
  </r>
  <r>
    <s v="6BI101"/>
    <s v="Biologididaktik 1 för ämneslärare för gymnasium"/>
    <m/>
    <s v="LYAGY"/>
    <s v="H15"/>
    <s v="V19"/>
    <s v="V191-10"/>
    <s v="Umeå"/>
    <m/>
    <s v="SVAA"/>
    <m/>
    <n v="50"/>
    <n v="7.5"/>
    <m/>
    <m/>
    <n v="1"/>
    <n v="0.125"/>
    <n v="0.85"/>
    <n v="0.10625"/>
    <x v="9"/>
    <s v="NMD"/>
    <s v="TekNat"/>
    <s v="Ämneslärarprogrammet - Gy"/>
    <n v="19473"/>
    <n v="34806"/>
    <n v="6132.2624999999998"/>
    <n v="21800"/>
    <n v="2725"/>
    <n v="8857.2625000000007"/>
    <n v="0"/>
    <n v="0"/>
    <n v="0"/>
    <n v="0"/>
    <n v="0"/>
    <n v="1"/>
    <n v="0"/>
    <n v="0"/>
    <n v="0"/>
    <n v="0"/>
    <n v="0"/>
    <n v="0"/>
  </r>
  <r>
    <s v="6BI101"/>
    <s v="Biologididaktik 1 för ämneslärare för gymnasium"/>
    <m/>
    <s v="LYAGY"/>
    <s v="H17"/>
    <s v="V19"/>
    <s v="V191-10"/>
    <s v="Umeå"/>
    <m/>
    <s v="BIOL"/>
    <m/>
    <n v="50"/>
    <n v="7.5"/>
    <m/>
    <m/>
    <n v="2"/>
    <n v="0.25"/>
    <n v="0.85"/>
    <n v="0.21249999999999999"/>
    <x v="9"/>
    <s v="NMD"/>
    <s v="TekNat"/>
    <s v="Ämneslärarprogrammet - Gy"/>
    <n v="19473"/>
    <n v="34806"/>
    <n v="12264.525"/>
    <n v="21800"/>
    <n v="5450"/>
    <n v="17714.525000000001"/>
    <n v="0"/>
    <n v="0"/>
    <n v="0"/>
    <n v="0"/>
    <n v="0"/>
    <n v="1"/>
    <n v="0"/>
    <n v="0"/>
    <n v="0"/>
    <n v="0"/>
    <n v="0"/>
    <n v="0"/>
  </r>
  <r>
    <s v="6BI101"/>
    <s v="Biologididaktik 1 för ämneslärare för gymnasium"/>
    <m/>
    <s v="LYAGY"/>
    <s v="H18"/>
    <s v="V19"/>
    <s v="V191-10"/>
    <s v="Umeå"/>
    <m/>
    <s v="BIOL"/>
    <m/>
    <n v="50"/>
    <n v="7.5"/>
    <m/>
    <m/>
    <n v="1"/>
    <n v="0.125"/>
    <n v="0.85"/>
    <n v="0.10625"/>
    <x v="9"/>
    <s v="NMD"/>
    <s v="TekNat"/>
    <s v="Ämneslärarprogrammet - Gy"/>
    <n v="19473"/>
    <n v="34806"/>
    <n v="6132.2624999999998"/>
    <n v="21800"/>
    <n v="2725"/>
    <n v="8857.2625000000007"/>
    <n v="0"/>
    <n v="0"/>
    <n v="0"/>
    <n v="0"/>
    <n v="0"/>
    <n v="1"/>
    <n v="0"/>
    <n v="0"/>
    <n v="0"/>
    <n v="0"/>
    <n v="0"/>
    <n v="0"/>
  </r>
  <r>
    <s v="6BI102"/>
    <s v="Biologididaktik 2 för ämneslärare för gymnasium"/>
    <m/>
    <s v="FRIST"/>
    <m/>
    <s v="V19"/>
    <m/>
    <m/>
    <s v="Campus"/>
    <m/>
    <m/>
    <n v="50"/>
    <n v="7.5"/>
    <m/>
    <m/>
    <n v="0"/>
    <n v="0"/>
    <n v="0.8"/>
    <n v="0"/>
    <x v="9"/>
    <s v="NMD"/>
    <s v="TekNat"/>
    <s v="Fristående och övriga kurser"/>
    <n v="19473"/>
    <n v="34806"/>
    <n v="0"/>
    <n v="21800"/>
    <n v="0"/>
    <n v="0"/>
    <n v="0"/>
    <n v="0"/>
    <n v="0"/>
    <n v="0"/>
    <n v="0"/>
    <n v="1"/>
    <n v="0"/>
    <n v="0"/>
    <n v="0"/>
    <n v="0"/>
    <n v="0"/>
    <n v="0"/>
  </r>
  <r>
    <s v="6BI102"/>
    <s v="Biologididaktik 2 för ämneslärare för gymnasium"/>
    <m/>
    <s v="LYAGY"/>
    <s v="H15"/>
    <s v="V19"/>
    <s v="V1911-20"/>
    <s v="Umeå"/>
    <m/>
    <s v="ENGS"/>
    <m/>
    <n v="50"/>
    <n v="7.5"/>
    <m/>
    <m/>
    <n v="1"/>
    <n v="0.125"/>
    <n v="0.85"/>
    <n v="0.10625"/>
    <x v="9"/>
    <s v="NMD"/>
    <s v="TekNat"/>
    <s v="Ämneslärarprogrammet - Gy"/>
    <n v="19473"/>
    <n v="34806"/>
    <n v="6132.2624999999998"/>
    <n v="21800"/>
    <n v="2725"/>
    <n v="8857.2625000000007"/>
    <n v="0"/>
    <n v="0"/>
    <n v="0"/>
    <n v="0"/>
    <n v="0"/>
    <n v="1"/>
    <n v="0"/>
    <n v="0"/>
    <n v="0"/>
    <n v="0"/>
    <n v="0"/>
    <n v="0"/>
  </r>
  <r>
    <s v="6BI102"/>
    <s v="Biologididaktik 2 för ämneslärare för gymnasium"/>
    <m/>
    <s v="LYAGY"/>
    <s v="H15"/>
    <s v="V19"/>
    <s v="V1911-20"/>
    <s v="Umeå"/>
    <m/>
    <s v="IDRH"/>
    <m/>
    <n v="50"/>
    <n v="7.5"/>
    <m/>
    <m/>
    <n v="1"/>
    <n v="0.125"/>
    <n v="0.85"/>
    <n v="0.10625"/>
    <x v="9"/>
    <s v="NMD"/>
    <s v="TekNat"/>
    <s v="Ämneslärarprogrammet - Gy"/>
    <n v="19473"/>
    <n v="34806"/>
    <n v="6132.2624999999998"/>
    <n v="21800"/>
    <n v="2725"/>
    <n v="8857.2625000000007"/>
    <n v="0"/>
    <n v="0"/>
    <n v="0"/>
    <n v="0"/>
    <n v="0"/>
    <n v="1"/>
    <n v="0"/>
    <n v="0"/>
    <n v="0"/>
    <n v="0"/>
    <n v="0"/>
    <n v="0"/>
  </r>
  <r>
    <s v="6BI102"/>
    <s v="Biologididaktik 2 för ämneslärare för gymnasium"/>
    <m/>
    <s v="LYAGY"/>
    <s v="H15"/>
    <s v="V19"/>
    <s v="V1911-20"/>
    <s v="Umeå"/>
    <m/>
    <s v="MATT"/>
    <m/>
    <n v="50"/>
    <n v="7.5"/>
    <m/>
    <m/>
    <n v="2"/>
    <n v="0.25"/>
    <n v="0.85"/>
    <n v="0.21249999999999999"/>
    <x v="9"/>
    <s v="NMD"/>
    <s v="TekNat"/>
    <s v="Ämneslärarprogrammet - Gy"/>
    <n v="19473"/>
    <n v="34806"/>
    <n v="12264.525"/>
    <n v="21800"/>
    <n v="5450"/>
    <n v="17714.525000000001"/>
    <n v="0"/>
    <n v="0"/>
    <n v="0"/>
    <n v="0"/>
    <n v="0"/>
    <n v="1"/>
    <n v="0"/>
    <n v="0"/>
    <n v="0"/>
    <n v="0"/>
    <n v="0"/>
    <n v="0"/>
  </r>
  <r>
    <s v="6BI102"/>
    <s v="Biologididaktik 2 för ämneslärare för gymnasium"/>
    <m/>
    <s v="LYAGY"/>
    <s v="H15"/>
    <s v="V19"/>
    <s v="V1911-20"/>
    <s v="Umeå"/>
    <m/>
    <s v="SVAA"/>
    <m/>
    <n v="50"/>
    <n v="7.5"/>
    <m/>
    <m/>
    <n v="1"/>
    <n v="0.125"/>
    <n v="0.85"/>
    <n v="0.10625"/>
    <x v="9"/>
    <s v="NMD"/>
    <s v="TekNat"/>
    <s v="Ämneslärarprogrammet - Gy"/>
    <n v="19473"/>
    <n v="34806"/>
    <n v="6132.2624999999998"/>
    <n v="21800"/>
    <n v="2725"/>
    <n v="8857.2625000000007"/>
    <n v="0"/>
    <n v="0"/>
    <n v="0"/>
    <n v="0"/>
    <n v="0"/>
    <n v="1"/>
    <n v="0"/>
    <n v="0"/>
    <n v="0"/>
    <n v="0"/>
    <n v="0"/>
    <n v="0"/>
  </r>
  <r>
    <s v="6BI102"/>
    <s v="Biologididaktik 2 för ämneslärare för gymnasium"/>
    <m/>
    <s v="LYAGY"/>
    <s v="H17"/>
    <s v="V19"/>
    <s v="V1911-20"/>
    <s v="Umeå"/>
    <m/>
    <s v="BIOL"/>
    <m/>
    <n v="50"/>
    <n v="7.5"/>
    <m/>
    <m/>
    <n v="2"/>
    <n v="0.25"/>
    <n v="0.85"/>
    <n v="0.21249999999999999"/>
    <x v="9"/>
    <s v="NMD"/>
    <s v="TekNat"/>
    <s v="Ämneslärarprogrammet - Gy"/>
    <n v="19473"/>
    <n v="34806"/>
    <n v="12264.525"/>
    <n v="21800"/>
    <n v="5450"/>
    <n v="17714.525000000001"/>
    <n v="0"/>
    <n v="0"/>
    <n v="0"/>
    <n v="0"/>
    <n v="0"/>
    <n v="1"/>
    <n v="0"/>
    <n v="0"/>
    <n v="0"/>
    <n v="0"/>
    <n v="0"/>
    <n v="0"/>
  </r>
  <r>
    <s v="6BI102"/>
    <s v="Biologididaktik 2 för ämneslärare för gymnasium"/>
    <m/>
    <s v="LYAGY"/>
    <s v="H18"/>
    <s v="V19"/>
    <s v="V1911-20"/>
    <s v="Umeå"/>
    <m/>
    <s v="BIOL"/>
    <m/>
    <n v="50"/>
    <n v="7.5"/>
    <m/>
    <m/>
    <n v="1"/>
    <n v="0.125"/>
    <n v="0.85"/>
    <n v="0.10625"/>
    <x v="9"/>
    <s v="NMD"/>
    <s v="TekNat"/>
    <s v="Ämneslärarprogrammet - Gy"/>
    <n v="19473"/>
    <n v="34806"/>
    <n v="6132.2624999999998"/>
    <n v="21800"/>
    <n v="2725"/>
    <n v="8857.2625000000007"/>
    <n v="0"/>
    <n v="0"/>
    <n v="0"/>
    <n v="0"/>
    <n v="0"/>
    <n v="1"/>
    <n v="0"/>
    <n v="0"/>
    <n v="0"/>
    <n v="0"/>
    <n v="0"/>
    <n v="0"/>
  </r>
  <r>
    <s v="6DV000"/>
    <s v="Programmeringsteknik med C och Matlab"/>
    <m/>
    <s v="FRIST"/>
    <m/>
    <s v="H19"/>
    <m/>
    <m/>
    <s v="Campus"/>
    <m/>
    <m/>
    <n v="100"/>
    <n v="7.5"/>
    <m/>
    <m/>
    <n v="10"/>
    <n v="1.25"/>
    <n v="0.8"/>
    <n v="1"/>
    <x v="4"/>
    <s v="Inst för datavetenskap        "/>
    <s v="TekNat"/>
    <s v="Fristående och övriga kurser"/>
    <n v="19473"/>
    <n v="34806"/>
    <n v="59147.25"/>
    <n v="21800"/>
    <n v="27250"/>
    <n v="86397.25"/>
    <n v="0"/>
    <n v="0"/>
    <n v="0"/>
    <n v="0"/>
    <n v="0"/>
    <n v="0.5"/>
    <n v="0"/>
    <n v="0.5"/>
    <n v="0"/>
    <n v="0"/>
    <n v="0"/>
    <n v="0"/>
  </r>
  <r>
    <s v="6EN019"/>
    <s v="Engelska I för ämneslärare med inriktning mot gymnasiet"/>
    <m/>
    <s v="FRIST"/>
    <m/>
    <s v="V19"/>
    <m/>
    <m/>
    <s v="Campus"/>
    <m/>
    <m/>
    <n v="100"/>
    <n v="30"/>
    <m/>
    <m/>
    <n v="2"/>
    <n v="1"/>
    <n v="0.8"/>
    <n v="0.8"/>
    <x v="10"/>
    <s v="Inst för språkstudier"/>
    <s v="Hum"/>
    <s v="Fristående och övriga kurser"/>
    <n v="18405"/>
    <n v="15773"/>
    <n v="31023.4"/>
    <n v="5800"/>
    <n v="5800"/>
    <n v="36823.4"/>
    <n v="0"/>
    <n v="1"/>
    <n v="0"/>
    <n v="0"/>
    <n v="0"/>
    <n v="0"/>
    <n v="0"/>
    <n v="0"/>
    <n v="0"/>
    <n v="0"/>
    <n v="0"/>
    <n v="0"/>
  </r>
  <r>
    <s v="6EN019"/>
    <s v="Engelska I för ämneslärare med inriktning mot gymnasiet"/>
    <m/>
    <s v="LYAGY"/>
    <s v="H16"/>
    <s v="V19"/>
    <s v="V191-20"/>
    <s v="Umeå"/>
    <m/>
    <s v="BIOL"/>
    <m/>
    <n v="100"/>
    <n v="30"/>
    <m/>
    <m/>
    <n v="1"/>
    <n v="0.5"/>
    <n v="0.85"/>
    <n v="0.42499999999999999"/>
    <x v="10"/>
    <s v="Inst för språkstudier"/>
    <s v="Hum"/>
    <s v="Ämneslärarprogrammet - Gy"/>
    <n v="18405"/>
    <n v="15773"/>
    <n v="15906.025"/>
    <n v="5800"/>
    <n v="2900"/>
    <n v="18806.025000000001"/>
    <n v="0"/>
    <n v="1"/>
    <n v="0"/>
    <n v="0"/>
    <n v="0"/>
    <n v="0"/>
    <n v="0"/>
    <n v="0"/>
    <n v="0"/>
    <n v="0"/>
    <n v="0"/>
    <n v="0"/>
  </r>
  <r>
    <s v="6EN019"/>
    <s v="Engelska I för ämneslärare med inriktning mot gymnasiet"/>
    <m/>
    <s v="LYAGY"/>
    <s v="H16"/>
    <s v="V19"/>
    <s v="V191-20"/>
    <s v="Umeå"/>
    <m/>
    <s v="IDRH"/>
    <m/>
    <n v="100"/>
    <n v="30"/>
    <m/>
    <m/>
    <n v="2"/>
    <n v="1"/>
    <n v="0.85"/>
    <n v="0.85"/>
    <x v="10"/>
    <s v="Inst för språkstudier"/>
    <s v="Hum"/>
    <s v="Ämneslärarprogrammet - Gy"/>
    <n v="18405"/>
    <n v="15773"/>
    <n v="31812.05"/>
    <n v="5800"/>
    <n v="5800"/>
    <n v="37612.050000000003"/>
    <n v="0"/>
    <n v="1"/>
    <n v="0"/>
    <n v="0"/>
    <n v="0"/>
    <n v="0"/>
    <n v="0"/>
    <n v="0"/>
    <n v="0"/>
    <n v="0"/>
    <n v="0"/>
    <n v="0"/>
  </r>
  <r>
    <s v="6EN019"/>
    <s v="Engelska I för ämneslärare med inriktning mot gymnasiet"/>
    <m/>
    <s v="LYAGY"/>
    <s v="H16"/>
    <s v="V19"/>
    <s v="V191-20"/>
    <s v="Umeå"/>
    <m/>
    <s v="MATT"/>
    <m/>
    <n v="100"/>
    <n v="30"/>
    <m/>
    <m/>
    <n v="1"/>
    <n v="0.5"/>
    <n v="0.85"/>
    <n v="0.42499999999999999"/>
    <x v="10"/>
    <s v="Inst för språkstudier"/>
    <s v="Hum"/>
    <s v="Ämneslärarprogrammet - Gy"/>
    <n v="18405"/>
    <n v="15773"/>
    <n v="15906.025"/>
    <n v="5800"/>
    <n v="2900"/>
    <n v="18806.025000000001"/>
    <n v="0"/>
    <n v="1"/>
    <n v="0"/>
    <n v="0"/>
    <n v="0"/>
    <n v="0"/>
    <n v="0"/>
    <n v="0"/>
    <n v="0"/>
    <n v="0"/>
    <n v="0"/>
    <n v="0"/>
  </r>
  <r>
    <s v="6EN019"/>
    <s v="Engelska I för ämneslärare med inriktning mot gymnasiet"/>
    <m/>
    <s v="LYAGY"/>
    <s v="H16"/>
    <s v="V19"/>
    <s v="V191-20"/>
    <s v="Umeå"/>
    <m/>
    <s v="SPAN"/>
    <m/>
    <n v="100"/>
    <n v="30"/>
    <m/>
    <m/>
    <n v="1"/>
    <n v="0.5"/>
    <n v="0.85"/>
    <n v="0.42499999999999999"/>
    <x v="10"/>
    <s v="Inst för språkstudier"/>
    <s v="Hum"/>
    <s v="Ämneslärarprogrammet - Gy"/>
    <n v="18405"/>
    <n v="15773"/>
    <n v="15906.025"/>
    <n v="5800"/>
    <n v="2900"/>
    <n v="18806.025000000001"/>
    <n v="0"/>
    <n v="1"/>
    <n v="0"/>
    <n v="0"/>
    <n v="0"/>
    <n v="0"/>
    <n v="0"/>
    <n v="0"/>
    <n v="0"/>
    <n v="0"/>
    <n v="0"/>
    <n v="0"/>
  </r>
  <r>
    <s v="6EN019"/>
    <s v="Engelska I för ämneslärare med inriktning mot gymnasiet"/>
    <m/>
    <s v="LYAGY"/>
    <s v="H16"/>
    <s v="V19"/>
    <s v="V191-20"/>
    <s v="Umeå"/>
    <m/>
    <s v="SVAN"/>
    <m/>
    <n v="100"/>
    <n v="30"/>
    <m/>
    <m/>
    <n v="1"/>
    <n v="0.5"/>
    <n v="0.85"/>
    <n v="0.42499999999999999"/>
    <x v="10"/>
    <s v="Inst för språkstudier"/>
    <s v="Hum"/>
    <s v="Ämneslärarprogrammet - Gy"/>
    <n v="18405"/>
    <n v="15773"/>
    <n v="15906.025"/>
    <n v="5800"/>
    <n v="2900"/>
    <n v="18806.025000000001"/>
    <n v="0"/>
    <n v="1"/>
    <n v="0"/>
    <n v="0"/>
    <n v="0"/>
    <n v="0"/>
    <n v="0"/>
    <n v="0"/>
    <n v="0"/>
    <n v="0"/>
    <n v="0"/>
    <n v="0"/>
  </r>
  <r>
    <s v="6EN019"/>
    <s v="Engelska I för ämneslärare med inriktning mot gymnasiet"/>
    <m/>
    <s v="LYAGY"/>
    <s v="H16"/>
    <s v="V19"/>
    <s v="V191-20"/>
    <s v="Umeå"/>
    <m/>
    <s v="TYSK"/>
    <m/>
    <n v="100"/>
    <n v="30"/>
    <m/>
    <m/>
    <n v="1"/>
    <n v="0.5"/>
    <n v="0.85"/>
    <n v="0.42499999999999999"/>
    <x v="10"/>
    <s v="Inst för språkstudier"/>
    <s v="Hum"/>
    <s v="Ämneslärarprogrammet - Gy"/>
    <n v="18405"/>
    <n v="15773"/>
    <n v="15906.025"/>
    <n v="5800"/>
    <n v="2900"/>
    <n v="18806.025000000001"/>
    <n v="0"/>
    <n v="1"/>
    <n v="0"/>
    <n v="0"/>
    <n v="0"/>
    <n v="0"/>
    <n v="0"/>
    <n v="0"/>
    <n v="0"/>
    <n v="0"/>
    <n v="0"/>
    <n v="0"/>
  </r>
  <r>
    <s v="6EN019"/>
    <s v="Engelska I för ämneslärare med inriktning mot gymnasiet"/>
    <m/>
    <s v="LYAGY"/>
    <s v="H17"/>
    <s v="V19"/>
    <s v="V191-20"/>
    <s v="Umeå"/>
    <m/>
    <s v="ENGS"/>
    <m/>
    <n v="100"/>
    <n v="30"/>
    <m/>
    <m/>
    <n v="1"/>
    <n v="0.5"/>
    <n v="0.85"/>
    <n v="0.42499999999999999"/>
    <x v="10"/>
    <s v="Inst för språkstudier"/>
    <s v="Hum"/>
    <s v="Ämneslärarprogrammet - Gy"/>
    <n v="18405"/>
    <n v="15773"/>
    <n v="15906.025"/>
    <n v="5800"/>
    <n v="2900"/>
    <n v="18806.025000000001"/>
    <n v="0"/>
    <n v="1"/>
    <n v="0"/>
    <n v="0"/>
    <n v="0"/>
    <n v="0"/>
    <n v="0"/>
    <n v="0"/>
    <n v="0"/>
    <n v="0"/>
    <n v="0"/>
    <n v="0"/>
  </r>
  <r>
    <s v="6EN019"/>
    <s v="Engelska I för ämneslärare med inriktning mot gymnasiet"/>
    <m/>
    <s v="LYAGY"/>
    <s v="H18"/>
    <s v="V19"/>
    <s v="V191-20"/>
    <s v="Umeå"/>
    <m/>
    <s v="ENGS"/>
    <m/>
    <n v="100"/>
    <n v="30"/>
    <m/>
    <m/>
    <n v="26"/>
    <n v="13"/>
    <n v="0.85"/>
    <n v="11.049999999999999"/>
    <x v="10"/>
    <s v="Inst för språkstudier"/>
    <s v="Hum"/>
    <s v="Ämneslärarprogrammet - Gy"/>
    <n v="18405"/>
    <n v="15773"/>
    <n v="413556.65"/>
    <n v="5800"/>
    <n v="75400"/>
    <n v="488956.65"/>
    <n v="0"/>
    <n v="1"/>
    <n v="0"/>
    <n v="0"/>
    <n v="0"/>
    <n v="0"/>
    <n v="0"/>
    <n v="0"/>
    <n v="0"/>
    <n v="0"/>
    <n v="0"/>
    <n v="0"/>
  </r>
  <r>
    <s v="6EN019"/>
    <s v="Engelska I för ämneslärare med inriktning mot gymnasiet"/>
    <m/>
    <s v="LYAGY"/>
    <s v="H18"/>
    <s v="V19"/>
    <s v="V191-20"/>
    <s v="Umeå"/>
    <m/>
    <s v="SVAN"/>
    <m/>
    <n v="100"/>
    <n v="30"/>
    <m/>
    <m/>
    <n v="1"/>
    <n v="0.5"/>
    <n v="0.85"/>
    <n v="0.42499999999999999"/>
    <x v="10"/>
    <s v="Inst för språkstudier"/>
    <s v="Hum"/>
    <s v="Ämneslärarprogrammet - Gy"/>
    <n v="18405"/>
    <n v="15773"/>
    <n v="15906.025"/>
    <n v="5800"/>
    <n v="2900"/>
    <n v="18806.025000000001"/>
    <n v="0"/>
    <n v="1"/>
    <n v="0"/>
    <n v="0"/>
    <n v="0"/>
    <n v="0"/>
    <n v="0"/>
    <n v="0"/>
    <n v="0"/>
    <n v="0"/>
    <n v="0"/>
    <n v="0"/>
  </r>
  <r>
    <s v="6EN035"/>
    <s v="Engelska 3 för ämneslärare med inriktning mot gymnasiet"/>
    <m/>
    <s v="FRIST"/>
    <m/>
    <s v="V19"/>
    <m/>
    <m/>
    <s v="Campus"/>
    <m/>
    <m/>
    <n v="100"/>
    <n v="30"/>
    <m/>
    <m/>
    <n v="2"/>
    <n v="1"/>
    <n v="0.8"/>
    <n v="0.8"/>
    <x v="10"/>
    <s v="Inst för språkstudier"/>
    <s v="Hum"/>
    <s v="Fristående och övriga kurser"/>
    <n v="18405"/>
    <n v="15773"/>
    <n v="31023.4"/>
    <n v="5800"/>
    <n v="5800"/>
    <n v="36823.4"/>
    <n v="0"/>
    <n v="1"/>
    <n v="0"/>
    <n v="0"/>
    <n v="0"/>
    <n v="0"/>
    <n v="0"/>
    <n v="0"/>
    <n v="0"/>
    <n v="0"/>
    <n v="0"/>
    <n v="0"/>
  </r>
  <r>
    <s v="6EN035"/>
    <s v="Engelska 3 för ämneslärare med inriktning mot gymnasiet"/>
    <m/>
    <s v="LYAGY"/>
    <s v="H15"/>
    <s v="V19"/>
    <s v="V191-20"/>
    <s v="Umeå"/>
    <m/>
    <s v="BILÄ"/>
    <m/>
    <n v="100"/>
    <n v="30"/>
    <m/>
    <m/>
    <n v="1"/>
    <n v="0.5"/>
    <n v="0.85"/>
    <n v="0.42499999999999999"/>
    <x v="10"/>
    <s v="Inst för språkstudier"/>
    <s v="Hum"/>
    <s v="Ämneslärarprogrammet - Gy"/>
    <n v="18405"/>
    <n v="15773"/>
    <n v="15906.025"/>
    <n v="5800"/>
    <n v="2900"/>
    <n v="18806.025000000001"/>
    <n v="0"/>
    <n v="1"/>
    <n v="0"/>
    <n v="0"/>
    <n v="0"/>
    <n v="0"/>
    <n v="0"/>
    <n v="0"/>
    <n v="0"/>
    <n v="0"/>
    <n v="0"/>
    <n v="0"/>
  </r>
  <r>
    <s v="6EN035"/>
    <s v="Engelska 3 för ämneslärare med inriktning mot gymnasiet"/>
    <m/>
    <s v="LYAGY"/>
    <s v="H15"/>
    <s v="V19"/>
    <s v="V191-20"/>
    <s v="Umeå"/>
    <m/>
    <s v="HIST"/>
    <m/>
    <n v="100"/>
    <n v="30"/>
    <m/>
    <m/>
    <n v="1"/>
    <n v="0.5"/>
    <n v="0.85"/>
    <n v="0.42499999999999999"/>
    <x v="10"/>
    <s v="Inst för språkstudier"/>
    <s v="Hum"/>
    <s v="Ämneslärarprogrammet - Gy"/>
    <n v="18405"/>
    <n v="15773"/>
    <n v="15906.025"/>
    <n v="5800"/>
    <n v="2900"/>
    <n v="18806.025000000001"/>
    <n v="0"/>
    <n v="1"/>
    <n v="0"/>
    <n v="0"/>
    <n v="0"/>
    <n v="0"/>
    <n v="0"/>
    <n v="0"/>
    <n v="0"/>
    <n v="0"/>
    <n v="0"/>
    <n v="0"/>
  </r>
  <r>
    <s v="6EN035"/>
    <s v="Engelska 3 för ämneslärare med inriktning mot gymnasiet"/>
    <m/>
    <s v="LYAGY"/>
    <s v="H15"/>
    <s v="V19"/>
    <s v="V191-20"/>
    <s v="Umeå"/>
    <m/>
    <s v="IDRH"/>
    <m/>
    <n v="100"/>
    <n v="30"/>
    <m/>
    <m/>
    <n v="1"/>
    <n v="0.5"/>
    <n v="0.85"/>
    <n v="0.42499999999999999"/>
    <x v="10"/>
    <s v="Inst för språkstudier"/>
    <s v="Hum"/>
    <s v="Ämneslärarprogrammet - Gy"/>
    <n v="18405"/>
    <n v="15773"/>
    <n v="15906.025"/>
    <n v="5800"/>
    <n v="2900"/>
    <n v="18806.025000000001"/>
    <n v="0"/>
    <n v="1"/>
    <n v="0"/>
    <n v="0"/>
    <n v="0"/>
    <n v="0"/>
    <n v="0"/>
    <n v="0"/>
    <n v="0"/>
    <n v="0"/>
    <n v="0"/>
    <n v="0"/>
  </r>
  <r>
    <s v="6EN035"/>
    <s v="Engelska 3 för ämneslärare med inriktning mot gymnasiet"/>
    <m/>
    <s v="LYAGY"/>
    <s v="H15"/>
    <s v="V19"/>
    <s v="V191-20"/>
    <s v="Umeå"/>
    <m/>
    <s v="RELK"/>
    <m/>
    <n v="100"/>
    <n v="30"/>
    <m/>
    <m/>
    <n v="0"/>
    <n v="0"/>
    <n v="0.85"/>
    <n v="0"/>
    <x v="10"/>
    <s v="Inst för språkstudier"/>
    <s v="Hum"/>
    <s v="Ämneslärarprogrammet - Gy"/>
    <n v="18405"/>
    <n v="15773"/>
    <n v="0"/>
    <n v="5800"/>
    <n v="0"/>
    <n v="0"/>
    <n v="0"/>
    <n v="1"/>
    <n v="0"/>
    <n v="0"/>
    <n v="0"/>
    <n v="0"/>
    <n v="0"/>
    <n v="0"/>
    <n v="0"/>
    <n v="0"/>
    <n v="0"/>
    <n v="0"/>
  </r>
  <r>
    <s v="6EN035"/>
    <s v="Engelska 3 för ämneslärare med inriktning mot gymnasiet"/>
    <m/>
    <s v="LYAGY"/>
    <s v="H15"/>
    <s v="V19"/>
    <s v="V191-20"/>
    <s v="Umeå"/>
    <m/>
    <s v="SVAA"/>
    <m/>
    <n v="100"/>
    <n v="30"/>
    <m/>
    <m/>
    <n v="3"/>
    <n v="1.5"/>
    <n v="0.85"/>
    <n v="1.2749999999999999"/>
    <x v="10"/>
    <s v="Inst för språkstudier"/>
    <s v="Hum"/>
    <s v="Ämneslärarprogrammet - Gy"/>
    <n v="18405"/>
    <n v="15773"/>
    <n v="47718.074999999997"/>
    <n v="5800"/>
    <n v="8700"/>
    <n v="56418.074999999997"/>
    <n v="0"/>
    <n v="1"/>
    <n v="0"/>
    <n v="0"/>
    <n v="0"/>
    <n v="0"/>
    <n v="0"/>
    <n v="0"/>
    <n v="0"/>
    <n v="0"/>
    <n v="0"/>
    <n v="0"/>
  </r>
  <r>
    <s v="6EN035"/>
    <s v="Engelska 3 för ämneslärare med inriktning mot gymnasiet"/>
    <m/>
    <s v="LYAGY"/>
    <s v="H16"/>
    <s v="V19"/>
    <s v="V191-20"/>
    <s v="Umeå"/>
    <m/>
    <s v="ENGS"/>
    <m/>
    <n v="100"/>
    <n v="30"/>
    <m/>
    <m/>
    <n v="0"/>
    <n v="0"/>
    <n v="0.85"/>
    <n v="0"/>
    <x v="10"/>
    <s v="Inst för språkstudier"/>
    <s v="Hum"/>
    <s v="Ämneslärarprogrammet - Gy"/>
    <n v="18405"/>
    <n v="15773"/>
    <n v="0"/>
    <n v="5800"/>
    <n v="0"/>
    <n v="0"/>
    <n v="0"/>
    <n v="1"/>
    <n v="0"/>
    <n v="0"/>
    <n v="0"/>
    <n v="0"/>
    <n v="0"/>
    <n v="0"/>
    <n v="0"/>
    <n v="0"/>
    <n v="0"/>
    <n v="0"/>
  </r>
  <r>
    <s v="6EN035"/>
    <s v="Engelska 3 för ämneslärare med inriktning mot gymnasiet"/>
    <m/>
    <s v="LYAGY"/>
    <s v="H17"/>
    <s v="V19"/>
    <s v="V191-20"/>
    <s v="Umeå"/>
    <m/>
    <s v="ENGS"/>
    <m/>
    <n v="100"/>
    <n v="30"/>
    <m/>
    <m/>
    <n v="17"/>
    <n v="8.5"/>
    <n v="0.85"/>
    <n v="7.2249999999999996"/>
    <x v="10"/>
    <s v="Inst för språkstudier"/>
    <s v="Hum"/>
    <s v="Ämneslärarprogrammet - Gy"/>
    <n v="18405"/>
    <n v="15773"/>
    <n v="270402.42499999999"/>
    <n v="5800"/>
    <n v="49300"/>
    <n v="319702.42499999999"/>
    <n v="0"/>
    <n v="1"/>
    <n v="0"/>
    <n v="0"/>
    <n v="0"/>
    <n v="0"/>
    <n v="0"/>
    <n v="0"/>
    <n v="0"/>
    <n v="0"/>
    <n v="0"/>
    <n v="0"/>
  </r>
  <r>
    <s v="6EN036"/>
    <s v="Engelska 2 för ämneslärare med inriktning mot gymnasiet"/>
    <m/>
    <s v="FRIST"/>
    <m/>
    <s v="H19"/>
    <m/>
    <m/>
    <s v="Campus"/>
    <m/>
    <m/>
    <n v="100"/>
    <n v="30"/>
    <m/>
    <m/>
    <n v="2"/>
    <n v="1"/>
    <n v="0.8"/>
    <n v="0.8"/>
    <x v="10"/>
    <s v="Inst för språkstudier"/>
    <s v="Hum"/>
    <s v="Fristående och övriga kurser"/>
    <n v="18405"/>
    <n v="15773"/>
    <n v="31023.4"/>
    <n v="5800"/>
    <n v="5800"/>
    <n v="36823.4"/>
    <n v="0"/>
    <n v="1"/>
    <n v="0"/>
    <n v="0"/>
    <n v="0"/>
    <n v="0"/>
    <n v="0"/>
    <n v="0"/>
    <n v="0"/>
    <n v="0"/>
    <n v="0"/>
    <n v="0"/>
  </r>
  <r>
    <s v="6EN036"/>
    <s v="Engelska 2 för ämneslärare med inriktning mot gymnasiet"/>
    <m/>
    <s v="LYAGY"/>
    <s v="H15"/>
    <s v="H19"/>
    <s v="H191-20"/>
    <m/>
    <m/>
    <s v="ENGS"/>
    <m/>
    <n v="100"/>
    <n v="30"/>
    <m/>
    <m/>
    <n v="1"/>
    <n v="0.5"/>
    <n v="0.85"/>
    <n v="0.42499999999999999"/>
    <x v="10"/>
    <s v="Inst för språkstudier"/>
    <s v="Hum"/>
    <s v="Ämneslärarprogrammet - Gy"/>
    <n v="18405"/>
    <n v="15773"/>
    <n v="15906.025"/>
    <n v="5800"/>
    <n v="2900"/>
    <n v="18806.025000000001"/>
    <n v="0"/>
    <n v="1"/>
    <n v="0"/>
    <n v="0"/>
    <n v="0"/>
    <n v="0"/>
    <n v="0"/>
    <n v="0"/>
    <n v="0"/>
    <n v="0"/>
    <n v="0"/>
    <n v="0"/>
  </r>
  <r>
    <s v="6EN036"/>
    <s v="Engelska 2 för ämneslärare med inriktning mot gymnasiet"/>
    <m/>
    <s v="LYAGY"/>
    <s v="H16"/>
    <s v="H19"/>
    <s v="H191-20"/>
    <m/>
    <m/>
    <s v="BIOL"/>
    <m/>
    <n v="100"/>
    <n v="30"/>
    <m/>
    <m/>
    <n v="1"/>
    <n v="0.5"/>
    <n v="0.85"/>
    <n v="0.42499999999999999"/>
    <x v="10"/>
    <s v="Inst för språkstudier"/>
    <s v="Hum"/>
    <s v="Ämneslärarprogrammet - Gy"/>
    <n v="18405"/>
    <n v="15773"/>
    <n v="15906.025"/>
    <n v="5800"/>
    <n v="2900"/>
    <n v="18806.025000000001"/>
    <n v="0"/>
    <n v="1"/>
    <n v="0"/>
    <n v="0"/>
    <n v="0"/>
    <n v="0"/>
    <n v="0"/>
    <n v="0"/>
    <n v="0"/>
    <n v="0"/>
    <n v="0"/>
    <n v="0"/>
  </r>
  <r>
    <s v="6EN036"/>
    <s v="Engelska 2 för ämneslärare med inriktning mot gymnasiet"/>
    <m/>
    <s v="LYAGY"/>
    <s v="H16"/>
    <s v="H19"/>
    <s v="H191-20"/>
    <m/>
    <m/>
    <s v="IDRH"/>
    <m/>
    <n v="100"/>
    <n v="30"/>
    <m/>
    <m/>
    <n v="3"/>
    <n v="1.5"/>
    <n v="0.85"/>
    <n v="1.2749999999999999"/>
    <x v="10"/>
    <s v="Inst för språkstudier"/>
    <s v="Hum"/>
    <s v="Ämneslärarprogrammet - Gy"/>
    <n v="18405"/>
    <n v="15773"/>
    <n v="47718.074999999997"/>
    <n v="5800"/>
    <n v="8700"/>
    <n v="56418.074999999997"/>
    <n v="0"/>
    <n v="1"/>
    <n v="0"/>
    <n v="0"/>
    <n v="0"/>
    <n v="0"/>
    <n v="0"/>
    <n v="0"/>
    <n v="0"/>
    <n v="0"/>
    <n v="0"/>
    <n v="0"/>
  </r>
  <r>
    <s v="6EN036"/>
    <s v="Engelska 2 för ämneslärare med inriktning mot gymnasiet"/>
    <m/>
    <s v="LYAGY"/>
    <s v="H16"/>
    <s v="H19"/>
    <s v="H191-20"/>
    <m/>
    <m/>
    <s v="MATT"/>
    <m/>
    <n v="100"/>
    <n v="30"/>
    <m/>
    <m/>
    <n v="1"/>
    <n v="0.5"/>
    <n v="0.85"/>
    <n v="0.42499999999999999"/>
    <x v="10"/>
    <s v="Inst för språkstudier"/>
    <s v="Hum"/>
    <s v="Ämneslärarprogrammet - Gy"/>
    <n v="18405"/>
    <n v="15773"/>
    <n v="15906.025"/>
    <n v="5800"/>
    <n v="2900"/>
    <n v="18806.025000000001"/>
    <n v="0"/>
    <n v="1"/>
    <n v="0"/>
    <n v="0"/>
    <n v="0"/>
    <n v="0"/>
    <n v="0"/>
    <n v="0"/>
    <n v="0"/>
    <n v="0"/>
    <n v="0"/>
    <n v="0"/>
  </r>
  <r>
    <s v="6EN036"/>
    <s v="Engelska 2 för ämneslärare med inriktning mot gymnasiet"/>
    <m/>
    <s v="LYAGY"/>
    <s v="H16"/>
    <s v="H19"/>
    <s v="H191-20"/>
    <m/>
    <m/>
    <s v="SPAN"/>
    <m/>
    <n v="100"/>
    <n v="30"/>
    <m/>
    <m/>
    <n v="1"/>
    <n v="0.5"/>
    <n v="0.85"/>
    <n v="0.42499999999999999"/>
    <x v="10"/>
    <s v="Inst för språkstudier"/>
    <s v="Hum"/>
    <s v="Ämneslärarprogrammet - Gy"/>
    <n v="18405"/>
    <n v="15773"/>
    <n v="15906.025"/>
    <n v="5800"/>
    <n v="2900"/>
    <n v="18806.025000000001"/>
    <n v="0"/>
    <n v="1"/>
    <n v="0"/>
    <n v="0"/>
    <n v="0"/>
    <n v="0"/>
    <n v="0"/>
    <n v="0"/>
    <n v="0"/>
    <n v="0"/>
    <n v="0"/>
    <n v="0"/>
  </r>
  <r>
    <s v="6EN036"/>
    <s v="Engelska 2 för ämneslärare med inriktning mot gymnasiet"/>
    <m/>
    <s v="LYAGY"/>
    <s v="H16"/>
    <s v="H19"/>
    <s v="H191-20"/>
    <m/>
    <m/>
    <s v="SVAA"/>
    <m/>
    <n v="100"/>
    <n v="30"/>
    <m/>
    <m/>
    <n v="1"/>
    <n v="0.5"/>
    <n v="0.85"/>
    <n v="0.42499999999999999"/>
    <x v="10"/>
    <s v="Inst för språkstudier"/>
    <s v="Hum"/>
    <s v="Ämneslärarprogrammet - Gy"/>
    <n v="18405"/>
    <n v="15773"/>
    <n v="15906.025"/>
    <n v="5800"/>
    <n v="2900"/>
    <n v="18806.025000000001"/>
    <n v="0"/>
    <n v="1"/>
    <n v="0"/>
    <n v="0"/>
    <n v="0"/>
    <n v="0"/>
    <n v="0"/>
    <n v="0"/>
    <n v="0"/>
    <n v="0"/>
    <n v="0"/>
    <n v="0"/>
  </r>
  <r>
    <s v="6EN036"/>
    <s v="Engelska 2 för ämneslärare med inriktning mot gymnasiet"/>
    <m/>
    <s v="LYAGY"/>
    <s v="H16"/>
    <s v="H19"/>
    <s v="H191-20"/>
    <m/>
    <m/>
    <s v="SVAN"/>
    <m/>
    <n v="100"/>
    <n v="30"/>
    <m/>
    <m/>
    <n v="1"/>
    <n v="0.5"/>
    <n v="0.85"/>
    <n v="0.42499999999999999"/>
    <x v="10"/>
    <s v="Inst för språkstudier"/>
    <s v="Hum"/>
    <s v="Ämneslärarprogrammet - Gy"/>
    <n v="18405"/>
    <n v="15773"/>
    <n v="15906.025"/>
    <n v="5800"/>
    <n v="2900"/>
    <n v="18806.025000000001"/>
    <n v="0"/>
    <n v="1"/>
    <n v="0"/>
    <n v="0"/>
    <n v="0"/>
    <n v="0"/>
    <n v="0"/>
    <n v="0"/>
    <n v="0"/>
    <n v="0"/>
    <n v="0"/>
    <n v="0"/>
  </r>
  <r>
    <s v="6EN036"/>
    <s v="Engelska 2 för ämneslärare med inriktning mot gymnasiet"/>
    <m/>
    <s v="LYAGY"/>
    <s v="H16"/>
    <s v="H19"/>
    <s v="H191-20"/>
    <m/>
    <m/>
    <s v="TYSK"/>
    <m/>
    <n v="100"/>
    <n v="30"/>
    <m/>
    <m/>
    <n v="1"/>
    <n v="0.5"/>
    <n v="0.85"/>
    <n v="0.42499999999999999"/>
    <x v="10"/>
    <s v="Inst för språkstudier"/>
    <s v="Hum"/>
    <s v="Ämneslärarprogrammet - Gy"/>
    <n v="18405"/>
    <n v="15773"/>
    <n v="15906.025"/>
    <n v="5800"/>
    <n v="2900"/>
    <n v="18806.025000000001"/>
    <n v="0"/>
    <n v="1"/>
    <n v="0"/>
    <n v="0"/>
    <n v="0"/>
    <n v="0"/>
    <n v="0"/>
    <n v="0"/>
    <n v="0"/>
    <n v="0"/>
    <n v="0"/>
    <n v="0"/>
  </r>
  <r>
    <s v="6EN036"/>
    <s v="Engelska 2 för ämneslärare med inriktning mot gymnasiet"/>
    <m/>
    <s v="LYAGY"/>
    <s v="H17"/>
    <s v="H19"/>
    <s v="H191-20"/>
    <m/>
    <m/>
    <s v="ENGS"/>
    <m/>
    <n v="100"/>
    <n v="30"/>
    <m/>
    <m/>
    <n v="2"/>
    <n v="1"/>
    <n v="0.85"/>
    <n v="0.85"/>
    <x v="10"/>
    <s v="Inst för språkstudier"/>
    <s v="Hum"/>
    <s v="Ämneslärarprogrammet - Gy"/>
    <n v="18405"/>
    <n v="15773"/>
    <n v="31812.05"/>
    <n v="5800"/>
    <n v="5800"/>
    <n v="37612.050000000003"/>
    <n v="0"/>
    <n v="1"/>
    <n v="0"/>
    <n v="0"/>
    <n v="0"/>
    <n v="0"/>
    <n v="0"/>
    <n v="0"/>
    <n v="0"/>
    <n v="0"/>
    <n v="0"/>
    <n v="0"/>
  </r>
  <r>
    <s v="6EN036"/>
    <s v="Engelska 2 för ämneslärare med inriktning mot gymnasiet"/>
    <m/>
    <s v="LYAGY"/>
    <s v="H18"/>
    <s v="H19"/>
    <s v="H191-20"/>
    <m/>
    <m/>
    <s v="ENGS"/>
    <m/>
    <n v="100"/>
    <n v="30"/>
    <m/>
    <m/>
    <n v="26"/>
    <n v="13"/>
    <n v="0.85"/>
    <n v="11.049999999999999"/>
    <x v="10"/>
    <s v="Inst för språkstudier"/>
    <s v="Hum"/>
    <s v="Ämneslärarprogrammet - Gy"/>
    <n v="18405"/>
    <n v="15773"/>
    <n v="413556.65"/>
    <n v="5800"/>
    <n v="75400"/>
    <n v="488956.65"/>
    <n v="0"/>
    <n v="1"/>
    <n v="0"/>
    <n v="0"/>
    <n v="0"/>
    <n v="0"/>
    <n v="0"/>
    <n v="0"/>
    <n v="0"/>
    <n v="0"/>
    <n v="0"/>
    <n v="0"/>
  </r>
  <r>
    <s v="6EN036"/>
    <s v="Engelska 2 för ämneslärare med inriktning mot gymnasiet"/>
    <m/>
    <s v="LYAGY"/>
    <s v="H18"/>
    <s v="H19"/>
    <s v="H191-20"/>
    <m/>
    <m/>
    <s v="HIST"/>
    <m/>
    <n v="100"/>
    <n v="30"/>
    <m/>
    <m/>
    <n v="1"/>
    <n v="0.5"/>
    <n v="0.85"/>
    <n v="0.42499999999999999"/>
    <x v="10"/>
    <s v="Inst för språkstudier"/>
    <s v="Hum"/>
    <s v="Ämneslärarprogrammet - Gy"/>
    <n v="18405"/>
    <n v="15773"/>
    <n v="15906.025"/>
    <n v="5800"/>
    <n v="2900"/>
    <n v="18806.025000000001"/>
    <n v="0"/>
    <n v="1"/>
    <n v="0"/>
    <n v="0"/>
    <n v="0"/>
    <n v="0"/>
    <n v="0"/>
    <n v="0"/>
    <n v="0"/>
    <n v="0"/>
    <n v="0"/>
    <n v="0"/>
  </r>
  <r>
    <s v="6EN038"/>
    <s v="Att undervisa i engelska (VFU)"/>
    <m/>
    <s v="LYAGY"/>
    <s v="H16"/>
    <s v="H19"/>
    <s v="H1913-16"/>
    <m/>
    <m/>
    <s v="ENGS"/>
    <m/>
    <n v="100"/>
    <n v="6"/>
    <m/>
    <m/>
    <n v="1"/>
    <n v="0.1"/>
    <n v="0.85"/>
    <n v="8.5000000000000006E-2"/>
    <x v="10"/>
    <s v="Inst för språkstudier"/>
    <s v="Hum"/>
    <s v="Ämneslärarprogrammet - Gy"/>
    <n v="21634"/>
    <n v="26986"/>
    <n v="4457.21"/>
    <n v="3400"/>
    <n v="340"/>
    <n v="4797.21"/>
    <n v="0"/>
    <n v="0"/>
    <n v="0"/>
    <n v="0"/>
    <n v="0"/>
    <n v="0"/>
    <n v="0"/>
    <n v="0"/>
    <n v="1"/>
    <n v="0"/>
    <n v="0"/>
    <n v="0"/>
  </r>
  <r>
    <s v="6EN038"/>
    <s v="Att undervisa i engelska (VFU)"/>
    <m/>
    <s v="LYAGY"/>
    <s v="H17"/>
    <s v="H19"/>
    <s v="H1913-16"/>
    <m/>
    <m/>
    <s v="ENGS"/>
    <m/>
    <n v="100"/>
    <n v="6"/>
    <m/>
    <m/>
    <n v="16"/>
    <n v="1.6"/>
    <n v="0.85"/>
    <n v="1.36"/>
    <x v="10"/>
    <s v="Inst för språkstudier"/>
    <s v="Hum"/>
    <s v="Ämneslärarprogrammet - Gy"/>
    <n v="21634"/>
    <n v="26986"/>
    <n v="71315.360000000001"/>
    <n v="3400"/>
    <n v="5440"/>
    <n v="76755.360000000001"/>
    <n v="0"/>
    <n v="0"/>
    <n v="0"/>
    <n v="0"/>
    <n v="0"/>
    <n v="0"/>
    <n v="0"/>
    <n v="0"/>
    <n v="1"/>
    <n v="0"/>
    <n v="0"/>
    <n v="0"/>
  </r>
  <r>
    <s v="6EN038"/>
    <s v="Att undervisa i engelska (VFU)"/>
    <m/>
    <s v="LYAGY"/>
    <s v="H17"/>
    <s v="H19"/>
    <s v="H1913-16"/>
    <m/>
    <m/>
    <s v="RELK"/>
    <m/>
    <n v="100"/>
    <n v="6"/>
    <m/>
    <m/>
    <n v="1"/>
    <n v="0.1"/>
    <n v="0.85"/>
    <n v="8.5000000000000006E-2"/>
    <x v="10"/>
    <s v="Inst för språkstudier"/>
    <s v="Hum"/>
    <s v="Ämneslärarprogrammet - Gy"/>
    <n v="21634"/>
    <n v="26986"/>
    <n v="4457.21"/>
    <n v="3400"/>
    <n v="340"/>
    <n v="4797.21"/>
    <n v="0"/>
    <n v="0"/>
    <n v="0"/>
    <n v="0"/>
    <n v="0"/>
    <n v="0"/>
    <n v="0"/>
    <n v="0"/>
    <n v="1"/>
    <n v="0"/>
    <n v="0"/>
    <n v="0"/>
  </r>
  <r>
    <s v="6EN038"/>
    <s v="Att undervisa i engelska (VFU)"/>
    <m/>
    <s v="LYAGY"/>
    <s v="H18"/>
    <s v="H19"/>
    <s v="H1913-16"/>
    <m/>
    <m/>
    <s v="SVAN"/>
    <m/>
    <n v="100"/>
    <n v="6"/>
    <m/>
    <m/>
    <n v="1"/>
    <n v="0.1"/>
    <n v="0.85"/>
    <n v="8.5000000000000006E-2"/>
    <x v="10"/>
    <s v="Inst för språkstudier"/>
    <s v="Hum"/>
    <s v="Ämneslärarprogrammet - Gy"/>
    <n v="21634"/>
    <n v="26986"/>
    <n v="4457.21"/>
    <n v="3400"/>
    <n v="340"/>
    <n v="4797.21"/>
    <n v="0"/>
    <n v="0"/>
    <n v="0"/>
    <n v="0"/>
    <n v="0"/>
    <n v="0"/>
    <n v="0"/>
    <n v="0"/>
    <n v="1"/>
    <n v="0"/>
    <n v="0"/>
    <n v="0"/>
  </r>
  <r>
    <s v="6EN039"/>
    <s v="Engelska för F-3, kurs 1"/>
    <m/>
    <s v="LYGFT"/>
    <s v="H18"/>
    <s v="V19"/>
    <s v="V1911-15"/>
    <s v="Umeå"/>
    <m/>
    <m/>
    <m/>
    <n v="100"/>
    <n v="7.5"/>
    <m/>
    <m/>
    <n v="47"/>
    <n v="5.875"/>
    <n v="0.85"/>
    <n v="4.9937499999999995"/>
    <x v="10"/>
    <s v="Inst för språkstudier"/>
    <s v="Hum"/>
    <s v="Grundlärarprogrammet - förskoleklass och åk 1-3"/>
    <n v="18405"/>
    <n v="15773"/>
    <n v="186895.79375000001"/>
    <n v="5800"/>
    <n v="34075"/>
    <n v="220970.79375000001"/>
    <n v="0"/>
    <n v="1"/>
    <n v="0"/>
    <n v="0"/>
    <n v="0"/>
    <n v="0"/>
    <n v="0"/>
    <n v="0"/>
    <n v="0"/>
    <n v="0"/>
    <n v="0"/>
    <n v="0"/>
  </r>
  <r>
    <s v="6EN040"/>
    <s v="Engelska för åk 4-6, kurs 1"/>
    <m/>
    <s v="LYGRM"/>
    <s v="H18"/>
    <s v="V19"/>
    <s v="V1911-15"/>
    <s v="Umeå"/>
    <m/>
    <m/>
    <m/>
    <n v="100"/>
    <n v="7.5"/>
    <m/>
    <m/>
    <n v="26"/>
    <n v="3.25"/>
    <n v="0.85"/>
    <n v="2.7624999999999997"/>
    <x v="10"/>
    <s v="Inst för språkstudier"/>
    <s v="Hum"/>
    <s v="Grundlärarprogrammet - grundskolans åk 4-6"/>
    <n v="18405"/>
    <n v="15773"/>
    <n v="103389.16250000001"/>
    <n v="5800"/>
    <n v="18850"/>
    <n v="122239.16250000001"/>
    <n v="0"/>
    <n v="1"/>
    <n v="0"/>
    <n v="0"/>
    <n v="0"/>
    <n v="0"/>
    <n v="0"/>
    <n v="0"/>
    <n v="0"/>
    <n v="0"/>
    <n v="0"/>
    <n v="0"/>
  </r>
  <r>
    <s v="6EN041"/>
    <s v="Engelska för F-3, kurs 2"/>
    <m/>
    <s v="LYGFT"/>
    <s v="H18"/>
    <s v="H19"/>
    <s v="H1911-15"/>
    <m/>
    <m/>
    <m/>
    <m/>
    <n v="100"/>
    <n v="7.5"/>
    <m/>
    <m/>
    <n v="44"/>
    <n v="5.5"/>
    <n v="0.85"/>
    <n v="4.6749999999999998"/>
    <x v="10"/>
    <s v="Inst för språkstudier"/>
    <s v="Hum"/>
    <s v="Grundlärarprogrammet - förskoleklass och åk 1-3"/>
    <n v="18405"/>
    <n v="15773"/>
    <n v="174966.27499999999"/>
    <n v="5800"/>
    <n v="31900"/>
    <n v="206866.27499999999"/>
    <n v="0"/>
    <n v="1"/>
    <n v="0"/>
    <n v="0"/>
    <n v="0"/>
    <n v="0"/>
    <n v="0"/>
    <n v="0"/>
    <n v="0"/>
    <n v="0"/>
    <n v="0"/>
    <n v="0"/>
  </r>
  <r>
    <s v="6EN042"/>
    <s v="Engelska för åk 4-6, kurs 2"/>
    <m/>
    <s v="LYGRM"/>
    <s v="H18"/>
    <s v="H19"/>
    <s v="H1911-15"/>
    <m/>
    <m/>
    <m/>
    <m/>
    <n v="100"/>
    <n v="7.5"/>
    <m/>
    <m/>
    <n v="21"/>
    <n v="2.625"/>
    <n v="0.85"/>
    <n v="2.2312499999999997"/>
    <x v="10"/>
    <s v="Inst för språkstudier"/>
    <s v="Hum"/>
    <s v="Grundlärarprogrammet - grundskolans åk 4-6"/>
    <n v="18405"/>
    <n v="15773"/>
    <n v="83506.631250000006"/>
    <n v="5800"/>
    <n v="15225"/>
    <n v="98731.631250000006"/>
    <n v="0"/>
    <n v="1"/>
    <n v="0"/>
    <n v="0"/>
    <n v="0"/>
    <n v="0"/>
    <n v="0"/>
    <n v="0"/>
    <n v="0"/>
    <n v="0"/>
    <n v="0"/>
    <n v="0"/>
  </r>
  <r>
    <s v="6EN043"/>
    <s v="Engelska för åk 4-6, kurs 3"/>
    <m/>
    <s v="LYGRM"/>
    <s v="H17"/>
    <s v="H19"/>
    <s v="H191-10"/>
    <m/>
    <m/>
    <m/>
    <m/>
    <n v="100"/>
    <n v="15"/>
    <m/>
    <m/>
    <n v="28"/>
    <n v="7"/>
    <n v="0.85"/>
    <n v="5.95"/>
    <x v="10"/>
    <s v="Inst för språkstudier"/>
    <s v="Hum"/>
    <s v="Grundlärarprogrammet - grundskolans åk 4-6"/>
    <n v="18405"/>
    <n v="15773"/>
    <n v="222684.35"/>
    <n v="5800"/>
    <n v="40600"/>
    <n v="263284.34999999998"/>
    <n v="0"/>
    <n v="1"/>
    <n v="0"/>
    <n v="0"/>
    <n v="0"/>
    <n v="0"/>
    <n v="0"/>
    <n v="0"/>
    <n v="0"/>
    <n v="0"/>
    <n v="0"/>
    <n v="0"/>
  </r>
  <r>
    <s v="6EN044"/>
    <s v="Kommunikativ kompetens i engelska för grundlärare"/>
    <m/>
    <s v="FRIST"/>
    <m/>
    <s v="Sommar"/>
    <s v="Sommarkurs"/>
    <m/>
    <s v="Distans"/>
    <m/>
    <m/>
    <n v="50"/>
    <n v="7.5"/>
    <m/>
    <m/>
    <n v="27"/>
    <n v="3.375"/>
    <n v="0.8"/>
    <n v="2.7"/>
    <x v="10"/>
    <s v="Inst för språkstudier"/>
    <s v="Hum"/>
    <s v="Fristående och övriga kurser"/>
    <n v="18405"/>
    <n v="15773"/>
    <n v="104703.97500000001"/>
    <n v="5800"/>
    <n v="19575"/>
    <n v="124278.97500000001"/>
    <n v="0"/>
    <n v="1"/>
    <n v="0"/>
    <n v="0"/>
    <n v="0"/>
    <n v="0"/>
    <n v="0"/>
    <n v="0"/>
    <n v="0"/>
    <n v="0"/>
    <n v="0"/>
    <n v="0"/>
  </r>
  <r>
    <s v="6ES026"/>
    <s v="Skapande bild, distans"/>
    <m/>
    <s v="FRIST"/>
    <m/>
    <s v="V19"/>
    <m/>
    <m/>
    <s v="Distans"/>
    <m/>
    <m/>
    <n v="50"/>
    <n v="15"/>
    <m/>
    <m/>
    <n v="17"/>
    <n v="4.25"/>
    <n v="0.8"/>
    <n v="3.4000000000000004"/>
    <x v="11"/>
    <s v="Estetiska ämnen               "/>
    <s v="Hum"/>
    <s v="Fristående och övriga kurser"/>
    <n v="40569"/>
    <n v="46697.75"/>
    <n v="331190.59999999998"/>
    <n v="53200"/>
    <n v="226100"/>
    <n v="557290.6"/>
    <n v="0.75"/>
    <n v="0.25"/>
    <n v="0"/>
    <n v="0"/>
    <n v="0"/>
    <n v="0"/>
    <n v="0"/>
    <n v="0"/>
    <n v="0"/>
    <n v="0"/>
    <n v="0"/>
    <n v="0"/>
  </r>
  <r>
    <s v="6ES026"/>
    <s v="Skapande bild, distans"/>
    <m/>
    <s v="FRIST"/>
    <m/>
    <s v="H19"/>
    <m/>
    <m/>
    <s v="Distans"/>
    <m/>
    <m/>
    <n v="50"/>
    <n v="15"/>
    <m/>
    <m/>
    <n v="18"/>
    <n v="4.5"/>
    <n v="0.8"/>
    <n v="3.6"/>
    <x v="11"/>
    <s v="Estetiska ämnen               "/>
    <s v="Hum"/>
    <s v="Fristående och övriga kurser"/>
    <n v="40569"/>
    <n v="46697.75"/>
    <n v="350672.4"/>
    <n v="53200"/>
    <n v="239400"/>
    <n v="590072.4"/>
    <n v="0.75"/>
    <n v="0.25"/>
    <n v="0"/>
    <n v="0"/>
    <n v="0"/>
    <n v="0"/>
    <n v="0"/>
    <n v="0"/>
    <n v="0"/>
    <n v="0"/>
    <n v="0"/>
    <n v="0"/>
  </r>
  <r>
    <s v="6ES034"/>
    <s v="Bild 3"/>
    <m/>
    <s v="LYAGY"/>
    <s v="H15"/>
    <s v="V19"/>
    <s v="V191-20"/>
    <s v="Umeå"/>
    <m/>
    <s v="SAMK"/>
    <m/>
    <n v="100"/>
    <n v="30"/>
    <m/>
    <m/>
    <n v="1"/>
    <n v="0.5"/>
    <n v="0.85"/>
    <n v="0.42499999999999999"/>
    <x v="11"/>
    <s v="Estetiska ämnen               "/>
    <s v="Hum"/>
    <s v="Ämneslärarprogrammet - Gy"/>
    <n v="47957"/>
    <n v="57006"/>
    <n v="48206.05"/>
    <n v="69000"/>
    <n v="34500"/>
    <n v="82706.05"/>
    <n v="1"/>
    <n v="0"/>
    <n v="0"/>
    <n v="0"/>
    <n v="0"/>
    <n v="0"/>
    <n v="0"/>
    <n v="0"/>
    <n v="0"/>
    <n v="0"/>
    <n v="0"/>
    <n v="0"/>
  </r>
  <r>
    <s v="6ES034"/>
    <s v="Bild 3"/>
    <m/>
    <s v="LYAGY"/>
    <s v="H15"/>
    <s v="V19"/>
    <s v="V191-20"/>
    <s v="Umeå"/>
    <m/>
    <s v="SVAA"/>
    <m/>
    <n v="100"/>
    <n v="30"/>
    <m/>
    <m/>
    <n v="1"/>
    <n v="0.5"/>
    <n v="0.85"/>
    <n v="0.42499999999999999"/>
    <x v="11"/>
    <s v="Estetiska ämnen               "/>
    <s v="Hum"/>
    <s v="Ämneslärarprogrammet - Gy"/>
    <n v="47957"/>
    <n v="57006"/>
    <n v="48206.05"/>
    <n v="69000"/>
    <n v="34500"/>
    <n v="82706.05"/>
    <n v="1"/>
    <n v="0"/>
    <n v="0"/>
    <n v="0"/>
    <n v="0"/>
    <n v="0"/>
    <n v="0"/>
    <n v="0"/>
    <n v="0"/>
    <n v="0"/>
    <n v="0"/>
    <n v="0"/>
  </r>
  <r>
    <s v="6ES037"/>
    <s v="Läraryrkets dimensioner (Estetiska ämnen)"/>
    <m/>
    <s v="LYAGR"/>
    <s v="H14"/>
    <s v="H19"/>
    <s v="H191-15"/>
    <m/>
    <m/>
    <s v="BILÄ"/>
    <m/>
    <n v="100"/>
    <n v="22.5"/>
    <m/>
    <m/>
    <n v="1"/>
    <n v="0.375"/>
    <n v="0.85"/>
    <n v="0.31874999999999998"/>
    <x v="11"/>
    <s v="Estetiska ämnen               "/>
    <s v="Hum"/>
    <s v="Ämneslärarprogrammet - åk 7-9"/>
    <n v="21634"/>
    <n v="26986"/>
    <n v="16714.537499999999"/>
    <n v="3400"/>
    <n v="1275"/>
    <n v="17989.537499999999"/>
    <n v="0"/>
    <n v="0"/>
    <n v="0"/>
    <n v="0"/>
    <n v="0"/>
    <n v="0"/>
    <n v="0"/>
    <n v="0"/>
    <n v="1"/>
    <n v="0"/>
    <n v="0"/>
    <n v="0"/>
  </r>
  <r>
    <s v="6ES037"/>
    <s v="Läraryrkets dimensioner (Estetiska ämnen)"/>
    <m/>
    <s v="LYAGY"/>
    <s v="H14"/>
    <s v="H19"/>
    <s v="H191-15"/>
    <m/>
    <m/>
    <s v="BILÄ"/>
    <m/>
    <n v="100"/>
    <n v="22.5"/>
    <m/>
    <m/>
    <n v="2"/>
    <n v="0.75"/>
    <n v="0.85"/>
    <n v="0.63749999999999996"/>
    <x v="11"/>
    <s v="Estetiska ämnen               "/>
    <s v="Hum"/>
    <s v="Ämneslärarprogrammet - Gy"/>
    <n v="21634"/>
    <n v="26986"/>
    <n v="33429.074999999997"/>
    <n v="3400"/>
    <n v="2550"/>
    <n v="35979.074999999997"/>
    <n v="0"/>
    <n v="0"/>
    <n v="0"/>
    <n v="0"/>
    <n v="0"/>
    <n v="0"/>
    <n v="0"/>
    <n v="0"/>
    <n v="1"/>
    <n v="0"/>
    <n v="0"/>
    <n v="0"/>
  </r>
  <r>
    <s v="6ES037"/>
    <s v="Läraryrkets dimensioner (Estetiska ämnen)"/>
    <m/>
    <s v="LYAGY"/>
    <s v="H15"/>
    <s v="H19"/>
    <s v="H191-15"/>
    <m/>
    <m/>
    <s v="BILÄ"/>
    <m/>
    <n v="100"/>
    <n v="22.5"/>
    <m/>
    <m/>
    <n v="6"/>
    <n v="2.25"/>
    <n v="0.85"/>
    <n v="1.9124999999999999"/>
    <x v="11"/>
    <s v="Estetiska ämnen               "/>
    <s v="Hum"/>
    <s v="Ämneslärarprogrammet - Gy"/>
    <n v="21634"/>
    <n v="26986"/>
    <n v="100287.22500000001"/>
    <n v="3400"/>
    <n v="7650"/>
    <n v="107937.22500000001"/>
    <n v="0"/>
    <n v="0"/>
    <n v="0"/>
    <n v="0"/>
    <n v="0"/>
    <n v="0"/>
    <n v="0"/>
    <n v="0"/>
    <n v="1"/>
    <n v="0"/>
    <n v="0"/>
    <n v="0"/>
  </r>
  <r>
    <s v="6ES038"/>
    <s v="Examensarbete - estetiska ämnen"/>
    <m/>
    <s v="FRIST"/>
    <s v="H14"/>
    <s v="V19"/>
    <s v="H1816-20:V191-15"/>
    <s v="Umeå"/>
    <m/>
    <s v="MUSI"/>
    <m/>
    <n v="100"/>
    <n v="22.5"/>
    <m/>
    <m/>
    <n v="1"/>
    <n v="0.375"/>
    <n v="0.85"/>
    <n v="0.31874999999999998"/>
    <x v="11"/>
    <s v="Estetiska ämnen               "/>
    <s v="Hum"/>
    <s v="Fristående och övriga kurser"/>
    <n v="18405"/>
    <n v="15773"/>
    <n v="11929.518749999999"/>
    <n v="5800"/>
    <n v="2175"/>
    <n v="14104.518749999999"/>
    <n v="0"/>
    <n v="1"/>
    <n v="0"/>
    <n v="0"/>
    <n v="0"/>
    <n v="0"/>
    <n v="0"/>
    <n v="0"/>
    <n v="0"/>
    <n v="0"/>
    <n v="0"/>
    <n v="0"/>
  </r>
  <r>
    <s v="6ES038"/>
    <s v="Examensarbete - estetiska ämnen"/>
    <m/>
    <s v="LYAGR"/>
    <s v="H14"/>
    <s v="H19"/>
    <s v="H1916-20:V201-15"/>
    <m/>
    <m/>
    <s v="BILÄ"/>
    <m/>
    <n v="100"/>
    <n v="7.5"/>
    <m/>
    <m/>
    <n v="1"/>
    <n v="0.125"/>
    <n v="0.85"/>
    <n v="0.10625"/>
    <x v="11"/>
    <s v="Estetiska ämnen               "/>
    <s v="Hum"/>
    <s v="Ämneslärarprogrammet - åk 7-9"/>
    <n v="18405"/>
    <n v="15773"/>
    <n v="3976.5062499999999"/>
    <n v="5800"/>
    <n v="725"/>
    <n v="4701.5062500000004"/>
    <n v="0"/>
    <n v="1"/>
    <n v="0"/>
    <n v="0"/>
    <n v="0"/>
    <n v="0"/>
    <n v="0"/>
    <n v="0"/>
    <n v="0"/>
    <n v="0"/>
    <n v="0"/>
    <n v="0"/>
  </r>
  <r>
    <s v="6ES038"/>
    <s v="Examensarbete - estetiska ämnen"/>
    <m/>
    <s v="LYAGY"/>
    <s v="H13"/>
    <s v="V19"/>
    <s v="H1816-20:V191-15"/>
    <s v="Umeå"/>
    <m/>
    <s v="MUSI"/>
    <m/>
    <n v="100"/>
    <n v="22.5"/>
    <m/>
    <m/>
    <n v="1"/>
    <n v="0.375"/>
    <n v="0.85"/>
    <n v="0.31874999999999998"/>
    <x v="11"/>
    <s v="Estetiska ämnen               "/>
    <s v="Hum"/>
    <s v="Ämneslärarprogrammet - Gy"/>
    <n v="18405"/>
    <n v="15773"/>
    <n v="11929.518749999999"/>
    <n v="5800"/>
    <n v="2175"/>
    <n v="14104.518749999999"/>
    <n v="0"/>
    <n v="1"/>
    <n v="0"/>
    <n v="0"/>
    <n v="0"/>
    <n v="0"/>
    <n v="0"/>
    <n v="0"/>
    <n v="0"/>
    <n v="0"/>
    <n v="0"/>
    <n v="0"/>
  </r>
  <r>
    <s v="6ES038"/>
    <s v="Examensarbete - estetiska ämnen"/>
    <m/>
    <s v="LYAGY"/>
    <s v="H14"/>
    <s v="V19"/>
    <s v="H1816-20:V191-15"/>
    <s v="Umeå"/>
    <m/>
    <s v="MUSI"/>
    <m/>
    <n v="100"/>
    <n v="22.5"/>
    <m/>
    <m/>
    <n v="1"/>
    <n v="0.375"/>
    <n v="0.85"/>
    <n v="0.31874999999999998"/>
    <x v="11"/>
    <s v="Estetiska ämnen               "/>
    <s v="Hum"/>
    <s v="Ämneslärarprogrammet - Gy"/>
    <n v="18405"/>
    <n v="15773"/>
    <n v="11929.518749999999"/>
    <n v="5800"/>
    <n v="2175"/>
    <n v="14104.518749999999"/>
    <n v="0"/>
    <n v="1"/>
    <n v="0"/>
    <n v="0"/>
    <n v="0"/>
    <n v="0"/>
    <n v="0"/>
    <n v="0"/>
    <n v="0"/>
    <n v="0"/>
    <n v="0"/>
    <n v="0"/>
  </r>
  <r>
    <s v="6ES038"/>
    <s v="Examensarbete - estetiska ämnen"/>
    <m/>
    <s v="LYAGY"/>
    <s v="H14"/>
    <s v="H19"/>
    <s v="H1916-20:V201-15"/>
    <m/>
    <m/>
    <s v="BILÄ"/>
    <m/>
    <n v="100"/>
    <n v="7.5"/>
    <m/>
    <m/>
    <n v="2"/>
    <n v="0.25"/>
    <n v="0.85"/>
    <n v="0.21249999999999999"/>
    <x v="11"/>
    <s v="Estetiska ämnen               "/>
    <s v="Hum"/>
    <s v="Ämneslärarprogrammet - Gy"/>
    <n v="18405"/>
    <n v="15773"/>
    <n v="7953.0124999999998"/>
    <n v="5800"/>
    <n v="1450"/>
    <n v="9403.0125000000007"/>
    <n v="0"/>
    <n v="1"/>
    <n v="0"/>
    <n v="0"/>
    <n v="0"/>
    <n v="0"/>
    <n v="0"/>
    <n v="0"/>
    <n v="0"/>
    <n v="0"/>
    <n v="0"/>
    <n v="0"/>
  </r>
  <r>
    <s v="6ES038"/>
    <s v="Examensarbete - estetiska ämnen"/>
    <m/>
    <s v="LYAGY"/>
    <s v="H15"/>
    <s v="H19"/>
    <s v="H1916-20:V201-15"/>
    <m/>
    <m/>
    <s v="BILÄ"/>
    <m/>
    <n v="100"/>
    <n v="7.5"/>
    <m/>
    <m/>
    <n v="6"/>
    <n v="0.75"/>
    <n v="0.85"/>
    <n v="0.63749999999999996"/>
    <x v="11"/>
    <s v="Estetiska ämnen               "/>
    <s v="Hum"/>
    <s v="Ämneslärarprogrammet - Gy"/>
    <n v="18405"/>
    <n v="15773"/>
    <n v="23859.037499999999"/>
    <n v="5800"/>
    <n v="4350"/>
    <n v="28209.037499999999"/>
    <n v="0"/>
    <n v="1"/>
    <n v="0"/>
    <n v="0"/>
    <n v="0"/>
    <n v="0"/>
    <n v="0"/>
    <n v="0"/>
    <n v="0"/>
    <n v="0"/>
    <n v="0"/>
    <n v="0"/>
  </r>
  <r>
    <s v="6ES051"/>
    <s v="Bild 2a, distans"/>
    <m/>
    <s v="FRIST"/>
    <m/>
    <s v="H19"/>
    <m/>
    <m/>
    <s v="Distans"/>
    <m/>
    <m/>
    <n v="50"/>
    <n v="15"/>
    <m/>
    <m/>
    <n v="12"/>
    <n v="3"/>
    <n v="0.8"/>
    <n v="2.4000000000000004"/>
    <x v="11"/>
    <s v="Estetiska ämnen               "/>
    <s v="Hum"/>
    <s v="Fristående och övriga kurser"/>
    <n v="47957"/>
    <n v="57006"/>
    <n v="280685.40000000002"/>
    <n v="69000"/>
    <n v="207000"/>
    <n v="487685.4"/>
    <n v="1"/>
    <n v="0"/>
    <n v="0"/>
    <n v="0"/>
    <n v="0"/>
    <n v="0"/>
    <n v="0"/>
    <n v="0"/>
    <n v="0"/>
    <n v="0"/>
    <n v="0"/>
    <n v="0"/>
  </r>
  <r>
    <s v="6ES066"/>
    <s v="Ämnesdidaktik i skolpraktiken, del 1"/>
    <m/>
    <s v="LYKGR"/>
    <s v="H17"/>
    <s v="V19"/>
    <s v="V191-20"/>
    <s v="Umeå"/>
    <m/>
    <m/>
    <m/>
    <n v="50"/>
    <n v="15"/>
    <m/>
    <m/>
    <n v="13"/>
    <n v="3.25"/>
    <n v="0.85"/>
    <n v="2.7624999999999997"/>
    <x v="11"/>
    <s v="Estetiska ämnen               "/>
    <s v="Hum"/>
    <s v="KPU - åk 7-9"/>
    <n v="21634"/>
    <n v="26986"/>
    <n v="144859.32500000001"/>
    <n v="3400"/>
    <n v="11050"/>
    <n v="155909.32500000001"/>
    <n v="0"/>
    <n v="0"/>
    <n v="0"/>
    <n v="0"/>
    <n v="0"/>
    <n v="0"/>
    <n v="0"/>
    <n v="0"/>
    <n v="1"/>
    <n v="0"/>
    <n v="0"/>
    <n v="0"/>
  </r>
  <r>
    <s v="6ES066"/>
    <s v="Ämnesdidaktik i skolpraktiken, del 1"/>
    <m/>
    <s v="LYKGY"/>
    <s v="H17"/>
    <s v="V19"/>
    <s v="V191-20"/>
    <s v="Umeå"/>
    <m/>
    <m/>
    <m/>
    <n v="50"/>
    <n v="15"/>
    <m/>
    <m/>
    <n v="1"/>
    <n v="0.25"/>
    <n v="0.85"/>
    <n v="0.21249999999999999"/>
    <x v="11"/>
    <s v="Estetiska ämnen               "/>
    <s v="Hum"/>
    <s v="KPU - Gy"/>
    <n v="21634"/>
    <n v="26986"/>
    <n v="11143.025"/>
    <n v="3400"/>
    <n v="850"/>
    <n v="11993.025"/>
    <n v="0"/>
    <n v="0"/>
    <n v="0"/>
    <n v="0"/>
    <n v="0"/>
    <n v="0"/>
    <n v="0"/>
    <n v="0"/>
    <n v="1"/>
    <n v="0"/>
    <n v="0"/>
    <n v="0"/>
  </r>
  <r>
    <s v="6ES066"/>
    <s v="Ämnesdidaktik i skolpraktiken, del 1"/>
    <m/>
    <s v="LYKGY"/>
    <s v="H17"/>
    <s v="V19"/>
    <s v="V191-20"/>
    <s v="Umeå"/>
    <m/>
    <m/>
    <m/>
    <n v="50"/>
    <n v="15"/>
    <m/>
    <m/>
    <n v="8"/>
    <n v="2"/>
    <n v="0.85"/>
    <n v="1.7"/>
    <x v="11"/>
    <s v="Estetiska ämnen               "/>
    <s v="Hum"/>
    <s v="KPU - Gy"/>
    <n v="21634"/>
    <n v="26986"/>
    <n v="89144.2"/>
    <n v="3400"/>
    <n v="6800"/>
    <n v="95944.2"/>
    <n v="0"/>
    <n v="0"/>
    <n v="0"/>
    <n v="0"/>
    <n v="0"/>
    <n v="0"/>
    <n v="0"/>
    <n v="0"/>
    <n v="1"/>
    <n v="0"/>
    <n v="0"/>
    <n v="0"/>
  </r>
  <r>
    <s v="6ES067"/>
    <s v="Ämnesdidaktik i skolpraktiken, del 2"/>
    <m/>
    <s v="LYGRM"/>
    <s v="H17"/>
    <s v="H19"/>
    <s v="H191-20"/>
    <m/>
    <m/>
    <m/>
    <m/>
    <n v="50"/>
    <n v="15"/>
    <m/>
    <m/>
    <n v="1"/>
    <n v="0.25"/>
    <n v="0.85"/>
    <n v="0.21249999999999999"/>
    <x v="11"/>
    <s v="Estetiska ämnen               "/>
    <s v="Hum"/>
    <s v="Grundlärarprogrammet - grundskolans åk 4-6"/>
    <n v="21634"/>
    <n v="26986"/>
    <n v="11143.025"/>
    <n v="3400"/>
    <n v="850"/>
    <n v="11993.025"/>
    <n v="0"/>
    <n v="0"/>
    <n v="0"/>
    <n v="0"/>
    <n v="0"/>
    <n v="0"/>
    <n v="0"/>
    <n v="0"/>
    <n v="1"/>
    <n v="0"/>
    <n v="0"/>
    <n v="0"/>
  </r>
  <r>
    <s v="6ES067"/>
    <s v="Ämnesdidaktik i skolpraktiken, del 2"/>
    <m/>
    <s v="LYKGR"/>
    <s v="H17"/>
    <s v="H19"/>
    <s v="H191-20"/>
    <m/>
    <m/>
    <s v="GRHF"/>
    <m/>
    <n v="50"/>
    <n v="15"/>
    <m/>
    <m/>
    <n v="12"/>
    <n v="3"/>
    <n v="0.85"/>
    <n v="2.5499999999999998"/>
    <x v="11"/>
    <s v="Estetiska ämnen               "/>
    <s v="Hum"/>
    <s v="KPU - åk 7-9"/>
    <n v="21634"/>
    <n v="26986"/>
    <n v="133716.29999999999"/>
    <n v="3400"/>
    <n v="10200"/>
    <n v="143916.29999999999"/>
    <n v="0"/>
    <n v="0"/>
    <n v="0"/>
    <n v="0"/>
    <n v="0"/>
    <n v="0"/>
    <n v="0"/>
    <n v="0"/>
    <n v="1"/>
    <n v="0"/>
    <n v="0"/>
    <n v="0"/>
  </r>
  <r>
    <s v="6ES067"/>
    <s v="Ämnesdidaktik i skolpraktiken, del 2"/>
    <m/>
    <s v="LYKGR"/>
    <s v="H18"/>
    <s v="H19"/>
    <s v="H191-20"/>
    <m/>
    <m/>
    <s v="GRHF"/>
    <m/>
    <n v="50"/>
    <n v="15"/>
    <m/>
    <m/>
    <n v="1"/>
    <n v="0.25"/>
    <n v="0.85"/>
    <n v="0.21249999999999999"/>
    <x v="11"/>
    <s v="Estetiska ämnen               "/>
    <s v="Hum"/>
    <s v="KPU - åk 7-9"/>
    <n v="21634"/>
    <n v="26986"/>
    <n v="11143.025"/>
    <n v="3400"/>
    <n v="850"/>
    <n v="11993.025"/>
    <n v="0"/>
    <n v="0"/>
    <n v="0"/>
    <n v="0"/>
    <n v="0"/>
    <n v="0"/>
    <n v="0"/>
    <n v="0"/>
    <n v="1"/>
    <n v="0"/>
    <n v="0"/>
    <n v="0"/>
  </r>
  <r>
    <s v="6ES067"/>
    <s v="Ämnesdidaktik i skolpraktiken, del 2"/>
    <m/>
    <s v="LYKGY"/>
    <s v="H17"/>
    <s v="H19"/>
    <s v="H191-20"/>
    <m/>
    <m/>
    <s v="ESTE"/>
    <m/>
    <n v="50"/>
    <n v="15"/>
    <m/>
    <m/>
    <n v="1"/>
    <n v="0.25"/>
    <n v="0.85"/>
    <n v="0.21249999999999999"/>
    <x v="11"/>
    <s v="Estetiska ämnen               "/>
    <s v="Hum"/>
    <s v="KPU - Gy"/>
    <n v="21634"/>
    <n v="26986"/>
    <n v="11143.025"/>
    <n v="3400"/>
    <n v="850"/>
    <n v="11993.025"/>
    <n v="0"/>
    <n v="0"/>
    <n v="0"/>
    <n v="0"/>
    <n v="0"/>
    <n v="0"/>
    <n v="0"/>
    <n v="0"/>
    <n v="1"/>
    <n v="0"/>
    <n v="0"/>
    <n v="0"/>
  </r>
  <r>
    <s v="6ES067"/>
    <s v="Ämnesdidaktik i skolpraktiken, del 2"/>
    <m/>
    <s v="LYKGY"/>
    <s v="H17"/>
    <s v="H19"/>
    <s v="H191-20"/>
    <m/>
    <m/>
    <s v="GYHF"/>
    <m/>
    <n v="50"/>
    <n v="15"/>
    <m/>
    <m/>
    <n v="8"/>
    <n v="2"/>
    <n v="0.85"/>
    <n v="1.7"/>
    <x v="11"/>
    <s v="Estetiska ämnen               "/>
    <s v="Hum"/>
    <s v="KPU - Gy"/>
    <n v="21634"/>
    <n v="26986"/>
    <n v="89144.2"/>
    <n v="3400"/>
    <n v="6800"/>
    <n v="95944.2"/>
    <n v="0"/>
    <n v="0"/>
    <n v="0"/>
    <n v="0"/>
    <n v="0"/>
    <n v="0"/>
    <n v="0"/>
    <n v="0"/>
    <n v="1"/>
    <n v="0"/>
    <n v="0"/>
    <n v="0"/>
  </r>
  <r>
    <s v="6ES068"/>
    <s v="Examensarbete med ämnesdidaktisk inriktning"/>
    <m/>
    <s v="LYKGR"/>
    <s v="H15"/>
    <s v="V19"/>
    <s v="V191-20"/>
    <s v="Umeå"/>
    <m/>
    <m/>
    <m/>
    <n v="50"/>
    <n v="15"/>
    <m/>
    <m/>
    <n v="1"/>
    <n v="0.25"/>
    <n v="0.85"/>
    <n v="0.21249999999999999"/>
    <x v="11"/>
    <s v="Estetiska ämnen               "/>
    <s v="Hum"/>
    <s v="KPU - åk 7-9"/>
    <n v="23641"/>
    <n v="28786"/>
    <n v="12027.275"/>
    <n v="5800"/>
    <n v="1450"/>
    <n v="13477.275"/>
    <n v="0"/>
    <n v="0"/>
    <n v="0"/>
    <n v="1"/>
    <n v="0"/>
    <n v="0"/>
    <n v="0"/>
    <n v="0"/>
    <n v="0"/>
    <n v="0"/>
    <n v="0"/>
    <n v="0"/>
  </r>
  <r>
    <s v="6ES068"/>
    <s v="Examensarbete med ämnesdidaktisk inriktning"/>
    <m/>
    <s v="LYKGR"/>
    <s v="H16"/>
    <s v="V19"/>
    <s v="V191-20"/>
    <s v="Umeå"/>
    <m/>
    <m/>
    <m/>
    <n v="50"/>
    <n v="15"/>
    <m/>
    <m/>
    <n v="4"/>
    <n v="1"/>
    <n v="0.85"/>
    <n v="0.85"/>
    <x v="11"/>
    <s v="Estetiska ämnen               "/>
    <s v="Hum"/>
    <s v="KPU - åk 7-9"/>
    <n v="23641"/>
    <n v="28786"/>
    <n v="48109.1"/>
    <n v="5800"/>
    <n v="5800"/>
    <n v="53909.1"/>
    <n v="0"/>
    <n v="0"/>
    <n v="0"/>
    <n v="1"/>
    <n v="0"/>
    <n v="0"/>
    <n v="0"/>
    <n v="0"/>
    <n v="0"/>
    <n v="0"/>
    <n v="0"/>
    <n v="0"/>
  </r>
  <r>
    <s v="6ES068"/>
    <s v="Examensarbete med ämnesdidaktisk inriktning"/>
    <m/>
    <s v="LYKGR"/>
    <s v="H16"/>
    <s v="V19"/>
    <s v="V191-20"/>
    <s v="Umeå"/>
    <m/>
    <m/>
    <m/>
    <n v="50"/>
    <n v="15"/>
    <m/>
    <m/>
    <n v="1"/>
    <n v="0.25"/>
    <n v="0.85"/>
    <n v="0.21249999999999999"/>
    <x v="11"/>
    <s v="Estetiska ämnen               "/>
    <s v="Hum"/>
    <s v="KPU - åk 7-9"/>
    <n v="23641"/>
    <n v="28786"/>
    <n v="12027.275"/>
    <n v="5800"/>
    <n v="1450"/>
    <n v="13477.275"/>
    <n v="0"/>
    <n v="0"/>
    <n v="0"/>
    <n v="1"/>
    <n v="0"/>
    <n v="0"/>
    <n v="0"/>
    <n v="0"/>
    <n v="0"/>
    <n v="0"/>
    <n v="0"/>
    <n v="0"/>
  </r>
  <r>
    <s v="6ES068"/>
    <s v="Examensarbete med ämnesdidaktisk inriktning"/>
    <m/>
    <s v="LYKGR"/>
    <s v="H17"/>
    <s v="V19"/>
    <s v="V191-20"/>
    <s v="Umeå"/>
    <m/>
    <m/>
    <m/>
    <n v="50"/>
    <n v="15"/>
    <m/>
    <m/>
    <n v="1"/>
    <n v="0.25"/>
    <n v="0.85"/>
    <n v="0.21249999999999999"/>
    <x v="11"/>
    <s v="Estetiska ämnen               "/>
    <s v="Hum"/>
    <s v="KPU - åk 7-9"/>
    <n v="23641"/>
    <n v="28786"/>
    <n v="12027.275"/>
    <n v="5800"/>
    <n v="1450"/>
    <n v="13477.275"/>
    <n v="0"/>
    <n v="0"/>
    <n v="0"/>
    <n v="1"/>
    <n v="0"/>
    <n v="0"/>
    <n v="0"/>
    <n v="0"/>
    <n v="0"/>
    <n v="0"/>
    <n v="0"/>
    <n v="0"/>
  </r>
  <r>
    <s v="6ES068"/>
    <s v="Examensarbete med ämnesdidaktisk inriktning"/>
    <m/>
    <s v="LYKGY"/>
    <s v="H15"/>
    <s v="V19"/>
    <s v="V191-20"/>
    <s v="Umeå"/>
    <m/>
    <m/>
    <m/>
    <n v="50"/>
    <n v="15"/>
    <m/>
    <m/>
    <n v="1"/>
    <n v="0.25"/>
    <n v="0.85"/>
    <n v="0.21249999999999999"/>
    <x v="11"/>
    <s v="Estetiska ämnen               "/>
    <s v="Hum"/>
    <s v="KPU - Gy"/>
    <n v="23641"/>
    <n v="28786"/>
    <n v="12027.275"/>
    <n v="5800"/>
    <n v="1450"/>
    <n v="13477.275"/>
    <n v="0"/>
    <n v="0"/>
    <n v="0"/>
    <n v="1"/>
    <n v="0"/>
    <n v="0"/>
    <n v="0"/>
    <n v="0"/>
    <n v="0"/>
    <n v="0"/>
    <n v="0"/>
    <n v="0"/>
  </r>
  <r>
    <s v="6ES068"/>
    <s v="Examensarbete med ämnesdidaktisk inriktning"/>
    <m/>
    <s v="LYKGY"/>
    <s v="H16"/>
    <s v="V19"/>
    <s v="V191-20"/>
    <s v="Umeå"/>
    <m/>
    <m/>
    <m/>
    <n v="50"/>
    <n v="15"/>
    <m/>
    <m/>
    <n v="8"/>
    <n v="2"/>
    <n v="0.85"/>
    <n v="1.7"/>
    <x v="11"/>
    <s v="Estetiska ämnen               "/>
    <s v="Hum"/>
    <s v="KPU - Gy"/>
    <n v="23641"/>
    <n v="28786"/>
    <n v="96218.2"/>
    <n v="5800"/>
    <n v="11600"/>
    <n v="107818.2"/>
    <n v="0"/>
    <n v="0"/>
    <n v="0"/>
    <n v="1"/>
    <n v="0"/>
    <n v="0"/>
    <n v="0"/>
    <n v="0"/>
    <n v="0"/>
    <n v="0"/>
    <n v="0"/>
    <n v="0"/>
  </r>
  <r>
    <s v="6ES070"/>
    <s v="Bild 2, fristående "/>
    <m/>
    <s v="FRIST"/>
    <m/>
    <s v="H19"/>
    <m/>
    <m/>
    <s v="Campus"/>
    <m/>
    <m/>
    <n v="100"/>
    <n v="30"/>
    <m/>
    <m/>
    <n v="3"/>
    <n v="1.5"/>
    <n v="0.8"/>
    <n v="1.2000000000000002"/>
    <x v="11"/>
    <s v="Estetiska ämnen               "/>
    <s v="Hum"/>
    <s v="Fristående och övriga kurser"/>
    <n v="47957"/>
    <n v="57006"/>
    <n v="140342.70000000001"/>
    <n v="69000"/>
    <n v="103500"/>
    <n v="243842.7"/>
    <n v="1"/>
    <n v="0"/>
    <n v="0"/>
    <n v="0"/>
    <n v="0"/>
    <n v="0"/>
    <n v="0"/>
    <n v="0"/>
    <n v="0"/>
    <n v="0"/>
    <n v="0"/>
    <n v="0"/>
  </r>
  <r>
    <s v="6ES071"/>
    <s v="Forskning och utvecklingsarbete i skolan 1"/>
    <m/>
    <s v="FRIST"/>
    <m/>
    <s v="H19"/>
    <m/>
    <s v="Piteå"/>
    <s v="Distans"/>
    <m/>
    <m/>
    <n v="25"/>
    <n v="7.5"/>
    <m/>
    <m/>
    <n v="5"/>
    <n v="0.625"/>
    <n v="0.8"/>
    <n v="0.5"/>
    <x v="11"/>
    <s v="Estetiska ämnen               "/>
    <s v="Hum"/>
    <s v="Fristående och övriga kurser"/>
    <n v="18405"/>
    <n v="15773"/>
    <n v="19389.625"/>
    <n v="5800"/>
    <n v="3625"/>
    <n v="23014.625"/>
    <n v="0"/>
    <n v="1"/>
    <n v="0"/>
    <n v="0"/>
    <n v="0"/>
    <n v="0"/>
    <n v="0"/>
    <n v="0"/>
    <n v="0"/>
    <n v="0"/>
    <n v="0"/>
    <n v="0"/>
  </r>
  <r>
    <s v="6ES072"/>
    <s v="Skapande lek i förskolan 1"/>
    <m/>
    <s v="LYFSK"/>
    <s v="H17"/>
    <s v="H19"/>
    <s v="H1916-20"/>
    <m/>
    <m/>
    <m/>
    <m/>
    <n v="100"/>
    <n v="7.5"/>
    <m/>
    <m/>
    <n v="1"/>
    <n v="0.125"/>
    <n v="0.85"/>
    <n v="0.10625"/>
    <x v="11"/>
    <s v="Estetiska ämnen               "/>
    <s v="Hum"/>
    <s v="Förskollärarprogrammet"/>
    <n v="15846"/>
    <n v="26926"/>
    <n v="4841.6374999999998"/>
    <n v="17300"/>
    <n v="2162.5"/>
    <n v="7004.1374999999998"/>
    <n v="0"/>
    <n v="0"/>
    <n v="0"/>
    <n v="0"/>
    <n v="0"/>
    <n v="0"/>
    <n v="0"/>
    <n v="0"/>
    <n v="0"/>
    <n v="0"/>
    <n v="1"/>
    <n v="0"/>
  </r>
  <r>
    <s v="6ES072"/>
    <s v="Skapande lek i förskolan 1"/>
    <m/>
    <s v="LYFSK"/>
    <s v="H18"/>
    <s v="H19"/>
    <s v="H1916-20"/>
    <m/>
    <m/>
    <m/>
    <m/>
    <n v="100"/>
    <n v="7.5"/>
    <m/>
    <m/>
    <n v="46"/>
    <n v="5.75"/>
    <n v="0.85"/>
    <n v="4.8875000000000002"/>
    <x v="11"/>
    <s v="Estetiska ämnen               "/>
    <s v="Hum"/>
    <s v="Förskollärarprogrammet"/>
    <n v="15846"/>
    <n v="26926"/>
    <n v="222715.32500000001"/>
    <n v="17300"/>
    <n v="99475"/>
    <n v="322190.32500000001"/>
    <n v="0"/>
    <n v="0"/>
    <n v="0"/>
    <n v="0"/>
    <n v="0"/>
    <n v="0"/>
    <n v="0"/>
    <n v="0"/>
    <n v="0"/>
    <n v="0"/>
    <n v="1"/>
    <n v="0"/>
  </r>
  <r>
    <s v="6ES072"/>
    <s v="Skapande lek i förskolan 1"/>
    <m/>
    <s v="LYFSK"/>
    <s v="V18"/>
    <s v="V19"/>
    <s v="V1916-20"/>
    <s v="Umeå"/>
    <m/>
    <m/>
    <m/>
    <n v="100"/>
    <n v="7.5"/>
    <m/>
    <m/>
    <n v="21"/>
    <n v="2.625"/>
    <n v="0.85"/>
    <n v="2.2312499999999997"/>
    <x v="11"/>
    <s v="Estetiska ämnen               "/>
    <s v="Hum"/>
    <s v="Förskollärarprogrammet"/>
    <n v="15846"/>
    <n v="26926"/>
    <n v="101674.38749999998"/>
    <n v="17300"/>
    <n v="45412.5"/>
    <n v="147086.88749999998"/>
    <n v="0"/>
    <n v="0"/>
    <n v="0"/>
    <n v="0"/>
    <n v="0"/>
    <n v="0"/>
    <n v="0"/>
    <n v="0"/>
    <n v="0"/>
    <n v="0"/>
    <n v="1"/>
    <n v="0"/>
  </r>
  <r>
    <s v="6ES072"/>
    <s v="Skapande lek i förskolan 1"/>
    <m/>
    <s v="LYFSK"/>
    <s v="V18"/>
    <s v="V19"/>
    <s v="V1916-20"/>
    <s v="Örnsköldsvik"/>
    <m/>
    <m/>
    <m/>
    <n v="100"/>
    <n v="7.5"/>
    <m/>
    <m/>
    <n v="15"/>
    <n v="1.875"/>
    <n v="0.85"/>
    <n v="1.59375"/>
    <x v="11"/>
    <s v="Estetiska ämnen               "/>
    <s v="Hum"/>
    <s v="Förskollärarprogrammet"/>
    <n v="15846"/>
    <n v="26926"/>
    <n v="72624.5625"/>
    <n v="17300"/>
    <n v="32437.5"/>
    <n v="105062.0625"/>
    <n v="0"/>
    <n v="0"/>
    <n v="0"/>
    <n v="0"/>
    <n v="0"/>
    <n v="0"/>
    <n v="0"/>
    <n v="0"/>
    <n v="0"/>
    <n v="0"/>
    <n v="1"/>
    <n v="0"/>
  </r>
  <r>
    <s v="6ES075"/>
    <s v="Praktiskt estetiskt ämne - Bild 1"/>
    <m/>
    <s v="LYGFR"/>
    <s v="H18"/>
    <s v="H19"/>
    <s v="H1911-20"/>
    <m/>
    <m/>
    <m/>
    <m/>
    <n v="100"/>
    <n v="15"/>
    <m/>
    <m/>
    <n v="7"/>
    <n v="1.75"/>
    <n v="0.85"/>
    <n v="1.4875"/>
    <x v="11"/>
    <s v="Estetiska ämnen               "/>
    <s v="Hum"/>
    <s v="Grundlärarprogrammet - fritidshem"/>
    <n v="15846"/>
    <n v="26926"/>
    <n v="67782.925000000003"/>
    <n v="17300"/>
    <n v="30275"/>
    <n v="98057.925000000003"/>
    <n v="0"/>
    <n v="0"/>
    <n v="0"/>
    <n v="0"/>
    <n v="0"/>
    <n v="0"/>
    <n v="0"/>
    <n v="0"/>
    <n v="0"/>
    <n v="0"/>
    <n v="1"/>
    <n v="0"/>
  </r>
  <r>
    <s v="6ES077"/>
    <s v="Praktiskt estetiskt ämne - Bild 2"/>
    <m/>
    <s v="LYGFR"/>
    <s v="H17"/>
    <s v="H19"/>
    <s v="H191-10"/>
    <m/>
    <m/>
    <m/>
    <m/>
    <n v="100"/>
    <n v="15"/>
    <m/>
    <m/>
    <n v="6"/>
    <n v="1.5"/>
    <n v="0.85"/>
    <n v="1.2749999999999999"/>
    <x v="11"/>
    <s v="Estetiska ämnen               "/>
    <s v="Hum"/>
    <s v="Grundlärarprogrammet - fritidshem"/>
    <n v="15846"/>
    <n v="26926"/>
    <n v="58099.649999999994"/>
    <n v="17300"/>
    <n v="25950"/>
    <n v="84049.65"/>
    <n v="0"/>
    <n v="0"/>
    <n v="0"/>
    <n v="0"/>
    <n v="0"/>
    <n v="0"/>
    <n v="0"/>
    <n v="0"/>
    <n v="0"/>
    <n v="0"/>
    <n v="1"/>
    <n v="0"/>
  </r>
  <r>
    <s v="6ES079"/>
    <s v="Undervisning och lärande 1"/>
    <m/>
    <s v="FRIST"/>
    <m/>
    <s v="H19"/>
    <m/>
    <s v="Piteå"/>
    <s v="Distans"/>
    <m/>
    <m/>
    <n v="25"/>
    <n v="7.5"/>
    <m/>
    <m/>
    <n v="5"/>
    <n v="0.625"/>
    <n v="0.8"/>
    <n v="0.5"/>
    <x v="11"/>
    <s v="Estetiska ämnen               "/>
    <s v="Hum"/>
    <s v="Fristående och övriga kurser"/>
    <n v="18405"/>
    <n v="15773"/>
    <n v="19389.625"/>
    <n v="5800"/>
    <n v="3625"/>
    <n v="23014.625"/>
    <n v="0"/>
    <n v="1"/>
    <n v="0"/>
    <n v="0"/>
    <n v="0"/>
    <n v="0"/>
    <n v="0"/>
    <n v="0"/>
    <n v="0"/>
    <n v="0"/>
    <n v="0"/>
    <n v="0"/>
  </r>
  <r>
    <s v="6ES080"/>
    <s v="Läraryrkets dimensioner för fritidshem 2 (VFU)"/>
    <m/>
    <s v="LYGFR"/>
    <s v="H17"/>
    <s v="H19"/>
    <s v="H1911-12"/>
    <m/>
    <m/>
    <m/>
    <m/>
    <n v="100"/>
    <n v="2.5"/>
    <m/>
    <m/>
    <n v="6"/>
    <n v="0.25"/>
    <n v="0.85"/>
    <n v="0.21249999999999999"/>
    <x v="11"/>
    <s v="Estetiska ämnen               "/>
    <s v="Hum"/>
    <s v="Grundlärarprogrammet - fritidshem"/>
    <n v="21634"/>
    <n v="26986"/>
    <n v="11143.025"/>
    <n v="3400"/>
    <n v="850"/>
    <n v="11993.025"/>
    <n v="0"/>
    <n v="0"/>
    <n v="0"/>
    <n v="0"/>
    <n v="0"/>
    <n v="0"/>
    <n v="0"/>
    <n v="0"/>
    <n v="1"/>
    <n v="0"/>
    <n v="0"/>
    <n v="0"/>
  </r>
  <r>
    <s v="6ES082"/>
    <s v="Bild 1, distans"/>
    <m/>
    <s v="FRIST"/>
    <m/>
    <s v="V19"/>
    <m/>
    <m/>
    <s v="Distans"/>
    <m/>
    <m/>
    <n v="50"/>
    <n v="15"/>
    <m/>
    <m/>
    <n v="15"/>
    <n v="3.75"/>
    <n v="0.8"/>
    <n v="3"/>
    <x v="11"/>
    <s v="Estetiska ämnen               "/>
    <s v="Hum"/>
    <s v="Fristående och övriga kurser"/>
    <n v="47957"/>
    <n v="57006"/>
    <n v="350856.75"/>
    <n v="69000"/>
    <n v="258750"/>
    <n v="609606.75"/>
    <n v="1"/>
    <n v="0"/>
    <n v="0"/>
    <n v="0"/>
    <n v="0"/>
    <n v="0"/>
    <n v="0"/>
    <n v="0"/>
    <n v="0"/>
    <n v="0"/>
    <n v="0"/>
    <n v="0"/>
  </r>
  <r>
    <s v="6ES082"/>
    <s v="Bild 1, distans"/>
    <m/>
    <s v="FRIST"/>
    <m/>
    <s v="H19"/>
    <m/>
    <m/>
    <s v="Distans"/>
    <m/>
    <m/>
    <n v="50"/>
    <n v="15"/>
    <m/>
    <m/>
    <n v="15"/>
    <n v="3.75"/>
    <n v="0.8"/>
    <n v="3"/>
    <x v="11"/>
    <s v="Estetiska ämnen               "/>
    <s v="Hum"/>
    <s v="Fristående och övriga kurser"/>
    <n v="47957"/>
    <n v="57006"/>
    <n v="350856.75"/>
    <n v="69000"/>
    <n v="258750"/>
    <n v="609606.75"/>
    <n v="1"/>
    <n v="0"/>
    <n v="0"/>
    <n v="0"/>
    <n v="0"/>
    <n v="0"/>
    <n v="0"/>
    <n v="0"/>
    <n v="0"/>
    <n v="0"/>
    <n v="0"/>
    <n v="0"/>
  </r>
  <r>
    <s v="6ES084"/>
    <s v="Undervisning och lärande 2"/>
    <m/>
    <s v="FRIST"/>
    <m/>
    <s v="V19"/>
    <m/>
    <s v="Piteå"/>
    <s v="Distans"/>
    <m/>
    <m/>
    <n v="25"/>
    <n v="7.5"/>
    <m/>
    <m/>
    <n v="5"/>
    <n v="0.625"/>
    <n v="0.8"/>
    <n v="0.5"/>
    <x v="11"/>
    <s v="Estetiska ämnen               "/>
    <s v="Hum"/>
    <s v="Fristående och övriga kurser"/>
    <n v="18405"/>
    <n v="15773"/>
    <n v="19389.625"/>
    <n v="5800"/>
    <n v="3625"/>
    <n v="23014.625"/>
    <n v="0"/>
    <n v="1"/>
    <n v="0"/>
    <n v="0"/>
    <n v="0"/>
    <n v="0"/>
    <n v="0"/>
    <n v="0"/>
    <n v="0"/>
    <n v="0"/>
    <n v="0"/>
    <n v="0"/>
  </r>
  <r>
    <s v="6ES085"/>
    <s v="Bild 3, fristående"/>
    <m/>
    <s v="FRIST"/>
    <m/>
    <s v="V19"/>
    <m/>
    <m/>
    <s v="Campus"/>
    <m/>
    <m/>
    <n v="100"/>
    <n v="30"/>
    <m/>
    <m/>
    <n v="1"/>
    <n v="0.5"/>
    <n v="0.8"/>
    <n v="0.4"/>
    <x v="11"/>
    <s v="Estetiska ämnen               "/>
    <s v="Hum"/>
    <s v="Fristående och övriga kurser"/>
    <n v="47957"/>
    <n v="57006"/>
    <n v="46780.9"/>
    <n v="69000"/>
    <n v="34500"/>
    <n v="81280.899999999994"/>
    <n v="1"/>
    <n v="0"/>
    <n v="0"/>
    <n v="0"/>
    <n v="0"/>
    <n v="0"/>
    <n v="0"/>
    <n v="0"/>
    <n v="0"/>
    <n v="0"/>
    <n v="0"/>
    <n v="0"/>
  </r>
  <r>
    <s v="6ES087"/>
    <s v="Vetenskaplig teori och metod 1"/>
    <m/>
    <s v="FRIST"/>
    <m/>
    <s v="H19"/>
    <m/>
    <s v="Piteå"/>
    <s v="Distans"/>
    <m/>
    <m/>
    <n v="25"/>
    <n v="7.5"/>
    <m/>
    <m/>
    <n v="4"/>
    <n v="0.5"/>
    <n v="0.8"/>
    <n v="0.4"/>
    <x v="11"/>
    <s v="Estetiska ämnen               "/>
    <s v="Hum"/>
    <s v="Fristående och övriga kurser"/>
    <n v="18405"/>
    <n v="15773"/>
    <n v="15511.7"/>
    <n v="5800"/>
    <n v="2900"/>
    <n v="18411.7"/>
    <n v="0"/>
    <n v="1"/>
    <n v="0"/>
    <n v="0"/>
    <n v="0"/>
    <n v="0"/>
    <n v="0"/>
    <n v="0"/>
    <n v="0"/>
    <n v="0"/>
    <n v="0"/>
    <n v="0"/>
  </r>
  <r>
    <s v="6ES089"/>
    <s v="Bild fördjupning 2 fristående"/>
    <m/>
    <s v="FRIST"/>
    <m/>
    <s v="H19"/>
    <m/>
    <m/>
    <s v="Campus"/>
    <m/>
    <m/>
    <n v="100"/>
    <n v="30"/>
    <m/>
    <m/>
    <n v="2"/>
    <n v="1"/>
    <n v="0.8"/>
    <n v="0.8"/>
    <x v="11"/>
    <s v="Estetiska ämnen               "/>
    <s v="Hum"/>
    <s v="Fristående och övriga kurser"/>
    <n v="47957"/>
    <n v="57006"/>
    <n v="93561.8"/>
    <n v="69000"/>
    <n v="69000"/>
    <n v="162561.79999999999"/>
    <n v="1"/>
    <n v="0"/>
    <n v="0"/>
    <n v="0"/>
    <n v="0"/>
    <n v="0"/>
    <n v="0"/>
    <n v="0"/>
    <n v="0"/>
    <n v="0"/>
    <n v="0"/>
    <n v="0"/>
  </r>
  <r>
    <s v="6ES091"/>
    <s v="Bild 2b, distans"/>
    <m/>
    <s v="FRIST"/>
    <m/>
    <s v="V19"/>
    <m/>
    <m/>
    <s v="Distans"/>
    <m/>
    <m/>
    <n v="50"/>
    <n v="15"/>
    <m/>
    <m/>
    <n v="8"/>
    <n v="2"/>
    <n v="0.8"/>
    <n v="1.6"/>
    <x v="11"/>
    <s v="Estetiska ämnen               "/>
    <s v="Hum"/>
    <s v="Fristående och övriga kurser"/>
    <n v="47957"/>
    <n v="57006"/>
    <n v="187123.6"/>
    <n v="69000"/>
    <n v="138000"/>
    <n v="325123.59999999998"/>
    <n v="1"/>
    <n v="0"/>
    <n v="0"/>
    <n v="0"/>
    <n v="0"/>
    <n v="0"/>
    <n v="0"/>
    <n v="0"/>
    <n v="0"/>
    <n v="0"/>
    <n v="0"/>
    <n v="0"/>
  </r>
  <r>
    <s v="6ES092"/>
    <s v="Bild 2a"/>
    <m/>
    <s v="LYAGR"/>
    <s v="H16"/>
    <s v="H19"/>
    <s v="H191-10"/>
    <m/>
    <m/>
    <s v="TMBI"/>
    <m/>
    <n v="100"/>
    <n v="15"/>
    <m/>
    <m/>
    <n v="1"/>
    <n v="0.25"/>
    <n v="0.85"/>
    <n v="0.21249999999999999"/>
    <x v="11"/>
    <s v="Estetiska ämnen               "/>
    <s v="Hum"/>
    <s v="Ämneslärarprogrammet - åk 7-9"/>
    <n v="47957"/>
    <n v="57006"/>
    <n v="24103.025000000001"/>
    <n v="69000"/>
    <n v="17250"/>
    <n v="41353.025000000001"/>
    <n v="1"/>
    <n v="0"/>
    <n v="0"/>
    <n v="0"/>
    <n v="0"/>
    <n v="0"/>
    <n v="0"/>
    <n v="0"/>
    <n v="0"/>
    <n v="0"/>
    <n v="0"/>
    <n v="0"/>
  </r>
  <r>
    <s v="6ES092"/>
    <s v="Bild 2a"/>
    <m/>
    <s v="LYAGR"/>
    <s v="H16"/>
    <s v="H19"/>
    <s v="H191-10"/>
    <m/>
    <m/>
    <s v="TXBI"/>
    <m/>
    <n v="100"/>
    <n v="15"/>
    <m/>
    <m/>
    <n v="2"/>
    <n v="0.5"/>
    <n v="0.85"/>
    <n v="0.42499999999999999"/>
    <x v="11"/>
    <s v="Estetiska ämnen               "/>
    <s v="Hum"/>
    <s v="Ämneslärarprogrammet - åk 7-9"/>
    <n v="47957"/>
    <n v="57006"/>
    <n v="48206.05"/>
    <n v="69000"/>
    <n v="34500"/>
    <n v="82706.05"/>
    <n v="1"/>
    <n v="0"/>
    <n v="0"/>
    <n v="0"/>
    <n v="0"/>
    <n v="0"/>
    <n v="0"/>
    <n v="0"/>
    <n v="0"/>
    <n v="0"/>
    <n v="0"/>
    <n v="0"/>
  </r>
  <r>
    <s v="6ES092"/>
    <s v="Bild 2a"/>
    <m/>
    <s v="LYAGY"/>
    <s v="H16"/>
    <s v="H19"/>
    <s v="H191-10"/>
    <m/>
    <m/>
    <s v="RELK"/>
    <m/>
    <n v="100"/>
    <n v="15"/>
    <m/>
    <m/>
    <n v="1"/>
    <n v="0.25"/>
    <n v="0.85"/>
    <n v="0.21249999999999999"/>
    <x v="11"/>
    <s v="Estetiska ämnen               "/>
    <s v="Hum"/>
    <s v="Ämneslärarprogrammet - Gy"/>
    <n v="47957"/>
    <n v="57006"/>
    <n v="24103.025000000001"/>
    <n v="69000"/>
    <n v="17250"/>
    <n v="41353.025000000001"/>
    <n v="1"/>
    <n v="0"/>
    <n v="0"/>
    <n v="0"/>
    <n v="0"/>
    <n v="0"/>
    <n v="0"/>
    <n v="0"/>
    <n v="0"/>
    <n v="0"/>
    <n v="0"/>
    <n v="0"/>
  </r>
  <r>
    <s v="6ES092"/>
    <s v="Bild 2a"/>
    <m/>
    <s v="LYAGY"/>
    <s v="H16"/>
    <s v="H19"/>
    <s v="H191-10"/>
    <m/>
    <m/>
    <s v="SVAA"/>
    <m/>
    <n v="100"/>
    <n v="15"/>
    <m/>
    <m/>
    <n v="1"/>
    <n v="0.25"/>
    <n v="0.85"/>
    <n v="0.21249999999999999"/>
    <x v="11"/>
    <s v="Estetiska ämnen               "/>
    <s v="Hum"/>
    <s v="Ämneslärarprogrammet - Gy"/>
    <n v="47957"/>
    <n v="57006"/>
    <n v="24103.025000000001"/>
    <n v="69000"/>
    <n v="17250"/>
    <n v="41353.025000000001"/>
    <n v="1"/>
    <n v="0"/>
    <n v="0"/>
    <n v="0"/>
    <n v="0"/>
    <n v="0"/>
    <n v="0"/>
    <n v="0"/>
    <n v="0"/>
    <n v="0"/>
    <n v="0"/>
    <n v="0"/>
  </r>
  <r>
    <s v="6ES092"/>
    <s v="Bild 2a"/>
    <m/>
    <s v="LYAGY"/>
    <s v="H18"/>
    <s v="H19"/>
    <s v="H191-10"/>
    <m/>
    <m/>
    <s v="BILÄ"/>
    <m/>
    <n v="100"/>
    <n v="15"/>
    <m/>
    <m/>
    <n v="10"/>
    <n v="2.5"/>
    <n v="0.85"/>
    <n v="2.125"/>
    <x v="11"/>
    <s v="Estetiska ämnen               "/>
    <s v="Hum"/>
    <s v="Ämneslärarprogrammet - Gy"/>
    <n v="47957"/>
    <n v="57006"/>
    <n v="241030.25"/>
    <n v="69000"/>
    <n v="172500"/>
    <n v="413530.25"/>
    <n v="1"/>
    <n v="0"/>
    <n v="0"/>
    <n v="0"/>
    <n v="0"/>
    <n v="0"/>
    <n v="0"/>
    <n v="0"/>
    <n v="0"/>
    <n v="0"/>
    <n v="0"/>
    <n v="0"/>
  </r>
  <r>
    <s v="6ES093"/>
    <s v="Bild 2b"/>
    <m/>
    <s v="LYAGR"/>
    <s v="H16"/>
    <s v="H19"/>
    <s v="H1911-20"/>
    <m/>
    <m/>
    <s v="TMBI"/>
    <m/>
    <n v="100"/>
    <n v="15"/>
    <m/>
    <m/>
    <n v="1"/>
    <n v="0.25"/>
    <n v="0.85"/>
    <n v="0.21249999999999999"/>
    <x v="11"/>
    <s v="Estetiska ämnen               "/>
    <s v="Hum"/>
    <s v="Ämneslärarprogrammet - åk 7-9"/>
    <n v="47957"/>
    <n v="57006"/>
    <n v="24103.025000000001"/>
    <n v="69000"/>
    <n v="17250"/>
    <n v="41353.025000000001"/>
    <n v="1"/>
    <n v="0"/>
    <n v="0"/>
    <n v="0"/>
    <n v="0"/>
    <n v="0"/>
    <n v="0"/>
    <n v="0"/>
    <n v="0"/>
    <n v="0"/>
    <n v="0"/>
    <n v="0"/>
  </r>
  <r>
    <s v="6ES093"/>
    <s v="Bild 2b"/>
    <m/>
    <s v="LYAGR"/>
    <s v="H16"/>
    <s v="H19"/>
    <s v="H1911-20"/>
    <m/>
    <m/>
    <s v="TXBI"/>
    <m/>
    <n v="100"/>
    <n v="15"/>
    <m/>
    <m/>
    <n v="2"/>
    <n v="0.5"/>
    <n v="0.85"/>
    <n v="0.42499999999999999"/>
    <x v="11"/>
    <s v="Estetiska ämnen               "/>
    <s v="Hum"/>
    <s v="Ämneslärarprogrammet - åk 7-9"/>
    <n v="47957"/>
    <n v="57006"/>
    <n v="48206.05"/>
    <n v="69000"/>
    <n v="34500"/>
    <n v="82706.05"/>
    <n v="1"/>
    <n v="0"/>
    <n v="0"/>
    <n v="0"/>
    <n v="0"/>
    <n v="0"/>
    <n v="0"/>
    <n v="0"/>
    <n v="0"/>
    <n v="0"/>
    <n v="0"/>
    <n v="0"/>
  </r>
  <r>
    <s v="6ES093"/>
    <s v="Bild 2b"/>
    <m/>
    <s v="LYAGY"/>
    <s v="H16"/>
    <s v="H19"/>
    <s v="H1911-20"/>
    <m/>
    <m/>
    <s v="RELK"/>
    <m/>
    <n v="100"/>
    <n v="15"/>
    <m/>
    <m/>
    <n v="1"/>
    <n v="0.25"/>
    <n v="0.85"/>
    <n v="0.21249999999999999"/>
    <x v="11"/>
    <s v="Estetiska ämnen               "/>
    <s v="Hum"/>
    <s v="Ämneslärarprogrammet - Gy"/>
    <n v="47957"/>
    <n v="57006"/>
    <n v="24103.025000000001"/>
    <n v="69000"/>
    <n v="17250"/>
    <n v="41353.025000000001"/>
    <n v="1"/>
    <n v="0"/>
    <n v="0"/>
    <n v="0"/>
    <n v="0"/>
    <n v="0"/>
    <n v="0"/>
    <n v="0"/>
    <n v="0"/>
    <n v="0"/>
    <n v="0"/>
    <n v="0"/>
  </r>
  <r>
    <s v="6ES093"/>
    <s v="Bild 2b"/>
    <m/>
    <s v="LYAGY"/>
    <s v="H16"/>
    <s v="H19"/>
    <s v="H1911-20"/>
    <m/>
    <m/>
    <s v="SVAA"/>
    <m/>
    <n v="100"/>
    <n v="15"/>
    <m/>
    <m/>
    <n v="1"/>
    <n v="0.25"/>
    <n v="0.85"/>
    <n v="0.21249999999999999"/>
    <x v="11"/>
    <s v="Estetiska ämnen               "/>
    <s v="Hum"/>
    <s v="Ämneslärarprogrammet - Gy"/>
    <n v="47957"/>
    <n v="57006"/>
    <n v="24103.025000000001"/>
    <n v="69000"/>
    <n v="17250"/>
    <n v="41353.025000000001"/>
    <n v="1"/>
    <n v="0"/>
    <n v="0"/>
    <n v="0"/>
    <n v="0"/>
    <n v="0"/>
    <n v="0"/>
    <n v="0"/>
    <n v="0"/>
    <n v="0"/>
    <n v="0"/>
    <n v="0"/>
  </r>
  <r>
    <s v="6ES093"/>
    <s v="Bild 2b"/>
    <m/>
    <s v="LYAGY"/>
    <s v="H18"/>
    <s v="H19"/>
    <s v="H1911-20"/>
    <m/>
    <m/>
    <s v="BILÄ"/>
    <m/>
    <n v="100"/>
    <n v="15"/>
    <m/>
    <m/>
    <n v="10"/>
    <n v="2.5"/>
    <n v="0.85"/>
    <n v="2.125"/>
    <x v="11"/>
    <s v="Estetiska ämnen               "/>
    <s v="Hum"/>
    <s v="Ämneslärarprogrammet - Gy"/>
    <n v="47957"/>
    <n v="57006"/>
    <n v="241030.25"/>
    <n v="69000"/>
    <n v="172500"/>
    <n v="413530.25"/>
    <n v="1"/>
    <n v="0"/>
    <n v="0"/>
    <n v="0"/>
    <n v="0"/>
    <n v="0"/>
    <n v="0"/>
    <n v="0"/>
    <n v="0"/>
    <n v="0"/>
    <n v="0"/>
    <n v="0"/>
  </r>
  <r>
    <s v="6ES094"/>
    <s v="Skapande och lek för förskolan 2"/>
    <m/>
    <s v="LYFSK"/>
    <s v="H15"/>
    <s v="V19"/>
    <s v="V1911-20"/>
    <s v="Umeå"/>
    <m/>
    <m/>
    <m/>
    <n v="100"/>
    <n v="15"/>
    <m/>
    <m/>
    <n v="1"/>
    <n v="0.25"/>
    <n v="0.85"/>
    <n v="0.21249999999999999"/>
    <x v="11"/>
    <s v="Estetiska ämnen               "/>
    <s v="Hum"/>
    <s v="Förskollärarprogrammet"/>
    <n v="15846"/>
    <n v="26926"/>
    <n v="9683.2749999999996"/>
    <n v="17300"/>
    <n v="4325"/>
    <n v="14008.275"/>
    <n v="0"/>
    <n v="0"/>
    <n v="0"/>
    <n v="0"/>
    <n v="0"/>
    <n v="0"/>
    <n v="0"/>
    <n v="0"/>
    <n v="0"/>
    <n v="0"/>
    <n v="1"/>
    <n v="0"/>
  </r>
  <r>
    <s v="6ES094"/>
    <s v="Skapande och lek för förskolan 2"/>
    <m/>
    <s v="LYFSK"/>
    <s v="H16"/>
    <s v="V19"/>
    <s v="V1911-20"/>
    <s v="Umeå"/>
    <m/>
    <m/>
    <m/>
    <n v="100"/>
    <n v="15"/>
    <m/>
    <m/>
    <n v="57"/>
    <n v="14.25"/>
    <n v="0.85"/>
    <n v="12.112499999999999"/>
    <x v="11"/>
    <s v="Estetiska ämnen               "/>
    <s v="Hum"/>
    <s v="Förskollärarprogrammet"/>
    <n v="15846"/>
    <n v="26926"/>
    <n v="551946.67500000005"/>
    <n v="17300"/>
    <n v="246525"/>
    <n v="798471.67500000005"/>
    <n v="0"/>
    <n v="0"/>
    <n v="0"/>
    <n v="0"/>
    <n v="0"/>
    <n v="0"/>
    <n v="0"/>
    <n v="0"/>
    <n v="0"/>
    <n v="0"/>
    <n v="1"/>
    <n v="0"/>
  </r>
  <r>
    <s v="6ES094"/>
    <s v="Skapande och lek för förskolan 2"/>
    <m/>
    <s v="LYFSK"/>
    <s v="H16"/>
    <s v="H19"/>
    <s v="H1911-20"/>
    <m/>
    <m/>
    <m/>
    <m/>
    <n v="100"/>
    <n v="15"/>
    <m/>
    <m/>
    <n v="3"/>
    <n v="0.75"/>
    <n v="0.85"/>
    <n v="0.63749999999999996"/>
    <x v="11"/>
    <s v="Estetiska ämnen               "/>
    <s v="Hum"/>
    <s v="Förskollärarprogrammet"/>
    <n v="15846"/>
    <n v="26926"/>
    <n v="29049.824999999997"/>
    <n v="17300"/>
    <n v="12975"/>
    <n v="42024.824999999997"/>
    <n v="0"/>
    <n v="0"/>
    <n v="0"/>
    <n v="0"/>
    <n v="0"/>
    <n v="0"/>
    <n v="0"/>
    <n v="0"/>
    <n v="0"/>
    <n v="0"/>
    <n v="1"/>
    <n v="0"/>
  </r>
  <r>
    <s v="6ES094"/>
    <s v="Skapande och lek för förskolan 2"/>
    <m/>
    <s v="LYFSK"/>
    <s v="V16"/>
    <s v="V19"/>
    <s v="V1911-20"/>
    <s v="Umeå"/>
    <m/>
    <m/>
    <m/>
    <n v="100"/>
    <n v="15"/>
    <m/>
    <m/>
    <n v="1"/>
    <n v="0.25"/>
    <n v="0.85"/>
    <n v="0.21249999999999999"/>
    <x v="11"/>
    <s v="Estetiska ämnen               "/>
    <s v="Hum"/>
    <s v="Förskollärarprogrammet"/>
    <n v="15846"/>
    <n v="26926"/>
    <n v="9683.2749999999996"/>
    <n v="17300"/>
    <n v="4325"/>
    <n v="14008.275"/>
    <n v="0"/>
    <n v="0"/>
    <n v="0"/>
    <n v="0"/>
    <n v="0"/>
    <n v="0"/>
    <n v="0"/>
    <n v="0"/>
    <n v="0"/>
    <n v="0"/>
    <n v="1"/>
    <n v="0"/>
  </r>
  <r>
    <s v="6ES094"/>
    <s v="Skapande och lek för förskolan 2"/>
    <m/>
    <s v="LYFSK"/>
    <s v="V16"/>
    <s v="V19"/>
    <s v="V1911-20"/>
    <s v="Umeå"/>
    <m/>
    <m/>
    <m/>
    <n v="100"/>
    <n v="15"/>
    <m/>
    <m/>
    <n v="2"/>
    <n v="0.5"/>
    <n v="0.85"/>
    <n v="0.42499999999999999"/>
    <x v="11"/>
    <s v="Estetiska ämnen               "/>
    <s v="Hum"/>
    <s v="Förskollärarprogrammet"/>
    <n v="15846"/>
    <n v="26926"/>
    <n v="19366.55"/>
    <n v="17300"/>
    <n v="8650"/>
    <n v="28016.55"/>
    <n v="0"/>
    <n v="0"/>
    <n v="0"/>
    <n v="0"/>
    <n v="0"/>
    <n v="0"/>
    <n v="0"/>
    <n v="0"/>
    <n v="0"/>
    <n v="0"/>
    <n v="1"/>
    <n v="0"/>
  </r>
  <r>
    <s v="6ES094"/>
    <s v="Skapande och lek för förskolan 2"/>
    <m/>
    <s v="LYFSK"/>
    <s v="V16"/>
    <s v="H19"/>
    <s v="H1911-20"/>
    <m/>
    <m/>
    <m/>
    <m/>
    <n v="100"/>
    <n v="15"/>
    <m/>
    <m/>
    <n v="1"/>
    <n v="0.25"/>
    <n v="0.85"/>
    <n v="0.21249999999999999"/>
    <x v="11"/>
    <s v="Estetiska ämnen               "/>
    <s v="Hum"/>
    <s v="Förskollärarprogrammet"/>
    <n v="15846"/>
    <n v="26926"/>
    <n v="9683.2749999999996"/>
    <n v="17300"/>
    <n v="4325"/>
    <n v="14008.275"/>
    <n v="0"/>
    <n v="0"/>
    <n v="0"/>
    <n v="0"/>
    <n v="0"/>
    <n v="0"/>
    <n v="0"/>
    <n v="0"/>
    <n v="0"/>
    <n v="0"/>
    <n v="1"/>
    <n v="0"/>
  </r>
  <r>
    <s v="6ES094"/>
    <s v="Skapande och lek för förskolan 2"/>
    <m/>
    <s v="LYFSK"/>
    <s v="V17"/>
    <s v="H19"/>
    <s v="H1911-20"/>
    <m/>
    <m/>
    <m/>
    <m/>
    <n v="100"/>
    <n v="15"/>
    <m/>
    <m/>
    <n v="19"/>
    <n v="4.75"/>
    <n v="0.85"/>
    <n v="4.0374999999999996"/>
    <x v="11"/>
    <s v="Estetiska ämnen               "/>
    <s v="Hum"/>
    <s v="Förskollärarprogrammet"/>
    <n v="15846"/>
    <n v="26926"/>
    <n v="183982.22499999998"/>
    <n v="17300"/>
    <n v="82175"/>
    <n v="266157.22499999998"/>
    <n v="0"/>
    <n v="0"/>
    <n v="0"/>
    <n v="0"/>
    <n v="0"/>
    <n v="0"/>
    <n v="0"/>
    <n v="0"/>
    <n v="0"/>
    <n v="0"/>
    <n v="1"/>
    <n v="0"/>
  </r>
  <r>
    <s v="6ES095"/>
    <s v="Att undervisa i musik"/>
    <m/>
    <s v="LYAGY"/>
    <s v="H15"/>
    <s v="H19"/>
    <s v="H1913-16"/>
    <m/>
    <m/>
    <s v="MUSI"/>
    <m/>
    <n v="100"/>
    <n v="6"/>
    <m/>
    <m/>
    <n v="1"/>
    <n v="0.1"/>
    <n v="0.85"/>
    <n v="8.5000000000000006E-2"/>
    <x v="11"/>
    <s v="Estetiska ämnen               "/>
    <s v="Hum"/>
    <s v="Ämneslärarprogrammet - Gy"/>
    <n v="21634"/>
    <n v="26986"/>
    <n v="4457.21"/>
    <n v="3400"/>
    <n v="340"/>
    <n v="4797.21"/>
    <n v="0"/>
    <n v="0"/>
    <n v="0"/>
    <n v="0"/>
    <n v="0"/>
    <n v="0"/>
    <n v="0"/>
    <n v="0"/>
    <n v="1"/>
    <n v="0"/>
    <n v="0"/>
    <n v="0"/>
  </r>
  <r>
    <s v="6ES095"/>
    <s v="Att undervisa i musik"/>
    <m/>
    <s v="LYAGY"/>
    <s v="H16"/>
    <s v="H19"/>
    <s v="H1913-16"/>
    <m/>
    <m/>
    <s v="MUSI"/>
    <m/>
    <n v="100"/>
    <n v="6"/>
    <m/>
    <m/>
    <n v="1"/>
    <n v="0.1"/>
    <n v="0.85"/>
    <n v="8.5000000000000006E-2"/>
    <x v="11"/>
    <s v="Estetiska ämnen               "/>
    <s v="Hum"/>
    <s v="Ämneslärarprogrammet - Gy"/>
    <n v="21634"/>
    <n v="26986"/>
    <n v="4457.21"/>
    <n v="3400"/>
    <n v="340"/>
    <n v="4797.21"/>
    <n v="0"/>
    <n v="0"/>
    <n v="0"/>
    <n v="0"/>
    <n v="0"/>
    <n v="0"/>
    <n v="0"/>
    <n v="0"/>
    <n v="1"/>
    <n v="0"/>
    <n v="0"/>
    <n v="0"/>
  </r>
  <r>
    <s v="6ES095"/>
    <s v="Att undervisa i musik"/>
    <m/>
    <s v="LYAGY"/>
    <s v="H17"/>
    <s v="H19"/>
    <s v="H1913-16"/>
    <m/>
    <m/>
    <s v="MUSI"/>
    <m/>
    <n v="100"/>
    <n v="6"/>
    <m/>
    <m/>
    <n v="2"/>
    <n v="0.2"/>
    <n v="0.85"/>
    <n v="0.17"/>
    <x v="11"/>
    <s v="Estetiska ämnen               "/>
    <s v="Hum"/>
    <s v="Ämneslärarprogrammet - Gy"/>
    <n v="21634"/>
    <n v="26986"/>
    <n v="8914.42"/>
    <n v="3400"/>
    <n v="680"/>
    <n v="9594.42"/>
    <n v="0"/>
    <n v="0"/>
    <n v="0"/>
    <n v="0"/>
    <n v="0"/>
    <n v="0"/>
    <n v="0"/>
    <n v="0"/>
    <n v="1"/>
    <n v="0"/>
    <n v="0"/>
    <n v="0"/>
  </r>
  <r>
    <s v="6ES097"/>
    <s v="Att undervisa i slöjd - textil"/>
    <m/>
    <s v="LYAGR"/>
    <s v="H17"/>
    <s v="H19"/>
    <s v="H1913-16"/>
    <m/>
    <m/>
    <s v="TXBI"/>
    <m/>
    <n v="100"/>
    <n v="6"/>
    <m/>
    <m/>
    <n v="4"/>
    <n v="0.4"/>
    <n v="0.85"/>
    <n v="0.34"/>
    <x v="11"/>
    <s v="Estetiska ämnen               "/>
    <s v="Hum"/>
    <s v="Ämneslärarprogrammet - åk 7-9"/>
    <n v="21634"/>
    <n v="26986"/>
    <n v="17828.84"/>
    <n v="3400"/>
    <n v="1360"/>
    <n v="19188.84"/>
    <n v="0"/>
    <n v="0"/>
    <n v="0"/>
    <n v="0"/>
    <n v="0"/>
    <n v="0"/>
    <n v="0"/>
    <n v="0"/>
    <n v="1"/>
    <n v="0"/>
    <n v="0"/>
    <n v="0"/>
  </r>
  <r>
    <s v="6ES099"/>
    <s v="Magisteruppsats i pedagogisk yrkesverksamhet"/>
    <m/>
    <s v="FRIST"/>
    <m/>
    <s v="H19"/>
    <m/>
    <s v="Piteå"/>
    <s v="Distans"/>
    <m/>
    <m/>
    <n v="25"/>
    <n v="7.5"/>
    <m/>
    <m/>
    <n v="14"/>
    <n v="1.75"/>
    <n v="0.8"/>
    <n v="1.4000000000000001"/>
    <x v="11"/>
    <s v="Estetiska ämnen               "/>
    <s v="Hum"/>
    <s v="Fristående och övriga kurser"/>
    <n v="18405"/>
    <n v="15773"/>
    <n v="54290.95"/>
    <n v="5800"/>
    <n v="10150"/>
    <n v="64440.95"/>
    <n v="0"/>
    <n v="1"/>
    <n v="0"/>
    <n v="0"/>
    <n v="0"/>
    <n v="0"/>
    <n v="0"/>
    <n v="0"/>
    <n v="0"/>
    <n v="0"/>
    <n v="0"/>
    <n v="0"/>
  </r>
  <r>
    <s v="6ES100"/>
    <s v="Bild 1"/>
    <m/>
    <s v="LYAGR"/>
    <s v="H16"/>
    <s v="V19"/>
    <s v="V191-20"/>
    <s v="Umeå"/>
    <m/>
    <s v="TMBI"/>
    <m/>
    <n v="100"/>
    <n v="30"/>
    <m/>
    <m/>
    <n v="1"/>
    <n v="0.5"/>
    <n v="0.85"/>
    <n v="0.42499999999999999"/>
    <x v="11"/>
    <s v="Estetiska ämnen               "/>
    <s v="Hum"/>
    <s v="Ämneslärarprogrammet - åk 7-9"/>
    <n v="47957"/>
    <n v="57006"/>
    <n v="48206.05"/>
    <n v="69000"/>
    <n v="34500"/>
    <n v="82706.05"/>
    <n v="1"/>
    <n v="0"/>
    <n v="0"/>
    <n v="0"/>
    <n v="0"/>
    <n v="0"/>
    <n v="0"/>
    <n v="0"/>
    <n v="0"/>
    <n v="0"/>
    <n v="0"/>
    <n v="0"/>
  </r>
  <r>
    <s v="6ES100"/>
    <s v="Bild 1"/>
    <m/>
    <s v="LYAGR"/>
    <s v="H16"/>
    <s v="V19"/>
    <s v="V191-20"/>
    <s v="Umeå"/>
    <m/>
    <s v="TXBI"/>
    <m/>
    <n v="100"/>
    <n v="30"/>
    <m/>
    <m/>
    <n v="2"/>
    <n v="1"/>
    <n v="0.85"/>
    <n v="0.85"/>
    <x v="11"/>
    <s v="Estetiska ämnen               "/>
    <s v="Hum"/>
    <s v="Ämneslärarprogrammet - åk 7-9"/>
    <n v="47957"/>
    <n v="57006"/>
    <n v="96412.1"/>
    <n v="69000"/>
    <n v="69000"/>
    <n v="165412.1"/>
    <n v="1"/>
    <n v="0"/>
    <n v="0"/>
    <n v="0"/>
    <n v="0"/>
    <n v="0"/>
    <n v="0"/>
    <n v="0"/>
    <n v="0"/>
    <n v="0"/>
    <n v="0"/>
    <n v="0"/>
  </r>
  <r>
    <s v="6ES100"/>
    <s v="Bild 1"/>
    <m/>
    <s v="LYAGY"/>
    <s v="H16"/>
    <s v="V19"/>
    <s v="V191-20"/>
    <s v="Umeå"/>
    <m/>
    <s v="RELK"/>
    <m/>
    <n v="100"/>
    <n v="30"/>
    <m/>
    <m/>
    <n v="1"/>
    <n v="0.5"/>
    <n v="0.85"/>
    <n v="0.42499999999999999"/>
    <x v="11"/>
    <s v="Estetiska ämnen               "/>
    <s v="Hum"/>
    <s v="Ämneslärarprogrammet - Gy"/>
    <n v="47957"/>
    <n v="57006"/>
    <n v="48206.05"/>
    <n v="69000"/>
    <n v="34500"/>
    <n v="82706.05"/>
    <n v="1"/>
    <n v="0"/>
    <n v="0"/>
    <n v="0"/>
    <n v="0"/>
    <n v="0"/>
    <n v="0"/>
    <n v="0"/>
    <n v="0"/>
    <n v="0"/>
    <n v="0"/>
    <n v="0"/>
  </r>
  <r>
    <s v="6ES100"/>
    <s v="Bild 1"/>
    <m/>
    <s v="LYAGY"/>
    <s v="H16"/>
    <s v="V19"/>
    <s v="V191-20"/>
    <s v="Umeå"/>
    <m/>
    <s v="SVAA"/>
    <m/>
    <n v="100"/>
    <n v="30"/>
    <m/>
    <m/>
    <n v="1"/>
    <n v="0.5"/>
    <n v="0.85"/>
    <n v="0.42499999999999999"/>
    <x v="11"/>
    <s v="Estetiska ämnen               "/>
    <s v="Hum"/>
    <s v="Ämneslärarprogrammet - Gy"/>
    <n v="47957"/>
    <n v="57006"/>
    <n v="48206.05"/>
    <n v="69000"/>
    <n v="34500"/>
    <n v="82706.05"/>
    <n v="1"/>
    <n v="0"/>
    <n v="0"/>
    <n v="0"/>
    <n v="0"/>
    <n v="0"/>
    <n v="0"/>
    <n v="0"/>
    <n v="0"/>
    <n v="0"/>
    <n v="0"/>
    <n v="0"/>
  </r>
  <r>
    <s v="6ES100"/>
    <s v="Bild 1"/>
    <m/>
    <s v="LYAGY"/>
    <s v="H18"/>
    <s v="V19"/>
    <s v="V191-20"/>
    <s v="Umeå"/>
    <m/>
    <s v="BILÄ"/>
    <m/>
    <n v="100"/>
    <n v="30"/>
    <m/>
    <m/>
    <n v="11"/>
    <n v="5.5"/>
    <n v="0.85"/>
    <n v="4.6749999999999998"/>
    <x v="11"/>
    <s v="Estetiska ämnen               "/>
    <s v="Hum"/>
    <s v="Ämneslärarprogrammet - Gy"/>
    <n v="47957"/>
    <n v="57006"/>
    <n v="530266.55000000005"/>
    <n v="69000"/>
    <n v="379500"/>
    <n v="909766.55"/>
    <n v="1"/>
    <n v="0"/>
    <n v="0"/>
    <n v="0"/>
    <n v="0"/>
    <n v="0"/>
    <n v="0"/>
    <n v="0"/>
    <n v="0"/>
    <n v="0"/>
    <n v="0"/>
    <n v="0"/>
  </r>
  <r>
    <s v="6ES101"/>
    <s v="Bild 1, fristående "/>
    <m/>
    <s v="FRIST"/>
    <m/>
    <s v="V19"/>
    <m/>
    <m/>
    <s v="Campus"/>
    <m/>
    <m/>
    <n v="100"/>
    <n v="30"/>
    <m/>
    <m/>
    <n v="1"/>
    <n v="0.5"/>
    <n v="0.8"/>
    <n v="0.4"/>
    <x v="11"/>
    <s v="Estetiska ämnen               "/>
    <s v="Hum"/>
    <s v="Fristående och övriga kurser"/>
    <n v="47957"/>
    <n v="57006"/>
    <n v="46780.9"/>
    <n v="69000"/>
    <n v="34500"/>
    <n v="81280.899999999994"/>
    <n v="1"/>
    <n v="0"/>
    <n v="0"/>
    <n v="0"/>
    <n v="0"/>
    <n v="0"/>
    <n v="0"/>
    <n v="0"/>
    <n v="0"/>
    <n v="0"/>
    <n v="0"/>
    <n v="0"/>
  </r>
  <r>
    <s v="6ES102"/>
    <s v="Vetenskaplig teori och metod 2"/>
    <m/>
    <s v="FRIST"/>
    <m/>
    <s v="V19"/>
    <m/>
    <s v="Piteå"/>
    <s v="Distans"/>
    <m/>
    <m/>
    <n v="25"/>
    <n v="7.5"/>
    <m/>
    <m/>
    <n v="15"/>
    <n v="1.875"/>
    <n v="0.8"/>
    <n v="1.5"/>
    <x v="11"/>
    <s v="Estetiska ämnen               "/>
    <s v="Hum"/>
    <s v="Fristående och övriga kurser"/>
    <n v="18405"/>
    <n v="15773"/>
    <n v="58168.875"/>
    <n v="5800"/>
    <n v="10875"/>
    <n v="69043.875"/>
    <n v="0"/>
    <n v="1"/>
    <n v="0"/>
    <n v="0"/>
    <n v="0"/>
    <n v="0"/>
    <n v="0"/>
    <n v="0"/>
    <n v="0"/>
    <n v="0"/>
    <n v="0"/>
    <n v="0"/>
  </r>
  <r>
    <s v="6ES103"/>
    <s v="Bild fördjupning 3"/>
    <m/>
    <s v="LYAGY"/>
    <s v="H14"/>
    <s v="V19"/>
    <s v="V191-20"/>
    <s v="Umeå"/>
    <m/>
    <s v="BILÄ"/>
    <m/>
    <n v="100"/>
    <n v="30"/>
    <m/>
    <m/>
    <n v="0"/>
    <n v="0"/>
    <n v="0.85"/>
    <n v="0"/>
    <x v="11"/>
    <s v="Estetiska ämnen               "/>
    <s v="Hum"/>
    <s v="Ämneslärarprogrammet - Gy"/>
    <n v="47957"/>
    <n v="57006"/>
    <n v="0"/>
    <n v="69000"/>
    <n v="0"/>
    <n v="0"/>
    <n v="1"/>
    <n v="0"/>
    <n v="0"/>
    <n v="0"/>
    <n v="0"/>
    <n v="0"/>
    <n v="0"/>
    <n v="0"/>
    <n v="0"/>
    <n v="0"/>
    <n v="0"/>
    <n v="0"/>
  </r>
  <r>
    <s v="6ES103"/>
    <s v="Bild fördjupning 3"/>
    <m/>
    <s v="LYAGY"/>
    <s v="H15"/>
    <s v="V19"/>
    <s v="V191-20"/>
    <s v="Umeå"/>
    <m/>
    <s v="BILÄ"/>
    <m/>
    <n v="100"/>
    <n v="30"/>
    <m/>
    <m/>
    <n v="5"/>
    <n v="2.5"/>
    <n v="0.85"/>
    <n v="2.125"/>
    <x v="11"/>
    <s v="Estetiska ämnen               "/>
    <s v="Hum"/>
    <s v="Ämneslärarprogrammet - Gy"/>
    <n v="47957"/>
    <n v="57006"/>
    <n v="241030.25"/>
    <n v="69000"/>
    <n v="172500"/>
    <n v="413530.25"/>
    <n v="1"/>
    <n v="0"/>
    <n v="0"/>
    <n v="0"/>
    <n v="0"/>
    <n v="0"/>
    <n v="0"/>
    <n v="0"/>
    <n v="0"/>
    <n v="0"/>
    <n v="0"/>
    <n v="0"/>
  </r>
  <r>
    <s v="6ES104"/>
    <s v="Bild fördjupning 3, fristående"/>
    <m/>
    <s v="FRIST"/>
    <m/>
    <s v="V19"/>
    <m/>
    <m/>
    <s v="Campus"/>
    <m/>
    <m/>
    <n v="100"/>
    <n v="30"/>
    <m/>
    <m/>
    <n v="1"/>
    <n v="0.5"/>
    <n v="0.8"/>
    <n v="0.4"/>
    <x v="11"/>
    <s v="Estetiska ämnen               "/>
    <s v="Hum"/>
    <s v="Fristående och övriga kurser"/>
    <n v="47957"/>
    <n v="57006"/>
    <n v="46780.9"/>
    <n v="69000"/>
    <n v="34500"/>
    <n v="81280.899999999994"/>
    <n v="1"/>
    <n v="0"/>
    <n v="0"/>
    <n v="0"/>
    <n v="0"/>
    <n v="0"/>
    <n v="0"/>
    <n v="0"/>
    <n v="0"/>
    <n v="0"/>
    <n v="0"/>
    <n v="0"/>
  </r>
  <r>
    <s v="6ES105"/>
    <s v="Bild 3"/>
    <m/>
    <s v="LYAGY"/>
    <m/>
    <s v="V19"/>
    <m/>
    <s v="Umeå"/>
    <m/>
    <m/>
    <m/>
    <n v="100"/>
    <n v="30"/>
    <m/>
    <m/>
    <n v="1"/>
    <n v="0.5"/>
    <n v="0.85"/>
    <n v="0.42499999999999999"/>
    <x v="11"/>
    <s v="Estetiska ämnen               "/>
    <s v="Hum"/>
    <s v="Ämneslärarprogrammet - Gy"/>
    <n v="47957"/>
    <n v="57006"/>
    <n v="48206.05"/>
    <n v="69000"/>
    <n v="34500"/>
    <n v="82706.05"/>
    <n v="1"/>
    <n v="0"/>
    <n v="0"/>
    <n v="0"/>
    <n v="0"/>
    <n v="0"/>
    <n v="0"/>
    <n v="0"/>
    <n v="0"/>
    <n v="0"/>
    <n v="0"/>
    <n v="0"/>
  </r>
  <r>
    <s v="6ES105"/>
    <s v="Bild 3"/>
    <m/>
    <s v="LYAGY"/>
    <m/>
    <s v="V19"/>
    <m/>
    <s v="Umeå"/>
    <m/>
    <m/>
    <m/>
    <n v="100"/>
    <n v="30"/>
    <m/>
    <m/>
    <n v="1"/>
    <n v="0.5"/>
    <n v="0.85"/>
    <n v="0.42499999999999999"/>
    <x v="11"/>
    <s v="Estetiska ämnen               "/>
    <s v="Hum"/>
    <s v="Ämneslärarprogrammet - Gy"/>
    <n v="47957"/>
    <n v="57006"/>
    <n v="48206.05"/>
    <n v="69000"/>
    <n v="34500"/>
    <n v="82706.05"/>
    <n v="1"/>
    <n v="0"/>
    <n v="0"/>
    <n v="0"/>
    <n v="0"/>
    <n v="0"/>
    <n v="0"/>
    <n v="0"/>
    <n v="0"/>
    <n v="0"/>
    <n v="0"/>
    <n v="0"/>
  </r>
  <r>
    <s v="6FA005"/>
    <s v="Franska II för ämneslärare"/>
    <m/>
    <s v="FRIST"/>
    <m/>
    <s v="H19"/>
    <m/>
    <m/>
    <s v="Campus"/>
    <m/>
    <m/>
    <n v="100"/>
    <n v="30"/>
    <m/>
    <m/>
    <n v="1"/>
    <n v="0.5"/>
    <n v="0.8"/>
    <n v="0.4"/>
    <x v="10"/>
    <s v="Inst för språkstudier"/>
    <s v="Hum"/>
    <s v="Fristående och övriga kurser"/>
    <n v="18405"/>
    <n v="15773"/>
    <n v="15511.7"/>
    <n v="5800"/>
    <n v="2900"/>
    <n v="18411.7"/>
    <n v="0"/>
    <n v="1"/>
    <n v="0"/>
    <n v="0"/>
    <n v="0"/>
    <n v="0"/>
    <n v="0"/>
    <n v="0"/>
    <n v="0"/>
    <n v="0"/>
    <n v="0"/>
    <n v="0"/>
  </r>
  <r>
    <s v="6FA008"/>
    <s v="Franska för ämneslärare, kurs 1"/>
    <m/>
    <s v="FRIST"/>
    <m/>
    <s v="V19"/>
    <m/>
    <m/>
    <s v="Campus"/>
    <m/>
    <m/>
    <n v="100"/>
    <n v="30"/>
    <m/>
    <m/>
    <n v="2"/>
    <n v="1"/>
    <n v="0.8"/>
    <n v="0.8"/>
    <x v="10"/>
    <s v="Inst för språkstudier"/>
    <s v="Hum"/>
    <s v="Fristående och övriga kurser"/>
    <n v="18405"/>
    <n v="15773"/>
    <n v="31023.4"/>
    <n v="5800"/>
    <n v="5800"/>
    <n v="36823.4"/>
    <n v="0"/>
    <n v="1"/>
    <n v="0"/>
    <n v="0"/>
    <n v="0"/>
    <n v="0"/>
    <n v="0"/>
    <n v="0"/>
    <n v="0"/>
    <n v="0"/>
    <n v="0"/>
    <n v="0"/>
  </r>
  <r>
    <s v="6FRIPED1"/>
    <s v="Idrott, fostran och socialisation"/>
    <m/>
    <s v="FRIST"/>
    <m/>
    <s v="H19"/>
    <m/>
    <m/>
    <s v="Campus"/>
    <m/>
    <m/>
    <n v="100"/>
    <n v="7.5"/>
    <m/>
    <m/>
    <n v="5"/>
    <n v="0.625"/>
    <n v="0.8"/>
    <n v="0.5"/>
    <x v="0"/>
    <s v="Pedagogik                     "/>
    <s v="Sam"/>
    <s v="Fristående och övriga kurser"/>
    <n v="18405"/>
    <n v="15773"/>
    <n v="19389.625"/>
    <n v="5800"/>
    <n v="3625"/>
    <n v="23014.625"/>
    <n v="0"/>
    <n v="0"/>
    <n v="0"/>
    <n v="0"/>
    <n v="0"/>
    <n v="0"/>
    <n v="1"/>
    <n v="0"/>
    <n v="0"/>
    <n v="0"/>
    <n v="0"/>
    <n v="0"/>
  </r>
  <r>
    <s v="6FRISPRÅK1"/>
    <s v="Svenska som andraspråk A, del 1"/>
    <m/>
    <s v="FRIST"/>
    <m/>
    <s v="H19"/>
    <m/>
    <m/>
    <s v="Campus"/>
    <m/>
    <m/>
    <n v="50"/>
    <n v="15"/>
    <m/>
    <m/>
    <n v="15"/>
    <n v="3.75"/>
    <n v="0.8"/>
    <n v="3"/>
    <x v="10"/>
    <s v="Inst för språkstudier"/>
    <s v="Hum"/>
    <s v="Fristående och övriga kurser"/>
    <n v="18405"/>
    <n v="15773"/>
    <n v="116337.75"/>
    <n v="5800"/>
    <n v="21750"/>
    <n v="138087.75"/>
    <n v="0"/>
    <n v="1"/>
    <n v="0"/>
    <n v="0"/>
    <n v="0"/>
    <n v="0"/>
    <n v="0"/>
    <n v="0"/>
    <n v="0"/>
    <n v="0"/>
    <n v="0"/>
    <n v="0"/>
  </r>
  <r>
    <s v="6FRISPRÅK2"/>
    <s v="Språkdidaktik: Undervisning för elever i språk-,  läs- och skrivsvårigheter"/>
    <m/>
    <s v="FRIST"/>
    <m/>
    <s v="V19"/>
    <m/>
    <m/>
    <s v="Distans"/>
    <m/>
    <m/>
    <n v="25"/>
    <n v="7.5"/>
    <m/>
    <m/>
    <n v="0"/>
    <n v="0"/>
    <n v="0.8"/>
    <n v="0"/>
    <x v="10"/>
    <s v="Inst för språkstudier"/>
    <s v="Hum"/>
    <s v="Fristående och övriga kurser"/>
    <n v="18405"/>
    <n v="15773"/>
    <n v="0"/>
    <n v="5800"/>
    <n v="0"/>
    <n v="0"/>
    <n v="0"/>
    <n v="1"/>
    <n v="0"/>
    <n v="0"/>
    <n v="0"/>
    <n v="0"/>
    <n v="0"/>
    <n v="0"/>
    <n v="0"/>
    <n v="0"/>
    <n v="0"/>
    <n v="0"/>
  </r>
  <r>
    <s v="6FRISPRÅK3"/>
    <s v="Språkdidaktik, Examensarbete för magisterexamen"/>
    <m/>
    <s v="FRIST"/>
    <m/>
    <s v="H19"/>
    <m/>
    <m/>
    <m/>
    <m/>
    <m/>
    <n v="25"/>
    <n v="7.5"/>
    <m/>
    <m/>
    <n v="0"/>
    <n v="0"/>
    <n v="0.8"/>
    <n v="0"/>
    <x v="10"/>
    <s v="Inst för språkstudier"/>
    <s v="Hum"/>
    <s v="Fristående och övriga kurser"/>
    <n v="18405"/>
    <n v="15773"/>
    <n v="0"/>
    <n v="5800"/>
    <n v="0"/>
    <n v="0"/>
    <n v="0"/>
    <n v="1"/>
    <n v="0"/>
    <n v="0"/>
    <n v="0"/>
    <n v="0"/>
    <n v="0"/>
    <n v="0"/>
    <n v="0"/>
    <n v="0"/>
    <n v="0"/>
    <n v="0"/>
  </r>
  <r>
    <s v="6FY008"/>
    <s v="Examensarbete för ämneslärarexamen - Fysik"/>
    <m/>
    <s v="LYAGY"/>
    <s v="H15"/>
    <s v="H19"/>
    <s v="H1916-20:V201-15"/>
    <m/>
    <m/>
    <s v="MATT"/>
    <m/>
    <n v="100"/>
    <n v="7.5"/>
    <m/>
    <m/>
    <n v="2"/>
    <n v="0.25"/>
    <n v="0.85"/>
    <n v="0.21249999999999999"/>
    <x v="9"/>
    <s v="NMD"/>
    <s v="TekNat"/>
    <s v="Ämneslärarprogrammet - Gy"/>
    <n v="19473"/>
    <n v="34806"/>
    <n v="12264.525"/>
    <n v="21800"/>
    <n v="5450"/>
    <n v="17714.525000000001"/>
    <n v="0"/>
    <n v="0"/>
    <n v="0"/>
    <n v="0"/>
    <n v="0"/>
    <n v="1"/>
    <n v="0"/>
    <n v="0"/>
    <n v="0"/>
    <n v="0"/>
    <n v="0"/>
    <n v="0"/>
  </r>
  <r>
    <s v="6FY009"/>
    <s v="Astronomi och meteorologi"/>
    <m/>
    <s v="LYAGY"/>
    <s v="H12"/>
    <s v="H19"/>
    <s v="H191-20"/>
    <m/>
    <m/>
    <s v="MATT"/>
    <m/>
    <n v="25"/>
    <n v="7.5"/>
    <m/>
    <m/>
    <n v="1"/>
    <n v="0.125"/>
    <n v="0.85"/>
    <n v="0.10625"/>
    <x v="6"/>
    <s v="Inst för Fysik                "/>
    <s v="TekNat"/>
    <s v="Ämneslärarprogrammet - Gy"/>
    <n v="19473"/>
    <n v="34806"/>
    <n v="6132.2624999999998"/>
    <n v="21800"/>
    <n v="2725"/>
    <n v="8857.2625000000007"/>
    <n v="0"/>
    <n v="0"/>
    <n v="0"/>
    <n v="0"/>
    <n v="0"/>
    <n v="0.5"/>
    <n v="0"/>
    <n v="0.5"/>
    <n v="0"/>
    <n v="0"/>
    <n v="0"/>
    <n v="0"/>
  </r>
  <r>
    <s v="6FY009"/>
    <s v="Astronomi och meteorologi"/>
    <m/>
    <s v="LYAGY"/>
    <s v="H15"/>
    <s v="H19"/>
    <s v="H191-20"/>
    <m/>
    <m/>
    <s v="IDRH"/>
    <m/>
    <n v="25"/>
    <n v="7.5"/>
    <m/>
    <m/>
    <n v="1"/>
    <n v="0.125"/>
    <n v="0.85"/>
    <n v="0.10625"/>
    <x v="6"/>
    <s v="Inst för Fysik                "/>
    <s v="TekNat"/>
    <s v="Ämneslärarprogrammet - Gy"/>
    <n v="19473"/>
    <n v="34806"/>
    <n v="6132.2624999999998"/>
    <n v="21800"/>
    <n v="2725"/>
    <n v="8857.2625000000007"/>
    <n v="0"/>
    <n v="0"/>
    <n v="0"/>
    <n v="0"/>
    <n v="0"/>
    <n v="0.5"/>
    <n v="0"/>
    <n v="0.5"/>
    <n v="0"/>
    <n v="0"/>
    <n v="0"/>
    <n v="0"/>
  </r>
  <r>
    <s v="6FY009"/>
    <s v="Astronomi och meteorologi"/>
    <m/>
    <s v="LYAGY"/>
    <s v="H15"/>
    <s v="H19"/>
    <s v="H191-20"/>
    <m/>
    <m/>
    <s v="MUSI"/>
    <m/>
    <n v="25"/>
    <n v="7.5"/>
    <m/>
    <m/>
    <n v="1"/>
    <n v="0.125"/>
    <n v="0.85"/>
    <n v="0.10625"/>
    <x v="6"/>
    <s v="Inst för Fysik                "/>
    <s v="TekNat"/>
    <s v="Ämneslärarprogrammet - Gy"/>
    <n v="19473"/>
    <n v="34806"/>
    <n v="6132.2624999999998"/>
    <n v="21800"/>
    <n v="2725"/>
    <n v="8857.2625000000007"/>
    <n v="0"/>
    <n v="0"/>
    <n v="0"/>
    <n v="0"/>
    <n v="0"/>
    <n v="0.5"/>
    <n v="0"/>
    <n v="0.5"/>
    <n v="0"/>
    <n v="0"/>
    <n v="0"/>
    <n v="0"/>
  </r>
  <r>
    <s v="6FY009"/>
    <s v="Astronomi och meteorologi"/>
    <m/>
    <s v="LYAGY"/>
    <s v="H16"/>
    <s v="H19"/>
    <s v="H191-20"/>
    <m/>
    <m/>
    <s v="MATT"/>
    <m/>
    <n v="25"/>
    <n v="7.5"/>
    <m/>
    <m/>
    <n v="1"/>
    <n v="0.125"/>
    <n v="0.85"/>
    <n v="0.10625"/>
    <x v="6"/>
    <s v="Inst för Fysik                "/>
    <s v="TekNat"/>
    <s v="Ämneslärarprogrammet - Gy"/>
    <n v="19473"/>
    <n v="34806"/>
    <n v="6132.2624999999998"/>
    <n v="21800"/>
    <n v="2725"/>
    <n v="8857.2625000000007"/>
    <n v="0"/>
    <n v="0"/>
    <n v="0"/>
    <n v="0"/>
    <n v="0"/>
    <n v="0.5"/>
    <n v="0"/>
    <n v="0.5"/>
    <n v="0"/>
    <n v="0"/>
    <n v="0"/>
    <n v="0"/>
  </r>
  <r>
    <s v="6FY009"/>
    <s v="Astronomi och meteorologi"/>
    <m/>
    <s v="LYAGY"/>
    <s v="H17"/>
    <s v="H19"/>
    <s v="H191-20"/>
    <m/>
    <m/>
    <s v="MATT"/>
    <m/>
    <n v="25"/>
    <n v="7.5"/>
    <m/>
    <m/>
    <n v="3"/>
    <n v="0.375"/>
    <n v="0.85"/>
    <n v="0.31874999999999998"/>
    <x v="6"/>
    <s v="Inst för Fysik                "/>
    <s v="TekNat"/>
    <s v="Ämneslärarprogrammet - Gy"/>
    <n v="19473"/>
    <n v="34806"/>
    <n v="18396.787499999999"/>
    <n v="21800"/>
    <n v="8175"/>
    <n v="26571.787499999999"/>
    <n v="0"/>
    <n v="0"/>
    <n v="0"/>
    <n v="0"/>
    <n v="0"/>
    <n v="0.5"/>
    <n v="0"/>
    <n v="0.5"/>
    <n v="0"/>
    <n v="0"/>
    <n v="0"/>
    <n v="0"/>
  </r>
  <r>
    <s v="6FY009"/>
    <s v="Astronomi och meteorologi"/>
    <m/>
    <s v="LYAGY"/>
    <s v="H18"/>
    <s v="H19"/>
    <s v="H191-20"/>
    <m/>
    <m/>
    <s v="MATT"/>
    <m/>
    <n v="25"/>
    <n v="7.5"/>
    <m/>
    <m/>
    <n v="1"/>
    <n v="0.125"/>
    <n v="0.85"/>
    <n v="0.10625"/>
    <x v="6"/>
    <s v="Inst för Fysik                "/>
    <s v="TekNat"/>
    <s v="Ämneslärarprogrammet - Gy"/>
    <n v="19473"/>
    <n v="34806"/>
    <n v="6132.2624999999998"/>
    <n v="21800"/>
    <n v="2725"/>
    <n v="8857.2625000000007"/>
    <n v="0"/>
    <n v="0"/>
    <n v="0"/>
    <n v="0"/>
    <n v="0"/>
    <n v="0.5"/>
    <n v="0"/>
    <n v="0.5"/>
    <n v="0"/>
    <n v="0"/>
    <n v="0"/>
    <n v="0"/>
  </r>
  <r>
    <s v="6FY009"/>
    <s v="Astronomi och meteorologi"/>
    <m/>
    <s v="LYAGY"/>
    <s v="H18"/>
    <s v="H19"/>
    <s v="H191-20"/>
    <m/>
    <m/>
    <s v="NATU"/>
    <m/>
    <n v="25"/>
    <n v="7.5"/>
    <m/>
    <m/>
    <n v="1"/>
    <n v="0.125"/>
    <n v="0.85"/>
    <n v="0.10625"/>
    <x v="6"/>
    <s v="Inst för Fysik                "/>
    <s v="TekNat"/>
    <s v="Ämneslärarprogrammet - Gy"/>
    <n v="19473"/>
    <n v="34806"/>
    <n v="6132.2624999999998"/>
    <n v="21800"/>
    <n v="2725"/>
    <n v="8857.2625000000007"/>
    <n v="0"/>
    <n v="0"/>
    <n v="0"/>
    <n v="0"/>
    <n v="0"/>
    <n v="0.5"/>
    <n v="0"/>
    <n v="0.5"/>
    <n v="0"/>
    <n v="0"/>
    <n v="0"/>
    <n v="0"/>
  </r>
  <r>
    <s v="6FY011"/>
    <s v="Matematiska metoder i fysik"/>
    <m/>
    <s v="LYAGY"/>
    <s v="H12"/>
    <s v="H19"/>
    <s v="H1911-20"/>
    <m/>
    <m/>
    <s v="MATT"/>
    <m/>
    <n v="50"/>
    <n v="7.5"/>
    <m/>
    <m/>
    <n v="1"/>
    <n v="0.125"/>
    <n v="0.85"/>
    <n v="0.10625"/>
    <x v="6"/>
    <s v="Inst för Fysik                "/>
    <s v="TekNat"/>
    <s v="Ämneslärarprogrammet - Gy"/>
    <n v="19473"/>
    <n v="34806"/>
    <n v="6132.2624999999998"/>
    <n v="21800"/>
    <n v="2725"/>
    <n v="8857.2625000000007"/>
    <n v="0"/>
    <n v="0"/>
    <n v="0"/>
    <n v="0"/>
    <n v="0"/>
    <n v="0"/>
    <n v="0"/>
    <n v="1"/>
    <n v="0"/>
    <n v="0"/>
    <n v="0"/>
    <n v="0"/>
  </r>
  <r>
    <s v="6FY011"/>
    <s v="Matematiska metoder i fysik"/>
    <m/>
    <s v="LYAGY"/>
    <s v="H17"/>
    <s v="H19"/>
    <s v="H1911-20"/>
    <m/>
    <m/>
    <s v="MATT"/>
    <m/>
    <n v="50"/>
    <n v="7.5"/>
    <m/>
    <m/>
    <n v="2"/>
    <n v="0.25"/>
    <n v="0.85"/>
    <n v="0.21249999999999999"/>
    <x v="6"/>
    <s v="Inst för Fysik                "/>
    <s v="TekNat"/>
    <s v="Ämneslärarprogrammet - Gy"/>
    <n v="19473"/>
    <n v="34806"/>
    <n v="12264.525"/>
    <n v="21800"/>
    <n v="5450"/>
    <n v="17714.525000000001"/>
    <n v="0"/>
    <n v="0"/>
    <n v="0"/>
    <n v="0"/>
    <n v="0"/>
    <n v="0"/>
    <n v="0"/>
    <n v="1"/>
    <n v="0"/>
    <n v="0"/>
    <n v="0"/>
    <n v="0"/>
  </r>
  <r>
    <s v="6FY101"/>
    <s v="Fysikdidaktik 1 för ämneslärare för gymnasium"/>
    <m/>
    <s v="FRIST"/>
    <m/>
    <s v="V19"/>
    <m/>
    <m/>
    <s v="Campus"/>
    <m/>
    <m/>
    <n v="50"/>
    <n v="7.5"/>
    <m/>
    <m/>
    <n v="2"/>
    <n v="0.25"/>
    <n v="0.8"/>
    <n v="0.2"/>
    <x v="9"/>
    <s v="NMD"/>
    <s v="TekNat"/>
    <s v="Fristående och övriga kurser"/>
    <n v="19473"/>
    <n v="34806"/>
    <n v="11829.45"/>
    <n v="21800"/>
    <n v="5450"/>
    <n v="17279.45"/>
    <n v="0"/>
    <n v="0"/>
    <n v="0"/>
    <n v="0"/>
    <n v="0"/>
    <n v="1"/>
    <n v="0"/>
    <n v="0"/>
    <n v="0"/>
    <n v="0"/>
    <n v="0"/>
    <n v="0"/>
  </r>
  <r>
    <s v="6FY101"/>
    <s v="Fysikdidaktik 1 för ämneslärare för gymnasium"/>
    <m/>
    <s v="LYAGY"/>
    <s v="H15"/>
    <s v="V19"/>
    <s v="V191-10"/>
    <s v="Umeå"/>
    <m/>
    <s v="MATT"/>
    <m/>
    <n v="50"/>
    <n v="7.5"/>
    <m/>
    <m/>
    <n v="2"/>
    <n v="0.25"/>
    <n v="0.85"/>
    <n v="0.21249999999999999"/>
    <x v="9"/>
    <s v="NMD"/>
    <s v="TekNat"/>
    <s v="Ämneslärarprogrammet - Gy"/>
    <n v="19473"/>
    <n v="34806"/>
    <n v="12264.525"/>
    <n v="21800"/>
    <n v="5450"/>
    <n v="17714.525000000001"/>
    <n v="0"/>
    <n v="0"/>
    <n v="0"/>
    <n v="0"/>
    <n v="0"/>
    <n v="1"/>
    <n v="0"/>
    <n v="0"/>
    <n v="0"/>
    <n v="0"/>
    <n v="0"/>
    <n v="0"/>
  </r>
  <r>
    <s v="6FY101"/>
    <s v="Fysikdidaktik 1 för ämneslärare för gymnasium"/>
    <m/>
    <s v="LYAGY"/>
    <s v="H15"/>
    <s v="V19"/>
    <s v="V191-10"/>
    <s v="Umeå"/>
    <m/>
    <s v="MATT"/>
    <m/>
    <n v="50"/>
    <n v="7.5"/>
    <m/>
    <m/>
    <n v="2"/>
    <n v="0.25"/>
    <n v="0.85"/>
    <n v="0.21249999999999999"/>
    <x v="9"/>
    <s v="NMD"/>
    <s v="TekNat"/>
    <s v="Ämneslärarprogrammet - Gy"/>
    <n v="19473"/>
    <n v="34806"/>
    <n v="12264.525"/>
    <n v="21800"/>
    <n v="5450"/>
    <n v="17714.525000000001"/>
    <n v="0"/>
    <n v="0"/>
    <n v="0"/>
    <n v="0"/>
    <n v="0"/>
    <n v="1"/>
    <n v="0"/>
    <n v="0"/>
    <n v="0"/>
    <n v="0"/>
    <n v="0"/>
    <n v="0"/>
  </r>
  <r>
    <s v="6FY102"/>
    <s v="Fysikdidaktik 2 för ämneslärare för gymnasium"/>
    <m/>
    <s v="FRIST"/>
    <m/>
    <s v="V19"/>
    <m/>
    <m/>
    <s v="Campus"/>
    <m/>
    <m/>
    <n v="50"/>
    <n v="7.5"/>
    <m/>
    <m/>
    <n v="2"/>
    <n v="0.25"/>
    <n v="0.8"/>
    <n v="0.2"/>
    <x v="9"/>
    <s v="NMD"/>
    <s v="TekNat"/>
    <s v="Fristående och övriga kurser"/>
    <n v="19473"/>
    <n v="34806"/>
    <n v="11829.45"/>
    <n v="21800"/>
    <n v="5450"/>
    <n v="17279.45"/>
    <n v="0"/>
    <n v="0"/>
    <n v="0"/>
    <n v="0"/>
    <n v="0"/>
    <n v="1"/>
    <n v="0"/>
    <n v="0"/>
    <n v="0"/>
    <n v="0"/>
    <n v="0"/>
    <n v="0"/>
  </r>
  <r>
    <s v="6FY102"/>
    <s v="Fysikdidaktik 2 för ämneslärare för gymnasium"/>
    <m/>
    <s v="LYAGY"/>
    <s v="H15"/>
    <s v="V19"/>
    <s v="V1911-20"/>
    <s v="Umeå"/>
    <m/>
    <s v="MATT"/>
    <m/>
    <n v="50"/>
    <n v="7.5"/>
    <m/>
    <m/>
    <n v="2"/>
    <n v="0.25"/>
    <n v="0.85"/>
    <n v="0.21249999999999999"/>
    <x v="9"/>
    <s v="NMD"/>
    <s v="TekNat"/>
    <s v="Ämneslärarprogrammet - Gy"/>
    <n v="19473"/>
    <n v="34806"/>
    <n v="12264.525"/>
    <n v="21800"/>
    <n v="5450"/>
    <n v="17714.525000000001"/>
    <n v="0"/>
    <n v="0"/>
    <n v="0"/>
    <n v="0"/>
    <n v="0"/>
    <n v="1"/>
    <n v="0"/>
    <n v="0"/>
    <n v="0"/>
    <n v="0"/>
    <n v="0"/>
    <n v="0"/>
  </r>
  <r>
    <s v="6FY102"/>
    <s v="Fysikdidaktik 2 för ämneslärare för gymnasium"/>
    <m/>
    <s v="LYAGY"/>
    <s v="H15"/>
    <s v="V19"/>
    <s v="V1911-20"/>
    <s v="Umeå"/>
    <m/>
    <s v="MATT"/>
    <m/>
    <n v="50"/>
    <n v="7.5"/>
    <m/>
    <m/>
    <n v="2"/>
    <n v="0.25"/>
    <n v="0.85"/>
    <n v="0.21249999999999999"/>
    <x v="9"/>
    <s v="NMD"/>
    <s v="TekNat"/>
    <s v="Ämneslärarprogrammet - Gy"/>
    <n v="19473"/>
    <n v="34806"/>
    <n v="12264.525"/>
    <n v="21800"/>
    <n v="5450"/>
    <n v="17714.525000000001"/>
    <n v="0"/>
    <n v="0"/>
    <n v="0"/>
    <n v="0"/>
    <n v="0"/>
    <n v="1"/>
    <n v="0"/>
    <n v="0"/>
    <n v="0"/>
    <n v="0"/>
    <n v="0"/>
    <n v="0"/>
  </r>
  <r>
    <s v="6GV000"/>
    <s v="Naturens mångfald"/>
    <m/>
    <s v="LYAGY"/>
    <s v="H16"/>
    <s v="H19"/>
    <s v="H196-10"/>
    <m/>
    <m/>
    <s v="IDRH"/>
    <m/>
    <n v="100"/>
    <n v="7.5"/>
    <m/>
    <m/>
    <n v="2"/>
    <n v="0.25"/>
    <n v="0.85"/>
    <n v="0.21249999999999999"/>
    <x v="3"/>
    <s v="EMG"/>
    <s v="TekNat"/>
    <s v="Ämneslärarprogrammet - Gy"/>
    <n v="19473"/>
    <n v="34806"/>
    <n v="12264.525"/>
    <n v="21800"/>
    <n v="5450"/>
    <n v="17714.525000000001"/>
    <n v="0"/>
    <n v="0"/>
    <n v="0"/>
    <n v="0"/>
    <n v="0"/>
    <n v="1"/>
    <n v="0"/>
    <n v="0"/>
    <n v="0"/>
    <n v="0"/>
    <n v="0"/>
    <n v="0"/>
  </r>
  <r>
    <s v="6GV000"/>
    <s v="Naturens mångfald"/>
    <m/>
    <s v="LYAGY"/>
    <s v="H16"/>
    <s v="H19"/>
    <s v="H196-10"/>
    <m/>
    <m/>
    <s v="SAMK"/>
    <m/>
    <n v="100"/>
    <n v="7.5"/>
    <m/>
    <m/>
    <n v="1"/>
    <n v="0.125"/>
    <n v="0.85"/>
    <n v="0.10625"/>
    <x v="3"/>
    <s v="EMG"/>
    <s v="TekNat"/>
    <s v="Ämneslärarprogrammet - Gy"/>
    <n v="19473"/>
    <n v="34806"/>
    <n v="6132.2624999999998"/>
    <n v="21800"/>
    <n v="2725"/>
    <n v="8857.2625000000007"/>
    <n v="0"/>
    <n v="0"/>
    <n v="0"/>
    <n v="0"/>
    <n v="0"/>
    <n v="1"/>
    <n v="0"/>
    <n v="0"/>
    <n v="0"/>
    <n v="0"/>
    <n v="0"/>
    <n v="0"/>
  </r>
  <r>
    <s v="6GV000"/>
    <s v="Naturens mångfald"/>
    <m/>
    <s v="LYAGY"/>
    <s v="H18"/>
    <s v="H19"/>
    <s v="H196-10"/>
    <m/>
    <m/>
    <s v="GEOG"/>
    <m/>
    <n v="100"/>
    <n v="7.5"/>
    <m/>
    <m/>
    <n v="2"/>
    <n v="0.25"/>
    <n v="0.85"/>
    <n v="0.21249999999999999"/>
    <x v="3"/>
    <s v="EMG"/>
    <s v="TekNat"/>
    <s v="Ämneslärarprogrammet - Gy"/>
    <n v="19473"/>
    <n v="34806"/>
    <n v="12264.525"/>
    <n v="21800"/>
    <n v="5450"/>
    <n v="17714.525000000001"/>
    <n v="0"/>
    <n v="0"/>
    <n v="0"/>
    <n v="0"/>
    <n v="0"/>
    <n v="1"/>
    <n v="0"/>
    <n v="0"/>
    <n v="0"/>
    <n v="0"/>
    <n v="0"/>
    <n v="0"/>
  </r>
  <r>
    <s v="6GV001"/>
    <s v="Processer i naturen"/>
    <m/>
    <s v="FRIST"/>
    <m/>
    <s v="V19"/>
    <m/>
    <s v="Umeå"/>
    <m/>
    <m/>
    <m/>
    <n v="100"/>
    <n v="7.5"/>
    <m/>
    <m/>
    <n v="1"/>
    <n v="0.125"/>
    <n v="0.85"/>
    <n v="0.10625"/>
    <x v="3"/>
    <s v="EMG"/>
    <s v="TekNat"/>
    <s v="Fristående och övriga kurser"/>
    <n v="19473"/>
    <n v="34806"/>
    <n v="6132.2624999999998"/>
    <n v="21800"/>
    <n v="2725"/>
    <n v="8857.2625000000007"/>
    <n v="0"/>
    <n v="0"/>
    <n v="0"/>
    <n v="0"/>
    <n v="0"/>
    <n v="1"/>
    <n v="0"/>
    <n v="0"/>
    <n v="0"/>
    <n v="0"/>
    <n v="0"/>
    <n v="0"/>
  </r>
  <r>
    <s v="6GV001"/>
    <s v="Processer i naturen"/>
    <m/>
    <s v="LYAGY"/>
    <s v="H16"/>
    <s v="V19"/>
    <s v="V196-10"/>
    <s v="Umeå"/>
    <m/>
    <s v="IDRH"/>
    <m/>
    <n v="100"/>
    <n v="7.5"/>
    <m/>
    <m/>
    <n v="2"/>
    <n v="0.25"/>
    <n v="0.85"/>
    <n v="0.21249999999999999"/>
    <x v="3"/>
    <s v="EMG"/>
    <s v="TekNat"/>
    <s v="Ämneslärarprogrammet - Gy"/>
    <n v="19473"/>
    <n v="34806"/>
    <n v="12264.525"/>
    <n v="21800"/>
    <n v="5450"/>
    <n v="17714.525000000001"/>
    <n v="0"/>
    <n v="0"/>
    <n v="0"/>
    <n v="0"/>
    <n v="0"/>
    <n v="1"/>
    <n v="0"/>
    <n v="0"/>
    <n v="0"/>
    <n v="0"/>
    <n v="0"/>
    <n v="0"/>
  </r>
  <r>
    <s v="6GV001"/>
    <s v="Processer i naturen"/>
    <m/>
    <s v="LYAGY"/>
    <s v="H16"/>
    <s v="V19"/>
    <s v="V196-10"/>
    <s v="Umeå"/>
    <m/>
    <s v="SAMK"/>
    <m/>
    <n v="100"/>
    <n v="7.5"/>
    <m/>
    <m/>
    <n v="2"/>
    <n v="0.25"/>
    <n v="0.85"/>
    <n v="0.21249999999999999"/>
    <x v="3"/>
    <s v="EMG"/>
    <s v="TekNat"/>
    <s v="Ämneslärarprogrammet - Gy"/>
    <n v="19473"/>
    <n v="34806"/>
    <n v="12264.525"/>
    <n v="21800"/>
    <n v="5450"/>
    <n v="17714.525000000001"/>
    <n v="0"/>
    <n v="0"/>
    <n v="0"/>
    <n v="0"/>
    <n v="0"/>
    <n v="1"/>
    <n v="0"/>
    <n v="0"/>
    <n v="0"/>
    <n v="0"/>
    <n v="0"/>
    <n v="0"/>
  </r>
  <r>
    <s v="6GV001"/>
    <s v="Processer i naturen"/>
    <m/>
    <s v="LYAGY"/>
    <s v="H18"/>
    <s v="V19"/>
    <s v="V196-10"/>
    <s v="Umeå"/>
    <m/>
    <s v="GEOG"/>
    <m/>
    <n v="100"/>
    <n v="7.5"/>
    <m/>
    <m/>
    <n v="2"/>
    <n v="0.25"/>
    <n v="0.85"/>
    <n v="0.21249999999999999"/>
    <x v="3"/>
    <s v="EMG"/>
    <s v="TekNat"/>
    <s v="Ämneslärarprogrammet - Gy"/>
    <n v="19473"/>
    <n v="34806"/>
    <n v="12264.525"/>
    <n v="21800"/>
    <n v="5450"/>
    <n v="17714.525000000001"/>
    <n v="0"/>
    <n v="0"/>
    <n v="0"/>
    <n v="0"/>
    <n v="0"/>
    <n v="1"/>
    <n v="0"/>
    <n v="0"/>
    <n v="0"/>
    <n v="0"/>
    <n v="0"/>
    <n v="0"/>
  </r>
  <r>
    <s v="6GV002"/>
    <s v="Klimatförändringar"/>
    <m/>
    <s v="LYAGY"/>
    <s v="H14"/>
    <s v="H19"/>
    <s v="H1911-15"/>
    <m/>
    <m/>
    <s v="ENGS"/>
    <m/>
    <n v="100"/>
    <n v="7.5"/>
    <m/>
    <m/>
    <n v="1"/>
    <n v="0.125"/>
    <n v="0.85"/>
    <n v="0.10625"/>
    <x v="3"/>
    <s v="EMG"/>
    <s v="TekNat"/>
    <s v="Ämneslärarprogrammet - Gy"/>
    <n v="19473"/>
    <n v="34806"/>
    <n v="6132.2624999999998"/>
    <n v="21800"/>
    <n v="2725"/>
    <n v="8857.2625000000007"/>
    <n v="0"/>
    <n v="0"/>
    <n v="0"/>
    <n v="0"/>
    <n v="0"/>
    <n v="1"/>
    <n v="0"/>
    <n v="0"/>
    <n v="0"/>
    <n v="0"/>
    <n v="0"/>
    <n v="0"/>
  </r>
  <r>
    <s v="6GV002"/>
    <s v="Klimatförändringar"/>
    <m/>
    <s v="LYAGY"/>
    <s v="H16"/>
    <s v="H19"/>
    <s v="H1911-15"/>
    <m/>
    <m/>
    <s v="IDRH"/>
    <m/>
    <n v="100"/>
    <n v="7.5"/>
    <m/>
    <m/>
    <n v="3"/>
    <n v="0.375"/>
    <n v="0.85"/>
    <n v="0.31874999999999998"/>
    <x v="3"/>
    <s v="EMG"/>
    <s v="TekNat"/>
    <s v="Ämneslärarprogrammet - Gy"/>
    <n v="19473"/>
    <n v="34806"/>
    <n v="18396.787499999999"/>
    <n v="21800"/>
    <n v="8175"/>
    <n v="26571.787499999999"/>
    <n v="0"/>
    <n v="0"/>
    <n v="0"/>
    <n v="0"/>
    <n v="0"/>
    <n v="1"/>
    <n v="0"/>
    <n v="0"/>
    <n v="0"/>
    <n v="0"/>
    <n v="0"/>
    <n v="0"/>
  </r>
  <r>
    <s v="6GV002"/>
    <s v="Klimatförändringar"/>
    <m/>
    <s v="LYAGY"/>
    <s v="H16"/>
    <s v="H19"/>
    <s v="H1911-15"/>
    <m/>
    <m/>
    <s v="SAMK"/>
    <m/>
    <n v="100"/>
    <n v="7.5"/>
    <m/>
    <m/>
    <n v="2"/>
    <n v="0.25"/>
    <n v="0.85"/>
    <n v="0.21249999999999999"/>
    <x v="3"/>
    <s v="EMG"/>
    <s v="TekNat"/>
    <s v="Ämneslärarprogrammet - Gy"/>
    <n v="19473"/>
    <n v="34806"/>
    <n v="12264.525"/>
    <n v="21800"/>
    <n v="5450"/>
    <n v="17714.525000000001"/>
    <n v="0"/>
    <n v="0"/>
    <n v="0"/>
    <n v="0"/>
    <n v="0"/>
    <n v="1"/>
    <n v="0"/>
    <n v="0"/>
    <n v="0"/>
    <n v="0"/>
    <n v="0"/>
    <n v="0"/>
  </r>
  <r>
    <s v="6GV002"/>
    <s v="Klimatförändringar"/>
    <m/>
    <s v="LYAGY"/>
    <s v="H18"/>
    <s v="H19"/>
    <s v="H1911-15"/>
    <m/>
    <m/>
    <s v="GEOG"/>
    <m/>
    <n v="100"/>
    <n v="7.5"/>
    <m/>
    <m/>
    <n v="2"/>
    <n v="0.25"/>
    <n v="0.85"/>
    <n v="0.21249999999999999"/>
    <x v="3"/>
    <s v="EMG"/>
    <s v="TekNat"/>
    <s v="Ämneslärarprogrammet - Gy"/>
    <n v="19473"/>
    <n v="34806"/>
    <n v="12264.525"/>
    <n v="21800"/>
    <n v="5450"/>
    <n v="17714.525000000001"/>
    <n v="0"/>
    <n v="0"/>
    <n v="0"/>
    <n v="0"/>
    <n v="0"/>
    <n v="1"/>
    <n v="0"/>
    <n v="0"/>
    <n v="0"/>
    <n v="0"/>
    <n v="0"/>
    <n v="0"/>
  </r>
  <r>
    <s v="6GV003"/>
    <s v="Vetenskapliga metoder i geografi"/>
    <m/>
    <s v="LYAGY"/>
    <s v="H15"/>
    <s v="V19"/>
    <s v="V1911-15"/>
    <s v="Umeå"/>
    <m/>
    <s v="HIST"/>
    <m/>
    <n v="100"/>
    <n v="7.5"/>
    <m/>
    <m/>
    <n v="2"/>
    <n v="0.25"/>
    <n v="0.85"/>
    <n v="0.21249999999999999"/>
    <x v="3"/>
    <s v="EMG"/>
    <s v="TekNat"/>
    <s v="Ämneslärarprogrammet - Gy"/>
    <n v="19473"/>
    <n v="34806"/>
    <n v="12264.525"/>
    <n v="21800"/>
    <n v="5450"/>
    <n v="17714.525000000001"/>
    <n v="0"/>
    <n v="0"/>
    <n v="0"/>
    <n v="0"/>
    <n v="0"/>
    <n v="1"/>
    <n v="0"/>
    <n v="0"/>
    <n v="0"/>
    <n v="0"/>
    <n v="0"/>
    <n v="0"/>
  </r>
  <r>
    <s v="6GV003"/>
    <s v="Vetenskapliga metoder i geografi"/>
    <m/>
    <s v="LYAGY"/>
    <s v="H15"/>
    <s v="V19"/>
    <s v="V1911-15"/>
    <s v="Umeå"/>
    <m/>
    <s v="IDRH"/>
    <m/>
    <n v="100"/>
    <n v="7.5"/>
    <m/>
    <m/>
    <n v="1"/>
    <n v="0.125"/>
    <n v="0.85"/>
    <n v="0.10625"/>
    <x v="3"/>
    <s v="EMG"/>
    <s v="TekNat"/>
    <s v="Ämneslärarprogrammet - Gy"/>
    <n v="19473"/>
    <n v="34806"/>
    <n v="6132.2624999999998"/>
    <n v="21800"/>
    <n v="2725"/>
    <n v="8857.2625000000007"/>
    <n v="0"/>
    <n v="0"/>
    <n v="0"/>
    <n v="0"/>
    <n v="0"/>
    <n v="1"/>
    <n v="0"/>
    <n v="0"/>
    <n v="0"/>
    <n v="0"/>
    <n v="0"/>
    <n v="0"/>
  </r>
  <r>
    <s v="6GV003"/>
    <s v="Vetenskapliga metoder i geografi"/>
    <m/>
    <s v="LYAGY"/>
    <s v="H17"/>
    <s v="V19"/>
    <s v="V1911-15"/>
    <s v="Umeå"/>
    <m/>
    <s v="GEOG"/>
    <m/>
    <n v="100"/>
    <n v="7.5"/>
    <m/>
    <m/>
    <n v="2"/>
    <n v="0.25"/>
    <n v="0.85"/>
    <n v="0.21249999999999999"/>
    <x v="3"/>
    <s v="EMG"/>
    <s v="TekNat"/>
    <s v="Ämneslärarprogrammet - Gy"/>
    <n v="19473"/>
    <n v="34806"/>
    <n v="12264.525"/>
    <n v="21800"/>
    <n v="5450"/>
    <n v="17714.525000000001"/>
    <n v="0"/>
    <n v="0"/>
    <n v="0"/>
    <n v="0"/>
    <n v="0"/>
    <n v="1"/>
    <n v="0"/>
    <n v="0"/>
    <n v="0"/>
    <n v="0"/>
    <n v="0"/>
    <n v="0"/>
  </r>
  <r>
    <s v="6HI014"/>
    <s v="Historia II forts."/>
    <m/>
    <s v="LYAGY"/>
    <s v="H16"/>
    <s v="H19"/>
    <s v="H191-20"/>
    <m/>
    <m/>
    <s v="RELK"/>
    <m/>
    <n v="100"/>
    <n v="30"/>
    <m/>
    <m/>
    <n v="1"/>
    <n v="0.5"/>
    <n v="0.85"/>
    <n v="0.42499999999999999"/>
    <x v="12"/>
    <s v="Inst för ide- o samhällsstudier"/>
    <s v="Hum"/>
    <s v="Ämneslärarprogrammet - Gy"/>
    <n v="18405"/>
    <n v="15773"/>
    <n v="15906.025"/>
    <n v="5800"/>
    <n v="2900"/>
    <n v="18806.025000000001"/>
    <n v="0"/>
    <n v="1"/>
    <n v="0"/>
    <n v="0"/>
    <n v="0"/>
    <n v="0"/>
    <n v="0"/>
    <n v="0"/>
    <n v="0"/>
    <n v="0"/>
    <n v="0"/>
    <n v="0"/>
  </r>
  <r>
    <s v="6HI014"/>
    <s v="Historia II forts."/>
    <m/>
    <s v="LYAGY"/>
    <s v="H16"/>
    <s v="H19"/>
    <s v="H191-20"/>
    <m/>
    <m/>
    <s v="SVAA"/>
    <m/>
    <n v="100"/>
    <n v="30"/>
    <m/>
    <m/>
    <n v="2"/>
    <n v="1"/>
    <n v="0.85"/>
    <n v="0.85"/>
    <x v="12"/>
    <s v="Inst för ide- o samhällsstudier"/>
    <s v="Hum"/>
    <s v="Ämneslärarprogrammet - Gy"/>
    <n v="18405"/>
    <n v="15773"/>
    <n v="31812.05"/>
    <n v="5800"/>
    <n v="5800"/>
    <n v="37612.050000000003"/>
    <n v="0"/>
    <n v="1"/>
    <n v="0"/>
    <n v="0"/>
    <n v="0"/>
    <n v="0"/>
    <n v="0"/>
    <n v="0"/>
    <n v="0"/>
    <n v="0"/>
    <n v="0"/>
    <n v="0"/>
  </r>
  <r>
    <s v="6HI023"/>
    <s v="Läraryrketes dimensioner"/>
    <m/>
    <s v="LYAGY"/>
    <s v="H15"/>
    <s v="H19"/>
    <s v="H191-15"/>
    <m/>
    <m/>
    <s v="HIST"/>
    <m/>
    <n v="100"/>
    <n v="22.5"/>
    <m/>
    <m/>
    <n v="11"/>
    <n v="4.125"/>
    <n v="0.85"/>
    <n v="3.5062500000000001"/>
    <x v="12"/>
    <s v="Inst för ide- o samhällsstudier"/>
    <s v="Hum"/>
    <s v="Ämneslärarprogrammet - Gy"/>
    <n v="21634"/>
    <n v="26986"/>
    <n v="183859.91250000001"/>
    <n v="3400"/>
    <n v="14025"/>
    <n v="197884.91250000001"/>
    <n v="0"/>
    <n v="0"/>
    <n v="0"/>
    <n v="0"/>
    <n v="0"/>
    <n v="0"/>
    <n v="0"/>
    <n v="0"/>
    <n v="1"/>
    <n v="0"/>
    <n v="0"/>
    <n v="0"/>
  </r>
  <r>
    <s v="6HI029"/>
    <s v="Examensarbete för ämneslärarexamen - historia"/>
    <m/>
    <s v="LYAGY"/>
    <s v="H14"/>
    <s v="V19"/>
    <s v="H1816-20:V191-15"/>
    <s v="Umeå"/>
    <m/>
    <s v="ENGS"/>
    <m/>
    <n v="100"/>
    <n v="22.5"/>
    <m/>
    <m/>
    <n v="0"/>
    <n v="0"/>
    <n v="0.85"/>
    <n v="0"/>
    <x v="12"/>
    <s v="Inst för ide- o samhällsstudier"/>
    <s v="Hum"/>
    <s v="Ämneslärarprogrammet - Gy"/>
    <n v="18405"/>
    <n v="15773"/>
    <n v="0"/>
    <n v="5800"/>
    <n v="0"/>
    <n v="0"/>
    <n v="0"/>
    <n v="1"/>
    <n v="0"/>
    <n v="0"/>
    <n v="0"/>
    <n v="0"/>
    <n v="0"/>
    <n v="0"/>
    <n v="0"/>
    <n v="0"/>
    <n v="0"/>
    <n v="0"/>
  </r>
  <r>
    <s v="6HI029"/>
    <s v="Examensarbete för ämneslärarexamen - historia"/>
    <m/>
    <s v="LYAGY"/>
    <s v="H14"/>
    <s v="V19"/>
    <s v="H1816-20:V191-15"/>
    <s v="Umeå"/>
    <m/>
    <s v="HIST"/>
    <m/>
    <n v="100"/>
    <n v="22.5"/>
    <m/>
    <m/>
    <n v="3"/>
    <n v="1.125"/>
    <n v="0.85"/>
    <n v="0.95624999999999993"/>
    <x v="12"/>
    <s v="Inst för ide- o samhällsstudier"/>
    <s v="Hum"/>
    <s v="Ämneslärarprogrammet - Gy"/>
    <n v="18405"/>
    <n v="15773"/>
    <n v="35788.556250000001"/>
    <n v="5800"/>
    <n v="6525"/>
    <n v="42313.556250000001"/>
    <n v="0"/>
    <n v="1"/>
    <n v="0"/>
    <n v="0"/>
    <n v="0"/>
    <n v="0"/>
    <n v="0"/>
    <n v="0"/>
    <n v="0"/>
    <n v="0"/>
    <n v="0"/>
    <n v="0"/>
  </r>
  <r>
    <s v="6HI029"/>
    <s v="Examensarbete för ämneslärarexamen - historia"/>
    <m/>
    <s v="LYAGY"/>
    <s v="H15"/>
    <s v="H19"/>
    <s v="H1916-20:V201-15"/>
    <m/>
    <m/>
    <s v="HIST"/>
    <m/>
    <n v="100"/>
    <n v="7.5"/>
    <m/>
    <m/>
    <n v="9"/>
    <n v="1.125"/>
    <n v="0.85"/>
    <n v="0.95624999999999993"/>
    <x v="12"/>
    <s v="Inst för ide- o samhällsstudier"/>
    <s v="Hum"/>
    <s v="Ämneslärarprogrammet - Gy"/>
    <n v="18405"/>
    <n v="15773"/>
    <n v="35788.556250000001"/>
    <n v="5800"/>
    <n v="6525"/>
    <n v="42313.556250000001"/>
    <n v="0"/>
    <n v="1"/>
    <n v="0"/>
    <n v="0"/>
    <n v="0"/>
    <n v="0"/>
    <n v="0"/>
    <n v="0"/>
    <n v="0"/>
    <n v="0"/>
    <n v="0"/>
    <n v="0"/>
  </r>
  <r>
    <s v="6HI032"/>
    <s v="Att undervisa i historia (VFU)"/>
    <m/>
    <s v="LYAGY"/>
    <s v="H17"/>
    <s v="H19"/>
    <s v="H1913-16"/>
    <m/>
    <m/>
    <s v="HIST"/>
    <m/>
    <n v="100"/>
    <n v="6"/>
    <m/>
    <m/>
    <n v="14"/>
    <n v="1.4000000000000001"/>
    <n v="0.85"/>
    <n v="1.1900000000000002"/>
    <x v="12"/>
    <s v="Inst för ide- o samhällsstudier"/>
    <s v="Hum"/>
    <s v="Ämneslärarprogrammet - Gy"/>
    <n v="21634"/>
    <n v="26986"/>
    <n v="62400.94"/>
    <n v="3400"/>
    <n v="4760"/>
    <n v="67160.94"/>
    <n v="0"/>
    <n v="0"/>
    <n v="0"/>
    <n v="0"/>
    <n v="0"/>
    <n v="0"/>
    <n v="0"/>
    <n v="0"/>
    <n v="1"/>
    <n v="0"/>
    <n v="0"/>
    <n v="0"/>
  </r>
  <r>
    <s v="6HI032"/>
    <s v="Att undervisa i historia (VFU)"/>
    <m/>
    <s v="LYAGY"/>
    <s v="H18"/>
    <s v="H19"/>
    <s v="H1913-16"/>
    <m/>
    <m/>
    <s v="HIST"/>
    <m/>
    <n v="100"/>
    <n v="6"/>
    <m/>
    <m/>
    <n v="1"/>
    <n v="0.1"/>
    <n v="0.85"/>
    <n v="8.5000000000000006E-2"/>
    <x v="12"/>
    <s v="Inst för ide- o samhällsstudier"/>
    <s v="Hum"/>
    <s v="Ämneslärarprogrammet - Gy"/>
    <n v="21634"/>
    <n v="26986"/>
    <n v="4457.21"/>
    <n v="3400"/>
    <n v="340"/>
    <n v="4797.21"/>
    <n v="0"/>
    <n v="0"/>
    <n v="0"/>
    <n v="0"/>
    <n v="0"/>
    <n v="0"/>
    <n v="0"/>
    <n v="0"/>
    <n v="1"/>
    <n v="0"/>
    <n v="0"/>
    <n v="0"/>
  </r>
  <r>
    <s v="6HI033"/>
    <s v="Historia 2"/>
    <m/>
    <s v="LYAGY"/>
    <s v="H15"/>
    <s v="H19"/>
    <s v="H191-20"/>
    <m/>
    <m/>
    <s v="HIST"/>
    <m/>
    <n v="100"/>
    <n v="30"/>
    <m/>
    <m/>
    <n v="1"/>
    <n v="0.5"/>
    <n v="0.85"/>
    <n v="0.42499999999999999"/>
    <x v="12"/>
    <s v="Inst för ide- o samhällsstudier"/>
    <s v="Hum"/>
    <s v="Ämneslärarprogrammet - Gy"/>
    <n v="18405"/>
    <n v="15773"/>
    <n v="15906.025"/>
    <n v="5800"/>
    <n v="2900"/>
    <n v="18806.025000000001"/>
    <n v="0"/>
    <n v="1"/>
    <n v="0"/>
    <n v="0"/>
    <n v="0"/>
    <n v="0"/>
    <n v="0"/>
    <n v="0"/>
    <n v="0"/>
    <n v="0"/>
    <n v="0"/>
    <n v="0"/>
  </r>
  <r>
    <s v="6HI033"/>
    <s v="Historia 2"/>
    <m/>
    <s v="LYAGY"/>
    <s v="H16"/>
    <s v="H19"/>
    <s v="H191-20"/>
    <m/>
    <m/>
    <s v="ENGS"/>
    <m/>
    <n v="100"/>
    <n v="30"/>
    <m/>
    <m/>
    <n v="1"/>
    <n v="0.5"/>
    <n v="0.85"/>
    <n v="0.42499999999999999"/>
    <x v="12"/>
    <s v="Inst för ide- o samhällsstudier"/>
    <s v="Hum"/>
    <s v="Ämneslärarprogrammet - Gy"/>
    <n v="18405"/>
    <n v="15773"/>
    <n v="15906.025"/>
    <n v="5800"/>
    <n v="2900"/>
    <n v="18806.025000000001"/>
    <n v="0"/>
    <n v="1"/>
    <n v="0"/>
    <n v="0"/>
    <n v="0"/>
    <n v="0"/>
    <n v="0"/>
    <n v="0"/>
    <n v="0"/>
    <n v="0"/>
    <n v="0"/>
    <n v="0"/>
  </r>
  <r>
    <s v="6HI033"/>
    <s v="Historia 2"/>
    <m/>
    <s v="LYAGY"/>
    <s v="H16"/>
    <s v="H19"/>
    <s v="H191-20"/>
    <m/>
    <m/>
    <s v="SVAA"/>
    <m/>
    <n v="100"/>
    <n v="30"/>
    <m/>
    <m/>
    <n v="1"/>
    <n v="0.5"/>
    <n v="0.85"/>
    <n v="0.42499999999999999"/>
    <x v="12"/>
    <s v="Inst för ide- o samhällsstudier"/>
    <s v="Hum"/>
    <s v="Ämneslärarprogrammet - Gy"/>
    <n v="18405"/>
    <n v="15773"/>
    <n v="15906.025"/>
    <n v="5800"/>
    <n v="2900"/>
    <n v="18806.025000000001"/>
    <n v="0"/>
    <n v="1"/>
    <n v="0"/>
    <n v="0"/>
    <n v="0"/>
    <n v="0"/>
    <n v="0"/>
    <n v="0"/>
    <n v="0"/>
    <n v="0"/>
    <n v="0"/>
    <n v="0"/>
  </r>
  <r>
    <s v="6HI033"/>
    <s v="Historia 2"/>
    <m/>
    <s v="LYAGY"/>
    <s v="H18"/>
    <s v="H19"/>
    <s v="H191-20"/>
    <m/>
    <m/>
    <s v="HIST"/>
    <m/>
    <n v="100"/>
    <n v="30"/>
    <m/>
    <m/>
    <n v="17"/>
    <n v="8.5"/>
    <n v="0.85"/>
    <n v="7.2249999999999996"/>
    <x v="12"/>
    <s v="Inst för ide- o samhällsstudier"/>
    <s v="Hum"/>
    <s v="Ämneslärarprogrammet - Gy"/>
    <n v="18405"/>
    <n v="15773"/>
    <n v="270402.42499999999"/>
    <n v="5800"/>
    <n v="49300"/>
    <n v="319702.42499999999"/>
    <n v="0"/>
    <n v="1"/>
    <n v="0"/>
    <n v="0"/>
    <n v="0"/>
    <n v="0"/>
    <n v="0"/>
    <n v="0"/>
    <n v="0"/>
    <n v="0"/>
    <n v="0"/>
    <n v="0"/>
  </r>
  <r>
    <s v="6HI033"/>
    <s v="Historia 2"/>
    <m/>
    <s v="LYAGY"/>
    <s v="H19"/>
    <s v="H19"/>
    <s v="H191-20"/>
    <m/>
    <m/>
    <s v="HIST"/>
    <m/>
    <n v="100"/>
    <n v="30"/>
    <m/>
    <m/>
    <n v="1"/>
    <n v="0.5"/>
    <n v="0.85"/>
    <n v="0.42499999999999999"/>
    <x v="12"/>
    <s v="Inst för ide- o samhällsstudier"/>
    <s v="Hum"/>
    <s v="Ämneslärarprogrammet - Gy"/>
    <n v="18405"/>
    <n v="15773"/>
    <n v="15906.025"/>
    <n v="5800"/>
    <n v="2900"/>
    <n v="18806.025000000001"/>
    <n v="0"/>
    <n v="1"/>
    <n v="0"/>
    <n v="0"/>
    <n v="0"/>
    <n v="0"/>
    <n v="0"/>
    <n v="0"/>
    <n v="0"/>
    <n v="0"/>
    <n v="0"/>
    <n v="0"/>
  </r>
  <r>
    <s v="6HI034"/>
    <s v="Historia 1"/>
    <m/>
    <s v="LYAGY"/>
    <s v="H16"/>
    <s v="V19"/>
    <s v="V191-20"/>
    <s v="Umeå"/>
    <m/>
    <s v="ENGS"/>
    <m/>
    <n v="100"/>
    <n v="30"/>
    <m/>
    <m/>
    <n v="1"/>
    <n v="0.5"/>
    <n v="0.85"/>
    <n v="0.42499999999999999"/>
    <x v="12"/>
    <s v="Inst för ide- o samhällsstudier"/>
    <s v="Hum"/>
    <s v="Ämneslärarprogrammet - Gy"/>
    <n v="18405"/>
    <n v="15773"/>
    <n v="15906.025"/>
    <n v="5800"/>
    <n v="2900"/>
    <n v="18806.025000000001"/>
    <n v="0"/>
    <n v="1"/>
    <n v="0"/>
    <n v="0"/>
    <n v="0"/>
    <n v="0"/>
    <n v="0"/>
    <n v="0"/>
    <n v="0"/>
    <n v="0"/>
    <n v="0"/>
    <n v="0"/>
  </r>
  <r>
    <s v="6HI034"/>
    <s v="Historia 1"/>
    <m/>
    <s v="LYAGY"/>
    <s v="H16"/>
    <s v="V19"/>
    <s v="V191-20"/>
    <s v="Umeå"/>
    <m/>
    <s v="RELK"/>
    <m/>
    <n v="100"/>
    <n v="30"/>
    <m/>
    <m/>
    <n v="1"/>
    <n v="0.5"/>
    <n v="0.85"/>
    <n v="0.42499999999999999"/>
    <x v="12"/>
    <s v="Inst för ide- o samhällsstudier"/>
    <s v="Hum"/>
    <s v="Ämneslärarprogrammet - Gy"/>
    <n v="18405"/>
    <n v="15773"/>
    <n v="15906.025"/>
    <n v="5800"/>
    <n v="2900"/>
    <n v="18806.025000000001"/>
    <n v="0"/>
    <n v="1"/>
    <n v="0"/>
    <n v="0"/>
    <n v="0"/>
    <n v="0"/>
    <n v="0"/>
    <n v="0"/>
    <n v="0"/>
    <n v="0"/>
    <n v="0"/>
    <n v="0"/>
  </r>
  <r>
    <s v="6HI034"/>
    <s v="Historia 1"/>
    <m/>
    <s v="LYAGY"/>
    <s v="H16"/>
    <s v="V19"/>
    <s v="V191-20"/>
    <s v="Umeå"/>
    <m/>
    <s v="SVAA"/>
    <m/>
    <n v="100"/>
    <n v="30"/>
    <m/>
    <m/>
    <n v="3"/>
    <n v="1.5"/>
    <n v="0.85"/>
    <n v="1.2749999999999999"/>
    <x v="12"/>
    <s v="Inst för ide- o samhällsstudier"/>
    <s v="Hum"/>
    <s v="Ämneslärarprogrammet - Gy"/>
    <n v="18405"/>
    <n v="15773"/>
    <n v="47718.074999999997"/>
    <n v="5800"/>
    <n v="8700"/>
    <n v="56418.074999999997"/>
    <n v="0"/>
    <n v="1"/>
    <n v="0"/>
    <n v="0"/>
    <n v="0"/>
    <n v="0"/>
    <n v="0"/>
    <n v="0"/>
    <n v="0"/>
    <n v="0"/>
    <n v="0"/>
    <n v="0"/>
  </r>
  <r>
    <s v="6HI034"/>
    <s v="Historia 1"/>
    <m/>
    <s v="LYAGY"/>
    <s v="H18"/>
    <s v="V19"/>
    <s v="V191-20"/>
    <s v="Umeå"/>
    <m/>
    <s v="HIST"/>
    <m/>
    <n v="100"/>
    <n v="30"/>
    <m/>
    <m/>
    <n v="20"/>
    <n v="10"/>
    <n v="0.85"/>
    <n v="8.5"/>
    <x v="12"/>
    <s v="Inst för ide- o samhällsstudier"/>
    <s v="Hum"/>
    <s v="Ämneslärarprogrammet - Gy"/>
    <n v="18405"/>
    <n v="15773"/>
    <n v="318120.5"/>
    <n v="5800"/>
    <n v="58000"/>
    <n v="376120.5"/>
    <n v="0"/>
    <n v="1"/>
    <n v="0"/>
    <n v="0"/>
    <n v="0"/>
    <n v="0"/>
    <n v="0"/>
    <n v="0"/>
    <n v="0"/>
    <n v="0"/>
    <n v="0"/>
    <n v="0"/>
  </r>
  <r>
    <s v="6HI035"/>
    <s v="Historia 3"/>
    <m/>
    <s v="LYAGY"/>
    <s v="H14"/>
    <s v="V19"/>
    <s v="V191-20"/>
    <s v="Umeå"/>
    <m/>
    <s v="ENGS"/>
    <m/>
    <n v="100"/>
    <n v="30"/>
    <m/>
    <m/>
    <n v="1"/>
    <n v="0.5"/>
    <n v="0.85"/>
    <n v="0.42499999999999999"/>
    <x v="12"/>
    <s v="Inst för ide- o samhällsstudier"/>
    <s v="Hum"/>
    <s v="Ämneslärarprogrammet - Gy"/>
    <n v="18405"/>
    <n v="15773"/>
    <n v="15906.025"/>
    <n v="5800"/>
    <n v="2900"/>
    <n v="18806.025000000001"/>
    <n v="0"/>
    <n v="1"/>
    <n v="0"/>
    <n v="0"/>
    <n v="0"/>
    <n v="0"/>
    <n v="0"/>
    <n v="0"/>
    <n v="0"/>
    <n v="0"/>
    <n v="0"/>
    <n v="0"/>
  </r>
  <r>
    <s v="6HI035"/>
    <s v="Historia 3"/>
    <m/>
    <s v="LYAGY"/>
    <s v="H15"/>
    <s v="V19"/>
    <s v="V191-20"/>
    <s v="Umeå"/>
    <m/>
    <s v="IDRH"/>
    <m/>
    <n v="100"/>
    <n v="30"/>
    <m/>
    <m/>
    <n v="2"/>
    <n v="1"/>
    <n v="0.85"/>
    <n v="0.85"/>
    <x v="12"/>
    <s v="Inst för ide- o samhällsstudier"/>
    <s v="Hum"/>
    <s v="Ämneslärarprogrammet - Gy"/>
    <n v="18405"/>
    <n v="15773"/>
    <n v="31812.05"/>
    <n v="5800"/>
    <n v="5800"/>
    <n v="37612.050000000003"/>
    <n v="0"/>
    <n v="1"/>
    <n v="0"/>
    <n v="0"/>
    <n v="0"/>
    <n v="0"/>
    <n v="0"/>
    <n v="0"/>
    <n v="0"/>
    <n v="0"/>
    <n v="0"/>
    <n v="0"/>
  </r>
  <r>
    <s v="6HI035"/>
    <s v="Historia 3"/>
    <m/>
    <s v="LYAGY"/>
    <s v="H15"/>
    <s v="V19"/>
    <s v="V191-20"/>
    <s v="Umeå"/>
    <m/>
    <s v="SAMK"/>
    <m/>
    <n v="100"/>
    <n v="30"/>
    <m/>
    <m/>
    <n v="2"/>
    <n v="1"/>
    <n v="0.85"/>
    <n v="0.85"/>
    <x v="12"/>
    <s v="Inst för ide- o samhällsstudier"/>
    <s v="Hum"/>
    <s v="Ämneslärarprogrammet - Gy"/>
    <n v="18405"/>
    <n v="15773"/>
    <n v="31812.05"/>
    <n v="5800"/>
    <n v="5800"/>
    <n v="37612.050000000003"/>
    <n v="0"/>
    <n v="1"/>
    <n v="0"/>
    <n v="0"/>
    <n v="0"/>
    <n v="0"/>
    <n v="0"/>
    <n v="0"/>
    <n v="0"/>
    <n v="0"/>
    <n v="0"/>
    <n v="0"/>
  </r>
  <r>
    <s v="6HI035"/>
    <s v="Historia 3"/>
    <m/>
    <s v="LYAGY"/>
    <s v="H15"/>
    <s v="V19"/>
    <s v="V191-20"/>
    <s v="Umeå"/>
    <m/>
    <s v="SVAA"/>
    <m/>
    <n v="100"/>
    <n v="30"/>
    <m/>
    <m/>
    <n v="2"/>
    <n v="1"/>
    <n v="0.85"/>
    <n v="0.85"/>
    <x v="12"/>
    <s v="Inst för ide- o samhällsstudier"/>
    <s v="Hum"/>
    <s v="Ämneslärarprogrammet - Gy"/>
    <n v="18405"/>
    <n v="15773"/>
    <n v="31812.05"/>
    <n v="5800"/>
    <n v="5800"/>
    <n v="37612.050000000003"/>
    <n v="0"/>
    <n v="1"/>
    <n v="0"/>
    <n v="0"/>
    <n v="0"/>
    <n v="0"/>
    <n v="0"/>
    <n v="0"/>
    <n v="0"/>
    <n v="0"/>
    <n v="0"/>
    <n v="0"/>
  </r>
  <r>
    <s v="6HI035"/>
    <s v="Historia 3"/>
    <m/>
    <s v="LYAGY"/>
    <s v="H17"/>
    <s v="V19"/>
    <s v="V191-20"/>
    <s v="Umeå"/>
    <m/>
    <s v="HIST"/>
    <m/>
    <n v="100"/>
    <n v="30"/>
    <m/>
    <m/>
    <n v="15"/>
    <n v="7.5"/>
    <n v="0.85"/>
    <n v="6.375"/>
    <x v="12"/>
    <s v="Inst för ide- o samhällsstudier"/>
    <s v="Hum"/>
    <s v="Ämneslärarprogrammet - Gy"/>
    <n v="18405"/>
    <n v="15773"/>
    <n v="238590.375"/>
    <n v="5800"/>
    <n v="43500"/>
    <n v="282090.375"/>
    <n v="0"/>
    <n v="1"/>
    <n v="0"/>
    <n v="0"/>
    <n v="0"/>
    <n v="0"/>
    <n v="0"/>
    <n v="0"/>
    <n v="0"/>
    <n v="0"/>
    <n v="0"/>
    <n v="0"/>
  </r>
  <r>
    <s v="6HI035"/>
    <s v="Historia 3"/>
    <m/>
    <s v="LYAGY"/>
    <s v="H18"/>
    <s v="V19"/>
    <s v="V191-20"/>
    <s v="Umeå"/>
    <m/>
    <s v="HIST"/>
    <m/>
    <n v="100"/>
    <n v="30"/>
    <m/>
    <m/>
    <n v="2"/>
    <n v="1"/>
    <n v="0.85"/>
    <n v="0.85"/>
    <x v="12"/>
    <s v="Inst för ide- o samhällsstudier"/>
    <s v="Hum"/>
    <s v="Ämneslärarprogrammet - Gy"/>
    <n v="18405"/>
    <n v="15773"/>
    <n v="31812.05"/>
    <n v="5800"/>
    <n v="5800"/>
    <n v="37612.050000000003"/>
    <n v="0"/>
    <n v="1"/>
    <n v="0"/>
    <n v="0"/>
    <n v="0"/>
    <n v="0"/>
    <n v="0"/>
    <n v="0"/>
    <n v="0"/>
    <n v="0"/>
    <n v="0"/>
    <n v="0"/>
  </r>
  <r>
    <s v="6ID013"/>
    <s v="Examensarbete i Idrott och hälsa för ämneslärarexamen"/>
    <m/>
    <s v="LYAGR"/>
    <s v="H14"/>
    <s v="V19"/>
    <s v="H1816-20:V191-15"/>
    <s v="Umeå"/>
    <m/>
    <s v="IDRH"/>
    <m/>
    <n v="100"/>
    <n v="22.5"/>
    <m/>
    <m/>
    <n v="2"/>
    <n v="0.75"/>
    <n v="0.85"/>
    <n v="0.63749999999999996"/>
    <x v="0"/>
    <s v="Pedagogik                     "/>
    <s v="Sam"/>
    <s v="Ämneslärarprogrammet - åk 7-9"/>
    <n v="18405"/>
    <n v="15773"/>
    <n v="23859.037499999999"/>
    <n v="5800"/>
    <n v="4350"/>
    <n v="28209.037499999999"/>
    <n v="0"/>
    <n v="0"/>
    <n v="0"/>
    <n v="0"/>
    <n v="0"/>
    <n v="0"/>
    <n v="1"/>
    <n v="0"/>
    <n v="0"/>
    <n v="0"/>
    <n v="0"/>
    <n v="0"/>
  </r>
  <r>
    <s v="6ID013"/>
    <s v="Examensarbete i Idrott och hälsa för ämneslärarexamen"/>
    <m/>
    <s v="LYAGR"/>
    <s v="H15"/>
    <s v="V19"/>
    <s v="V1916-20:H191-15"/>
    <s v="Umeå"/>
    <m/>
    <s v="IDRH"/>
    <m/>
    <n v="100"/>
    <n v="7.5"/>
    <m/>
    <m/>
    <n v="1"/>
    <n v="0.125"/>
    <n v="0.85"/>
    <n v="0.10625"/>
    <x v="0"/>
    <s v="Pedagogik                     "/>
    <s v="Sam"/>
    <s v="Ämneslärarprogrammet - åk 7-9"/>
    <n v="18405"/>
    <n v="15773"/>
    <n v="3976.5062499999999"/>
    <n v="5800"/>
    <n v="725"/>
    <n v="4701.5062500000004"/>
    <n v="0"/>
    <n v="0"/>
    <n v="0"/>
    <n v="0"/>
    <n v="0"/>
    <n v="0"/>
    <n v="1"/>
    <n v="0"/>
    <n v="0"/>
    <n v="0"/>
    <n v="0"/>
    <n v="0"/>
  </r>
  <r>
    <s v="6ID013"/>
    <s v="Examensarbete i Idrott och hälsa för ämneslärarexamen"/>
    <m/>
    <s v="LYAGR"/>
    <s v="H15"/>
    <s v="H19"/>
    <s v="V1916-20:H191-15"/>
    <m/>
    <m/>
    <s v="IDRH"/>
    <m/>
    <n v="100"/>
    <n v="7.5"/>
    <m/>
    <m/>
    <n v="1"/>
    <n v="0.125"/>
    <n v="0.85"/>
    <n v="0.10625"/>
    <x v="0"/>
    <s v="Pedagogik                     "/>
    <s v="Sam"/>
    <s v="Ämneslärarprogrammet - åk 7-9"/>
    <n v="18405"/>
    <n v="15773"/>
    <n v="3976.5062499999999"/>
    <n v="5800"/>
    <n v="725"/>
    <n v="4701.5062500000004"/>
    <n v="0"/>
    <n v="0"/>
    <n v="0"/>
    <n v="0"/>
    <n v="0"/>
    <n v="0"/>
    <n v="1"/>
    <n v="0"/>
    <n v="0"/>
    <n v="0"/>
    <n v="0"/>
    <n v="0"/>
  </r>
  <r>
    <s v="6ID013"/>
    <s v="Examensarbete i Idrott och hälsa för ämneslärarexamen"/>
    <m/>
    <s v="LYAGY"/>
    <s v="H12"/>
    <s v="V19"/>
    <s v="H1816-20:V191-15"/>
    <s v="Umeå"/>
    <m/>
    <s v="IDRH"/>
    <m/>
    <n v="100"/>
    <n v="22.5"/>
    <m/>
    <m/>
    <n v="1"/>
    <n v="0.375"/>
    <n v="0.85"/>
    <n v="0.31874999999999998"/>
    <x v="0"/>
    <s v="Pedagogik                     "/>
    <s v="Sam"/>
    <s v="Ämneslärarprogrammet - Gy"/>
    <n v="18405"/>
    <n v="15773"/>
    <n v="11929.518749999999"/>
    <n v="5800"/>
    <n v="2175"/>
    <n v="14104.518749999999"/>
    <n v="0"/>
    <n v="0"/>
    <n v="0"/>
    <n v="0"/>
    <n v="0"/>
    <n v="0"/>
    <n v="1"/>
    <n v="0"/>
    <n v="0"/>
    <n v="0"/>
    <n v="0"/>
    <n v="0"/>
  </r>
  <r>
    <s v="6ID013"/>
    <s v="Examensarbete i Idrott och hälsa för ämneslärarexamen"/>
    <m/>
    <s v="LYAGY"/>
    <s v="H12"/>
    <s v="H19"/>
    <s v="H1916-20:V201-15"/>
    <m/>
    <m/>
    <s v="IDRH"/>
    <m/>
    <n v="100"/>
    <n v="7.5"/>
    <m/>
    <m/>
    <n v="1"/>
    <n v="0.125"/>
    <n v="0.85"/>
    <n v="0.10625"/>
    <x v="0"/>
    <s v="Pedagogik                     "/>
    <s v="Sam"/>
    <s v="Ämneslärarprogrammet - Gy"/>
    <n v="18405"/>
    <n v="15773"/>
    <n v="3976.5062499999999"/>
    <n v="5800"/>
    <n v="725"/>
    <n v="4701.5062500000004"/>
    <n v="0"/>
    <n v="0"/>
    <n v="0"/>
    <n v="0"/>
    <n v="0"/>
    <n v="0"/>
    <n v="1"/>
    <n v="0"/>
    <n v="0"/>
    <n v="0"/>
    <n v="0"/>
    <n v="0"/>
  </r>
  <r>
    <s v="6ID013"/>
    <s v="Examensarbete i Idrott och hälsa för ämneslärarexamen"/>
    <m/>
    <s v="LYAGY"/>
    <s v="H13"/>
    <s v="V19"/>
    <s v="H1816-20:V191-15"/>
    <s v="Umeå"/>
    <m/>
    <s v="HIST"/>
    <m/>
    <n v="100"/>
    <n v="22.5"/>
    <m/>
    <m/>
    <n v="1"/>
    <n v="0.375"/>
    <n v="0.85"/>
    <n v="0.31874999999999998"/>
    <x v="0"/>
    <s v="Pedagogik                     "/>
    <s v="Sam"/>
    <s v="Ämneslärarprogrammet - Gy"/>
    <n v="18405"/>
    <n v="15773"/>
    <n v="11929.518749999999"/>
    <n v="5800"/>
    <n v="2175"/>
    <n v="14104.518749999999"/>
    <n v="0"/>
    <n v="0"/>
    <n v="0"/>
    <n v="0"/>
    <n v="0"/>
    <n v="0"/>
    <n v="1"/>
    <n v="0"/>
    <n v="0"/>
    <n v="0"/>
    <n v="0"/>
    <n v="0"/>
  </r>
  <r>
    <s v="6ID013"/>
    <s v="Examensarbete i Idrott och hälsa för ämneslärarexamen"/>
    <m/>
    <s v="LYAGY"/>
    <s v="H13"/>
    <s v="V19"/>
    <s v="H1816-20:V191-15"/>
    <s v="Umeå"/>
    <m/>
    <s v="IDRH"/>
    <m/>
    <n v="100"/>
    <n v="22.5"/>
    <m/>
    <m/>
    <n v="1"/>
    <n v="0.375"/>
    <n v="0.85"/>
    <n v="0.31874999999999998"/>
    <x v="0"/>
    <s v="Pedagogik                     "/>
    <s v="Sam"/>
    <s v="Ämneslärarprogrammet - Gy"/>
    <n v="18405"/>
    <n v="15773"/>
    <n v="11929.518749999999"/>
    <n v="5800"/>
    <n v="2175"/>
    <n v="14104.518749999999"/>
    <n v="0"/>
    <n v="0"/>
    <n v="0"/>
    <n v="0"/>
    <n v="0"/>
    <n v="0"/>
    <n v="1"/>
    <n v="0"/>
    <n v="0"/>
    <n v="0"/>
    <n v="0"/>
    <n v="0"/>
  </r>
  <r>
    <s v="6ID013"/>
    <s v="Examensarbete i Idrott och hälsa för ämneslärarexamen"/>
    <m/>
    <s v="LYAGY"/>
    <s v="H13"/>
    <s v="V19"/>
    <s v="H1816-20:V191-15"/>
    <s v="Umeå"/>
    <m/>
    <s v="IDRH"/>
    <m/>
    <n v="100"/>
    <n v="22.5"/>
    <m/>
    <m/>
    <n v="1"/>
    <n v="0.375"/>
    <n v="0.85"/>
    <n v="0.31874999999999998"/>
    <x v="0"/>
    <s v="Pedagogik                     "/>
    <s v="Sam"/>
    <s v="Ämneslärarprogrammet - Gy"/>
    <n v="18405"/>
    <n v="15773"/>
    <n v="11929.518749999999"/>
    <n v="5800"/>
    <n v="2175"/>
    <n v="14104.518749999999"/>
    <n v="0"/>
    <n v="0"/>
    <n v="0"/>
    <n v="0"/>
    <n v="0"/>
    <n v="0"/>
    <n v="1"/>
    <n v="0"/>
    <n v="0"/>
    <n v="0"/>
    <n v="0"/>
    <n v="0"/>
  </r>
  <r>
    <s v="6ID013"/>
    <s v="Examensarbete i Idrott och hälsa för ämneslärarexamen"/>
    <m/>
    <s v="LYAGY"/>
    <s v="H14"/>
    <s v="V19"/>
    <s v="H1816-20:V191-15"/>
    <s v="Umeå"/>
    <m/>
    <s v="ENGS"/>
    <m/>
    <n v="100"/>
    <n v="22.5"/>
    <m/>
    <m/>
    <n v="1"/>
    <n v="0.375"/>
    <n v="0.85"/>
    <n v="0.31874999999999998"/>
    <x v="0"/>
    <s v="Pedagogik                     "/>
    <s v="Sam"/>
    <s v="Ämneslärarprogrammet - Gy"/>
    <n v="18405"/>
    <n v="15773"/>
    <n v="11929.518749999999"/>
    <n v="5800"/>
    <n v="2175"/>
    <n v="14104.518749999999"/>
    <n v="0"/>
    <n v="0"/>
    <n v="0"/>
    <n v="0"/>
    <n v="0"/>
    <n v="0"/>
    <n v="1"/>
    <n v="0"/>
    <n v="0"/>
    <n v="0"/>
    <n v="0"/>
    <n v="0"/>
  </r>
  <r>
    <s v="6ID013"/>
    <s v="Examensarbete i Idrott och hälsa för ämneslärarexamen"/>
    <m/>
    <s v="LYAGY"/>
    <s v="H14"/>
    <s v="V19"/>
    <s v="H1816-20:V191-15"/>
    <s v="Umeå"/>
    <m/>
    <s v="IDRH"/>
    <m/>
    <n v="100"/>
    <n v="22.5"/>
    <m/>
    <m/>
    <n v="8"/>
    <n v="3"/>
    <n v="0.85"/>
    <n v="2.5499999999999998"/>
    <x v="0"/>
    <s v="Pedagogik                     "/>
    <s v="Sam"/>
    <s v="Ämneslärarprogrammet - Gy"/>
    <n v="18405"/>
    <n v="15773"/>
    <n v="95436.15"/>
    <n v="5800"/>
    <n v="17400"/>
    <n v="112836.15"/>
    <n v="0"/>
    <n v="0"/>
    <n v="0"/>
    <n v="0"/>
    <n v="0"/>
    <n v="0"/>
    <n v="1"/>
    <n v="0"/>
    <n v="0"/>
    <n v="0"/>
    <n v="0"/>
    <n v="0"/>
  </r>
  <r>
    <s v="6ID013"/>
    <s v="Examensarbete i Idrott och hälsa för ämneslärarexamen"/>
    <m/>
    <s v="LYAGY"/>
    <s v="H15"/>
    <s v="V19"/>
    <s v="H1816-20:V191-15"/>
    <s v="Umeå"/>
    <m/>
    <s v="IDRH"/>
    <m/>
    <n v="100"/>
    <n v="22.5"/>
    <m/>
    <m/>
    <n v="1"/>
    <n v="0.375"/>
    <n v="0.85"/>
    <n v="0.31874999999999998"/>
    <x v="0"/>
    <s v="Pedagogik                     "/>
    <s v="Sam"/>
    <s v="Ämneslärarprogrammet - Gy"/>
    <n v="18405"/>
    <n v="15773"/>
    <n v="11929.518749999999"/>
    <n v="5800"/>
    <n v="2175"/>
    <n v="14104.518749999999"/>
    <n v="0"/>
    <n v="0"/>
    <n v="0"/>
    <n v="0"/>
    <n v="0"/>
    <n v="0"/>
    <n v="1"/>
    <n v="0"/>
    <n v="0"/>
    <n v="0"/>
    <n v="0"/>
    <n v="0"/>
  </r>
  <r>
    <s v="6ID013"/>
    <s v="Examensarbete i Idrott och hälsa för ämneslärarexamen"/>
    <m/>
    <s v="LYAGY"/>
    <s v="H15"/>
    <s v="H19"/>
    <s v="H1916-20:V201-15"/>
    <m/>
    <m/>
    <s v="IDRH"/>
    <m/>
    <n v="100"/>
    <n v="7.5"/>
    <m/>
    <m/>
    <n v="8"/>
    <n v="1"/>
    <n v="0.85"/>
    <n v="0.85"/>
    <x v="0"/>
    <s v="Pedagogik                     "/>
    <s v="Sam"/>
    <s v="Ämneslärarprogrammet - Gy"/>
    <n v="18405"/>
    <n v="15773"/>
    <n v="31812.05"/>
    <n v="5800"/>
    <n v="5800"/>
    <n v="37612.050000000003"/>
    <n v="0"/>
    <n v="0"/>
    <n v="0"/>
    <n v="0"/>
    <n v="0"/>
    <n v="0"/>
    <n v="1"/>
    <n v="0"/>
    <n v="0"/>
    <n v="0"/>
    <n v="0"/>
    <n v="0"/>
  </r>
  <r>
    <s v="6ID013"/>
    <s v="Examensarbete i Idrott och hälsa för ämneslärarexamen"/>
    <m/>
    <s v="LYAGY"/>
    <s v="H17"/>
    <s v="H19"/>
    <s v="H1916-20:V201-15"/>
    <m/>
    <m/>
    <s v="IDRH"/>
    <m/>
    <n v="100"/>
    <n v="7.5"/>
    <m/>
    <m/>
    <n v="2"/>
    <n v="0.25"/>
    <n v="0.85"/>
    <n v="0.21249999999999999"/>
    <x v="0"/>
    <s v="Pedagogik                     "/>
    <s v="Sam"/>
    <s v="Ämneslärarprogrammet - Gy"/>
    <n v="18405"/>
    <n v="15773"/>
    <n v="7953.0124999999998"/>
    <n v="5800"/>
    <n v="1450"/>
    <n v="9403.0125000000007"/>
    <n v="0"/>
    <n v="0"/>
    <n v="0"/>
    <n v="0"/>
    <n v="0"/>
    <n v="0"/>
    <n v="1"/>
    <n v="0"/>
    <n v="0"/>
    <n v="0"/>
    <n v="0"/>
    <n v="0"/>
  </r>
  <r>
    <s v="6ID015"/>
    <s v="Praktiskt estetiskt ämne - Idrott och hälsa 2"/>
    <m/>
    <s v="FRIST"/>
    <m/>
    <s v="H19"/>
    <m/>
    <m/>
    <s v="Campus"/>
    <m/>
    <m/>
    <n v="100"/>
    <n v="15"/>
    <m/>
    <m/>
    <n v="5"/>
    <n v="1.25"/>
    <n v="0.8"/>
    <n v="1"/>
    <x v="0"/>
    <s v="Pedagogik                     "/>
    <s v="Sam"/>
    <s v="Fristående och övriga kurser"/>
    <n v="15846"/>
    <n v="26926"/>
    <n v="46733.5"/>
    <n v="17300"/>
    <n v="21625"/>
    <n v="68358.5"/>
    <n v="0"/>
    <n v="0"/>
    <n v="0"/>
    <n v="0"/>
    <n v="0"/>
    <n v="0"/>
    <n v="0"/>
    <n v="0"/>
    <n v="0"/>
    <n v="0"/>
    <n v="1"/>
    <n v="0"/>
  </r>
  <r>
    <s v="6ID015"/>
    <s v="Praktiskt estetiskt ämne - Idrott och hälsa 2"/>
    <m/>
    <s v="LYGFR"/>
    <s v="H17"/>
    <s v="H19"/>
    <s v="H191-10"/>
    <m/>
    <m/>
    <m/>
    <m/>
    <n v="100"/>
    <n v="15"/>
    <m/>
    <m/>
    <n v="8"/>
    <n v="2"/>
    <n v="0.85"/>
    <n v="1.7"/>
    <x v="0"/>
    <s v="Pedagogik                     "/>
    <s v="Sam"/>
    <s v="Grundlärarprogrammet - fritidshem"/>
    <n v="15846"/>
    <n v="26926"/>
    <n v="77466.2"/>
    <n v="17300"/>
    <n v="34600"/>
    <n v="112066.2"/>
    <n v="0"/>
    <n v="0"/>
    <n v="0"/>
    <n v="0"/>
    <n v="0"/>
    <n v="0"/>
    <n v="0"/>
    <n v="0"/>
    <n v="0"/>
    <n v="0"/>
    <n v="1"/>
    <n v="0"/>
  </r>
  <r>
    <s v="6ID015"/>
    <s v="Praktiskt estetiskt ämne - Idrott och hälsa 2"/>
    <m/>
    <s v="LYGFR"/>
    <s v="H18"/>
    <s v="H19"/>
    <s v="H191-10"/>
    <m/>
    <m/>
    <m/>
    <m/>
    <n v="100"/>
    <n v="15"/>
    <m/>
    <m/>
    <n v="1"/>
    <n v="0.25"/>
    <n v="0.85"/>
    <n v="0.21249999999999999"/>
    <x v="0"/>
    <s v="Pedagogik                     "/>
    <s v="Sam"/>
    <s v="Grundlärarprogrammet - fritidshem"/>
    <n v="15846"/>
    <n v="26926"/>
    <n v="9683.2749999999996"/>
    <n v="17300"/>
    <n v="4325"/>
    <n v="14008.275"/>
    <n v="0"/>
    <n v="0"/>
    <n v="0"/>
    <n v="0"/>
    <n v="0"/>
    <n v="0"/>
    <n v="0"/>
    <n v="0"/>
    <n v="0"/>
    <n v="0"/>
    <n v="1"/>
    <n v="0"/>
  </r>
  <r>
    <s v="6ID016"/>
    <s v="Praktiskt estetiskt ämne - Idrott och hälsa 1"/>
    <m/>
    <s v="FRIST"/>
    <m/>
    <s v="H19"/>
    <m/>
    <m/>
    <s v="Campus"/>
    <m/>
    <m/>
    <n v="100"/>
    <n v="15"/>
    <m/>
    <m/>
    <n v="5"/>
    <n v="1.25"/>
    <n v="0.8"/>
    <n v="1"/>
    <x v="0"/>
    <s v="Pedagogik                     "/>
    <s v="Sam"/>
    <s v="Fristående och övriga kurser"/>
    <n v="15846"/>
    <n v="26926"/>
    <n v="46733.5"/>
    <n v="17300"/>
    <n v="21625"/>
    <n v="68358.5"/>
    <n v="0"/>
    <n v="0"/>
    <n v="0"/>
    <n v="0"/>
    <n v="0"/>
    <n v="0"/>
    <n v="0"/>
    <n v="0"/>
    <n v="0"/>
    <n v="0"/>
    <n v="1"/>
    <n v="0"/>
  </r>
  <r>
    <s v="6ID016"/>
    <s v="Praktiskt estetiskt ämne - Idrott och hälsa 1"/>
    <m/>
    <s v="LYGFR"/>
    <s v="H18"/>
    <s v="H19"/>
    <s v="H1911-20"/>
    <m/>
    <m/>
    <m/>
    <m/>
    <n v="100"/>
    <n v="15"/>
    <m/>
    <m/>
    <n v="18"/>
    <n v="4.5"/>
    <n v="0.85"/>
    <n v="3.8249999999999997"/>
    <x v="0"/>
    <s v="Pedagogik                     "/>
    <s v="Sam"/>
    <s v="Grundlärarprogrammet - fritidshem"/>
    <n v="15846"/>
    <n v="26926"/>
    <n v="174298.95"/>
    <n v="17300"/>
    <n v="77850"/>
    <n v="252148.95"/>
    <n v="0"/>
    <n v="0"/>
    <n v="0"/>
    <n v="0"/>
    <n v="0"/>
    <n v="0"/>
    <n v="0"/>
    <n v="0"/>
    <n v="0"/>
    <n v="0"/>
    <n v="1"/>
    <n v="0"/>
  </r>
  <r>
    <s v="6ID017"/>
    <s v="Idrott och hälsa 1"/>
    <m/>
    <s v="FRIST"/>
    <m/>
    <s v="V19"/>
    <m/>
    <m/>
    <s v="Campus"/>
    <m/>
    <m/>
    <n v="100"/>
    <n v="30"/>
    <m/>
    <m/>
    <n v="4"/>
    <n v="2"/>
    <n v="0.8"/>
    <n v="1.6"/>
    <x v="0"/>
    <s v="Pedagogik                     "/>
    <s v="Sam"/>
    <s v="Fristående och övriga kurser"/>
    <n v="45034"/>
    <n v="31547"/>
    <n v="140543.20000000001"/>
    <n v="34500"/>
    <n v="69000"/>
    <n v="209543.2"/>
    <n v="0"/>
    <n v="0"/>
    <n v="1"/>
    <n v="0"/>
    <n v="0"/>
    <n v="0"/>
    <n v="0"/>
    <n v="0"/>
    <n v="0"/>
    <n v="0"/>
    <n v="0"/>
    <n v="0"/>
  </r>
  <r>
    <s v="6ID017"/>
    <s v="Idrott och hälsa 1"/>
    <m/>
    <s v="LYAGY"/>
    <s v="H15"/>
    <s v="V19"/>
    <s v="V191-20"/>
    <s v="Umeå"/>
    <m/>
    <s v="RELK"/>
    <m/>
    <n v="100"/>
    <n v="30"/>
    <m/>
    <m/>
    <n v="1"/>
    <n v="0.5"/>
    <n v="0.85"/>
    <n v="0.42499999999999999"/>
    <x v="0"/>
    <s v="Pedagogik                     "/>
    <s v="Sam"/>
    <s v="Ämneslärarprogrammet - Gy"/>
    <n v="45034"/>
    <n v="31547"/>
    <n v="35924.474999999999"/>
    <n v="34500"/>
    <n v="17250"/>
    <n v="53174.474999999999"/>
    <n v="0"/>
    <n v="0"/>
    <n v="1"/>
    <n v="0"/>
    <n v="0"/>
    <n v="0"/>
    <n v="0"/>
    <n v="0"/>
    <n v="0"/>
    <n v="0"/>
    <n v="0"/>
    <n v="0"/>
  </r>
  <r>
    <s v="6ID017"/>
    <s v="Idrott och hälsa 1"/>
    <m/>
    <s v="LYAGY"/>
    <s v="H16"/>
    <s v="V19"/>
    <s v="V191-20"/>
    <s v="Umeå"/>
    <m/>
    <s v="ENGS"/>
    <m/>
    <n v="100"/>
    <n v="30"/>
    <m/>
    <m/>
    <n v="3"/>
    <n v="1.5"/>
    <n v="0.85"/>
    <n v="1.2749999999999999"/>
    <x v="0"/>
    <s v="Pedagogik                     "/>
    <s v="Sam"/>
    <s v="Ämneslärarprogrammet - Gy"/>
    <n v="45034"/>
    <n v="31547"/>
    <n v="107773.42499999999"/>
    <n v="34500"/>
    <n v="51750"/>
    <n v="159523.42499999999"/>
    <n v="0"/>
    <n v="0"/>
    <n v="1"/>
    <n v="0"/>
    <n v="0"/>
    <n v="0"/>
    <n v="0"/>
    <n v="0"/>
    <n v="0"/>
    <n v="0"/>
    <n v="0"/>
    <n v="0"/>
  </r>
  <r>
    <s v="6ID017"/>
    <s v="Idrott och hälsa 1"/>
    <m/>
    <s v="LYAGY"/>
    <s v="H16"/>
    <s v="V19"/>
    <s v="V191-20"/>
    <s v="Umeå"/>
    <m/>
    <s v="SVAA"/>
    <m/>
    <n v="100"/>
    <n v="30"/>
    <m/>
    <m/>
    <n v="1"/>
    <n v="0.5"/>
    <n v="0.85"/>
    <n v="0.42499999999999999"/>
    <x v="0"/>
    <s v="Pedagogik                     "/>
    <s v="Sam"/>
    <s v="Ämneslärarprogrammet - Gy"/>
    <n v="45034"/>
    <n v="31547"/>
    <n v="35924.474999999999"/>
    <n v="34500"/>
    <n v="17250"/>
    <n v="53174.474999999999"/>
    <n v="0"/>
    <n v="0"/>
    <n v="1"/>
    <n v="0"/>
    <n v="0"/>
    <n v="0"/>
    <n v="0"/>
    <n v="0"/>
    <n v="0"/>
    <n v="0"/>
    <n v="0"/>
    <n v="0"/>
  </r>
  <r>
    <s v="6ID017"/>
    <s v="Idrott och hälsa 1"/>
    <m/>
    <s v="LYAGY"/>
    <s v="H17"/>
    <s v="V19"/>
    <s v="V191-20"/>
    <s v="Umeå"/>
    <m/>
    <s v="IDRH"/>
    <m/>
    <n v="100"/>
    <n v="30"/>
    <m/>
    <m/>
    <n v="0"/>
    <n v="0"/>
    <n v="0.85"/>
    <n v="0"/>
    <x v="0"/>
    <s v="Pedagogik                     "/>
    <s v="Sam"/>
    <s v="Ämneslärarprogrammet - Gy"/>
    <n v="45034"/>
    <n v="31547"/>
    <n v="0"/>
    <n v="34500"/>
    <n v="0"/>
    <n v="0"/>
    <n v="0"/>
    <n v="0"/>
    <n v="1"/>
    <n v="0"/>
    <n v="0"/>
    <n v="0"/>
    <n v="0"/>
    <n v="0"/>
    <n v="0"/>
    <n v="0"/>
    <n v="0"/>
    <n v="0"/>
  </r>
  <r>
    <s v="6ID017"/>
    <s v="Idrott och hälsa 1"/>
    <m/>
    <s v="LYAGY"/>
    <s v="H18"/>
    <s v="V19"/>
    <s v="V191-20"/>
    <s v="Umeå"/>
    <m/>
    <s v="IDRH"/>
    <m/>
    <n v="100"/>
    <n v="30"/>
    <m/>
    <m/>
    <n v="20"/>
    <n v="10"/>
    <n v="0.85"/>
    <n v="8.5"/>
    <x v="0"/>
    <s v="Pedagogik                     "/>
    <s v="Sam"/>
    <s v="Ämneslärarprogrammet - Gy"/>
    <n v="45034"/>
    <n v="31547"/>
    <n v="718489.5"/>
    <n v="34500"/>
    <n v="345000"/>
    <n v="1063489.5"/>
    <n v="0"/>
    <n v="0"/>
    <n v="1"/>
    <n v="0"/>
    <n v="0"/>
    <n v="0"/>
    <n v="0"/>
    <n v="0"/>
    <n v="0"/>
    <n v="0"/>
    <n v="0"/>
    <n v="0"/>
  </r>
  <r>
    <s v="6ID018"/>
    <s v="Idrott och hälsa 3"/>
    <m/>
    <s v="FRIST"/>
    <m/>
    <s v="V19"/>
    <m/>
    <m/>
    <s v="Campus"/>
    <m/>
    <m/>
    <n v="100"/>
    <n v="30"/>
    <m/>
    <m/>
    <n v="3"/>
    <n v="1.5"/>
    <n v="0.8"/>
    <n v="1.2000000000000002"/>
    <x v="0"/>
    <s v="Pedagogik                     "/>
    <s v="Sam"/>
    <s v="Fristående och övriga kurser"/>
    <n v="45034"/>
    <n v="31547"/>
    <n v="105407.40000000001"/>
    <n v="34500"/>
    <n v="51750"/>
    <n v="157157.40000000002"/>
    <n v="0"/>
    <n v="0"/>
    <n v="1"/>
    <n v="0"/>
    <n v="0"/>
    <n v="0"/>
    <n v="0"/>
    <n v="0"/>
    <n v="0"/>
    <n v="0"/>
    <n v="0"/>
    <n v="0"/>
  </r>
  <r>
    <s v="6ID018"/>
    <s v="Idrott och hälsa 3"/>
    <m/>
    <s v="LYAGY"/>
    <s v="H15"/>
    <s v="V19"/>
    <s v="V191-20"/>
    <s v="Umeå"/>
    <m/>
    <s v="ENGS"/>
    <m/>
    <n v="100"/>
    <n v="30"/>
    <m/>
    <m/>
    <n v="1"/>
    <n v="0.5"/>
    <n v="0.85"/>
    <n v="0.42499999999999999"/>
    <x v="0"/>
    <s v="Pedagogik                     "/>
    <s v="Sam"/>
    <s v="Ämneslärarprogrammet - Gy"/>
    <n v="45034"/>
    <n v="31547"/>
    <n v="35924.474999999999"/>
    <n v="34500"/>
    <n v="17250"/>
    <n v="53174.474999999999"/>
    <n v="0"/>
    <n v="0"/>
    <n v="1"/>
    <n v="0"/>
    <n v="0"/>
    <n v="0"/>
    <n v="0"/>
    <n v="0"/>
    <n v="0"/>
    <n v="0"/>
    <n v="0"/>
    <n v="0"/>
  </r>
  <r>
    <s v="6ID018"/>
    <s v="Idrott och hälsa 3"/>
    <m/>
    <s v="LYAGY"/>
    <s v="H15"/>
    <s v="V19"/>
    <s v="V191-20"/>
    <s v="Umeå"/>
    <m/>
    <s v="MUSI"/>
    <m/>
    <n v="100"/>
    <n v="30"/>
    <m/>
    <m/>
    <n v="0"/>
    <n v="0"/>
    <n v="0.85"/>
    <n v="0"/>
    <x v="0"/>
    <s v="Pedagogik                     "/>
    <s v="Sam"/>
    <s v="Ämneslärarprogrammet - Gy"/>
    <n v="45034"/>
    <n v="31547"/>
    <n v="0"/>
    <n v="34500"/>
    <n v="0"/>
    <n v="0"/>
    <n v="0"/>
    <n v="0"/>
    <n v="1"/>
    <n v="0"/>
    <n v="0"/>
    <n v="0"/>
    <n v="0"/>
    <n v="0"/>
    <n v="0"/>
    <n v="0"/>
    <n v="0"/>
    <n v="0"/>
  </r>
  <r>
    <s v="6ID018"/>
    <s v="Idrott och hälsa 3"/>
    <m/>
    <s v="LYAGY"/>
    <s v="H15"/>
    <s v="V19"/>
    <s v="V191-20"/>
    <s v="Umeå"/>
    <m/>
    <s v="RELK"/>
    <m/>
    <n v="100"/>
    <n v="30"/>
    <m/>
    <m/>
    <n v="1"/>
    <n v="0.5"/>
    <n v="0.85"/>
    <n v="0.42499999999999999"/>
    <x v="0"/>
    <s v="Pedagogik                     "/>
    <s v="Sam"/>
    <s v="Ämneslärarprogrammet - Gy"/>
    <n v="45034"/>
    <n v="31547"/>
    <n v="35924.474999999999"/>
    <n v="34500"/>
    <n v="17250"/>
    <n v="53174.474999999999"/>
    <n v="0"/>
    <n v="0"/>
    <n v="1"/>
    <n v="0"/>
    <n v="0"/>
    <n v="0"/>
    <n v="0"/>
    <n v="0"/>
    <n v="0"/>
    <n v="0"/>
    <n v="0"/>
    <n v="0"/>
  </r>
  <r>
    <s v="6ID018"/>
    <s v="Idrott och hälsa 3"/>
    <m/>
    <s v="LYAGY"/>
    <s v="H17"/>
    <s v="V19"/>
    <s v="V191-20"/>
    <s v="Umeå"/>
    <m/>
    <s v="IDRH"/>
    <m/>
    <n v="100"/>
    <n v="30"/>
    <m/>
    <m/>
    <n v="17"/>
    <n v="8.5"/>
    <n v="0.85"/>
    <n v="7.2249999999999996"/>
    <x v="0"/>
    <s v="Pedagogik                     "/>
    <s v="Sam"/>
    <s v="Ämneslärarprogrammet - Gy"/>
    <n v="45034"/>
    <n v="31547"/>
    <n v="610716.07499999995"/>
    <n v="34500"/>
    <n v="293250"/>
    <n v="903966.07499999995"/>
    <n v="0"/>
    <n v="0"/>
    <n v="1"/>
    <n v="0"/>
    <n v="0"/>
    <n v="0"/>
    <n v="0"/>
    <n v="0"/>
    <n v="0"/>
    <n v="0"/>
    <n v="0"/>
    <n v="0"/>
  </r>
  <r>
    <s v="6ID314"/>
    <s v="Idrott och hälsa II för gymnasieskolan"/>
    <m/>
    <s v="FRIST"/>
    <m/>
    <s v="H19"/>
    <m/>
    <m/>
    <s v="Campus"/>
    <m/>
    <m/>
    <n v="100"/>
    <n v="30"/>
    <m/>
    <m/>
    <n v="5"/>
    <n v="2.5"/>
    <n v="0.8"/>
    <n v="2"/>
    <x v="0"/>
    <s v="Pedagogik                     "/>
    <s v="Sam"/>
    <s v="Fristående och övriga kurser"/>
    <n v="45034"/>
    <n v="31547"/>
    <n v="175679"/>
    <n v="34500"/>
    <n v="86250"/>
    <n v="261929"/>
    <n v="0"/>
    <n v="0"/>
    <n v="1"/>
    <n v="0"/>
    <n v="0"/>
    <n v="0"/>
    <n v="0"/>
    <n v="0"/>
    <n v="0"/>
    <n v="0"/>
    <n v="0"/>
    <n v="0"/>
  </r>
  <r>
    <s v="6ID314"/>
    <s v="Idrott och hälsa II för gymnasieskolan"/>
    <m/>
    <s v="LYAGY"/>
    <s v="H15"/>
    <s v="H19"/>
    <s v="H191-20"/>
    <m/>
    <m/>
    <s v="RELK"/>
    <m/>
    <n v="100"/>
    <n v="30"/>
    <m/>
    <m/>
    <n v="1"/>
    <n v="0.5"/>
    <n v="0.85"/>
    <n v="0.42499999999999999"/>
    <x v="0"/>
    <s v="Pedagogik                     "/>
    <s v="Sam"/>
    <s v="Ämneslärarprogrammet - Gy"/>
    <n v="45034"/>
    <n v="31547"/>
    <n v="35924.474999999999"/>
    <n v="34500"/>
    <n v="17250"/>
    <n v="53174.474999999999"/>
    <n v="0"/>
    <n v="0"/>
    <n v="1"/>
    <n v="0"/>
    <n v="0"/>
    <n v="0"/>
    <n v="0"/>
    <n v="0"/>
    <n v="0"/>
    <n v="0"/>
    <n v="0"/>
    <n v="0"/>
  </r>
  <r>
    <s v="6ID314"/>
    <s v="Idrott och hälsa II för gymnasieskolan"/>
    <m/>
    <s v="LYAGY"/>
    <s v="H16"/>
    <s v="H19"/>
    <s v="H191-20"/>
    <m/>
    <m/>
    <s v="ENGS"/>
    <m/>
    <n v="100"/>
    <n v="30"/>
    <m/>
    <m/>
    <n v="3"/>
    <n v="1.5"/>
    <n v="0.85"/>
    <n v="1.2749999999999999"/>
    <x v="0"/>
    <s v="Pedagogik                     "/>
    <s v="Sam"/>
    <s v="Ämneslärarprogrammet - Gy"/>
    <n v="45034"/>
    <n v="31547"/>
    <n v="107773.42499999999"/>
    <n v="34500"/>
    <n v="51750"/>
    <n v="159523.42499999999"/>
    <n v="0"/>
    <n v="0"/>
    <n v="1"/>
    <n v="0"/>
    <n v="0"/>
    <n v="0"/>
    <n v="0"/>
    <n v="0"/>
    <n v="0"/>
    <n v="0"/>
    <n v="0"/>
    <n v="0"/>
  </r>
  <r>
    <s v="6ID314"/>
    <s v="Idrott och hälsa II för gymnasieskolan"/>
    <m/>
    <s v="LYAGY"/>
    <s v="H16"/>
    <s v="H19"/>
    <s v="H191-20"/>
    <m/>
    <m/>
    <s v="SVAA"/>
    <m/>
    <n v="100"/>
    <n v="30"/>
    <m/>
    <m/>
    <n v="1"/>
    <n v="0.5"/>
    <n v="0.85"/>
    <n v="0.42499999999999999"/>
    <x v="0"/>
    <s v="Pedagogik                     "/>
    <s v="Sam"/>
    <s v="Ämneslärarprogrammet - Gy"/>
    <n v="45034"/>
    <n v="31547"/>
    <n v="35924.474999999999"/>
    <n v="34500"/>
    <n v="17250"/>
    <n v="53174.474999999999"/>
    <n v="0"/>
    <n v="0"/>
    <n v="1"/>
    <n v="0"/>
    <n v="0"/>
    <n v="0"/>
    <n v="0"/>
    <n v="0"/>
    <n v="0"/>
    <n v="0"/>
    <n v="0"/>
    <n v="0"/>
  </r>
  <r>
    <s v="6ID314"/>
    <s v="Idrott och hälsa II för gymnasieskolan"/>
    <m/>
    <s v="LYAGY"/>
    <s v="H17"/>
    <s v="H19"/>
    <s v="H191-20"/>
    <m/>
    <m/>
    <s v="IDRH"/>
    <m/>
    <n v="100"/>
    <n v="30"/>
    <m/>
    <m/>
    <n v="1"/>
    <n v="0.5"/>
    <n v="0.85"/>
    <n v="0.42499999999999999"/>
    <x v="0"/>
    <s v="Pedagogik                     "/>
    <s v="Sam"/>
    <s v="Ämneslärarprogrammet - Gy"/>
    <n v="45034"/>
    <n v="31547"/>
    <n v="35924.474999999999"/>
    <n v="34500"/>
    <n v="17250"/>
    <n v="53174.474999999999"/>
    <n v="0"/>
    <n v="0"/>
    <n v="1"/>
    <n v="0"/>
    <n v="0"/>
    <n v="0"/>
    <n v="0"/>
    <n v="0"/>
    <n v="0"/>
    <n v="0"/>
    <n v="0"/>
    <n v="0"/>
  </r>
  <r>
    <s v="6ID314"/>
    <s v="Idrott och hälsa II för gymnasieskolan"/>
    <m/>
    <s v="LYAGY"/>
    <s v="H18"/>
    <s v="H19"/>
    <s v="H191-20"/>
    <m/>
    <m/>
    <s v="IDRH"/>
    <m/>
    <n v="100"/>
    <n v="30"/>
    <m/>
    <m/>
    <n v="19"/>
    <n v="9.5"/>
    <n v="0.85"/>
    <n v="8.0749999999999993"/>
    <x v="0"/>
    <s v="Pedagogik                     "/>
    <s v="Sam"/>
    <s v="Ämneslärarprogrammet - Gy"/>
    <n v="45034"/>
    <n v="31547"/>
    <n v="682565.02499999991"/>
    <n v="34500"/>
    <n v="327750"/>
    <n v="1010315.0249999999"/>
    <n v="0"/>
    <n v="0"/>
    <n v="1"/>
    <n v="0"/>
    <n v="0"/>
    <n v="0"/>
    <n v="0"/>
    <n v="0"/>
    <n v="0"/>
    <n v="0"/>
    <n v="0"/>
    <n v="0"/>
  </r>
  <r>
    <s v="6IT023"/>
    <s v="Matematikundervisning med IT"/>
    <m/>
    <s v="FRIST"/>
    <m/>
    <s v="H19"/>
    <m/>
    <m/>
    <s v="Distans"/>
    <m/>
    <m/>
    <n v="25"/>
    <n v="7.5"/>
    <m/>
    <m/>
    <n v="30"/>
    <n v="3.75"/>
    <n v="0.8"/>
    <n v="3"/>
    <x v="1"/>
    <s v="TUV "/>
    <s v="Sam"/>
    <s v="Fristående och övriga kurser"/>
    <n v="18405"/>
    <n v="15773"/>
    <n v="116337.75"/>
    <n v="5800"/>
    <n v="21750"/>
    <n v="138087.75"/>
    <n v="0"/>
    <n v="0"/>
    <n v="0"/>
    <n v="0"/>
    <n v="0"/>
    <n v="0"/>
    <n v="1"/>
    <n v="0"/>
    <n v="0"/>
    <n v="0"/>
    <n v="0"/>
    <n v="0"/>
  </r>
  <r>
    <s v="6IT047"/>
    <s v="Design av digital didaktik"/>
    <m/>
    <s v="FRIST"/>
    <m/>
    <s v="H19"/>
    <m/>
    <m/>
    <s v="Distans"/>
    <m/>
    <m/>
    <n v="25"/>
    <n v="7.5"/>
    <m/>
    <m/>
    <n v="30"/>
    <n v="3.75"/>
    <n v="0.8"/>
    <n v="3"/>
    <x v="1"/>
    <s v="TUV "/>
    <s v="Sam"/>
    <s v="Fristående och övriga kurser"/>
    <n v="18405"/>
    <n v="15773"/>
    <n v="116337.75"/>
    <n v="5800"/>
    <n v="21750"/>
    <n v="138087.75"/>
    <n v="0"/>
    <n v="0"/>
    <n v="0"/>
    <n v="0"/>
    <n v="0"/>
    <n v="0"/>
    <n v="1"/>
    <n v="0"/>
    <n v="0"/>
    <n v="0"/>
    <n v="0"/>
    <n v="0"/>
  </r>
  <r>
    <s v="6KE004"/>
    <s v="Examensarbete för ämneslärarexamen - Kemi"/>
    <m/>
    <s v="LYAGY"/>
    <s v="H17"/>
    <s v="H19"/>
    <s v="H1916-20:V201-15"/>
    <m/>
    <m/>
    <s v="BIOL"/>
    <m/>
    <n v="100"/>
    <n v="7.5"/>
    <m/>
    <m/>
    <n v="1"/>
    <n v="0.125"/>
    <n v="0.85"/>
    <n v="0.10625"/>
    <x v="9"/>
    <s v="NMD"/>
    <s v="TekNat"/>
    <s v="Ämneslärarprogrammet - Gy"/>
    <n v="19473"/>
    <n v="34806"/>
    <n v="6132.2624999999998"/>
    <n v="21800"/>
    <n v="2725"/>
    <n v="8857.2625000000007"/>
    <n v="0"/>
    <n v="0"/>
    <n v="0"/>
    <n v="0"/>
    <n v="0"/>
    <n v="1"/>
    <n v="0"/>
    <n v="0"/>
    <n v="0"/>
    <n v="0"/>
    <n v="0"/>
    <n v="0"/>
  </r>
  <r>
    <s v="6KE101"/>
    <s v="Kemididaktik 1 för ämneslärare för gymnasium"/>
    <m/>
    <s v="LYAGY"/>
    <s v="H15"/>
    <s v="V19"/>
    <s v="V191-10"/>
    <s v="Umeå"/>
    <m/>
    <s v="IDRH"/>
    <m/>
    <n v="50"/>
    <n v="7.5"/>
    <m/>
    <m/>
    <n v="1"/>
    <n v="0.125"/>
    <n v="0.85"/>
    <n v="0.10625"/>
    <x v="9"/>
    <s v="NMD"/>
    <s v="TekNat"/>
    <s v="Ämneslärarprogrammet - Gy"/>
    <n v="19473"/>
    <n v="34806"/>
    <n v="6132.2624999999998"/>
    <n v="21800"/>
    <n v="2725"/>
    <n v="8857.2625000000007"/>
    <n v="0"/>
    <n v="0"/>
    <n v="0"/>
    <n v="0"/>
    <n v="0"/>
    <n v="1"/>
    <n v="0"/>
    <n v="0"/>
    <n v="0"/>
    <n v="0"/>
    <n v="0"/>
    <n v="0"/>
  </r>
  <r>
    <s v="6KE101"/>
    <s v="Kemididaktik 1 för ämneslärare för gymnasium"/>
    <m/>
    <s v="LYAGY"/>
    <s v="H16"/>
    <s v="V19"/>
    <s v="V191-10"/>
    <s v="Umeå"/>
    <m/>
    <s v="MATT"/>
    <m/>
    <n v="50"/>
    <n v="7.5"/>
    <m/>
    <m/>
    <n v="1"/>
    <n v="0.125"/>
    <n v="0.85"/>
    <n v="0.10625"/>
    <x v="9"/>
    <s v="NMD"/>
    <s v="TekNat"/>
    <s v="Ämneslärarprogrammet - Gy"/>
    <n v="19473"/>
    <n v="34806"/>
    <n v="6132.2624999999998"/>
    <n v="21800"/>
    <n v="2725"/>
    <n v="8857.2625000000007"/>
    <n v="0"/>
    <n v="0"/>
    <n v="0"/>
    <n v="0"/>
    <n v="0"/>
    <n v="1"/>
    <n v="0"/>
    <n v="0"/>
    <n v="0"/>
    <n v="0"/>
    <n v="0"/>
    <n v="0"/>
  </r>
  <r>
    <s v="6KE101"/>
    <s v="Kemididaktik 1 för ämneslärare för gymnasium"/>
    <m/>
    <s v="LYAGY"/>
    <s v="H18"/>
    <s v="V19"/>
    <s v="V191-10"/>
    <s v="Umeå"/>
    <m/>
    <s v="BIOL"/>
    <m/>
    <n v="50"/>
    <n v="7.5"/>
    <m/>
    <m/>
    <n v="1"/>
    <n v="0.125"/>
    <n v="0.85"/>
    <n v="0.10625"/>
    <x v="9"/>
    <s v="NMD"/>
    <s v="TekNat"/>
    <s v="Ämneslärarprogrammet - Gy"/>
    <n v="19473"/>
    <n v="34806"/>
    <n v="6132.2624999999998"/>
    <n v="21800"/>
    <n v="2725"/>
    <n v="8857.2625000000007"/>
    <n v="0"/>
    <n v="0"/>
    <n v="0"/>
    <n v="0"/>
    <n v="0"/>
    <n v="1"/>
    <n v="0"/>
    <n v="0"/>
    <n v="0"/>
    <n v="0"/>
    <n v="0"/>
    <n v="0"/>
  </r>
  <r>
    <s v="6KE102"/>
    <s v="Kemididaktik 2 för ämneslärare för gymnasium"/>
    <m/>
    <s v="LYAGY"/>
    <s v="H15"/>
    <s v="V19"/>
    <s v="V1911-20"/>
    <s v="Umeå"/>
    <m/>
    <s v="IDRH"/>
    <m/>
    <n v="50"/>
    <n v="7.5"/>
    <m/>
    <m/>
    <n v="1"/>
    <n v="0.125"/>
    <n v="0.85"/>
    <n v="0.10625"/>
    <x v="9"/>
    <s v="NMD"/>
    <s v="TekNat"/>
    <s v="Ämneslärarprogrammet - Gy"/>
    <n v="19473"/>
    <n v="34806"/>
    <n v="6132.2624999999998"/>
    <n v="21800"/>
    <n v="2725"/>
    <n v="8857.2625000000007"/>
    <n v="0"/>
    <n v="0"/>
    <n v="0"/>
    <n v="0"/>
    <n v="0"/>
    <n v="1"/>
    <n v="0"/>
    <n v="0"/>
    <n v="0"/>
    <n v="0"/>
    <n v="0"/>
    <n v="0"/>
  </r>
  <r>
    <s v="6KE102"/>
    <s v="Kemididaktik 2 för ämneslärare för gymnasium"/>
    <m/>
    <s v="LYAGY"/>
    <s v="H16"/>
    <s v="V19"/>
    <s v="V1911-20"/>
    <s v="Umeå"/>
    <m/>
    <s v="MATT"/>
    <m/>
    <n v="50"/>
    <n v="7.5"/>
    <m/>
    <m/>
    <n v="1"/>
    <n v="0.125"/>
    <n v="0.85"/>
    <n v="0.10625"/>
    <x v="9"/>
    <s v="NMD"/>
    <s v="TekNat"/>
    <s v="Ämneslärarprogrammet - Gy"/>
    <n v="19473"/>
    <n v="34806"/>
    <n v="6132.2624999999998"/>
    <n v="21800"/>
    <n v="2725"/>
    <n v="8857.2625000000007"/>
    <n v="0"/>
    <n v="0"/>
    <n v="0"/>
    <n v="0"/>
    <n v="0"/>
    <n v="1"/>
    <n v="0"/>
    <n v="0"/>
    <n v="0"/>
    <n v="0"/>
    <n v="0"/>
    <n v="0"/>
  </r>
  <r>
    <s v="6KG003"/>
    <s v="Ekonomisk och soial geografi"/>
    <m/>
    <s v="LYAGY"/>
    <s v="H15"/>
    <s v="V19"/>
    <s v="V191-10"/>
    <s v="Umeå"/>
    <m/>
    <s v="HIST"/>
    <m/>
    <n v="100"/>
    <n v="15"/>
    <m/>
    <m/>
    <n v="2"/>
    <n v="0.5"/>
    <n v="0.85"/>
    <n v="0.42499999999999999"/>
    <x v="13"/>
    <s v="Geografi"/>
    <s v="Sam"/>
    <s v="Ämneslärarprogrammet - Gy"/>
    <n v="18672"/>
    <n v="20531.25"/>
    <n v="18061.78125"/>
    <n v="9800"/>
    <n v="4900"/>
    <n v="22961.78125"/>
    <n v="0"/>
    <n v="0"/>
    <n v="0"/>
    <n v="0"/>
    <n v="0"/>
    <n v="0.25"/>
    <n v="0.75"/>
    <n v="0"/>
    <n v="0"/>
    <n v="0"/>
    <n v="0"/>
    <n v="0"/>
  </r>
  <r>
    <s v="6KG003"/>
    <s v="Ekonomisk och soial geografi"/>
    <m/>
    <s v="LYAGY"/>
    <s v="H15"/>
    <s v="V19"/>
    <s v="V191-10"/>
    <s v="Umeå"/>
    <m/>
    <s v="IDRH"/>
    <m/>
    <n v="100"/>
    <n v="15"/>
    <m/>
    <m/>
    <n v="1"/>
    <n v="0.25"/>
    <n v="0.85"/>
    <n v="0.21249999999999999"/>
    <x v="13"/>
    <s v="Geografi"/>
    <s v="Sam"/>
    <s v="Ämneslärarprogrammet - Gy"/>
    <n v="18672"/>
    <n v="20531.25"/>
    <n v="9030.890625"/>
    <n v="9800"/>
    <n v="2450"/>
    <n v="11480.890625"/>
    <n v="0"/>
    <n v="0"/>
    <n v="0"/>
    <n v="0"/>
    <n v="0"/>
    <n v="0.25"/>
    <n v="0.75"/>
    <n v="0"/>
    <n v="0"/>
    <n v="0"/>
    <n v="0"/>
    <n v="0"/>
  </r>
  <r>
    <s v="6KG003"/>
    <s v="Ekonomisk och soial geografi"/>
    <m/>
    <s v="LYAGY"/>
    <s v="H17"/>
    <s v="V19"/>
    <s v="V191-10"/>
    <s v="Umeå"/>
    <m/>
    <s v="GEOG"/>
    <m/>
    <n v="100"/>
    <n v="15"/>
    <m/>
    <m/>
    <n v="2"/>
    <n v="0.5"/>
    <n v="0.85"/>
    <n v="0.42499999999999999"/>
    <x v="13"/>
    <s v="Geografi"/>
    <s v="Sam"/>
    <s v="Ämneslärarprogrammet - Gy"/>
    <n v="18672"/>
    <n v="20531.25"/>
    <n v="18061.78125"/>
    <n v="9800"/>
    <n v="4900"/>
    <n v="22961.78125"/>
    <n v="0"/>
    <n v="0"/>
    <n v="0"/>
    <n v="0"/>
    <n v="0"/>
    <n v="0.25"/>
    <n v="0.75"/>
    <n v="0"/>
    <n v="0"/>
    <n v="0"/>
    <n v="0"/>
    <n v="0"/>
  </r>
  <r>
    <s v="6KG004"/>
    <s v="Introduktion till geografi"/>
    <m/>
    <s v="LYAGY"/>
    <s v="H16"/>
    <s v="V19"/>
    <s v="V191-5"/>
    <s v="Umeå"/>
    <m/>
    <s v="IDRH"/>
    <m/>
    <n v="100"/>
    <n v="7.5"/>
    <m/>
    <m/>
    <n v="2"/>
    <n v="0.25"/>
    <n v="0.85"/>
    <n v="0.21249999999999999"/>
    <x v="13"/>
    <s v="Geografi"/>
    <s v="Sam"/>
    <s v="Ämneslärarprogrammet - Gy"/>
    <n v="18405"/>
    <n v="15773"/>
    <n v="7953.0124999999998"/>
    <n v="5800"/>
    <n v="1450"/>
    <n v="9403.0125000000007"/>
    <n v="0"/>
    <n v="0"/>
    <n v="0"/>
    <n v="0"/>
    <n v="0"/>
    <n v="0"/>
    <n v="1"/>
    <n v="0"/>
    <n v="0"/>
    <n v="0"/>
    <n v="0"/>
    <n v="0"/>
  </r>
  <r>
    <s v="6KG004"/>
    <s v="Introduktion till geografi"/>
    <m/>
    <s v="LYAGY"/>
    <s v="H16"/>
    <s v="V19"/>
    <s v="V191-5"/>
    <s v="Umeå"/>
    <m/>
    <s v="SAMK"/>
    <m/>
    <n v="100"/>
    <n v="7.5"/>
    <m/>
    <m/>
    <n v="2"/>
    <n v="0.25"/>
    <n v="0.85"/>
    <n v="0.21249999999999999"/>
    <x v="13"/>
    <s v="Geografi"/>
    <s v="Sam"/>
    <s v="Ämneslärarprogrammet - Gy"/>
    <n v="18405"/>
    <n v="15773"/>
    <n v="7953.0124999999998"/>
    <n v="5800"/>
    <n v="1450"/>
    <n v="9403.0125000000007"/>
    <n v="0"/>
    <n v="0"/>
    <n v="0"/>
    <n v="0"/>
    <n v="0"/>
    <n v="0"/>
    <n v="1"/>
    <n v="0"/>
    <n v="0"/>
    <n v="0"/>
    <n v="0"/>
    <n v="0"/>
  </r>
  <r>
    <s v="6KG004"/>
    <s v="Introduktion till geografi"/>
    <m/>
    <s v="LYAGY"/>
    <s v="H18"/>
    <s v="V19"/>
    <s v="V191-5"/>
    <s v="Umeå"/>
    <m/>
    <s v="GEOG"/>
    <m/>
    <n v="100"/>
    <n v="7.5"/>
    <m/>
    <m/>
    <n v="2"/>
    <n v="0.25"/>
    <n v="0.85"/>
    <n v="0.21249999999999999"/>
    <x v="13"/>
    <s v="Geografi"/>
    <s v="Sam"/>
    <s v="Ämneslärarprogrammet - Gy"/>
    <n v="18405"/>
    <n v="15773"/>
    <n v="7953.0124999999998"/>
    <n v="5800"/>
    <n v="1450"/>
    <n v="9403.0125000000007"/>
    <n v="0"/>
    <n v="0"/>
    <n v="0"/>
    <n v="0"/>
    <n v="0"/>
    <n v="0"/>
    <n v="1"/>
    <n v="0"/>
    <n v="0"/>
    <n v="0"/>
    <n v="0"/>
    <n v="0"/>
  </r>
  <r>
    <s v="6KG005"/>
    <s v="Befolkningsgeografi"/>
    <m/>
    <s v="LYAGY"/>
    <s v="H16"/>
    <s v="V19"/>
    <s v="V1911-20"/>
    <s v="Umeå"/>
    <m/>
    <s v="IDRH"/>
    <m/>
    <n v="100"/>
    <n v="15"/>
    <m/>
    <m/>
    <n v="2"/>
    <n v="0.5"/>
    <n v="0.85"/>
    <n v="0.42499999999999999"/>
    <x v="13"/>
    <s v="Geografi"/>
    <s v="Sam"/>
    <s v="Ämneslärarprogrammet - Gy"/>
    <n v="18672"/>
    <n v="20531.25"/>
    <n v="18061.78125"/>
    <n v="9800"/>
    <n v="4900"/>
    <n v="22961.78125"/>
    <n v="0"/>
    <n v="0"/>
    <n v="0"/>
    <n v="0"/>
    <n v="0"/>
    <n v="0.25"/>
    <n v="0.75"/>
    <n v="0"/>
    <n v="0"/>
    <n v="0"/>
    <n v="0"/>
    <n v="0"/>
  </r>
  <r>
    <s v="6KG005"/>
    <s v="Befolkningsgeografi"/>
    <m/>
    <s v="LYAGY"/>
    <s v="H16"/>
    <s v="V19"/>
    <s v="V1911-20"/>
    <s v="Umeå"/>
    <m/>
    <s v="SAMK"/>
    <m/>
    <n v="100"/>
    <n v="15"/>
    <m/>
    <m/>
    <n v="2"/>
    <n v="0.5"/>
    <n v="0.85"/>
    <n v="0.42499999999999999"/>
    <x v="13"/>
    <s v="Geografi"/>
    <s v="Sam"/>
    <s v="Ämneslärarprogrammet - Gy"/>
    <n v="18672"/>
    <n v="20531.25"/>
    <n v="18061.78125"/>
    <n v="9800"/>
    <n v="4900"/>
    <n v="22961.78125"/>
    <n v="0"/>
    <n v="0"/>
    <n v="0"/>
    <n v="0"/>
    <n v="0"/>
    <n v="0.25"/>
    <n v="0.75"/>
    <n v="0"/>
    <n v="0"/>
    <n v="0"/>
    <n v="0"/>
    <n v="0"/>
  </r>
  <r>
    <s v="6KG005"/>
    <s v="Befolkningsgeografi"/>
    <m/>
    <s v="LYAGY"/>
    <s v="H18"/>
    <s v="V19"/>
    <s v="V1911-20"/>
    <s v="Umeå"/>
    <m/>
    <s v="GEOG"/>
    <m/>
    <n v="100"/>
    <n v="15"/>
    <m/>
    <m/>
    <n v="2"/>
    <n v="0.5"/>
    <n v="0.85"/>
    <n v="0.42499999999999999"/>
    <x v="13"/>
    <s v="Geografi"/>
    <s v="Sam"/>
    <s v="Ämneslärarprogrammet - Gy"/>
    <n v="18672"/>
    <n v="20531.25"/>
    <n v="18061.78125"/>
    <n v="9800"/>
    <n v="4900"/>
    <n v="22961.78125"/>
    <n v="0"/>
    <n v="0"/>
    <n v="0"/>
    <n v="0"/>
    <n v="0"/>
    <n v="0.25"/>
    <n v="0.75"/>
    <n v="0"/>
    <n v="0"/>
    <n v="0"/>
    <n v="0"/>
    <n v="0"/>
  </r>
  <r>
    <s v="6KG006"/>
    <s v="Kartor och GIS"/>
    <m/>
    <s v="LYAGY"/>
    <s v="H16"/>
    <s v="H19"/>
    <s v="H191-5"/>
    <m/>
    <m/>
    <s v="IDRH"/>
    <m/>
    <n v="100"/>
    <n v="7.5"/>
    <m/>
    <m/>
    <n v="3"/>
    <n v="0.375"/>
    <n v="0.85"/>
    <n v="0.31874999999999998"/>
    <x v="13"/>
    <s v="Geografi"/>
    <s v="Sam"/>
    <s v="Ämneslärarprogrammet - Gy"/>
    <n v="18939"/>
    <n v="25289.5"/>
    <n v="15163.153125000001"/>
    <n v="13800"/>
    <n v="5175"/>
    <n v="20338.153125000001"/>
    <n v="0"/>
    <n v="0"/>
    <n v="0"/>
    <n v="0"/>
    <n v="0"/>
    <n v="0.5"/>
    <n v="0.5"/>
    <n v="0"/>
    <n v="0"/>
    <n v="0"/>
    <n v="0"/>
    <n v="0"/>
  </r>
  <r>
    <s v="6KG006"/>
    <s v="Kartor och GIS"/>
    <m/>
    <s v="LYAGY"/>
    <s v="H16"/>
    <s v="H19"/>
    <s v="H191-5"/>
    <m/>
    <m/>
    <s v="SAMK"/>
    <m/>
    <n v="100"/>
    <n v="7.5"/>
    <m/>
    <m/>
    <n v="2"/>
    <n v="0.25"/>
    <n v="0.85"/>
    <n v="0.21249999999999999"/>
    <x v="13"/>
    <s v="Geografi"/>
    <s v="Sam"/>
    <s v="Ämneslärarprogrammet - Gy"/>
    <n v="18939"/>
    <n v="25289.5"/>
    <n v="10108.768749999999"/>
    <n v="13800"/>
    <n v="3450"/>
    <n v="13558.768749999999"/>
    <n v="0"/>
    <n v="0"/>
    <n v="0"/>
    <n v="0"/>
    <n v="0"/>
    <n v="0.5"/>
    <n v="0.5"/>
    <n v="0"/>
    <n v="0"/>
    <n v="0"/>
    <n v="0"/>
    <n v="0"/>
  </r>
  <r>
    <s v="6KG006"/>
    <s v="Kartor och GIS"/>
    <m/>
    <s v="LYAGY"/>
    <s v="H18"/>
    <s v="H19"/>
    <s v="H191-5"/>
    <m/>
    <m/>
    <s v="GEOG"/>
    <m/>
    <n v="100"/>
    <n v="7.5"/>
    <m/>
    <m/>
    <n v="2"/>
    <n v="0.25"/>
    <n v="0.85"/>
    <n v="0.21249999999999999"/>
    <x v="13"/>
    <s v="Geografi"/>
    <s v="Sam"/>
    <s v="Ämneslärarprogrammet - Gy"/>
    <n v="18939"/>
    <n v="25289.5"/>
    <n v="10108.768749999999"/>
    <n v="13800"/>
    <n v="3450"/>
    <n v="13558.768749999999"/>
    <n v="0"/>
    <n v="0"/>
    <n v="0"/>
    <n v="0"/>
    <n v="0"/>
    <n v="0.5"/>
    <n v="0.5"/>
    <n v="0"/>
    <n v="0"/>
    <n v="0"/>
    <n v="0"/>
    <n v="0"/>
  </r>
  <r>
    <s v="6KG007"/>
    <s v="Geografididaktik 1"/>
    <m/>
    <s v="LYAGY"/>
    <s v="H16"/>
    <s v="H19"/>
    <s v="H1916-20"/>
    <m/>
    <m/>
    <s v="IDRH"/>
    <m/>
    <n v="100"/>
    <n v="7.5"/>
    <m/>
    <m/>
    <n v="3"/>
    <n v="0.375"/>
    <n v="0.85"/>
    <n v="0.31874999999999998"/>
    <x v="13"/>
    <s v="Geografi"/>
    <s v="Sam"/>
    <s v="Ämneslärarprogrammet - Gy"/>
    <n v="18405"/>
    <n v="15773"/>
    <n v="11929.518749999999"/>
    <n v="5800"/>
    <n v="2175"/>
    <n v="14104.518749999999"/>
    <n v="0"/>
    <n v="0"/>
    <n v="0"/>
    <n v="0"/>
    <n v="0"/>
    <n v="0"/>
    <n v="1"/>
    <n v="0"/>
    <n v="0"/>
    <n v="0"/>
    <n v="0"/>
    <n v="0"/>
  </r>
  <r>
    <s v="6KG007"/>
    <s v="Geografididaktik 1"/>
    <m/>
    <s v="LYAGY"/>
    <s v="H16"/>
    <s v="H19"/>
    <s v="H1916-20"/>
    <m/>
    <m/>
    <s v="SAMK"/>
    <m/>
    <n v="100"/>
    <n v="7.5"/>
    <m/>
    <m/>
    <n v="2"/>
    <n v="0.25"/>
    <n v="0.85"/>
    <n v="0.21249999999999999"/>
    <x v="13"/>
    <s v="Geografi"/>
    <s v="Sam"/>
    <s v="Ämneslärarprogrammet - Gy"/>
    <n v="18405"/>
    <n v="15773"/>
    <n v="7953.0124999999998"/>
    <n v="5800"/>
    <n v="1450"/>
    <n v="9403.0125000000007"/>
    <n v="0"/>
    <n v="0"/>
    <n v="0"/>
    <n v="0"/>
    <n v="0"/>
    <n v="0"/>
    <n v="1"/>
    <n v="0"/>
    <n v="0"/>
    <n v="0"/>
    <n v="0"/>
    <n v="0"/>
  </r>
  <r>
    <s v="6KG007"/>
    <s v="Geografididaktik 1"/>
    <m/>
    <s v="LYAGY"/>
    <s v="H18"/>
    <s v="H19"/>
    <s v="H1916-20"/>
    <m/>
    <m/>
    <s v="GEOG"/>
    <m/>
    <n v="100"/>
    <n v="7.5"/>
    <m/>
    <m/>
    <n v="2"/>
    <n v="0.25"/>
    <n v="0.85"/>
    <n v="0.21249999999999999"/>
    <x v="13"/>
    <s v="Geografi"/>
    <s v="Sam"/>
    <s v="Ämneslärarprogrammet - Gy"/>
    <n v="18405"/>
    <n v="15773"/>
    <n v="7953.0124999999998"/>
    <n v="5800"/>
    <n v="1450"/>
    <n v="9403.0125000000007"/>
    <n v="0"/>
    <n v="0"/>
    <n v="0"/>
    <n v="0"/>
    <n v="0"/>
    <n v="0"/>
    <n v="1"/>
    <n v="0"/>
    <n v="0"/>
    <n v="0"/>
    <n v="0"/>
    <n v="0"/>
  </r>
  <r>
    <s v="6KG008"/>
    <s v="Geografididaktik 2"/>
    <m/>
    <s v="LYAGY"/>
    <s v="H15"/>
    <s v="V19"/>
    <s v="V1916-20"/>
    <s v="Umeå"/>
    <m/>
    <s v="HIST"/>
    <m/>
    <n v="100"/>
    <n v="7.5"/>
    <m/>
    <m/>
    <n v="2"/>
    <n v="0.25"/>
    <n v="0.85"/>
    <n v="0.21249999999999999"/>
    <x v="13"/>
    <s v="Geografi"/>
    <s v="Sam"/>
    <s v="Ämneslärarprogrammet - Gy"/>
    <n v="18405"/>
    <n v="15773"/>
    <n v="7953.0124999999998"/>
    <n v="5800"/>
    <n v="1450"/>
    <n v="9403.0125000000007"/>
    <n v="0"/>
    <n v="0"/>
    <n v="0"/>
    <n v="0"/>
    <n v="0"/>
    <n v="0"/>
    <n v="1"/>
    <n v="0"/>
    <n v="0"/>
    <n v="0"/>
    <n v="0"/>
    <n v="0"/>
  </r>
  <r>
    <s v="6KG008"/>
    <s v="Geografididaktik 2"/>
    <m/>
    <s v="LYAGY"/>
    <s v="H15"/>
    <s v="V19"/>
    <s v="V1916-20"/>
    <s v="Umeå"/>
    <m/>
    <s v="IDRH"/>
    <m/>
    <n v="100"/>
    <n v="7.5"/>
    <m/>
    <m/>
    <n v="1"/>
    <n v="0.125"/>
    <n v="0.85"/>
    <n v="0.10625"/>
    <x v="13"/>
    <s v="Geografi"/>
    <s v="Sam"/>
    <s v="Ämneslärarprogrammet - Gy"/>
    <n v="18405"/>
    <n v="15773"/>
    <n v="3976.5062499999999"/>
    <n v="5800"/>
    <n v="725"/>
    <n v="4701.5062500000004"/>
    <n v="0"/>
    <n v="0"/>
    <n v="0"/>
    <n v="0"/>
    <n v="0"/>
    <n v="0"/>
    <n v="1"/>
    <n v="0"/>
    <n v="0"/>
    <n v="0"/>
    <n v="0"/>
    <n v="0"/>
  </r>
  <r>
    <s v="6KG008"/>
    <s v="Geografididaktik 2"/>
    <m/>
    <s v="LYAGY"/>
    <s v="H17"/>
    <s v="V19"/>
    <s v="V1916-20"/>
    <s v="Umeå"/>
    <m/>
    <s v="GEOG"/>
    <m/>
    <n v="100"/>
    <n v="7.5"/>
    <m/>
    <m/>
    <n v="2"/>
    <n v="0.25"/>
    <n v="0.85"/>
    <n v="0.21249999999999999"/>
    <x v="13"/>
    <s v="Geografi"/>
    <s v="Sam"/>
    <s v="Ämneslärarprogrammet - Gy"/>
    <n v="18405"/>
    <n v="15773"/>
    <n v="7953.0124999999998"/>
    <n v="5800"/>
    <n v="1450"/>
    <n v="9403.0125000000007"/>
    <n v="0"/>
    <n v="0"/>
    <n v="0"/>
    <n v="0"/>
    <n v="0"/>
    <n v="0"/>
    <n v="1"/>
    <n v="0"/>
    <n v="0"/>
    <n v="0"/>
    <n v="0"/>
    <n v="0"/>
  </r>
  <r>
    <s v="6KN011"/>
    <s v="Hem- och konsumentkunskap B, distans"/>
    <m/>
    <s v="FRIST"/>
    <m/>
    <s v="H19"/>
    <m/>
    <m/>
    <s v="Distans"/>
    <m/>
    <m/>
    <n v="100"/>
    <n v="30"/>
    <m/>
    <m/>
    <n v="25"/>
    <n v="12.5"/>
    <n v="0.8"/>
    <n v="10"/>
    <x v="14"/>
    <s v="Kostvetenskap                 "/>
    <s v="Sam"/>
    <s v="Fristående och övriga kurser"/>
    <n v="19473"/>
    <n v="34806"/>
    <n v="591472.5"/>
    <n v="21800"/>
    <n v="272500"/>
    <n v="863972.5"/>
    <n v="0"/>
    <n v="0"/>
    <n v="0"/>
    <n v="0"/>
    <n v="0"/>
    <n v="1"/>
    <n v="0"/>
    <n v="0"/>
    <n v="0"/>
    <n v="0"/>
    <n v="0"/>
    <n v="0"/>
  </r>
  <r>
    <s v="6KN015"/>
    <s v="Hem- och konsumentkunskap B15, distans"/>
    <m/>
    <s v="FRIST"/>
    <m/>
    <s v="H19"/>
    <m/>
    <m/>
    <s v="Distans"/>
    <m/>
    <m/>
    <n v="50"/>
    <n v="15"/>
    <m/>
    <m/>
    <n v="15"/>
    <n v="3.75"/>
    <n v="0.8"/>
    <n v="3"/>
    <x v="14"/>
    <s v="Kostvetenskap                 "/>
    <s v="Sam"/>
    <s v="Fristående och övriga kurser"/>
    <n v="19473"/>
    <n v="34806"/>
    <n v="177441.75"/>
    <n v="21800"/>
    <n v="81750"/>
    <n v="259191.75"/>
    <n v="0"/>
    <n v="0"/>
    <n v="0"/>
    <n v="0"/>
    <n v="0"/>
    <n v="1"/>
    <n v="0"/>
    <n v="0"/>
    <n v="0"/>
    <n v="0"/>
    <n v="0"/>
    <n v="0"/>
  </r>
  <r>
    <s v="6KN015"/>
    <s v="Hem- och konsumentkunskap B15, distans"/>
    <m/>
    <s v="FRIST"/>
    <m/>
    <s v="H19"/>
    <m/>
    <m/>
    <s v="Distans"/>
    <m/>
    <m/>
    <n v="25"/>
    <n v="7.5"/>
    <m/>
    <m/>
    <n v="50"/>
    <n v="6.25"/>
    <n v="0.8"/>
    <n v="5"/>
    <x v="14"/>
    <s v="Kostvetenskap                 "/>
    <s v="Sam"/>
    <s v="Fristående och övriga kurser"/>
    <n v="19473"/>
    <n v="34806"/>
    <n v="295736.25"/>
    <n v="21800"/>
    <n v="136250"/>
    <n v="431986.25"/>
    <n v="0"/>
    <n v="0"/>
    <n v="0"/>
    <n v="0"/>
    <n v="0"/>
    <n v="1"/>
    <n v="0"/>
    <n v="0"/>
    <n v="0"/>
    <n v="0"/>
    <n v="0"/>
    <n v="0"/>
  </r>
  <r>
    <s v="6KN016"/>
    <s v="Hem- och konsumentkunskap C - fördjupning"/>
    <m/>
    <s v="FRIST"/>
    <m/>
    <s v="V19"/>
    <m/>
    <m/>
    <s v="Distans"/>
    <m/>
    <m/>
    <n v="100"/>
    <n v="30"/>
    <m/>
    <m/>
    <n v="11"/>
    <n v="5.5"/>
    <n v="0.8"/>
    <n v="4.4000000000000004"/>
    <x v="14"/>
    <s v="Kostvetenskap                 "/>
    <s v="Sam"/>
    <s v="Fristående och övriga kurser"/>
    <n v="18405"/>
    <n v="15773"/>
    <n v="170628.7"/>
    <n v="5800"/>
    <n v="31900"/>
    <n v="202528.7"/>
    <n v="0"/>
    <n v="0"/>
    <n v="0"/>
    <n v="0"/>
    <n v="0"/>
    <n v="0"/>
    <n v="1"/>
    <n v="0"/>
    <n v="0"/>
    <n v="0"/>
    <n v="0"/>
    <n v="0"/>
  </r>
  <r>
    <s v="6KN022"/>
    <s v="Examensarbete i kostvetenskap för ämneslärarexamen med inriktning hem- och konsumentkunskap"/>
    <m/>
    <s v="LYAGR"/>
    <s v="H14"/>
    <s v="V19"/>
    <s v="H1816-20:V191-15"/>
    <s v="Umeå"/>
    <m/>
    <s v="HEMK"/>
    <m/>
    <n v="100"/>
    <n v="22.5"/>
    <m/>
    <m/>
    <n v="1"/>
    <n v="0.375"/>
    <n v="0.85"/>
    <n v="0.31874999999999998"/>
    <x v="14"/>
    <s v="Kostvetenskap                 "/>
    <s v="Sam"/>
    <s v="Ämneslärarprogrammet - åk 7-9"/>
    <n v="18405"/>
    <n v="15773"/>
    <n v="11929.518749999999"/>
    <n v="5800"/>
    <n v="2175"/>
    <n v="14104.518749999999"/>
    <n v="0"/>
    <n v="0"/>
    <n v="0"/>
    <n v="0"/>
    <n v="0"/>
    <n v="0"/>
    <n v="1"/>
    <n v="0"/>
    <n v="0"/>
    <n v="0"/>
    <n v="0"/>
    <n v="0"/>
  </r>
  <r>
    <s v="6KN023"/>
    <s v="Hem- och konsumentkunskap, distans A"/>
    <m/>
    <s v="FRIST"/>
    <m/>
    <s v="V19"/>
    <m/>
    <m/>
    <s v="Distans"/>
    <m/>
    <m/>
    <n v="100"/>
    <n v="30"/>
    <m/>
    <m/>
    <n v="35"/>
    <n v="17.5"/>
    <n v="0.8"/>
    <n v="14"/>
    <x v="14"/>
    <s v="Kostvetenskap                 "/>
    <s v="Sam"/>
    <s v="Fristående och övriga kurser"/>
    <n v="19473"/>
    <n v="34806"/>
    <n v="828061.5"/>
    <n v="21800"/>
    <n v="381500"/>
    <n v="1209561.5"/>
    <n v="0"/>
    <n v="0"/>
    <n v="0"/>
    <n v="0"/>
    <n v="0"/>
    <n v="1"/>
    <n v="0"/>
    <n v="0"/>
    <n v="0"/>
    <n v="0"/>
    <n v="0"/>
    <n v="0"/>
  </r>
  <r>
    <s v="6KS000"/>
    <s v="Kulturslöjd - tradition, hantverk och nytänkande"/>
    <m/>
    <s v="FRIST"/>
    <m/>
    <s v="Sommar"/>
    <s v="Sommarkurs"/>
    <m/>
    <s v="Distans"/>
    <m/>
    <m/>
    <n v="50"/>
    <n v="7.5"/>
    <m/>
    <m/>
    <n v="28"/>
    <n v="3.5"/>
    <n v="0.8"/>
    <n v="2.8000000000000003"/>
    <x v="11"/>
    <s v="Estetiska ämnen               "/>
    <s v="Hum"/>
    <s v="Fristående och övriga kurser"/>
    <n v="17659.5"/>
    <n v="30866"/>
    <n v="148233.04999999999"/>
    <n v="19550"/>
    <n v="68425"/>
    <n v="216658.05"/>
    <n v="0"/>
    <n v="0"/>
    <n v="0"/>
    <n v="0"/>
    <n v="0"/>
    <n v="0"/>
    <n v="0"/>
    <n v="0.5"/>
    <n v="0"/>
    <n v="0"/>
    <n v="0.5"/>
    <n v="0"/>
  </r>
  <r>
    <s v="6KS001"/>
    <s v="Folkmusikdidaktik"/>
    <m/>
    <s v="FRIST"/>
    <m/>
    <s v="Sommar"/>
    <s v="Sommarkurs"/>
    <m/>
    <s v="Distans"/>
    <m/>
    <m/>
    <n v="50"/>
    <n v="7.5"/>
    <m/>
    <m/>
    <n v="14"/>
    <n v="1.75"/>
    <n v="0.8"/>
    <n v="1.4000000000000001"/>
    <x v="11"/>
    <s v="Estetiska ämnen               "/>
    <s v="Hum"/>
    <s v="Fristående och övriga kurser"/>
    <n v="24603.5"/>
    <n v="39785"/>
    <n v="98755.125"/>
    <n v="37950"/>
    <n v="66412.5"/>
    <n v="165167.625"/>
    <n v="0"/>
    <n v="0.5"/>
    <n v="0"/>
    <n v="0"/>
    <n v="0.5"/>
    <n v="0"/>
    <n v="0"/>
    <n v="0"/>
    <n v="0"/>
    <n v="0"/>
    <n v="0"/>
    <n v="0"/>
  </r>
  <r>
    <s v="6LI009"/>
    <s v="Ditt barns språk 2. Språkutveckling mellan 2 och 4 år"/>
    <m/>
    <s v="FRIST"/>
    <m/>
    <s v="V19"/>
    <m/>
    <m/>
    <s v="Distans"/>
    <m/>
    <m/>
    <n v="15"/>
    <n v="5"/>
    <m/>
    <m/>
    <n v="27"/>
    <n v="2.25"/>
    <n v="0.8"/>
    <n v="1.8"/>
    <x v="10"/>
    <s v="Inst för språkstudier"/>
    <s v="Hum"/>
    <s v="Fristående och övriga kurser"/>
    <n v="18405"/>
    <n v="15773"/>
    <n v="69802.649999999994"/>
    <n v="5800"/>
    <n v="13050"/>
    <n v="82852.649999999994"/>
    <n v="0"/>
    <n v="1"/>
    <n v="0"/>
    <n v="0"/>
    <n v="0"/>
    <n v="0"/>
    <n v="0"/>
    <n v="0"/>
    <n v="0"/>
    <n v="0"/>
    <n v="0"/>
    <n v="0"/>
  </r>
  <r>
    <s v="6LI009"/>
    <s v="Ditt barns språk 2. Språkutveckling mellan 2 och 4 år"/>
    <m/>
    <s v="FRIST"/>
    <m/>
    <s v="H19"/>
    <m/>
    <m/>
    <s v="Campus"/>
    <m/>
    <m/>
    <n v="25"/>
    <n v="5"/>
    <m/>
    <m/>
    <n v="35"/>
    <n v="2.9166666666666665"/>
    <n v="0.8"/>
    <n v="2.3333333333333335"/>
    <x v="10"/>
    <s v="Inst för språkstudier"/>
    <s v="Hum"/>
    <s v="Fristående och övriga kurser"/>
    <n v="18405"/>
    <n v="15773"/>
    <n v="90484.916666666672"/>
    <n v="5800"/>
    <n v="16916.666666666664"/>
    <n v="107401.58333333334"/>
    <n v="0"/>
    <n v="1"/>
    <n v="0"/>
    <n v="0"/>
    <n v="0"/>
    <n v="0"/>
    <n v="0"/>
    <n v="0"/>
    <n v="0"/>
    <n v="0"/>
    <n v="0"/>
    <n v="0"/>
  </r>
  <r>
    <s v="6LI010"/>
    <s v="Ditt barns språk I - Språkutvecklingen mellan 0 och 2 år"/>
    <m/>
    <s v="FRIST"/>
    <m/>
    <s v="V19"/>
    <m/>
    <m/>
    <s v="Distans"/>
    <m/>
    <m/>
    <n v="25"/>
    <n v="7.5"/>
    <m/>
    <m/>
    <n v="0"/>
    <n v="0"/>
    <n v="0.8"/>
    <n v="0"/>
    <x v="10"/>
    <s v="Inst för språkstudier"/>
    <s v="Hum"/>
    <s v="Fristående och övriga kurser"/>
    <n v="18405"/>
    <n v="15773"/>
    <n v="0"/>
    <n v="5800"/>
    <n v="0"/>
    <n v="0"/>
    <n v="0"/>
    <n v="1"/>
    <n v="0"/>
    <n v="0"/>
    <n v="0"/>
    <n v="0"/>
    <n v="0"/>
    <n v="0"/>
    <n v="0"/>
    <n v="0"/>
    <n v="0"/>
    <n v="0"/>
  </r>
  <r>
    <s v="6LI011"/>
    <s v="Människans språk: Lingvistik för lärare"/>
    <m/>
    <s v="FRIST"/>
    <m/>
    <s v="V19"/>
    <m/>
    <m/>
    <s v="Distans"/>
    <m/>
    <m/>
    <n v="50"/>
    <n v="15"/>
    <m/>
    <m/>
    <n v="2"/>
    <n v="0.5"/>
    <n v="0.8"/>
    <n v="0.4"/>
    <x v="10"/>
    <s v="Inst för språkstudier"/>
    <s v="Hum"/>
    <s v="Fristående och övriga kurser"/>
    <n v="18405"/>
    <n v="15773"/>
    <n v="15511.7"/>
    <n v="5800"/>
    <n v="2900"/>
    <n v="18411.7"/>
    <n v="0"/>
    <n v="1"/>
    <n v="0"/>
    <n v="0"/>
    <n v="0"/>
    <n v="0"/>
    <n v="0"/>
    <n v="0"/>
    <n v="0"/>
    <n v="0"/>
    <n v="0"/>
    <n v="0"/>
  </r>
  <r>
    <s v="6LI011"/>
    <s v="Människans språk: Lingvistik för lärare"/>
    <m/>
    <s v="FRIST"/>
    <m/>
    <s v="H19"/>
    <m/>
    <m/>
    <s v="Distans"/>
    <m/>
    <m/>
    <n v="50"/>
    <n v="15"/>
    <m/>
    <m/>
    <n v="5"/>
    <n v="1.25"/>
    <n v="0.8"/>
    <n v="1"/>
    <x v="10"/>
    <s v="Inst för språkstudier"/>
    <s v="Hum"/>
    <s v="Fristående och övriga kurser"/>
    <n v="18405"/>
    <n v="15773"/>
    <n v="38779.25"/>
    <n v="5800"/>
    <n v="7250"/>
    <n v="46029.25"/>
    <n v="0"/>
    <n v="1"/>
    <n v="0"/>
    <n v="0"/>
    <n v="0"/>
    <n v="0"/>
    <n v="0"/>
    <n v="0"/>
    <n v="0"/>
    <n v="0"/>
    <n v="0"/>
    <n v="0"/>
  </r>
  <r>
    <s v="6LI013"/>
    <s v="Specialpedagogik med fokus på svenska och matematik för F-3"/>
    <m/>
    <s v="LYGFT"/>
    <s v="H15"/>
    <s v="H19"/>
    <s v="H191-10"/>
    <m/>
    <m/>
    <m/>
    <m/>
    <n v="100"/>
    <n v="15"/>
    <m/>
    <m/>
    <n v="1"/>
    <n v="0.25"/>
    <n v="0.85"/>
    <n v="0.21249999999999999"/>
    <x v="10"/>
    <s v="Inst för språkstudier"/>
    <s v="Hum"/>
    <s v="Grundlärarprogrammet - förskoleklass och åk 1-3"/>
    <n v="18405"/>
    <n v="15773"/>
    <n v="7953.0124999999998"/>
    <n v="5800"/>
    <n v="1450"/>
    <n v="9403.0125000000007"/>
    <n v="0"/>
    <n v="1"/>
    <n v="0"/>
    <n v="0"/>
    <n v="0"/>
    <n v="0"/>
    <n v="0"/>
    <n v="0"/>
    <n v="0"/>
    <n v="0"/>
    <n v="0"/>
    <n v="0"/>
  </r>
  <r>
    <s v="6LI013"/>
    <s v="Specialpedagogik med fokus på svenska och matematik för F-3"/>
    <m/>
    <s v="LYGFT"/>
    <s v="H16"/>
    <s v="H19"/>
    <s v="H191-10"/>
    <m/>
    <m/>
    <m/>
    <m/>
    <n v="100"/>
    <n v="15"/>
    <m/>
    <m/>
    <n v="1"/>
    <n v="0.25"/>
    <n v="0.85"/>
    <n v="0.21249999999999999"/>
    <x v="10"/>
    <s v="Inst för språkstudier"/>
    <s v="Hum"/>
    <s v="Grundlärarprogrammet - förskoleklass och åk 1-3"/>
    <n v="18405"/>
    <n v="15773"/>
    <n v="7953.0124999999998"/>
    <n v="5800"/>
    <n v="1450"/>
    <n v="9403.0125000000007"/>
    <n v="0"/>
    <n v="1"/>
    <n v="0"/>
    <n v="0"/>
    <n v="0"/>
    <n v="0"/>
    <n v="0"/>
    <n v="0"/>
    <n v="0"/>
    <n v="0"/>
    <n v="0"/>
    <n v="0"/>
  </r>
  <r>
    <s v="6LI013"/>
    <s v="Specialpedagogik med fokus på svenska och matematik för F-3"/>
    <m/>
    <s v="LYGFT"/>
    <s v="H17"/>
    <s v="H19"/>
    <s v="H191-10"/>
    <m/>
    <m/>
    <m/>
    <m/>
    <n v="100"/>
    <n v="15"/>
    <m/>
    <m/>
    <n v="34"/>
    <n v="8.5"/>
    <n v="0.85"/>
    <n v="7.2249999999999996"/>
    <x v="10"/>
    <s v="Inst för språkstudier"/>
    <s v="Hum"/>
    <s v="Grundlärarprogrammet - förskoleklass och åk 1-3"/>
    <n v="18405"/>
    <n v="15773"/>
    <n v="270402.42499999999"/>
    <n v="5800"/>
    <n v="49300"/>
    <n v="319702.42499999999"/>
    <n v="0"/>
    <n v="1"/>
    <n v="0"/>
    <n v="0"/>
    <n v="0"/>
    <n v="0"/>
    <n v="0"/>
    <n v="0"/>
    <n v="0"/>
    <n v="0"/>
    <n v="0"/>
    <n v="0"/>
  </r>
  <r>
    <s v="6LU002"/>
    <s v="Demokrati, individ och samhälle"/>
    <m/>
    <s v="LYKGR"/>
    <s v="H18"/>
    <s v="V19"/>
    <s v="H1816-20:V191-9"/>
    <s v="Umeå"/>
    <m/>
    <m/>
    <m/>
    <n v="50"/>
    <n v="5"/>
    <m/>
    <m/>
    <n v="16"/>
    <n v="1.3333333333333333"/>
    <n v="0.85"/>
    <n v="1.1333333333333333"/>
    <x v="12"/>
    <s v="Inst för ide- o samhällsstudier"/>
    <s v="Hum"/>
    <s v="KPU - åk 7-9"/>
    <n v="23641"/>
    <n v="28786"/>
    <n v="64145.46666666666"/>
    <n v="5800"/>
    <n v="7733.333333333333"/>
    <n v="71878.799999999988"/>
    <n v="0"/>
    <n v="0"/>
    <n v="0"/>
    <n v="1"/>
    <n v="0"/>
    <n v="0"/>
    <n v="0"/>
    <n v="0"/>
    <n v="0"/>
    <n v="0"/>
    <n v="0"/>
    <n v="0"/>
  </r>
  <r>
    <s v="6LU002"/>
    <s v="Demokrati, individ och samhälle"/>
    <m/>
    <s v="LYKGR"/>
    <s v="H19"/>
    <s v="H19"/>
    <s v="H1916-20:V201-9"/>
    <m/>
    <m/>
    <s v="GRHF"/>
    <m/>
    <n v="50"/>
    <n v="5"/>
    <m/>
    <m/>
    <n v="18"/>
    <n v="1.5"/>
    <n v="0.85"/>
    <n v="1.2749999999999999"/>
    <x v="12"/>
    <s v="Inst för ide- o samhällsstudier"/>
    <s v="Hum"/>
    <s v="KPU - åk 7-9"/>
    <n v="23641"/>
    <n v="28786"/>
    <n v="72163.649999999994"/>
    <n v="5800"/>
    <n v="8700"/>
    <n v="80863.649999999994"/>
    <n v="0"/>
    <n v="0"/>
    <n v="0"/>
    <n v="1"/>
    <n v="0"/>
    <n v="0"/>
    <n v="0"/>
    <n v="0"/>
    <n v="0"/>
    <n v="0"/>
    <n v="0"/>
    <n v="0"/>
  </r>
  <r>
    <s v="6LU002"/>
    <s v="Demokrati, individ och samhälle"/>
    <m/>
    <s v="LYKGR"/>
    <s v="V08"/>
    <s v="H19"/>
    <s v="H1916-20:V201-9"/>
    <m/>
    <m/>
    <s v="GRHF"/>
    <m/>
    <n v="50"/>
    <n v="5"/>
    <m/>
    <m/>
    <n v="1"/>
    <n v="8.3333333333333329E-2"/>
    <n v="0.85"/>
    <n v="7.0833333333333331E-2"/>
    <x v="12"/>
    <s v="Inst för ide- o samhällsstudier"/>
    <s v="Hum"/>
    <s v="KPU - åk 7-9"/>
    <n v="23641"/>
    <n v="28786"/>
    <n v="4009.0916666666662"/>
    <n v="5800"/>
    <n v="483.33333333333331"/>
    <n v="4492.4249999999993"/>
    <n v="0"/>
    <n v="0"/>
    <n v="0"/>
    <n v="1"/>
    <n v="0"/>
    <n v="0"/>
    <n v="0"/>
    <n v="0"/>
    <n v="0"/>
    <n v="0"/>
    <n v="0"/>
    <n v="0"/>
  </r>
  <r>
    <s v="6LU002"/>
    <s v="Demokrati, individ och samhälle"/>
    <m/>
    <s v="LYKGY"/>
    <s v="H18"/>
    <s v="V19"/>
    <s v="H1816-20:V191-9"/>
    <s v="Umeå"/>
    <m/>
    <m/>
    <m/>
    <n v="50"/>
    <n v="5"/>
    <m/>
    <m/>
    <n v="8"/>
    <n v="0.66666666666666663"/>
    <n v="0.85"/>
    <n v="0.56666666666666665"/>
    <x v="12"/>
    <s v="Inst för ide- o samhällsstudier"/>
    <s v="Hum"/>
    <s v="KPU - Gy"/>
    <n v="23641"/>
    <n v="28786"/>
    <n v="32072.73333333333"/>
    <n v="5800"/>
    <n v="3866.6666666666665"/>
    <n v="35939.399999999994"/>
    <n v="0"/>
    <n v="0"/>
    <n v="0"/>
    <n v="1"/>
    <n v="0"/>
    <n v="0"/>
    <n v="0"/>
    <n v="0"/>
    <n v="0"/>
    <n v="0"/>
    <n v="0"/>
    <n v="0"/>
  </r>
  <r>
    <s v="6LU002"/>
    <s v="Demokrati, individ och samhälle"/>
    <m/>
    <s v="LYKGY"/>
    <s v="H19"/>
    <s v="H19"/>
    <s v="H1916-20:V201-9"/>
    <m/>
    <m/>
    <s v="GYHF"/>
    <m/>
    <n v="50"/>
    <n v="5"/>
    <m/>
    <m/>
    <n v="4"/>
    <n v="0.33333333333333331"/>
    <n v="0.85"/>
    <n v="0.28333333333333333"/>
    <x v="12"/>
    <s v="Inst för ide- o samhällsstudier"/>
    <s v="Hum"/>
    <s v="KPU - Gy"/>
    <n v="23641"/>
    <n v="28786"/>
    <n v="16036.366666666665"/>
    <n v="5800"/>
    <n v="1933.3333333333333"/>
    <n v="17969.699999999997"/>
    <n v="0"/>
    <n v="0"/>
    <n v="0"/>
    <n v="1"/>
    <n v="0"/>
    <n v="0"/>
    <n v="0"/>
    <n v="0"/>
    <n v="0"/>
    <n v="0"/>
    <n v="0"/>
    <n v="0"/>
  </r>
  <r>
    <s v="6LU002"/>
    <s v="Demokrati, individ och samhälle"/>
    <m/>
    <s v="LYYRK"/>
    <s v="H17"/>
    <s v="V19"/>
    <s v="H1816-20:V191-9"/>
    <s v="Umeå"/>
    <m/>
    <m/>
    <m/>
    <n v="50"/>
    <n v="5"/>
    <m/>
    <m/>
    <n v="0"/>
    <n v="0"/>
    <n v="0.85"/>
    <n v="0"/>
    <x v="12"/>
    <s v="Inst för ide- o samhällsstudier"/>
    <s v="Hum"/>
    <s v="Yrkeslärarprogrammet"/>
    <n v="23641"/>
    <n v="28786"/>
    <n v="0"/>
    <n v="5800"/>
    <n v="0"/>
    <n v="0"/>
    <n v="0"/>
    <n v="0"/>
    <n v="0"/>
    <n v="1"/>
    <n v="0"/>
    <n v="0"/>
    <n v="0"/>
    <n v="0"/>
    <n v="0"/>
    <n v="0"/>
    <n v="0"/>
    <n v="0"/>
  </r>
  <r>
    <s v="6LU002"/>
    <s v="Demokrati, individ och samhälle"/>
    <m/>
    <s v="LYYRK"/>
    <s v="H18"/>
    <s v="V19"/>
    <s v="H1816-20:V191-9"/>
    <s v="Umeå"/>
    <m/>
    <m/>
    <m/>
    <n v="50"/>
    <n v="5"/>
    <m/>
    <m/>
    <n v="0"/>
    <n v="0"/>
    <n v="0.85"/>
    <n v="0"/>
    <x v="12"/>
    <s v="Inst för ide- o samhällsstudier"/>
    <s v="Hum"/>
    <s v="Yrkeslärarprogrammet"/>
    <n v="23641"/>
    <n v="28786"/>
    <n v="0"/>
    <n v="5800"/>
    <n v="0"/>
    <n v="0"/>
    <n v="0"/>
    <n v="0"/>
    <n v="0"/>
    <n v="1"/>
    <n v="0"/>
    <n v="0"/>
    <n v="0"/>
    <n v="0"/>
    <n v="0"/>
    <n v="0"/>
    <n v="0"/>
    <n v="0"/>
  </r>
  <r>
    <s v="6LU002"/>
    <s v="Demokrati, individ och samhälle"/>
    <m/>
    <s v="LYYRK"/>
    <s v="H18"/>
    <s v="V19"/>
    <s v="H1816-20:V191-9"/>
    <s v="Umeå"/>
    <m/>
    <m/>
    <m/>
    <n v="50"/>
    <n v="5"/>
    <m/>
    <m/>
    <n v="43"/>
    <n v="3.583333333333333"/>
    <n v="0.85"/>
    <n v="3.0458333333333329"/>
    <x v="12"/>
    <s v="Inst för ide- o samhällsstudier"/>
    <s v="Hum"/>
    <s v="Yrkeslärarprogrammet"/>
    <n v="23641"/>
    <n v="28786"/>
    <n v="172390.94166666665"/>
    <n v="5800"/>
    <n v="20783.333333333332"/>
    <n v="193174.27499999999"/>
    <n v="0"/>
    <n v="0"/>
    <n v="0"/>
    <n v="1"/>
    <n v="0"/>
    <n v="0"/>
    <n v="0"/>
    <n v="0"/>
    <n v="0"/>
    <n v="0"/>
    <n v="0"/>
    <n v="0"/>
  </r>
  <r>
    <s v="6LU002"/>
    <s v="Demokrati, individ och samhälle"/>
    <m/>
    <s v="LYYRK"/>
    <s v="H19"/>
    <s v="H19"/>
    <s v="H1916-20:V201-9"/>
    <m/>
    <m/>
    <m/>
    <m/>
    <n v="50"/>
    <n v="5"/>
    <n v="-0.1"/>
    <n v="74"/>
    <n v="66.599999999999994"/>
    <n v="5.5499999999999989"/>
    <n v="0.85"/>
    <n v="4.7174999999999994"/>
    <x v="12"/>
    <s v="Inst för ide- o samhällsstudier"/>
    <s v="Hum"/>
    <s v="Yrkeslärarprogrammet"/>
    <n v="23641"/>
    <n v="28786"/>
    <n v="267005.505"/>
    <n v="5800"/>
    <n v="32189.999999999993"/>
    <n v="299195.505"/>
    <n v="0"/>
    <n v="0"/>
    <n v="0"/>
    <n v="1"/>
    <n v="0"/>
    <n v="0"/>
    <n v="0"/>
    <n v="0"/>
    <n v="0"/>
    <n v="0"/>
    <n v="0"/>
    <n v="0"/>
  </r>
  <r>
    <s v="6LU003"/>
    <s v="Kunskap, undervisning och lärande I"/>
    <m/>
    <s v="LYKGR"/>
    <s v="H19"/>
    <s v="H19"/>
    <s v="H191-15"/>
    <m/>
    <m/>
    <s v="GRHF"/>
    <m/>
    <n v="50"/>
    <n v="10"/>
    <m/>
    <m/>
    <n v="18"/>
    <n v="3"/>
    <n v="0.85"/>
    <n v="2.5499999999999998"/>
    <x v="12"/>
    <s v="Inst för ide- o samhällsstudier"/>
    <s v="Hum"/>
    <s v="KPU - åk 7-9"/>
    <n v="23641"/>
    <n v="28786"/>
    <n v="144327.29999999999"/>
    <n v="5800"/>
    <n v="17400"/>
    <n v="161727.29999999999"/>
    <n v="0"/>
    <n v="0"/>
    <n v="0"/>
    <n v="1"/>
    <n v="0"/>
    <n v="0"/>
    <n v="0"/>
    <n v="0"/>
    <n v="0"/>
    <n v="0"/>
    <n v="0"/>
    <n v="0"/>
  </r>
  <r>
    <s v="6LU003"/>
    <s v="Kunskap, undervisning och lärande I"/>
    <m/>
    <s v="LYKGR"/>
    <s v="V08"/>
    <s v="H19"/>
    <s v="H191-15"/>
    <m/>
    <m/>
    <s v="GRHF"/>
    <m/>
    <n v="50"/>
    <n v="10"/>
    <m/>
    <m/>
    <n v="1"/>
    <n v="0.16666666666666666"/>
    <n v="0.85"/>
    <n v="0.14166666666666666"/>
    <x v="12"/>
    <s v="Inst för ide- o samhällsstudier"/>
    <s v="Hum"/>
    <s v="KPU - åk 7-9"/>
    <n v="23641"/>
    <n v="28786"/>
    <n v="8018.1833333333325"/>
    <n v="5800"/>
    <n v="966.66666666666663"/>
    <n v="8984.8499999999985"/>
    <n v="0"/>
    <n v="0"/>
    <n v="0"/>
    <n v="1"/>
    <n v="0"/>
    <n v="0"/>
    <n v="0"/>
    <n v="0"/>
    <n v="0"/>
    <n v="0"/>
    <n v="0"/>
    <n v="0"/>
  </r>
  <r>
    <s v="6LU003"/>
    <s v="Kunskap, undervisning och lärande I"/>
    <m/>
    <s v="LYKGY"/>
    <s v="H19"/>
    <s v="H19"/>
    <s v="H191-15"/>
    <m/>
    <m/>
    <s v="GYHF"/>
    <m/>
    <n v="50"/>
    <n v="10"/>
    <m/>
    <m/>
    <n v="4"/>
    <n v="0.66666666666666663"/>
    <n v="0.85"/>
    <n v="0.56666666666666665"/>
    <x v="12"/>
    <s v="Inst för ide- o samhällsstudier"/>
    <s v="Hum"/>
    <s v="KPU - Gy"/>
    <n v="23641"/>
    <n v="28786"/>
    <n v="32072.73333333333"/>
    <n v="5800"/>
    <n v="3866.6666666666665"/>
    <n v="35939.399999999994"/>
    <n v="0"/>
    <n v="0"/>
    <n v="0"/>
    <n v="1"/>
    <n v="0"/>
    <n v="0"/>
    <n v="0"/>
    <n v="0"/>
    <n v="0"/>
    <n v="0"/>
    <n v="0"/>
    <n v="0"/>
  </r>
  <r>
    <s v="6LU003"/>
    <s v="Kunskap, undervisning och lärande I"/>
    <m/>
    <s v="LYYRK"/>
    <s v="H19"/>
    <s v="H19"/>
    <s v="H191-15"/>
    <m/>
    <m/>
    <m/>
    <m/>
    <n v="50"/>
    <n v="10"/>
    <m/>
    <m/>
    <n v="74"/>
    <n v="12.333333333333332"/>
    <n v="0.85"/>
    <n v="10.483333333333333"/>
    <x v="12"/>
    <s v="Inst för ide- o samhällsstudier"/>
    <s v="Hum"/>
    <s v="Yrkeslärarprogrammet"/>
    <n v="23641"/>
    <n v="28786"/>
    <n v="593345.56666666665"/>
    <n v="5800"/>
    <n v="71533.333333333328"/>
    <n v="664878.9"/>
    <n v="0"/>
    <n v="0"/>
    <n v="0"/>
    <n v="1"/>
    <n v="0"/>
    <n v="0"/>
    <n v="0"/>
    <n v="0"/>
    <n v="0"/>
    <n v="0"/>
    <n v="0"/>
    <n v="0"/>
  </r>
  <r>
    <s v="6LU005"/>
    <s v="Samhällsorientering åk 4-6"/>
    <m/>
    <s v="LYGRM"/>
    <s v="H12"/>
    <s v="V19"/>
    <s v="V191-20"/>
    <s v="Umeå"/>
    <m/>
    <m/>
    <m/>
    <n v="100"/>
    <n v="30"/>
    <m/>
    <m/>
    <n v="1"/>
    <n v="0.5"/>
    <n v="0.85"/>
    <n v="0.42499999999999999"/>
    <x v="12"/>
    <s v="Inst för ide- o samhällsstudier"/>
    <s v="Hum"/>
    <s v="Grundlärarprogrammet - grundskolans åk 4-6"/>
    <n v="18405"/>
    <n v="15773"/>
    <n v="15906.025"/>
    <n v="5800"/>
    <n v="2900"/>
    <n v="18806.025000000001"/>
    <n v="0"/>
    <n v="1"/>
    <n v="0"/>
    <n v="0"/>
    <n v="0"/>
    <n v="0"/>
    <n v="0"/>
    <n v="0"/>
    <n v="0"/>
    <n v="0"/>
    <n v="0"/>
    <n v="0"/>
  </r>
  <r>
    <s v="6LU005"/>
    <s v="Samhällsorientering åk 4-6"/>
    <m/>
    <s v="LYGRM"/>
    <s v="H16"/>
    <s v="V19"/>
    <s v="V191-20"/>
    <s v="Umeå"/>
    <m/>
    <m/>
    <m/>
    <n v="100"/>
    <n v="30"/>
    <m/>
    <m/>
    <n v="13"/>
    <n v="6.5"/>
    <n v="0.85"/>
    <n v="5.5249999999999995"/>
    <x v="12"/>
    <s v="Inst för ide- o samhällsstudier"/>
    <s v="Hum"/>
    <s v="Grundlärarprogrammet - grundskolans åk 4-6"/>
    <n v="18405"/>
    <n v="15773"/>
    <n v="206778.32500000001"/>
    <n v="5800"/>
    <n v="37700"/>
    <n v="244478.32500000001"/>
    <n v="0"/>
    <n v="1"/>
    <n v="0"/>
    <n v="0"/>
    <n v="0"/>
    <n v="0"/>
    <n v="0"/>
    <n v="0"/>
    <n v="0"/>
    <n v="0"/>
    <n v="0"/>
    <n v="0"/>
  </r>
  <r>
    <s v="6LU006"/>
    <s v="Kunskap, vetenskap och forskningsmetodik, 7,5 hp"/>
    <m/>
    <s v="LYAGY"/>
    <s v="H17"/>
    <s v="H19"/>
    <s v="H1911-15"/>
    <m/>
    <m/>
    <s v="TYSK"/>
    <m/>
    <n v="100"/>
    <n v="7.5"/>
    <m/>
    <m/>
    <n v="1"/>
    <n v="0.125"/>
    <n v="0.85"/>
    <n v="0.10625"/>
    <x v="12"/>
    <s v="Inst för ide- o samhällsstudier"/>
    <s v="Hum"/>
    <s v="Ämneslärarprogrammet - Gy"/>
    <n v="23641"/>
    <n v="28786"/>
    <n v="6013.6374999999998"/>
    <n v="5800"/>
    <n v="725"/>
    <n v="6738.6374999999998"/>
    <n v="0"/>
    <n v="0"/>
    <n v="0"/>
    <n v="1"/>
    <n v="0"/>
    <n v="0"/>
    <n v="0"/>
    <n v="0"/>
    <n v="0"/>
    <n v="0"/>
    <n v="0"/>
    <n v="0"/>
  </r>
  <r>
    <s v="6LU006"/>
    <s v="Kunskap, vetenskap och forskningsmetodik, 7,5 hp"/>
    <m/>
    <s v="LYAGY"/>
    <s v="H18"/>
    <s v="H19"/>
    <s v="H1911-15"/>
    <m/>
    <m/>
    <s v="ENGS"/>
    <m/>
    <n v="100"/>
    <n v="7.5"/>
    <m/>
    <m/>
    <n v="1"/>
    <n v="0.125"/>
    <n v="0.85"/>
    <n v="0.10625"/>
    <x v="12"/>
    <s v="Inst för ide- o samhällsstudier"/>
    <s v="Hum"/>
    <s v="Ämneslärarprogrammet - Gy"/>
    <n v="23641"/>
    <n v="28786"/>
    <n v="6013.6374999999998"/>
    <n v="5800"/>
    <n v="725"/>
    <n v="6738.6374999999998"/>
    <n v="0"/>
    <n v="0"/>
    <n v="0"/>
    <n v="1"/>
    <n v="0"/>
    <n v="0"/>
    <n v="0"/>
    <n v="0"/>
    <n v="0"/>
    <n v="0"/>
    <n v="0"/>
    <n v="0"/>
  </r>
  <r>
    <s v="6LU006"/>
    <s v="Kunskap, vetenskap och forskningsmetodik, 7,5 hp"/>
    <m/>
    <s v="LYAGY"/>
    <s v="H18"/>
    <s v="H19"/>
    <s v="H1911-15"/>
    <m/>
    <m/>
    <s v="SAMK"/>
    <m/>
    <n v="100"/>
    <n v="7.5"/>
    <m/>
    <m/>
    <n v="1"/>
    <n v="0.125"/>
    <n v="0.85"/>
    <n v="0.10625"/>
    <x v="12"/>
    <s v="Inst för ide- o samhällsstudier"/>
    <s v="Hum"/>
    <s v="Ämneslärarprogrammet - Gy"/>
    <n v="23641"/>
    <n v="28786"/>
    <n v="6013.6374999999998"/>
    <n v="5800"/>
    <n v="725"/>
    <n v="6738.6374999999998"/>
    <n v="0"/>
    <n v="0"/>
    <n v="0"/>
    <n v="1"/>
    <n v="0"/>
    <n v="0"/>
    <n v="0"/>
    <n v="0"/>
    <n v="0"/>
    <n v="0"/>
    <n v="0"/>
    <n v="0"/>
  </r>
  <r>
    <s v="6LU006"/>
    <s v="Kunskap, vetenskap och forskningsmetodik, 7,5 hp"/>
    <m/>
    <s v="LYAGY"/>
    <s v="H19"/>
    <s v="H19"/>
    <s v="H1911-15"/>
    <m/>
    <m/>
    <s v="BILÄ"/>
    <m/>
    <n v="100"/>
    <n v="7.5"/>
    <m/>
    <m/>
    <n v="4"/>
    <n v="0.5"/>
    <n v="0.85"/>
    <n v="0.42499999999999999"/>
    <x v="12"/>
    <s v="Inst för ide- o samhällsstudier"/>
    <s v="Hum"/>
    <s v="Ämneslärarprogrammet - Gy"/>
    <n v="23641"/>
    <n v="28786"/>
    <n v="24054.55"/>
    <n v="5800"/>
    <n v="2900"/>
    <n v="26954.55"/>
    <n v="0"/>
    <n v="0"/>
    <n v="0"/>
    <n v="1"/>
    <n v="0"/>
    <n v="0"/>
    <n v="0"/>
    <n v="0"/>
    <n v="0"/>
    <n v="0"/>
    <n v="0"/>
    <n v="0"/>
  </r>
  <r>
    <s v="6LU006"/>
    <s v="Kunskap, vetenskap och forskningsmetodik, 7,5 hp"/>
    <m/>
    <s v="LYAGY"/>
    <s v="H19"/>
    <s v="H19"/>
    <s v="H1911-15"/>
    <m/>
    <m/>
    <s v="BIOL"/>
    <m/>
    <n v="100"/>
    <n v="7.5"/>
    <m/>
    <m/>
    <n v="4"/>
    <n v="0.5"/>
    <n v="0.85"/>
    <n v="0.42499999999999999"/>
    <x v="12"/>
    <s v="Inst för ide- o samhällsstudier"/>
    <s v="Hum"/>
    <s v="Ämneslärarprogrammet - Gy"/>
    <n v="23641"/>
    <n v="28786"/>
    <n v="24054.55"/>
    <n v="5800"/>
    <n v="2900"/>
    <n v="26954.55"/>
    <n v="0"/>
    <n v="0"/>
    <n v="0"/>
    <n v="1"/>
    <n v="0"/>
    <n v="0"/>
    <n v="0"/>
    <n v="0"/>
    <n v="0"/>
    <n v="0"/>
    <n v="0"/>
    <n v="0"/>
  </r>
  <r>
    <s v="6LU006"/>
    <s v="Kunskap, vetenskap och forskningsmetodik, 7,5 hp"/>
    <m/>
    <s v="LYAGY"/>
    <s v="H19"/>
    <s v="H19"/>
    <s v="H1911-15"/>
    <m/>
    <m/>
    <s v="ENGS"/>
    <m/>
    <n v="100"/>
    <n v="7.5"/>
    <m/>
    <m/>
    <n v="17"/>
    <n v="2.125"/>
    <n v="0.85"/>
    <n v="1.8062499999999999"/>
    <x v="12"/>
    <s v="Inst för ide- o samhällsstudier"/>
    <s v="Hum"/>
    <s v="Ämneslärarprogrammet - Gy"/>
    <n v="23641"/>
    <n v="28786"/>
    <n v="102231.83749999999"/>
    <n v="5800"/>
    <n v="12325"/>
    <n v="114556.83749999999"/>
    <n v="0"/>
    <n v="0"/>
    <n v="0"/>
    <n v="1"/>
    <n v="0"/>
    <n v="0"/>
    <n v="0"/>
    <n v="0"/>
    <n v="0"/>
    <n v="0"/>
    <n v="0"/>
    <n v="0"/>
  </r>
  <r>
    <s v="6LU006"/>
    <s v="Kunskap, vetenskap och forskningsmetodik, 7,5 hp"/>
    <m/>
    <s v="LYAGY"/>
    <s v="H19"/>
    <s v="H19"/>
    <s v="H1911-15"/>
    <m/>
    <m/>
    <s v="GEOG"/>
    <m/>
    <n v="100"/>
    <n v="7.5"/>
    <m/>
    <m/>
    <n v="7"/>
    <n v="0.875"/>
    <n v="0.85"/>
    <n v="0.74375000000000002"/>
    <x v="12"/>
    <s v="Inst för ide- o samhällsstudier"/>
    <s v="Hum"/>
    <s v="Ämneslärarprogrammet - Gy"/>
    <n v="23641"/>
    <n v="28786"/>
    <n v="42095.462500000001"/>
    <n v="5800"/>
    <n v="5075"/>
    <n v="47170.462500000001"/>
    <n v="0"/>
    <n v="0"/>
    <n v="0"/>
    <n v="1"/>
    <n v="0"/>
    <n v="0"/>
    <n v="0"/>
    <n v="0"/>
    <n v="0"/>
    <n v="0"/>
    <n v="0"/>
    <n v="0"/>
  </r>
  <r>
    <s v="6LU006"/>
    <s v="Kunskap, vetenskap och forskningsmetodik, 7,5 hp"/>
    <m/>
    <s v="LYAGY"/>
    <s v="H19"/>
    <s v="H19"/>
    <s v="H1911-15"/>
    <m/>
    <m/>
    <s v="HIST"/>
    <m/>
    <n v="100"/>
    <n v="7.5"/>
    <m/>
    <m/>
    <n v="29"/>
    <n v="3.625"/>
    <n v="0.85"/>
    <n v="3.0812499999999998"/>
    <x v="12"/>
    <s v="Inst för ide- o samhällsstudier"/>
    <s v="Hum"/>
    <s v="Ämneslärarprogrammet - Gy"/>
    <n v="23641"/>
    <n v="28786"/>
    <n v="174395.48749999999"/>
    <n v="5800"/>
    <n v="21025"/>
    <n v="195420.48749999999"/>
    <n v="0"/>
    <n v="0"/>
    <n v="0"/>
    <n v="1"/>
    <n v="0"/>
    <n v="0"/>
    <n v="0"/>
    <n v="0"/>
    <n v="0"/>
    <n v="0"/>
    <n v="0"/>
    <n v="0"/>
  </r>
  <r>
    <s v="6LU006"/>
    <s v="Kunskap, vetenskap och forskningsmetodik, 7,5 hp"/>
    <m/>
    <s v="LYAGY"/>
    <s v="H19"/>
    <s v="H19"/>
    <s v="H1911-15"/>
    <m/>
    <m/>
    <s v="IDRH"/>
    <m/>
    <n v="100"/>
    <n v="7.5"/>
    <m/>
    <m/>
    <n v="21"/>
    <n v="2.625"/>
    <n v="0.85"/>
    <n v="2.2312499999999997"/>
    <x v="12"/>
    <s v="Inst för ide- o samhällsstudier"/>
    <s v="Hum"/>
    <s v="Ämneslärarprogrammet - Gy"/>
    <n v="23641"/>
    <n v="28786"/>
    <n v="126286.38749999998"/>
    <n v="5800"/>
    <n v="15225"/>
    <n v="141511.38749999998"/>
    <n v="0"/>
    <n v="0"/>
    <n v="0"/>
    <n v="1"/>
    <n v="0"/>
    <n v="0"/>
    <n v="0"/>
    <n v="0"/>
    <n v="0"/>
    <n v="0"/>
    <n v="0"/>
    <n v="0"/>
  </r>
  <r>
    <s v="6LU006"/>
    <s v="Kunskap, vetenskap och forskningsmetodik, 7,5 hp"/>
    <m/>
    <s v="LYAGY"/>
    <s v="H19"/>
    <s v="H19"/>
    <s v="H1911-15"/>
    <m/>
    <m/>
    <s v="MATT"/>
    <m/>
    <n v="100"/>
    <n v="7.5"/>
    <m/>
    <m/>
    <n v="18"/>
    <n v="2.25"/>
    <n v="0.85"/>
    <n v="1.9124999999999999"/>
    <x v="12"/>
    <s v="Inst för ide- o samhällsstudier"/>
    <s v="Hum"/>
    <s v="Ämneslärarprogrammet - Gy"/>
    <n v="23641"/>
    <n v="28786"/>
    <n v="108245.47500000001"/>
    <n v="5800"/>
    <n v="13050"/>
    <n v="121295.47500000001"/>
    <n v="0"/>
    <n v="0"/>
    <n v="0"/>
    <n v="1"/>
    <n v="0"/>
    <n v="0"/>
    <n v="0"/>
    <n v="0"/>
    <n v="0"/>
    <n v="0"/>
    <n v="0"/>
    <n v="0"/>
  </r>
  <r>
    <s v="6LU006"/>
    <s v="Kunskap, vetenskap och forskningsmetodik, 7,5 hp"/>
    <m/>
    <s v="LYAGY"/>
    <s v="H19"/>
    <s v="H19"/>
    <s v="H1911-15"/>
    <m/>
    <m/>
    <s v="NATU"/>
    <m/>
    <n v="100"/>
    <n v="7.5"/>
    <m/>
    <m/>
    <n v="1"/>
    <n v="0.125"/>
    <n v="0.85"/>
    <n v="0.10625"/>
    <x v="12"/>
    <s v="Inst för ide- o samhällsstudier"/>
    <s v="Hum"/>
    <s v="Ämneslärarprogrammet - Gy"/>
    <n v="23641"/>
    <n v="28786"/>
    <n v="6013.6374999999998"/>
    <n v="5800"/>
    <n v="725"/>
    <n v="6738.6374999999998"/>
    <n v="0"/>
    <n v="0"/>
    <n v="0"/>
    <n v="1"/>
    <n v="0"/>
    <n v="0"/>
    <n v="0"/>
    <n v="0"/>
    <n v="0"/>
    <n v="0"/>
    <n v="0"/>
    <n v="0"/>
  </r>
  <r>
    <s v="6LU006"/>
    <s v="Kunskap, vetenskap och forskningsmetodik, 7,5 hp"/>
    <m/>
    <s v="LYAGY"/>
    <s v="H19"/>
    <s v="H19"/>
    <s v="H1911-15"/>
    <m/>
    <m/>
    <s v="RELK"/>
    <m/>
    <n v="100"/>
    <n v="7.5"/>
    <m/>
    <m/>
    <n v="8"/>
    <n v="1"/>
    <n v="0.85"/>
    <n v="0.85"/>
    <x v="12"/>
    <s v="Inst för ide- o samhällsstudier"/>
    <s v="Hum"/>
    <s v="Ämneslärarprogrammet - Gy"/>
    <n v="23641"/>
    <n v="28786"/>
    <n v="48109.1"/>
    <n v="5800"/>
    <n v="5800"/>
    <n v="53909.1"/>
    <n v="0"/>
    <n v="0"/>
    <n v="0"/>
    <n v="1"/>
    <n v="0"/>
    <n v="0"/>
    <n v="0"/>
    <n v="0"/>
    <n v="0"/>
    <n v="0"/>
    <n v="0"/>
    <n v="0"/>
  </r>
  <r>
    <s v="6LU006"/>
    <s v="Kunskap, vetenskap och forskningsmetodik, 7,5 hp"/>
    <m/>
    <s v="LYAGY"/>
    <s v="H19"/>
    <s v="H19"/>
    <s v="H1911-15"/>
    <m/>
    <m/>
    <s v="SAMK"/>
    <m/>
    <n v="100"/>
    <n v="7.5"/>
    <m/>
    <m/>
    <n v="18"/>
    <n v="2.25"/>
    <n v="0.85"/>
    <n v="1.9124999999999999"/>
    <x v="12"/>
    <s v="Inst för ide- o samhällsstudier"/>
    <s v="Hum"/>
    <s v="Ämneslärarprogrammet - Gy"/>
    <n v="23641"/>
    <n v="28786"/>
    <n v="108245.47500000001"/>
    <n v="5800"/>
    <n v="13050"/>
    <n v="121295.47500000001"/>
    <n v="0"/>
    <n v="0"/>
    <n v="0"/>
    <n v="1"/>
    <n v="0"/>
    <n v="0"/>
    <n v="0"/>
    <n v="0"/>
    <n v="0"/>
    <n v="0"/>
    <n v="0"/>
    <n v="0"/>
  </r>
  <r>
    <s v="6LU006"/>
    <s v="Kunskap, vetenskap och forskningsmetodik, 7,5 hp"/>
    <m/>
    <s v="LYAGY"/>
    <s v="H19"/>
    <s v="H19"/>
    <s v="H1911-15"/>
    <m/>
    <m/>
    <s v="SPAN"/>
    <m/>
    <n v="100"/>
    <n v="7.5"/>
    <m/>
    <m/>
    <n v="1"/>
    <n v="0.125"/>
    <n v="0.85"/>
    <n v="0.10625"/>
    <x v="12"/>
    <s v="Inst för ide- o samhällsstudier"/>
    <s v="Hum"/>
    <s v="Ämneslärarprogrammet - Gy"/>
    <n v="23641"/>
    <n v="28786"/>
    <n v="6013.6374999999998"/>
    <n v="5800"/>
    <n v="725"/>
    <n v="6738.6374999999998"/>
    <n v="0"/>
    <n v="0"/>
    <n v="0"/>
    <n v="1"/>
    <n v="0"/>
    <n v="0"/>
    <n v="0"/>
    <n v="0"/>
    <n v="0"/>
    <n v="0"/>
    <n v="0"/>
    <n v="0"/>
  </r>
  <r>
    <s v="6LU006"/>
    <s v="Kunskap, vetenskap och forskningsmetodik, 7,5 hp"/>
    <m/>
    <s v="LYAGY"/>
    <s v="H19"/>
    <s v="H19"/>
    <s v="H1911-15"/>
    <m/>
    <m/>
    <s v="SVAA"/>
    <m/>
    <n v="100"/>
    <n v="7.5"/>
    <m/>
    <m/>
    <n v="13"/>
    <n v="1.625"/>
    <n v="0.85"/>
    <n v="1.3812499999999999"/>
    <x v="12"/>
    <s v="Inst för ide- o samhällsstudier"/>
    <s v="Hum"/>
    <s v="Ämneslärarprogrammet - Gy"/>
    <n v="23641"/>
    <n v="28786"/>
    <n v="78177.287500000006"/>
    <n v="5800"/>
    <n v="9425"/>
    <n v="87602.287500000006"/>
    <n v="0"/>
    <n v="0"/>
    <n v="0"/>
    <n v="1"/>
    <n v="0"/>
    <n v="0"/>
    <n v="0"/>
    <n v="0"/>
    <n v="0"/>
    <n v="0"/>
    <n v="0"/>
    <n v="0"/>
  </r>
  <r>
    <s v="6LU006"/>
    <s v="Kunskap, vetenskap och forskningsmetodik, 7,5 hp"/>
    <m/>
    <s v="LYAGY"/>
    <s v="H19"/>
    <s v="H19"/>
    <s v="H1911-15"/>
    <m/>
    <m/>
    <s v="SVAN"/>
    <m/>
    <n v="100"/>
    <n v="7.5"/>
    <m/>
    <m/>
    <n v="3"/>
    <n v="0.375"/>
    <n v="0.85"/>
    <n v="0.31874999999999998"/>
    <x v="12"/>
    <s v="Inst för ide- o samhällsstudier"/>
    <s v="Hum"/>
    <s v="Ämneslärarprogrammet - Gy"/>
    <n v="23641"/>
    <n v="28786"/>
    <n v="18040.912499999999"/>
    <n v="5800"/>
    <n v="2175"/>
    <n v="20215.912499999999"/>
    <n v="0"/>
    <n v="0"/>
    <n v="0"/>
    <n v="1"/>
    <n v="0"/>
    <n v="0"/>
    <n v="0"/>
    <n v="0"/>
    <n v="0"/>
    <n v="0"/>
    <n v="0"/>
    <n v="0"/>
  </r>
  <r>
    <s v="6LU006"/>
    <s v="Kunskap, vetenskap och forskningsmetodik, 7,5 hp"/>
    <m/>
    <s v="LYAGY"/>
    <s v="H19"/>
    <s v="H19"/>
    <s v="H1911-15"/>
    <m/>
    <m/>
    <s v="TYSK"/>
    <m/>
    <n v="100"/>
    <n v="7.5"/>
    <m/>
    <m/>
    <n v="2"/>
    <n v="0.25"/>
    <n v="0.85"/>
    <n v="0.21249999999999999"/>
    <x v="12"/>
    <s v="Inst för ide- o samhällsstudier"/>
    <s v="Hum"/>
    <s v="Ämneslärarprogrammet - Gy"/>
    <n v="23641"/>
    <n v="28786"/>
    <n v="12027.275"/>
    <n v="5800"/>
    <n v="1450"/>
    <n v="13477.275"/>
    <n v="0"/>
    <n v="0"/>
    <n v="0"/>
    <n v="1"/>
    <n v="0"/>
    <n v="0"/>
    <n v="0"/>
    <n v="0"/>
    <n v="0"/>
    <n v="0"/>
    <n v="0"/>
    <n v="0"/>
  </r>
  <r>
    <s v="6LU006"/>
    <s v="Kunskap, vetenskap och forskningsmetodik, 7,5 hp"/>
    <m/>
    <s v="LYFSK"/>
    <s v="H19"/>
    <s v="H19"/>
    <s v="H1911-15"/>
    <m/>
    <m/>
    <m/>
    <m/>
    <n v="100"/>
    <n v="7.5"/>
    <n v="-0.1"/>
    <n v="57"/>
    <n v="51.3"/>
    <n v="6.4124999999999996"/>
    <n v="0.85"/>
    <n v="5.4506249999999996"/>
    <x v="12"/>
    <s v="Inst för ide- o samhällsstudier"/>
    <s v="Hum"/>
    <s v="Förskollärarprogrammet"/>
    <n v="23641"/>
    <n v="28786"/>
    <n v="308499.60375000001"/>
    <n v="5800"/>
    <n v="37192.5"/>
    <n v="345692.10375000001"/>
    <n v="0"/>
    <n v="0"/>
    <n v="0"/>
    <n v="1"/>
    <n v="0"/>
    <n v="0"/>
    <n v="0"/>
    <n v="0"/>
    <n v="0"/>
    <n v="0"/>
    <n v="0"/>
    <n v="0"/>
  </r>
  <r>
    <s v="6LU006"/>
    <s v="Kunskap, vetenskap och forskningsmetodik, 7,5 hp"/>
    <m/>
    <s v="LYFSK"/>
    <s v="V19"/>
    <s v="V19"/>
    <s v="V1911-15"/>
    <s v="Umeå"/>
    <m/>
    <m/>
    <m/>
    <n v="100"/>
    <n v="7.5"/>
    <m/>
    <m/>
    <n v="20"/>
    <n v="2.5"/>
    <n v="0.85"/>
    <n v="2.125"/>
    <x v="12"/>
    <s v="Inst för ide- o samhällsstudier"/>
    <s v="Hum"/>
    <s v="Förskollärarprogrammet"/>
    <n v="23641"/>
    <n v="28786"/>
    <n v="120272.75"/>
    <n v="5800"/>
    <n v="14500"/>
    <n v="134772.75"/>
    <n v="0"/>
    <n v="0"/>
    <n v="0"/>
    <n v="1"/>
    <n v="0"/>
    <n v="0"/>
    <n v="0"/>
    <n v="0"/>
    <n v="0"/>
    <n v="0"/>
    <n v="0"/>
    <n v="0"/>
  </r>
  <r>
    <s v="6LU006"/>
    <s v="Kunskap, vetenskap och forskningsmetodik, 7,5 hp"/>
    <m/>
    <s v="LYGFR"/>
    <s v="H19"/>
    <s v="H19"/>
    <s v="H1911-15"/>
    <m/>
    <m/>
    <m/>
    <m/>
    <n v="100"/>
    <n v="7.5"/>
    <n v="-0.12"/>
    <n v="25"/>
    <n v="22"/>
    <n v="2.75"/>
    <n v="0.85"/>
    <n v="2.3374999999999999"/>
    <x v="12"/>
    <s v="Inst för ide- o samhällsstudier"/>
    <s v="Hum"/>
    <s v="Grundlärarprogrammet - fritidshem"/>
    <n v="23641"/>
    <n v="28786"/>
    <n v="132300.02499999999"/>
    <n v="5800"/>
    <n v="15950"/>
    <n v="148250.02499999999"/>
    <n v="0"/>
    <n v="0"/>
    <n v="0"/>
    <n v="1"/>
    <n v="0"/>
    <n v="0"/>
    <n v="0"/>
    <n v="0"/>
    <n v="0"/>
    <n v="0"/>
    <n v="0"/>
    <n v="0"/>
  </r>
  <r>
    <s v="6LU006"/>
    <s v="Kunskap, vetenskap och forskningsmetodik, 7,5 hp"/>
    <m/>
    <s v="LYGFT"/>
    <s v="H14"/>
    <s v="H19"/>
    <s v="H1911-15"/>
    <m/>
    <m/>
    <m/>
    <m/>
    <n v="100"/>
    <n v="7.5"/>
    <m/>
    <m/>
    <n v="1"/>
    <n v="0.125"/>
    <n v="0.85"/>
    <n v="0.10625"/>
    <x v="12"/>
    <s v="Inst för ide- o samhällsstudier"/>
    <s v="Hum"/>
    <s v="Grundlärarprogrammet - förskoleklass och åk 1-3"/>
    <n v="23641"/>
    <n v="28786"/>
    <n v="6013.6374999999998"/>
    <n v="5800"/>
    <n v="725"/>
    <n v="6738.6374999999998"/>
    <n v="0"/>
    <n v="0"/>
    <n v="0"/>
    <n v="1"/>
    <n v="0"/>
    <n v="0"/>
    <n v="0"/>
    <n v="0"/>
    <n v="0"/>
    <n v="0"/>
    <n v="0"/>
    <n v="0"/>
  </r>
  <r>
    <s v="6LU006"/>
    <s v="Kunskap, vetenskap och forskningsmetodik, 7,5 hp"/>
    <m/>
    <s v="LYGFT"/>
    <s v="H18"/>
    <s v="H19"/>
    <s v="H1911-15"/>
    <m/>
    <m/>
    <m/>
    <m/>
    <n v="100"/>
    <n v="7.5"/>
    <m/>
    <m/>
    <n v="1"/>
    <n v="0.125"/>
    <n v="0.85"/>
    <n v="0.10625"/>
    <x v="12"/>
    <s v="Inst för ide- o samhällsstudier"/>
    <s v="Hum"/>
    <s v="Grundlärarprogrammet - förskoleklass och åk 1-3"/>
    <n v="23641"/>
    <n v="28786"/>
    <n v="6013.6374999999998"/>
    <n v="5800"/>
    <n v="725"/>
    <n v="6738.6374999999998"/>
    <n v="0"/>
    <n v="0"/>
    <n v="0"/>
    <n v="1"/>
    <n v="0"/>
    <n v="0"/>
    <n v="0"/>
    <n v="0"/>
    <n v="0"/>
    <n v="0"/>
    <n v="0"/>
    <n v="0"/>
  </r>
  <r>
    <s v="6LU006"/>
    <s v="Kunskap, vetenskap och forskningsmetodik, 7,5 hp"/>
    <m/>
    <s v="LYGFT"/>
    <s v="H19"/>
    <s v="H19"/>
    <s v="H1911-15"/>
    <m/>
    <m/>
    <m/>
    <m/>
    <n v="100"/>
    <n v="7.5"/>
    <n v="-0.08"/>
    <n v="51"/>
    <n v="46.92"/>
    <n v="5.8650000000000002"/>
    <n v="0.85"/>
    <n v="4.9852499999999997"/>
    <x v="12"/>
    <s v="Inst för ide- o samhällsstudier"/>
    <s v="Hum"/>
    <s v="Grundlärarprogrammet - förskoleklass och åk 1-3"/>
    <n v="23641"/>
    <n v="28786"/>
    <n v="282159.87150000001"/>
    <n v="5800"/>
    <n v="34017"/>
    <n v="316176.87150000001"/>
    <n v="0"/>
    <n v="0"/>
    <n v="0"/>
    <n v="1"/>
    <n v="0"/>
    <n v="0"/>
    <n v="0"/>
    <n v="0"/>
    <n v="0"/>
    <n v="0"/>
    <n v="0"/>
    <n v="0"/>
  </r>
  <r>
    <s v="6LU006"/>
    <s v="Kunskap, vetenskap och forskningsmetodik, 7,5 hp"/>
    <m/>
    <s v="LYGFT"/>
    <s v="V18"/>
    <s v="H19"/>
    <s v="H1911-15"/>
    <m/>
    <m/>
    <m/>
    <m/>
    <n v="100"/>
    <n v="7.5"/>
    <m/>
    <m/>
    <n v="1"/>
    <n v="0.125"/>
    <n v="0.85"/>
    <n v="0.10625"/>
    <x v="12"/>
    <s v="Inst för ide- o samhällsstudier"/>
    <s v="Hum"/>
    <s v="Grundlärarprogrammet - förskoleklass och åk 1-3"/>
    <n v="23641"/>
    <n v="28786"/>
    <n v="6013.6374999999998"/>
    <n v="5800"/>
    <n v="725"/>
    <n v="6738.6374999999998"/>
    <n v="0"/>
    <n v="0"/>
    <n v="0"/>
    <n v="1"/>
    <n v="0"/>
    <n v="0"/>
    <n v="0"/>
    <n v="0"/>
    <n v="0"/>
    <n v="0"/>
    <n v="0"/>
    <n v="0"/>
  </r>
  <r>
    <s v="6LU006"/>
    <s v="Kunskap, vetenskap och forskningsmetodik, 7,5 hp"/>
    <m/>
    <s v="LYGRM"/>
    <s v="H19"/>
    <s v="H19"/>
    <s v="H1911-15"/>
    <m/>
    <m/>
    <m/>
    <m/>
    <n v="100"/>
    <n v="7.5"/>
    <n v="-0.1"/>
    <n v="35"/>
    <n v="31.5"/>
    <n v="3.9375"/>
    <n v="0.85"/>
    <n v="3.3468749999999998"/>
    <x v="12"/>
    <s v="Inst för ide- o samhällsstudier"/>
    <s v="Hum"/>
    <s v="Grundlärarprogrammet - grundskolans åk 4-6"/>
    <n v="23641"/>
    <n v="28786"/>
    <n v="189429.58124999999"/>
    <n v="5800"/>
    <n v="22837.5"/>
    <n v="212267.08124999999"/>
    <n v="0"/>
    <n v="0"/>
    <n v="0"/>
    <n v="1"/>
    <n v="0"/>
    <n v="0"/>
    <n v="0"/>
    <n v="0"/>
    <n v="0"/>
    <n v="0"/>
    <n v="0"/>
    <n v="0"/>
  </r>
  <r>
    <s v="6LU007"/>
    <s v="Etik, demokrati och det heterogena klassrummet, 7,5 hp"/>
    <m/>
    <s v="LYAGY"/>
    <s v="H17"/>
    <s v="H19"/>
    <s v="H1916-20"/>
    <m/>
    <m/>
    <s v="TYSK"/>
    <m/>
    <n v="100"/>
    <n v="7.5"/>
    <m/>
    <m/>
    <n v="1"/>
    <n v="0.125"/>
    <n v="0.85"/>
    <n v="0.10625"/>
    <x v="12"/>
    <s v="Inst för ide- o samhällsstudier"/>
    <s v="Hum"/>
    <s v="Ämneslärarprogrammet - Gy"/>
    <n v="23641"/>
    <n v="28786"/>
    <n v="6013.6374999999998"/>
    <n v="5800"/>
    <n v="725"/>
    <n v="6738.6374999999998"/>
    <n v="0"/>
    <n v="0"/>
    <n v="0"/>
    <n v="1"/>
    <n v="0"/>
    <n v="0"/>
    <n v="0"/>
    <n v="0"/>
    <n v="0"/>
    <n v="0"/>
    <n v="0"/>
    <n v="0"/>
  </r>
  <r>
    <s v="6LU007"/>
    <s v="Etik, demokrati och det heterogena klassrummet, 7,5 hp"/>
    <m/>
    <s v="LYAGY"/>
    <s v="H18"/>
    <s v="H19"/>
    <s v="H1916-20"/>
    <m/>
    <m/>
    <s v="ENGS"/>
    <m/>
    <n v="100"/>
    <n v="7.5"/>
    <m/>
    <m/>
    <n v="1"/>
    <n v="0.125"/>
    <n v="0.85"/>
    <n v="0.10625"/>
    <x v="12"/>
    <s v="Inst för ide- o samhällsstudier"/>
    <s v="Hum"/>
    <s v="Ämneslärarprogrammet - Gy"/>
    <n v="23641"/>
    <n v="28786"/>
    <n v="6013.6374999999998"/>
    <n v="5800"/>
    <n v="725"/>
    <n v="6738.6374999999998"/>
    <n v="0"/>
    <n v="0"/>
    <n v="0"/>
    <n v="1"/>
    <n v="0"/>
    <n v="0"/>
    <n v="0"/>
    <n v="0"/>
    <n v="0"/>
    <n v="0"/>
    <n v="0"/>
    <n v="0"/>
  </r>
  <r>
    <s v="6LU007"/>
    <s v="Etik, demokrati och det heterogena klassrummet, 7,5 hp"/>
    <m/>
    <s v="LYAGY"/>
    <s v="H18"/>
    <s v="H19"/>
    <s v="H1916-20"/>
    <m/>
    <m/>
    <s v="SAMK"/>
    <m/>
    <n v="100"/>
    <n v="7.5"/>
    <m/>
    <m/>
    <n v="1"/>
    <n v="0.125"/>
    <n v="0.85"/>
    <n v="0.10625"/>
    <x v="12"/>
    <s v="Inst för ide- o samhällsstudier"/>
    <s v="Hum"/>
    <s v="Ämneslärarprogrammet - Gy"/>
    <n v="23641"/>
    <n v="28786"/>
    <n v="6013.6374999999998"/>
    <n v="5800"/>
    <n v="725"/>
    <n v="6738.6374999999998"/>
    <n v="0"/>
    <n v="0"/>
    <n v="0"/>
    <n v="1"/>
    <n v="0"/>
    <n v="0"/>
    <n v="0"/>
    <n v="0"/>
    <n v="0"/>
    <n v="0"/>
    <n v="0"/>
    <n v="0"/>
  </r>
  <r>
    <s v="6LU007"/>
    <s v="Etik, demokrati och det heterogena klassrummet, 7,5 hp"/>
    <m/>
    <s v="LYAGY"/>
    <s v="H19"/>
    <s v="H19"/>
    <s v="H1916-20"/>
    <m/>
    <m/>
    <s v="BILÄ"/>
    <m/>
    <n v="100"/>
    <n v="7.5"/>
    <m/>
    <m/>
    <n v="4"/>
    <n v="0.5"/>
    <n v="0.85"/>
    <n v="0.42499999999999999"/>
    <x v="12"/>
    <s v="Inst för ide- o samhällsstudier"/>
    <s v="Hum"/>
    <s v="Ämneslärarprogrammet - Gy"/>
    <n v="23641"/>
    <n v="28786"/>
    <n v="24054.55"/>
    <n v="5800"/>
    <n v="2900"/>
    <n v="26954.55"/>
    <n v="0"/>
    <n v="0"/>
    <n v="0"/>
    <n v="1"/>
    <n v="0"/>
    <n v="0"/>
    <n v="0"/>
    <n v="0"/>
    <n v="0"/>
    <n v="0"/>
    <n v="0"/>
    <n v="0"/>
  </r>
  <r>
    <s v="6LU007"/>
    <s v="Etik, demokrati och det heterogena klassrummet, 7,5 hp"/>
    <m/>
    <s v="LYAGY"/>
    <s v="H19"/>
    <s v="H19"/>
    <s v="H1916-20"/>
    <m/>
    <m/>
    <s v="BIOL"/>
    <m/>
    <n v="100"/>
    <n v="7.5"/>
    <m/>
    <m/>
    <n v="4"/>
    <n v="0.5"/>
    <n v="0.85"/>
    <n v="0.42499999999999999"/>
    <x v="12"/>
    <s v="Inst för ide- o samhällsstudier"/>
    <s v="Hum"/>
    <s v="Ämneslärarprogrammet - Gy"/>
    <n v="23641"/>
    <n v="28786"/>
    <n v="24054.55"/>
    <n v="5800"/>
    <n v="2900"/>
    <n v="26954.55"/>
    <n v="0"/>
    <n v="0"/>
    <n v="0"/>
    <n v="1"/>
    <n v="0"/>
    <n v="0"/>
    <n v="0"/>
    <n v="0"/>
    <n v="0"/>
    <n v="0"/>
    <n v="0"/>
    <n v="0"/>
  </r>
  <r>
    <s v="6LU007"/>
    <s v="Etik, demokrati och det heterogena klassrummet, 7,5 hp"/>
    <m/>
    <s v="LYAGY"/>
    <s v="H19"/>
    <s v="H19"/>
    <s v="H1916-20"/>
    <m/>
    <m/>
    <s v="ENGS"/>
    <m/>
    <n v="100"/>
    <n v="7.5"/>
    <m/>
    <m/>
    <n v="17"/>
    <n v="2.125"/>
    <n v="0.85"/>
    <n v="1.8062499999999999"/>
    <x v="12"/>
    <s v="Inst för ide- o samhällsstudier"/>
    <s v="Hum"/>
    <s v="Ämneslärarprogrammet - Gy"/>
    <n v="23641"/>
    <n v="28786"/>
    <n v="102231.83749999999"/>
    <n v="5800"/>
    <n v="12325"/>
    <n v="114556.83749999999"/>
    <n v="0"/>
    <n v="0"/>
    <n v="0"/>
    <n v="1"/>
    <n v="0"/>
    <n v="0"/>
    <n v="0"/>
    <n v="0"/>
    <n v="0"/>
    <n v="0"/>
    <n v="0"/>
    <n v="0"/>
  </r>
  <r>
    <s v="6LU007"/>
    <s v="Etik, demokrati och det heterogena klassrummet, 7,5 hp"/>
    <m/>
    <s v="LYAGY"/>
    <s v="H19"/>
    <s v="H19"/>
    <s v="H1916-20"/>
    <m/>
    <m/>
    <s v="GEOG"/>
    <m/>
    <n v="100"/>
    <n v="7.5"/>
    <m/>
    <m/>
    <n v="7"/>
    <n v="0.875"/>
    <n v="0.85"/>
    <n v="0.74375000000000002"/>
    <x v="12"/>
    <s v="Inst för ide- o samhällsstudier"/>
    <s v="Hum"/>
    <s v="Ämneslärarprogrammet - Gy"/>
    <n v="23641"/>
    <n v="28786"/>
    <n v="42095.462500000001"/>
    <n v="5800"/>
    <n v="5075"/>
    <n v="47170.462500000001"/>
    <n v="0"/>
    <n v="0"/>
    <n v="0"/>
    <n v="1"/>
    <n v="0"/>
    <n v="0"/>
    <n v="0"/>
    <n v="0"/>
    <n v="0"/>
    <n v="0"/>
    <n v="0"/>
    <n v="0"/>
  </r>
  <r>
    <s v="6LU007"/>
    <s v="Etik, demokrati och det heterogena klassrummet, 7,5 hp"/>
    <m/>
    <s v="LYAGY"/>
    <s v="H19"/>
    <s v="H19"/>
    <s v="H1916-20"/>
    <m/>
    <m/>
    <s v="HIST"/>
    <m/>
    <n v="100"/>
    <n v="7.5"/>
    <m/>
    <m/>
    <n v="29"/>
    <n v="3.625"/>
    <n v="0.85"/>
    <n v="3.0812499999999998"/>
    <x v="12"/>
    <s v="Inst för ide- o samhällsstudier"/>
    <s v="Hum"/>
    <s v="Ämneslärarprogrammet - Gy"/>
    <n v="23641"/>
    <n v="28786"/>
    <n v="174395.48749999999"/>
    <n v="5800"/>
    <n v="21025"/>
    <n v="195420.48749999999"/>
    <n v="0"/>
    <n v="0"/>
    <n v="0"/>
    <n v="1"/>
    <n v="0"/>
    <n v="0"/>
    <n v="0"/>
    <n v="0"/>
    <n v="0"/>
    <n v="0"/>
    <n v="0"/>
    <n v="0"/>
  </r>
  <r>
    <s v="6LU007"/>
    <s v="Etik, demokrati och det heterogena klassrummet, 7,5 hp"/>
    <m/>
    <s v="LYAGY"/>
    <s v="H19"/>
    <s v="H19"/>
    <s v="H1916-20"/>
    <m/>
    <m/>
    <s v="IDRH"/>
    <m/>
    <n v="100"/>
    <n v="7.5"/>
    <m/>
    <m/>
    <n v="21"/>
    <n v="2.625"/>
    <n v="0.85"/>
    <n v="2.2312499999999997"/>
    <x v="12"/>
    <s v="Inst för ide- o samhällsstudier"/>
    <s v="Hum"/>
    <s v="Ämneslärarprogrammet - Gy"/>
    <n v="23641"/>
    <n v="28786"/>
    <n v="126286.38749999998"/>
    <n v="5800"/>
    <n v="15225"/>
    <n v="141511.38749999998"/>
    <n v="0"/>
    <n v="0"/>
    <n v="0"/>
    <n v="1"/>
    <n v="0"/>
    <n v="0"/>
    <n v="0"/>
    <n v="0"/>
    <n v="0"/>
    <n v="0"/>
    <n v="0"/>
    <n v="0"/>
  </r>
  <r>
    <s v="6LU007"/>
    <s v="Etik, demokrati och det heterogena klassrummet, 7,5 hp"/>
    <m/>
    <s v="LYAGY"/>
    <s v="H19"/>
    <s v="H19"/>
    <s v="H1916-20"/>
    <m/>
    <m/>
    <s v="MATT"/>
    <m/>
    <n v="100"/>
    <n v="7.5"/>
    <m/>
    <m/>
    <n v="18"/>
    <n v="2.25"/>
    <n v="0.85"/>
    <n v="1.9124999999999999"/>
    <x v="12"/>
    <s v="Inst för ide- o samhällsstudier"/>
    <s v="Hum"/>
    <s v="Ämneslärarprogrammet - Gy"/>
    <n v="23641"/>
    <n v="28786"/>
    <n v="108245.47500000001"/>
    <n v="5800"/>
    <n v="13050"/>
    <n v="121295.47500000001"/>
    <n v="0"/>
    <n v="0"/>
    <n v="0"/>
    <n v="1"/>
    <n v="0"/>
    <n v="0"/>
    <n v="0"/>
    <n v="0"/>
    <n v="0"/>
    <n v="0"/>
    <n v="0"/>
    <n v="0"/>
  </r>
  <r>
    <s v="6LU007"/>
    <s v="Etik, demokrati och det heterogena klassrummet, 7,5 hp"/>
    <m/>
    <s v="LYAGY"/>
    <s v="H19"/>
    <s v="H19"/>
    <s v="H1916-20"/>
    <m/>
    <m/>
    <s v="NATU"/>
    <m/>
    <n v="100"/>
    <n v="7.5"/>
    <m/>
    <m/>
    <n v="1"/>
    <n v="0.125"/>
    <n v="0.85"/>
    <n v="0.10625"/>
    <x v="12"/>
    <s v="Inst för ide- o samhällsstudier"/>
    <s v="Hum"/>
    <s v="Ämneslärarprogrammet - Gy"/>
    <n v="23641"/>
    <n v="28786"/>
    <n v="6013.6374999999998"/>
    <n v="5800"/>
    <n v="725"/>
    <n v="6738.6374999999998"/>
    <n v="0"/>
    <n v="0"/>
    <n v="0"/>
    <n v="1"/>
    <n v="0"/>
    <n v="0"/>
    <n v="0"/>
    <n v="0"/>
    <n v="0"/>
    <n v="0"/>
    <n v="0"/>
    <n v="0"/>
  </r>
  <r>
    <s v="6LU007"/>
    <s v="Etik, demokrati och det heterogena klassrummet, 7,5 hp"/>
    <m/>
    <s v="LYAGY"/>
    <s v="H19"/>
    <s v="H19"/>
    <s v="H1916-20"/>
    <m/>
    <m/>
    <s v="RELK"/>
    <m/>
    <n v="100"/>
    <n v="7.5"/>
    <m/>
    <m/>
    <n v="8"/>
    <n v="1"/>
    <n v="0.85"/>
    <n v="0.85"/>
    <x v="12"/>
    <s v="Inst för ide- o samhällsstudier"/>
    <s v="Hum"/>
    <s v="Ämneslärarprogrammet - Gy"/>
    <n v="23641"/>
    <n v="28786"/>
    <n v="48109.1"/>
    <n v="5800"/>
    <n v="5800"/>
    <n v="53909.1"/>
    <n v="0"/>
    <n v="0"/>
    <n v="0"/>
    <n v="1"/>
    <n v="0"/>
    <n v="0"/>
    <n v="0"/>
    <n v="0"/>
    <n v="0"/>
    <n v="0"/>
    <n v="0"/>
    <n v="0"/>
  </r>
  <r>
    <s v="6LU007"/>
    <s v="Etik, demokrati och det heterogena klassrummet, 7,5 hp"/>
    <m/>
    <s v="LYAGY"/>
    <s v="H19"/>
    <s v="H19"/>
    <s v="H1916-20"/>
    <m/>
    <m/>
    <s v="SAMK"/>
    <m/>
    <n v="100"/>
    <n v="7.5"/>
    <m/>
    <m/>
    <n v="18"/>
    <n v="2.25"/>
    <n v="0.85"/>
    <n v="1.9124999999999999"/>
    <x v="12"/>
    <s v="Inst för ide- o samhällsstudier"/>
    <s v="Hum"/>
    <s v="Ämneslärarprogrammet - Gy"/>
    <n v="23641"/>
    <n v="28786"/>
    <n v="108245.47500000001"/>
    <n v="5800"/>
    <n v="13050"/>
    <n v="121295.47500000001"/>
    <n v="0"/>
    <n v="0"/>
    <n v="0"/>
    <n v="1"/>
    <n v="0"/>
    <n v="0"/>
    <n v="0"/>
    <n v="0"/>
    <n v="0"/>
    <n v="0"/>
    <n v="0"/>
    <n v="0"/>
  </r>
  <r>
    <s v="6LU007"/>
    <s v="Etik, demokrati och det heterogena klassrummet, 7,5 hp"/>
    <m/>
    <s v="LYAGY"/>
    <s v="H19"/>
    <s v="H19"/>
    <s v="H1916-20"/>
    <m/>
    <m/>
    <s v="SPAN"/>
    <m/>
    <n v="100"/>
    <n v="7.5"/>
    <m/>
    <m/>
    <n v="1"/>
    <n v="0.125"/>
    <n v="0.85"/>
    <n v="0.10625"/>
    <x v="12"/>
    <s v="Inst för ide- o samhällsstudier"/>
    <s v="Hum"/>
    <s v="Ämneslärarprogrammet - Gy"/>
    <n v="23641"/>
    <n v="28786"/>
    <n v="6013.6374999999998"/>
    <n v="5800"/>
    <n v="725"/>
    <n v="6738.6374999999998"/>
    <n v="0"/>
    <n v="0"/>
    <n v="0"/>
    <n v="1"/>
    <n v="0"/>
    <n v="0"/>
    <n v="0"/>
    <n v="0"/>
    <n v="0"/>
    <n v="0"/>
    <n v="0"/>
    <n v="0"/>
  </r>
  <r>
    <s v="6LU007"/>
    <s v="Etik, demokrati och det heterogena klassrummet, 7,5 hp"/>
    <m/>
    <s v="LYAGY"/>
    <s v="H19"/>
    <s v="H19"/>
    <s v="H1916-20"/>
    <m/>
    <m/>
    <s v="SVAA"/>
    <m/>
    <n v="100"/>
    <n v="7.5"/>
    <m/>
    <m/>
    <n v="13"/>
    <n v="1.625"/>
    <n v="0.85"/>
    <n v="1.3812499999999999"/>
    <x v="12"/>
    <s v="Inst för ide- o samhällsstudier"/>
    <s v="Hum"/>
    <s v="Ämneslärarprogrammet - Gy"/>
    <n v="23641"/>
    <n v="28786"/>
    <n v="78177.287500000006"/>
    <n v="5800"/>
    <n v="9425"/>
    <n v="87602.287500000006"/>
    <n v="0"/>
    <n v="0"/>
    <n v="0"/>
    <n v="1"/>
    <n v="0"/>
    <n v="0"/>
    <n v="0"/>
    <n v="0"/>
    <n v="0"/>
    <n v="0"/>
    <n v="0"/>
    <n v="0"/>
  </r>
  <r>
    <s v="6LU007"/>
    <s v="Etik, demokrati och det heterogena klassrummet, 7,5 hp"/>
    <m/>
    <s v="LYAGY"/>
    <s v="H19"/>
    <s v="H19"/>
    <s v="H1916-20"/>
    <m/>
    <m/>
    <s v="SVAN"/>
    <m/>
    <n v="100"/>
    <n v="7.5"/>
    <m/>
    <m/>
    <n v="3"/>
    <n v="0.375"/>
    <n v="0.85"/>
    <n v="0.31874999999999998"/>
    <x v="12"/>
    <s v="Inst för ide- o samhällsstudier"/>
    <s v="Hum"/>
    <s v="Ämneslärarprogrammet - Gy"/>
    <n v="23641"/>
    <n v="28786"/>
    <n v="18040.912499999999"/>
    <n v="5800"/>
    <n v="2175"/>
    <n v="20215.912499999999"/>
    <n v="0"/>
    <n v="0"/>
    <n v="0"/>
    <n v="1"/>
    <n v="0"/>
    <n v="0"/>
    <n v="0"/>
    <n v="0"/>
    <n v="0"/>
    <n v="0"/>
    <n v="0"/>
    <n v="0"/>
  </r>
  <r>
    <s v="6LU007"/>
    <s v="Etik, demokrati och det heterogena klassrummet, 7,5 hp"/>
    <m/>
    <s v="LYAGY"/>
    <s v="H19"/>
    <s v="H19"/>
    <s v="H1916-20"/>
    <m/>
    <m/>
    <s v="TYSK"/>
    <m/>
    <n v="100"/>
    <n v="7.5"/>
    <m/>
    <m/>
    <n v="2"/>
    <n v="0.25"/>
    <n v="0.85"/>
    <n v="0.21249999999999999"/>
    <x v="12"/>
    <s v="Inst för ide- o samhällsstudier"/>
    <s v="Hum"/>
    <s v="Ämneslärarprogrammet - Gy"/>
    <n v="23641"/>
    <n v="28786"/>
    <n v="12027.275"/>
    <n v="5800"/>
    <n v="1450"/>
    <n v="13477.275"/>
    <n v="0"/>
    <n v="0"/>
    <n v="0"/>
    <n v="1"/>
    <n v="0"/>
    <n v="0"/>
    <n v="0"/>
    <n v="0"/>
    <n v="0"/>
    <n v="0"/>
    <n v="0"/>
    <n v="0"/>
  </r>
  <r>
    <s v="6LU007"/>
    <s v="Etik, demokrati och det heterogena klassrummet, 7,5 hp"/>
    <m/>
    <s v="LYFSK"/>
    <s v="H19"/>
    <s v="H19"/>
    <s v="H1916-20"/>
    <m/>
    <m/>
    <m/>
    <m/>
    <n v="100"/>
    <n v="7.5"/>
    <n v="-0.1"/>
    <n v="57"/>
    <n v="51.3"/>
    <n v="6.4124999999999996"/>
    <n v="0.85"/>
    <n v="5.4506249999999996"/>
    <x v="12"/>
    <s v="Inst för ide- o samhällsstudier"/>
    <s v="Hum"/>
    <s v="Förskollärarprogrammet"/>
    <n v="23641"/>
    <n v="28786"/>
    <n v="308499.60375000001"/>
    <n v="5800"/>
    <n v="37192.5"/>
    <n v="345692.10375000001"/>
    <n v="0"/>
    <n v="0"/>
    <n v="0"/>
    <n v="1"/>
    <n v="0"/>
    <n v="0"/>
    <n v="0"/>
    <n v="0"/>
    <n v="0"/>
    <n v="0"/>
    <n v="0"/>
    <n v="0"/>
  </r>
  <r>
    <s v="6LU007"/>
    <s v="Etik, demokrati och det heterogena klassrummet, 7,5 hp"/>
    <m/>
    <s v="LYFSK"/>
    <s v="V19"/>
    <s v="V19"/>
    <s v="V1916-20"/>
    <s v="Umeå"/>
    <m/>
    <m/>
    <m/>
    <n v="100"/>
    <n v="7.5"/>
    <m/>
    <m/>
    <n v="19"/>
    <n v="2.375"/>
    <n v="0.85"/>
    <n v="2.0187499999999998"/>
    <x v="12"/>
    <s v="Inst för ide- o samhällsstudier"/>
    <s v="Hum"/>
    <s v="Förskollärarprogrammet"/>
    <n v="23641"/>
    <n v="28786"/>
    <n v="114259.11249999999"/>
    <n v="5800"/>
    <n v="13775"/>
    <n v="128034.11249999999"/>
    <n v="0"/>
    <n v="0"/>
    <n v="0"/>
    <n v="1"/>
    <n v="0"/>
    <n v="0"/>
    <n v="0"/>
    <n v="0"/>
    <n v="0"/>
    <n v="0"/>
    <n v="0"/>
    <n v="0"/>
  </r>
  <r>
    <s v="6LU007"/>
    <s v="Etik, demokrati och det heterogena klassrummet, 7,5 hp"/>
    <m/>
    <s v="LYGFR"/>
    <s v="H19"/>
    <s v="H19"/>
    <s v="H1916-20"/>
    <m/>
    <m/>
    <m/>
    <m/>
    <n v="100"/>
    <n v="7.5"/>
    <n v="-0.15"/>
    <n v="25"/>
    <n v="21.25"/>
    <n v="2.65625"/>
    <n v="0.85"/>
    <n v="2.2578125"/>
    <x v="12"/>
    <s v="Inst för ide- o samhällsstudier"/>
    <s v="Hum"/>
    <s v="Grundlärarprogrammet - fritidshem"/>
    <n v="23641"/>
    <n v="28786"/>
    <n v="127789.796875"/>
    <n v="5800"/>
    <n v="15406.25"/>
    <n v="143196.046875"/>
    <n v="0"/>
    <n v="0"/>
    <n v="0"/>
    <n v="1"/>
    <n v="0"/>
    <n v="0"/>
    <n v="0"/>
    <n v="0"/>
    <n v="0"/>
    <n v="0"/>
    <n v="0"/>
    <n v="0"/>
  </r>
  <r>
    <s v="6LU007"/>
    <s v="Etik, demokrati och det heterogena klassrummet, 7,5 hp"/>
    <m/>
    <s v="LYGFT"/>
    <s v="H14"/>
    <s v="H19"/>
    <s v="H1916-20"/>
    <m/>
    <m/>
    <m/>
    <m/>
    <n v="100"/>
    <n v="7.5"/>
    <m/>
    <m/>
    <n v="1"/>
    <n v="0.125"/>
    <n v="0.85"/>
    <n v="0.10625"/>
    <x v="12"/>
    <s v="Inst för ide- o samhällsstudier"/>
    <s v="Hum"/>
    <s v="Grundlärarprogrammet - förskoleklass och åk 1-3"/>
    <n v="23641"/>
    <n v="28786"/>
    <n v="6013.6374999999998"/>
    <n v="5800"/>
    <n v="725"/>
    <n v="6738.6374999999998"/>
    <n v="0"/>
    <n v="0"/>
    <n v="0"/>
    <n v="1"/>
    <n v="0"/>
    <n v="0"/>
    <n v="0"/>
    <n v="0"/>
    <n v="0"/>
    <n v="0"/>
    <n v="0"/>
    <n v="0"/>
  </r>
  <r>
    <s v="6LU007"/>
    <s v="Etik, demokrati och det heterogena klassrummet, 7,5 hp"/>
    <m/>
    <s v="LYGFT"/>
    <s v="H18"/>
    <s v="H19"/>
    <s v="H1916-20"/>
    <m/>
    <m/>
    <m/>
    <m/>
    <n v="100"/>
    <n v="7.5"/>
    <m/>
    <m/>
    <n v="1"/>
    <n v="0.125"/>
    <n v="0.85"/>
    <n v="0.10625"/>
    <x v="12"/>
    <s v="Inst för ide- o samhällsstudier"/>
    <s v="Hum"/>
    <s v="Grundlärarprogrammet - förskoleklass och åk 1-3"/>
    <n v="23641"/>
    <n v="28786"/>
    <n v="6013.6374999999998"/>
    <n v="5800"/>
    <n v="725"/>
    <n v="6738.6374999999998"/>
    <n v="0"/>
    <n v="0"/>
    <n v="0"/>
    <n v="1"/>
    <n v="0"/>
    <n v="0"/>
    <n v="0"/>
    <n v="0"/>
    <n v="0"/>
    <n v="0"/>
    <n v="0"/>
    <n v="0"/>
  </r>
  <r>
    <s v="6LU007"/>
    <s v="Etik, demokrati och det heterogena klassrummet, 7,5 hp"/>
    <m/>
    <s v="LYGFT"/>
    <s v="H19"/>
    <s v="H19"/>
    <s v="H1916-20"/>
    <m/>
    <m/>
    <m/>
    <m/>
    <n v="100"/>
    <n v="7.5"/>
    <n v="-0.08"/>
    <n v="51"/>
    <n v="46.92"/>
    <n v="5.8650000000000002"/>
    <n v="0.85"/>
    <n v="4.9852499999999997"/>
    <x v="12"/>
    <s v="Inst för ide- o samhällsstudier"/>
    <s v="Hum"/>
    <s v="Grundlärarprogrammet - förskoleklass och åk 1-3"/>
    <n v="23641"/>
    <n v="28786"/>
    <n v="282159.87150000001"/>
    <n v="5800"/>
    <n v="34017"/>
    <n v="316176.87150000001"/>
    <n v="0"/>
    <n v="0"/>
    <n v="0"/>
    <n v="1"/>
    <n v="0"/>
    <n v="0"/>
    <n v="0"/>
    <n v="0"/>
    <n v="0"/>
    <n v="0"/>
    <n v="0"/>
    <n v="0"/>
  </r>
  <r>
    <s v="6LU007"/>
    <s v="Etik, demokrati och det heterogena klassrummet, 7,5 hp"/>
    <m/>
    <s v="LYGFT"/>
    <s v="V18"/>
    <s v="H19"/>
    <s v="H1916-20"/>
    <m/>
    <m/>
    <m/>
    <m/>
    <n v="100"/>
    <n v="7.5"/>
    <m/>
    <m/>
    <n v="1"/>
    <n v="0.125"/>
    <n v="0.85"/>
    <n v="0.10625"/>
    <x v="12"/>
    <s v="Inst för ide- o samhällsstudier"/>
    <s v="Hum"/>
    <s v="Grundlärarprogrammet - förskoleklass och åk 1-3"/>
    <n v="23641"/>
    <n v="28786"/>
    <n v="6013.6374999999998"/>
    <n v="5800"/>
    <n v="725"/>
    <n v="6738.6374999999998"/>
    <n v="0"/>
    <n v="0"/>
    <n v="0"/>
    <n v="1"/>
    <n v="0"/>
    <n v="0"/>
    <n v="0"/>
    <n v="0"/>
    <n v="0"/>
    <n v="0"/>
    <n v="0"/>
    <n v="0"/>
  </r>
  <r>
    <s v="6LU007"/>
    <s v="Etik, demokrati och det heterogena klassrummet, 7,5 hp"/>
    <m/>
    <s v="LYGRM"/>
    <s v="H19"/>
    <s v="H19"/>
    <s v="H1916-20"/>
    <m/>
    <m/>
    <m/>
    <m/>
    <n v="100"/>
    <n v="7.5"/>
    <n v="-0.12"/>
    <n v="35"/>
    <n v="30.8"/>
    <n v="3.85"/>
    <n v="0.85"/>
    <n v="3.2725"/>
    <x v="12"/>
    <s v="Inst för ide- o samhällsstudier"/>
    <s v="Hum"/>
    <s v="Grundlärarprogrammet - grundskolans åk 4-6"/>
    <n v="23641"/>
    <n v="28786"/>
    <n v="185220.035"/>
    <n v="5800"/>
    <n v="22330"/>
    <n v="207550.035"/>
    <n v="0"/>
    <n v="0"/>
    <n v="0"/>
    <n v="1"/>
    <n v="0"/>
    <n v="0"/>
    <n v="0"/>
    <n v="0"/>
    <n v="0"/>
    <n v="0"/>
    <n v="0"/>
    <n v="0"/>
  </r>
  <r>
    <s v="6LÄ046"/>
    <s v="Att undervisa i åk 4-6"/>
    <m/>
    <s v="LYGRM"/>
    <s v="H17"/>
    <s v="V19"/>
    <s v="V1913-17"/>
    <s v="Umeå"/>
    <m/>
    <m/>
    <m/>
    <n v="100"/>
    <n v="6"/>
    <m/>
    <m/>
    <n v="29"/>
    <n v="2.9000000000000004"/>
    <n v="0.85"/>
    <n v="2.4650000000000003"/>
    <x v="10"/>
    <s v="Inst för språkstudier"/>
    <s v="Hum"/>
    <s v="Grundlärarprogrammet - grundskolans åk 4-6"/>
    <n v="21634"/>
    <n v="26986"/>
    <n v="129259.09000000001"/>
    <n v="3400"/>
    <n v="9860.0000000000018"/>
    <n v="139119.09000000003"/>
    <n v="0"/>
    <n v="0"/>
    <n v="0"/>
    <n v="0"/>
    <n v="0"/>
    <n v="0"/>
    <n v="0"/>
    <n v="0"/>
    <n v="1"/>
    <n v="0"/>
    <n v="0"/>
    <n v="0"/>
  </r>
  <r>
    <s v="6LÄ048"/>
    <s v="Att undervisa i F-3"/>
    <m/>
    <s v="LYGFT"/>
    <s v="H17"/>
    <s v="V19"/>
    <s v="V1913-18"/>
    <s v="Umeå"/>
    <m/>
    <m/>
    <m/>
    <n v="100"/>
    <n v="6"/>
    <m/>
    <m/>
    <n v="29"/>
    <n v="2.9000000000000004"/>
    <n v="0.85"/>
    <n v="2.4650000000000003"/>
    <x v="10"/>
    <s v="Inst för språkstudier"/>
    <s v="Hum"/>
    <s v="Grundlärarprogrammet - förskoleklass och åk 1-3"/>
    <n v="21634"/>
    <n v="26986"/>
    <n v="129259.09000000001"/>
    <n v="3400"/>
    <n v="9860.0000000000018"/>
    <n v="139119.09000000003"/>
    <n v="0"/>
    <n v="0"/>
    <n v="0"/>
    <n v="0"/>
    <n v="0"/>
    <n v="0"/>
    <n v="0"/>
    <n v="0"/>
    <n v="1"/>
    <n v="0"/>
    <n v="0"/>
    <n v="0"/>
  </r>
  <r>
    <s v="6LÄ053"/>
    <s v="Läraryrkets dimensioner - ingångsämne engelska"/>
    <m/>
    <s v="LYAGY"/>
    <s v="H12"/>
    <s v="H19"/>
    <s v="H191-15"/>
    <m/>
    <m/>
    <s v="ENGS"/>
    <m/>
    <n v="100"/>
    <n v="22.5"/>
    <m/>
    <m/>
    <n v="1"/>
    <n v="0.375"/>
    <n v="0.85"/>
    <n v="0.31874999999999998"/>
    <x v="10"/>
    <s v="Inst för språkstudier"/>
    <s v="Hum"/>
    <s v="Ämneslärarprogrammet - Gy"/>
    <n v="21634"/>
    <n v="26986"/>
    <n v="16714.537499999999"/>
    <n v="3400"/>
    <n v="1275"/>
    <n v="17989.537499999999"/>
    <n v="0"/>
    <n v="0"/>
    <n v="0"/>
    <n v="0"/>
    <n v="0"/>
    <n v="0"/>
    <n v="0"/>
    <n v="0"/>
    <n v="1"/>
    <n v="0"/>
    <n v="0"/>
    <n v="0"/>
  </r>
  <r>
    <s v="6LÄ053"/>
    <s v="Läraryrkets dimensioner - ingångsämne engelska"/>
    <m/>
    <s v="LYAGY"/>
    <s v="H14"/>
    <s v="H19"/>
    <s v="H191-15"/>
    <m/>
    <m/>
    <s v="ENGS"/>
    <m/>
    <n v="100"/>
    <n v="22.5"/>
    <m/>
    <m/>
    <n v="2"/>
    <n v="0.75"/>
    <n v="0.85"/>
    <n v="0.63749999999999996"/>
    <x v="10"/>
    <s v="Inst för språkstudier"/>
    <s v="Hum"/>
    <s v="Ämneslärarprogrammet - Gy"/>
    <n v="21634"/>
    <n v="26986"/>
    <n v="33429.074999999997"/>
    <n v="3400"/>
    <n v="2550"/>
    <n v="35979.074999999997"/>
    <n v="0"/>
    <n v="0"/>
    <n v="0"/>
    <n v="0"/>
    <n v="0"/>
    <n v="0"/>
    <n v="0"/>
    <n v="0"/>
    <n v="1"/>
    <n v="0"/>
    <n v="0"/>
    <n v="0"/>
  </r>
  <r>
    <s v="6LÄ053"/>
    <s v="Läraryrkets dimensioner - ingångsämne engelska"/>
    <m/>
    <s v="LYAGY"/>
    <s v="H15"/>
    <s v="H19"/>
    <s v="H191-15"/>
    <m/>
    <m/>
    <s v="ENGS"/>
    <m/>
    <n v="100"/>
    <n v="22.5"/>
    <m/>
    <m/>
    <n v="10"/>
    <n v="3.75"/>
    <n v="0.85"/>
    <n v="3.1875"/>
    <x v="10"/>
    <s v="Inst för språkstudier"/>
    <s v="Hum"/>
    <s v="Ämneslärarprogrammet - Gy"/>
    <n v="21634"/>
    <n v="26986"/>
    <n v="167145.375"/>
    <n v="3400"/>
    <n v="12750"/>
    <n v="179895.375"/>
    <n v="0"/>
    <n v="0"/>
    <n v="0"/>
    <n v="0"/>
    <n v="0"/>
    <n v="0"/>
    <n v="0"/>
    <n v="0"/>
    <n v="1"/>
    <n v="0"/>
    <n v="0"/>
    <n v="0"/>
  </r>
  <r>
    <s v="6LÄ054"/>
    <s v="Läraryrkets dimensioner - ingångsämne svenska"/>
    <m/>
    <s v="LYAGY"/>
    <s v="H15"/>
    <s v="H19"/>
    <s v="H191-15"/>
    <m/>
    <m/>
    <s v="SVAA"/>
    <m/>
    <n v="100"/>
    <n v="22.5"/>
    <m/>
    <m/>
    <n v="10"/>
    <n v="3.75"/>
    <n v="0.85"/>
    <n v="3.1875"/>
    <x v="10"/>
    <s v="Inst för språkstudier"/>
    <s v="Hum"/>
    <s v="Ämneslärarprogrammet - Gy"/>
    <n v="21634"/>
    <n v="26986"/>
    <n v="167145.375"/>
    <n v="3400"/>
    <n v="12750"/>
    <n v="179895.375"/>
    <n v="0"/>
    <n v="0"/>
    <n v="0"/>
    <n v="0"/>
    <n v="0"/>
    <n v="0"/>
    <n v="0"/>
    <n v="0"/>
    <n v="1"/>
    <n v="0"/>
    <n v="0"/>
    <n v="0"/>
  </r>
  <r>
    <s v="6LÄ054"/>
    <s v="Läraryrkets dimensioner - ingångsämne svenska"/>
    <m/>
    <s v="LYAGY"/>
    <s v="H16"/>
    <s v="H19"/>
    <s v="H191-15"/>
    <m/>
    <m/>
    <s v="SVAA"/>
    <m/>
    <n v="100"/>
    <n v="22.5"/>
    <m/>
    <m/>
    <n v="1"/>
    <n v="0.375"/>
    <n v="0.85"/>
    <n v="0.31874999999999998"/>
    <x v="10"/>
    <s v="Inst för språkstudier"/>
    <s v="Hum"/>
    <s v="Ämneslärarprogrammet - Gy"/>
    <n v="21634"/>
    <n v="26986"/>
    <n v="16714.537499999999"/>
    <n v="3400"/>
    <n v="1275"/>
    <n v="17989.537499999999"/>
    <n v="0"/>
    <n v="0"/>
    <n v="0"/>
    <n v="0"/>
    <n v="0"/>
    <n v="0"/>
    <n v="0"/>
    <n v="0"/>
    <n v="1"/>
    <n v="0"/>
    <n v="0"/>
    <n v="0"/>
  </r>
  <r>
    <s v="6LÄ055"/>
    <s v="Språk, kommunikation och språkutveckling i förskolans verksamhet"/>
    <m/>
    <s v="LYFSK"/>
    <s v="H18"/>
    <s v="H19"/>
    <s v="H191-10"/>
    <m/>
    <m/>
    <m/>
    <m/>
    <n v="100"/>
    <n v="15"/>
    <m/>
    <m/>
    <n v="46"/>
    <n v="11.5"/>
    <n v="0.85"/>
    <n v="9.7750000000000004"/>
    <x v="10"/>
    <s v="Inst för språkstudier"/>
    <s v="Hum"/>
    <s v="Förskollärarprogrammet"/>
    <n v="18405"/>
    <n v="15773"/>
    <n v="365838.57500000001"/>
    <n v="5800"/>
    <n v="66700"/>
    <n v="432538.57500000001"/>
    <n v="0"/>
    <n v="1"/>
    <n v="0"/>
    <n v="0"/>
    <n v="0"/>
    <n v="0"/>
    <n v="0"/>
    <n v="0"/>
    <n v="0"/>
    <n v="0"/>
    <n v="0"/>
    <n v="0"/>
  </r>
  <r>
    <s v="6LÄ055"/>
    <s v="Språk, kommunikation och språkutveckling i förskolans verksamhet"/>
    <m/>
    <s v="LYFSK"/>
    <s v="V18"/>
    <s v="V19"/>
    <s v="V191-10"/>
    <s v="Umeå"/>
    <m/>
    <m/>
    <m/>
    <n v="100"/>
    <n v="15"/>
    <m/>
    <m/>
    <n v="25"/>
    <n v="6.25"/>
    <n v="0.85"/>
    <n v="5.3125"/>
    <x v="10"/>
    <s v="Inst för språkstudier"/>
    <s v="Hum"/>
    <s v="Förskollärarprogrammet"/>
    <n v="18405"/>
    <n v="15773"/>
    <n v="198825.3125"/>
    <n v="5800"/>
    <n v="36250"/>
    <n v="235075.3125"/>
    <n v="0"/>
    <n v="1"/>
    <n v="0"/>
    <n v="0"/>
    <n v="0"/>
    <n v="0"/>
    <n v="0"/>
    <n v="0"/>
    <n v="0"/>
    <n v="0"/>
    <n v="0"/>
    <n v="0"/>
  </r>
  <r>
    <s v="6LÄ055"/>
    <s v="Språk, kommunikation och språkutveckling i förskolans verksamhet"/>
    <m/>
    <s v="LYFSK"/>
    <s v="V18"/>
    <s v="V19"/>
    <s v="V191-10"/>
    <s v="Örnsköldsvik"/>
    <m/>
    <m/>
    <m/>
    <n v="100"/>
    <n v="15"/>
    <m/>
    <m/>
    <n v="16"/>
    <n v="4"/>
    <n v="0.85"/>
    <n v="3.4"/>
    <x v="10"/>
    <s v="Inst för språkstudier"/>
    <s v="Hum"/>
    <s v="Förskollärarprogrammet"/>
    <n v="18405"/>
    <n v="15773"/>
    <n v="127248.2"/>
    <n v="5800"/>
    <n v="23200"/>
    <n v="150448.20000000001"/>
    <n v="0"/>
    <n v="1"/>
    <n v="0"/>
    <n v="0"/>
    <n v="0"/>
    <n v="0"/>
    <n v="0"/>
    <n v="0"/>
    <n v="0"/>
    <n v="0"/>
    <n v="0"/>
    <n v="0"/>
  </r>
  <r>
    <s v="6LÄ058"/>
    <s v="Kommunikation och språkutveckling för fritidshem"/>
    <m/>
    <s v="LYGFR"/>
    <s v="H18"/>
    <s v="V19"/>
    <s v="V1916-20"/>
    <s v="Umeå"/>
    <m/>
    <m/>
    <m/>
    <n v="100"/>
    <n v="7.5"/>
    <m/>
    <m/>
    <n v="25"/>
    <n v="3.125"/>
    <n v="0.85"/>
    <n v="2.65625"/>
    <x v="10"/>
    <s v="Inst för språkstudier"/>
    <s v="Hum"/>
    <s v="Grundlärarprogrammet - fritidshem"/>
    <n v="18405"/>
    <n v="15773"/>
    <n v="99412.65625"/>
    <n v="5800"/>
    <n v="18125"/>
    <n v="117537.65625"/>
    <n v="0"/>
    <n v="1"/>
    <n v="0"/>
    <n v="0"/>
    <n v="0"/>
    <n v="0"/>
    <n v="0"/>
    <n v="0"/>
    <n v="0"/>
    <n v="0"/>
    <n v="0"/>
    <n v="0"/>
  </r>
  <r>
    <s v="6MA034"/>
    <s v="Läraryrkets dimensioner - ingångsämne matematik"/>
    <m/>
    <s v="LYAGR"/>
    <s v="H14"/>
    <s v="V19"/>
    <s v="V191-15"/>
    <s v="Umeå"/>
    <m/>
    <s v="MATT"/>
    <m/>
    <n v="100"/>
    <n v="22.5"/>
    <m/>
    <m/>
    <n v="1"/>
    <n v="0.375"/>
    <n v="0.85"/>
    <n v="0.31874999999999998"/>
    <x v="8"/>
    <s v="Inst för MA och MA statistik"/>
    <s v="TekNat"/>
    <s v="Ämneslärarprogrammet - åk 7-9"/>
    <n v="21634"/>
    <n v="26986"/>
    <n v="16714.537499999999"/>
    <n v="3400"/>
    <n v="1275"/>
    <n v="17989.537499999999"/>
    <n v="0"/>
    <n v="0"/>
    <n v="0"/>
    <n v="0"/>
    <n v="0"/>
    <n v="0"/>
    <n v="0"/>
    <n v="0"/>
    <n v="1"/>
    <n v="0"/>
    <n v="0"/>
    <n v="0"/>
  </r>
  <r>
    <s v="6MA034"/>
    <s v="Läraryrkets dimensioner - ingångsämne matematik"/>
    <m/>
    <s v="LYAGY"/>
    <s v="H13"/>
    <s v="H19"/>
    <s v="H191-15"/>
    <m/>
    <m/>
    <s v="MATT"/>
    <m/>
    <n v="100"/>
    <n v="22.5"/>
    <m/>
    <m/>
    <n v="1"/>
    <n v="0.375"/>
    <n v="0.85"/>
    <n v="0.31874999999999998"/>
    <x v="8"/>
    <s v="Inst för MA och MA statistik"/>
    <s v="TekNat"/>
    <s v="Ämneslärarprogrammet - Gy"/>
    <n v="21634"/>
    <n v="26986"/>
    <n v="16714.537499999999"/>
    <n v="3400"/>
    <n v="1275"/>
    <n v="17989.537499999999"/>
    <n v="0"/>
    <n v="0"/>
    <n v="0"/>
    <n v="0"/>
    <n v="0"/>
    <n v="0"/>
    <n v="0"/>
    <n v="0"/>
    <n v="1"/>
    <n v="0"/>
    <n v="0"/>
    <n v="0"/>
  </r>
  <r>
    <s v="6MA034"/>
    <s v="Läraryrkets dimensioner - ingångsämne matematik"/>
    <m/>
    <s v="LYAGY"/>
    <s v="H15"/>
    <s v="H19"/>
    <s v="H191-15"/>
    <m/>
    <m/>
    <s v="MATT"/>
    <m/>
    <n v="100"/>
    <n v="22.5"/>
    <m/>
    <m/>
    <n v="5"/>
    <n v="1.875"/>
    <n v="0.85"/>
    <n v="1.59375"/>
    <x v="8"/>
    <s v="Inst för MA och MA statistik"/>
    <s v="TekNat"/>
    <s v="Ämneslärarprogrammet - Gy"/>
    <n v="21634"/>
    <n v="26986"/>
    <n v="83572.6875"/>
    <n v="3400"/>
    <n v="6375"/>
    <n v="89947.6875"/>
    <n v="0"/>
    <n v="0"/>
    <n v="0"/>
    <n v="0"/>
    <n v="0"/>
    <n v="0"/>
    <n v="0"/>
    <n v="0"/>
    <n v="1"/>
    <n v="0"/>
    <n v="0"/>
    <n v="0"/>
  </r>
  <r>
    <s v="6MA034"/>
    <s v="Läraryrkets dimensioner - ingångsämne matematik"/>
    <m/>
    <s v="LYAGY"/>
    <s v="H16"/>
    <s v="H19"/>
    <s v="H191-15"/>
    <m/>
    <m/>
    <s v="MATT"/>
    <m/>
    <n v="100"/>
    <n v="22.5"/>
    <m/>
    <m/>
    <n v="1"/>
    <n v="0.375"/>
    <n v="0.85"/>
    <n v="0.31874999999999998"/>
    <x v="8"/>
    <s v="Inst för MA och MA statistik"/>
    <s v="TekNat"/>
    <s v="Ämneslärarprogrammet - Gy"/>
    <n v="21634"/>
    <n v="26986"/>
    <n v="16714.537499999999"/>
    <n v="3400"/>
    <n v="1275"/>
    <n v="17989.537499999999"/>
    <n v="0"/>
    <n v="0"/>
    <n v="0"/>
    <n v="0"/>
    <n v="0"/>
    <n v="0"/>
    <n v="0"/>
    <n v="0"/>
    <n v="1"/>
    <n v="0"/>
    <n v="0"/>
    <n v="0"/>
  </r>
  <r>
    <s v="6MA036"/>
    <s v="Linjär algebra"/>
    <m/>
    <s v="FRIST"/>
    <m/>
    <s v="V19"/>
    <m/>
    <m/>
    <s v="Campus"/>
    <m/>
    <m/>
    <n v="100"/>
    <n v="7.5"/>
    <m/>
    <m/>
    <n v="2"/>
    <n v="0.25"/>
    <n v="0.8"/>
    <n v="0.2"/>
    <x v="8"/>
    <s v="Inst för MA och MA statistik"/>
    <s v="TekNat"/>
    <s v="Fristående och övriga kurser"/>
    <n v="19473"/>
    <n v="34806"/>
    <n v="11829.45"/>
    <n v="21800"/>
    <n v="5450"/>
    <n v="17279.45"/>
    <n v="0"/>
    <n v="0"/>
    <n v="0"/>
    <n v="0"/>
    <n v="0"/>
    <n v="1"/>
    <n v="0"/>
    <n v="0"/>
    <n v="0"/>
    <n v="0"/>
    <n v="0"/>
    <n v="0"/>
  </r>
  <r>
    <s v="6MA036"/>
    <s v="Linjär algebra"/>
    <m/>
    <s v="LYAGY"/>
    <s v="H15"/>
    <s v="V19"/>
    <s v="V191-5"/>
    <s v="Umeå"/>
    <m/>
    <s v="IDRH"/>
    <m/>
    <n v="100"/>
    <n v="7.5"/>
    <m/>
    <m/>
    <n v="3"/>
    <n v="0.375"/>
    <n v="0.85"/>
    <n v="0.31874999999999998"/>
    <x v="8"/>
    <s v="Inst för MA och MA statistik"/>
    <s v="TekNat"/>
    <s v="Ämneslärarprogrammet - Gy"/>
    <n v="19473"/>
    <n v="34806"/>
    <n v="18396.787499999999"/>
    <n v="21800"/>
    <n v="8175"/>
    <n v="26571.787499999999"/>
    <n v="0"/>
    <n v="0"/>
    <n v="0"/>
    <n v="0"/>
    <n v="0"/>
    <n v="1"/>
    <n v="0"/>
    <n v="0"/>
    <n v="0"/>
    <n v="0"/>
    <n v="0"/>
    <n v="0"/>
  </r>
  <r>
    <s v="6MA036"/>
    <s v="Linjär algebra"/>
    <m/>
    <s v="LYAGY"/>
    <s v="H17"/>
    <s v="V19"/>
    <s v="V191-5"/>
    <s v="Umeå"/>
    <m/>
    <s v="MATT"/>
    <m/>
    <n v="100"/>
    <n v="7.5"/>
    <m/>
    <m/>
    <n v="13"/>
    <n v="1.625"/>
    <n v="0.85"/>
    <n v="1.3812499999999999"/>
    <x v="8"/>
    <s v="Inst för MA och MA statistik"/>
    <s v="TekNat"/>
    <s v="Ämneslärarprogrammet - Gy"/>
    <n v="19473"/>
    <n v="34806"/>
    <n v="79719.412500000006"/>
    <n v="21800"/>
    <n v="35425"/>
    <n v="115144.41250000001"/>
    <n v="0"/>
    <n v="0"/>
    <n v="0"/>
    <n v="0"/>
    <n v="0"/>
    <n v="1"/>
    <n v="0"/>
    <n v="0"/>
    <n v="0"/>
    <n v="0"/>
    <n v="0"/>
    <n v="0"/>
  </r>
  <r>
    <s v="6MA036"/>
    <s v="Linjär algebra"/>
    <m/>
    <s v="LYAGY"/>
    <s v="H18"/>
    <s v="V19"/>
    <s v="V191-5"/>
    <s v="Umeå"/>
    <m/>
    <s v="MATT"/>
    <m/>
    <n v="100"/>
    <n v="7.5"/>
    <m/>
    <m/>
    <n v="1"/>
    <n v="0.125"/>
    <n v="0.85"/>
    <n v="0.10625"/>
    <x v="8"/>
    <s v="Inst för MA och MA statistik"/>
    <s v="TekNat"/>
    <s v="Ämneslärarprogrammet - Gy"/>
    <n v="19473"/>
    <n v="34806"/>
    <n v="6132.2624999999998"/>
    <n v="21800"/>
    <n v="2725"/>
    <n v="8857.2625000000007"/>
    <n v="0"/>
    <n v="0"/>
    <n v="0"/>
    <n v="0"/>
    <n v="0"/>
    <n v="1"/>
    <n v="0"/>
    <n v="0"/>
    <n v="0"/>
    <n v="0"/>
    <n v="0"/>
    <n v="0"/>
  </r>
  <r>
    <s v="6MA037"/>
    <s v="Matematik 2 för förskoleklass och grundskolans årskurs 1-3"/>
    <m/>
    <s v="LYGFT"/>
    <s v="H18"/>
    <s v="H19"/>
    <s v="H191-5"/>
    <m/>
    <m/>
    <m/>
    <m/>
    <n v="100"/>
    <n v="7.5"/>
    <m/>
    <m/>
    <n v="44"/>
    <n v="5.5"/>
    <n v="0.85"/>
    <n v="4.6749999999999998"/>
    <x v="8"/>
    <s v="Inst för MA och MA statistik"/>
    <s v="TekNat"/>
    <s v="Grundlärarprogrammet - förskoleklass och åk 1-3"/>
    <n v="19473"/>
    <n v="34806"/>
    <n v="269819.55"/>
    <n v="21800"/>
    <n v="119900"/>
    <n v="389719.55"/>
    <n v="0"/>
    <n v="0"/>
    <n v="0"/>
    <n v="0"/>
    <n v="0"/>
    <n v="1"/>
    <n v="0"/>
    <n v="0"/>
    <n v="0"/>
    <n v="0"/>
    <n v="0"/>
    <n v="0"/>
  </r>
  <r>
    <s v="6MA038"/>
    <s v="Matematik 1 för grundskolans årskurs 4-6"/>
    <m/>
    <s v="LYGRM"/>
    <s v="H18"/>
    <s v="V19"/>
    <s v="V1916-20"/>
    <s v="Umeå"/>
    <m/>
    <m/>
    <m/>
    <n v="100"/>
    <n v="7.5"/>
    <m/>
    <m/>
    <n v="26"/>
    <n v="3.25"/>
    <n v="0.85"/>
    <n v="2.7624999999999997"/>
    <x v="8"/>
    <s v="Inst för MA och MA statistik"/>
    <s v="TekNat"/>
    <s v="Grundlärarprogrammet - grundskolans åk 4-6"/>
    <n v="19473"/>
    <n v="34806"/>
    <n v="159438.82500000001"/>
    <n v="21800"/>
    <n v="70850"/>
    <n v="230288.82500000001"/>
    <n v="0"/>
    <n v="0"/>
    <n v="0"/>
    <n v="0"/>
    <n v="0"/>
    <n v="1"/>
    <n v="0"/>
    <n v="0"/>
    <n v="0"/>
    <n v="0"/>
    <n v="0"/>
    <n v="0"/>
  </r>
  <r>
    <s v="6MA040"/>
    <s v="Algebra"/>
    <m/>
    <s v="FRIST"/>
    <m/>
    <s v="V19"/>
    <m/>
    <m/>
    <s v="Campus"/>
    <m/>
    <m/>
    <n v="100"/>
    <n v="7.5"/>
    <m/>
    <m/>
    <n v="7"/>
    <n v="0.875"/>
    <n v="0.8"/>
    <n v="0.70000000000000007"/>
    <x v="8"/>
    <s v="Inst för MA och MA statistik"/>
    <s v="TekNat"/>
    <s v="Fristående och övriga kurser"/>
    <n v="19473"/>
    <n v="34806"/>
    <n v="41403.074999999997"/>
    <n v="21800"/>
    <n v="19075"/>
    <n v="60478.074999999997"/>
    <n v="0"/>
    <n v="0"/>
    <n v="0"/>
    <n v="0"/>
    <n v="0"/>
    <n v="1"/>
    <n v="0"/>
    <n v="0"/>
    <n v="0"/>
    <n v="0"/>
    <n v="0"/>
    <n v="0"/>
  </r>
  <r>
    <s v="6MA040"/>
    <s v="Algebra"/>
    <m/>
    <s v="LYAGY"/>
    <s v="H16"/>
    <s v="V19"/>
    <s v="V196-10"/>
    <s v="Umeå"/>
    <m/>
    <s v="IDRH"/>
    <m/>
    <n v="100"/>
    <n v="7.5"/>
    <m/>
    <m/>
    <n v="2"/>
    <n v="0.25"/>
    <n v="0.85"/>
    <n v="0.21249999999999999"/>
    <x v="8"/>
    <s v="Inst för MA och MA statistik"/>
    <s v="TekNat"/>
    <s v="Ämneslärarprogrammet - Gy"/>
    <n v="19473"/>
    <n v="34806"/>
    <n v="12264.525"/>
    <n v="21800"/>
    <n v="5450"/>
    <n v="17714.525000000001"/>
    <n v="0"/>
    <n v="0"/>
    <n v="0"/>
    <n v="0"/>
    <n v="0"/>
    <n v="1"/>
    <n v="0"/>
    <n v="0"/>
    <n v="0"/>
    <n v="0"/>
    <n v="0"/>
    <n v="0"/>
  </r>
  <r>
    <s v="6MA040"/>
    <s v="Algebra"/>
    <m/>
    <s v="LYAGY"/>
    <s v="H18"/>
    <s v="V19"/>
    <s v="V196-10"/>
    <s v="Umeå"/>
    <m/>
    <s v="MATT"/>
    <m/>
    <n v="100"/>
    <n v="7.5"/>
    <m/>
    <m/>
    <n v="9"/>
    <n v="1.125"/>
    <n v="0.85"/>
    <n v="0.95624999999999993"/>
    <x v="8"/>
    <s v="Inst för MA och MA statistik"/>
    <s v="TekNat"/>
    <s v="Ämneslärarprogrammet - Gy"/>
    <n v="19473"/>
    <n v="34806"/>
    <n v="55190.362499999996"/>
    <n v="21800"/>
    <n v="24525"/>
    <n v="79715.362499999988"/>
    <n v="0"/>
    <n v="0"/>
    <n v="0"/>
    <n v="0"/>
    <n v="0"/>
    <n v="1"/>
    <n v="0"/>
    <n v="0"/>
    <n v="0"/>
    <n v="0"/>
    <n v="0"/>
    <n v="0"/>
  </r>
  <r>
    <s v="6MA041"/>
    <s v="Envariabelanalys 1"/>
    <m/>
    <s v="FRIST"/>
    <m/>
    <s v="V19"/>
    <m/>
    <m/>
    <s v="Campus"/>
    <m/>
    <m/>
    <n v="100"/>
    <n v="7.5"/>
    <m/>
    <m/>
    <n v="4"/>
    <n v="0.5"/>
    <n v="0.8"/>
    <n v="0.4"/>
    <x v="8"/>
    <s v="Inst för MA och MA statistik"/>
    <s v="TekNat"/>
    <s v="Fristående och övriga kurser"/>
    <n v="19473"/>
    <n v="34806"/>
    <n v="23658.9"/>
    <n v="21800"/>
    <n v="10900"/>
    <n v="34558.9"/>
    <n v="0"/>
    <n v="0"/>
    <n v="0"/>
    <n v="0"/>
    <n v="0"/>
    <n v="0.5"/>
    <n v="0"/>
    <n v="0.5"/>
    <n v="0"/>
    <n v="0"/>
    <n v="0"/>
    <n v="0"/>
  </r>
  <r>
    <s v="6MA041"/>
    <s v="Envariabelanalys 1"/>
    <m/>
    <s v="LYAGY"/>
    <s v="H16"/>
    <s v="V19"/>
    <s v="V1916-20"/>
    <s v="Umeå"/>
    <m/>
    <s v="IDRH"/>
    <m/>
    <n v="100"/>
    <n v="7.5"/>
    <m/>
    <m/>
    <n v="2"/>
    <n v="0.25"/>
    <n v="0.85"/>
    <n v="0.21249999999999999"/>
    <x v="8"/>
    <s v="Inst för MA och MA statistik"/>
    <s v="TekNat"/>
    <s v="Ämneslärarprogrammet - Gy"/>
    <n v="19473"/>
    <n v="34806"/>
    <n v="12264.525"/>
    <n v="21800"/>
    <n v="5450"/>
    <n v="17714.525000000001"/>
    <n v="0"/>
    <n v="0"/>
    <n v="0"/>
    <n v="0"/>
    <n v="0"/>
    <n v="0.5"/>
    <n v="0"/>
    <n v="0.5"/>
    <n v="0"/>
    <n v="0"/>
    <n v="0"/>
    <n v="0"/>
  </r>
  <r>
    <s v="6MA041"/>
    <s v="Envariabelanalys 1"/>
    <m/>
    <s v="LYAGY"/>
    <s v="H18"/>
    <s v="V19"/>
    <s v="V1916-20"/>
    <s v="Umeå"/>
    <m/>
    <s v="MATT"/>
    <m/>
    <n v="100"/>
    <n v="7.5"/>
    <m/>
    <m/>
    <n v="6"/>
    <n v="0.75"/>
    <n v="0.85"/>
    <n v="0.63749999999999996"/>
    <x v="8"/>
    <s v="Inst för MA och MA statistik"/>
    <s v="TekNat"/>
    <s v="Ämneslärarprogrammet - Gy"/>
    <n v="19473"/>
    <n v="34806"/>
    <n v="36793.574999999997"/>
    <n v="21800"/>
    <n v="16350"/>
    <n v="53143.574999999997"/>
    <n v="0"/>
    <n v="0"/>
    <n v="0"/>
    <n v="0"/>
    <n v="0"/>
    <n v="0.5"/>
    <n v="0"/>
    <n v="0.5"/>
    <n v="0"/>
    <n v="0"/>
    <n v="0"/>
    <n v="0"/>
  </r>
  <r>
    <s v="6MA042"/>
    <s v="Matematiska metoder"/>
    <m/>
    <s v="FRIST"/>
    <m/>
    <s v="V19"/>
    <m/>
    <m/>
    <s v="Campus"/>
    <m/>
    <m/>
    <n v="100"/>
    <n v="7.5"/>
    <m/>
    <m/>
    <n v="6"/>
    <n v="0.75"/>
    <n v="0.8"/>
    <n v="0.60000000000000009"/>
    <x v="8"/>
    <s v="Inst för MA och MA statistik"/>
    <s v="TekNat"/>
    <s v="Fristående och övriga kurser"/>
    <n v="19473"/>
    <n v="34806"/>
    <n v="35488.350000000006"/>
    <n v="21800"/>
    <n v="16350"/>
    <n v="51838.350000000006"/>
    <n v="0"/>
    <n v="0"/>
    <n v="0"/>
    <n v="0"/>
    <n v="0"/>
    <n v="1"/>
    <n v="0"/>
    <n v="0"/>
    <n v="0"/>
    <n v="0"/>
    <n v="0"/>
    <n v="0"/>
  </r>
  <r>
    <s v="6MA042"/>
    <s v="Matematiska metoder"/>
    <m/>
    <s v="LYAGY"/>
    <s v="H16"/>
    <s v="V19"/>
    <s v="V191-5"/>
    <s v="Umeå"/>
    <m/>
    <s v="IDRH"/>
    <m/>
    <n v="100"/>
    <n v="7.5"/>
    <m/>
    <m/>
    <n v="2"/>
    <n v="0.25"/>
    <n v="0.85"/>
    <n v="0.21249999999999999"/>
    <x v="8"/>
    <s v="Inst för MA och MA statistik"/>
    <s v="TekNat"/>
    <s v="Ämneslärarprogrammet - Gy"/>
    <n v="19473"/>
    <n v="34806"/>
    <n v="12264.525"/>
    <n v="21800"/>
    <n v="5450"/>
    <n v="17714.525000000001"/>
    <n v="0"/>
    <n v="0"/>
    <n v="0"/>
    <n v="0"/>
    <n v="0"/>
    <n v="1"/>
    <n v="0"/>
    <n v="0"/>
    <n v="0"/>
    <n v="0"/>
    <n v="0"/>
    <n v="0"/>
  </r>
  <r>
    <s v="6MA042"/>
    <s v="Matematiska metoder"/>
    <m/>
    <s v="LYAGY"/>
    <s v="H18"/>
    <s v="V19"/>
    <s v="V191-5"/>
    <s v="Umeå"/>
    <m/>
    <s v="MATT"/>
    <m/>
    <n v="100"/>
    <n v="7.5"/>
    <m/>
    <m/>
    <n v="8"/>
    <n v="1"/>
    <n v="0.85"/>
    <n v="0.85"/>
    <x v="8"/>
    <s v="Inst för MA och MA statistik"/>
    <s v="TekNat"/>
    <s v="Ämneslärarprogrammet - Gy"/>
    <n v="19473"/>
    <n v="34806"/>
    <n v="49058.1"/>
    <n v="21800"/>
    <n v="21800"/>
    <n v="70858.100000000006"/>
    <n v="0"/>
    <n v="0"/>
    <n v="0"/>
    <n v="0"/>
    <n v="0"/>
    <n v="1"/>
    <n v="0"/>
    <n v="0"/>
    <n v="0"/>
    <n v="0"/>
    <n v="0"/>
    <n v="0"/>
  </r>
  <r>
    <s v="6MA043"/>
    <s v="Diskret matematik"/>
    <m/>
    <s v="FRIST"/>
    <m/>
    <s v="V19"/>
    <m/>
    <m/>
    <s v="Campus"/>
    <m/>
    <m/>
    <n v="100"/>
    <n v="7.5"/>
    <m/>
    <m/>
    <n v="9"/>
    <n v="1.125"/>
    <n v="0.8"/>
    <n v="0.9"/>
    <x v="8"/>
    <s v="Inst för MA och MA statistik"/>
    <s v="TekNat"/>
    <s v="Fristående och övriga kurser"/>
    <n v="19473"/>
    <n v="34806"/>
    <n v="53232.525000000001"/>
    <n v="21800"/>
    <n v="24525"/>
    <n v="77757.524999999994"/>
    <n v="0"/>
    <n v="0"/>
    <n v="0"/>
    <n v="0"/>
    <n v="0"/>
    <n v="0.5"/>
    <n v="0"/>
    <n v="0.5"/>
    <n v="0"/>
    <n v="0"/>
    <n v="0"/>
    <n v="0"/>
  </r>
  <r>
    <s v="6MA043"/>
    <s v="Diskret matematik"/>
    <m/>
    <s v="LYAGY"/>
    <s v="H13"/>
    <s v="V19"/>
    <s v="V1911-15"/>
    <s v="Umeå"/>
    <m/>
    <s v="MATT"/>
    <m/>
    <n v="100"/>
    <n v="7.5"/>
    <m/>
    <m/>
    <n v="1"/>
    <n v="0.125"/>
    <n v="0.85"/>
    <n v="0.10625"/>
    <x v="8"/>
    <s v="Inst för MA och MA statistik"/>
    <s v="TekNat"/>
    <s v="Ämneslärarprogrammet - Gy"/>
    <n v="19473"/>
    <n v="34806"/>
    <n v="6132.2624999999998"/>
    <n v="21800"/>
    <n v="2725"/>
    <n v="8857.2625000000007"/>
    <n v="0"/>
    <n v="0"/>
    <n v="0"/>
    <n v="0"/>
    <n v="0"/>
    <n v="0.5"/>
    <n v="0"/>
    <n v="0.5"/>
    <n v="0"/>
    <n v="0"/>
    <n v="0"/>
    <n v="0"/>
  </r>
  <r>
    <s v="6MA043"/>
    <s v="Diskret matematik"/>
    <m/>
    <s v="LYAGY"/>
    <s v="H15"/>
    <s v="V19"/>
    <s v="V1911-15"/>
    <s v="Umeå"/>
    <m/>
    <s v="IDRH"/>
    <m/>
    <n v="100"/>
    <n v="7.5"/>
    <m/>
    <m/>
    <n v="3"/>
    <n v="0.375"/>
    <n v="0.85"/>
    <n v="0.31874999999999998"/>
    <x v="8"/>
    <s v="Inst för MA och MA statistik"/>
    <s v="TekNat"/>
    <s v="Ämneslärarprogrammet - Gy"/>
    <n v="19473"/>
    <n v="34806"/>
    <n v="18396.787499999999"/>
    <n v="21800"/>
    <n v="8175"/>
    <n v="26571.787499999999"/>
    <n v="0"/>
    <n v="0"/>
    <n v="0"/>
    <n v="0"/>
    <n v="0"/>
    <n v="0.5"/>
    <n v="0"/>
    <n v="0.5"/>
    <n v="0"/>
    <n v="0"/>
    <n v="0"/>
    <n v="0"/>
  </r>
  <r>
    <s v="6MA043"/>
    <s v="Diskret matematik"/>
    <m/>
    <s v="LYAGY"/>
    <s v="H17"/>
    <s v="V19"/>
    <s v="V1911-15"/>
    <s v="Umeå"/>
    <m/>
    <s v="MATT"/>
    <m/>
    <n v="100"/>
    <n v="7.5"/>
    <m/>
    <m/>
    <n v="12"/>
    <n v="1.5"/>
    <n v="0.85"/>
    <n v="1.2749999999999999"/>
    <x v="8"/>
    <s v="Inst för MA och MA statistik"/>
    <s v="TekNat"/>
    <s v="Ämneslärarprogrammet - Gy"/>
    <n v="19473"/>
    <n v="34806"/>
    <n v="73587.149999999994"/>
    <n v="21800"/>
    <n v="32700"/>
    <n v="106287.15"/>
    <n v="0"/>
    <n v="0"/>
    <n v="0"/>
    <n v="0"/>
    <n v="0"/>
    <n v="0.5"/>
    <n v="0"/>
    <n v="0.5"/>
    <n v="0"/>
    <n v="0"/>
    <n v="0"/>
    <n v="0"/>
  </r>
  <r>
    <s v="6MA044"/>
    <s v="Problemlösning och matematiska resonemang"/>
    <m/>
    <s v="FRIST"/>
    <m/>
    <s v="V19"/>
    <m/>
    <m/>
    <s v="Campus"/>
    <m/>
    <m/>
    <n v="100"/>
    <n v="7.5"/>
    <m/>
    <m/>
    <n v="4"/>
    <n v="0.5"/>
    <n v="0.8"/>
    <n v="0.4"/>
    <x v="8"/>
    <s v="Inst för MA och MA statistik"/>
    <s v="TekNat"/>
    <s v="Fristående och övriga kurser"/>
    <n v="19473"/>
    <n v="34806"/>
    <n v="23658.9"/>
    <n v="21800"/>
    <n v="10900"/>
    <n v="34558.9"/>
    <n v="0"/>
    <n v="0"/>
    <n v="0"/>
    <n v="0"/>
    <n v="0"/>
    <n v="0.5"/>
    <n v="0"/>
    <n v="0.5"/>
    <n v="0"/>
    <n v="0"/>
    <n v="0"/>
    <n v="0"/>
  </r>
  <r>
    <s v="6MA044"/>
    <s v="Problemlösning och matematiska resonemang"/>
    <m/>
    <s v="LYAGY"/>
    <s v="H15"/>
    <s v="V19"/>
    <s v="V196-10"/>
    <s v="Umeå"/>
    <m/>
    <s v="IDRH"/>
    <m/>
    <n v="100"/>
    <n v="7.5"/>
    <m/>
    <m/>
    <n v="3"/>
    <n v="0.375"/>
    <n v="0.85"/>
    <n v="0.31874999999999998"/>
    <x v="8"/>
    <s v="Inst för MA och MA statistik"/>
    <s v="TekNat"/>
    <s v="Ämneslärarprogrammet - Gy"/>
    <n v="19473"/>
    <n v="34806"/>
    <n v="18396.787499999999"/>
    <n v="21800"/>
    <n v="8175"/>
    <n v="26571.787499999999"/>
    <n v="0"/>
    <n v="0"/>
    <n v="0"/>
    <n v="0"/>
    <n v="0"/>
    <n v="0.5"/>
    <n v="0"/>
    <n v="0.5"/>
    <n v="0"/>
    <n v="0"/>
    <n v="0"/>
    <n v="0"/>
  </r>
  <r>
    <s v="6MA044"/>
    <s v="Problemlösning och matematiska resonemang"/>
    <m/>
    <s v="LYAGY"/>
    <s v="H17"/>
    <s v="V19"/>
    <s v="V196-10"/>
    <s v="Umeå"/>
    <m/>
    <s v="MATT"/>
    <m/>
    <n v="100"/>
    <n v="7.5"/>
    <m/>
    <m/>
    <n v="12"/>
    <n v="1.5"/>
    <n v="0.85"/>
    <n v="1.2749999999999999"/>
    <x v="8"/>
    <s v="Inst för MA och MA statistik"/>
    <s v="TekNat"/>
    <s v="Ämneslärarprogrammet - Gy"/>
    <n v="19473"/>
    <n v="34806"/>
    <n v="73587.149999999994"/>
    <n v="21800"/>
    <n v="32700"/>
    <n v="106287.15"/>
    <n v="0"/>
    <n v="0"/>
    <n v="0"/>
    <n v="0"/>
    <n v="0"/>
    <n v="0.5"/>
    <n v="0"/>
    <n v="0.5"/>
    <n v="0"/>
    <n v="0"/>
    <n v="0"/>
    <n v="0"/>
  </r>
  <r>
    <s v="6MA045"/>
    <s v="Differentialekvationer och flervariabelanalys"/>
    <m/>
    <s v="FRIST"/>
    <m/>
    <s v="V19"/>
    <m/>
    <m/>
    <s v="Campus"/>
    <m/>
    <m/>
    <n v="100"/>
    <n v="7.5"/>
    <m/>
    <m/>
    <n v="5"/>
    <n v="0.625"/>
    <n v="0.8"/>
    <n v="0.5"/>
    <x v="8"/>
    <s v="Inst för MA och MA statistik"/>
    <s v="TekNat"/>
    <s v="Fristående och övriga kurser"/>
    <n v="19473"/>
    <n v="34806"/>
    <n v="29573.625"/>
    <n v="21800"/>
    <n v="13625"/>
    <n v="43198.625"/>
    <n v="0"/>
    <n v="0"/>
    <n v="0"/>
    <n v="0"/>
    <n v="0"/>
    <n v="0.5"/>
    <n v="0"/>
    <n v="0.5"/>
    <n v="0"/>
    <n v="0"/>
    <n v="0"/>
    <n v="0"/>
  </r>
  <r>
    <s v="6MA045"/>
    <s v="Differentialekvationer och flervariabelanalys"/>
    <m/>
    <s v="LYAGY"/>
    <s v="H15"/>
    <s v="V19"/>
    <s v="V1916-20"/>
    <s v="Umeå"/>
    <m/>
    <s v="IDRH"/>
    <m/>
    <n v="100"/>
    <n v="7.5"/>
    <m/>
    <m/>
    <n v="3"/>
    <n v="0.375"/>
    <n v="0.85"/>
    <n v="0.31874999999999998"/>
    <x v="8"/>
    <s v="Inst för MA och MA statistik"/>
    <s v="TekNat"/>
    <s v="Ämneslärarprogrammet - Gy"/>
    <n v="19473"/>
    <n v="34806"/>
    <n v="18396.787499999999"/>
    <n v="21800"/>
    <n v="8175"/>
    <n v="26571.787499999999"/>
    <n v="0"/>
    <n v="0"/>
    <n v="0"/>
    <n v="0"/>
    <n v="0"/>
    <n v="0.5"/>
    <n v="0"/>
    <n v="0.5"/>
    <n v="0"/>
    <n v="0"/>
    <n v="0"/>
    <n v="0"/>
  </r>
  <r>
    <s v="6MA045"/>
    <s v="Differentialekvationer och flervariabelanalys"/>
    <m/>
    <s v="LYAGY"/>
    <s v="H17"/>
    <s v="V19"/>
    <s v="V1916-20"/>
    <s v="Umeå"/>
    <m/>
    <s v="MATT"/>
    <m/>
    <n v="100"/>
    <n v="7.5"/>
    <m/>
    <m/>
    <n v="11"/>
    <n v="1.375"/>
    <n v="0.85"/>
    <n v="1.16875"/>
    <x v="8"/>
    <s v="Inst för MA och MA statistik"/>
    <s v="TekNat"/>
    <s v="Ämneslärarprogrammet - Gy"/>
    <n v="19473"/>
    <n v="34806"/>
    <n v="67454.887499999997"/>
    <n v="21800"/>
    <n v="29975"/>
    <n v="97429.887499999997"/>
    <n v="0"/>
    <n v="0"/>
    <n v="0"/>
    <n v="0"/>
    <n v="0"/>
    <n v="0.5"/>
    <n v="0"/>
    <n v="0.5"/>
    <n v="0"/>
    <n v="0"/>
    <n v="0"/>
    <n v="0"/>
  </r>
  <r>
    <s v="6MA046"/>
    <s v="Envariabelanalys 2"/>
    <m/>
    <s v="FRIST"/>
    <m/>
    <s v="H19"/>
    <m/>
    <m/>
    <s v="Campus"/>
    <m/>
    <m/>
    <n v="100"/>
    <n v="7.5"/>
    <m/>
    <m/>
    <n v="2"/>
    <n v="0.25"/>
    <n v="0.8"/>
    <n v="0.2"/>
    <x v="8"/>
    <s v="Inst för MA och MA statistik"/>
    <s v="TekNat"/>
    <s v="Fristående och övriga kurser"/>
    <n v="19473"/>
    <n v="34806"/>
    <n v="11829.45"/>
    <n v="21800"/>
    <n v="5450"/>
    <n v="17279.45"/>
    <n v="0"/>
    <n v="0"/>
    <n v="0"/>
    <n v="0"/>
    <n v="0"/>
    <n v="0.5"/>
    <n v="0"/>
    <n v="0.5"/>
    <n v="0"/>
    <n v="0"/>
    <n v="0"/>
    <n v="0"/>
  </r>
  <r>
    <s v="6MA046"/>
    <s v="Envariabelanalys 2"/>
    <m/>
    <s v="LYAGY"/>
    <s v="H16"/>
    <s v="H19"/>
    <s v="H1916-20"/>
    <m/>
    <m/>
    <s v="IDRH"/>
    <m/>
    <n v="100"/>
    <n v="7.5"/>
    <m/>
    <m/>
    <n v="2"/>
    <n v="0.25"/>
    <n v="0.85"/>
    <n v="0.21249999999999999"/>
    <x v="8"/>
    <s v="Inst för MA och MA statistik"/>
    <s v="TekNat"/>
    <s v="Ämneslärarprogrammet - Gy"/>
    <n v="19473"/>
    <n v="34806"/>
    <n v="12264.525"/>
    <n v="21800"/>
    <n v="5450"/>
    <n v="17714.525000000001"/>
    <n v="0"/>
    <n v="0"/>
    <n v="0"/>
    <n v="0"/>
    <n v="0"/>
    <n v="0.5"/>
    <n v="0"/>
    <n v="0.5"/>
    <n v="0"/>
    <n v="0"/>
    <n v="0"/>
    <n v="0"/>
  </r>
  <r>
    <s v="6MA046"/>
    <s v="Envariabelanalys 2"/>
    <m/>
    <s v="LYAGY"/>
    <s v="H17"/>
    <s v="H19"/>
    <s v="H1916-20"/>
    <m/>
    <m/>
    <s v="MATT"/>
    <m/>
    <n v="100"/>
    <n v="7.5"/>
    <m/>
    <m/>
    <n v="1"/>
    <n v="0.125"/>
    <n v="0.85"/>
    <n v="0.10625"/>
    <x v="8"/>
    <s v="Inst för MA och MA statistik"/>
    <s v="TekNat"/>
    <s v="Ämneslärarprogrammet - Gy"/>
    <n v="19473"/>
    <n v="34806"/>
    <n v="6132.2624999999998"/>
    <n v="21800"/>
    <n v="2725"/>
    <n v="8857.2625000000007"/>
    <n v="0"/>
    <n v="0"/>
    <n v="0"/>
    <n v="0"/>
    <n v="0"/>
    <n v="0.5"/>
    <n v="0"/>
    <n v="0.5"/>
    <n v="0"/>
    <n v="0"/>
    <n v="0"/>
    <n v="0"/>
  </r>
  <r>
    <s v="6MA046"/>
    <s v="Envariabelanalys 2"/>
    <m/>
    <s v="LYAGY"/>
    <s v="H18"/>
    <s v="H19"/>
    <s v="H1916-20"/>
    <m/>
    <m/>
    <s v="MATT"/>
    <m/>
    <n v="100"/>
    <n v="7.5"/>
    <m/>
    <m/>
    <n v="8"/>
    <n v="1"/>
    <n v="0.85"/>
    <n v="0.85"/>
    <x v="8"/>
    <s v="Inst för MA och MA statistik"/>
    <s v="TekNat"/>
    <s v="Ämneslärarprogrammet - Gy"/>
    <n v="19473"/>
    <n v="34806"/>
    <n v="49058.1"/>
    <n v="21800"/>
    <n v="21800"/>
    <n v="70858.100000000006"/>
    <n v="0"/>
    <n v="0"/>
    <n v="0"/>
    <n v="0"/>
    <n v="0"/>
    <n v="0.5"/>
    <n v="0"/>
    <n v="0.5"/>
    <n v="0"/>
    <n v="0"/>
    <n v="0"/>
    <n v="0"/>
  </r>
  <r>
    <s v="6MA047"/>
    <s v="Flervariabelanalys"/>
    <m/>
    <s v="FRIST"/>
    <m/>
    <s v="V19"/>
    <m/>
    <m/>
    <s v="Campus"/>
    <m/>
    <m/>
    <n v="100"/>
    <n v="7.5"/>
    <m/>
    <m/>
    <n v="2"/>
    <n v="0.25"/>
    <n v="0.8"/>
    <n v="0.2"/>
    <x v="8"/>
    <s v="Inst för MA och MA statistik"/>
    <s v="TekNat"/>
    <s v="Fristående och övriga kurser"/>
    <n v="19473"/>
    <n v="34806"/>
    <n v="11829.45"/>
    <n v="21800"/>
    <n v="5450"/>
    <n v="17279.45"/>
    <n v="0"/>
    <n v="0"/>
    <n v="0"/>
    <n v="0"/>
    <n v="0"/>
    <n v="0.5"/>
    <n v="0"/>
    <n v="0.5"/>
    <n v="0"/>
    <n v="0"/>
    <n v="0"/>
    <n v="0"/>
  </r>
  <r>
    <s v="6MA047"/>
    <s v="Flervariabelanalys"/>
    <m/>
    <s v="LYAGY"/>
    <s v="H12"/>
    <s v="V19"/>
    <s v="V196-10"/>
    <s v="Umeå"/>
    <m/>
    <s v="MATT"/>
    <m/>
    <n v="100"/>
    <n v="7.5"/>
    <m/>
    <m/>
    <n v="0"/>
    <n v="0"/>
    <n v="0.85"/>
    <n v="0"/>
    <x v="8"/>
    <s v="Inst för MA och MA statistik"/>
    <s v="TekNat"/>
    <s v="Ämneslärarprogrammet - Gy"/>
    <n v="19473"/>
    <n v="34806"/>
    <n v="0"/>
    <n v="21800"/>
    <n v="0"/>
    <n v="0"/>
    <n v="0"/>
    <n v="0"/>
    <n v="0"/>
    <n v="0"/>
    <n v="0"/>
    <n v="0.5"/>
    <n v="0"/>
    <n v="0.5"/>
    <n v="0"/>
    <n v="0"/>
    <n v="0"/>
    <n v="0"/>
  </r>
  <r>
    <s v="6MA047"/>
    <s v="Flervariabelanalys"/>
    <m/>
    <s v="LYAGY"/>
    <s v="H16"/>
    <s v="V19"/>
    <s v="V196-10"/>
    <s v="Umeå"/>
    <m/>
    <s v="MATT"/>
    <m/>
    <n v="100"/>
    <n v="7.5"/>
    <m/>
    <m/>
    <n v="1"/>
    <n v="0.125"/>
    <n v="0.85"/>
    <n v="0.10625"/>
    <x v="8"/>
    <s v="Inst för MA och MA statistik"/>
    <s v="TekNat"/>
    <s v="Ämneslärarprogrammet - Gy"/>
    <n v="19473"/>
    <n v="34806"/>
    <n v="6132.2624999999998"/>
    <n v="21800"/>
    <n v="2725"/>
    <n v="8857.2625000000007"/>
    <n v="0"/>
    <n v="0"/>
    <n v="0"/>
    <n v="0"/>
    <n v="0"/>
    <n v="0.5"/>
    <n v="0"/>
    <n v="0.5"/>
    <n v="0"/>
    <n v="0"/>
    <n v="0"/>
    <n v="0"/>
  </r>
  <r>
    <s v="6MA047"/>
    <s v="Flervariabelanalys"/>
    <m/>
    <s v="LYAGY"/>
    <s v="H17"/>
    <s v="V19"/>
    <s v="V196-10"/>
    <s v="Umeå"/>
    <m/>
    <s v="MATT"/>
    <m/>
    <n v="100"/>
    <n v="7.5"/>
    <m/>
    <m/>
    <n v="2"/>
    <n v="0.25"/>
    <n v="0.85"/>
    <n v="0.21249999999999999"/>
    <x v="8"/>
    <s v="Inst för MA och MA statistik"/>
    <s v="TekNat"/>
    <s v="Ämneslärarprogrammet - Gy"/>
    <n v="19473"/>
    <n v="34806"/>
    <n v="12264.525"/>
    <n v="21800"/>
    <n v="5450"/>
    <n v="17714.525000000001"/>
    <n v="0"/>
    <n v="0"/>
    <n v="0"/>
    <n v="0"/>
    <n v="0"/>
    <n v="0.5"/>
    <n v="0"/>
    <n v="0.5"/>
    <n v="0"/>
    <n v="0"/>
    <n v="0"/>
    <n v="0"/>
  </r>
  <r>
    <s v="6MA048"/>
    <s v="Matematikens historia"/>
    <m/>
    <s v="FRIST"/>
    <m/>
    <s v="H19"/>
    <m/>
    <m/>
    <s v="Campus"/>
    <m/>
    <m/>
    <n v="100"/>
    <n v="7.5"/>
    <m/>
    <m/>
    <n v="8"/>
    <n v="1"/>
    <n v="0.8"/>
    <n v="0.8"/>
    <x v="8"/>
    <s v="Inst för MA och MA statistik"/>
    <s v="TekNat"/>
    <s v="Fristående och övriga kurser"/>
    <n v="19473"/>
    <n v="34806"/>
    <n v="47317.8"/>
    <n v="21800"/>
    <n v="21800"/>
    <n v="69117.8"/>
    <n v="0"/>
    <n v="0"/>
    <n v="0"/>
    <n v="0"/>
    <n v="0"/>
    <n v="1"/>
    <n v="0"/>
    <n v="0"/>
    <n v="0"/>
    <n v="0"/>
    <n v="0"/>
    <n v="0"/>
  </r>
  <r>
    <s v="6MA048"/>
    <s v="Matematikens historia"/>
    <m/>
    <s v="LYAGY"/>
    <s v="H16"/>
    <s v="H19"/>
    <s v="H191-5"/>
    <m/>
    <m/>
    <s v="IDRH"/>
    <m/>
    <n v="100"/>
    <n v="7.5"/>
    <m/>
    <m/>
    <n v="2"/>
    <n v="0.25"/>
    <n v="0.85"/>
    <n v="0.21249999999999999"/>
    <x v="8"/>
    <s v="Inst för MA och MA statistik"/>
    <s v="TekNat"/>
    <s v="Ämneslärarprogrammet - Gy"/>
    <n v="19473"/>
    <n v="34806"/>
    <n v="12264.525"/>
    <n v="21800"/>
    <n v="5450"/>
    <n v="17714.525000000001"/>
    <n v="0"/>
    <n v="0"/>
    <n v="0"/>
    <n v="0"/>
    <n v="0"/>
    <n v="1"/>
    <n v="0"/>
    <n v="0"/>
    <n v="0"/>
    <n v="0"/>
    <n v="0"/>
    <n v="0"/>
  </r>
  <r>
    <s v="6MA048"/>
    <s v="Matematikens historia"/>
    <m/>
    <s v="LYAGY"/>
    <s v="H17"/>
    <s v="H19"/>
    <s v="H191-5"/>
    <m/>
    <m/>
    <s v="MATT"/>
    <m/>
    <n v="100"/>
    <n v="7.5"/>
    <m/>
    <m/>
    <n v="1"/>
    <n v="0.125"/>
    <n v="0.85"/>
    <n v="0.10625"/>
    <x v="8"/>
    <s v="Inst för MA och MA statistik"/>
    <s v="TekNat"/>
    <s v="Ämneslärarprogrammet - Gy"/>
    <n v="19473"/>
    <n v="34806"/>
    <n v="6132.2624999999998"/>
    <n v="21800"/>
    <n v="2725"/>
    <n v="8857.2625000000007"/>
    <n v="0"/>
    <n v="0"/>
    <n v="0"/>
    <n v="0"/>
    <n v="0"/>
    <n v="1"/>
    <n v="0"/>
    <n v="0"/>
    <n v="0"/>
    <n v="0"/>
    <n v="0"/>
    <n v="0"/>
  </r>
  <r>
    <s v="6MA048"/>
    <s v="Matematikens historia"/>
    <m/>
    <s v="LYAGY"/>
    <s v="H18"/>
    <s v="H19"/>
    <s v="H191-5"/>
    <m/>
    <m/>
    <s v="MATT"/>
    <m/>
    <n v="100"/>
    <n v="7.5"/>
    <m/>
    <m/>
    <n v="8"/>
    <n v="1"/>
    <n v="0.85"/>
    <n v="0.85"/>
    <x v="8"/>
    <s v="Inst för MA och MA statistik"/>
    <s v="TekNat"/>
    <s v="Ämneslärarprogrammet - Gy"/>
    <n v="19473"/>
    <n v="34806"/>
    <n v="49058.1"/>
    <n v="21800"/>
    <n v="21800"/>
    <n v="70858.100000000006"/>
    <n v="0"/>
    <n v="0"/>
    <n v="0"/>
    <n v="0"/>
    <n v="0"/>
    <n v="1"/>
    <n v="0"/>
    <n v="0"/>
    <n v="0"/>
    <n v="0"/>
    <n v="0"/>
    <n v="0"/>
  </r>
  <r>
    <s v="6MA048"/>
    <s v="Matematikens historia"/>
    <m/>
    <s v="LYAGY"/>
    <s v="H19"/>
    <s v="H19"/>
    <s v="H191-5"/>
    <m/>
    <m/>
    <s v="MATT"/>
    <m/>
    <n v="100"/>
    <n v="7.5"/>
    <m/>
    <m/>
    <n v="1"/>
    <n v="0.125"/>
    <n v="0.85"/>
    <n v="0.10625"/>
    <x v="8"/>
    <s v="Inst för MA och MA statistik"/>
    <s v="TekNat"/>
    <s v="Ämneslärarprogrammet - Gy"/>
    <n v="19473"/>
    <n v="34806"/>
    <n v="6132.2624999999998"/>
    <n v="21800"/>
    <n v="2725"/>
    <n v="8857.2625000000007"/>
    <n v="0"/>
    <n v="0"/>
    <n v="0"/>
    <n v="0"/>
    <n v="0"/>
    <n v="1"/>
    <n v="0"/>
    <n v="0"/>
    <n v="0"/>
    <n v="0"/>
    <n v="0"/>
    <n v="0"/>
  </r>
  <r>
    <s v="6MA049"/>
    <s v="Att undervisa i matematik (VFU)"/>
    <m/>
    <s v="LYAGY"/>
    <s v="H15"/>
    <s v="H19"/>
    <s v="H1913-16"/>
    <m/>
    <m/>
    <s v="MATT"/>
    <m/>
    <n v="100"/>
    <n v="6"/>
    <m/>
    <m/>
    <n v="2"/>
    <n v="0.2"/>
    <n v="0.85"/>
    <n v="0.17"/>
    <x v="8"/>
    <s v="Inst för MA och MA statistik"/>
    <s v="TekNat"/>
    <s v="Ämneslärarprogrammet - Gy"/>
    <n v="21634"/>
    <n v="26986"/>
    <n v="8914.42"/>
    <n v="3400"/>
    <n v="680"/>
    <n v="9594.42"/>
    <n v="0"/>
    <n v="0"/>
    <n v="0"/>
    <n v="0"/>
    <n v="0"/>
    <n v="0"/>
    <n v="0"/>
    <n v="0"/>
    <n v="1"/>
    <n v="0"/>
    <n v="0"/>
    <n v="0"/>
  </r>
  <r>
    <s v="6MA049"/>
    <s v="Att undervisa i matematik (VFU)"/>
    <m/>
    <s v="LYAGY"/>
    <s v="H16"/>
    <s v="H19"/>
    <s v="H1913-16"/>
    <m/>
    <m/>
    <s v="MATT"/>
    <m/>
    <n v="100"/>
    <n v="6"/>
    <m/>
    <m/>
    <n v="2"/>
    <n v="0.2"/>
    <n v="0.85"/>
    <n v="0.17"/>
    <x v="8"/>
    <s v="Inst för MA och MA statistik"/>
    <s v="TekNat"/>
    <s v="Ämneslärarprogrammet - Gy"/>
    <n v="21634"/>
    <n v="26986"/>
    <n v="8914.42"/>
    <n v="3400"/>
    <n v="680"/>
    <n v="9594.42"/>
    <n v="0"/>
    <n v="0"/>
    <n v="0"/>
    <n v="0"/>
    <n v="0"/>
    <n v="0"/>
    <n v="0"/>
    <n v="0"/>
    <n v="1"/>
    <n v="0"/>
    <n v="0"/>
    <n v="0"/>
  </r>
  <r>
    <s v="6MA049"/>
    <s v="Att undervisa i matematik (VFU)"/>
    <m/>
    <s v="LYAGY"/>
    <s v="H17"/>
    <s v="H19"/>
    <s v="H1913-16"/>
    <m/>
    <m/>
    <s v="MATT"/>
    <m/>
    <n v="100"/>
    <n v="6"/>
    <m/>
    <m/>
    <n v="12"/>
    <n v="1.2000000000000002"/>
    <n v="0.85"/>
    <n v="1.02"/>
    <x v="8"/>
    <s v="Inst för MA och MA statistik"/>
    <s v="TekNat"/>
    <s v="Ämneslärarprogrammet - Gy"/>
    <n v="21634"/>
    <n v="26986"/>
    <n v="53486.520000000004"/>
    <n v="3400"/>
    <n v="4080.0000000000005"/>
    <n v="57566.520000000004"/>
    <n v="0"/>
    <n v="0"/>
    <n v="0"/>
    <n v="0"/>
    <n v="0"/>
    <n v="0"/>
    <n v="0"/>
    <n v="0"/>
    <n v="1"/>
    <n v="0"/>
    <n v="0"/>
    <n v="0"/>
  </r>
  <r>
    <s v="6MA049"/>
    <s v="Att undervisa i matematik (VFU)"/>
    <m/>
    <s v="LYAGY"/>
    <s v="H18"/>
    <s v="H19"/>
    <s v="H1913-16"/>
    <m/>
    <m/>
    <s v="MATT"/>
    <m/>
    <n v="100"/>
    <n v="6"/>
    <m/>
    <m/>
    <n v="1"/>
    <n v="0.1"/>
    <n v="0.85"/>
    <n v="8.5000000000000006E-2"/>
    <x v="8"/>
    <s v="Inst för MA och MA statistik"/>
    <s v="TekNat"/>
    <s v="Ämneslärarprogrammet - Gy"/>
    <n v="21634"/>
    <n v="26986"/>
    <n v="4457.21"/>
    <n v="3400"/>
    <n v="340"/>
    <n v="4797.21"/>
    <n v="0"/>
    <n v="0"/>
    <n v="0"/>
    <n v="0"/>
    <n v="0"/>
    <n v="0"/>
    <n v="0"/>
    <n v="0"/>
    <n v="1"/>
    <n v="0"/>
    <n v="0"/>
    <n v="0"/>
  </r>
  <r>
    <s v="6MA050"/>
    <s v="Differentialekvationer"/>
    <m/>
    <s v="FRIST"/>
    <m/>
    <s v="H19"/>
    <m/>
    <m/>
    <s v="Campus"/>
    <m/>
    <m/>
    <n v="100"/>
    <n v="7.5"/>
    <m/>
    <m/>
    <n v="2"/>
    <n v="0.25"/>
    <n v="0.8"/>
    <n v="0.2"/>
    <x v="8"/>
    <s v="Inst för MA och MA statistik"/>
    <s v="TekNat"/>
    <s v="Fristående och övriga kurser"/>
    <n v="19473"/>
    <n v="34806"/>
    <n v="11829.45"/>
    <n v="21800"/>
    <n v="5450"/>
    <n v="17279.45"/>
    <n v="0"/>
    <n v="0"/>
    <n v="0"/>
    <n v="0"/>
    <n v="0"/>
    <n v="0.5"/>
    <n v="0"/>
    <n v="0.5"/>
    <n v="0"/>
    <n v="0"/>
    <n v="0"/>
    <n v="0"/>
  </r>
  <r>
    <s v="6MA050"/>
    <s v="Differentialekvationer"/>
    <m/>
    <s v="LYAGY"/>
    <s v="H17"/>
    <s v="H19"/>
    <s v="H191-5"/>
    <m/>
    <m/>
    <s v="MATT"/>
    <m/>
    <n v="100"/>
    <n v="7.5"/>
    <m/>
    <m/>
    <n v="2"/>
    <n v="0.25"/>
    <n v="0.85"/>
    <n v="0.21249999999999999"/>
    <x v="8"/>
    <s v="Inst för MA och MA statistik"/>
    <s v="TekNat"/>
    <s v="Ämneslärarprogrammet - Gy"/>
    <n v="19473"/>
    <n v="34806"/>
    <n v="12264.525"/>
    <n v="21800"/>
    <n v="5450"/>
    <n v="17714.525000000001"/>
    <n v="0"/>
    <n v="0"/>
    <n v="0"/>
    <n v="0"/>
    <n v="0"/>
    <n v="0.5"/>
    <n v="0"/>
    <n v="0.5"/>
    <n v="0"/>
    <n v="0"/>
    <n v="0"/>
    <n v="0"/>
  </r>
  <r>
    <s v="6MN036"/>
    <s v="Examensarbete för ämneslärarexamen - Matematik"/>
    <m/>
    <s v="LYAGR"/>
    <s v="H14"/>
    <s v="V19"/>
    <s v="V1916-20:H191-15"/>
    <s v="Umeå"/>
    <m/>
    <s v="MATT"/>
    <m/>
    <n v="100"/>
    <n v="7.5"/>
    <m/>
    <m/>
    <n v="1"/>
    <n v="0.125"/>
    <n v="0.85"/>
    <n v="0.10625"/>
    <x v="9"/>
    <s v="NMD"/>
    <s v="TekNat"/>
    <s v="Ämneslärarprogrammet - åk 7-9"/>
    <n v="19473"/>
    <n v="34806"/>
    <n v="6132.2624999999998"/>
    <n v="21800"/>
    <n v="2725"/>
    <n v="8857.2625000000007"/>
    <n v="0"/>
    <n v="0"/>
    <n v="0"/>
    <n v="0"/>
    <n v="0"/>
    <n v="1"/>
    <n v="0"/>
    <n v="0"/>
    <n v="0"/>
    <n v="0"/>
    <n v="0"/>
    <n v="0"/>
  </r>
  <r>
    <s v="6MN036"/>
    <s v="Examensarbete för ämneslärarexamen - Matematik"/>
    <m/>
    <s v="LYAGR"/>
    <s v="H14"/>
    <s v="H19"/>
    <s v="V1916-20:H191-15"/>
    <m/>
    <m/>
    <s v="MATT"/>
    <m/>
    <n v="100"/>
    <n v="7.5"/>
    <m/>
    <m/>
    <n v="1"/>
    <n v="0.125"/>
    <n v="0.85"/>
    <n v="0.10625"/>
    <x v="9"/>
    <s v="NMD"/>
    <s v="TekNat"/>
    <s v="Ämneslärarprogrammet - åk 7-9"/>
    <n v="19473"/>
    <n v="34806"/>
    <n v="6132.2624999999998"/>
    <n v="21800"/>
    <n v="2725"/>
    <n v="8857.2625000000007"/>
    <n v="0"/>
    <n v="0"/>
    <n v="0"/>
    <n v="0"/>
    <n v="0"/>
    <n v="1"/>
    <n v="0"/>
    <n v="0"/>
    <n v="0"/>
    <n v="0"/>
    <n v="0"/>
    <n v="0"/>
  </r>
  <r>
    <s v="6MN036"/>
    <s v="Examensarbete för ämneslärarexamen - Matematik"/>
    <m/>
    <s v="LYAGY"/>
    <s v="H13"/>
    <s v="H19"/>
    <s v="H1916-20:V201-15"/>
    <m/>
    <m/>
    <s v="MATT"/>
    <m/>
    <n v="100"/>
    <n v="7.5"/>
    <m/>
    <m/>
    <n v="1"/>
    <n v="0.125"/>
    <n v="0.85"/>
    <n v="0.10625"/>
    <x v="9"/>
    <s v="NMD"/>
    <s v="TekNat"/>
    <s v="Ämneslärarprogrammet - Gy"/>
    <n v="19473"/>
    <n v="34806"/>
    <n v="6132.2624999999998"/>
    <n v="21800"/>
    <n v="2725"/>
    <n v="8857.2625000000007"/>
    <n v="0"/>
    <n v="0"/>
    <n v="0"/>
    <n v="0"/>
    <n v="0"/>
    <n v="1"/>
    <n v="0"/>
    <n v="0"/>
    <n v="0"/>
    <n v="0"/>
    <n v="0"/>
    <n v="0"/>
  </r>
  <r>
    <s v="6MN036"/>
    <s v="Examensarbete för ämneslärarexamen - Matematik"/>
    <m/>
    <s v="LYAGY"/>
    <s v="H15"/>
    <s v="H19"/>
    <s v="H1916-20:V201-15"/>
    <m/>
    <m/>
    <s v="MATT"/>
    <m/>
    <n v="100"/>
    <n v="7.5"/>
    <m/>
    <m/>
    <n v="3"/>
    <n v="0.375"/>
    <n v="0.85"/>
    <n v="0.31874999999999998"/>
    <x v="9"/>
    <s v="NMD"/>
    <s v="TekNat"/>
    <s v="Ämneslärarprogrammet - Gy"/>
    <n v="19473"/>
    <n v="34806"/>
    <n v="18396.787499999999"/>
    <n v="21800"/>
    <n v="8175"/>
    <n v="26571.787499999999"/>
    <n v="0"/>
    <n v="0"/>
    <n v="0"/>
    <n v="0"/>
    <n v="0"/>
    <n v="1"/>
    <n v="0"/>
    <n v="0"/>
    <n v="0"/>
    <n v="0"/>
    <n v="0"/>
    <n v="0"/>
  </r>
  <r>
    <s v="6MN036"/>
    <s v="Examensarbete för ämneslärarexamen - Matematik"/>
    <m/>
    <s v="LYAGY"/>
    <s v="H16"/>
    <s v="H19"/>
    <s v="H1916-20:V201-15"/>
    <m/>
    <m/>
    <s v="MATT"/>
    <m/>
    <n v="100"/>
    <n v="7.5"/>
    <m/>
    <m/>
    <n v="1"/>
    <n v="0.125"/>
    <n v="0.85"/>
    <n v="0.10625"/>
    <x v="9"/>
    <s v="NMD"/>
    <s v="TekNat"/>
    <s v="Ämneslärarprogrammet - Gy"/>
    <n v="19473"/>
    <n v="34806"/>
    <n v="6132.2624999999998"/>
    <n v="21800"/>
    <n v="2725"/>
    <n v="8857.2625000000007"/>
    <n v="0"/>
    <n v="0"/>
    <n v="0"/>
    <n v="0"/>
    <n v="0"/>
    <n v="1"/>
    <n v="0"/>
    <n v="0"/>
    <n v="0"/>
    <n v="0"/>
    <n v="0"/>
    <n v="0"/>
  </r>
  <r>
    <s v="6MN039"/>
    <s v="Matematik 1 för förskoleklass och grundskolans årskurs 1-3"/>
    <m/>
    <s v="LYGFT"/>
    <s v="H18"/>
    <s v="V19"/>
    <s v="V1916-20"/>
    <s v="Umeå"/>
    <m/>
    <m/>
    <m/>
    <n v="100"/>
    <n v="7.5"/>
    <m/>
    <m/>
    <n v="46"/>
    <n v="5.75"/>
    <n v="0.85"/>
    <n v="4.8875000000000002"/>
    <x v="9"/>
    <s v="NMD"/>
    <s v="TekNat"/>
    <s v="Grundlärarprogrammet - förskoleklass och åk 1-3"/>
    <n v="19473"/>
    <n v="34806"/>
    <n v="282084.07500000001"/>
    <n v="21800"/>
    <n v="125350"/>
    <n v="407434.07500000001"/>
    <n v="0"/>
    <n v="0"/>
    <n v="0"/>
    <n v="0"/>
    <n v="0"/>
    <n v="1"/>
    <n v="0"/>
    <n v="0"/>
    <n v="0"/>
    <n v="0"/>
    <n v="0"/>
    <n v="0"/>
  </r>
  <r>
    <s v="6MN040"/>
    <s v="Matematik 3 för förskoleklass och grundskolans årskurs 1-3"/>
    <m/>
    <s v="LYGFT"/>
    <s v="H18"/>
    <s v="H19"/>
    <s v="H196-10"/>
    <m/>
    <m/>
    <m/>
    <m/>
    <n v="100"/>
    <n v="7.5"/>
    <m/>
    <m/>
    <n v="44"/>
    <n v="5.5"/>
    <n v="0.85"/>
    <n v="4.6749999999999998"/>
    <x v="9"/>
    <s v="NMD"/>
    <s v="TekNat"/>
    <s v="Grundlärarprogrammet - förskoleklass och åk 1-3"/>
    <n v="19473"/>
    <n v="34806"/>
    <n v="269819.55"/>
    <n v="21800"/>
    <n v="119900"/>
    <n v="389719.55"/>
    <n v="0"/>
    <n v="0"/>
    <n v="0"/>
    <n v="0"/>
    <n v="0"/>
    <n v="1"/>
    <n v="0"/>
    <n v="0"/>
    <n v="0"/>
    <n v="0"/>
    <n v="0"/>
    <n v="0"/>
  </r>
  <r>
    <s v="6MN040"/>
    <s v="Matematik 3 för förskoleklass och grundskolans årskurs 1-3"/>
    <m/>
    <s v="LYGFT"/>
    <s v="H19"/>
    <s v="H19"/>
    <s v="H196-10"/>
    <m/>
    <m/>
    <m/>
    <m/>
    <n v="100"/>
    <n v="7.5"/>
    <m/>
    <m/>
    <n v="1"/>
    <n v="0.125"/>
    <n v="0.85"/>
    <n v="0.10625"/>
    <x v="9"/>
    <s v="NMD"/>
    <s v="TekNat"/>
    <s v="Grundlärarprogrammet - förskoleklass och åk 1-3"/>
    <n v="19473"/>
    <n v="34806"/>
    <n v="6132.2624999999998"/>
    <n v="21800"/>
    <n v="2725"/>
    <n v="8857.2625000000007"/>
    <n v="0"/>
    <n v="0"/>
    <n v="0"/>
    <n v="0"/>
    <n v="0"/>
    <n v="1"/>
    <n v="0"/>
    <n v="0"/>
    <n v="0"/>
    <n v="0"/>
    <n v="0"/>
    <n v="0"/>
  </r>
  <r>
    <s v="6MN041"/>
    <s v="Matematik 4 för förskoleklass och grundskolans årskurs 1-3"/>
    <m/>
    <s v="LYGFT"/>
    <s v="H15"/>
    <s v="H19"/>
    <s v="H1916-20"/>
    <m/>
    <m/>
    <m/>
    <m/>
    <n v="100"/>
    <n v="7.5"/>
    <m/>
    <m/>
    <n v="1"/>
    <n v="0.125"/>
    <n v="0.85"/>
    <n v="0.10625"/>
    <x v="9"/>
    <s v="NMD"/>
    <s v="TekNat"/>
    <s v="Grundlärarprogrammet - förskoleklass och åk 1-3"/>
    <n v="19473"/>
    <n v="34806"/>
    <n v="6132.2624999999998"/>
    <n v="21800"/>
    <n v="2725"/>
    <n v="8857.2625000000007"/>
    <n v="0"/>
    <n v="0"/>
    <n v="0"/>
    <n v="0"/>
    <n v="0"/>
    <n v="1"/>
    <n v="0"/>
    <n v="0"/>
    <n v="0"/>
    <n v="0"/>
    <n v="0"/>
    <n v="0"/>
  </r>
  <r>
    <s v="6MN041"/>
    <s v="Matematik 4 för förskoleklass och grundskolans årskurs 1-3"/>
    <m/>
    <s v="LYGFT"/>
    <s v="H17"/>
    <s v="H19"/>
    <s v="H1916-20"/>
    <m/>
    <m/>
    <m/>
    <m/>
    <n v="100"/>
    <n v="7.5"/>
    <m/>
    <m/>
    <n v="34"/>
    <n v="4.25"/>
    <n v="0.85"/>
    <n v="3.6124999999999998"/>
    <x v="9"/>
    <s v="NMD"/>
    <s v="TekNat"/>
    <s v="Grundlärarprogrammet - förskoleklass och åk 1-3"/>
    <n v="19473"/>
    <n v="34806"/>
    <n v="208496.92499999999"/>
    <n v="21800"/>
    <n v="92650"/>
    <n v="301146.92499999999"/>
    <n v="0"/>
    <n v="0"/>
    <n v="0"/>
    <n v="0"/>
    <n v="0"/>
    <n v="1"/>
    <n v="0"/>
    <n v="0"/>
    <n v="0"/>
    <n v="0"/>
    <n v="0"/>
    <n v="0"/>
  </r>
  <r>
    <s v="6MN041"/>
    <s v="Matematik 4 för förskoleklass och grundskolans årskurs 1-3"/>
    <m/>
    <s v="LYGFT"/>
    <s v="H19"/>
    <s v="H19"/>
    <s v="H1916-20"/>
    <m/>
    <m/>
    <m/>
    <m/>
    <n v="100"/>
    <n v="7.5"/>
    <m/>
    <m/>
    <n v="1"/>
    <n v="0.125"/>
    <n v="0.85"/>
    <n v="0.10625"/>
    <x v="9"/>
    <s v="NMD"/>
    <s v="TekNat"/>
    <s v="Grundlärarprogrammet - förskoleklass och åk 1-3"/>
    <n v="19473"/>
    <n v="34806"/>
    <n v="6132.2624999999998"/>
    <n v="21800"/>
    <n v="2725"/>
    <n v="8857.2625000000007"/>
    <n v="0"/>
    <n v="0"/>
    <n v="0"/>
    <n v="0"/>
    <n v="0"/>
    <n v="1"/>
    <n v="0"/>
    <n v="0"/>
    <n v="0"/>
    <n v="0"/>
    <n v="0"/>
    <n v="0"/>
  </r>
  <r>
    <s v="6MN042"/>
    <s v="Matematik 2 för grundskolans årskurs 4-6"/>
    <m/>
    <s v="LYGRM"/>
    <s v="H18"/>
    <s v="H19"/>
    <s v="H191-5"/>
    <m/>
    <m/>
    <m/>
    <m/>
    <n v="100"/>
    <n v="7.5"/>
    <m/>
    <m/>
    <n v="21"/>
    <n v="2.625"/>
    <n v="0.85"/>
    <n v="2.2312499999999997"/>
    <x v="9"/>
    <s v="NMD"/>
    <s v="TekNat"/>
    <s v="Grundlärarprogrammet - grundskolans åk 4-6"/>
    <n v="19473"/>
    <n v="34806"/>
    <n v="128777.5125"/>
    <n v="21800"/>
    <n v="57225"/>
    <n v="186002.51250000001"/>
    <n v="0"/>
    <n v="0"/>
    <n v="0"/>
    <n v="0"/>
    <n v="0"/>
    <n v="1"/>
    <n v="0"/>
    <n v="0"/>
    <n v="0"/>
    <n v="0"/>
    <n v="0"/>
    <n v="0"/>
  </r>
  <r>
    <s v="6MN043"/>
    <s v="Matematik 3 för grundskolans årskurs 4-6"/>
    <m/>
    <s v="LYGRM"/>
    <s v="H18"/>
    <s v="H19"/>
    <s v="H196-10"/>
    <m/>
    <m/>
    <m/>
    <m/>
    <n v="100"/>
    <n v="7.5"/>
    <m/>
    <m/>
    <n v="21"/>
    <n v="2.625"/>
    <n v="0.85"/>
    <n v="2.2312499999999997"/>
    <x v="9"/>
    <s v="NMD"/>
    <s v="TekNat"/>
    <s v="Grundlärarprogrammet - grundskolans åk 4-6"/>
    <n v="19473"/>
    <n v="34806"/>
    <n v="128777.5125"/>
    <n v="21800"/>
    <n v="57225"/>
    <n v="186002.51250000001"/>
    <n v="0"/>
    <n v="0"/>
    <n v="0"/>
    <n v="0"/>
    <n v="0"/>
    <n v="1"/>
    <n v="0"/>
    <n v="0"/>
    <n v="0"/>
    <n v="0"/>
    <n v="0"/>
    <n v="0"/>
  </r>
  <r>
    <s v="6MN044"/>
    <s v="Matematik 4 för grundskolans årskurs 4-6"/>
    <m/>
    <s v="LYGRM"/>
    <s v="H17"/>
    <s v="H19"/>
    <s v="H1916-20"/>
    <m/>
    <m/>
    <m/>
    <m/>
    <n v="100"/>
    <n v="7.5"/>
    <m/>
    <m/>
    <n v="28"/>
    <n v="3.5"/>
    <n v="0.85"/>
    <n v="2.9750000000000001"/>
    <x v="9"/>
    <s v="NMD"/>
    <s v="TekNat"/>
    <s v="Grundlärarprogrammet - grundskolans åk 4-6"/>
    <n v="19473"/>
    <n v="34806"/>
    <n v="171703.35"/>
    <n v="21800"/>
    <n v="76300"/>
    <n v="248003.35"/>
    <n v="0"/>
    <n v="0"/>
    <n v="0"/>
    <n v="0"/>
    <n v="0"/>
    <n v="1"/>
    <n v="0"/>
    <n v="0"/>
    <n v="0"/>
    <n v="0"/>
    <n v="0"/>
    <n v="0"/>
  </r>
  <r>
    <s v="6MN045"/>
    <s v="Matematik för förskolan"/>
    <m/>
    <s v="LYFSK"/>
    <s v="H18"/>
    <s v="H19"/>
    <s v="H1911-15"/>
    <m/>
    <m/>
    <m/>
    <m/>
    <n v="100"/>
    <n v="7.5"/>
    <m/>
    <m/>
    <n v="46"/>
    <n v="5.75"/>
    <n v="0.85"/>
    <n v="4.8875000000000002"/>
    <x v="9"/>
    <s v="NMD"/>
    <s v="TekNat"/>
    <s v="Förskollärarprogrammet"/>
    <n v="19473"/>
    <n v="34806"/>
    <n v="282084.07500000001"/>
    <n v="21800"/>
    <n v="125350"/>
    <n v="407434.07500000001"/>
    <n v="0"/>
    <n v="0"/>
    <n v="0"/>
    <n v="0"/>
    <n v="0"/>
    <n v="1"/>
    <n v="0"/>
    <n v="0"/>
    <n v="0"/>
    <n v="0"/>
    <n v="0"/>
    <n v="0"/>
  </r>
  <r>
    <s v="6MN045"/>
    <s v="Matematik för förskolan"/>
    <m/>
    <s v="LYFSK"/>
    <s v="V18"/>
    <s v="V19"/>
    <s v="V1911-15"/>
    <s v="Umeå"/>
    <m/>
    <m/>
    <m/>
    <n v="100"/>
    <n v="7.5"/>
    <m/>
    <m/>
    <n v="23"/>
    <n v="2.875"/>
    <n v="0.85"/>
    <n v="2.4437500000000001"/>
    <x v="9"/>
    <s v="NMD"/>
    <s v="TekNat"/>
    <s v="Förskollärarprogrammet"/>
    <n v="19473"/>
    <n v="34806"/>
    <n v="141042.03750000001"/>
    <n v="21800"/>
    <n v="62675"/>
    <n v="203717.03750000001"/>
    <n v="0"/>
    <n v="0"/>
    <n v="0"/>
    <n v="0"/>
    <n v="0"/>
    <n v="1"/>
    <n v="0"/>
    <n v="0"/>
    <n v="0"/>
    <n v="0"/>
    <n v="0"/>
    <n v="0"/>
  </r>
  <r>
    <s v="6MN045"/>
    <s v="Matematik för förskolan"/>
    <m/>
    <s v="LYFSK"/>
    <s v="V18"/>
    <s v="V19"/>
    <s v="V1911-15"/>
    <s v="Örnsköldsvik"/>
    <m/>
    <m/>
    <m/>
    <n v="100"/>
    <n v="7.5"/>
    <m/>
    <m/>
    <n v="16"/>
    <n v="2"/>
    <n v="0.85"/>
    <n v="1.7"/>
    <x v="9"/>
    <s v="NMD"/>
    <s v="TekNat"/>
    <s v="Förskollärarprogrammet"/>
    <n v="19473"/>
    <n v="34806"/>
    <n v="98116.2"/>
    <n v="21800"/>
    <n v="43600"/>
    <n v="141716.20000000001"/>
    <n v="0"/>
    <n v="0"/>
    <n v="0"/>
    <n v="0"/>
    <n v="0"/>
    <n v="1"/>
    <n v="0"/>
    <n v="0"/>
    <n v="0"/>
    <n v="0"/>
    <n v="0"/>
    <n v="0"/>
  </r>
  <r>
    <s v="6MN047"/>
    <s v="Matematik 2 för lärande och undervisning för förskoleklass och grundskolans årskurs 1-3"/>
    <m/>
    <s v="FRIST"/>
    <m/>
    <s v="H19"/>
    <m/>
    <m/>
    <s v="Distans"/>
    <m/>
    <m/>
    <n v="50"/>
    <n v="15"/>
    <m/>
    <m/>
    <n v="6"/>
    <n v="1.5"/>
    <n v="0.8"/>
    <n v="1.2000000000000002"/>
    <x v="9"/>
    <s v="NMD"/>
    <s v="TekNat"/>
    <s v="Fristående och övriga kurser"/>
    <n v="19473"/>
    <n v="34806"/>
    <n v="70976.700000000012"/>
    <n v="21800"/>
    <n v="32700"/>
    <n v="103676.70000000001"/>
    <n v="0"/>
    <n v="0"/>
    <n v="0"/>
    <n v="0"/>
    <n v="0"/>
    <n v="1"/>
    <n v="0"/>
    <n v="0"/>
    <n v="0"/>
    <n v="0"/>
    <n v="0"/>
    <n v="0"/>
  </r>
  <r>
    <s v="6MN048"/>
    <s v="Matematik 2 för lärande och undervisning för grundskolans årskurs 4-6"/>
    <m/>
    <s v="FRIST"/>
    <m/>
    <s v="H19"/>
    <m/>
    <m/>
    <s v="Distans"/>
    <m/>
    <m/>
    <n v="50"/>
    <n v="15"/>
    <m/>
    <m/>
    <n v="6"/>
    <n v="1.5"/>
    <n v="0.8"/>
    <n v="1.2000000000000002"/>
    <x v="9"/>
    <s v="NMD"/>
    <s v="TekNat"/>
    <s v="Fristående och övriga kurser"/>
    <n v="19473"/>
    <n v="34806"/>
    <n v="70976.700000000012"/>
    <n v="21800"/>
    <n v="32700"/>
    <n v="103676.70000000001"/>
    <n v="0"/>
    <n v="0"/>
    <n v="0"/>
    <n v="0"/>
    <n v="0"/>
    <n v="1"/>
    <n v="0"/>
    <n v="0"/>
    <n v="0"/>
    <n v="0"/>
    <n v="0"/>
    <n v="0"/>
  </r>
  <r>
    <s v="6MN049"/>
    <s v="Matematik 1 för lärande och undervisning för förskoleklass och grundskolans årskurs 1-6"/>
    <m/>
    <s v="FRIST"/>
    <m/>
    <s v="V19"/>
    <m/>
    <m/>
    <s v="Distans"/>
    <m/>
    <m/>
    <n v="50"/>
    <n v="15"/>
    <m/>
    <m/>
    <n v="8"/>
    <n v="2"/>
    <n v="0.8"/>
    <n v="1.6"/>
    <x v="9"/>
    <s v="NMD"/>
    <s v="TekNat"/>
    <s v="Fristående och övriga kurser"/>
    <n v="19473"/>
    <n v="34806"/>
    <n v="94635.6"/>
    <n v="21800"/>
    <n v="43600"/>
    <n v="138235.6"/>
    <n v="0"/>
    <n v="0"/>
    <n v="0"/>
    <n v="0"/>
    <n v="0"/>
    <n v="1"/>
    <n v="0"/>
    <n v="0"/>
    <n v="0"/>
    <n v="0"/>
    <n v="0"/>
    <n v="0"/>
  </r>
  <r>
    <s v="6MN050"/>
    <s v="Matematikdidaktik 1 för grundskolans åk 7-9 och gymnasiet"/>
    <m/>
    <s v="FRIST"/>
    <m/>
    <s v="V19"/>
    <m/>
    <m/>
    <s v="Campus"/>
    <m/>
    <m/>
    <n v="100"/>
    <n v="7.5"/>
    <m/>
    <m/>
    <n v="4"/>
    <n v="0.5"/>
    <n v="0.8"/>
    <n v="0.4"/>
    <x v="9"/>
    <s v="NMD"/>
    <s v="TekNat"/>
    <s v="Fristående och övriga kurser"/>
    <n v="19473"/>
    <n v="34806"/>
    <n v="23658.9"/>
    <n v="21800"/>
    <n v="10900"/>
    <n v="34558.9"/>
    <n v="0"/>
    <n v="0"/>
    <n v="0"/>
    <n v="0"/>
    <n v="0"/>
    <n v="1"/>
    <n v="0"/>
    <n v="0"/>
    <n v="0"/>
    <n v="0"/>
    <n v="0"/>
    <n v="0"/>
  </r>
  <r>
    <s v="6MN050"/>
    <s v="Matematikdidaktik 1 för grundskolans åk 7-9 och gymnasiet"/>
    <m/>
    <s v="LYAGY"/>
    <s v="H16"/>
    <s v="V19"/>
    <s v="V1910-15"/>
    <s v="Umeå"/>
    <m/>
    <s v="IDRH"/>
    <m/>
    <n v="100"/>
    <n v="7.5"/>
    <m/>
    <m/>
    <n v="2"/>
    <n v="0.25"/>
    <n v="0.85"/>
    <n v="0.21249999999999999"/>
    <x v="9"/>
    <s v="NMD"/>
    <s v="TekNat"/>
    <s v="Ämneslärarprogrammet - Gy"/>
    <n v="19473"/>
    <n v="34806"/>
    <n v="12264.525"/>
    <n v="21800"/>
    <n v="5450"/>
    <n v="17714.525000000001"/>
    <n v="0"/>
    <n v="0"/>
    <n v="0"/>
    <n v="0"/>
    <n v="0"/>
    <n v="1"/>
    <n v="0"/>
    <n v="0"/>
    <n v="0"/>
    <n v="0"/>
    <n v="0"/>
    <n v="0"/>
  </r>
  <r>
    <s v="6MN050"/>
    <s v="Matematikdidaktik 1 för grundskolans åk 7-9 och gymnasiet"/>
    <m/>
    <s v="LYAGY"/>
    <s v="H18"/>
    <s v="V19"/>
    <s v="V1910-15"/>
    <s v="Umeå"/>
    <m/>
    <s v="MATT"/>
    <m/>
    <n v="100"/>
    <n v="7.5"/>
    <m/>
    <m/>
    <n v="9"/>
    <n v="1.125"/>
    <n v="0.85"/>
    <n v="0.95624999999999993"/>
    <x v="9"/>
    <s v="NMD"/>
    <s v="TekNat"/>
    <s v="Ämneslärarprogrammet - Gy"/>
    <n v="19473"/>
    <n v="34806"/>
    <n v="55190.362499999996"/>
    <n v="21800"/>
    <n v="24525"/>
    <n v="79715.362499999988"/>
    <n v="0"/>
    <n v="0"/>
    <n v="0"/>
    <n v="0"/>
    <n v="0"/>
    <n v="1"/>
    <n v="0"/>
    <n v="0"/>
    <n v="0"/>
    <n v="0"/>
    <n v="0"/>
    <n v="0"/>
  </r>
  <r>
    <s v="6MN051"/>
    <s v="Matematikdidaktik 2 för grundskolans åk 7-9 och gymnasiet"/>
    <m/>
    <s v="FRIST"/>
    <m/>
    <s v="H19"/>
    <m/>
    <m/>
    <s v="Campus"/>
    <m/>
    <m/>
    <n v="100"/>
    <n v="7.5"/>
    <m/>
    <m/>
    <n v="5"/>
    <n v="0.625"/>
    <n v="0.8"/>
    <n v="0.5"/>
    <x v="9"/>
    <s v="NMD"/>
    <s v="TekNat"/>
    <s v="Fristående och övriga kurser"/>
    <n v="19473"/>
    <n v="34806"/>
    <n v="29573.625"/>
    <n v="21800"/>
    <n v="13625"/>
    <n v="43198.625"/>
    <n v="0"/>
    <n v="0"/>
    <n v="0"/>
    <n v="0"/>
    <n v="0"/>
    <n v="1"/>
    <n v="0"/>
    <n v="0"/>
    <n v="0"/>
    <n v="0"/>
    <n v="0"/>
    <n v="0"/>
  </r>
  <r>
    <s v="6MN051"/>
    <s v="Matematikdidaktik 2 för grundskolans åk 7-9 och gymnasiet"/>
    <m/>
    <s v="LYAGY"/>
    <s v="H16"/>
    <s v="H19"/>
    <s v="H1911-15"/>
    <m/>
    <m/>
    <s v="IDRH"/>
    <m/>
    <n v="100"/>
    <n v="7.5"/>
    <m/>
    <m/>
    <n v="2"/>
    <n v="0.25"/>
    <n v="0.85"/>
    <n v="0.21249999999999999"/>
    <x v="9"/>
    <s v="NMD"/>
    <s v="TekNat"/>
    <s v="Ämneslärarprogrammet - Gy"/>
    <n v="19473"/>
    <n v="34806"/>
    <n v="12264.525"/>
    <n v="21800"/>
    <n v="5450"/>
    <n v="17714.525000000001"/>
    <n v="0"/>
    <n v="0"/>
    <n v="0"/>
    <n v="0"/>
    <n v="0"/>
    <n v="1"/>
    <n v="0"/>
    <n v="0"/>
    <n v="0"/>
    <n v="0"/>
    <n v="0"/>
    <n v="0"/>
  </r>
  <r>
    <s v="6MN051"/>
    <s v="Matematikdidaktik 2 för grundskolans åk 7-9 och gymnasiet"/>
    <m/>
    <s v="LYAGY"/>
    <s v="H17"/>
    <s v="H19"/>
    <s v="H1911-15"/>
    <m/>
    <m/>
    <s v="MATT"/>
    <m/>
    <n v="100"/>
    <n v="7.5"/>
    <m/>
    <m/>
    <n v="1"/>
    <n v="0.125"/>
    <n v="0.85"/>
    <n v="0.10625"/>
    <x v="9"/>
    <s v="NMD"/>
    <s v="TekNat"/>
    <s v="Ämneslärarprogrammet - Gy"/>
    <n v="19473"/>
    <n v="34806"/>
    <n v="6132.2624999999998"/>
    <n v="21800"/>
    <n v="2725"/>
    <n v="8857.2625000000007"/>
    <n v="0"/>
    <n v="0"/>
    <n v="0"/>
    <n v="0"/>
    <n v="0"/>
    <n v="1"/>
    <n v="0"/>
    <n v="0"/>
    <n v="0"/>
    <n v="0"/>
    <n v="0"/>
    <n v="0"/>
  </r>
  <r>
    <s v="6MN051"/>
    <s v="Matematikdidaktik 2 för grundskolans åk 7-9 och gymnasiet"/>
    <m/>
    <s v="LYAGY"/>
    <s v="H18"/>
    <s v="H19"/>
    <s v="H1911-15"/>
    <m/>
    <m/>
    <s v="MATT"/>
    <m/>
    <n v="100"/>
    <n v="7.5"/>
    <m/>
    <m/>
    <n v="8"/>
    <n v="1"/>
    <n v="0.85"/>
    <n v="0.85"/>
    <x v="9"/>
    <s v="NMD"/>
    <s v="TekNat"/>
    <s v="Ämneslärarprogrammet - Gy"/>
    <n v="19473"/>
    <n v="34806"/>
    <n v="49058.1"/>
    <n v="21800"/>
    <n v="21800"/>
    <n v="70858.100000000006"/>
    <n v="0"/>
    <n v="0"/>
    <n v="0"/>
    <n v="0"/>
    <n v="0"/>
    <n v="1"/>
    <n v="0"/>
    <n v="0"/>
    <n v="0"/>
    <n v="0"/>
    <n v="0"/>
    <n v="0"/>
  </r>
  <r>
    <s v="6MN051"/>
    <s v="Matematikdidaktik 2 för grundskolans åk 7-9 och gymnasiet"/>
    <m/>
    <s v="LYAGY"/>
    <s v="H19"/>
    <s v="H19"/>
    <s v="H1911-15"/>
    <m/>
    <m/>
    <s v="MATT"/>
    <m/>
    <n v="100"/>
    <n v="7.5"/>
    <m/>
    <m/>
    <n v="3"/>
    <n v="0.375"/>
    <n v="0.85"/>
    <n v="0.31874999999999998"/>
    <x v="9"/>
    <s v="NMD"/>
    <s v="TekNat"/>
    <s v="Ämneslärarprogrammet - Gy"/>
    <n v="19473"/>
    <n v="34806"/>
    <n v="18396.787499999999"/>
    <n v="21800"/>
    <n v="8175"/>
    <n v="26571.787499999999"/>
    <n v="0"/>
    <n v="0"/>
    <n v="0"/>
    <n v="0"/>
    <n v="0"/>
    <n v="1"/>
    <n v="0"/>
    <n v="0"/>
    <n v="0"/>
    <n v="0"/>
    <n v="0"/>
    <n v="0"/>
  </r>
  <r>
    <s v="6MS002"/>
    <s v="Statistik för lärare"/>
    <m/>
    <s v="FRIST"/>
    <m/>
    <s v="H19"/>
    <m/>
    <m/>
    <s v="Campus"/>
    <m/>
    <m/>
    <n v="100"/>
    <n v="7.5"/>
    <m/>
    <m/>
    <n v="2"/>
    <n v="0.25"/>
    <n v="0.8"/>
    <n v="0.2"/>
    <x v="8"/>
    <s v="Inst för MA och MA statistik"/>
    <s v="TekNat"/>
    <s v="Fristående och övriga kurser"/>
    <n v="19473"/>
    <n v="34806"/>
    <n v="11829.45"/>
    <n v="21800"/>
    <n v="5450"/>
    <n v="17279.45"/>
    <n v="0"/>
    <n v="0"/>
    <n v="0"/>
    <n v="0"/>
    <n v="0"/>
    <n v="1"/>
    <n v="0"/>
    <n v="0"/>
    <n v="0"/>
    <n v="0"/>
    <n v="0"/>
    <n v="0"/>
  </r>
  <r>
    <s v="6MS002"/>
    <s v="Statistik för lärare"/>
    <m/>
    <s v="LYAGY"/>
    <s v="H16"/>
    <s v="H19"/>
    <s v="H196-10"/>
    <m/>
    <m/>
    <s v="IDRH"/>
    <m/>
    <n v="100"/>
    <n v="7.5"/>
    <m/>
    <m/>
    <n v="2"/>
    <n v="0.25"/>
    <n v="0.85"/>
    <n v="0.21249999999999999"/>
    <x v="8"/>
    <s v="Inst för MA och MA statistik"/>
    <s v="TekNat"/>
    <s v="Ämneslärarprogrammet - Gy"/>
    <n v="19473"/>
    <n v="34806"/>
    <n v="12264.525"/>
    <n v="21800"/>
    <n v="5450"/>
    <n v="17714.525000000001"/>
    <n v="0"/>
    <n v="0"/>
    <n v="0"/>
    <n v="0"/>
    <n v="0"/>
    <n v="1"/>
    <n v="0"/>
    <n v="0"/>
    <n v="0"/>
    <n v="0"/>
    <n v="0"/>
    <n v="0"/>
  </r>
  <r>
    <s v="6MS002"/>
    <s v="Statistik för lärare"/>
    <m/>
    <s v="LYAGY"/>
    <s v="H17"/>
    <s v="H19"/>
    <s v="H196-10"/>
    <m/>
    <m/>
    <s v="MATT"/>
    <m/>
    <n v="100"/>
    <n v="7.5"/>
    <m/>
    <m/>
    <n v="1"/>
    <n v="0.125"/>
    <n v="0.85"/>
    <n v="0.10625"/>
    <x v="8"/>
    <s v="Inst för MA och MA statistik"/>
    <s v="TekNat"/>
    <s v="Ämneslärarprogrammet - Gy"/>
    <n v="19473"/>
    <n v="34806"/>
    <n v="6132.2624999999998"/>
    <n v="21800"/>
    <n v="2725"/>
    <n v="8857.2625000000007"/>
    <n v="0"/>
    <n v="0"/>
    <n v="0"/>
    <n v="0"/>
    <n v="0"/>
    <n v="1"/>
    <n v="0"/>
    <n v="0"/>
    <n v="0"/>
    <n v="0"/>
    <n v="0"/>
    <n v="0"/>
  </r>
  <r>
    <s v="6MS002"/>
    <s v="Statistik för lärare"/>
    <m/>
    <s v="LYAGY"/>
    <s v="H18"/>
    <s v="H19"/>
    <s v="H196-10"/>
    <m/>
    <m/>
    <s v="MATT"/>
    <m/>
    <n v="100"/>
    <n v="7.5"/>
    <m/>
    <m/>
    <n v="7"/>
    <n v="0.875"/>
    <n v="0.85"/>
    <n v="0.74375000000000002"/>
    <x v="8"/>
    <s v="Inst för MA och MA statistik"/>
    <s v="TekNat"/>
    <s v="Ämneslärarprogrammet - Gy"/>
    <n v="19473"/>
    <n v="34806"/>
    <n v="42925.837500000001"/>
    <n v="21800"/>
    <n v="19075"/>
    <n v="62000.837500000001"/>
    <n v="0"/>
    <n v="0"/>
    <n v="0"/>
    <n v="0"/>
    <n v="0"/>
    <n v="1"/>
    <n v="0"/>
    <n v="0"/>
    <n v="0"/>
    <n v="0"/>
    <n v="0"/>
    <n v="0"/>
  </r>
  <r>
    <s v="6MS002"/>
    <s v="Statistik för lärare"/>
    <m/>
    <s v="LYAGY"/>
    <s v="H19"/>
    <s v="H19"/>
    <s v="H196-10"/>
    <m/>
    <m/>
    <s v="MATT"/>
    <m/>
    <n v="100"/>
    <n v="7.5"/>
    <m/>
    <m/>
    <n v="1"/>
    <n v="0.125"/>
    <n v="0.85"/>
    <n v="0.10625"/>
    <x v="8"/>
    <s v="Inst för MA och MA statistik"/>
    <s v="TekNat"/>
    <s v="Ämneslärarprogrammet - Gy"/>
    <n v="19473"/>
    <n v="34806"/>
    <n v="6132.2624999999998"/>
    <n v="21800"/>
    <n v="2725"/>
    <n v="8857.2625000000007"/>
    <n v="0"/>
    <n v="0"/>
    <n v="0"/>
    <n v="0"/>
    <n v="0"/>
    <n v="1"/>
    <n v="0"/>
    <n v="0"/>
    <n v="0"/>
    <n v="0"/>
    <n v="0"/>
    <n v="0"/>
  </r>
  <r>
    <s v="6MS003"/>
    <s v="Statistik för naturvetare"/>
    <m/>
    <s v="FRIST"/>
    <m/>
    <s v="V19"/>
    <m/>
    <m/>
    <m/>
    <m/>
    <m/>
    <n v="50"/>
    <n v="7.5"/>
    <m/>
    <m/>
    <n v="1"/>
    <n v="0.125"/>
    <n v="0.85"/>
    <n v="0.10625"/>
    <x v="8"/>
    <s v="Inst för MA och MA statistik"/>
    <s v="TekNat"/>
    <s v="Fristående och övriga kurser"/>
    <n v="19473"/>
    <n v="34806"/>
    <n v="6132.2624999999998"/>
    <n v="21800"/>
    <n v="2725"/>
    <n v="8857.2625000000007"/>
    <n v="0"/>
    <n v="0"/>
    <n v="0"/>
    <n v="0"/>
    <n v="0"/>
    <n v="1"/>
    <n v="0"/>
    <n v="0"/>
    <n v="0"/>
    <n v="0"/>
    <n v="0"/>
    <n v="0"/>
  </r>
  <r>
    <s v="6MS003"/>
    <s v="Statistik för naturvetare"/>
    <m/>
    <s v="FRIST"/>
    <m/>
    <s v="H19"/>
    <m/>
    <m/>
    <s v="Campus"/>
    <m/>
    <m/>
    <n v="50"/>
    <n v="7.5"/>
    <m/>
    <m/>
    <n v="2"/>
    <n v="0.25"/>
    <n v="0.8"/>
    <n v="0.2"/>
    <x v="8"/>
    <s v="Inst för MA och MA statistik"/>
    <s v="TekNat"/>
    <s v="Fristående och övriga kurser"/>
    <n v="19473"/>
    <n v="34806"/>
    <n v="11829.45"/>
    <n v="21800"/>
    <n v="5450"/>
    <n v="17279.45"/>
    <n v="0"/>
    <n v="0"/>
    <n v="0"/>
    <n v="0"/>
    <n v="0"/>
    <n v="1"/>
    <n v="0"/>
    <n v="0"/>
    <n v="0"/>
    <n v="0"/>
    <n v="0"/>
    <n v="0"/>
  </r>
  <r>
    <s v="6MS003"/>
    <s v="Statistik för naturvetare"/>
    <m/>
    <s v="LYAGY"/>
    <s v="H17"/>
    <s v="V19"/>
    <s v="V1911-20"/>
    <s v="Umeå"/>
    <m/>
    <s v="MATT"/>
    <m/>
    <n v="50"/>
    <n v="7.5"/>
    <m/>
    <m/>
    <n v="2"/>
    <n v="0.25"/>
    <n v="0.85"/>
    <n v="0.21249999999999999"/>
    <x v="8"/>
    <s v="Inst för MA och MA statistik"/>
    <s v="TekNat"/>
    <s v="Ämneslärarprogrammet - Gy"/>
    <n v="19473"/>
    <n v="34806"/>
    <n v="12264.525"/>
    <n v="21800"/>
    <n v="5450"/>
    <n v="17714.525000000001"/>
    <n v="0"/>
    <n v="0"/>
    <n v="0"/>
    <n v="0"/>
    <n v="0"/>
    <n v="1"/>
    <n v="0"/>
    <n v="0"/>
    <n v="0"/>
    <n v="0"/>
    <n v="0"/>
    <n v="0"/>
  </r>
  <r>
    <s v="6MU018"/>
    <s v="Musik &amp; skapande, kommunikation"/>
    <m/>
    <s v="FRIST"/>
    <m/>
    <s v="V19"/>
    <m/>
    <m/>
    <s v="Distans"/>
    <m/>
    <m/>
    <n v="50"/>
    <n v="15"/>
    <m/>
    <m/>
    <n v="4"/>
    <n v="1"/>
    <n v="0.8"/>
    <n v="0.8"/>
    <x v="11"/>
    <s v="Estetiska ämnen               "/>
    <s v="Hum"/>
    <s v="Fristående och övriga kurser"/>
    <n v="30802"/>
    <n v="63797"/>
    <n v="81839.600000000006"/>
    <n v="70100"/>
    <n v="70100"/>
    <n v="151939.6"/>
    <n v="0"/>
    <n v="0"/>
    <n v="0"/>
    <n v="0"/>
    <n v="1"/>
    <n v="0"/>
    <n v="0"/>
    <n v="0"/>
    <n v="0"/>
    <n v="0"/>
    <n v="0"/>
    <n v="0"/>
  </r>
  <r>
    <s v="6MU018"/>
    <s v="Musik &amp; skapande, kommunikation"/>
    <m/>
    <s v="FRIST"/>
    <m/>
    <s v="H19"/>
    <m/>
    <m/>
    <s v="Distans"/>
    <m/>
    <m/>
    <n v="50"/>
    <n v="15"/>
    <m/>
    <m/>
    <n v="10"/>
    <n v="2.5"/>
    <n v="0.8"/>
    <n v="2"/>
    <x v="11"/>
    <s v="Estetiska ämnen               "/>
    <s v="Hum"/>
    <s v="Fristående och övriga kurser"/>
    <n v="30802"/>
    <n v="63797"/>
    <n v="204599"/>
    <n v="70100"/>
    <n v="175250"/>
    <n v="379849"/>
    <n v="0"/>
    <n v="0"/>
    <n v="0"/>
    <n v="0"/>
    <n v="1"/>
    <n v="0"/>
    <n v="0"/>
    <n v="0"/>
    <n v="0"/>
    <n v="0"/>
    <n v="0"/>
    <n v="0"/>
  </r>
  <r>
    <s v="6MU019"/>
    <s v="Musik 1a"/>
    <m/>
    <s v="FRIST"/>
    <m/>
    <s v="H19"/>
    <m/>
    <m/>
    <s v="Distans"/>
    <m/>
    <m/>
    <n v="50"/>
    <n v="15"/>
    <m/>
    <m/>
    <n v="10"/>
    <n v="2.5"/>
    <n v="0.8"/>
    <n v="2"/>
    <x v="11"/>
    <s v="Estetiska ämnen               "/>
    <s v="Hum"/>
    <s v="Fristående och övriga kurser"/>
    <n v="30802"/>
    <n v="63797"/>
    <n v="204599"/>
    <n v="70100"/>
    <n v="175250"/>
    <n v="379849"/>
    <n v="0"/>
    <n v="0"/>
    <n v="0"/>
    <n v="0"/>
    <n v="1"/>
    <n v="0"/>
    <n v="0"/>
    <n v="0"/>
    <n v="0"/>
    <n v="0"/>
    <n v="0"/>
    <n v="0"/>
  </r>
  <r>
    <s v="6MU020"/>
    <s v="Musik 1b"/>
    <m/>
    <s v="FRIST"/>
    <m/>
    <s v="V19"/>
    <m/>
    <m/>
    <s v="Distans"/>
    <m/>
    <m/>
    <n v="50"/>
    <n v="15"/>
    <m/>
    <m/>
    <n v="8"/>
    <n v="2"/>
    <n v="0.8"/>
    <n v="1.6"/>
    <x v="11"/>
    <s v="Estetiska ämnen               "/>
    <s v="Hum"/>
    <s v="Fristående och övriga kurser"/>
    <n v="30802"/>
    <n v="63797"/>
    <n v="163679.20000000001"/>
    <n v="70100"/>
    <n v="140200"/>
    <n v="303879.2"/>
    <n v="0"/>
    <n v="0"/>
    <n v="0"/>
    <n v="0"/>
    <n v="1"/>
    <n v="0"/>
    <n v="0"/>
    <n v="0"/>
    <n v="0"/>
    <n v="0"/>
    <n v="0"/>
    <n v="0"/>
  </r>
  <r>
    <s v="6MU021"/>
    <s v="Musik 1"/>
    <m/>
    <s v="LYAGY"/>
    <s v="H18"/>
    <s v="V19"/>
    <s v="V191-20"/>
    <s v="Umeå"/>
    <m/>
    <s v="MUSI"/>
    <m/>
    <n v="100"/>
    <n v="30"/>
    <m/>
    <m/>
    <n v="5"/>
    <n v="2.5"/>
    <n v="0.85"/>
    <n v="2.125"/>
    <x v="11"/>
    <s v="Estetiska ämnen               "/>
    <s v="Hum"/>
    <s v="Ämneslärarprogrammet - Gy"/>
    <n v="30802"/>
    <n v="63797"/>
    <n v="212573.625"/>
    <n v="70100"/>
    <n v="175250"/>
    <n v="387823.625"/>
    <n v="0"/>
    <n v="0"/>
    <n v="0"/>
    <n v="0"/>
    <n v="1"/>
    <n v="0"/>
    <n v="0"/>
    <n v="0"/>
    <n v="0"/>
    <n v="0"/>
    <n v="0"/>
    <n v="0"/>
  </r>
  <r>
    <s v="6MU023"/>
    <s v="Musik 3"/>
    <m/>
    <s v="LYAGY"/>
    <s v="H17"/>
    <s v="V19"/>
    <s v="V191-20"/>
    <s v="Umeå"/>
    <m/>
    <s v="MUSI"/>
    <m/>
    <n v="100"/>
    <n v="30"/>
    <m/>
    <m/>
    <n v="3"/>
    <n v="1.5"/>
    <n v="0.85"/>
    <n v="1.2749999999999999"/>
    <x v="11"/>
    <s v="Estetiska ämnen               "/>
    <s v="Hum"/>
    <s v="Ämneslärarprogrammet - Gy"/>
    <n v="30802"/>
    <n v="63797"/>
    <n v="127544.17499999999"/>
    <n v="70100"/>
    <n v="105150"/>
    <n v="232694.17499999999"/>
    <n v="0"/>
    <n v="0"/>
    <n v="0"/>
    <n v="0"/>
    <n v="1"/>
    <n v="0"/>
    <n v="0"/>
    <n v="0"/>
    <n v="0"/>
    <n v="0"/>
    <n v="0"/>
    <n v="0"/>
  </r>
  <r>
    <s v="6MU033"/>
    <s v="Musik 2a, distans"/>
    <m/>
    <s v="FRIST"/>
    <m/>
    <s v="H19"/>
    <m/>
    <m/>
    <s v="Distans"/>
    <m/>
    <m/>
    <n v="50"/>
    <n v="15"/>
    <m/>
    <m/>
    <n v="10"/>
    <n v="2.5"/>
    <n v="0.8"/>
    <n v="2"/>
    <x v="11"/>
    <s v="Estetiska ämnen               "/>
    <s v="Hum"/>
    <s v="Fristående och övriga kurser"/>
    <n v="30802"/>
    <n v="63797"/>
    <n v="204599"/>
    <n v="70100"/>
    <n v="175250"/>
    <n v="379849"/>
    <n v="0"/>
    <n v="0"/>
    <n v="0"/>
    <n v="0"/>
    <n v="1"/>
    <n v="0"/>
    <n v="0"/>
    <n v="0"/>
    <n v="0"/>
    <n v="0"/>
    <n v="0"/>
    <n v="0"/>
  </r>
  <r>
    <s v="6MU034"/>
    <s v="Musik 2b, distans"/>
    <m/>
    <s v="FRIST"/>
    <m/>
    <s v="V19"/>
    <m/>
    <m/>
    <s v="Distans"/>
    <m/>
    <m/>
    <n v="50"/>
    <n v="15"/>
    <m/>
    <m/>
    <n v="5"/>
    <n v="1.25"/>
    <n v="0.8"/>
    <n v="1"/>
    <x v="11"/>
    <s v="Estetiska ämnen               "/>
    <s v="Hum"/>
    <s v="Fristående och övriga kurser"/>
    <n v="30802"/>
    <n v="63797"/>
    <n v="102299.5"/>
    <n v="70100"/>
    <n v="87625"/>
    <n v="189924.5"/>
    <n v="0"/>
    <n v="0"/>
    <n v="0"/>
    <n v="0"/>
    <n v="1"/>
    <n v="0"/>
    <n v="0"/>
    <n v="0"/>
    <n v="0"/>
    <n v="0"/>
    <n v="0"/>
    <n v="0"/>
  </r>
  <r>
    <s v="6MU044"/>
    <s v="Musik 1 30 hp, fristående"/>
    <m/>
    <s v="FRIST"/>
    <m/>
    <s v="V19"/>
    <m/>
    <m/>
    <s v="Campus"/>
    <m/>
    <m/>
    <n v="100"/>
    <n v="30"/>
    <m/>
    <m/>
    <n v="0"/>
    <n v="0"/>
    <n v="0.8"/>
    <n v="0"/>
    <x v="11"/>
    <s v="Estetiska ämnen               "/>
    <s v="Hum"/>
    <s v="Fristående och övriga kurser"/>
    <n v="30802"/>
    <n v="63797"/>
    <n v="0"/>
    <n v="70100"/>
    <n v="0"/>
    <n v="0"/>
    <n v="0"/>
    <n v="0"/>
    <n v="0"/>
    <n v="0"/>
    <n v="1"/>
    <n v="0"/>
    <n v="0"/>
    <n v="0"/>
    <n v="0"/>
    <n v="0"/>
    <n v="0"/>
    <n v="0"/>
  </r>
  <r>
    <s v="6MU047"/>
    <s v="Musik 2 30.0 hp, fristående"/>
    <m/>
    <s v="FRIST"/>
    <m/>
    <s v="H19"/>
    <m/>
    <m/>
    <s v="Campus"/>
    <m/>
    <m/>
    <n v="100"/>
    <n v="30"/>
    <m/>
    <m/>
    <n v="4"/>
    <n v="2"/>
    <n v="0.8"/>
    <n v="1.6"/>
    <x v="11"/>
    <s v="Estetiska ämnen               "/>
    <s v="Hum"/>
    <s v="Fristående och övriga kurser"/>
    <n v="30802"/>
    <n v="63797"/>
    <n v="163679.20000000001"/>
    <n v="70100"/>
    <n v="140200"/>
    <n v="303879.2"/>
    <n v="0"/>
    <n v="0"/>
    <n v="0"/>
    <n v="0"/>
    <n v="1"/>
    <n v="0"/>
    <n v="0"/>
    <n v="0"/>
    <n v="0"/>
    <n v="0"/>
    <n v="0"/>
    <n v="0"/>
  </r>
  <r>
    <s v="6MU048"/>
    <s v="Musik 3, fristående "/>
    <m/>
    <s v="FRIST"/>
    <m/>
    <s v="V19"/>
    <m/>
    <m/>
    <s v="Campus"/>
    <m/>
    <m/>
    <n v="100"/>
    <n v="30"/>
    <m/>
    <m/>
    <n v="0"/>
    <n v="0"/>
    <n v="0.8"/>
    <n v="0"/>
    <x v="11"/>
    <s v="Estetiska ämnen               "/>
    <s v="Hum"/>
    <s v="Fristående och övriga kurser"/>
    <n v="30802"/>
    <n v="63797"/>
    <n v="0"/>
    <n v="70100"/>
    <n v="0"/>
    <n v="0"/>
    <n v="0"/>
    <n v="0"/>
    <n v="0"/>
    <n v="0"/>
    <n v="1"/>
    <n v="0"/>
    <n v="0"/>
    <n v="0"/>
    <n v="0"/>
    <n v="0"/>
    <n v="0"/>
    <n v="0"/>
  </r>
  <r>
    <s v="6MU052"/>
    <s v="Musik fördjupning 1"/>
    <m/>
    <s v="LYAGY"/>
    <s v="H15"/>
    <s v="V19"/>
    <s v="V191-20"/>
    <s v="Umeå"/>
    <m/>
    <s v="MUSI"/>
    <m/>
    <n v="100"/>
    <n v="30"/>
    <m/>
    <m/>
    <n v="2"/>
    <n v="1"/>
    <n v="0.85"/>
    <n v="0.85"/>
    <x v="11"/>
    <s v="Estetiska ämnen               "/>
    <s v="Hum"/>
    <s v="Ämneslärarprogrammet - Gy"/>
    <n v="30802"/>
    <n v="63797"/>
    <n v="85029.45"/>
    <n v="70100"/>
    <n v="70100"/>
    <n v="155129.45000000001"/>
    <n v="0"/>
    <n v="0"/>
    <n v="0"/>
    <n v="0"/>
    <n v="1"/>
    <n v="0"/>
    <n v="0"/>
    <n v="0"/>
    <n v="0"/>
    <n v="0"/>
    <n v="0"/>
    <n v="0"/>
  </r>
  <r>
    <s v="6MU052"/>
    <s v="Musik fördjupning 1"/>
    <m/>
    <s v="LYAGY"/>
    <s v="H16"/>
    <s v="V19"/>
    <s v="V191-20"/>
    <s v="Umeå"/>
    <m/>
    <s v="MUSI"/>
    <m/>
    <n v="100"/>
    <n v="30"/>
    <m/>
    <m/>
    <n v="2"/>
    <n v="1"/>
    <n v="0.85"/>
    <n v="0.85"/>
    <x v="11"/>
    <s v="Estetiska ämnen               "/>
    <s v="Hum"/>
    <s v="Ämneslärarprogrammet - Gy"/>
    <n v="30802"/>
    <n v="63797"/>
    <n v="85029.45"/>
    <n v="70100"/>
    <n v="70100"/>
    <n v="155129.45000000001"/>
    <n v="0"/>
    <n v="0"/>
    <n v="0"/>
    <n v="0"/>
    <n v="1"/>
    <n v="0"/>
    <n v="0"/>
    <n v="0"/>
    <n v="0"/>
    <n v="0"/>
    <n v="0"/>
    <n v="0"/>
  </r>
  <r>
    <s v="6MU052"/>
    <s v="Musik fördjupning 1"/>
    <m/>
    <s v="LYAGY"/>
    <s v="H17"/>
    <s v="V19"/>
    <s v="V191-20"/>
    <s v="Umeå"/>
    <m/>
    <s v="MUSI"/>
    <m/>
    <n v="100"/>
    <n v="30"/>
    <m/>
    <m/>
    <n v="1"/>
    <n v="0.5"/>
    <n v="0.85"/>
    <n v="0.42499999999999999"/>
    <x v="11"/>
    <s v="Estetiska ämnen               "/>
    <s v="Hum"/>
    <s v="Ämneslärarprogrammet - Gy"/>
    <n v="30802"/>
    <n v="63797"/>
    <n v="42514.724999999999"/>
    <n v="70100"/>
    <n v="35050"/>
    <n v="77564.725000000006"/>
    <n v="0"/>
    <n v="0"/>
    <n v="0"/>
    <n v="0"/>
    <n v="1"/>
    <n v="0"/>
    <n v="0"/>
    <n v="0"/>
    <n v="0"/>
    <n v="0"/>
    <n v="0"/>
    <n v="0"/>
  </r>
  <r>
    <s v="6MU061"/>
    <s v="Musik 2"/>
    <m/>
    <s v="LYAGY"/>
    <s v="H18"/>
    <s v="H19"/>
    <s v="H191-20"/>
    <m/>
    <m/>
    <s v="MUSI"/>
    <m/>
    <n v="100"/>
    <n v="30"/>
    <m/>
    <m/>
    <n v="5"/>
    <n v="2.5"/>
    <n v="0.85"/>
    <n v="2.125"/>
    <x v="11"/>
    <s v="Estetiska ämnen               "/>
    <s v="Hum"/>
    <s v="Ämneslärarprogrammet - Gy"/>
    <n v="30802"/>
    <n v="63797"/>
    <n v="212573.625"/>
    <n v="70100"/>
    <n v="175250"/>
    <n v="387823.625"/>
    <n v="0"/>
    <n v="0"/>
    <n v="0"/>
    <n v="0"/>
    <n v="1"/>
    <n v="0"/>
    <n v="0"/>
    <n v="0"/>
    <n v="0"/>
    <n v="0"/>
    <n v="0"/>
    <n v="0"/>
  </r>
  <r>
    <s v="6MU065"/>
    <s v="Musik fördjupning 2"/>
    <m/>
    <s v="LYAGY"/>
    <s v="H15"/>
    <s v="H19"/>
    <s v="H191-20"/>
    <m/>
    <m/>
    <s v="MUSI"/>
    <m/>
    <n v="100"/>
    <n v="30"/>
    <m/>
    <m/>
    <n v="2"/>
    <n v="1"/>
    <n v="0.85"/>
    <n v="0.85"/>
    <x v="11"/>
    <s v="Estetiska ämnen               "/>
    <s v="Hum"/>
    <s v="Ämneslärarprogrammet - Gy"/>
    <n v="30802"/>
    <n v="63797"/>
    <n v="85029.45"/>
    <n v="70100"/>
    <n v="70100"/>
    <n v="155129.45000000001"/>
    <n v="0"/>
    <n v="0"/>
    <n v="0"/>
    <n v="0"/>
    <n v="1"/>
    <n v="0"/>
    <n v="0"/>
    <n v="0"/>
    <n v="0"/>
    <n v="0"/>
    <n v="0"/>
    <n v="0"/>
  </r>
  <r>
    <s v="6MU065"/>
    <s v="Musik fördjupning 2"/>
    <m/>
    <s v="LYAGY"/>
    <s v="H16"/>
    <s v="H19"/>
    <s v="H191-20"/>
    <m/>
    <m/>
    <s v="MUSI"/>
    <m/>
    <n v="100"/>
    <n v="30"/>
    <m/>
    <m/>
    <n v="2"/>
    <n v="1"/>
    <n v="0.85"/>
    <n v="0.85"/>
    <x v="11"/>
    <s v="Estetiska ämnen               "/>
    <s v="Hum"/>
    <s v="Ämneslärarprogrammet - Gy"/>
    <n v="30802"/>
    <n v="63797"/>
    <n v="85029.45"/>
    <n v="70100"/>
    <n v="70100"/>
    <n v="155129.45000000001"/>
    <n v="0"/>
    <n v="0"/>
    <n v="0"/>
    <n v="0"/>
    <n v="1"/>
    <n v="0"/>
    <n v="0"/>
    <n v="0"/>
    <n v="0"/>
    <n v="0"/>
    <n v="0"/>
    <n v="0"/>
  </r>
  <r>
    <s v="6MU065"/>
    <s v="Musik fördjupning 2"/>
    <m/>
    <s v="LYAGY"/>
    <s v="H17"/>
    <s v="H19"/>
    <s v="H191-20"/>
    <m/>
    <m/>
    <s v="MUSI"/>
    <m/>
    <n v="100"/>
    <n v="30"/>
    <m/>
    <m/>
    <n v="1"/>
    <n v="0.5"/>
    <n v="0.85"/>
    <n v="0.42499999999999999"/>
    <x v="11"/>
    <s v="Estetiska ämnen               "/>
    <s v="Hum"/>
    <s v="Ämneslärarprogrammet - Gy"/>
    <n v="30802"/>
    <n v="63797"/>
    <n v="42514.724999999999"/>
    <n v="70100"/>
    <n v="35050"/>
    <n v="77564.725000000006"/>
    <n v="0"/>
    <n v="0"/>
    <n v="0"/>
    <n v="0"/>
    <n v="1"/>
    <n v="0"/>
    <n v="0"/>
    <n v="0"/>
    <n v="0"/>
    <n v="0"/>
    <n v="0"/>
    <n v="0"/>
  </r>
  <r>
    <s v="6NE001"/>
    <s v="Makroekonomi och arbetsmarknad A23"/>
    <m/>
    <s v="LYSYV"/>
    <s v="H17"/>
    <s v="V19"/>
    <s v="V1916-20"/>
    <s v="Umeå"/>
    <s v="DIST"/>
    <m/>
    <m/>
    <n v="100"/>
    <n v="7.5"/>
    <m/>
    <m/>
    <n v="11"/>
    <n v="1.375"/>
    <n v="0.85"/>
    <n v="1.16875"/>
    <x v="15"/>
    <s v="Nationalekonomi               "/>
    <s v="Sam"/>
    <s v="Studie- och yrkesvägledarprogram"/>
    <n v="18405"/>
    <n v="15773"/>
    <n v="43741.568749999999"/>
    <n v="5800"/>
    <n v="7975"/>
    <n v="51716.568749999999"/>
    <n v="0"/>
    <n v="0"/>
    <n v="0"/>
    <n v="0"/>
    <n v="0"/>
    <n v="0"/>
    <n v="1"/>
    <n v="0"/>
    <n v="0"/>
    <n v="0"/>
    <n v="0"/>
    <n v="0"/>
  </r>
  <r>
    <s v="6NE001"/>
    <s v="Makroekonomi och arbetsmarknad A23"/>
    <m/>
    <s v="LYSYV"/>
    <s v="H17"/>
    <s v="V19"/>
    <s v="V1916-20"/>
    <s v="Umeå"/>
    <s v="REGU"/>
    <m/>
    <m/>
    <n v="100"/>
    <n v="7.5"/>
    <m/>
    <m/>
    <n v="18"/>
    <n v="2.25"/>
    <n v="0.85"/>
    <n v="1.9124999999999999"/>
    <x v="15"/>
    <s v="Nationalekonomi               "/>
    <s v="Sam"/>
    <s v="Studie- och yrkesvägledarprogram"/>
    <n v="18405"/>
    <n v="15773"/>
    <n v="71577.112500000003"/>
    <n v="5800"/>
    <n v="13050"/>
    <n v="84627.112500000003"/>
    <n v="0"/>
    <n v="0"/>
    <n v="0"/>
    <n v="0"/>
    <n v="0"/>
    <n v="0"/>
    <n v="1"/>
    <n v="0"/>
    <n v="0"/>
    <n v="0"/>
    <n v="0"/>
    <n v="0"/>
  </r>
  <r>
    <s v="6NK000"/>
    <s v="Att undervisa i naturkunskap (VFU)"/>
    <m/>
    <s v="LYAGY"/>
    <s v="H16"/>
    <s v="H19"/>
    <s v="H1913-16"/>
    <m/>
    <m/>
    <s v="MATT"/>
    <m/>
    <n v="100"/>
    <n v="6"/>
    <m/>
    <m/>
    <n v="1"/>
    <n v="0.1"/>
    <n v="0.85"/>
    <n v="8.5000000000000006E-2"/>
    <x v="9"/>
    <s v="NMD"/>
    <s v="TekNat"/>
    <s v="Ämneslärarprogrammet - Gy"/>
    <n v="21634"/>
    <n v="26986"/>
    <n v="4457.21"/>
    <n v="3400"/>
    <n v="340"/>
    <n v="4797.21"/>
    <n v="0"/>
    <n v="0"/>
    <n v="0"/>
    <n v="0"/>
    <n v="0"/>
    <n v="0"/>
    <n v="0"/>
    <n v="0"/>
    <n v="1"/>
    <n v="0"/>
    <n v="0"/>
    <n v="0"/>
  </r>
  <r>
    <s v="6NK036"/>
    <s v="Examensarbete - Naturkunskap"/>
    <m/>
    <s v="LYAGY"/>
    <s v="H14"/>
    <s v="V19"/>
    <s v="H1816-20:V191-15"/>
    <s v="Umeå"/>
    <m/>
    <s v="ENGS"/>
    <m/>
    <n v="100"/>
    <n v="22.5"/>
    <m/>
    <m/>
    <n v="1"/>
    <n v="0.375"/>
    <n v="0.85"/>
    <n v="0.31874999999999998"/>
    <x v="9"/>
    <s v="NMD"/>
    <s v="TekNat"/>
    <s v="Ämneslärarprogrammet - Gy"/>
    <n v="19473"/>
    <n v="34806"/>
    <n v="18396.787499999999"/>
    <n v="21800"/>
    <n v="8175"/>
    <n v="26571.787499999999"/>
    <n v="0"/>
    <n v="0"/>
    <n v="0"/>
    <n v="0"/>
    <n v="0"/>
    <n v="1"/>
    <n v="0"/>
    <n v="0"/>
    <n v="0"/>
    <n v="0"/>
    <n v="0"/>
    <n v="0"/>
  </r>
  <r>
    <s v="6NK101"/>
    <s v="Naturkunskapsdidaktik 1 för ämneslärare för gymnasiet"/>
    <m/>
    <s v="FRIST"/>
    <m/>
    <s v="V19"/>
    <m/>
    <m/>
    <s v="Campus"/>
    <m/>
    <m/>
    <n v="50"/>
    <n v="7.5"/>
    <m/>
    <m/>
    <n v="1"/>
    <n v="0.125"/>
    <n v="0.8"/>
    <n v="0.1"/>
    <x v="9"/>
    <s v="NMD"/>
    <s v="TekNat"/>
    <s v="Fristående och övriga kurser"/>
    <n v="19473"/>
    <n v="34806"/>
    <n v="5914.7250000000004"/>
    <n v="21800"/>
    <n v="2725"/>
    <n v="8639.7250000000004"/>
    <n v="0"/>
    <n v="0"/>
    <n v="0"/>
    <n v="0"/>
    <n v="0"/>
    <n v="1"/>
    <n v="0"/>
    <n v="0"/>
    <n v="0"/>
    <n v="0"/>
    <n v="0"/>
    <n v="0"/>
  </r>
  <r>
    <s v="6NK101"/>
    <s v="Naturkunskapsdidaktik 1 för ämneslärare för gymnasiet"/>
    <m/>
    <s v="LYAGY"/>
    <s v="H16"/>
    <s v="V19"/>
    <s v="V191-10"/>
    <s v="Umeå"/>
    <m/>
    <s v="MATT"/>
    <m/>
    <n v="50"/>
    <n v="7.5"/>
    <m/>
    <m/>
    <n v="1"/>
    <n v="0.125"/>
    <n v="0.85"/>
    <n v="0.10625"/>
    <x v="9"/>
    <s v="NMD"/>
    <s v="TekNat"/>
    <s v="Ämneslärarprogrammet - Gy"/>
    <n v="19473"/>
    <n v="34806"/>
    <n v="6132.2624999999998"/>
    <n v="21800"/>
    <n v="2725"/>
    <n v="8857.2625000000007"/>
    <n v="0"/>
    <n v="0"/>
    <n v="0"/>
    <n v="0"/>
    <n v="0"/>
    <n v="1"/>
    <n v="0"/>
    <n v="0"/>
    <n v="0"/>
    <n v="0"/>
    <n v="0"/>
    <n v="0"/>
  </r>
  <r>
    <s v="6NK102"/>
    <s v="Naturkunskapsdidaktik 2 för ämneslärare för gymnasiet"/>
    <m/>
    <s v="FRIST"/>
    <m/>
    <s v="V19"/>
    <m/>
    <m/>
    <s v="Campus"/>
    <m/>
    <m/>
    <n v="50"/>
    <n v="7.5"/>
    <m/>
    <m/>
    <n v="1"/>
    <n v="0.125"/>
    <n v="0.8"/>
    <n v="0.1"/>
    <x v="9"/>
    <s v="NMD"/>
    <s v="TekNat"/>
    <s v="Fristående och övriga kurser"/>
    <n v="19473"/>
    <n v="34806"/>
    <n v="5914.7250000000004"/>
    <n v="21800"/>
    <n v="2725"/>
    <n v="8639.7250000000004"/>
    <n v="0"/>
    <n v="0"/>
    <n v="0"/>
    <n v="0"/>
    <n v="0"/>
    <n v="1"/>
    <n v="0"/>
    <n v="0"/>
    <n v="0"/>
    <n v="0"/>
    <n v="0"/>
    <n v="0"/>
  </r>
  <r>
    <s v="6NK102"/>
    <s v="Naturkunskapsdidaktik 2 för ämneslärare för gymnasiet"/>
    <m/>
    <s v="LYAGY"/>
    <s v="H13"/>
    <s v="V19"/>
    <s v="V1911-20"/>
    <s v="Umeå"/>
    <m/>
    <s v="SVAA"/>
    <m/>
    <n v="50"/>
    <n v="7.5"/>
    <m/>
    <m/>
    <n v="1"/>
    <n v="0.125"/>
    <n v="0.85"/>
    <n v="0.10625"/>
    <x v="9"/>
    <s v="NMD"/>
    <s v="TekNat"/>
    <s v="Ämneslärarprogrammet - Gy"/>
    <n v="19473"/>
    <n v="34806"/>
    <n v="6132.2624999999998"/>
    <n v="21800"/>
    <n v="2725"/>
    <n v="8857.2625000000007"/>
    <n v="0"/>
    <n v="0"/>
    <n v="0"/>
    <n v="0"/>
    <n v="0"/>
    <n v="1"/>
    <n v="0"/>
    <n v="0"/>
    <n v="0"/>
    <n v="0"/>
    <n v="0"/>
    <n v="0"/>
  </r>
  <r>
    <s v="6NO023"/>
    <s v="Naturorientering och teknik för lärande och undervisning för åk F-3 och 4-6"/>
    <m/>
    <s v="FRIST"/>
    <m/>
    <s v="V19"/>
    <m/>
    <m/>
    <s v="Distans"/>
    <m/>
    <m/>
    <n v="50"/>
    <n v="15"/>
    <m/>
    <m/>
    <n v="0"/>
    <n v="0"/>
    <n v="0.8"/>
    <n v="0"/>
    <x v="9"/>
    <s v="NMD"/>
    <s v="TekNat"/>
    <s v="Fristående och övriga kurser"/>
    <n v="19473"/>
    <n v="34806"/>
    <n v="0"/>
    <n v="21800"/>
    <n v="0"/>
    <n v="0"/>
    <n v="0"/>
    <n v="0"/>
    <n v="0"/>
    <n v="0"/>
    <n v="0"/>
    <n v="1"/>
    <n v="0"/>
    <n v="0"/>
    <n v="0"/>
    <n v="0"/>
    <n v="0"/>
    <n v="0"/>
  </r>
  <r>
    <s v="6NO023"/>
    <s v="Naturorientering och teknik för lärande och undervisning för åk F-3 och 4-6"/>
    <m/>
    <s v="FRIST"/>
    <m/>
    <s v="Sommar"/>
    <s v="Sommarkurs"/>
    <m/>
    <s v="Distans"/>
    <m/>
    <m/>
    <n v="100"/>
    <n v="15"/>
    <m/>
    <m/>
    <n v="0"/>
    <n v="0"/>
    <n v="0.8"/>
    <n v="0"/>
    <x v="9"/>
    <s v="NMD"/>
    <s v="TekNat"/>
    <s v="Fristående och övriga kurser"/>
    <n v="19473"/>
    <n v="34806"/>
    <n v="0"/>
    <n v="21800"/>
    <n v="0"/>
    <n v="0"/>
    <n v="0"/>
    <n v="0"/>
    <n v="0"/>
    <n v="0"/>
    <n v="0"/>
    <n v="1"/>
    <n v="0"/>
    <n v="0"/>
    <n v="0"/>
    <n v="0"/>
    <n v="0"/>
    <n v="0"/>
  </r>
  <r>
    <s v="6NO031"/>
    <s v="Naturorientering och teknik för lärande och undervisning för åk 4-6, del II"/>
    <m/>
    <s v="FRIST"/>
    <m/>
    <s v="Sommar"/>
    <s v="Sommarkurs"/>
    <m/>
    <s v="Distans"/>
    <m/>
    <m/>
    <n v="100"/>
    <n v="15"/>
    <m/>
    <m/>
    <n v="0"/>
    <n v="0"/>
    <n v="0.8"/>
    <n v="0"/>
    <x v="9"/>
    <s v="NMD"/>
    <s v="TekNat"/>
    <s v="Fristående och övriga kurser"/>
    <n v="19473"/>
    <n v="34806"/>
    <n v="0"/>
    <n v="21800"/>
    <n v="0"/>
    <n v="0"/>
    <n v="0"/>
    <n v="0"/>
    <n v="0"/>
    <n v="0"/>
    <n v="0"/>
    <n v="1"/>
    <n v="0"/>
    <n v="0"/>
    <n v="0"/>
    <n v="0"/>
    <n v="0"/>
    <n v="0"/>
  </r>
  <r>
    <s v="6NO031"/>
    <s v="Naturorientering och teknik för lärande och undervisning för åk 4-6, del II"/>
    <m/>
    <s v="FRIST"/>
    <m/>
    <s v="H19"/>
    <m/>
    <m/>
    <s v="Distans"/>
    <m/>
    <m/>
    <n v="50"/>
    <n v="15"/>
    <m/>
    <m/>
    <n v="8"/>
    <n v="2"/>
    <n v="0.8"/>
    <n v="1.6"/>
    <x v="9"/>
    <s v="NMD"/>
    <s v="TekNat"/>
    <s v="Fristående och övriga kurser"/>
    <n v="19473"/>
    <n v="34806"/>
    <n v="94635.6"/>
    <n v="21800"/>
    <n v="43600"/>
    <n v="138235.6"/>
    <n v="0"/>
    <n v="0"/>
    <n v="0"/>
    <n v="0"/>
    <n v="0"/>
    <n v="1"/>
    <n v="0"/>
    <n v="0"/>
    <n v="0"/>
    <n v="0"/>
    <n v="0"/>
    <n v="0"/>
  </r>
  <r>
    <s v="6NO036"/>
    <s v="Matematik, naturvetenskap och utomhuspedagogik för fritidshem"/>
    <m/>
    <s v="LYGFR"/>
    <s v="H18"/>
    <s v="V19"/>
    <s v="V1911-15"/>
    <s v="Umeå"/>
    <m/>
    <m/>
    <m/>
    <n v="100"/>
    <n v="7.5"/>
    <m/>
    <m/>
    <n v="26"/>
    <n v="3.25"/>
    <n v="0.85"/>
    <n v="2.7624999999999997"/>
    <x v="9"/>
    <s v="NMD"/>
    <s v="TekNat"/>
    <s v="Grundlärarprogrammet - fritidshem"/>
    <n v="19473"/>
    <n v="34806"/>
    <n v="159438.82500000001"/>
    <n v="21800"/>
    <n v="70850"/>
    <n v="230288.82500000001"/>
    <n v="0"/>
    <n v="0"/>
    <n v="0"/>
    <n v="0"/>
    <n v="0"/>
    <n v="1"/>
    <n v="0"/>
    <n v="0"/>
    <n v="0"/>
    <n v="0"/>
    <n v="0"/>
    <n v="0"/>
  </r>
  <r>
    <s v="6NO039"/>
    <s v="Naturorientering och teknik för förskoleklass och grundskolans årskurs 1-3"/>
    <m/>
    <s v="LYGFT"/>
    <s v="H16"/>
    <s v="V19"/>
    <s v="V191-10"/>
    <s v="Umeå"/>
    <m/>
    <m/>
    <m/>
    <n v="100"/>
    <n v="15"/>
    <m/>
    <m/>
    <n v="39"/>
    <n v="9.75"/>
    <n v="0.85"/>
    <n v="8.2874999999999996"/>
    <x v="9"/>
    <s v="NMD"/>
    <s v="TekNat"/>
    <s v="Grundlärarprogrammet - förskoleklass och åk 1-3"/>
    <n v="19473"/>
    <n v="34806"/>
    <n v="478316.47499999998"/>
    <n v="21800"/>
    <n v="212550"/>
    <n v="690866.47499999998"/>
    <n v="0"/>
    <n v="0"/>
    <n v="0"/>
    <n v="0"/>
    <n v="0"/>
    <n v="1"/>
    <n v="0"/>
    <n v="0"/>
    <n v="0"/>
    <n v="0"/>
    <n v="0"/>
    <n v="0"/>
  </r>
  <r>
    <s v="6NO040"/>
    <s v="Naturorientering och teknik för förskoleklass och grundskolans årskurs 4-6"/>
    <m/>
    <s v="LYGRM"/>
    <s v="H16"/>
    <s v="V19"/>
    <s v="V191-20"/>
    <s v="Umeå"/>
    <m/>
    <m/>
    <m/>
    <n v="100"/>
    <n v="30"/>
    <m/>
    <m/>
    <n v="1"/>
    <n v="0.5"/>
    <n v="0.85"/>
    <n v="0.42499999999999999"/>
    <x v="9"/>
    <s v="NMD"/>
    <s v="TekNat"/>
    <s v="Grundlärarprogrammet - grundskolans åk 4-6"/>
    <n v="19473"/>
    <n v="34806"/>
    <n v="24529.05"/>
    <n v="21800"/>
    <n v="10900"/>
    <n v="35429.050000000003"/>
    <n v="0"/>
    <n v="0"/>
    <n v="0"/>
    <n v="0"/>
    <n v="0"/>
    <n v="1"/>
    <n v="0"/>
    <n v="0"/>
    <n v="0"/>
    <n v="0"/>
    <n v="0"/>
    <n v="0"/>
  </r>
  <r>
    <s v="6NO040"/>
    <s v="Naturorientering och teknik för förskoleklass och grundskolans årskurs 4-6"/>
    <m/>
    <s v="LYGRM"/>
    <s v="H16"/>
    <s v="V19"/>
    <s v="V191-20"/>
    <s v="Umeå"/>
    <m/>
    <m/>
    <m/>
    <n v="100"/>
    <n v="30"/>
    <m/>
    <m/>
    <n v="10"/>
    <n v="5"/>
    <n v="0.85"/>
    <n v="4.25"/>
    <x v="9"/>
    <s v="NMD"/>
    <s v="TekNat"/>
    <s v="Grundlärarprogrammet - grundskolans åk 4-6"/>
    <n v="19473"/>
    <n v="34806"/>
    <n v="245290.5"/>
    <n v="21800"/>
    <n v="109000"/>
    <n v="354290.5"/>
    <n v="0"/>
    <n v="0"/>
    <n v="0"/>
    <n v="0"/>
    <n v="0"/>
    <n v="1"/>
    <n v="0"/>
    <n v="0"/>
    <n v="0"/>
    <n v="0"/>
    <n v="0"/>
    <n v="0"/>
  </r>
  <r>
    <s v="6NO041"/>
    <s v="Matematik, naturvetenskap och utomhuspedagogik - Sommar"/>
    <m/>
    <s v="FRIST"/>
    <m/>
    <s v="V19"/>
    <m/>
    <m/>
    <s v="Campus"/>
    <m/>
    <m/>
    <n v="50"/>
    <n v="7.5"/>
    <m/>
    <m/>
    <n v="0"/>
    <n v="0"/>
    <n v="0.8"/>
    <n v="0"/>
    <x v="9"/>
    <s v="NMD"/>
    <s v="TekNat"/>
    <s v="Fristående och övriga kurser"/>
    <n v="19473"/>
    <n v="34806"/>
    <n v="0"/>
    <n v="21800"/>
    <n v="0"/>
    <n v="0"/>
    <n v="0"/>
    <n v="0"/>
    <n v="0"/>
    <n v="0"/>
    <n v="0"/>
    <n v="1"/>
    <n v="0"/>
    <n v="0"/>
    <n v="0"/>
    <n v="0"/>
    <n v="0"/>
    <n v="0"/>
  </r>
  <r>
    <s v="6NO042"/>
    <s v="Utomhuspedagogik, naturvetenskap och matematik i förskola, fritidshem och grundskola"/>
    <m/>
    <s v="FRIST"/>
    <m/>
    <s v="V19"/>
    <m/>
    <m/>
    <s v="Campus"/>
    <m/>
    <m/>
    <n v="25"/>
    <n v="7.5"/>
    <m/>
    <m/>
    <n v="3"/>
    <n v="0.375"/>
    <n v="0.8"/>
    <n v="0.30000000000000004"/>
    <x v="9"/>
    <s v="NMD"/>
    <s v="TekNat"/>
    <s v="Fristående och övriga kurser"/>
    <n v="19473"/>
    <n v="34806"/>
    <n v="17744.175000000003"/>
    <n v="21800"/>
    <n v="8175"/>
    <n v="25919.175000000003"/>
    <n v="0"/>
    <n v="0"/>
    <n v="0"/>
    <n v="0"/>
    <n v="0"/>
    <n v="1"/>
    <n v="0"/>
    <n v="0"/>
    <n v="0"/>
    <n v="0"/>
    <n v="0"/>
    <n v="0"/>
  </r>
  <r>
    <s v="6NO043"/>
    <s v="Naturvetenskap och teknik i förskolan"/>
    <m/>
    <s v="LYFSK"/>
    <s v="H16"/>
    <s v="H19"/>
    <s v="H1911-20"/>
    <m/>
    <m/>
    <m/>
    <m/>
    <n v="100"/>
    <n v="15"/>
    <m/>
    <m/>
    <n v="1"/>
    <n v="0.25"/>
    <n v="0.85"/>
    <n v="0.21249999999999999"/>
    <x v="9"/>
    <s v="NMD"/>
    <s v="TekNat"/>
    <s v="Förskollärarprogrammet"/>
    <n v="19473"/>
    <n v="34806"/>
    <n v="12264.525"/>
    <n v="21800"/>
    <n v="5450"/>
    <n v="17714.525000000001"/>
    <n v="0"/>
    <n v="0"/>
    <n v="0"/>
    <n v="0"/>
    <n v="0"/>
    <n v="1"/>
    <n v="0"/>
    <n v="0"/>
    <n v="0"/>
    <n v="0"/>
    <n v="0"/>
    <n v="0"/>
  </r>
  <r>
    <s v="6NO043"/>
    <s v="Naturvetenskap och teknik i förskolan"/>
    <m/>
    <s v="LYFSK"/>
    <s v="H17"/>
    <s v="H19"/>
    <s v="H1911-20"/>
    <m/>
    <m/>
    <m/>
    <m/>
    <n v="100"/>
    <n v="15"/>
    <m/>
    <m/>
    <n v="31"/>
    <n v="7.75"/>
    <n v="0.85"/>
    <n v="6.5874999999999995"/>
    <x v="9"/>
    <s v="NMD"/>
    <s v="TekNat"/>
    <s v="Förskollärarprogrammet"/>
    <n v="19473"/>
    <n v="34806"/>
    <n v="380200.27500000002"/>
    <n v="21800"/>
    <n v="168950"/>
    <n v="549150.27500000002"/>
    <n v="0"/>
    <n v="0"/>
    <n v="0"/>
    <n v="0"/>
    <n v="0"/>
    <n v="1"/>
    <n v="0"/>
    <n v="0"/>
    <n v="0"/>
    <n v="0"/>
    <n v="0"/>
    <n v="0"/>
  </r>
  <r>
    <s v="6NO043"/>
    <s v="Naturvetenskap och teknik i förskolan"/>
    <m/>
    <s v="LYFSK"/>
    <s v="V17"/>
    <s v="V19"/>
    <s v="V1911-20"/>
    <s v="Umeå"/>
    <m/>
    <m/>
    <m/>
    <n v="100"/>
    <n v="15"/>
    <m/>
    <m/>
    <n v="22"/>
    <n v="5.5"/>
    <n v="0.85"/>
    <n v="4.6749999999999998"/>
    <x v="9"/>
    <s v="NMD"/>
    <s v="TekNat"/>
    <s v="Förskollärarprogrammet"/>
    <n v="19473"/>
    <n v="34806"/>
    <n v="269819.55"/>
    <n v="21800"/>
    <n v="119900"/>
    <n v="389719.55"/>
    <n v="0"/>
    <n v="0"/>
    <n v="0"/>
    <n v="0"/>
    <n v="0"/>
    <n v="1"/>
    <n v="0"/>
    <n v="0"/>
    <n v="0"/>
    <n v="0"/>
    <n v="0"/>
    <n v="0"/>
  </r>
  <r>
    <s v="6NO043"/>
    <s v="Naturvetenskap och teknik i förskolan"/>
    <m/>
    <s v="LYFSK"/>
    <s v="V17"/>
    <s v="H19"/>
    <s v="H1911-20"/>
    <m/>
    <m/>
    <m/>
    <m/>
    <n v="100"/>
    <n v="15"/>
    <m/>
    <m/>
    <n v="1"/>
    <n v="0.25"/>
    <n v="0.85"/>
    <n v="0.21249999999999999"/>
    <x v="9"/>
    <s v="NMD"/>
    <s v="TekNat"/>
    <s v="Förskollärarprogrammet"/>
    <n v="19473"/>
    <n v="34806"/>
    <n v="12264.525"/>
    <n v="21800"/>
    <n v="5450"/>
    <n v="17714.525000000001"/>
    <n v="0"/>
    <n v="0"/>
    <n v="0"/>
    <n v="0"/>
    <n v="0"/>
    <n v="1"/>
    <n v="0"/>
    <n v="0"/>
    <n v="0"/>
    <n v="0"/>
    <n v="0"/>
    <n v="0"/>
  </r>
  <r>
    <s v="6NO044"/>
    <s v="Utomhuspedagogik och naturvetenskap - Sommar"/>
    <m/>
    <s v="FRIST"/>
    <m/>
    <s v="Sommar"/>
    <s v="Sommarkurs"/>
    <m/>
    <s v="Campus"/>
    <m/>
    <m/>
    <n v="50"/>
    <n v="7.5"/>
    <m/>
    <m/>
    <n v="17"/>
    <n v="2.125"/>
    <n v="0.8"/>
    <n v="1.7000000000000002"/>
    <x v="9"/>
    <s v="NMD"/>
    <s v="TekNat"/>
    <s v="Fristående och övriga kurser"/>
    <n v="19473"/>
    <n v="34806"/>
    <n v="100550.32500000001"/>
    <n v="21800"/>
    <n v="46325"/>
    <n v="146875.32500000001"/>
    <n v="0"/>
    <n v="0"/>
    <n v="0"/>
    <n v="0"/>
    <n v="0"/>
    <n v="1"/>
    <n v="0"/>
    <n v="0"/>
    <n v="0"/>
    <n v="0"/>
    <n v="0"/>
    <n v="0"/>
  </r>
  <r>
    <s v="6PE055"/>
    <s v="Examensarbete för Studie- och yrkesvägledarprogrammet"/>
    <m/>
    <s v="LYSYV"/>
    <s v="H16"/>
    <s v="V19"/>
    <s v="V1911-20"/>
    <s v="Umeå"/>
    <s v="DIST"/>
    <s v="DIOB"/>
    <m/>
    <n v="100"/>
    <n v="15"/>
    <m/>
    <m/>
    <n v="21"/>
    <n v="5.25"/>
    <n v="0.85"/>
    <n v="4.4624999999999995"/>
    <x v="1"/>
    <s v="TUV "/>
    <s v="Sam"/>
    <s v="Studie- och yrkesvägledarprogram"/>
    <n v="18405"/>
    <n v="15773"/>
    <n v="167013.26250000001"/>
    <n v="5800"/>
    <n v="30450"/>
    <n v="197463.26250000001"/>
    <n v="0"/>
    <n v="0"/>
    <n v="0"/>
    <n v="0"/>
    <n v="0"/>
    <n v="0"/>
    <n v="1"/>
    <n v="0"/>
    <n v="0"/>
    <n v="0"/>
    <n v="0"/>
    <n v="0"/>
  </r>
  <r>
    <s v="6PE055"/>
    <s v="Examensarbete för Studie- och yrkesvägledarprogrammet"/>
    <m/>
    <s v="LYSYV"/>
    <s v="H16"/>
    <s v="V19"/>
    <s v="V1911-20"/>
    <s v="Umeå"/>
    <s v="DIST"/>
    <m/>
    <m/>
    <n v="100"/>
    <n v="15"/>
    <m/>
    <m/>
    <n v="22"/>
    <n v="5.5"/>
    <n v="0.85"/>
    <n v="4.6749999999999998"/>
    <x v="1"/>
    <s v="TUV "/>
    <s v="Sam"/>
    <s v="Studie- och yrkesvägledarprogram"/>
    <n v="18405"/>
    <n v="15773"/>
    <n v="174966.27499999999"/>
    <n v="5800"/>
    <n v="31900"/>
    <n v="206866.27499999999"/>
    <n v="0"/>
    <n v="0"/>
    <n v="0"/>
    <n v="0"/>
    <n v="0"/>
    <n v="0"/>
    <n v="1"/>
    <n v="0"/>
    <n v="0"/>
    <n v="0"/>
    <n v="0"/>
    <n v="0"/>
  </r>
  <r>
    <s v="6PE055"/>
    <s v="Examensarbete för Studie- och yrkesvägledarprogrammet"/>
    <m/>
    <s v="LYSYV"/>
    <s v="H16"/>
    <s v="V19"/>
    <s v="V1911-20"/>
    <s v="Umeå"/>
    <s v="REGU"/>
    <m/>
    <m/>
    <n v="100"/>
    <n v="15"/>
    <m/>
    <m/>
    <n v="30"/>
    <n v="7.5"/>
    <n v="0.85"/>
    <n v="6.375"/>
    <x v="1"/>
    <s v="TUV "/>
    <s v="Sam"/>
    <s v="Studie- och yrkesvägledarprogram"/>
    <n v="18405"/>
    <n v="15773"/>
    <n v="238590.375"/>
    <n v="5800"/>
    <n v="43500"/>
    <n v="282090.375"/>
    <n v="0"/>
    <n v="0"/>
    <n v="0"/>
    <n v="0"/>
    <n v="0"/>
    <n v="0"/>
    <n v="1"/>
    <n v="0"/>
    <n v="0"/>
    <n v="0"/>
    <n v="0"/>
    <n v="0"/>
  </r>
  <r>
    <s v="6PE111"/>
    <s v="Grupprocesser och samverkan ur ett fritidshemsperspektiv"/>
    <m/>
    <s v="LYGFR"/>
    <s v="H18"/>
    <s v="H19"/>
    <s v="H191-5"/>
    <m/>
    <m/>
    <m/>
    <m/>
    <n v="100"/>
    <n v="7.5"/>
    <m/>
    <m/>
    <n v="25"/>
    <n v="3.125"/>
    <n v="0.85"/>
    <n v="2.65625"/>
    <x v="1"/>
    <s v="TUV "/>
    <s v="Sam"/>
    <s v="Grundlärarprogrammet - fritidshem"/>
    <n v="18405"/>
    <n v="15773"/>
    <n v="99412.65625"/>
    <n v="5800"/>
    <n v="18125"/>
    <n v="117537.65625"/>
    <n v="0"/>
    <n v="0"/>
    <n v="0"/>
    <n v="0"/>
    <n v="0"/>
    <n v="0"/>
    <n v="1"/>
    <n v="0"/>
    <n v="0"/>
    <n v="0"/>
    <n v="0"/>
    <n v="0"/>
  </r>
  <r>
    <s v="6PE118"/>
    <s v="Examensarbete grundlärare - fritidshem"/>
    <m/>
    <s v="LYGFR"/>
    <s v="H14"/>
    <s v="V19"/>
    <s v="V196-15"/>
    <s v="Umeå"/>
    <m/>
    <m/>
    <m/>
    <n v="100"/>
    <n v="15"/>
    <m/>
    <m/>
    <n v="1"/>
    <n v="0.25"/>
    <n v="0.85"/>
    <n v="0.21249999999999999"/>
    <x v="1"/>
    <s v="TUV "/>
    <s v="Sam"/>
    <s v="Grundlärarprogrammet - fritidshem"/>
    <n v="18405"/>
    <n v="15773"/>
    <n v="7953.0124999999998"/>
    <n v="5800"/>
    <n v="1450"/>
    <n v="9403.0125000000007"/>
    <n v="0"/>
    <n v="0"/>
    <n v="0"/>
    <n v="0"/>
    <n v="0"/>
    <n v="0"/>
    <n v="1"/>
    <n v="0"/>
    <n v="0"/>
    <n v="0"/>
    <n v="0"/>
    <n v="0"/>
  </r>
  <r>
    <s v="6PE118"/>
    <s v="Examensarbete grundlärare - fritidshem"/>
    <m/>
    <s v="LYGFR"/>
    <s v="H15"/>
    <s v="V19"/>
    <s v="V196-15"/>
    <s v="Umeå"/>
    <m/>
    <m/>
    <m/>
    <n v="100"/>
    <n v="15"/>
    <m/>
    <m/>
    <n v="1"/>
    <n v="0.25"/>
    <n v="0.85"/>
    <n v="0.21249999999999999"/>
    <x v="1"/>
    <s v="TUV "/>
    <s v="Sam"/>
    <s v="Grundlärarprogrammet - fritidshem"/>
    <n v="18405"/>
    <n v="15773"/>
    <n v="7953.0124999999998"/>
    <n v="5800"/>
    <n v="1450"/>
    <n v="9403.0125000000007"/>
    <n v="0"/>
    <n v="0"/>
    <n v="0"/>
    <n v="0"/>
    <n v="0"/>
    <n v="0"/>
    <n v="1"/>
    <n v="0"/>
    <n v="0"/>
    <n v="0"/>
    <n v="0"/>
    <n v="0"/>
  </r>
  <r>
    <s v="6PE118"/>
    <s v="Examensarbete grundlärare - fritidshem"/>
    <m/>
    <s v="LYGFR"/>
    <s v="H16"/>
    <s v="V19"/>
    <s v="V196-15"/>
    <s v="Umeå"/>
    <m/>
    <m/>
    <m/>
    <n v="100"/>
    <n v="15"/>
    <m/>
    <m/>
    <n v="1"/>
    <n v="0.25"/>
    <n v="0.85"/>
    <n v="0.21249999999999999"/>
    <x v="1"/>
    <s v="TUV "/>
    <s v="Sam"/>
    <s v="Grundlärarprogrammet - fritidshem"/>
    <n v="18405"/>
    <n v="15773"/>
    <n v="7953.0124999999998"/>
    <n v="5800"/>
    <n v="1450"/>
    <n v="9403.0125000000007"/>
    <n v="0"/>
    <n v="0"/>
    <n v="0"/>
    <n v="0"/>
    <n v="0"/>
    <n v="0"/>
    <n v="1"/>
    <n v="0"/>
    <n v="0"/>
    <n v="0"/>
    <n v="0"/>
    <n v="0"/>
  </r>
  <r>
    <s v="6PE118"/>
    <s v="Examensarbete grundlärare - fritidshem"/>
    <m/>
    <s v="LYGFR"/>
    <s v="H16"/>
    <s v="V19"/>
    <s v="V196-15"/>
    <s v="Umeå"/>
    <m/>
    <m/>
    <m/>
    <n v="100"/>
    <n v="15"/>
    <m/>
    <m/>
    <n v="21"/>
    <n v="5.25"/>
    <n v="0.85"/>
    <n v="4.4624999999999995"/>
    <x v="1"/>
    <s v="TUV "/>
    <s v="Sam"/>
    <s v="Grundlärarprogrammet - fritidshem"/>
    <n v="18405"/>
    <n v="15773"/>
    <n v="167013.26250000001"/>
    <n v="5800"/>
    <n v="30450"/>
    <n v="197463.26250000001"/>
    <n v="0"/>
    <n v="0"/>
    <n v="0"/>
    <n v="0"/>
    <n v="0"/>
    <n v="0"/>
    <n v="1"/>
    <n v="0"/>
    <n v="0"/>
    <n v="0"/>
    <n v="0"/>
    <n v="0"/>
  </r>
  <r>
    <s v="6PE129"/>
    <s v="Kunskap, undervisning och lärande för yrkeslärare II"/>
    <m/>
    <s v="LYYRK"/>
    <s v="H18"/>
    <s v="H19"/>
    <s v="H191-20"/>
    <m/>
    <m/>
    <m/>
    <m/>
    <n v="50"/>
    <n v="15"/>
    <m/>
    <m/>
    <n v="45"/>
    <n v="11.25"/>
    <n v="0.85"/>
    <n v="9.5625"/>
    <x v="0"/>
    <s v="Pedagogik                     "/>
    <s v="Sam"/>
    <s v="Yrkeslärarprogrammet"/>
    <n v="23641"/>
    <n v="28786"/>
    <n v="541227.375"/>
    <n v="5800"/>
    <n v="65250"/>
    <n v="606477.375"/>
    <n v="0"/>
    <n v="0"/>
    <n v="0"/>
    <n v="1"/>
    <n v="0"/>
    <n v="0"/>
    <n v="0"/>
    <n v="0"/>
    <n v="0"/>
    <n v="0"/>
    <n v="0"/>
    <n v="0"/>
  </r>
  <r>
    <s v="6PE134"/>
    <s v="Vetenskapsteori och vetenskaplig metod"/>
    <m/>
    <s v="FRIST"/>
    <m/>
    <s v="V19"/>
    <m/>
    <m/>
    <s v="Distans"/>
    <m/>
    <m/>
    <n v="50"/>
    <n v="15"/>
    <m/>
    <m/>
    <n v="9"/>
    <n v="2.25"/>
    <n v="0.8"/>
    <n v="1.8"/>
    <x v="1"/>
    <s v="TUV "/>
    <s v="Sam"/>
    <s v="Fristående och övriga kurser"/>
    <n v="18405"/>
    <n v="15773"/>
    <n v="69802.649999999994"/>
    <n v="5800"/>
    <n v="13050"/>
    <n v="82852.649999999994"/>
    <n v="0"/>
    <n v="0"/>
    <n v="0"/>
    <n v="0"/>
    <n v="0"/>
    <n v="0"/>
    <n v="1"/>
    <n v="0"/>
    <n v="0"/>
    <n v="0"/>
    <n v="0"/>
    <n v="0"/>
  </r>
  <r>
    <s v="6PE135"/>
    <s v="Ämnesdidaktik för yrkeslärare"/>
    <m/>
    <s v="LYYRK"/>
    <s v="H15"/>
    <s v="V19"/>
    <s v="V191-13"/>
    <s v="Umeå"/>
    <m/>
    <m/>
    <m/>
    <n v="50"/>
    <n v="10"/>
    <m/>
    <m/>
    <n v="0"/>
    <n v="0"/>
    <n v="0.85"/>
    <n v="0"/>
    <x v="1"/>
    <s v="TUV "/>
    <s v="Sam"/>
    <s v="Yrkeslärarprogrammet"/>
    <n v="23641"/>
    <n v="28786"/>
    <n v="0"/>
    <n v="5800"/>
    <n v="0"/>
    <n v="0"/>
    <n v="0"/>
    <n v="0"/>
    <n v="0"/>
    <n v="1"/>
    <n v="0"/>
    <n v="0"/>
    <n v="0"/>
    <n v="0"/>
    <n v="0"/>
    <n v="0"/>
    <n v="0"/>
    <n v="0"/>
  </r>
  <r>
    <s v="6PE135"/>
    <s v="Ämnesdidaktik för yrkeslärare"/>
    <m/>
    <s v="LYYRK"/>
    <s v="H17"/>
    <s v="V19"/>
    <s v="V191-13"/>
    <s v="Umeå"/>
    <m/>
    <m/>
    <m/>
    <n v="50"/>
    <n v="10"/>
    <m/>
    <m/>
    <n v="24"/>
    <n v="4"/>
    <n v="0.85"/>
    <n v="3.4"/>
    <x v="1"/>
    <s v="TUV "/>
    <s v="Sam"/>
    <s v="Yrkeslärarprogrammet"/>
    <n v="23641"/>
    <n v="28786"/>
    <n v="192436.4"/>
    <n v="5800"/>
    <n v="23200"/>
    <n v="215636.4"/>
    <n v="0"/>
    <n v="0"/>
    <n v="0"/>
    <n v="1"/>
    <n v="0"/>
    <n v="0"/>
    <n v="0"/>
    <n v="0"/>
    <n v="0"/>
    <n v="0"/>
    <n v="0"/>
    <n v="0"/>
  </r>
  <r>
    <s v="6PE135"/>
    <s v="Ämnesdidaktik för yrkeslärare"/>
    <m/>
    <s v="LYYRK"/>
    <s v="H18"/>
    <s v="V19"/>
    <s v="V191-13"/>
    <s v="Umeå"/>
    <m/>
    <m/>
    <m/>
    <n v="50"/>
    <n v="10"/>
    <m/>
    <m/>
    <n v="1"/>
    <n v="0.16666666666666666"/>
    <n v="0.85"/>
    <n v="0.14166666666666666"/>
    <x v="1"/>
    <s v="TUV "/>
    <s v="Sam"/>
    <s v="Yrkeslärarprogrammet"/>
    <n v="23641"/>
    <n v="28786"/>
    <n v="8018.1833333333325"/>
    <n v="5800"/>
    <n v="966.66666666666663"/>
    <n v="8984.8499999999985"/>
    <n v="0"/>
    <n v="0"/>
    <n v="0"/>
    <n v="1"/>
    <n v="0"/>
    <n v="0"/>
    <n v="0"/>
    <n v="0"/>
    <n v="0"/>
    <n v="0"/>
    <n v="0"/>
    <n v="0"/>
  </r>
  <r>
    <s v="6PE135"/>
    <s v="Ämnesdidaktik för yrkeslärare"/>
    <m/>
    <s v="LYYRK"/>
    <s v="V19"/>
    <s v="V19"/>
    <s v="V191-13"/>
    <s v="Umeå"/>
    <m/>
    <m/>
    <m/>
    <n v="50"/>
    <n v="10"/>
    <m/>
    <m/>
    <n v="1"/>
    <n v="0.16666666666666666"/>
    <n v="0.85"/>
    <n v="0.14166666666666666"/>
    <x v="1"/>
    <s v="TUV "/>
    <s v="Sam"/>
    <s v="Yrkeslärarprogrammet"/>
    <n v="23641"/>
    <n v="28786"/>
    <n v="8018.1833333333325"/>
    <n v="5800"/>
    <n v="966.66666666666663"/>
    <n v="8984.8499999999985"/>
    <n v="0"/>
    <n v="0"/>
    <n v="0"/>
    <n v="1"/>
    <n v="0"/>
    <n v="0"/>
    <n v="0"/>
    <n v="0"/>
    <n v="0"/>
    <n v="0"/>
    <n v="0"/>
    <n v="0"/>
  </r>
  <r>
    <s v="6PE136"/>
    <s v="Profession och vetenskap för yrkeslärare"/>
    <m/>
    <s v="LYYRK"/>
    <s v="H17"/>
    <s v="V19"/>
    <s v="V1914-20"/>
    <s v="Umeå"/>
    <m/>
    <m/>
    <m/>
    <n v="50"/>
    <n v="5"/>
    <m/>
    <m/>
    <n v="23"/>
    <n v="1.9166666666666665"/>
    <n v="0.85"/>
    <n v="1.6291666666666664"/>
    <x v="1"/>
    <s v="TUV "/>
    <s v="Sam"/>
    <s v="Yrkeslärarprogrammet"/>
    <n v="23641"/>
    <n v="28786"/>
    <n v="92209.108333333323"/>
    <n v="5800"/>
    <n v="11116.666666666666"/>
    <n v="103325.77499999999"/>
    <n v="0"/>
    <n v="0"/>
    <n v="0"/>
    <n v="1"/>
    <n v="0"/>
    <n v="0"/>
    <n v="0"/>
    <n v="0"/>
    <n v="0"/>
    <n v="0"/>
    <n v="0"/>
    <n v="0"/>
  </r>
  <r>
    <s v="6PE138"/>
    <s v="Utbildningsvetenskap i pedagogisk praktik"/>
    <m/>
    <s v="FRIST"/>
    <m/>
    <s v="H19"/>
    <m/>
    <m/>
    <s v="Distans"/>
    <m/>
    <m/>
    <n v="50"/>
    <n v="15"/>
    <m/>
    <m/>
    <n v="30"/>
    <n v="7.5"/>
    <n v="0.8"/>
    <n v="6"/>
    <x v="1"/>
    <s v="TUV "/>
    <s v="Sam"/>
    <s v="Fristående och övriga kurser"/>
    <n v="18405"/>
    <n v="15773"/>
    <n v="232675.5"/>
    <n v="5800"/>
    <n v="43500"/>
    <n v="276175.5"/>
    <n v="0"/>
    <n v="0"/>
    <n v="0"/>
    <n v="0"/>
    <n v="0"/>
    <n v="0"/>
    <n v="1"/>
    <n v="0"/>
    <n v="0"/>
    <n v="0"/>
    <n v="0"/>
    <n v="0"/>
  </r>
  <r>
    <s v="6PE146"/>
    <s v="Samhällsorientering, F-3"/>
    <m/>
    <s v="LYGFT"/>
    <s v="H16"/>
    <s v="V19"/>
    <s v="V1911-20"/>
    <s v="Umeå"/>
    <m/>
    <m/>
    <m/>
    <n v="100"/>
    <n v="15"/>
    <m/>
    <m/>
    <n v="38"/>
    <n v="9.5"/>
    <n v="0.85"/>
    <n v="8.0749999999999993"/>
    <x v="0"/>
    <s v="Pedagogik                     "/>
    <s v="Sam"/>
    <s v="Grundlärarprogrammet - förskoleklass och åk 1-3"/>
    <n v="18405"/>
    <n v="15773"/>
    <n v="302214.47499999998"/>
    <n v="5800"/>
    <n v="55100"/>
    <n v="357314.47499999998"/>
    <n v="0"/>
    <n v="0"/>
    <n v="0"/>
    <n v="0"/>
    <n v="0"/>
    <n v="0"/>
    <n v="1"/>
    <n v="0"/>
    <n v="0"/>
    <n v="0"/>
    <n v="0"/>
    <n v="0"/>
  </r>
  <r>
    <s v="6PE182"/>
    <s v="Sex och samlevnad, 7,5 hp"/>
    <m/>
    <s v="FRIST"/>
    <m/>
    <s v="Sommar"/>
    <s v="Sommarkurs"/>
    <m/>
    <s v="Distans"/>
    <m/>
    <m/>
    <n v="50"/>
    <n v="7.5"/>
    <m/>
    <m/>
    <n v="0"/>
    <n v="0"/>
    <n v="0.8"/>
    <n v="0"/>
    <x v="9"/>
    <s v="NMD"/>
    <s v="TekNat"/>
    <s v="Fristående och övriga kurser"/>
    <n v="19473"/>
    <n v="34806"/>
    <n v="0"/>
    <n v="21800"/>
    <n v="0"/>
    <n v="0"/>
    <n v="0"/>
    <n v="0"/>
    <n v="0"/>
    <n v="0"/>
    <n v="0"/>
    <n v="1"/>
    <n v="0"/>
    <n v="0"/>
    <n v="0"/>
    <n v="0"/>
    <n v="0"/>
    <n v="0"/>
  </r>
  <r>
    <s v="6PE182"/>
    <s v="Sex och samlevnad, 7,5 hp"/>
    <m/>
    <s v="FRIST"/>
    <m/>
    <s v="H19"/>
    <m/>
    <m/>
    <s v="Campus"/>
    <m/>
    <m/>
    <n v="25"/>
    <n v="7.5"/>
    <m/>
    <m/>
    <n v="10"/>
    <n v="1.25"/>
    <n v="0.8"/>
    <n v="1"/>
    <x v="9"/>
    <s v="NMD"/>
    <s v="TekNat"/>
    <s v="Fristående och övriga kurser"/>
    <n v="19473"/>
    <n v="34806"/>
    <n v="59147.25"/>
    <n v="21800"/>
    <n v="27250"/>
    <n v="86397.25"/>
    <n v="0"/>
    <n v="0"/>
    <n v="0"/>
    <n v="0"/>
    <n v="0"/>
    <n v="1"/>
    <n v="0"/>
    <n v="0"/>
    <n v="0"/>
    <n v="0"/>
    <n v="0"/>
    <n v="0"/>
  </r>
  <r>
    <s v="6PE182"/>
    <s v="Sex och samlevnad, 7,5 hp"/>
    <m/>
    <s v="LYAGY"/>
    <s v="H15"/>
    <s v="H19"/>
    <s v="H191-20"/>
    <m/>
    <m/>
    <s v="MUSI"/>
    <m/>
    <n v="25"/>
    <n v="7.5"/>
    <m/>
    <m/>
    <n v="1"/>
    <n v="0.125"/>
    <n v="0.85"/>
    <n v="0.10625"/>
    <x v="9"/>
    <s v="NMD"/>
    <s v="TekNat"/>
    <s v="Ämneslärarprogrammet - Gy"/>
    <n v="19473"/>
    <n v="34806"/>
    <n v="6132.2624999999998"/>
    <n v="21800"/>
    <n v="2725"/>
    <n v="8857.2625000000007"/>
    <n v="0"/>
    <n v="0"/>
    <n v="0"/>
    <n v="0"/>
    <n v="0"/>
    <n v="1"/>
    <n v="0"/>
    <n v="0"/>
    <n v="0"/>
    <n v="0"/>
    <n v="0"/>
    <n v="0"/>
  </r>
  <r>
    <s v="6PE182"/>
    <s v="Sex och samlevnad, 7,5 hp"/>
    <m/>
    <s v="LYAGY"/>
    <s v="H16"/>
    <s v="H19"/>
    <s v="H191-20"/>
    <m/>
    <m/>
    <s v="MATT"/>
    <m/>
    <n v="25"/>
    <n v="7.5"/>
    <m/>
    <m/>
    <n v="1"/>
    <n v="0.125"/>
    <n v="0.85"/>
    <n v="0.10625"/>
    <x v="9"/>
    <s v="NMD"/>
    <s v="TekNat"/>
    <s v="Ämneslärarprogrammet - Gy"/>
    <n v="19473"/>
    <n v="34806"/>
    <n v="6132.2624999999998"/>
    <n v="21800"/>
    <n v="2725"/>
    <n v="8857.2625000000007"/>
    <n v="0"/>
    <n v="0"/>
    <n v="0"/>
    <n v="0"/>
    <n v="0"/>
    <n v="1"/>
    <n v="0"/>
    <n v="0"/>
    <n v="0"/>
    <n v="0"/>
    <n v="0"/>
    <n v="0"/>
  </r>
  <r>
    <s v="6PE182"/>
    <s v="Sex och samlevnad, 7,5 hp"/>
    <m/>
    <s v="LYAGY"/>
    <s v="H17"/>
    <s v="H19"/>
    <s v="H191-20"/>
    <m/>
    <m/>
    <s v="MATT"/>
    <m/>
    <n v="25"/>
    <n v="7.5"/>
    <m/>
    <m/>
    <n v="1"/>
    <n v="0.125"/>
    <n v="0.85"/>
    <n v="0.10625"/>
    <x v="9"/>
    <s v="NMD"/>
    <s v="TekNat"/>
    <s v="Ämneslärarprogrammet - Gy"/>
    <n v="19473"/>
    <n v="34806"/>
    <n v="6132.2624999999998"/>
    <n v="21800"/>
    <n v="2725"/>
    <n v="8857.2625000000007"/>
    <n v="0"/>
    <n v="0"/>
    <n v="0"/>
    <n v="0"/>
    <n v="0"/>
    <n v="1"/>
    <n v="0"/>
    <n v="0"/>
    <n v="0"/>
    <n v="0"/>
    <n v="0"/>
    <n v="0"/>
  </r>
  <r>
    <s v="6PE182"/>
    <s v="Sex och samlevnad, 7,5 hp"/>
    <m/>
    <s v="LYAGY"/>
    <s v="H18"/>
    <s v="H19"/>
    <s v="H191-20"/>
    <m/>
    <m/>
    <s v="NATU"/>
    <m/>
    <n v="25"/>
    <n v="7.5"/>
    <m/>
    <m/>
    <n v="1"/>
    <n v="0.125"/>
    <n v="0.85"/>
    <n v="0.10625"/>
    <x v="9"/>
    <s v="NMD"/>
    <s v="TekNat"/>
    <s v="Ämneslärarprogrammet - Gy"/>
    <n v="19473"/>
    <n v="34806"/>
    <n v="6132.2624999999998"/>
    <n v="21800"/>
    <n v="2725"/>
    <n v="8857.2625000000007"/>
    <n v="0"/>
    <n v="0"/>
    <n v="0"/>
    <n v="0"/>
    <n v="0"/>
    <n v="1"/>
    <n v="0"/>
    <n v="0"/>
    <n v="0"/>
    <n v="0"/>
    <n v="0"/>
    <n v="0"/>
  </r>
  <r>
    <s v="6PE183"/>
    <s v="Förskollärare som profession"/>
    <m/>
    <s v="LYFSK"/>
    <s v="H19"/>
    <s v="H19"/>
    <s v="H191-4"/>
    <m/>
    <m/>
    <m/>
    <m/>
    <n v="100"/>
    <n v="6"/>
    <m/>
    <m/>
    <n v="57"/>
    <n v="5.7"/>
    <n v="0.85"/>
    <n v="4.8449999999999998"/>
    <x v="1"/>
    <s v="TUV "/>
    <s v="Sam"/>
    <s v="Förskollärarprogrammet"/>
    <n v="23641"/>
    <n v="28786"/>
    <n v="274221.87"/>
    <n v="5800"/>
    <n v="33060"/>
    <n v="307281.87"/>
    <n v="0"/>
    <n v="0"/>
    <n v="0"/>
    <n v="1"/>
    <n v="0"/>
    <n v="0"/>
    <n v="0"/>
    <n v="0"/>
    <n v="0"/>
    <n v="0"/>
    <n v="0"/>
    <n v="0"/>
  </r>
  <r>
    <s v="6PE183"/>
    <s v="Förskollärare som profession"/>
    <m/>
    <s v="LYFSK"/>
    <s v="V19"/>
    <s v="V19"/>
    <s v="V191-4"/>
    <s v="Umeå"/>
    <m/>
    <m/>
    <m/>
    <n v="100"/>
    <n v="6"/>
    <m/>
    <m/>
    <n v="23"/>
    <n v="2.3000000000000003"/>
    <n v="0.85"/>
    <n v="1.9550000000000001"/>
    <x v="1"/>
    <s v="TUV "/>
    <s v="Sam"/>
    <s v="Förskollärarprogrammet"/>
    <n v="23641"/>
    <n v="28786"/>
    <n v="110650.93000000001"/>
    <n v="5800"/>
    <n v="13340.000000000002"/>
    <n v="123990.93000000001"/>
    <n v="0"/>
    <n v="0"/>
    <n v="0"/>
    <n v="1"/>
    <n v="0"/>
    <n v="0"/>
    <n v="0"/>
    <n v="0"/>
    <n v="0"/>
    <n v="0"/>
    <n v="0"/>
    <n v="0"/>
  </r>
  <r>
    <s v="6PE184"/>
    <s v="Att vara förskollärare (VFU)"/>
    <m/>
    <s v="LYFSK"/>
    <s v="H19"/>
    <s v="H19"/>
    <s v="H195"/>
    <m/>
    <m/>
    <m/>
    <m/>
    <n v="100"/>
    <n v="1.5"/>
    <n v="-0.05"/>
    <n v="57"/>
    <n v="54.15"/>
    <n v="1.35375"/>
    <n v="0.85"/>
    <n v="1.1506875000000001"/>
    <x v="1"/>
    <s v="TUV "/>
    <s v="Sam"/>
    <s v="Förskollärarprogrammet"/>
    <n v="21634"/>
    <n v="26986"/>
    <n v="60339.480374999999"/>
    <n v="3400"/>
    <n v="4602.75"/>
    <n v="64942.230374999999"/>
    <n v="0"/>
    <n v="0"/>
    <n v="0"/>
    <n v="0"/>
    <n v="0"/>
    <n v="0"/>
    <n v="0"/>
    <n v="0"/>
    <n v="1"/>
    <n v="0"/>
    <n v="0"/>
    <n v="0"/>
  </r>
  <r>
    <s v="6PE184"/>
    <s v="Att vara förskollärare (VFU)"/>
    <m/>
    <s v="LYFSK"/>
    <s v="V19"/>
    <s v="V19"/>
    <s v="V195"/>
    <s v="Umeå"/>
    <m/>
    <m/>
    <m/>
    <n v="100"/>
    <n v="1.5"/>
    <m/>
    <m/>
    <n v="21"/>
    <n v="0.52500000000000002"/>
    <n v="0.85"/>
    <n v="0.44624999999999998"/>
    <x v="1"/>
    <s v="TUV "/>
    <s v="Sam"/>
    <s v="Förskollärarprogrammet"/>
    <n v="21634"/>
    <n v="26986"/>
    <n v="23400.352500000001"/>
    <n v="3400"/>
    <n v="1785"/>
    <n v="25185.352500000001"/>
    <n v="0"/>
    <n v="0"/>
    <n v="0"/>
    <n v="0"/>
    <n v="0"/>
    <n v="0"/>
    <n v="0"/>
    <n v="0"/>
    <n v="1"/>
    <n v="0"/>
    <n v="0"/>
    <n v="0"/>
  </r>
  <r>
    <s v="6PE185"/>
    <s v="Ämneslärare som profession"/>
    <m/>
    <s v="LYAGY"/>
    <s v="H17"/>
    <s v="H19"/>
    <s v="H191-4"/>
    <m/>
    <m/>
    <s v="TYSK"/>
    <m/>
    <n v="100"/>
    <n v="6"/>
    <m/>
    <m/>
    <n v="1"/>
    <n v="0.1"/>
    <n v="0.85"/>
    <n v="8.5000000000000006E-2"/>
    <x v="0"/>
    <s v="Pedagogik                     "/>
    <s v="Sam"/>
    <s v="Ämneslärarprogrammet - Gy"/>
    <n v="23641"/>
    <n v="28786"/>
    <n v="4810.91"/>
    <n v="5800"/>
    <n v="580"/>
    <n v="5390.91"/>
    <n v="0"/>
    <n v="0"/>
    <n v="0"/>
    <n v="1"/>
    <n v="0"/>
    <n v="0"/>
    <n v="0"/>
    <n v="0"/>
    <n v="0"/>
    <n v="0"/>
    <n v="0"/>
    <n v="0"/>
  </r>
  <r>
    <s v="6PE185"/>
    <s v="Ämneslärare som profession"/>
    <m/>
    <s v="LYAGY"/>
    <s v="H18"/>
    <s v="H19"/>
    <s v="H191-4"/>
    <m/>
    <m/>
    <s v="ENGS"/>
    <m/>
    <n v="100"/>
    <n v="6"/>
    <m/>
    <m/>
    <n v="1"/>
    <n v="0.1"/>
    <n v="0.85"/>
    <n v="8.5000000000000006E-2"/>
    <x v="0"/>
    <s v="Pedagogik                     "/>
    <s v="Sam"/>
    <s v="Ämneslärarprogrammet - Gy"/>
    <n v="23641"/>
    <n v="28786"/>
    <n v="4810.91"/>
    <n v="5800"/>
    <n v="580"/>
    <n v="5390.91"/>
    <n v="0"/>
    <n v="0"/>
    <n v="0"/>
    <n v="1"/>
    <n v="0"/>
    <n v="0"/>
    <n v="0"/>
    <n v="0"/>
    <n v="0"/>
    <n v="0"/>
    <n v="0"/>
    <n v="0"/>
  </r>
  <r>
    <s v="6PE185"/>
    <s v="Ämneslärare som profession"/>
    <m/>
    <s v="LYAGY"/>
    <s v="H18"/>
    <s v="H19"/>
    <s v="H191-4"/>
    <m/>
    <m/>
    <s v="SAMK"/>
    <m/>
    <n v="100"/>
    <n v="6"/>
    <m/>
    <m/>
    <n v="1"/>
    <n v="0.1"/>
    <n v="0.85"/>
    <n v="8.5000000000000006E-2"/>
    <x v="0"/>
    <s v="Pedagogik                     "/>
    <s v="Sam"/>
    <s v="Ämneslärarprogrammet - Gy"/>
    <n v="23641"/>
    <n v="28786"/>
    <n v="4810.91"/>
    <n v="5800"/>
    <n v="580"/>
    <n v="5390.91"/>
    <n v="0"/>
    <n v="0"/>
    <n v="0"/>
    <n v="1"/>
    <n v="0"/>
    <n v="0"/>
    <n v="0"/>
    <n v="0"/>
    <n v="0"/>
    <n v="0"/>
    <n v="0"/>
    <n v="0"/>
  </r>
  <r>
    <s v="6PE185"/>
    <s v="Ämneslärare som profession"/>
    <m/>
    <s v="LYAGY"/>
    <s v="H19"/>
    <s v="H19"/>
    <s v="H191-4"/>
    <m/>
    <m/>
    <s v="BILÄ"/>
    <m/>
    <n v="100"/>
    <n v="6"/>
    <m/>
    <m/>
    <n v="4"/>
    <n v="0.4"/>
    <n v="0.85"/>
    <n v="0.34"/>
    <x v="0"/>
    <s v="Pedagogik                     "/>
    <s v="Sam"/>
    <s v="Ämneslärarprogrammet - Gy"/>
    <n v="23641"/>
    <n v="28786"/>
    <n v="19243.64"/>
    <n v="5800"/>
    <n v="2320"/>
    <n v="21563.64"/>
    <n v="0"/>
    <n v="0"/>
    <n v="0"/>
    <n v="1"/>
    <n v="0"/>
    <n v="0"/>
    <n v="0"/>
    <n v="0"/>
    <n v="0"/>
    <n v="0"/>
    <n v="0"/>
    <n v="0"/>
  </r>
  <r>
    <s v="6PE185"/>
    <s v="Ämneslärare som profession"/>
    <m/>
    <s v="LYAGY"/>
    <s v="H19"/>
    <s v="H19"/>
    <s v="H191-4"/>
    <m/>
    <m/>
    <s v="BIOL"/>
    <m/>
    <n v="100"/>
    <n v="6"/>
    <m/>
    <m/>
    <n v="4"/>
    <n v="0.4"/>
    <n v="0.85"/>
    <n v="0.34"/>
    <x v="0"/>
    <s v="Pedagogik                     "/>
    <s v="Sam"/>
    <s v="Ämneslärarprogrammet - Gy"/>
    <n v="23641"/>
    <n v="28786"/>
    <n v="19243.64"/>
    <n v="5800"/>
    <n v="2320"/>
    <n v="21563.64"/>
    <n v="0"/>
    <n v="0"/>
    <n v="0"/>
    <n v="1"/>
    <n v="0"/>
    <n v="0"/>
    <n v="0"/>
    <n v="0"/>
    <n v="0"/>
    <n v="0"/>
    <n v="0"/>
    <n v="0"/>
  </r>
  <r>
    <s v="6PE185"/>
    <s v="Ämneslärare som profession"/>
    <m/>
    <s v="LYAGY"/>
    <s v="H19"/>
    <s v="H19"/>
    <s v="H191-4"/>
    <m/>
    <m/>
    <s v="ENGS"/>
    <m/>
    <n v="100"/>
    <n v="6"/>
    <m/>
    <m/>
    <n v="18"/>
    <n v="1.8"/>
    <n v="0.85"/>
    <n v="1.53"/>
    <x v="0"/>
    <s v="Pedagogik                     "/>
    <s v="Sam"/>
    <s v="Ämneslärarprogrammet - Gy"/>
    <n v="23641"/>
    <n v="28786"/>
    <n v="86596.38"/>
    <n v="5800"/>
    <n v="10440"/>
    <n v="97036.38"/>
    <n v="0"/>
    <n v="0"/>
    <n v="0"/>
    <n v="1"/>
    <n v="0"/>
    <n v="0"/>
    <n v="0"/>
    <n v="0"/>
    <n v="0"/>
    <n v="0"/>
    <n v="0"/>
    <n v="0"/>
  </r>
  <r>
    <s v="6PE185"/>
    <s v="Ämneslärare som profession"/>
    <m/>
    <s v="LYAGY"/>
    <s v="H19"/>
    <s v="H19"/>
    <s v="H191-4"/>
    <m/>
    <m/>
    <s v="GEOG"/>
    <m/>
    <n v="100"/>
    <n v="6"/>
    <m/>
    <m/>
    <n v="7"/>
    <n v="0.70000000000000007"/>
    <n v="0.85"/>
    <n v="0.59500000000000008"/>
    <x v="0"/>
    <s v="Pedagogik                     "/>
    <s v="Sam"/>
    <s v="Ämneslärarprogrammet - Gy"/>
    <n v="23641"/>
    <n v="28786"/>
    <n v="33676.370000000003"/>
    <n v="5800"/>
    <n v="4060.0000000000005"/>
    <n v="37736.370000000003"/>
    <n v="0"/>
    <n v="0"/>
    <n v="0"/>
    <n v="1"/>
    <n v="0"/>
    <n v="0"/>
    <n v="0"/>
    <n v="0"/>
    <n v="0"/>
    <n v="0"/>
    <n v="0"/>
    <n v="0"/>
  </r>
  <r>
    <s v="6PE185"/>
    <s v="Ämneslärare som profession"/>
    <m/>
    <s v="LYAGY"/>
    <s v="H19"/>
    <s v="H19"/>
    <s v="H191-4"/>
    <m/>
    <m/>
    <s v="HIST"/>
    <m/>
    <n v="100"/>
    <n v="6"/>
    <m/>
    <m/>
    <n v="30"/>
    <n v="3"/>
    <n v="0.85"/>
    <n v="2.5499999999999998"/>
    <x v="0"/>
    <s v="Pedagogik                     "/>
    <s v="Sam"/>
    <s v="Ämneslärarprogrammet - Gy"/>
    <n v="23641"/>
    <n v="28786"/>
    <n v="144327.29999999999"/>
    <n v="5800"/>
    <n v="17400"/>
    <n v="161727.29999999999"/>
    <n v="0"/>
    <n v="0"/>
    <n v="0"/>
    <n v="1"/>
    <n v="0"/>
    <n v="0"/>
    <n v="0"/>
    <n v="0"/>
    <n v="0"/>
    <n v="0"/>
    <n v="0"/>
    <n v="0"/>
  </r>
  <r>
    <s v="6PE185"/>
    <s v="Ämneslärare som profession"/>
    <m/>
    <s v="LYAGY"/>
    <s v="H19"/>
    <s v="H19"/>
    <s v="H191-4"/>
    <m/>
    <m/>
    <s v="IDRH"/>
    <m/>
    <n v="100"/>
    <n v="6"/>
    <m/>
    <m/>
    <n v="22"/>
    <n v="2.2000000000000002"/>
    <n v="0.85"/>
    <n v="1.87"/>
    <x v="0"/>
    <s v="Pedagogik                     "/>
    <s v="Sam"/>
    <s v="Ämneslärarprogrammet - Gy"/>
    <n v="23641"/>
    <n v="28786"/>
    <n v="105840.02"/>
    <n v="5800"/>
    <n v="12760.000000000002"/>
    <n v="118600.02"/>
    <n v="0"/>
    <n v="0"/>
    <n v="0"/>
    <n v="1"/>
    <n v="0"/>
    <n v="0"/>
    <n v="0"/>
    <n v="0"/>
    <n v="0"/>
    <n v="0"/>
    <n v="0"/>
    <n v="0"/>
  </r>
  <r>
    <s v="6PE185"/>
    <s v="Ämneslärare som profession"/>
    <m/>
    <s v="LYAGY"/>
    <s v="H19"/>
    <s v="H19"/>
    <s v="H191-4"/>
    <m/>
    <m/>
    <s v="MATT"/>
    <m/>
    <n v="100"/>
    <n v="6"/>
    <m/>
    <m/>
    <n v="18"/>
    <n v="1.8"/>
    <n v="0.85"/>
    <n v="1.53"/>
    <x v="0"/>
    <s v="Pedagogik                     "/>
    <s v="Sam"/>
    <s v="Ämneslärarprogrammet - Gy"/>
    <n v="23641"/>
    <n v="28786"/>
    <n v="86596.38"/>
    <n v="5800"/>
    <n v="10440"/>
    <n v="97036.38"/>
    <n v="0"/>
    <n v="0"/>
    <n v="0"/>
    <n v="1"/>
    <n v="0"/>
    <n v="0"/>
    <n v="0"/>
    <n v="0"/>
    <n v="0"/>
    <n v="0"/>
    <n v="0"/>
    <n v="0"/>
  </r>
  <r>
    <s v="6PE185"/>
    <s v="Ämneslärare som profession"/>
    <m/>
    <s v="LYAGY"/>
    <s v="H19"/>
    <s v="H19"/>
    <s v="H191-4"/>
    <m/>
    <m/>
    <s v="NATU"/>
    <m/>
    <n v="100"/>
    <n v="6"/>
    <m/>
    <m/>
    <n v="1"/>
    <n v="0.1"/>
    <n v="0.85"/>
    <n v="8.5000000000000006E-2"/>
    <x v="0"/>
    <s v="Pedagogik                     "/>
    <s v="Sam"/>
    <s v="Ämneslärarprogrammet - Gy"/>
    <n v="23641"/>
    <n v="28786"/>
    <n v="4810.91"/>
    <n v="5800"/>
    <n v="580"/>
    <n v="5390.91"/>
    <n v="0"/>
    <n v="0"/>
    <n v="0"/>
    <n v="1"/>
    <n v="0"/>
    <n v="0"/>
    <n v="0"/>
    <n v="0"/>
    <n v="0"/>
    <n v="0"/>
    <n v="0"/>
    <n v="0"/>
  </r>
  <r>
    <s v="6PE185"/>
    <s v="Ämneslärare som profession"/>
    <m/>
    <s v="LYAGY"/>
    <s v="H19"/>
    <s v="H19"/>
    <s v="H191-4"/>
    <m/>
    <m/>
    <s v="RELK"/>
    <m/>
    <n v="100"/>
    <n v="6"/>
    <m/>
    <m/>
    <n v="8"/>
    <n v="0.8"/>
    <n v="0.85"/>
    <n v="0.68"/>
    <x v="0"/>
    <s v="Pedagogik                     "/>
    <s v="Sam"/>
    <s v="Ämneslärarprogrammet - Gy"/>
    <n v="23641"/>
    <n v="28786"/>
    <n v="38487.279999999999"/>
    <n v="5800"/>
    <n v="4640"/>
    <n v="43127.28"/>
    <n v="0"/>
    <n v="0"/>
    <n v="0"/>
    <n v="1"/>
    <n v="0"/>
    <n v="0"/>
    <n v="0"/>
    <n v="0"/>
    <n v="0"/>
    <n v="0"/>
    <n v="0"/>
    <n v="0"/>
  </r>
  <r>
    <s v="6PE185"/>
    <s v="Ämneslärare som profession"/>
    <m/>
    <s v="LYAGY"/>
    <s v="H19"/>
    <s v="H19"/>
    <s v="H191-4"/>
    <m/>
    <m/>
    <s v="SAMK"/>
    <m/>
    <n v="100"/>
    <n v="6"/>
    <m/>
    <m/>
    <n v="19"/>
    <n v="1.9000000000000001"/>
    <n v="0.85"/>
    <n v="1.615"/>
    <x v="0"/>
    <s v="Pedagogik                     "/>
    <s v="Sam"/>
    <s v="Ämneslärarprogrammet - Gy"/>
    <n v="23641"/>
    <n v="28786"/>
    <n v="91407.290000000008"/>
    <n v="5800"/>
    <n v="11020"/>
    <n v="102427.29000000001"/>
    <n v="0"/>
    <n v="0"/>
    <n v="0"/>
    <n v="1"/>
    <n v="0"/>
    <n v="0"/>
    <n v="0"/>
    <n v="0"/>
    <n v="0"/>
    <n v="0"/>
    <n v="0"/>
    <n v="0"/>
  </r>
  <r>
    <s v="6PE185"/>
    <s v="Ämneslärare som profession"/>
    <m/>
    <s v="LYAGY"/>
    <s v="H19"/>
    <s v="H19"/>
    <s v="H191-4"/>
    <m/>
    <m/>
    <s v="SPAN"/>
    <m/>
    <n v="100"/>
    <n v="6"/>
    <m/>
    <m/>
    <n v="1"/>
    <n v="0.1"/>
    <n v="0.85"/>
    <n v="8.5000000000000006E-2"/>
    <x v="0"/>
    <s v="Pedagogik                     "/>
    <s v="Sam"/>
    <s v="Ämneslärarprogrammet - Gy"/>
    <n v="23641"/>
    <n v="28786"/>
    <n v="4810.91"/>
    <n v="5800"/>
    <n v="580"/>
    <n v="5390.91"/>
    <n v="0"/>
    <n v="0"/>
    <n v="0"/>
    <n v="1"/>
    <n v="0"/>
    <n v="0"/>
    <n v="0"/>
    <n v="0"/>
    <n v="0"/>
    <n v="0"/>
    <n v="0"/>
    <n v="0"/>
  </r>
  <r>
    <s v="6PE185"/>
    <s v="Ämneslärare som profession"/>
    <m/>
    <s v="LYAGY"/>
    <s v="H19"/>
    <s v="H19"/>
    <s v="H191-4"/>
    <m/>
    <m/>
    <s v="SVAA"/>
    <m/>
    <n v="100"/>
    <n v="6"/>
    <m/>
    <m/>
    <n v="14"/>
    <n v="1.4000000000000001"/>
    <n v="0.85"/>
    <n v="1.1900000000000002"/>
    <x v="0"/>
    <s v="Pedagogik                     "/>
    <s v="Sam"/>
    <s v="Ämneslärarprogrammet - Gy"/>
    <n v="23641"/>
    <n v="28786"/>
    <n v="67352.740000000005"/>
    <n v="5800"/>
    <n v="8120.0000000000009"/>
    <n v="75472.740000000005"/>
    <n v="0"/>
    <n v="0"/>
    <n v="0"/>
    <n v="1"/>
    <n v="0"/>
    <n v="0"/>
    <n v="0"/>
    <n v="0"/>
    <n v="0"/>
    <n v="0"/>
    <n v="0"/>
    <n v="0"/>
  </r>
  <r>
    <s v="6PE185"/>
    <s v="Ämneslärare som profession"/>
    <m/>
    <s v="LYAGY"/>
    <s v="H19"/>
    <s v="H19"/>
    <s v="H191-4"/>
    <m/>
    <m/>
    <s v="SVAN"/>
    <m/>
    <n v="100"/>
    <n v="6"/>
    <m/>
    <m/>
    <n v="3"/>
    <n v="0.30000000000000004"/>
    <n v="0.85"/>
    <n v="0.255"/>
    <x v="0"/>
    <s v="Pedagogik                     "/>
    <s v="Sam"/>
    <s v="Ämneslärarprogrammet - Gy"/>
    <n v="23641"/>
    <n v="28786"/>
    <n v="14432.730000000001"/>
    <n v="5800"/>
    <n v="1740.0000000000002"/>
    <n v="16172.730000000001"/>
    <n v="0"/>
    <n v="0"/>
    <n v="0"/>
    <n v="1"/>
    <n v="0"/>
    <n v="0"/>
    <n v="0"/>
    <n v="0"/>
    <n v="0"/>
    <n v="0"/>
    <n v="0"/>
    <n v="0"/>
  </r>
  <r>
    <s v="6PE185"/>
    <s v="Ämneslärare som profession"/>
    <m/>
    <s v="LYAGY"/>
    <s v="H19"/>
    <s v="H19"/>
    <s v="H191-4"/>
    <m/>
    <m/>
    <s v="TYSK"/>
    <m/>
    <n v="100"/>
    <n v="6"/>
    <m/>
    <m/>
    <n v="2"/>
    <n v="0.2"/>
    <n v="0.85"/>
    <n v="0.17"/>
    <x v="0"/>
    <s v="Pedagogik                     "/>
    <s v="Sam"/>
    <s v="Ämneslärarprogrammet - Gy"/>
    <n v="23641"/>
    <n v="28786"/>
    <n v="9621.82"/>
    <n v="5800"/>
    <n v="1160"/>
    <n v="10781.82"/>
    <n v="0"/>
    <n v="0"/>
    <n v="0"/>
    <n v="1"/>
    <n v="0"/>
    <n v="0"/>
    <n v="0"/>
    <n v="0"/>
    <n v="0"/>
    <n v="0"/>
    <n v="0"/>
    <n v="0"/>
  </r>
  <r>
    <s v="6PE186"/>
    <s v="Att vara ämneslärare (VFU)"/>
    <m/>
    <s v="LYAGY"/>
    <s v="H17"/>
    <s v="H19"/>
    <s v="H195"/>
    <m/>
    <m/>
    <s v="TYSK"/>
    <m/>
    <n v="100"/>
    <n v="1.5"/>
    <m/>
    <m/>
    <n v="1"/>
    <n v="2.5000000000000001E-2"/>
    <n v="0.85"/>
    <n v="2.1250000000000002E-2"/>
    <x v="0"/>
    <s v="Pedagogik                     "/>
    <s v="Sam"/>
    <s v="Ämneslärarprogrammet - Gy"/>
    <n v="21634"/>
    <n v="26986"/>
    <n v="1114.3025"/>
    <n v="3400"/>
    <n v="85"/>
    <n v="1199.3025"/>
    <n v="0"/>
    <n v="0"/>
    <n v="0"/>
    <n v="0"/>
    <n v="0"/>
    <n v="0"/>
    <n v="0"/>
    <n v="0"/>
    <n v="1"/>
    <n v="0"/>
    <n v="0"/>
    <n v="0"/>
  </r>
  <r>
    <s v="6PE186"/>
    <s v="Att vara ämneslärare (VFU)"/>
    <m/>
    <s v="LYAGY"/>
    <s v="H18"/>
    <s v="H19"/>
    <s v="H195"/>
    <m/>
    <m/>
    <s v="ENGS"/>
    <m/>
    <n v="100"/>
    <n v="1.5"/>
    <m/>
    <m/>
    <n v="1"/>
    <n v="2.5000000000000001E-2"/>
    <n v="0.85"/>
    <n v="2.1250000000000002E-2"/>
    <x v="0"/>
    <s v="Pedagogik                     "/>
    <s v="Sam"/>
    <s v="Ämneslärarprogrammet - Gy"/>
    <n v="21634"/>
    <n v="26986"/>
    <n v="1114.3025"/>
    <n v="3400"/>
    <n v="85"/>
    <n v="1199.3025"/>
    <n v="0"/>
    <n v="0"/>
    <n v="0"/>
    <n v="0"/>
    <n v="0"/>
    <n v="0"/>
    <n v="0"/>
    <n v="0"/>
    <n v="1"/>
    <n v="0"/>
    <n v="0"/>
    <n v="0"/>
  </r>
  <r>
    <s v="6PE186"/>
    <s v="Att vara ämneslärare (VFU)"/>
    <m/>
    <s v="LYAGY"/>
    <s v="H18"/>
    <s v="H19"/>
    <s v="H195"/>
    <m/>
    <m/>
    <s v="SAMK"/>
    <m/>
    <n v="100"/>
    <n v="1.5"/>
    <m/>
    <m/>
    <n v="1"/>
    <n v="2.5000000000000001E-2"/>
    <n v="0.85"/>
    <n v="2.1250000000000002E-2"/>
    <x v="0"/>
    <s v="Pedagogik                     "/>
    <s v="Sam"/>
    <s v="Ämneslärarprogrammet - Gy"/>
    <n v="21634"/>
    <n v="26986"/>
    <n v="1114.3025"/>
    <n v="3400"/>
    <n v="85"/>
    <n v="1199.3025"/>
    <n v="0"/>
    <n v="0"/>
    <n v="0"/>
    <n v="0"/>
    <n v="0"/>
    <n v="0"/>
    <n v="0"/>
    <n v="0"/>
    <n v="1"/>
    <n v="0"/>
    <n v="0"/>
    <n v="0"/>
  </r>
  <r>
    <s v="6PE186"/>
    <s v="Att vara ämneslärare (VFU)"/>
    <m/>
    <s v="LYAGY"/>
    <s v="H19"/>
    <s v="H19"/>
    <s v="H195"/>
    <m/>
    <m/>
    <s v="BILÄ"/>
    <m/>
    <n v="100"/>
    <n v="1.5"/>
    <m/>
    <m/>
    <n v="4"/>
    <n v="0.1"/>
    <n v="0.85"/>
    <n v="8.5000000000000006E-2"/>
    <x v="0"/>
    <s v="Pedagogik                     "/>
    <s v="Sam"/>
    <s v="Ämneslärarprogrammet - Gy"/>
    <n v="21634"/>
    <n v="26986"/>
    <n v="4457.21"/>
    <n v="3400"/>
    <n v="340"/>
    <n v="4797.21"/>
    <n v="0"/>
    <n v="0"/>
    <n v="0"/>
    <n v="0"/>
    <n v="0"/>
    <n v="0"/>
    <n v="0"/>
    <n v="0"/>
    <n v="1"/>
    <n v="0"/>
    <n v="0"/>
    <n v="0"/>
  </r>
  <r>
    <s v="6PE186"/>
    <s v="Att vara ämneslärare (VFU)"/>
    <m/>
    <s v="LYAGY"/>
    <s v="H19"/>
    <s v="H19"/>
    <s v="H195"/>
    <m/>
    <m/>
    <s v="BIOL"/>
    <m/>
    <n v="100"/>
    <n v="1.5"/>
    <m/>
    <m/>
    <n v="4"/>
    <n v="0.1"/>
    <n v="0.85"/>
    <n v="8.5000000000000006E-2"/>
    <x v="0"/>
    <s v="Pedagogik                     "/>
    <s v="Sam"/>
    <s v="Ämneslärarprogrammet - Gy"/>
    <n v="21634"/>
    <n v="26986"/>
    <n v="4457.21"/>
    <n v="3400"/>
    <n v="340"/>
    <n v="4797.21"/>
    <n v="0"/>
    <n v="0"/>
    <n v="0"/>
    <n v="0"/>
    <n v="0"/>
    <n v="0"/>
    <n v="0"/>
    <n v="0"/>
    <n v="1"/>
    <n v="0"/>
    <n v="0"/>
    <n v="0"/>
  </r>
  <r>
    <s v="6PE186"/>
    <s v="Att vara ämneslärare (VFU)"/>
    <m/>
    <s v="LYAGY"/>
    <s v="H19"/>
    <s v="H19"/>
    <s v="H195"/>
    <m/>
    <m/>
    <s v="ENGS"/>
    <m/>
    <n v="100"/>
    <n v="1.5"/>
    <m/>
    <m/>
    <n v="19"/>
    <n v="0.47500000000000003"/>
    <n v="0.85"/>
    <n v="0.40375"/>
    <x v="0"/>
    <s v="Pedagogik                     "/>
    <s v="Sam"/>
    <s v="Ämneslärarprogrammet - Gy"/>
    <n v="21634"/>
    <n v="26986"/>
    <n v="21171.747500000001"/>
    <n v="3400"/>
    <n v="1615"/>
    <n v="22786.747500000001"/>
    <n v="0"/>
    <n v="0"/>
    <n v="0"/>
    <n v="0"/>
    <n v="0"/>
    <n v="0"/>
    <n v="0"/>
    <n v="0"/>
    <n v="1"/>
    <n v="0"/>
    <n v="0"/>
    <n v="0"/>
  </r>
  <r>
    <s v="6PE186"/>
    <s v="Att vara ämneslärare (VFU)"/>
    <m/>
    <s v="LYAGY"/>
    <s v="H19"/>
    <s v="H19"/>
    <s v="H195"/>
    <m/>
    <m/>
    <s v="GEOG"/>
    <m/>
    <n v="100"/>
    <n v="1.5"/>
    <m/>
    <m/>
    <n v="7"/>
    <n v="0.17500000000000002"/>
    <n v="0.85"/>
    <n v="0.14875000000000002"/>
    <x v="0"/>
    <s v="Pedagogik                     "/>
    <s v="Sam"/>
    <s v="Ämneslärarprogrammet - Gy"/>
    <n v="21634"/>
    <n v="26986"/>
    <n v="7800.1175000000003"/>
    <n v="3400"/>
    <n v="595"/>
    <n v="8395.1175000000003"/>
    <n v="0"/>
    <n v="0"/>
    <n v="0"/>
    <n v="0"/>
    <n v="0"/>
    <n v="0"/>
    <n v="0"/>
    <n v="0"/>
    <n v="1"/>
    <n v="0"/>
    <n v="0"/>
    <n v="0"/>
  </r>
  <r>
    <s v="6PE186"/>
    <s v="Att vara ämneslärare (VFU)"/>
    <m/>
    <s v="LYAGY"/>
    <s v="H19"/>
    <s v="H19"/>
    <s v="H195"/>
    <m/>
    <m/>
    <s v="HIST"/>
    <m/>
    <n v="100"/>
    <n v="1.5"/>
    <m/>
    <m/>
    <n v="29"/>
    <n v="0.72500000000000009"/>
    <n v="0.85"/>
    <n v="0.61625000000000008"/>
    <x v="0"/>
    <s v="Pedagogik                     "/>
    <s v="Sam"/>
    <s v="Ämneslärarprogrammet - Gy"/>
    <n v="21634"/>
    <n v="26986"/>
    <n v="32314.772500000003"/>
    <n v="3400"/>
    <n v="2465.0000000000005"/>
    <n v="34779.772500000006"/>
    <n v="0"/>
    <n v="0"/>
    <n v="0"/>
    <n v="0"/>
    <n v="0"/>
    <n v="0"/>
    <n v="0"/>
    <n v="0"/>
    <n v="1"/>
    <n v="0"/>
    <n v="0"/>
    <n v="0"/>
  </r>
  <r>
    <s v="6PE186"/>
    <s v="Att vara ämneslärare (VFU)"/>
    <m/>
    <s v="LYAGY"/>
    <s v="H19"/>
    <s v="H19"/>
    <s v="H195"/>
    <m/>
    <m/>
    <s v="IDRH"/>
    <m/>
    <n v="100"/>
    <n v="1.5"/>
    <m/>
    <m/>
    <n v="22"/>
    <n v="0.55000000000000004"/>
    <n v="0.85"/>
    <n v="0.46750000000000003"/>
    <x v="0"/>
    <s v="Pedagogik                     "/>
    <s v="Sam"/>
    <s v="Ämneslärarprogrammet - Gy"/>
    <n v="21634"/>
    <n v="26986"/>
    <n v="24514.654999999999"/>
    <n v="3400"/>
    <n v="1870.0000000000002"/>
    <n v="26384.654999999999"/>
    <n v="0"/>
    <n v="0"/>
    <n v="0"/>
    <n v="0"/>
    <n v="0"/>
    <n v="0"/>
    <n v="0"/>
    <n v="0"/>
    <n v="1"/>
    <n v="0"/>
    <n v="0"/>
    <n v="0"/>
  </r>
  <r>
    <s v="6PE186"/>
    <s v="Att vara ämneslärare (VFU)"/>
    <m/>
    <s v="LYAGY"/>
    <s v="H19"/>
    <s v="H19"/>
    <s v="H195"/>
    <m/>
    <m/>
    <s v="MATT"/>
    <m/>
    <n v="100"/>
    <n v="1.5"/>
    <m/>
    <m/>
    <n v="19"/>
    <n v="0.47500000000000003"/>
    <n v="0.85"/>
    <n v="0.40375"/>
    <x v="0"/>
    <s v="Pedagogik                     "/>
    <s v="Sam"/>
    <s v="Ämneslärarprogrammet - Gy"/>
    <n v="21634"/>
    <n v="26986"/>
    <n v="21171.747500000001"/>
    <n v="3400"/>
    <n v="1615"/>
    <n v="22786.747500000001"/>
    <n v="0"/>
    <n v="0"/>
    <n v="0"/>
    <n v="0"/>
    <n v="0"/>
    <n v="0"/>
    <n v="0"/>
    <n v="0"/>
    <n v="1"/>
    <n v="0"/>
    <n v="0"/>
    <n v="0"/>
  </r>
  <r>
    <s v="6PE186"/>
    <s v="Att vara ämneslärare (VFU)"/>
    <m/>
    <s v="LYAGY"/>
    <s v="H19"/>
    <s v="H19"/>
    <s v="H195"/>
    <m/>
    <m/>
    <s v="NATU"/>
    <m/>
    <n v="100"/>
    <n v="1.5"/>
    <m/>
    <m/>
    <n v="1"/>
    <n v="2.5000000000000001E-2"/>
    <n v="0.85"/>
    <n v="2.1250000000000002E-2"/>
    <x v="0"/>
    <s v="Pedagogik                     "/>
    <s v="Sam"/>
    <s v="Ämneslärarprogrammet - Gy"/>
    <n v="21634"/>
    <n v="26986"/>
    <n v="1114.3025"/>
    <n v="3400"/>
    <n v="85"/>
    <n v="1199.3025"/>
    <n v="0"/>
    <n v="0"/>
    <n v="0"/>
    <n v="0"/>
    <n v="0"/>
    <n v="0"/>
    <n v="0"/>
    <n v="0"/>
    <n v="1"/>
    <n v="0"/>
    <n v="0"/>
    <n v="0"/>
  </r>
  <r>
    <s v="6PE186"/>
    <s v="Att vara ämneslärare (VFU)"/>
    <m/>
    <s v="LYAGY"/>
    <s v="H19"/>
    <s v="H19"/>
    <s v="H195"/>
    <m/>
    <m/>
    <s v="RELK"/>
    <m/>
    <n v="100"/>
    <n v="1.5"/>
    <m/>
    <m/>
    <n v="8"/>
    <n v="0.2"/>
    <n v="0.85"/>
    <n v="0.17"/>
    <x v="0"/>
    <s v="Pedagogik                     "/>
    <s v="Sam"/>
    <s v="Ämneslärarprogrammet - Gy"/>
    <n v="21634"/>
    <n v="26986"/>
    <n v="8914.42"/>
    <n v="3400"/>
    <n v="680"/>
    <n v="9594.42"/>
    <n v="0"/>
    <n v="0"/>
    <n v="0"/>
    <n v="0"/>
    <n v="0"/>
    <n v="0"/>
    <n v="0"/>
    <n v="0"/>
    <n v="1"/>
    <n v="0"/>
    <n v="0"/>
    <n v="0"/>
  </r>
  <r>
    <s v="6PE186"/>
    <s v="Att vara ämneslärare (VFU)"/>
    <m/>
    <s v="LYAGY"/>
    <s v="H19"/>
    <s v="H19"/>
    <s v="H195"/>
    <m/>
    <m/>
    <s v="SAMK"/>
    <m/>
    <n v="100"/>
    <n v="1.5"/>
    <m/>
    <m/>
    <n v="19"/>
    <n v="0.47500000000000003"/>
    <n v="0.85"/>
    <n v="0.40375"/>
    <x v="0"/>
    <s v="Pedagogik                     "/>
    <s v="Sam"/>
    <s v="Ämneslärarprogrammet - Gy"/>
    <n v="21634"/>
    <n v="26986"/>
    <n v="21171.747500000001"/>
    <n v="3400"/>
    <n v="1615"/>
    <n v="22786.747500000001"/>
    <n v="0"/>
    <n v="0"/>
    <n v="0"/>
    <n v="0"/>
    <n v="0"/>
    <n v="0"/>
    <n v="0"/>
    <n v="0"/>
    <n v="1"/>
    <n v="0"/>
    <n v="0"/>
    <n v="0"/>
  </r>
  <r>
    <s v="6PE186"/>
    <s v="Att vara ämneslärare (VFU)"/>
    <m/>
    <s v="LYAGY"/>
    <s v="H19"/>
    <s v="H19"/>
    <s v="H195"/>
    <m/>
    <m/>
    <s v="SPAN"/>
    <m/>
    <n v="100"/>
    <n v="1.5"/>
    <m/>
    <m/>
    <n v="1"/>
    <n v="2.5000000000000001E-2"/>
    <n v="0.85"/>
    <n v="2.1250000000000002E-2"/>
    <x v="0"/>
    <s v="Pedagogik                     "/>
    <s v="Sam"/>
    <s v="Ämneslärarprogrammet - Gy"/>
    <n v="21634"/>
    <n v="26986"/>
    <n v="1114.3025"/>
    <n v="3400"/>
    <n v="85"/>
    <n v="1199.3025"/>
    <n v="0"/>
    <n v="0"/>
    <n v="0"/>
    <n v="0"/>
    <n v="0"/>
    <n v="0"/>
    <n v="0"/>
    <n v="0"/>
    <n v="1"/>
    <n v="0"/>
    <n v="0"/>
    <n v="0"/>
  </r>
  <r>
    <s v="6PE186"/>
    <s v="Att vara ämneslärare (VFU)"/>
    <m/>
    <s v="LYAGY"/>
    <s v="H19"/>
    <s v="H19"/>
    <s v="H195"/>
    <m/>
    <m/>
    <s v="SVAA"/>
    <m/>
    <n v="100"/>
    <n v="1.5"/>
    <m/>
    <m/>
    <n v="14"/>
    <n v="0.35000000000000003"/>
    <n v="0.85"/>
    <n v="0.29750000000000004"/>
    <x v="0"/>
    <s v="Pedagogik                     "/>
    <s v="Sam"/>
    <s v="Ämneslärarprogrammet - Gy"/>
    <n v="21634"/>
    <n v="26986"/>
    <n v="15600.235000000001"/>
    <n v="3400"/>
    <n v="1190"/>
    <n v="16790.235000000001"/>
    <n v="0"/>
    <n v="0"/>
    <n v="0"/>
    <n v="0"/>
    <n v="0"/>
    <n v="0"/>
    <n v="0"/>
    <n v="0"/>
    <n v="1"/>
    <n v="0"/>
    <n v="0"/>
    <n v="0"/>
  </r>
  <r>
    <s v="6PE186"/>
    <s v="Att vara ämneslärare (VFU)"/>
    <m/>
    <s v="LYAGY"/>
    <s v="H19"/>
    <s v="H19"/>
    <s v="H195"/>
    <m/>
    <m/>
    <s v="SVAN"/>
    <m/>
    <n v="100"/>
    <n v="1.5"/>
    <m/>
    <m/>
    <n v="3"/>
    <n v="7.5000000000000011E-2"/>
    <n v="0.85"/>
    <n v="6.3750000000000001E-2"/>
    <x v="0"/>
    <s v="Pedagogik                     "/>
    <s v="Sam"/>
    <s v="Ämneslärarprogrammet - Gy"/>
    <n v="21634"/>
    <n v="26986"/>
    <n v="3342.9075000000003"/>
    <n v="3400"/>
    <n v="255.00000000000003"/>
    <n v="3597.9075000000003"/>
    <n v="0"/>
    <n v="0"/>
    <n v="0"/>
    <n v="0"/>
    <n v="0"/>
    <n v="0"/>
    <n v="0"/>
    <n v="0"/>
    <n v="1"/>
    <n v="0"/>
    <n v="0"/>
    <n v="0"/>
  </r>
  <r>
    <s v="6PE186"/>
    <s v="Att vara ämneslärare (VFU)"/>
    <m/>
    <s v="LYAGY"/>
    <s v="H19"/>
    <s v="H19"/>
    <s v="H195"/>
    <m/>
    <m/>
    <s v="TYSK"/>
    <m/>
    <n v="100"/>
    <n v="1.5"/>
    <m/>
    <m/>
    <n v="2"/>
    <n v="0.05"/>
    <n v="0.85"/>
    <n v="4.2500000000000003E-2"/>
    <x v="0"/>
    <s v="Pedagogik                     "/>
    <s v="Sam"/>
    <s v="Ämneslärarprogrammet - Gy"/>
    <n v="21634"/>
    <n v="26986"/>
    <n v="2228.605"/>
    <n v="3400"/>
    <n v="170"/>
    <n v="2398.605"/>
    <n v="0"/>
    <n v="0"/>
    <n v="0"/>
    <n v="0"/>
    <n v="0"/>
    <n v="0"/>
    <n v="0"/>
    <n v="0"/>
    <n v="1"/>
    <n v="0"/>
    <n v="0"/>
    <n v="0"/>
  </r>
  <r>
    <s v="6PE187"/>
    <s v="Lärande och undervisning"/>
    <m/>
    <s v="LYAGY"/>
    <s v="H17"/>
    <s v="H19"/>
    <s v="H196-10"/>
    <m/>
    <m/>
    <s v="TYSK"/>
    <m/>
    <n v="100"/>
    <n v="7.5"/>
    <m/>
    <m/>
    <n v="1"/>
    <n v="0.125"/>
    <n v="0.85"/>
    <n v="0.10625"/>
    <x v="0"/>
    <s v="Pedagogik                     "/>
    <s v="Sam"/>
    <s v="Ämneslärarprogrammet - Gy"/>
    <n v="23641"/>
    <n v="28786"/>
    <n v="6013.6374999999998"/>
    <n v="5800"/>
    <n v="725"/>
    <n v="6738.6374999999998"/>
    <n v="0"/>
    <n v="0"/>
    <n v="0"/>
    <n v="1"/>
    <n v="0"/>
    <n v="0"/>
    <n v="0"/>
    <n v="0"/>
    <n v="0"/>
    <n v="0"/>
    <n v="0"/>
    <n v="0"/>
  </r>
  <r>
    <s v="6PE187"/>
    <s v="Lärande och undervisning"/>
    <m/>
    <s v="LYAGY"/>
    <s v="H18"/>
    <s v="H19"/>
    <s v="H196-10"/>
    <m/>
    <m/>
    <s v="ENGS"/>
    <m/>
    <n v="100"/>
    <n v="7.5"/>
    <m/>
    <m/>
    <n v="1"/>
    <n v="0.125"/>
    <n v="0.85"/>
    <n v="0.10625"/>
    <x v="0"/>
    <s v="Pedagogik                     "/>
    <s v="Sam"/>
    <s v="Ämneslärarprogrammet - Gy"/>
    <n v="23641"/>
    <n v="28786"/>
    <n v="6013.6374999999998"/>
    <n v="5800"/>
    <n v="725"/>
    <n v="6738.6374999999998"/>
    <n v="0"/>
    <n v="0"/>
    <n v="0"/>
    <n v="1"/>
    <n v="0"/>
    <n v="0"/>
    <n v="0"/>
    <n v="0"/>
    <n v="0"/>
    <n v="0"/>
    <n v="0"/>
    <n v="0"/>
  </r>
  <r>
    <s v="6PE187"/>
    <s v="Lärande och undervisning"/>
    <m/>
    <s v="LYAGY"/>
    <s v="H18"/>
    <s v="H19"/>
    <s v="H196-10"/>
    <m/>
    <m/>
    <s v="SAMK"/>
    <m/>
    <n v="100"/>
    <n v="7.5"/>
    <m/>
    <m/>
    <n v="1"/>
    <n v="0.125"/>
    <n v="0.85"/>
    <n v="0.10625"/>
    <x v="0"/>
    <s v="Pedagogik                     "/>
    <s v="Sam"/>
    <s v="Ämneslärarprogrammet - Gy"/>
    <n v="23641"/>
    <n v="28786"/>
    <n v="6013.6374999999998"/>
    <n v="5800"/>
    <n v="725"/>
    <n v="6738.6374999999998"/>
    <n v="0"/>
    <n v="0"/>
    <n v="0"/>
    <n v="1"/>
    <n v="0"/>
    <n v="0"/>
    <n v="0"/>
    <n v="0"/>
    <n v="0"/>
    <n v="0"/>
    <n v="0"/>
    <n v="0"/>
  </r>
  <r>
    <s v="6PE187"/>
    <s v="Lärande och undervisning"/>
    <m/>
    <s v="LYAGY"/>
    <s v="H19"/>
    <s v="H19"/>
    <s v="H196-10"/>
    <m/>
    <m/>
    <s v="BILÄ"/>
    <m/>
    <n v="100"/>
    <n v="7.5"/>
    <m/>
    <m/>
    <n v="4"/>
    <n v="0.5"/>
    <n v="0.85"/>
    <n v="0.42499999999999999"/>
    <x v="0"/>
    <s v="Pedagogik                     "/>
    <s v="Sam"/>
    <s v="Ämneslärarprogrammet - Gy"/>
    <n v="23641"/>
    <n v="28786"/>
    <n v="24054.55"/>
    <n v="5800"/>
    <n v="2900"/>
    <n v="26954.55"/>
    <n v="0"/>
    <n v="0"/>
    <n v="0"/>
    <n v="1"/>
    <n v="0"/>
    <n v="0"/>
    <n v="0"/>
    <n v="0"/>
    <n v="0"/>
    <n v="0"/>
    <n v="0"/>
    <n v="0"/>
  </r>
  <r>
    <s v="6PE187"/>
    <s v="Lärande och undervisning"/>
    <m/>
    <s v="LYAGY"/>
    <s v="H19"/>
    <s v="H19"/>
    <s v="H196-10"/>
    <m/>
    <m/>
    <s v="BIOL"/>
    <m/>
    <n v="100"/>
    <n v="7.5"/>
    <m/>
    <m/>
    <n v="4"/>
    <n v="0.5"/>
    <n v="0.85"/>
    <n v="0.42499999999999999"/>
    <x v="0"/>
    <s v="Pedagogik                     "/>
    <s v="Sam"/>
    <s v="Ämneslärarprogrammet - Gy"/>
    <n v="23641"/>
    <n v="28786"/>
    <n v="24054.55"/>
    <n v="5800"/>
    <n v="2900"/>
    <n v="26954.55"/>
    <n v="0"/>
    <n v="0"/>
    <n v="0"/>
    <n v="1"/>
    <n v="0"/>
    <n v="0"/>
    <n v="0"/>
    <n v="0"/>
    <n v="0"/>
    <n v="0"/>
    <n v="0"/>
    <n v="0"/>
  </r>
  <r>
    <s v="6PE187"/>
    <s v="Lärande och undervisning"/>
    <m/>
    <s v="LYAGY"/>
    <s v="H19"/>
    <s v="H19"/>
    <s v="H196-10"/>
    <m/>
    <m/>
    <s v="ENGS"/>
    <m/>
    <n v="100"/>
    <n v="7.5"/>
    <m/>
    <m/>
    <n v="17"/>
    <n v="2.125"/>
    <n v="0.85"/>
    <n v="1.8062499999999999"/>
    <x v="0"/>
    <s v="Pedagogik                     "/>
    <s v="Sam"/>
    <s v="Ämneslärarprogrammet - Gy"/>
    <n v="23641"/>
    <n v="28786"/>
    <n v="102231.83749999999"/>
    <n v="5800"/>
    <n v="12325"/>
    <n v="114556.83749999999"/>
    <n v="0"/>
    <n v="0"/>
    <n v="0"/>
    <n v="1"/>
    <n v="0"/>
    <n v="0"/>
    <n v="0"/>
    <n v="0"/>
    <n v="0"/>
    <n v="0"/>
    <n v="0"/>
    <n v="0"/>
  </r>
  <r>
    <s v="6PE187"/>
    <s v="Lärande och undervisning"/>
    <m/>
    <s v="LYAGY"/>
    <s v="H19"/>
    <s v="H19"/>
    <s v="H196-10"/>
    <m/>
    <m/>
    <s v="GEOG"/>
    <m/>
    <n v="100"/>
    <n v="7.5"/>
    <m/>
    <m/>
    <n v="7"/>
    <n v="0.875"/>
    <n v="0.85"/>
    <n v="0.74375000000000002"/>
    <x v="0"/>
    <s v="Pedagogik                     "/>
    <s v="Sam"/>
    <s v="Ämneslärarprogrammet - Gy"/>
    <n v="23641"/>
    <n v="28786"/>
    <n v="42095.462500000001"/>
    <n v="5800"/>
    <n v="5075"/>
    <n v="47170.462500000001"/>
    <n v="0"/>
    <n v="0"/>
    <n v="0"/>
    <n v="1"/>
    <n v="0"/>
    <n v="0"/>
    <n v="0"/>
    <n v="0"/>
    <n v="0"/>
    <n v="0"/>
    <n v="0"/>
    <n v="0"/>
  </r>
  <r>
    <s v="6PE187"/>
    <s v="Lärande och undervisning"/>
    <m/>
    <s v="LYAGY"/>
    <s v="H19"/>
    <s v="H19"/>
    <s v="H196-10"/>
    <m/>
    <m/>
    <s v="HIST"/>
    <m/>
    <n v="100"/>
    <n v="7.5"/>
    <m/>
    <m/>
    <n v="29"/>
    <n v="3.625"/>
    <n v="0.85"/>
    <n v="3.0812499999999998"/>
    <x v="0"/>
    <s v="Pedagogik                     "/>
    <s v="Sam"/>
    <s v="Ämneslärarprogrammet - Gy"/>
    <n v="23641"/>
    <n v="28786"/>
    <n v="174395.48749999999"/>
    <n v="5800"/>
    <n v="21025"/>
    <n v="195420.48749999999"/>
    <n v="0"/>
    <n v="0"/>
    <n v="0"/>
    <n v="1"/>
    <n v="0"/>
    <n v="0"/>
    <n v="0"/>
    <n v="0"/>
    <n v="0"/>
    <n v="0"/>
    <n v="0"/>
    <n v="0"/>
  </r>
  <r>
    <s v="6PE187"/>
    <s v="Lärande och undervisning"/>
    <m/>
    <s v="LYAGY"/>
    <s v="H19"/>
    <s v="H19"/>
    <s v="H196-10"/>
    <m/>
    <m/>
    <s v="IDRH"/>
    <m/>
    <n v="100"/>
    <n v="7.5"/>
    <m/>
    <m/>
    <n v="21"/>
    <n v="2.625"/>
    <n v="0.85"/>
    <n v="2.2312499999999997"/>
    <x v="0"/>
    <s v="Pedagogik                     "/>
    <s v="Sam"/>
    <s v="Ämneslärarprogrammet - Gy"/>
    <n v="23641"/>
    <n v="28786"/>
    <n v="126286.38749999998"/>
    <n v="5800"/>
    <n v="15225"/>
    <n v="141511.38749999998"/>
    <n v="0"/>
    <n v="0"/>
    <n v="0"/>
    <n v="1"/>
    <n v="0"/>
    <n v="0"/>
    <n v="0"/>
    <n v="0"/>
    <n v="0"/>
    <n v="0"/>
    <n v="0"/>
    <n v="0"/>
  </r>
  <r>
    <s v="6PE187"/>
    <s v="Lärande och undervisning"/>
    <m/>
    <s v="LYAGY"/>
    <s v="H19"/>
    <s v="H19"/>
    <s v="H196-10"/>
    <m/>
    <m/>
    <s v="MATT"/>
    <m/>
    <n v="100"/>
    <n v="7.5"/>
    <m/>
    <m/>
    <n v="18"/>
    <n v="2.25"/>
    <n v="0.85"/>
    <n v="1.9124999999999999"/>
    <x v="0"/>
    <s v="Pedagogik                     "/>
    <s v="Sam"/>
    <s v="Ämneslärarprogrammet - Gy"/>
    <n v="23641"/>
    <n v="28786"/>
    <n v="108245.47500000001"/>
    <n v="5800"/>
    <n v="13050"/>
    <n v="121295.47500000001"/>
    <n v="0"/>
    <n v="0"/>
    <n v="0"/>
    <n v="1"/>
    <n v="0"/>
    <n v="0"/>
    <n v="0"/>
    <n v="0"/>
    <n v="0"/>
    <n v="0"/>
    <n v="0"/>
    <n v="0"/>
  </r>
  <r>
    <s v="6PE187"/>
    <s v="Lärande och undervisning"/>
    <m/>
    <s v="LYAGY"/>
    <s v="H19"/>
    <s v="H19"/>
    <s v="H196-10"/>
    <m/>
    <m/>
    <s v="NATU"/>
    <m/>
    <n v="100"/>
    <n v="7.5"/>
    <m/>
    <m/>
    <n v="1"/>
    <n v="0.125"/>
    <n v="0.85"/>
    <n v="0.10625"/>
    <x v="0"/>
    <s v="Pedagogik                     "/>
    <s v="Sam"/>
    <s v="Ämneslärarprogrammet - Gy"/>
    <n v="23641"/>
    <n v="28786"/>
    <n v="6013.6374999999998"/>
    <n v="5800"/>
    <n v="725"/>
    <n v="6738.6374999999998"/>
    <n v="0"/>
    <n v="0"/>
    <n v="0"/>
    <n v="1"/>
    <n v="0"/>
    <n v="0"/>
    <n v="0"/>
    <n v="0"/>
    <n v="0"/>
    <n v="0"/>
    <n v="0"/>
    <n v="0"/>
  </r>
  <r>
    <s v="6PE187"/>
    <s v="Lärande och undervisning"/>
    <m/>
    <s v="LYAGY"/>
    <s v="H19"/>
    <s v="H19"/>
    <s v="H196-10"/>
    <m/>
    <m/>
    <s v="RELK"/>
    <m/>
    <n v="100"/>
    <n v="7.5"/>
    <m/>
    <m/>
    <n v="8"/>
    <n v="1"/>
    <n v="0.85"/>
    <n v="0.85"/>
    <x v="0"/>
    <s v="Pedagogik                     "/>
    <s v="Sam"/>
    <s v="Ämneslärarprogrammet - Gy"/>
    <n v="23641"/>
    <n v="28786"/>
    <n v="48109.1"/>
    <n v="5800"/>
    <n v="5800"/>
    <n v="53909.1"/>
    <n v="0"/>
    <n v="0"/>
    <n v="0"/>
    <n v="1"/>
    <n v="0"/>
    <n v="0"/>
    <n v="0"/>
    <n v="0"/>
    <n v="0"/>
    <n v="0"/>
    <n v="0"/>
    <n v="0"/>
  </r>
  <r>
    <s v="6PE187"/>
    <s v="Lärande och undervisning"/>
    <m/>
    <s v="LYAGY"/>
    <s v="H19"/>
    <s v="H19"/>
    <s v="H196-10"/>
    <m/>
    <m/>
    <s v="SAMK"/>
    <m/>
    <n v="100"/>
    <n v="7.5"/>
    <m/>
    <m/>
    <n v="18"/>
    <n v="2.25"/>
    <n v="0.85"/>
    <n v="1.9124999999999999"/>
    <x v="0"/>
    <s v="Pedagogik                     "/>
    <s v="Sam"/>
    <s v="Ämneslärarprogrammet - Gy"/>
    <n v="23641"/>
    <n v="28786"/>
    <n v="108245.47500000001"/>
    <n v="5800"/>
    <n v="13050"/>
    <n v="121295.47500000001"/>
    <n v="0"/>
    <n v="0"/>
    <n v="0"/>
    <n v="1"/>
    <n v="0"/>
    <n v="0"/>
    <n v="0"/>
    <n v="0"/>
    <n v="0"/>
    <n v="0"/>
    <n v="0"/>
    <n v="0"/>
  </r>
  <r>
    <s v="6PE187"/>
    <s v="Lärande och undervisning"/>
    <m/>
    <s v="LYAGY"/>
    <s v="H19"/>
    <s v="H19"/>
    <s v="H196-10"/>
    <m/>
    <m/>
    <s v="SPAN"/>
    <m/>
    <n v="100"/>
    <n v="7.5"/>
    <m/>
    <m/>
    <n v="1"/>
    <n v="0.125"/>
    <n v="0.85"/>
    <n v="0.10625"/>
    <x v="0"/>
    <s v="Pedagogik                     "/>
    <s v="Sam"/>
    <s v="Ämneslärarprogrammet - Gy"/>
    <n v="23641"/>
    <n v="28786"/>
    <n v="6013.6374999999998"/>
    <n v="5800"/>
    <n v="725"/>
    <n v="6738.6374999999998"/>
    <n v="0"/>
    <n v="0"/>
    <n v="0"/>
    <n v="1"/>
    <n v="0"/>
    <n v="0"/>
    <n v="0"/>
    <n v="0"/>
    <n v="0"/>
    <n v="0"/>
    <n v="0"/>
    <n v="0"/>
  </r>
  <r>
    <s v="6PE187"/>
    <s v="Lärande och undervisning"/>
    <m/>
    <s v="LYAGY"/>
    <s v="H19"/>
    <s v="H19"/>
    <s v="H196-10"/>
    <m/>
    <m/>
    <s v="SVAA"/>
    <m/>
    <n v="100"/>
    <n v="7.5"/>
    <m/>
    <m/>
    <n v="13"/>
    <n v="1.625"/>
    <n v="0.85"/>
    <n v="1.3812499999999999"/>
    <x v="0"/>
    <s v="Pedagogik                     "/>
    <s v="Sam"/>
    <s v="Ämneslärarprogrammet - Gy"/>
    <n v="23641"/>
    <n v="28786"/>
    <n v="78177.287500000006"/>
    <n v="5800"/>
    <n v="9425"/>
    <n v="87602.287500000006"/>
    <n v="0"/>
    <n v="0"/>
    <n v="0"/>
    <n v="1"/>
    <n v="0"/>
    <n v="0"/>
    <n v="0"/>
    <n v="0"/>
    <n v="0"/>
    <n v="0"/>
    <n v="0"/>
    <n v="0"/>
  </r>
  <r>
    <s v="6PE187"/>
    <s v="Lärande och undervisning"/>
    <m/>
    <s v="LYAGY"/>
    <s v="H19"/>
    <s v="H19"/>
    <s v="H196-10"/>
    <m/>
    <m/>
    <s v="SVAN"/>
    <m/>
    <n v="100"/>
    <n v="7.5"/>
    <m/>
    <m/>
    <n v="3"/>
    <n v="0.375"/>
    <n v="0.85"/>
    <n v="0.31874999999999998"/>
    <x v="0"/>
    <s v="Pedagogik                     "/>
    <s v="Sam"/>
    <s v="Ämneslärarprogrammet - Gy"/>
    <n v="23641"/>
    <n v="28786"/>
    <n v="18040.912499999999"/>
    <n v="5800"/>
    <n v="2175"/>
    <n v="20215.912499999999"/>
    <n v="0"/>
    <n v="0"/>
    <n v="0"/>
    <n v="1"/>
    <n v="0"/>
    <n v="0"/>
    <n v="0"/>
    <n v="0"/>
    <n v="0"/>
    <n v="0"/>
    <n v="0"/>
    <n v="0"/>
  </r>
  <r>
    <s v="6PE187"/>
    <s v="Lärande och undervisning"/>
    <m/>
    <s v="LYAGY"/>
    <s v="H19"/>
    <s v="H19"/>
    <s v="H196-10"/>
    <m/>
    <m/>
    <s v="TYSK"/>
    <m/>
    <n v="100"/>
    <n v="7.5"/>
    <m/>
    <m/>
    <n v="2"/>
    <n v="0.25"/>
    <n v="0.85"/>
    <n v="0.21249999999999999"/>
    <x v="0"/>
    <s v="Pedagogik                     "/>
    <s v="Sam"/>
    <s v="Ämneslärarprogrammet - Gy"/>
    <n v="23641"/>
    <n v="28786"/>
    <n v="12027.275"/>
    <n v="5800"/>
    <n v="1450"/>
    <n v="13477.275"/>
    <n v="0"/>
    <n v="0"/>
    <n v="0"/>
    <n v="1"/>
    <n v="0"/>
    <n v="0"/>
    <n v="0"/>
    <n v="0"/>
    <n v="0"/>
    <n v="0"/>
    <n v="0"/>
    <n v="0"/>
  </r>
  <r>
    <s v="6PE187"/>
    <s v="Lärande och undervisning"/>
    <m/>
    <s v="LYFSK"/>
    <s v="H19"/>
    <s v="H19"/>
    <s v="H196-10"/>
    <m/>
    <m/>
    <m/>
    <m/>
    <n v="100"/>
    <n v="7.5"/>
    <n v="-0.1"/>
    <n v="57"/>
    <n v="51.3"/>
    <n v="6.4124999999999996"/>
    <n v="0.85"/>
    <n v="5.4506249999999996"/>
    <x v="0"/>
    <s v="Pedagogik                     "/>
    <s v="Sam"/>
    <s v="Förskollärarprogrammet"/>
    <n v="23641"/>
    <n v="28786"/>
    <n v="308499.60375000001"/>
    <n v="5800"/>
    <n v="37192.5"/>
    <n v="345692.10375000001"/>
    <n v="0"/>
    <n v="0"/>
    <n v="0"/>
    <n v="1"/>
    <n v="0"/>
    <n v="0"/>
    <n v="0"/>
    <n v="0"/>
    <n v="0"/>
    <n v="0"/>
    <n v="0"/>
    <n v="0"/>
  </r>
  <r>
    <s v="6PE187"/>
    <s v="Lärande och undervisning"/>
    <m/>
    <s v="LYFSK"/>
    <s v="V19"/>
    <s v="V19"/>
    <s v="V196-10"/>
    <s v="Umeå"/>
    <m/>
    <m/>
    <m/>
    <n v="100"/>
    <n v="7.5"/>
    <m/>
    <m/>
    <n v="21"/>
    <n v="2.625"/>
    <n v="0.85"/>
    <n v="2.2312499999999997"/>
    <x v="0"/>
    <s v="Pedagogik                     "/>
    <s v="Sam"/>
    <s v="Förskollärarprogrammet"/>
    <n v="23641"/>
    <n v="28786"/>
    <n v="126286.38749999998"/>
    <n v="5800"/>
    <n v="15225"/>
    <n v="141511.38749999998"/>
    <n v="0"/>
    <n v="0"/>
    <n v="0"/>
    <n v="1"/>
    <n v="0"/>
    <n v="0"/>
    <n v="0"/>
    <n v="0"/>
    <n v="0"/>
    <n v="0"/>
    <n v="0"/>
    <n v="0"/>
  </r>
  <r>
    <s v="6PE187"/>
    <s v="Lärande och undervisning"/>
    <m/>
    <s v="LYGFR"/>
    <s v="H19"/>
    <s v="H19"/>
    <s v="H196-10"/>
    <m/>
    <m/>
    <m/>
    <m/>
    <n v="100"/>
    <n v="7.5"/>
    <n v="-0.1"/>
    <n v="25"/>
    <n v="22.5"/>
    <n v="2.8125"/>
    <n v="0.85"/>
    <n v="2.390625"/>
    <x v="0"/>
    <s v="Pedagogik                     "/>
    <s v="Sam"/>
    <s v="Grundlärarprogrammet - fritidshem"/>
    <n v="23641"/>
    <n v="28786"/>
    <n v="135306.84375"/>
    <n v="5800"/>
    <n v="16312.5"/>
    <n v="151619.34375"/>
    <n v="0"/>
    <n v="0"/>
    <n v="0"/>
    <n v="1"/>
    <n v="0"/>
    <n v="0"/>
    <n v="0"/>
    <n v="0"/>
    <n v="0"/>
    <n v="0"/>
    <n v="0"/>
    <n v="0"/>
  </r>
  <r>
    <s v="6PE187"/>
    <s v="Lärande och undervisning"/>
    <m/>
    <s v="LYGFT"/>
    <s v="H14"/>
    <s v="H19"/>
    <s v="H196-10"/>
    <m/>
    <m/>
    <m/>
    <m/>
    <n v="100"/>
    <n v="7.5"/>
    <m/>
    <m/>
    <n v="1"/>
    <n v="0.125"/>
    <n v="0.85"/>
    <n v="0.10625"/>
    <x v="0"/>
    <s v="Pedagogik                     "/>
    <s v="Sam"/>
    <s v="Grundlärarprogrammet - förskoleklass och åk 1-3"/>
    <n v="23641"/>
    <n v="28786"/>
    <n v="6013.6374999999998"/>
    <n v="5800"/>
    <n v="725"/>
    <n v="6738.6374999999998"/>
    <n v="0"/>
    <n v="0"/>
    <n v="0"/>
    <n v="1"/>
    <n v="0"/>
    <n v="0"/>
    <n v="0"/>
    <n v="0"/>
    <n v="0"/>
    <n v="0"/>
    <n v="0"/>
    <n v="0"/>
  </r>
  <r>
    <s v="6PE187"/>
    <s v="Lärande och undervisning"/>
    <m/>
    <s v="LYGFT"/>
    <s v="H18"/>
    <s v="H19"/>
    <s v="H196-10"/>
    <m/>
    <m/>
    <m/>
    <m/>
    <n v="100"/>
    <n v="7.5"/>
    <m/>
    <m/>
    <n v="1"/>
    <n v="0.125"/>
    <n v="0.85"/>
    <n v="0.10625"/>
    <x v="0"/>
    <s v="Pedagogik                     "/>
    <s v="Sam"/>
    <s v="Grundlärarprogrammet - förskoleklass och åk 1-3"/>
    <n v="23641"/>
    <n v="28786"/>
    <n v="6013.6374999999998"/>
    <n v="5800"/>
    <n v="725"/>
    <n v="6738.6374999999998"/>
    <n v="0"/>
    <n v="0"/>
    <n v="0"/>
    <n v="1"/>
    <n v="0"/>
    <n v="0"/>
    <n v="0"/>
    <n v="0"/>
    <n v="0"/>
    <n v="0"/>
    <n v="0"/>
    <n v="0"/>
  </r>
  <r>
    <s v="6PE187"/>
    <s v="Lärande och undervisning"/>
    <m/>
    <s v="LYGFT"/>
    <s v="H19"/>
    <s v="H19"/>
    <s v="H196-10"/>
    <m/>
    <m/>
    <m/>
    <m/>
    <n v="100"/>
    <n v="7.5"/>
    <n v="-0.05"/>
    <n v="51"/>
    <n v="48.45"/>
    <n v="6.0562500000000004"/>
    <n v="0.85"/>
    <n v="5.1478125000000006"/>
    <x v="0"/>
    <s v="Pedagogik                     "/>
    <s v="Sam"/>
    <s v="Grundlärarprogrammet - förskoleklass och åk 1-3"/>
    <n v="23641"/>
    <n v="28786"/>
    <n v="291360.736875"/>
    <n v="5800"/>
    <n v="35126.25"/>
    <n v="326486.986875"/>
    <n v="0"/>
    <n v="0"/>
    <n v="0"/>
    <n v="1"/>
    <n v="0"/>
    <n v="0"/>
    <n v="0"/>
    <n v="0"/>
    <n v="0"/>
    <n v="0"/>
    <n v="0"/>
    <n v="0"/>
  </r>
  <r>
    <s v="6PE187"/>
    <s v="Lärande och undervisning"/>
    <m/>
    <s v="LYGFT"/>
    <s v="V18"/>
    <s v="H19"/>
    <s v="H196-10"/>
    <m/>
    <m/>
    <m/>
    <m/>
    <n v="100"/>
    <n v="7.5"/>
    <m/>
    <m/>
    <n v="1"/>
    <n v="0.125"/>
    <n v="0.85"/>
    <n v="0.10625"/>
    <x v="0"/>
    <s v="Pedagogik                     "/>
    <s v="Sam"/>
    <s v="Grundlärarprogrammet - förskoleklass och åk 1-3"/>
    <n v="23641"/>
    <n v="28786"/>
    <n v="6013.6374999999998"/>
    <n v="5800"/>
    <n v="725"/>
    <n v="6738.6374999999998"/>
    <n v="0"/>
    <n v="0"/>
    <n v="0"/>
    <n v="1"/>
    <n v="0"/>
    <n v="0"/>
    <n v="0"/>
    <n v="0"/>
    <n v="0"/>
    <n v="0"/>
    <n v="0"/>
    <n v="0"/>
  </r>
  <r>
    <s v="6PE187"/>
    <s v="Lärande och undervisning"/>
    <m/>
    <s v="LYGRM"/>
    <s v="H19"/>
    <s v="H19"/>
    <s v="H196-10"/>
    <m/>
    <m/>
    <m/>
    <m/>
    <n v="100"/>
    <n v="7.5"/>
    <n v="-0.08"/>
    <n v="35"/>
    <n v="32.200000000000003"/>
    <n v="4.0250000000000004"/>
    <n v="0.85"/>
    <n v="3.4212500000000001"/>
    <x v="0"/>
    <s v="Pedagogik                     "/>
    <s v="Sam"/>
    <s v="Grundlärarprogrammet - grundskolans åk 4-6"/>
    <n v="23641"/>
    <n v="28786"/>
    <n v="193639.1275"/>
    <n v="5800"/>
    <n v="23345.000000000004"/>
    <n v="216984.1275"/>
    <n v="0"/>
    <n v="0"/>
    <n v="0"/>
    <n v="1"/>
    <n v="0"/>
    <n v="0"/>
    <n v="0"/>
    <n v="0"/>
    <n v="0"/>
    <n v="0"/>
    <n v="0"/>
    <n v="0"/>
  </r>
  <r>
    <s v="6PE192"/>
    <s v="Undervisning och lärande inom det svenska skolsystemet"/>
    <m/>
    <s v="FRIST"/>
    <m/>
    <s v="V19"/>
    <s v="V12-17"/>
    <m/>
    <s v="Campus"/>
    <m/>
    <m/>
    <n v="100"/>
    <n v="7.5"/>
    <m/>
    <m/>
    <n v="2"/>
    <n v="0.25"/>
    <n v="0.8"/>
    <n v="0.2"/>
    <x v="0"/>
    <s v="Pedagogik                     "/>
    <s v="Sam"/>
    <s v="Fristående och övriga kurser"/>
    <n v="20988.2"/>
    <n v="24743.4"/>
    <n v="10195.73"/>
    <n v="3880"/>
    <n v="970"/>
    <n v="11165.73"/>
    <n v="0"/>
    <n v="0"/>
    <n v="0"/>
    <n v="0"/>
    <n v="0"/>
    <n v="0"/>
    <n v="0.2"/>
    <n v="0"/>
    <n v="0.8"/>
    <n v="0"/>
    <n v="0"/>
    <n v="0"/>
  </r>
  <r>
    <s v="6PE192"/>
    <s v="Undervisning och lärande inom det svenska skolsystemet"/>
    <m/>
    <s v="FRIST"/>
    <m/>
    <s v="V19"/>
    <s v="V3-7"/>
    <m/>
    <s v="Campus"/>
    <m/>
    <m/>
    <n v="100"/>
    <n v="7.5"/>
    <m/>
    <m/>
    <n v="8"/>
    <n v="1"/>
    <n v="0.8"/>
    <n v="0.8"/>
    <x v="0"/>
    <s v="Pedagogik                     "/>
    <s v="Sam"/>
    <s v="Fristående och övriga kurser"/>
    <n v="20988.2"/>
    <n v="24743.4"/>
    <n v="40782.92"/>
    <n v="3880"/>
    <n v="3880"/>
    <n v="44662.92"/>
    <n v="0"/>
    <n v="0"/>
    <n v="0"/>
    <n v="0"/>
    <n v="0"/>
    <n v="0"/>
    <n v="0.2"/>
    <n v="0"/>
    <n v="0.8"/>
    <n v="0"/>
    <n v="0"/>
    <n v="0"/>
  </r>
  <r>
    <s v="6PE192"/>
    <s v="Undervisning och lärande inom det svenska skolsystemet"/>
    <m/>
    <s v="FRIST"/>
    <m/>
    <s v="H19"/>
    <m/>
    <m/>
    <s v="Campus"/>
    <m/>
    <m/>
    <n v="100"/>
    <n v="7.5"/>
    <m/>
    <m/>
    <n v="25"/>
    <n v="3.125"/>
    <n v="0.8"/>
    <n v="2.5"/>
    <x v="0"/>
    <s v="Pedagogik                     "/>
    <s v="Sam"/>
    <s v="Fristående och övriga kurser"/>
    <n v="20988.2"/>
    <n v="24743.4"/>
    <n v="127446.625"/>
    <n v="3880"/>
    <n v="12125"/>
    <n v="139571.625"/>
    <n v="0"/>
    <n v="0"/>
    <n v="0"/>
    <n v="0"/>
    <n v="0"/>
    <n v="0"/>
    <n v="0.2"/>
    <n v="0"/>
    <n v="0.8"/>
    <n v="0"/>
    <n v="0"/>
    <n v="0"/>
  </r>
  <r>
    <s v="6PE193"/>
    <s v="Utbildning: Undervisning och lärande i en internationell kontext"/>
    <m/>
    <s v="FRIST"/>
    <m/>
    <s v="V19"/>
    <m/>
    <m/>
    <s v="Campus"/>
    <m/>
    <m/>
    <n v="100"/>
    <n v="7.5"/>
    <m/>
    <m/>
    <n v="16"/>
    <n v="2"/>
    <n v="0.8"/>
    <n v="1.6"/>
    <x v="0"/>
    <s v="Pedagogik                     "/>
    <s v="Sam"/>
    <s v="Fristående och övriga kurser"/>
    <n v="18405"/>
    <n v="15773"/>
    <n v="62046.8"/>
    <n v="5800"/>
    <n v="11600"/>
    <n v="73646.8"/>
    <n v="0"/>
    <n v="0"/>
    <n v="0"/>
    <n v="0"/>
    <n v="0"/>
    <n v="0"/>
    <n v="1"/>
    <n v="0"/>
    <n v="0"/>
    <n v="0"/>
    <n v="0"/>
    <n v="0"/>
  </r>
  <r>
    <s v="6PE193"/>
    <s v="Utbildning: Undervisning och lärande i en internationell kontext"/>
    <m/>
    <s v="FRIST"/>
    <m/>
    <s v="H19"/>
    <m/>
    <m/>
    <s v="Campus"/>
    <m/>
    <m/>
    <n v="100"/>
    <n v="7.5"/>
    <m/>
    <m/>
    <n v="30"/>
    <n v="3.75"/>
    <n v="0.8"/>
    <n v="3"/>
    <x v="0"/>
    <s v="Pedagogik                     "/>
    <s v="Sam"/>
    <s v="Fristående och övriga kurser"/>
    <n v="18405"/>
    <n v="15773"/>
    <n v="116337.75"/>
    <n v="5800"/>
    <n v="21750"/>
    <n v="138087.75"/>
    <n v="0"/>
    <n v="0"/>
    <n v="0"/>
    <n v="0"/>
    <n v="0"/>
    <n v="0"/>
    <n v="1"/>
    <n v="0"/>
    <n v="0"/>
    <n v="0"/>
    <n v="0"/>
    <n v="0"/>
  </r>
  <r>
    <s v="6PE194"/>
    <s v="Demokrati, mänskliga rättigheter och hållbar utveckling: globala perspektiv i utbildning"/>
    <m/>
    <s v="FRIST"/>
    <m/>
    <s v="V19"/>
    <m/>
    <m/>
    <s v="Campus"/>
    <m/>
    <m/>
    <n v="100"/>
    <n v="7.5"/>
    <m/>
    <m/>
    <n v="10"/>
    <n v="1.25"/>
    <n v="0.8"/>
    <n v="1"/>
    <x v="0"/>
    <s v="Pedagogik                     "/>
    <s v="Sam"/>
    <s v="Fristående och övriga kurser"/>
    <n v="18405"/>
    <n v="15773"/>
    <n v="38779.25"/>
    <n v="5800"/>
    <n v="7250"/>
    <n v="46029.25"/>
    <n v="0"/>
    <n v="0"/>
    <n v="0"/>
    <n v="0"/>
    <n v="0"/>
    <n v="0"/>
    <n v="1"/>
    <n v="0"/>
    <n v="0"/>
    <n v="0"/>
    <n v="0"/>
    <n v="0"/>
  </r>
  <r>
    <s v="6PE194"/>
    <s v="Demokrati, mänskliga rättigheter och hållbar utveckling: globala perspektiv i utbildning"/>
    <m/>
    <s v="FRIST"/>
    <m/>
    <s v="V19"/>
    <m/>
    <m/>
    <s v="Distans"/>
    <m/>
    <m/>
    <n v="25"/>
    <n v="7.5"/>
    <m/>
    <m/>
    <n v="18"/>
    <n v="2.25"/>
    <n v="0.8"/>
    <n v="1.8"/>
    <x v="0"/>
    <s v="Pedagogik                     "/>
    <s v="Sam"/>
    <s v="Fristående och övriga kurser"/>
    <n v="18405"/>
    <n v="15773"/>
    <n v="69802.649999999994"/>
    <n v="5800"/>
    <n v="13050"/>
    <n v="82852.649999999994"/>
    <n v="0"/>
    <n v="0"/>
    <n v="0"/>
    <n v="0"/>
    <n v="0"/>
    <n v="0"/>
    <n v="1"/>
    <n v="0"/>
    <n v="0"/>
    <n v="0"/>
    <n v="0"/>
    <n v="0"/>
  </r>
  <r>
    <s v="6PE194"/>
    <s v="Demokrati, mänskliga rättigheter och hållbar utveckling: globala perspektiv i utbildning"/>
    <m/>
    <s v="FRIST"/>
    <m/>
    <s v="H19"/>
    <m/>
    <m/>
    <s v="Campus"/>
    <m/>
    <m/>
    <n v="100"/>
    <n v="7.5"/>
    <m/>
    <m/>
    <n v="30"/>
    <n v="3.75"/>
    <n v="0.8"/>
    <n v="3"/>
    <x v="0"/>
    <s v="Pedagogik                     "/>
    <s v="Sam"/>
    <s v="Fristående och övriga kurser"/>
    <n v="18405"/>
    <n v="15773"/>
    <n v="116337.75"/>
    <n v="5800"/>
    <n v="21750"/>
    <n v="138087.75"/>
    <n v="0"/>
    <n v="0"/>
    <n v="0"/>
    <n v="0"/>
    <n v="0"/>
    <n v="0"/>
    <n v="1"/>
    <n v="0"/>
    <n v="0"/>
    <n v="0"/>
    <n v="0"/>
    <n v="0"/>
  </r>
  <r>
    <s v="6PE195"/>
    <s v="Forskningsdesign och metod inom utbildningsvetenskap"/>
    <m/>
    <s v="FRIST"/>
    <m/>
    <s v="H19"/>
    <m/>
    <m/>
    <s v="Campus"/>
    <m/>
    <m/>
    <n v="100"/>
    <n v="7.5"/>
    <m/>
    <m/>
    <n v="15"/>
    <n v="1.875"/>
    <n v="0.8"/>
    <n v="1.5"/>
    <x v="0"/>
    <s v="Pedagogik                     "/>
    <s v="Sam"/>
    <s v="Fristående och övriga kurser"/>
    <n v="18405"/>
    <n v="15773"/>
    <n v="58168.875"/>
    <n v="5800"/>
    <n v="10875"/>
    <n v="69043.875"/>
    <n v="0"/>
    <n v="0"/>
    <n v="0"/>
    <n v="0"/>
    <n v="0"/>
    <n v="0"/>
    <n v="1"/>
    <n v="0"/>
    <n v="0"/>
    <n v="0"/>
    <n v="0"/>
    <n v="0"/>
  </r>
  <r>
    <s v="6PE198"/>
    <s v="Matematikutveckling och lärande i ett specialpedagogiskt perspektiv"/>
    <m/>
    <s v="LYSPL"/>
    <s v="H17"/>
    <s v="V19"/>
    <s v="V191-5"/>
    <s v="Umeå"/>
    <m/>
    <s v="MAGG"/>
    <m/>
    <n v="100"/>
    <n v="8"/>
    <m/>
    <m/>
    <n v="0"/>
    <n v="0"/>
    <n v="0.85"/>
    <n v="0"/>
    <x v="9"/>
    <s v="NMD"/>
    <s v="TekNat"/>
    <s v="Speciallärarprogrammet"/>
    <n v="19473"/>
    <n v="34806"/>
    <n v="0"/>
    <n v="21800"/>
    <n v="0"/>
    <n v="0"/>
    <n v="0"/>
    <n v="0"/>
    <n v="0"/>
    <n v="0"/>
    <n v="0"/>
    <n v="1"/>
    <n v="0"/>
    <n v="0"/>
    <n v="0"/>
    <n v="0"/>
    <n v="0"/>
    <n v="0"/>
  </r>
  <r>
    <s v="6PE198"/>
    <s v="Matematikutveckling och lärande i ett specialpedagogiskt perspektiv"/>
    <m/>
    <s v="LYSPL"/>
    <s v="H18"/>
    <s v="V19"/>
    <s v="V191-5"/>
    <s v="Umeå"/>
    <m/>
    <s v="MAGG"/>
    <m/>
    <n v="100"/>
    <n v="8"/>
    <m/>
    <m/>
    <n v="8"/>
    <n v="1.0666666666666667"/>
    <n v="0.85"/>
    <n v="0.90666666666666662"/>
    <x v="9"/>
    <s v="NMD"/>
    <s v="TekNat"/>
    <s v="Speciallärarprogrammet"/>
    <n v="19473"/>
    <n v="34806"/>
    <n v="52328.639999999999"/>
    <n v="21800"/>
    <n v="23253.333333333332"/>
    <n v="75581.973333333328"/>
    <n v="0"/>
    <n v="0"/>
    <n v="0"/>
    <n v="0"/>
    <n v="0"/>
    <n v="1"/>
    <n v="0"/>
    <n v="0"/>
    <n v="0"/>
    <n v="0"/>
    <n v="0"/>
    <n v="0"/>
  </r>
  <r>
    <s v="6PE199"/>
    <s v="Identifiering och kartläggning av undervisning och lärande med fokus på elever i behov av särskilda utbildningsinsatser"/>
    <m/>
    <s v="LYSPL"/>
    <s v="H18"/>
    <s v="V19"/>
    <s v="V196-12"/>
    <s v="Umeå"/>
    <m/>
    <s v="MAGG"/>
    <m/>
    <n v="100"/>
    <n v="12"/>
    <m/>
    <m/>
    <n v="8"/>
    <n v="1.6"/>
    <n v="0.85"/>
    <n v="1.36"/>
    <x v="9"/>
    <s v="NMD"/>
    <s v="TekNat"/>
    <s v="Speciallärarprogrammet"/>
    <n v="19473"/>
    <n v="34806"/>
    <n v="78492.960000000006"/>
    <n v="21800"/>
    <n v="34880"/>
    <n v="113372.96"/>
    <n v="0"/>
    <n v="0"/>
    <n v="0"/>
    <n v="0"/>
    <n v="0"/>
    <n v="1"/>
    <n v="0"/>
    <n v="0"/>
    <n v="0"/>
    <n v="0"/>
    <n v="0"/>
    <n v="0"/>
  </r>
  <r>
    <s v="6PE200"/>
    <s v="Stöd och stimulans i arbetet med elever i behov av särskilda utbildningsinsatser"/>
    <m/>
    <s v="LYSPL"/>
    <s v="H18"/>
    <s v="V19"/>
    <s v="V1913-20"/>
    <s v="Umeå"/>
    <m/>
    <s v="MAGG"/>
    <m/>
    <n v="100"/>
    <n v="10"/>
    <m/>
    <m/>
    <n v="8"/>
    <n v="1.3333333333333333"/>
    <n v="0.85"/>
    <n v="1.1333333333333333"/>
    <x v="9"/>
    <s v="NMD"/>
    <s v="TekNat"/>
    <s v="Speciallärarprogrammet"/>
    <n v="19473"/>
    <n v="34806"/>
    <n v="65410.799999999996"/>
    <n v="21800"/>
    <n v="29066.666666666664"/>
    <n v="94477.46666666666"/>
    <n v="0"/>
    <n v="0"/>
    <n v="0"/>
    <n v="0"/>
    <n v="0"/>
    <n v="1"/>
    <n v="0"/>
    <n v="0"/>
    <n v="0"/>
    <n v="0"/>
    <n v="0"/>
    <n v="0"/>
  </r>
  <r>
    <s v="6PE201"/>
    <s v="Läraryrkets dimensioner - ingångsämne idrott och hälsa"/>
    <m/>
    <s v="LYAGR"/>
    <s v="H15"/>
    <s v="V19"/>
    <s v="V191-15"/>
    <s v="Umeå"/>
    <m/>
    <s v="IDRH"/>
    <m/>
    <n v="100"/>
    <n v="22.5"/>
    <m/>
    <m/>
    <n v="1"/>
    <n v="0.375"/>
    <n v="0.85"/>
    <n v="0.31874999999999998"/>
    <x v="0"/>
    <s v="Pedagogik                     "/>
    <s v="Sam"/>
    <s v="Ämneslärarprogrammet - åk 7-9"/>
    <n v="21634"/>
    <n v="26986"/>
    <n v="16714.537499999999"/>
    <n v="3400"/>
    <n v="1275"/>
    <n v="17989.537499999999"/>
    <n v="0"/>
    <n v="0"/>
    <n v="0"/>
    <n v="0"/>
    <n v="0"/>
    <n v="0"/>
    <n v="0"/>
    <n v="0"/>
    <n v="1"/>
    <n v="0"/>
    <n v="0"/>
    <n v="0"/>
  </r>
  <r>
    <s v="6PE201"/>
    <s v="Läraryrkets dimensioner - ingångsämne idrott och hälsa"/>
    <m/>
    <s v="LYAGY"/>
    <s v="H12"/>
    <s v="H19"/>
    <s v="H191-15"/>
    <m/>
    <m/>
    <s v="IDRH"/>
    <m/>
    <n v="100"/>
    <n v="22.5"/>
    <m/>
    <m/>
    <n v="1"/>
    <n v="0.375"/>
    <n v="0.85"/>
    <n v="0.31874999999999998"/>
    <x v="0"/>
    <s v="Pedagogik                     "/>
    <s v="Sam"/>
    <s v="Ämneslärarprogrammet - Gy"/>
    <n v="21634"/>
    <n v="26986"/>
    <n v="16714.537499999999"/>
    <n v="3400"/>
    <n v="1275"/>
    <n v="17989.537499999999"/>
    <n v="0"/>
    <n v="0"/>
    <n v="0"/>
    <n v="0"/>
    <n v="0"/>
    <n v="0"/>
    <n v="0"/>
    <n v="0"/>
    <n v="1"/>
    <n v="0"/>
    <n v="0"/>
    <n v="0"/>
  </r>
  <r>
    <s v="6PE201"/>
    <s v="Läraryrkets dimensioner - ingångsämne idrott och hälsa"/>
    <m/>
    <s v="LYAGY"/>
    <s v="H13"/>
    <s v="H19"/>
    <s v="H191-15"/>
    <m/>
    <m/>
    <s v="IDRH"/>
    <m/>
    <n v="100"/>
    <n v="22.5"/>
    <m/>
    <m/>
    <n v="1"/>
    <n v="0.375"/>
    <n v="0.85"/>
    <n v="0.31874999999999998"/>
    <x v="0"/>
    <s v="Pedagogik                     "/>
    <s v="Sam"/>
    <s v="Ämneslärarprogrammet - Gy"/>
    <n v="21634"/>
    <n v="26986"/>
    <n v="16714.537499999999"/>
    <n v="3400"/>
    <n v="1275"/>
    <n v="17989.537499999999"/>
    <n v="0"/>
    <n v="0"/>
    <n v="0"/>
    <n v="0"/>
    <n v="0"/>
    <n v="0"/>
    <n v="0"/>
    <n v="0"/>
    <n v="1"/>
    <n v="0"/>
    <n v="0"/>
    <n v="0"/>
  </r>
  <r>
    <s v="6PE201"/>
    <s v="Läraryrkets dimensioner - ingångsämne idrott och hälsa"/>
    <m/>
    <s v="LYAGY"/>
    <s v="H15"/>
    <s v="H19"/>
    <s v="H191-15"/>
    <m/>
    <m/>
    <s v="IDRH"/>
    <m/>
    <n v="100"/>
    <n v="22.5"/>
    <m/>
    <m/>
    <n v="9"/>
    <n v="3.375"/>
    <n v="0.85"/>
    <n v="2.8687499999999999"/>
    <x v="0"/>
    <s v="Pedagogik                     "/>
    <s v="Sam"/>
    <s v="Ämneslärarprogrammet - Gy"/>
    <n v="21634"/>
    <n v="26986"/>
    <n v="150430.83749999999"/>
    <n v="3400"/>
    <n v="11475"/>
    <n v="161905.83749999999"/>
    <n v="0"/>
    <n v="0"/>
    <n v="0"/>
    <n v="0"/>
    <n v="0"/>
    <n v="0"/>
    <n v="0"/>
    <n v="0"/>
    <n v="1"/>
    <n v="0"/>
    <n v="0"/>
    <n v="0"/>
  </r>
  <r>
    <s v="6PE201"/>
    <s v="Läraryrkets dimensioner - ingångsämne idrott och hälsa"/>
    <m/>
    <s v="LYAGY"/>
    <s v="H16"/>
    <s v="H19"/>
    <s v="H191-15"/>
    <m/>
    <m/>
    <s v="IDRH"/>
    <m/>
    <n v="100"/>
    <n v="22.5"/>
    <m/>
    <m/>
    <n v="1"/>
    <n v="0.375"/>
    <n v="0.85"/>
    <n v="0.31874999999999998"/>
    <x v="0"/>
    <s v="Pedagogik                     "/>
    <s v="Sam"/>
    <s v="Ämneslärarprogrammet - Gy"/>
    <n v="21634"/>
    <n v="26986"/>
    <n v="16714.537499999999"/>
    <n v="3400"/>
    <n v="1275"/>
    <n v="17989.537499999999"/>
    <n v="0"/>
    <n v="0"/>
    <n v="0"/>
    <n v="0"/>
    <n v="0"/>
    <n v="0"/>
    <n v="0"/>
    <n v="0"/>
    <n v="1"/>
    <n v="0"/>
    <n v="0"/>
    <n v="0"/>
  </r>
  <r>
    <s v="6PE201"/>
    <s v="Läraryrkets dimensioner - ingångsämne idrott och hälsa"/>
    <m/>
    <s v="LYAGY"/>
    <s v="H17"/>
    <s v="H19"/>
    <s v="H191-15"/>
    <m/>
    <m/>
    <s v="IDRH"/>
    <m/>
    <n v="100"/>
    <n v="22.5"/>
    <m/>
    <m/>
    <n v="2"/>
    <n v="0.75"/>
    <n v="0.85"/>
    <n v="0.63749999999999996"/>
    <x v="0"/>
    <s v="Pedagogik                     "/>
    <s v="Sam"/>
    <s v="Ämneslärarprogrammet - Gy"/>
    <n v="21634"/>
    <n v="26986"/>
    <n v="33429.074999999997"/>
    <n v="3400"/>
    <n v="2550"/>
    <n v="35979.074999999997"/>
    <n v="0"/>
    <n v="0"/>
    <n v="0"/>
    <n v="0"/>
    <n v="0"/>
    <n v="0"/>
    <n v="0"/>
    <n v="0"/>
    <n v="1"/>
    <n v="0"/>
    <n v="0"/>
    <n v="0"/>
  </r>
  <r>
    <s v="6PE202"/>
    <s v="Barns lärande och omsorg"/>
    <m/>
    <s v="LYFSK"/>
    <s v="H18"/>
    <s v="V19"/>
    <s v="V191-10"/>
    <s v="Umeå"/>
    <m/>
    <m/>
    <m/>
    <n v="100"/>
    <n v="15"/>
    <m/>
    <m/>
    <n v="50"/>
    <n v="12.5"/>
    <n v="0.85"/>
    <n v="10.625"/>
    <x v="1"/>
    <s v="TUV "/>
    <s v="Sam"/>
    <s v="Förskollärarprogrammet"/>
    <n v="18405"/>
    <n v="15773"/>
    <n v="397650.625"/>
    <n v="5800"/>
    <n v="72500"/>
    <n v="470150.625"/>
    <n v="0"/>
    <n v="0"/>
    <n v="0"/>
    <n v="0"/>
    <n v="0"/>
    <n v="0"/>
    <n v="1"/>
    <n v="0"/>
    <n v="0"/>
    <n v="0"/>
    <n v="0"/>
    <n v="0"/>
  </r>
  <r>
    <s v="6PE202"/>
    <s v="Barns lärande och omsorg"/>
    <m/>
    <s v="LYFSK"/>
    <s v="H19"/>
    <s v="H19"/>
    <s v="H191-10"/>
    <m/>
    <m/>
    <m/>
    <m/>
    <n v="100"/>
    <n v="15"/>
    <m/>
    <m/>
    <n v="1"/>
    <n v="0.25"/>
    <n v="0.85"/>
    <n v="0.21249999999999999"/>
    <x v="1"/>
    <s v="TUV "/>
    <s v="Sam"/>
    <s v="Förskollärarprogrammet"/>
    <n v="18405"/>
    <n v="15773"/>
    <n v="7953.0124999999998"/>
    <n v="5800"/>
    <n v="1450"/>
    <n v="9403.0125000000007"/>
    <n v="0"/>
    <n v="0"/>
    <n v="0"/>
    <n v="0"/>
    <n v="0"/>
    <n v="0"/>
    <n v="1"/>
    <n v="0"/>
    <n v="0"/>
    <n v="0"/>
    <n v="0"/>
    <n v="0"/>
  </r>
  <r>
    <s v="6PE202"/>
    <s v="Barns lärande och omsorg"/>
    <m/>
    <s v="LYFSK"/>
    <s v="V19"/>
    <s v="H19"/>
    <s v="H191-10"/>
    <m/>
    <m/>
    <m/>
    <m/>
    <n v="100"/>
    <n v="15"/>
    <m/>
    <m/>
    <n v="15"/>
    <n v="3.75"/>
    <n v="0.85"/>
    <n v="3.1875"/>
    <x v="1"/>
    <s v="TUV "/>
    <s v="Sam"/>
    <s v="Förskollärarprogrammet"/>
    <n v="18405"/>
    <n v="15773"/>
    <n v="119295.1875"/>
    <n v="5800"/>
    <n v="21750"/>
    <n v="141045.1875"/>
    <n v="0"/>
    <n v="0"/>
    <n v="0"/>
    <n v="0"/>
    <n v="0"/>
    <n v="0"/>
    <n v="1"/>
    <n v="0"/>
    <n v="0"/>
    <n v="0"/>
    <n v="0"/>
    <n v="0"/>
  </r>
  <r>
    <s v="6PE203"/>
    <s v="Förskolans uppdrag och arbetssätt 1"/>
    <m/>
    <s v="LYFSK"/>
    <s v="H18"/>
    <s v="V19"/>
    <s v="V1911-13"/>
    <s v="Umeå"/>
    <m/>
    <m/>
    <m/>
    <n v="100"/>
    <n v="5"/>
    <m/>
    <m/>
    <n v="49"/>
    <n v="4.083333333333333"/>
    <n v="0.85"/>
    <n v="3.4708333333333328"/>
    <x v="1"/>
    <s v="TUV "/>
    <s v="Sam"/>
    <s v="Förskollärarprogrammet"/>
    <n v="18405"/>
    <n v="15773"/>
    <n v="129899.20416666666"/>
    <n v="5800"/>
    <n v="23683.333333333332"/>
    <n v="153582.53750000001"/>
    <n v="0"/>
    <n v="0"/>
    <n v="0"/>
    <n v="0"/>
    <n v="0"/>
    <n v="0"/>
    <n v="1"/>
    <n v="0"/>
    <n v="0"/>
    <n v="0"/>
    <n v="0"/>
    <n v="0"/>
  </r>
  <r>
    <s v="6PE203"/>
    <s v="Förskolans uppdrag och arbetssätt 1"/>
    <m/>
    <s v="LYFSK"/>
    <s v="V19"/>
    <s v="H19"/>
    <s v="H1911-13"/>
    <m/>
    <m/>
    <m/>
    <m/>
    <n v="100"/>
    <n v="5"/>
    <m/>
    <m/>
    <n v="15"/>
    <n v="1.25"/>
    <n v="0.85"/>
    <n v="1.0625"/>
    <x v="1"/>
    <s v="TUV "/>
    <s v="Sam"/>
    <s v="Förskollärarprogrammet"/>
    <n v="18405"/>
    <n v="15773"/>
    <n v="39765.0625"/>
    <n v="5800"/>
    <n v="7250"/>
    <n v="47015.0625"/>
    <n v="0"/>
    <n v="0"/>
    <n v="0"/>
    <n v="0"/>
    <n v="0"/>
    <n v="0"/>
    <n v="1"/>
    <n v="0"/>
    <n v="0"/>
    <n v="0"/>
    <n v="0"/>
    <n v="0"/>
  </r>
  <r>
    <s v="6PE205"/>
    <s v="Läraryrkets dimensioner - ingångsämne Samhällskunskap"/>
    <m/>
    <s v="LYAGR"/>
    <s v="H12"/>
    <s v="V19"/>
    <s v="V191-15"/>
    <s v="Umeå"/>
    <m/>
    <s v="SAMK"/>
    <m/>
    <n v="100"/>
    <n v="22.5"/>
    <m/>
    <m/>
    <n v="1"/>
    <n v="0.375"/>
    <n v="0.85"/>
    <n v="0.31874999999999998"/>
    <x v="0"/>
    <s v="Pedagogik                     "/>
    <s v="Sam"/>
    <s v="Ämneslärarprogrammet - åk 7-9"/>
    <n v="21634"/>
    <n v="26986"/>
    <n v="16714.537499999999"/>
    <n v="3400"/>
    <n v="1275"/>
    <n v="17989.537499999999"/>
    <n v="0"/>
    <n v="0"/>
    <n v="0"/>
    <n v="0"/>
    <n v="0"/>
    <n v="0"/>
    <n v="0"/>
    <n v="0"/>
    <n v="1"/>
    <n v="0"/>
    <n v="0"/>
    <n v="0"/>
  </r>
  <r>
    <s v="6PE205"/>
    <s v="Läraryrkets dimensioner - ingångsämne Samhällskunskap"/>
    <m/>
    <s v="LYAGY"/>
    <s v="H15"/>
    <s v="H19"/>
    <s v="H191-15"/>
    <m/>
    <m/>
    <s v="SAMK"/>
    <m/>
    <n v="100"/>
    <n v="22.5"/>
    <m/>
    <m/>
    <n v="4"/>
    <n v="1.5"/>
    <n v="0.85"/>
    <n v="1.2749999999999999"/>
    <x v="0"/>
    <s v="Pedagogik                     "/>
    <s v="Sam"/>
    <s v="Ämneslärarprogrammet - Gy"/>
    <n v="21634"/>
    <n v="26986"/>
    <n v="66858.149999999994"/>
    <n v="3400"/>
    <n v="5100"/>
    <n v="71958.149999999994"/>
    <n v="0"/>
    <n v="0"/>
    <n v="0"/>
    <n v="0"/>
    <n v="0"/>
    <n v="0"/>
    <n v="0"/>
    <n v="0"/>
    <n v="1"/>
    <n v="0"/>
    <n v="0"/>
    <n v="0"/>
  </r>
  <r>
    <s v="6PE206"/>
    <s v="Handledarutbildning för VFU-handledare, bedömning"/>
    <m/>
    <s v="FRIST"/>
    <m/>
    <s v="V19"/>
    <m/>
    <s v="Umeå"/>
    <s v="DIST"/>
    <m/>
    <m/>
    <n v="25"/>
    <n v="3.5"/>
    <m/>
    <m/>
    <n v="35"/>
    <n v="2.0416666666666665"/>
    <n v="0.85"/>
    <n v="1.7354166666666664"/>
    <x v="9"/>
    <s v="NMD"/>
    <s v="TekNat"/>
    <s v="Fristående och övriga kurser"/>
    <n v="19473"/>
    <n v="34806"/>
    <n v="100160.28749999999"/>
    <n v="21800"/>
    <n v="44508.333333333328"/>
    <n v="144668.62083333332"/>
    <n v="0"/>
    <n v="0"/>
    <n v="0"/>
    <n v="0"/>
    <n v="0"/>
    <n v="1"/>
    <n v="0"/>
    <n v="0"/>
    <n v="0"/>
    <n v="0"/>
    <n v="0"/>
    <n v="0"/>
  </r>
  <r>
    <s v="6PE206"/>
    <s v="Handledarutbildning för VFU-handledare, bedömning"/>
    <m/>
    <s v="FRIST"/>
    <m/>
    <s v="Sommar"/>
    <s v="Sommarkurs"/>
    <m/>
    <s v="Distans"/>
    <m/>
    <m/>
    <n v="25"/>
    <n v="3.5"/>
    <m/>
    <m/>
    <n v="0"/>
    <n v="0"/>
    <n v="0.8"/>
    <n v="0"/>
    <x v="9"/>
    <s v="NMD"/>
    <s v="TekNat"/>
    <s v="Fristående och övriga kurser"/>
    <n v="19473"/>
    <n v="34806"/>
    <n v="0"/>
    <n v="21800"/>
    <n v="0"/>
    <n v="0"/>
    <n v="0"/>
    <n v="0"/>
    <n v="0"/>
    <n v="0"/>
    <n v="0"/>
    <n v="1"/>
    <n v="0"/>
    <n v="0"/>
    <n v="0"/>
    <n v="0"/>
    <n v="0"/>
    <n v="0"/>
  </r>
  <r>
    <s v="6PE206"/>
    <s v="Handledarutbildning för VFU-handledare, bedömning"/>
    <m/>
    <s v="FRIST"/>
    <m/>
    <s v="H19"/>
    <m/>
    <s v="Umeå"/>
    <s v="DIST"/>
    <m/>
    <m/>
    <n v="25"/>
    <n v="3.5"/>
    <m/>
    <m/>
    <n v="40"/>
    <n v="2.3333333333333335"/>
    <n v="0.85"/>
    <n v="1.9833333333333334"/>
    <x v="9"/>
    <s v="NMD"/>
    <s v="TekNat"/>
    <s v="Fristående och övriga kurser"/>
    <n v="19473"/>
    <n v="34806"/>
    <n v="114468.90000000001"/>
    <n v="21800"/>
    <n v="50866.666666666672"/>
    <n v="165335.56666666668"/>
    <n v="0"/>
    <n v="0"/>
    <n v="0"/>
    <n v="0"/>
    <n v="0"/>
    <n v="1"/>
    <n v="0"/>
    <n v="0"/>
    <n v="0"/>
    <n v="0"/>
    <n v="0"/>
    <n v="0"/>
  </r>
  <r>
    <s v="6PE207"/>
    <s v="Att undervisa i fritidshem (VFU)"/>
    <m/>
    <s v="LYGFR"/>
    <s v="H18"/>
    <s v="H19"/>
    <s v="H195-10"/>
    <m/>
    <m/>
    <m/>
    <m/>
    <n v="100"/>
    <n v="7.5"/>
    <m/>
    <m/>
    <n v="26"/>
    <n v="3.25"/>
    <n v="0.85"/>
    <n v="2.7624999999999997"/>
    <x v="1"/>
    <s v="TUV "/>
    <s v="Sam"/>
    <s v="Grundlärarprogrammet - fritidshem"/>
    <n v="21634"/>
    <n v="26986"/>
    <n v="144859.32500000001"/>
    <n v="3400"/>
    <n v="11050"/>
    <n v="155909.32500000001"/>
    <n v="0"/>
    <n v="0"/>
    <n v="0"/>
    <n v="0"/>
    <n v="0"/>
    <n v="0"/>
    <n v="0"/>
    <n v="0"/>
    <n v="1"/>
    <n v="0"/>
    <n v="0"/>
    <n v="0"/>
  </r>
  <r>
    <s v="6PE208"/>
    <s v="Handledarutbildning för VFU-handledare, handledningssamtal"/>
    <m/>
    <s v="FRIST"/>
    <m/>
    <s v="V19"/>
    <m/>
    <s v="Umeå"/>
    <s v="DIST"/>
    <m/>
    <m/>
    <n v="25"/>
    <n v="4"/>
    <m/>
    <m/>
    <n v="35"/>
    <n v="2.3333333333333335"/>
    <n v="0.85"/>
    <n v="1.9833333333333334"/>
    <x v="1"/>
    <s v="TUV "/>
    <s v="Sam"/>
    <s v="Fristående och övriga kurser"/>
    <n v="18405"/>
    <n v="15773"/>
    <n v="74228.116666666669"/>
    <n v="5800"/>
    <n v="13533.333333333334"/>
    <n v="87761.45"/>
    <n v="0"/>
    <n v="0"/>
    <n v="0"/>
    <n v="0"/>
    <n v="0"/>
    <n v="0"/>
    <n v="1"/>
    <n v="0"/>
    <n v="0"/>
    <n v="0"/>
    <n v="0"/>
    <n v="0"/>
  </r>
  <r>
    <s v="6PE208"/>
    <s v="Handledarutbildning för VFU-handledare, handledningssamtal"/>
    <m/>
    <s v="FRIST"/>
    <m/>
    <s v="H19"/>
    <m/>
    <s v="Umeå"/>
    <s v="DIST"/>
    <m/>
    <m/>
    <n v="25"/>
    <n v="4"/>
    <m/>
    <m/>
    <n v="40"/>
    <n v="2.6666666666666665"/>
    <n v="0.85"/>
    <n v="2.2666666666666666"/>
    <x v="1"/>
    <s v="TUV "/>
    <s v="Sam"/>
    <s v="Fristående och övriga kurser"/>
    <n v="18405"/>
    <n v="15773"/>
    <n v="84832.133333333331"/>
    <n v="5800"/>
    <n v="15466.666666666666"/>
    <n v="100298.8"/>
    <n v="0"/>
    <n v="0"/>
    <n v="0"/>
    <n v="0"/>
    <n v="0"/>
    <n v="0"/>
    <n v="1"/>
    <n v="0"/>
    <n v="0"/>
    <n v="0"/>
    <n v="0"/>
    <n v="0"/>
  </r>
  <r>
    <s v="6PE209"/>
    <s v="Verksamhetsförlagd utbildning för yrkeslärare (VFU)"/>
    <m/>
    <s v="LYYRK"/>
    <s v="H15"/>
    <s v="V19"/>
    <s v="H181-20:V191-20"/>
    <s v="Umeå"/>
    <m/>
    <m/>
    <m/>
    <n v="50"/>
    <n v="15"/>
    <m/>
    <m/>
    <n v="0"/>
    <n v="0"/>
    <n v="0.85"/>
    <n v="0"/>
    <x v="0"/>
    <s v="Pedagogik                     "/>
    <s v="Sam"/>
    <s v="Yrkeslärarprogrammet"/>
    <n v="21634"/>
    <n v="26986"/>
    <n v="0"/>
    <n v="3400"/>
    <n v="0"/>
    <n v="0"/>
    <n v="0"/>
    <n v="0"/>
    <n v="0"/>
    <n v="0"/>
    <n v="0"/>
    <n v="0"/>
    <n v="0"/>
    <n v="0"/>
    <n v="1"/>
    <n v="0"/>
    <n v="0"/>
    <n v="0"/>
  </r>
  <r>
    <s v="6PE209"/>
    <s v="Verksamhetsförlagd utbildning för yrkeslärare (VFU)"/>
    <m/>
    <s v="LYYRK"/>
    <s v="H15"/>
    <s v="H19"/>
    <s v="H191-20:V201-20"/>
    <m/>
    <m/>
    <m/>
    <m/>
    <n v="50"/>
    <n v="15"/>
    <m/>
    <m/>
    <n v="1"/>
    <n v="0.25"/>
    <n v="0.85"/>
    <n v="0.21249999999999999"/>
    <x v="0"/>
    <s v="Pedagogik                     "/>
    <s v="Sam"/>
    <s v="Yrkeslärarprogrammet"/>
    <n v="21634"/>
    <n v="26986"/>
    <n v="11143.025"/>
    <n v="3400"/>
    <n v="850"/>
    <n v="11993.025"/>
    <n v="0"/>
    <n v="0"/>
    <n v="0"/>
    <n v="0"/>
    <n v="0"/>
    <n v="0"/>
    <n v="0"/>
    <n v="0"/>
    <n v="1"/>
    <n v="0"/>
    <n v="0"/>
    <n v="0"/>
  </r>
  <r>
    <s v="6PE209"/>
    <s v="Verksamhetsförlagd utbildning för yrkeslärare (VFU)"/>
    <m/>
    <s v="LYYRK"/>
    <s v="H16"/>
    <s v="V19"/>
    <s v="H181-20:V191-20"/>
    <s v="Umeå"/>
    <m/>
    <m/>
    <m/>
    <n v="50"/>
    <n v="15"/>
    <m/>
    <m/>
    <n v="12"/>
    <n v="3"/>
    <n v="0.85"/>
    <n v="2.5499999999999998"/>
    <x v="0"/>
    <s v="Pedagogik                     "/>
    <s v="Sam"/>
    <s v="Yrkeslärarprogrammet"/>
    <n v="21634"/>
    <n v="26986"/>
    <n v="133716.29999999999"/>
    <n v="3400"/>
    <n v="10200"/>
    <n v="143916.29999999999"/>
    <n v="0"/>
    <n v="0"/>
    <n v="0"/>
    <n v="0"/>
    <n v="0"/>
    <n v="0"/>
    <n v="0"/>
    <n v="0"/>
    <n v="1"/>
    <n v="0"/>
    <n v="0"/>
    <n v="0"/>
  </r>
  <r>
    <s v="6PE209"/>
    <s v="Verksamhetsförlagd utbildning för yrkeslärare (VFU)"/>
    <m/>
    <s v="LYYRK"/>
    <s v="H17"/>
    <s v="H19"/>
    <s v="H191-20:V201-20"/>
    <m/>
    <m/>
    <m/>
    <m/>
    <n v="50"/>
    <n v="15"/>
    <m/>
    <m/>
    <n v="24"/>
    <n v="6"/>
    <n v="0.85"/>
    <n v="5.0999999999999996"/>
    <x v="0"/>
    <s v="Pedagogik                     "/>
    <s v="Sam"/>
    <s v="Yrkeslärarprogrammet"/>
    <n v="21634"/>
    <n v="26986"/>
    <n v="267432.59999999998"/>
    <n v="3400"/>
    <n v="20400"/>
    <n v="287832.59999999998"/>
    <n v="0"/>
    <n v="0"/>
    <n v="0"/>
    <n v="0"/>
    <n v="0"/>
    <n v="0"/>
    <n v="0"/>
    <n v="0"/>
    <n v="1"/>
    <n v="0"/>
    <n v="0"/>
    <n v="0"/>
  </r>
  <r>
    <s v="6PE209"/>
    <s v="Verksamhetsförlagd utbildning för yrkeslärare (VFU)"/>
    <m/>
    <s v="LYYRK"/>
    <s v="H18"/>
    <s v="H19"/>
    <s v="H191-20:V201-20"/>
    <m/>
    <m/>
    <m/>
    <m/>
    <n v="50"/>
    <n v="15"/>
    <m/>
    <m/>
    <n v="1"/>
    <n v="0.25"/>
    <n v="0.85"/>
    <n v="0.21249999999999999"/>
    <x v="0"/>
    <s v="Pedagogik                     "/>
    <s v="Sam"/>
    <s v="Yrkeslärarprogrammet"/>
    <n v="21634"/>
    <n v="26986"/>
    <n v="11143.025"/>
    <n v="3400"/>
    <n v="850"/>
    <n v="11993.025"/>
    <n v="0"/>
    <n v="0"/>
    <n v="0"/>
    <n v="0"/>
    <n v="0"/>
    <n v="0"/>
    <n v="0"/>
    <n v="0"/>
    <n v="1"/>
    <n v="0"/>
    <n v="0"/>
    <n v="0"/>
  </r>
  <r>
    <s v="6PE209"/>
    <s v="Verksamhetsförlagd utbildning för yrkeslärare (VFU)"/>
    <m/>
    <s v="LYYRK"/>
    <s v="V19"/>
    <s v="H19"/>
    <s v="H191-20:V201-20"/>
    <m/>
    <m/>
    <m/>
    <m/>
    <n v="50"/>
    <n v="15"/>
    <m/>
    <m/>
    <n v="1"/>
    <n v="0.25"/>
    <n v="0.85"/>
    <n v="0.21249999999999999"/>
    <x v="0"/>
    <s v="Pedagogik                     "/>
    <s v="Sam"/>
    <s v="Yrkeslärarprogrammet"/>
    <n v="21634"/>
    <n v="26986"/>
    <n v="11143.025"/>
    <n v="3400"/>
    <n v="850"/>
    <n v="11993.025"/>
    <n v="0"/>
    <n v="0"/>
    <n v="0"/>
    <n v="0"/>
    <n v="0"/>
    <n v="0"/>
    <n v="0"/>
    <n v="0"/>
    <n v="1"/>
    <n v="0"/>
    <n v="0"/>
    <n v="0"/>
  </r>
  <r>
    <s v="6PE212"/>
    <s v="Examensarbete för grundlärarexamen med inriktning mot förskoleklass och grundskolans år 1-3"/>
    <m/>
    <s v="LYGFT"/>
    <s v="H13"/>
    <s v="V19"/>
    <s v="H1816-20:V191-15"/>
    <s v="Umeå"/>
    <m/>
    <m/>
    <m/>
    <n v="100"/>
    <n v="22.5"/>
    <m/>
    <m/>
    <n v="0"/>
    <n v="0"/>
    <n v="0.85"/>
    <n v="0"/>
    <x v="9"/>
    <s v="NMD"/>
    <s v="TekNat"/>
    <s v="Grundlärarprogrammet - förskoleklass och åk 1-3"/>
    <n v="19473"/>
    <n v="34806"/>
    <n v="0"/>
    <n v="21800"/>
    <n v="0"/>
    <n v="0"/>
    <n v="0"/>
    <n v="0"/>
    <n v="0"/>
    <n v="0"/>
    <n v="0"/>
    <n v="1"/>
    <n v="0"/>
    <n v="0"/>
    <n v="0"/>
    <n v="0"/>
    <n v="0"/>
    <n v="0"/>
  </r>
  <r>
    <s v="6PE212"/>
    <s v="Examensarbete för grundlärarexamen med inriktning mot förskoleklass och grundskolans år 1-3"/>
    <m/>
    <s v="LYGFT"/>
    <s v="H13"/>
    <s v="V19"/>
    <s v="H1816-20:V191-15"/>
    <s v="Umeå"/>
    <m/>
    <m/>
    <m/>
    <n v="100"/>
    <n v="22.5"/>
    <m/>
    <m/>
    <n v="0"/>
    <n v="0"/>
    <n v="0.85"/>
    <n v="0"/>
    <x v="9"/>
    <s v="NMD"/>
    <s v="TekNat"/>
    <s v="Grundlärarprogrammet - förskoleklass och åk 1-3"/>
    <n v="19473"/>
    <n v="34806"/>
    <n v="0"/>
    <n v="21800"/>
    <n v="0"/>
    <n v="0"/>
    <n v="0"/>
    <n v="0"/>
    <n v="0"/>
    <n v="0"/>
    <n v="0"/>
    <n v="1"/>
    <n v="0"/>
    <n v="0"/>
    <n v="0"/>
    <n v="0"/>
    <n v="0"/>
    <n v="0"/>
  </r>
  <r>
    <s v="6PE212"/>
    <s v="Examensarbete för grundlärarexamen med inriktning mot förskoleklass och grundskolans år 1-3"/>
    <m/>
    <s v="LYGFT"/>
    <s v="H14"/>
    <s v="V19"/>
    <s v="H1816-20:V191-15"/>
    <s v="Umeå"/>
    <m/>
    <m/>
    <m/>
    <n v="100"/>
    <n v="22.5"/>
    <m/>
    <m/>
    <n v="1"/>
    <n v="0.375"/>
    <n v="0.85"/>
    <n v="0.31874999999999998"/>
    <x v="9"/>
    <s v="NMD"/>
    <s v="TekNat"/>
    <s v="Grundlärarprogrammet - förskoleklass och åk 1-3"/>
    <n v="19473"/>
    <n v="34806"/>
    <n v="18396.787499999999"/>
    <n v="21800"/>
    <n v="8175"/>
    <n v="26571.787499999999"/>
    <n v="0"/>
    <n v="0"/>
    <n v="0"/>
    <n v="0"/>
    <n v="0"/>
    <n v="1"/>
    <n v="0"/>
    <n v="0"/>
    <n v="0"/>
    <n v="0"/>
    <n v="0"/>
    <n v="0"/>
  </r>
  <r>
    <s v="6PE212"/>
    <s v="Examensarbete för grundlärarexamen med inriktning mot förskoleklass och grundskolans år 1-3"/>
    <m/>
    <s v="LYGFT"/>
    <s v="H15"/>
    <s v="V19"/>
    <s v="H1816-20:V191-15"/>
    <s v="Umeå"/>
    <m/>
    <m/>
    <m/>
    <n v="100"/>
    <n v="22.5"/>
    <m/>
    <m/>
    <n v="46"/>
    <n v="17.25"/>
    <n v="0.85"/>
    <n v="14.6625"/>
    <x v="9"/>
    <s v="NMD"/>
    <s v="TekNat"/>
    <s v="Grundlärarprogrammet - förskoleklass och åk 1-3"/>
    <n v="19473"/>
    <n v="34806"/>
    <n v="846252.22499999998"/>
    <n v="21800"/>
    <n v="376050"/>
    <n v="1222302.2250000001"/>
    <n v="0"/>
    <n v="0"/>
    <n v="0"/>
    <n v="0"/>
    <n v="0"/>
    <n v="1"/>
    <n v="0"/>
    <n v="0"/>
    <n v="0"/>
    <n v="0"/>
    <n v="0"/>
    <n v="0"/>
  </r>
  <r>
    <s v="6PE212"/>
    <s v="Examensarbete för grundlärarexamen med inriktning mot förskoleklass och grundskolans år 1-3"/>
    <m/>
    <s v="LYGFT"/>
    <s v="H15"/>
    <s v="V19"/>
    <s v="H1816-20:V191-15"/>
    <s v="Umeå"/>
    <m/>
    <m/>
    <m/>
    <n v="100"/>
    <n v="22.5"/>
    <m/>
    <m/>
    <n v="1"/>
    <n v="0.375"/>
    <n v="0.85"/>
    <n v="0.31874999999999998"/>
    <x v="9"/>
    <s v="NMD"/>
    <s v="TekNat"/>
    <s v="Grundlärarprogrammet - förskoleklass och åk 1-3"/>
    <n v="19473"/>
    <n v="34806"/>
    <n v="18396.787499999999"/>
    <n v="21800"/>
    <n v="8175"/>
    <n v="26571.787499999999"/>
    <n v="0"/>
    <n v="0"/>
    <n v="0"/>
    <n v="0"/>
    <n v="0"/>
    <n v="1"/>
    <n v="0"/>
    <n v="0"/>
    <n v="0"/>
    <n v="0"/>
    <n v="0"/>
    <n v="0"/>
  </r>
  <r>
    <s v="6PE212"/>
    <s v="Examensarbete för grundlärarexamen med inriktning mot förskoleklass och grundskolans år 1-3"/>
    <m/>
    <s v="LYGFT"/>
    <s v="H16"/>
    <s v="H19"/>
    <s v="H1916-20:V201-15"/>
    <m/>
    <m/>
    <m/>
    <m/>
    <n v="100"/>
    <n v="7.5"/>
    <m/>
    <m/>
    <n v="38"/>
    <n v="4.75"/>
    <n v="0.85"/>
    <n v="4.0374999999999996"/>
    <x v="9"/>
    <s v="NMD"/>
    <s v="TekNat"/>
    <s v="Grundlärarprogrammet - förskoleklass och åk 1-3"/>
    <n v="19473"/>
    <n v="34806"/>
    <n v="233025.97499999998"/>
    <n v="21800"/>
    <n v="103550"/>
    <n v="336575.97499999998"/>
    <n v="0"/>
    <n v="0"/>
    <n v="0"/>
    <n v="0"/>
    <n v="0"/>
    <n v="1"/>
    <n v="0"/>
    <n v="0"/>
    <n v="0"/>
    <n v="0"/>
    <n v="0"/>
    <n v="0"/>
  </r>
  <r>
    <s v="6PE213"/>
    <s v="Examensarbete för grundlärarexamen med inriktning mot grundskolans år 4-6"/>
    <m/>
    <s v="LYGRM"/>
    <s v="H12"/>
    <s v="V19"/>
    <s v="H1816-20:V191-15"/>
    <s v="Umeå"/>
    <m/>
    <m/>
    <m/>
    <n v="100"/>
    <n v="22.5"/>
    <m/>
    <m/>
    <n v="1"/>
    <n v="0.375"/>
    <n v="0.85"/>
    <n v="0.31874999999999998"/>
    <x v="9"/>
    <s v="NMD"/>
    <s v="TekNat"/>
    <s v="Grundlärarprogrammet - grundskolans åk 4-6"/>
    <n v="19473"/>
    <n v="34806"/>
    <n v="18396.787499999999"/>
    <n v="21800"/>
    <n v="8175"/>
    <n v="26571.787499999999"/>
    <n v="0"/>
    <n v="0"/>
    <n v="0"/>
    <n v="0"/>
    <n v="0"/>
    <n v="1"/>
    <n v="0"/>
    <n v="0"/>
    <n v="0"/>
    <n v="0"/>
    <n v="0"/>
    <n v="0"/>
  </r>
  <r>
    <s v="6PE213"/>
    <s v="Examensarbete för grundlärarexamen med inriktning mot grundskolans år 4-6"/>
    <m/>
    <s v="LYGRM"/>
    <s v="H15"/>
    <s v="V19"/>
    <s v="H1816-20:V191-15"/>
    <s v="Umeå"/>
    <m/>
    <m/>
    <m/>
    <n v="100"/>
    <n v="22.5"/>
    <m/>
    <m/>
    <n v="24"/>
    <n v="9"/>
    <n v="0.85"/>
    <n v="7.6499999999999995"/>
    <x v="9"/>
    <s v="NMD"/>
    <s v="TekNat"/>
    <s v="Grundlärarprogrammet - grundskolans åk 4-6"/>
    <n v="19473"/>
    <n v="34806"/>
    <n v="441522.89999999997"/>
    <n v="21800"/>
    <n v="196200"/>
    <n v="637722.89999999991"/>
    <n v="0"/>
    <n v="0"/>
    <n v="0"/>
    <n v="0"/>
    <n v="0"/>
    <n v="1"/>
    <n v="0"/>
    <n v="0"/>
    <n v="0"/>
    <n v="0"/>
    <n v="0"/>
    <n v="0"/>
  </r>
  <r>
    <s v="6PE213"/>
    <s v="Examensarbete för grundlärarexamen med inriktning mot grundskolans år 4-6"/>
    <m/>
    <s v="LYGRM"/>
    <s v="H16"/>
    <s v="V19"/>
    <s v="H1816-20:V191-15"/>
    <s v="Umeå"/>
    <m/>
    <m/>
    <m/>
    <n v="100"/>
    <n v="22.5"/>
    <m/>
    <m/>
    <n v="2"/>
    <n v="0.75"/>
    <n v="0.85"/>
    <n v="0.63749999999999996"/>
    <x v="9"/>
    <s v="NMD"/>
    <s v="TekNat"/>
    <s v="Grundlärarprogrammet - grundskolans åk 4-6"/>
    <n v="19473"/>
    <n v="34806"/>
    <n v="36793.574999999997"/>
    <n v="21800"/>
    <n v="16350"/>
    <n v="53143.574999999997"/>
    <n v="0"/>
    <n v="0"/>
    <n v="0"/>
    <n v="0"/>
    <n v="0"/>
    <n v="1"/>
    <n v="0"/>
    <n v="0"/>
    <n v="0"/>
    <n v="0"/>
    <n v="0"/>
    <n v="0"/>
  </r>
  <r>
    <s v="6PE213"/>
    <s v="Examensarbete för grundlärarexamen med inriktning mot grundskolans år 4-6"/>
    <m/>
    <s v="LYGRM"/>
    <s v="H16"/>
    <s v="H19"/>
    <s v="H1916-20:V201-15"/>
    <m/>
    <m/>
    <m/>
    <m/>
    <n v="100"/>
    <n v="7.5"/>
    <m/>
    <m/>
    <n v="23"/>
    <n v="2.875"/>
    <n v="0.85"/>
    <n v="2.4437500000000001"/>
    <x v="9"/>
    <s v="NMD"/>
    <s v="TekNat"/>
    <s v="Grundlärarprogrammet - grundskolans åk 4-6"/>
    <n v="19473"/>
    <n v="34806"/>
    <n v="141042.03750000001"/>
    <n v="21800"/>
    <n v="62675"/>
    <n v="203717.03750000001"/>
    <n v="0"/>
    <n v="0"/>
    <n v="0"/>
    <n v="0"/>
    <n v="0"/>
    <n v="1"/>
    <n v="0"/>
    <n v="0"/>
    <n v="0"/>
    <n v="0"/>
    <n v="0"/>
    <n v="0"/>
  </r>
  <r>
    <s v="6PE214"/>
    <s v="Undervisning och lärande - läroplansteori och didaktik inklusive VFU (UK och VFU)"/>
    <m/>
    <s v="LYKFO"/>
    <s v="V19"/>
    <s v="V19"/>
    <s v="V194-8"/>
    <s v="Umeå"/>
    <m/>
    <m/>
    <m/>
    <n v="150"/>
    <n v="9"/>
    <m/>
    <m/>
    <n v="14"/>
    <n v="2.1"/>
    <n v="0.85"/>
    <n v="1.7849999999999999"/>
    <x v="0"/>
    <s v="Pedagogik                     "/>
    <s v="Sam"/>
    <s v="KPU - Förhöjd studietakt - utbildningsbidrag"/>
    <n v="23299.809999999998"/>
    <n v="28479.999999999996"/>
    <n v="99766.400999999983"/>
    <n v="5392"/>
    <n v="11323.2"/>
    <n v="111089.60099999998"/>
    <n v="0"/>
    <n v="0"/>
    <n v="0"/>
    <n v="0.83"/>
    <n v="0"/>
    <n v="0"/>
    <n v="0"/>
    <n v="0"/>
    <n v="0.17"/>
    <n v="0"/>
    <n v="0"/>
    <n v="0"/>
  </r>
  <r>
    <s v="6PE214"/>
    <s v="Undervisning och lärande - läroplansteori och didaktik inklusive VFU (UK och VFU)"/>
    <m/>
    <s v="LYKGR"/>
    <s v="H19"/>
    <s v="H19"/>
    <s v="H194-8"/>
    <m/>
    <m/>
    <s v="FHHK"/>
    <m/>
    <n v="150"/>
    <n v="9"/>
    <m/>
    <m/>
    <n v="2"/>
    <n v="0.3"/>
    <n v="0.85"/>
    <n v="0.255"/>
    <x v="0"/>
    <s v="Pedagogik                     "/>
    <s v="Sam"/>
    <s v="KPU - åk 7-9"/>
    <n v="23299.809999999998"/>
    <n v="28479.999999999996"/>
    <n v="14252.342999999999"/>
    <n v="5392"/>
    <n v="1617.6"/>
    <n v="15869.942999999999"/>
    <n v="0"/>
    <n v="0"/>
    <n v="0"/>
    <n v="0.83"/>
    <n v="0"/>
    <n v="0"/>
    <n v="0"/>
    <n v="0"/>
    <n v="0.17"/>
    <n v="0"/>
    <n v="0"/>
    <n v="0"/>
  </r>
  <r>
    <s v="6PE214"/>
    <s v="Undervisning och lärande - läroplansteori och didaktik inklusive VFU (UK och VFU)"/>
    <m/>
    <s v="LYKGR"/>
    <s v="H19"/>
    <s v="H19"/>
    <s v="H194-8"/>
    <m/>
    <m/>
    <s v="FHOV"/>
    <m/>
    <n v="150"/>
    <n v="9"/>
    <m/>
    <m/>
    <n v="11"/>
    <n v="1.65"/>
    <n v="0.85"/>
    <n v="1.4024999999999999"/>
    <x v="0"/>
    <s v="Pedagogik                     "/>
    <s v="Sam"/>
    <s v="KPU - åk 7-9"/>
    <n v="23299.809999999998"/>
    <n v="28479.999999999996"/>
    <n v="78387.886499999993"/>
    <n v="5392"/>
    <n v="8896.7999999999993"/>
    <n v="87284.686499999996"/>
    <n v="0"/>
    <n v="0"/>
    <n v="0"/>
    <n v="0.83"/>
    <n v="0"/>
    <n v="0"/>
    <n v="0"/>
    <n v="0"/>
    <n v="0.17"/>
    <n v="0"/>
    <n v="0"/>
    <n v="0"/>
  </r>
  <r>
    <s v="6PE214"/>
    <s v="Undervisning och lärande - läroplansteori och didaktik inklusive VFU (UK och VFU)"/>
    <m/>
    <s v="LYKGR"/>
    <s v="H19"/>
    <s v="H19"/>
    <s v="H194-8"/>
    <m/>
    <m/>
    <s v="FHSL"/>
    <m/>
    <n v="150"/>
    <n v="9"/>
    <m/>
    <m/>
    <n v="4"/>
    <n v="0.6"/>
    <n v="0.85"/>
    <n v="0.51"/>
    <x v="0"/>
    <s v="Pedagogik                     "/>
    <s v="Sam"/>
    <s v="KPU - åk 7-9"/>
    <n v="23299.809999999998"/>
    <n v="28479.999999999996"/>
    <n v="28504.685999999998"/>
    <n v="5392"/>
    <n v="3235.2"/>
    <n v="31739.885999999999"/>
    <n v="0"/>
    <n v="0"/>
    <n v="0"/>
    <n v="0.83"/>
    <n v="0"/>
    <n v="0"/>
    <n v="0"/>
    <n v="0"/>
    <n v="0.17"/>
    <n v="0"/>
    <n v="0"/>
    <n v="0"/>
  </r>
  <r>
    <s v="6PE214"/>
    <s v="Undervisning och lärande - läroplansteori och didaktik inklusive VFU (UK och VFU)"/>
    <m/>
    <s v="LYKGY"/>
    <s v="H08"/>
    <s v="H19"/>
    <s v="H194-8"/>
    <m/>
    <m/>
    <s v="FHOV"/>
    <m/>
    <n v="150"/>
    <n v="9"/>
    <m/>
    <m/>
    <n v="1"/>
    <n v="0.15"/>
    <n v="0.85"/>
    <n v="0.1275"/>
    <x v="0"/>
    <s v="Pedagogik                     "/>
    <s v="Sam"/>
    <s v="KPU - Gy"/>
    <n v="23299.809999999998"/>
    <n v="28479.999999999996"/>
    <n v="7126.1714999999995"/>
    <n v="5392"/>
    <n v="808.8"/>
    <n v="7934.9714999999997"/>
    <n v="0"/>
    <n v="0"/>
    <n v="0"/>
    <n v="0.83"/>
    <n v="0"/>
    <n v="0"/>
    <n v="0"/>
    <n v="0"/>
    <n v="0.17"/>
    <n v="0"/>
    <n v="0"/>
    <n v="0"/>
  </r>
  <r>
    <s v="6PE214"/>
    <s v="Undervisning och lärande - läroplansteori och didaktik inklusive VFU (UK och VFU)"/>
    <m/>
    <s v="LYKGY"/>
    <s v="H19"/>
    <s v="H19"/>
    <s v="H194-8"/>
    <m/>
    <m/>
    <s v="FHFK"/>
    <m/>
    <n v="150"/>
    <n v="9"/>
    <m/>
    <m/>
    <n v="4"/>
    <n v="0.6"/>
    <n v="0.85"/>
    <n v="0.51"/>
    <x v="0"/>
    <s v="Pedagogik                     "/>
    <s v="Sam"/>
    <s v="KPU - Gy"/>
    <n v="23299.809999999998"/>
    <n v="28479.999999999996"/>
    <n v="28504.685999999998"/>
    <n v="5392"/>
    <n v="3235.2"/>
    <n v="31739.885999999999"/>
    <n v="0"/>
    <n v="0"/>
    <n v="0"/>
    <n v="0.83"/>
    <n v="0"/>
    <n v="0"/>
    <n v="0"/>
    <n v="0"/>
    <n v="0.17"/>
    <n v="0"/>
    <n v="0"/>
    <n v="0"/>
  </r>
  <r>
    <s v="6PE214"/>
    <s v="Undervisning och lärande - läroplansteori och didaktik inklusive VFU (UK och VFU)"/>
    <m/>
    <s v="LYKGY"/>
    <s v="H19"/>
    <s v="H19"/>
    <s v="H194-8"/>
    <m/>
    <m/>
    <s v="FHOV"/>
    <m/>
    <n v="150"/>
    <n v="9"/>
    <m/>
    <m/>
    <n v="18"/>
    <n v="2.6999999999999997"/>
    <n v="0.85"/>
    <n v="2.2949999999999999"/>
    <x v="0"/>
    <s v="Pedagogik                     "/>
    <s v="Sam"/>
    <s v="KPU - Gy"/>
    <n v="23299.809999999998"/>
    <n v="28479.999999999996"/>
    <n v="128271.08699999997"/>
    <n v="5392"/>
    <n v="14558.399999999998"/>
    <n v="142829.48699999996"/>
    <n v="0"/>
    <n v="0"/>
    <n v="0"/>
    <n v="0.83"/>
    <n v="0"/>
    <n v="0"/>
    <n v="0"/>
    <n v="0"/>
    <n v="0.17"/>
    <n v="0"/>
    <n v="0"/>
    <n v="0"/>
  </r>
  <r>
    <s v="6PE214"/>
    <s v="Undervisning och lärande - läroplansteori och didaktik inklusive VFU (UK och VFU)"/>
    <m/>
    <s v="LYKGY"/>
    <s v="H19"/>
    <s v="H19"/>
    <s v="H194-8"/>
    <m/>
    <m/>
    <s v="GYFH"/>
    <m/>
    <n v="150"/>
    <n v="9"/>
    <m/>
    <m/>
    <n v="2"/>
    <n v="0.3"/>
    <n v="0.85"/>
    <n v="0.255"/>
    <x v="0"/>
    <s v="Pedagogik                     "/>
    <s v="Sam"/>
    <s v="KPU - Gy"/>
    <n v="23299.809999999998"/>
    <n v="28479.999999999996"/>
    <n v="14252.342999999999"/>
    <n v="5392"/>
    <n v="1617.6"/>
    <n v="15869.942999999999"/>
    <n v="0"/>
    <n v="0"/>
    <n v="0"/>
    <n v="0.83"/>
    <n v="0"/>
    <n v="0"/>
    <n v="0"/>
    <n v="0"/>
    <n v="0.17"/>
    <n v="0"/>
    <n v="0"/>
    <n v="0"/>
  </r>
  <r>
    <s v="6PE216"/>
    <s v="Bedömning (UK)"/>
    <m/>
    <s v="LYKFO"/>
    <s v="V19"/>
    <s v="V19"/>
    <s v="V1915-17"/>
    <s v="Umeå"/>
    <m/>
    <m/>
    <m/>
    <n v="100"/>
    <n v="7.5"/>
    <m/>
    <m/>
    <n v="14"/>
    <n v="1.75"/>
    <n v="0.85"/>
    <n v="1.4875"/>
    <x v="9"/>
    <s v="NMD"/>
    <s v="TekNat"/>
    <s v="KPU - Förhöjd studietakt - utbildningsbidrag"/>
    <n v="23641"/>
    <n v="28786"/>
    <n v="84190.925000000003"/>
    <n v="5800"/>
    <n v="10150"/>
    <n v="94340.925000000003"/>
    <n v="0"/>
    <n v="0"/>
    <n v="0"/>
    <n v="1"/>
    <n v="0"/>
    <n v="0"/>
    <n v="0"/>
    <n v="0"/>
    <n v="0"/>
    <n v="0"/>
    <n v="0"/>
    <n v="0"/>
  </r>
  <r>
    <s v="6PE216"/>
    <s v="Bedömning (UK)"/>
    <m/>
    <s v="LYKGR"/>
    <s v="H19"/>
    <s v="H19"/>
    <s v="H1915-17"/>
    <m/>
    <m/>
    <s v="FHHK"/>
    <m/>
    <n v="150"/>
    <n v="7.5"/>
    <m/>
    <m/>
    <n v="2"/>
    <n v="0.25"/>
    <n v="0.85"/>
    <n v="0.21249999999999999"/>
    <x v="9"/>
    <s v="NMD"/>
    <s v="TekNat"/>
    <s v="KPU - åk 7-9"/>
    <n v="23641"/>
    <n v="28786"/>
    <n v="12027.275"/>
    <n v="5800"/>
    <n v="1450"/>
    <n v="13477.275"/>
    <n v="0"/>
    <n v="0"/>
    <n v="0"/>
    <n v="1"/>
    <n v="0"/>
    <n v="0"/>
    <n v="0"/>
    <n v="0"/>
    <n v="0"/>
    <n v="0"/>
    <n v="0"/>
    <n v="0"/>
  </r>
  <r>
    <s v="6PE216"/>
    <s v="Bedömning (UK)"/>
    <m/>
    <s v="LYKGR"/>
    <s v="H19"/>
    <s v="H19"/>
    <s v="H1915-17"/>
    <m/>
    <m/>
    <s v="FHOV"/>
    <m/>
    <n v="150"/>
    <n v="7.5"/>
    <m/>
    <m/>
    <n v="12"/>
    <n v="1.5"/>
    <n v="0.85"/>
    <n v="1.2749999999999999"/>
    <x v="9"/>
    <s v="NMD"/>
    <s v="TekNat"/>
    <s v="KPU - åk 7-9"/>
    <n v="23641"/>
    <n v="28786"/>
    <n v="72163.649999999994"/>
    <n v="5800"/>
    <n v="8700"/>
    <n v="80863.649999999994"/>
    <n v="0"/>
    <n v="0"/>
    <n v="0"/>
    <n v="1"/>
    <n v="0"/>
    <n v="0"/>
    <n v="0"/>
    <n v="0"/>
    <n v="0"/>
    <n v="0"/>
    <n v="0"/>
    <n v="0"/>
  </r>
  <r>
    <s v="6PE216"/>
    <s v="Bedömning (UK)"/>
    <m/>
    <s v="LYKGR"/>
    <s v="H19"/>
    <s v="H19"/>
    <s v="H1915-17"/>
    <m/>
    <m/>
    <s v="FHSL"/>
    <m/>
    <n v="150"/>
    <n v="7.5"/>
    <m/>
    <m/>
    <n v="4"/>
    <n v="0.5"/>
    <n v="0.85"/>
    <n v="0.42499999999999999"/>
    <x v="9"/>
    <s v="NMD"/>
    <s v="TekNat"/>
    <s v="KPU - åk 7-9"/>
    <n v="23641"/>
    <n v="28786"/>
    <n v="24054.55"/>
    <n v="5800"/>
    <n v="2900"/>
    <n v="26954.55"/>
    <n v="0"/>
    <n v="0"/>
    <n v="0"/>
    <n v="1"/>
    <n v="0"/>
    <n v="0"/>
    <n v="0"/>
    <n v="0"/>
    <n v="0"/>
    <n v="0"/>
    <n v="0"/>
    <n v="0"/>
  </r>
  <r>
    <s v="6PE216"/>
    <s v="Bedömning (UK)"/>
    <m/>
    <s v="LYKGY"/>
    <s v="H08"/>
    <s v="H19"/>
    <s v="H1915-17"/>
    <m/>
    <m/>
    <s v="FHOV"/>
    <m/>
    <n v="150"/>
    <n v="7.5"/>
    <m/>
    <m/>
    <n v="1"/>
    <n v="0.125"/>
    <n v="0.85"/>
    <n v="0.10625"/>
    <x v="9"/>
    <s v="NMD"/>
    <s v="TekNat"/>
    <s v="KPU - Gy"/>
    <n v="23641"/>
    <n v="28786"/>
    <n v="6013.6374999999998"/>
    <n v="5800"/>
    <n v="725"/>
    <n v="6738.6374999999998"/>
    <n v="0"/>
    <n v="0"/>
    <n v="0"/>
    <n v="1"/>
    <n v="0"/>
    <n v="0"/>
    <n v="0"/>
    <n v="0"/>
    <n v="0"/>
    <n v="0"/>
    <n v="0"/>
    <n v="0"/>
  </r>
  <r>
    <s v="6PE216"/>
    <s v="Bedömning (UK)"/>
    <m/>
    <s v="LYKGY"/>
    <s v="H19"/>
    <s v="H19"/>
    <s v="H1915-17"/>
    <m/>
    <m/>
    <s v="FHFK"/>
    <m/>
    <n v="150"/>
    <n v="7.5"/>
    <m/>
    <m/>
    <n v="4"/>
    <n v="0.5"/>
    <n v="0.85"/>
    <n v="0.42499999999999999"/>
    <x v="9"/>
    <s v="NMD"/>
    <s v="TekNat"/>
    <s v="KPU - Gy"/>
    <n v="23641"/>
    <n v="28786"/>
    <n v="24054.55"/>
    <n v="5800"/>
    <n v="2900"/>
    <n v="26954.55"/>
    <n v="0"/>
    <n v="0"/>
    <n v="0"/>
    <n v="1"/>
    <n v="0"/>
    <n v="0"/>
    <n v="0"/>
    <n v="0"/>
    <n v="0"/>
    <n v="0"/>
    <n v="0"/>
    <n v="0"/>
  </r>
  <r>
    <s v="6PE216"/>
    <s v="Bedömning (UK)"/>
    <m/>
    <s v="LYKGY"/>
    <s v="H19"/>
    <s v="H19"/>
    <s v="H1915-17"/>
    <m/>
    <m/>
    <s v="FHOV"/>
    <m/>
    <n v="150"/>
    <n v="7.5"/>
    <m/>
    <m/>
    <n v="18"/>
    <n v="2.25"/>
    <n v="0.85"/>
    <n v="1.9124999999999999"/>
    <x v="9"/>
    <s v="NMD"/>
    <s v="TekNat"/>
    <s v="KPU - Gy"/>
    <n v="23641"/>
    <n v="28786"/>
    <n v="108245.47500000001"/>
    <n v="5800"/>
    <n v="13050"/>
    <n v="121295.47500000001"/>
    <n v="0"/>
    <n v="0"/>
    <n v="0"/>
    <n v="1"/>
    <n v="0"/>
    <n v="0"/>
    <n v="0"/>
    <n v="0"/>
    <n v="0"/>
    <n v="0"/>
    <n v="0"/>
    <n v="0"/>
  </r>
  <r>
    <s v="6PE216"/>
    <s v="Bedömning (UK)"/>
    <m/>
    <s v="LYKGY"/>
    <s v="H19"/>
    <s v="H19"/>
    <s v="H1915-17"/>
    <m/>
    <m/>
    <s v="GYFH"/>
    <m/>
    <n v="150"/>
    <n v="7.5"/>
    <m/>
    <m/>
    <n v="2"/>
    <n v="0.25"/>
    <n v="0.85"/>
    <n v="0.21249999999999999"/>
    <x v="9"/>
    <s v="NMD"/>
    <s v="TekNat"/>
    <s v="KPU - Gy"/>
    <n v="23641"/>
    <n v="28786"/>
    <n v="12027.275"/>
    <n v="5800"/>
    <n v="1450"/>
    <n v="13477.275"/>
    <n v="0"/>
    <n v="0"/>
    <n v="0"/>
    <n v="1"/>
    <n v="0"/>
    <n v="0"/>
    <n v="0"/>
    <n v="0"/>
    <n v="0"/>
    <n v="0"/>
    <n v="0"/>
    <n v="0"/>
  </r>
  <r>
    <s v="6PE218"/>
    <s v="Utbildningens villkor och samhälleliga funktion (UK)"/>
    <m/>
    <s v="LYKFO"/>
    <s v="V19"/>
    <s v="V19"/>
    <s v="V191-3"/>
    <s v="Umeå"/>
    <m/>
    <m/>
    <m/>
    <n v="100"/>
    <n v="7.5"/>
    <m/>
    <m/>
    <n v="16"/>
    <n v="2"/>
    <n v="0.85"/>
    <n v="1.7"/>
    <x v="1"/>
    <s v="TUV "/>
    <s v="Sam"/>
    <s v="KPU - Förhöjd studietakt - utbildningsbidrag"/>
    <n v="23641"/>
    <n v="28786"/>
    <n v="96218.2"/>
    <n v="5800"/>
    <n v="11600"/>
    <n v="107818.2"/>
    <n v="0"/>
    <n v="0"/>
    <n v="0"/>
    <n v="1"/>
    <n v="0"/>
    <n v="0"/>
    <n v="0"/>
    <n v="0"/>
    <n v="0"/>
    <n v="0"/>
    <n v="0"/>
    <n v="0"/>
  </r>
  <r>
    <s v="6PE218"/>
    <s v="Utbildningens villkor och samhälleliga funktion (UK)"/>
    <m/>
    <s v="LYKGR"/>
    <s v="H19"/>
    <s v="H19"/>
    <s v="H191-3"/>
    <m/>
    <m/>
    <s v="FHHK"/>
    <m/>
    <n v="150"/>
    <n v="7.5"/>
    <m/>
    <m/>
    <n v="2"/>
    <n v="0.25"/>
    <n v="0.85"/>
    <n v="0.21249999999999999"/>
    <x v="1"/>
    <s v="TUV "/>
    <s v="Sam"/>
    <s v="KPU - åk 7-9"/>
    <n v="23641"/>
    <n v="28786"/>
    <n v="12027.275"/>
    <n v="5800"/>
    <n v="1450"/>
    <n v="13477.275"/>
    <n v="0"/>
    <n v="0"/>
    <n v="0"/>
    <n v="1"/>
    <n v="0"/>
    <n v="0"/>
    <n v="0"/>
    <n v="0"/>
    <n v="0"/>
    <n v="0"/>
    <n v="0"/>
    <n v="0"/>
  </r>
  <r>
    <s v="6PE218"/>
    <s v="Utbildningens villkor och samhälleliga funktion (UK)"/>
    <m/>
    <s v="LYKGR"/>
    <s v="H19"/>
    <s v="H19"/>
    <s v="H191-3"/>
    <m/>
    <m/>
    <s v="FHOV"/>
    <m/>
    <n v="150"/>
    <n v="7.5"/>
    <m/>
    <m/>
    <n v="11"/>
    <n v="1.375"/>
    <n v="0.85"/>
    <n v="1.16875"/>
    <x v="1"/>
    <s v="TUV "/>
    <s v="Sam"/>
    <s v="KPU - åk 7-9"/>
    <n v="23641"/>
    <n v="28786"/>
    <n v="66150.012499999997"/>
    <n v="5800"/>
    <n v="7975"/>
    <n v="74125.012499999997"/>
    <n v="0"/>
    <n v="0"/>
    <n v="0"/>
    <n v="1"/>
    <n v="0"/>
    <n v="0"/>
    <n v="0"/>
    <n v="0"/>
    <n v="0"/>
    <n v="0"/>
    <n v="0"/>
    <n v="0"/>
  </r>
  <r>
    <s v="6PE218"/>
    <s v="Utbildningens villkor och samhälleliga funktion (UK)"/>
    <m/>
    <s v="LYKGR"/>
    <s v="H19"/>
    <s v="H19"/>
    <s v="H191-3"/>
    <m/>
    <m/>
    <s v="FHSL"/>
    <m/>
    <n v="150"/>
    <n v="7.5"/>
    <m/>
    <m/>
    <n v="4"/>
    <n v="0.5"/>
    <n v="0.85"/>
    <n v="0.42499999999999999"/>
    <x v="1"/>
    <s v="TUV "/>
    <s v="Sam"/>
    <s v="KPU - åk 7-9"/>
    <n v="23641"/>
    <n v="28786"/>
    <n v="24054.55"/>
    <n v="5800"/>
    <n v="2900"/>
    <n v="26954.55"/>
    <n v="0"/>
    <n v="0"/>
    <n v="0"/>
    <n v="1"/>
    <n v="0"/>
    <n v="0"/>
    <n v="0"/>
    <n v="0"/>
    <n v="0"/>
    <n v="0"/>
    <n v="0"/>
    <n v="0"/>
  </r>
  <r>
    <s v="6PE218"/>
    <s v="Utbildningens villkor och samhälleliga funktion (UK)"/>
    <m/>
    <s v="LYKGY"/>
    <s v="H08"/>
    <s v="H19"/>
    <s v="H191-3"/>
    <m/>
    <m/>
    <s v="FHOV"/>
    <m/>
    <n v="150"/>
    <n v="7.5"/>
    <m/>
    <m/>
    <n v="1"/>
    <n v="0.125"/>
    <n v="0.85"/>
    <n v="0.10625"/>
    <x v="1"/>
    <s v="TUV "/>
    <s v="Sam"/>
    <s v="KPU - Gy"/>
    <n v="23641"/>
    <n v="28786"/>
    <n v="6013.6374999999998"/>
    <n v="5800"/>
    <n v="725"/>
    <n v="6738.6374999999998"/>
    <n v="0"/>
    <n v="0"/>
    <n v="0"/>
    <n v="1"/>
    <n v="0"/>
    <n v="0"/>
    <n v="0"/>
    <n v="0"/>
    <n v="0"/>
    <n v="0"/>
    <n v="0"/>
    <n v="0"/>
  </r>
  <r>
    <s v="6PE218"/>
    <s v="Utbildningens villkor och samhälleliga funktion (UK)"/>
    <m/>
    <s v="LYKGY"/>
    <s v="H19"/>
    <s v="H19"/>
    <s v="H191-3"/>
    <m/>
    <m/>
    <s v="FHFK"/>
    <m/>
    <n v="150"/>
    <n v="7.5"/>
    <m/>
    <m/>
    <n v="4"/>
    <n v="0.5"/>
    <n v="0.85"/>
    <n v="0.42499999999999999"/>
    <x v="1"/>
    <s v="TUV "/>
    <s v="Sam"/>
    <s v="KPU - Gy"/>
    <n v="23641"/>
    <n v="28786"/>
    <n v="24054.55"/>
    <n v="5800"/>
    <n v="2900"/>
    <n v="26954.55"/>
    <n v="0"/>
    <n v="0"/>
    <n v="0"/>
    <n v="1"/>
    <n v="0"/>
    <n v="0"/>
    <n v="0"/>
    <n v="0"/>
    <n v="0"/>
    <n v="0"/>
    <n v="0"/>
    <n v="0"/>
  </r>
  <r>
    <s v="6PE218"/>
    <s v="Utbildningens villkor och samhälleliga funktion (UK)"/>
    <m/>
    <s v="LYKGY"/>
    <s v="H19"/>
    <s v="H19"/>
    <s v="H191-3"/>
    <m/>
    <m/>
    <s v="FHOV"/>
    <m/>
    <n v="150"/>
    <n v="7.5"/>
    <m/>
    <m/>
    <n v="17"/>
    <n v="2.125"/>
    <n v="0.85"/>
    <n v="1.8062499999999999"/>
    <x v="1"/>
    <s v="TUV "/>
    <s v="Sam"/>
    <s v="KPU - Gy"/>
    <n v="23641"/>
    <n v="28786"/>
    <n v="102231.83749999999"/>
    <n v="5800"/>
    <n v="12325"/>
    <n v="114556.83749999999"/>
    <n v="0"/>
    <n v="0"/>
    <n v="0"/>
    <n v="1"/>
    <n v="0"/>
    <n v="0"/>
    <n v="0"/>
    <n v="0"/>
    <n v="0"/>
    <n v="0"/>
    <n v="0"/>
    <n v="0"/>
  </r>
  <r>
    <s v="6PE218"/>
    <s v="Utbildningens villkor och samhälleliga funktion (UK)"/>
    <m/>
    <s v="LYKGY"/>
    <s v="H19"/>
    <s v="H19"/>
    <s v="H191-3"/>
    <m/>
    <m/>
    <s v="GYFH"/>
    <m/>
    <n v="150"/>
    <n v="7.5"/>
    <m/>
    <m/>
    <n v="1"/>
    <n v="0.125"/>
    <n v="0.85"/>
    <n v="0.10625"/>
    <x v="1"/>
    <s v="TUV "/>
    <s v="Sam"/>
    <s v="KPU - Gy"/>
    <n v="23641"/>
    <n v="28786"/>
    <n v="6013.6374999999998"/>
    <n v="5800"/>
    <n v="725"/>
    <n v="6738.6374999999998"/>
    <n v="0"/>
    <n v="0"/>
    <n v="0"/>
    <n v="1"/>
    <n v="0"/>
    <n v="0"/>
    <n v="0"/>
    <n v="0"/>
    <n v="0"/>
    <n v="0"/>
    <n v="0"/>
    <n v="0"/>
  </r>
  <r>
    <s v="6PE219"/>
    <s v="Den professionella läraren 1: Barns utveckling, specialpedagogik, sociala relationer och kommunikation (UK)"/>
    <m/>
    <s v="LYKFO"/>
    <s v="V19"/>
    <s v="V19"/>
    <s v="V199-11"/>
    <s v="Umeå"/>
    <m/>
    <m/>
    <m/>
    <n v="100"/>
    <n v="7.5"/>
    <m/>
    <m/>
    <n v="14"/>
    <n v="1.75"/>
    <n v="0.85"/>
    <n v="1.4875"/>
    <x v="1"/>
    <s v="TUV "/>
    <s v="Sam"/>
    <s v="KPU - Förhöjd studietakt - utbildningsbidrag"/>
    <n v="23641"/>
    <n v="28786"/>
    <n v="84190.925000000003"/>
    <n v="5800"/>
    <n v="10150"/>
    <n v="94340.925000000003"/>
    <n v="0"/>
    <n v="0"/>
    <n v="0"/>
    <n v="1"/>
    <n v="0"/>
    <n v="0"/>
    <n v="0"/>
    <n v="0"/>
    <n v="0"/>
    <n v="0"/>
    <n v="0"/>
    <n v="0"/>
  </r>
  <r>
    <s v="6PE219"/>
    <s v="Den professionella läraren 1: Barns utveckling, specialpedagogik, sociala relationer och kommunikation (UK)"/>
    <m/>
    <s v="LYKGR"/>
    <s v="H19"/>
    <s v="H19"/>
    <s v="H199-11"/>
    <m/>
    <m/>
    <s v="FHHK"/>
    <m/>
    <n v="150"/>
    <n v="7.5"/>
    <m/>
    <m/>
    <n v="2"/>
    <n v="0.25"/>
    <n v="0.85"/>
    <n v="0.21249999999999999"/>
    <x v="1"/>
    <s v="TUV "/>
    <s v="Sam"/>
    <s v="KPU - åk 7-9"/>
    <n v="23641"/>
    <n v="28786"/>
    <n v="12027.275"/>
    <n v="5800"/>
    <n v="1450"/>
    <n v="13477.275"/>
    <n v="0"/>
    <n v="0"/>
    <n v="0"/>
    <n v="1"/>
    <n v="0"/>
    <n v="0"/>
    <n v="0"/>
    <n v="0"/>
    <n v="0"/>
    <n v="0"/>
    <n v="0"/>
    <n v="0"/>
  </r>
  <r>
    <s v="6PE219"/>
    <s v="Den professionella läraren 1: Barns utveckling, specialpedagogik, sociala relationer och kommunikation (UK)"/>
    <m/>
    <s v="LYKGR"/>
    <s v="H19"/>
    <s v="H19"/>
    <s v="H199-11"/>
    <m/>
    <m/>
    <s v="FHOV"/>
    <m/>
    <n v="150"/>
    <n v="7.5"/>
    <m/>
    <m/>
    <n v="11"/>
    <n v="1.375"/>
    <n v="0.85"/>
    <n v="1.16875"/>
    <x v="1"/>
    <s v="TUV "/>
    <s v="Sam"/>
    <s v="KPU - åk 7-9"/>
    <n v="23641"/>
    <n v="28786"/>
    <n v="66150.012499999997"/>
    <n v="5800"/>
    <n v="7975"/>
    <n v="74125.012499999997"/>
    <n v="0"/>
    <n v="0"/>
    <n v="0"/>
    <n v="1"/>
    <n v="0"/>
    <n v="0"/>
    <n v="0"/>
    <n v="0"/>
    <n v="0"/>
    <n v="0"/>
    <n v="0"/>
    <n v="0"/>
  </r>
  <r>
    <s v="6PE219"/>
    <s v="Den professionella läraren 1: Barns utveckling, specialpedagogik, sociala relationer och kommunikation (UK)"/>
    <m/>
    <s v="LYKGR"/>
    <s v="H19"/>
    <s v="H19"/>
    <s v="H199-11"/>
    <m/>
    <m/>
    <s v="FHSL"/>
    <m/>
    <n v="150"/>
    <n v="7.5"/>
    <m/>
    <m/>
    <n v="4"/>
    <n v="0.5"/>
    <n v="0.85"/>
    <n v="0.42499999999999999"/>
    <x v="1"/>
    <s v="TUV "/>
    <s v="Sam"/>
    <s v="KPU - åk 7-9"/>
    <n v="23641"/>
    <n v="28786"/>
    <n v="24054.55"/>
    <n v="5800"/>
    <n v="2900"/>
    <n v="26954.55"/>
    <n v="0"/>
    <n v="0"/>
    <n v="0"/>
    <n v="1"/>
    <n v="0"/>
    <n v="0"/>
    <n v="0"/>
    <n v="0"/>
    <n v="0"/>
    <n v="0"/>
    <n v="0"/>
    <n v="0"/>
  </r>
  <r>
    <s v="6PE219"/>
    <s v="Den professionella läraren 1: Barns utveckling, specialpedagogik, sociala relationer och kommunikation (UK)"/>
    <m/>
    <s v="LYKGY"/>
    <s v="H08"/>
    <s v="H19"/>
    <s v="H199-11"/>
    <m/>
    <m/>
    <s v="FHOV"/>
    <m/>
    <n v="150"/>
    <n v="7.5"/>
    <m/>
    <m/>
    <n v="1"/>
    <n v="0.125"/>
    <n v="0.85"/>
    <n v="0.10625"/>
    <x v="1"/>
    <s v="TUV "/>
    <s v="Sam"/>
    <s v="KPU - Gy"/>
    <n v="23641"/>
    <n v="28786"/>
    <n v="6013.6374999999998"/>
    <n v="5800"/>
    <n v="725"/>
    <n v="6738.6374999999998"/>
    <n v="0"/>
    <n v="0"/>
    <n v="0"/>
    <n v="1"/>
    <n v="0"/>
    <n v="0"/>
    <n v="0"/>
    <n v="0"/>
    <n v="0"/>
    <n v="0"/>
    <n v="0"/>
    <n v="0"/>
  </r>
  <r>
    <s v="6PE219"/>
    <s v="Den professionella läraren 1: Barns utveckling, specialpedagogik, sociala relationer och kommunikation (UK)"/>
    <m/>
    <s v="LYKGY"/>
    <s v="H19"/>
    <s v="H19"/>
    <s v="H199-11"/>
    <m/>
    <m/>
    <s v="FHFK"/>
    <m/>
    <n v="150"/>
    <n v="7.5"/>
    <m/>
    <m/>
    <n v="4"/>
    <n v="0.5"/>
    <n v="0.85"/>
    <n v="0.42499999999999999"/>
    <x v="1"/>
    <s v="TUV "/>
    <s v="Sam"/>
    <s v="KPU - Gy"/>
    <n v="23641"/>
    <n v="28786"/>
    <n v="24054.55"/>
    <n v="5800"/>
    <n v="2900"/>
    <n v="26954.55"/>
    <n v="0"/>
    <n v="0"/>
    <n v="0"/>
    <n v="1"/>
    <n v="0"/>
    <n v="0"/>
    <n v="0"/>
    <n v="0"/>
    <n v="0"/>
    <n v="0"/>
    <n v="0"/>
    <n v="0"/>
  </r>
  <r>
    <s v="6PE219"/>
    <s v="Den professionella läraren 1: Barns utveckling, specialpedagogik, sociala relationer och kommunikation (UK)"/>
    <m/>
    <s v="LYKGY"/>
    <s v="H19"/>
    <s v="H19"/>
    <s v="H199-11"/>
    <m/>
    <m/>
    <s v="FHOV"/>
    <m/>
    <n v="150"/>
    <n v="7.5"/>
    <m/>
    <m/>
    <n v="18"/>
    <n v="2.25"/>
    <n v="0.85"/>
    <n v="1.9124999999999999"/>
    <x v="1"/>
    <s v="TUV "/>
    <s v="Sam"/>
    <s v="KPU - Gy"/>
    <n v="23641"/>
    <n v="28786"/>
    <n v="108245.47500000001"/>
    <n v="5800"/>
    <n v="13050"/>
    <n v="121295.47500000001"/>
    <n v="0"/>
    <n v="0"/>
    <n v="0"/>
    <n v="1"/>
    <n v="0"/>
    <n v="0"/>
    <n v="0"/>
    <n v="0"/>
    <n v="0"/>
    <n v="0"/>
    <n v="0"/>
    <n v="0"/>
  </r>
  <r>
    <s v="6PE219"/>
    <s v="Den professionella läraren 1: Barns utveckling, specialpedagogik, sociala relationer och kommunikation (UK)"/>
    <m/>
    <s v="LYKGY"/>
    <s v="H19"/>
    <s v="H19"/>
    <s v="H199-11"/>
    <m/>
    <m/>
    <s v="GYFH"/>
    <m/>
    <n v="150"/>
    <n v="7.5"/>
    <m/>
    <m/>
    <n v="2"/>
    <n v="0.25"/>
    <n v="0.85"/>
    <n v="0.21249999999999999"/>
    <x v="1"/>
    <s v="TUV "/>
    <s v="Sam"/>
    <s v="KPU - Gy"/>
    <n v="23641"/>
    <n v="28786"/>
    <n v="12027.275"/>
    <n v="5800"/>
    <n v="1450"/>
    <n v="13477.275"/>
    <n v="0"/>
    <n v="0"/>
    <n v="0"/>
    <n v="1"/>
    <n v="0"/>
    <n v="0"/>
    <n v="0"/>
    <n v="0"/>
    <n v="0"/>
    <n v="0"/>
    <n v="0"/>
    <n v="0"/>
  </r>
  <r>
    <s v="6PE220"/>
    <s v="Utbildningsvetenskap, undervisning och lärande för förskolan (UK)"/>
    <m/>
    <s v="LYFSK"/>
    <s v="H16"/>
    <s v="V19"/>
    <s v="V198-12"/>
    <s v="Umeå"/>
    <m/>
    <m/>
    <m/>
    <n v="100"/>
    <n v="8"/>
    <m/>
    <m/>
    <n v="1"/>
    <n v="0.13333333333333333"/>
    <n v="0.85"/>
    <n v="0.11333333333333333"/>
    <x v="1"/>
    <s v="TUV "/>
    <s v="Sam"/>
    <s v="Förskollärarprogrammet"/>
    <n v="23641"/>
    <n v="28786"/>
    <n v="6414.5466666666662"/>
    <n v="5800"/>
    <n v="773.33333333333337"/>
    <n v="7187.8799999999992"/>
    <n v="0"/>
    <n v="0"/>
    <n v="0"/>
    <n v="1"/>
    <n v="0"/>
    <n v="0"/>
    <n v="0"/>
    <n v="0"/>
    <n v="0"/>
    <n v="0"/>
    <n v="0"/>
    <n v="0"/>
  </r>
  <r>
    <s v="6PE220"/>
    <s v="Utbildningsvetenskap, undervisning och lärande för förskolan (UK)"/>
    <m/>
    <s v="LYFSK"/>
    <s v="H17"/>
    <s v="V19"/>
    <s v="V198-12"/>
    <s v="Umeå"/>
    <m/>
    <m/>
    <m/>
    <n v="100"/>
    <n v="8"/>
    <m/>
    <m/>
    <n v="31"/>
    <n v="4.1333333333333329"/>
    <n v="0.85"/>
    <n v="3.5133333333333328"/>
    <x v="1"/>
    <s v="TUV "/>
    <s v="Sam"/>
    <s v="Förskollärarprogrammet"/>
    <n v="23641"/>
    <n v="28786"/>
    <n v="198850.94666666663"/>
    <n v="5800"/>
    <n v="23973.333333333332"/>
    <n v="222824.27999999997"/>
    <n v="0"/>
    <n v="0"/>
    <n v="0"/>
    <n v="1"/>
    <n v="0"/>
    <n v="0"/>
    <n v="0"/>
    <n v="0"/>
    <n v="0"/>
    <n v="0"/>
    <n v="0"/>
    <n v="0"/>
  </r>
  <r>
    <s v="6PE220"/>
    <s v="Utbildningsvetenskap, undervisning och lärande för förskolan (UK)"/>
    <m/>
    <s v="LYFSK"/>
    <s v="H17"/>
    <s v="H19"/>
    <s v="H198-12"/>
    <m/>
    <m/>
    <m/>
    <m/>
    <n v="100"/>
    <n v="8"/>
    <m/>
    <m/>
    <n v="4"/>
    <n v="0.53333333333333333"/>
    <n v="0.85"/>
    <n v="0.45333333333333331"/>
    <x v="1"/>
    <s v="TUV "/>
    <s v="Sam"/>
    <s v="Förskollärarprogrammet"/>
    <n v="23641"/>
    <n v="28786"/>
    <n v="25658.186666666665"/>
    <n v="5800"/>
    <n v="3093.3333333333335"/>
    <n v="28751.519999999997"/>
    <n v="0"/>
    <n v="0"/>
    <n v="0"/>
    <n v="1"/>
    <n v="0"/>
    <n v="0"/>
    <n v="0"/>
    <n v="0"/>
    <n v="0"/>
    <n v="0"/>
    <n v="0"/>
    <n v="0"/>
  </r>
  <r>
    <s v="6PE220"/>
    <s v="Utbildningsvetenskap, undervisning och lärande för förskolan (UK)"/>
    <m/>
    <s v="LYFSK"/>
    <s v="V17"/>
    <s v="V19"/>
    <s v="V198-12"/>
    <s v="Umeå"/>
    <m/>
    <m/>
    <m/>
    <n v="100"/>
    <n v="8"/>
    <m/>
    <m/>
    <n v="3"/>
    <n v="0.4"/>
    <n v="0.85"/>
    <n v="0.34"/>
    <x v="1"/>
    <s v="TUV "/>
    <s v="Sam"/>
    <s v="Förskollärarprogrammet"/>
    <n v="23641"/>
    <n v="28786"/>
    <n v="19243.64"/>
    <n v="5800"/>
    <n v="2320"/>
    <n v="21563.64"/>
    <n v="0"/>
    <n v="0"/>
    <n v="0"/>
    <n v="1"/>
    <n v="0"/>
    <n v="0"/>
    <n v="0"/>
    <n v="0"/>
    <n v="0"/>
    <n v="0"/>
    <n v="0"/>
    <n v="0"/>
  </r>
  <r>
    <s v="6PE220"/>
    <s v="Utbildningsvetenskap, undervisning och lärande för förskolan (UK)"/>
    <m/>
    <s v="LYFSK"/>
    <s v="V18"/>
    <s v="H19"/>
    <s v="H198-12"/>
    <s v="Umeå"/>
    <m/>
    <m/>
    <m/>
    <n v="100"/>
    <n v="8"/>
    <m/>
    <m/>
    <n v="23"/>
    <n v="3.0666666666666664"/>
    <n v="0.85"/>
    <n v="2.6066666666666665"/>
    <x v="1"/>
    <s v="TUV "/>
    <s v="Sam"/>
    <s v="Förskollärarprogrammet"/>
    <n v="23641"/>
    <n v="28786"/>
    <n v="147534.57333333333"/>
    <n v="5800"/>
    <n v="17786.666666666664"/>
    <n v="165321.24"/>
    <n v="0"/>
    <n v="0"/>
    <n v="0"/>
    <n v="1"/>
    <n v="0"/>
    <n v="0"/>
    <n v="0"/>
    <n v="0"/>
    <n v="0"/>
    <n v="0"/>
    <n v="0"/>
    <n v="0"/>
  </r>
  <r>
    <s v="6PE220"/>
    <s v="Utbildningsvetenskap, undervisning och lärande för förskolan (UK)"/>
    <m/>
    <s v="LYFSK"/>
    <s v="V18"/>
    <s v="H19"/>
    <s v="H198-12"/>
    <s v="Ö-vik"/>
    <m/>
    <m/>
    <m/>
    <n v="100"/>
    <n v="8"/>
    <m/>
    <m/>
    <n v="16"/>
    <n v="2.1333333333333333"/>
    <n v="0.85"/>
    <n v="1.8133333333333332"/>
    <x v="1"/>
    <s v="TUV "/>
    <s v="Sam"/>
    <s v="Förskollärarprogrammet"/>
    <n v="23641"/>
    <n v="28786"/>
    <n v="102632.74666666666"/>
    <n v="5800"/>
    <n v="12373.333333333334"/>
    <n v="115006.07999999999"/>
    <n v="0"/>
    <n v="0"/>
    <n v="0"/>
    <n v="1"/>
    <n v="0"/>
    <n v="0"/>
    <n v="0"/>
    <n v="0"/>
    <n v="0"/>
    <n v="0"/>
    <n v="0"/>
    <n v="0"/>
  </r>
  <r>
    <s v="6PE221"/>
    <s v="Specialpedagogik för förskolan (UK)"/>
    <m/>
    <s v="LYFSK"/>
    <s v="H16"/>
    <s v="V19"/>
    <s v="V1913-16"/>
    <s v="Umeå"/>
    <m/>
    <m/>
    <m/>
    <n v="100"/>
    <n v="6"/>
    <m/>
    <m/>
    <n v="1"/>
    <n v="0.1"/>
    <n v="0.85"/>
    <n v="8.5000000000000006E-2"/>
    <x v="1"/>
    <s v="TUV "/>
    <s v="Sam"/>
    <s v="Förskollärarprogrammet"/>
    <n v="23641"/>
    <n v="28786"/>
    <n v="4810.91"/>
    <n v="5800"/>
    <n v="580"/>
    <n v="5390.91"/>
    <n v="0"/>
    <n v="0"/>
    <n v="0"/>
    <n v="1"/>
    <n v="0"/>
    <n v="0"/>
    <n v="0"/>
    <n v="0"/>
    <n v="0"/>
    <n v="0"/>
    <n v="0"/>
    <n v="0"/>
  </r>
  <r>
    <s v="6PE221"/>
    <s v="Specialpedagogik för förskolan (UK)"/>
    <m/>
    <s v="LYFSK"/>
    <s v="H17"/>
    <s v="V19"/>
    <s v="V1913-16"/>
    <s v="Umeå"/>
    <m/>
    <m/>
    <m/>
    <n v="100"/>
    <n v="6"/>
    <m/>
    <m/>
    <n v="34"/>
    <n v="3.4000000000000004"/>
    <n v="0.85"/>
    <n v="2.89"/>
    <x v="1"/>
    <s v="TUV "/>
    <s v="Sam"/>
    <s v="Förskollärarprogrammet"/>
    <n v="23641"/>
    <n v="28786"/>
    <n v="163570.94"/>
    <n v="5800"/>
    <n v="19720.000000000004"/>
    <n v="183290.94"/>
    <n v="0"/>
    <n v="0"/>
    <n v="0"/>
    <n v="1"/>
    <n v="0"/>
    <n v="0"/>
    <n v="0"/>
    <n v="0"/>
    <n v="0"/>
    <n v="0"/>
    <n v="0"/>
    <n v="0"/>
  </r>
  <r>
    <s v="6PE221"/>
    <s v="Specialpedagogik för förskolan (UK)"/>
    <m/>
    <s v="LYFSK"/>
    <s v="H17"/>
    <s v="H19"/>
    <s v="H1913-16"/>
    <m/>
    <m/>
    <m/>
    <m/>
    <n v="100"/>
    <n v="6"/>
    <m/>
    <m/>
    <n v="4"/>
    <n v="0.4"/>
    <n v="0.85"/>
    <n v="0.34"/>
    <x v="1"/>
    <s v="TUV "/>
    <s v="Sam"/>
    <s v="Förskollärarprogrammet"/>
    <n v="23641"/>
    <n v="28786"/>
    <n v="19243.64"/>
    <n v="5800"/>
    <n v="2320"/>
    <n v="21563.64"/>
    <n v="0"/>
    <n v="0"/>
    <n v="0"/>
    <n v="1"/>
    <n v="0"/>
    <n v="0"/>
    <n v="0"/>
    <n v="0"/>
    <n v="0"/>
    <n v="0"/>
    <n v="0"/>
    <n v="0"/>
  </r>
  <r>
    <s v="6PE221"/>
    <s v="Specialpedagogik för förskolan (UK)"/>
    <m/>
    <s v="LYFSK"/>
    <s v="V18"/>
    <s v="H19"/>
    <s v="H1913-16"/>
    <s v="Umeå"/>
    <m/>
    <m/>
    <m/>
    <n v="100"/>
    <n v="6"/>
    <m/>
    <m/>
    <n v="23"/>
    <n v="2.3000000000000003"/>
    <n v="0.85"/>
    <n v="1.9550000000000001"/>
    <x v="1"/>
    <s v="TUV "/>
    <s v="Sam"/>
    <s v="Förskollärarprogrammet"/>
    <n v="23641"/>
    <n v="28786"/>
    <n v="110650.93000000001"/>
    <n v="5800"/>
    <n v="13340.000000000002"/>
    <n v="123990.93000000001"/>
    <n v="0"/>
    <n v="0"/>
    <n v="0"/>
    <n v="1"/>
    <n v="0"/>
    <n v="0"/>
    <n v="0"/>
    <n v="0"/>
    <n v="0"/>
    <n v="0"/>
    <n v="0"/>
    <n v="0"/>
  </r>
  <r>
    <s v="6PE221"/>
    <s v="Specialpedagogik för förskolan (UK)"/>
    <m/>
    <s v="LYFSK"/>
    <s v="V18"/>
    <s v="H19"/>
    <s v="H1913-16"/>
    <s v="Ö-vik"/>
    <m/>
    <m/>
    <m/>
    <n v="100"/>
    <n v="6"/>
    <m/>
    <m/>
    <n v="16"/>
    <n v="1.6"/>
    <n v="0.85"/>
    <n v="1.36"/>
    <x v="1"/>
    <s v="TUV "/>
    <s v="Sam"/>
    <s v="Förskollärarprogrammet"/>
    <n v="23641"/>
    <n v="28786"/>
    <n v="76974.559999999998"/>
    <n v="5800"/>
    <n v="9280"/>
    <n v="86254.56"/>
    <n v="0"/>
    <n v="0"/>
    <n v="0"/>
    <n v="1"/>
    <n v="0"/>
    <n v="0"/>
    <n v="0"/>
    <n v="0"/>
    <n v="0"/>
    <n v="0"/>
    <n v="0"/>
    <n v="0"/>
  </r>
  <r>
    <s v="6PE222"/>
    <s v="Specialpedagogik för grundskolan (UK)"/>
    <m/>
    <s v="FRIST"/>
    <m/>
    <s v="V19"/>
    <m/>
    <m/>
    <s v="Campus"/>
    <m/>
    <m/>
    <n v="100"/>
    <n v="5"/>
    <m/>
    <m/>
    <n v="3"/>
    <n v="0.25"/>
    <n v="0.8"/>
    <n v="0.2"/>
    <x v="0"/>
    <s v="Pedagogik                     "/>
    <s v="Sam"/>
    <s v="Fristående och övriga kurser"/>
    <n v="23641"/>
    <n v="28786"/>
    <n v="11667.45"/>
    <n v="5800"/>
    <n v="1450"/>
    <n v="13117.45"/>
    <n v="0"/>
    <n v="0"/>
    <n v="0"/>
    <n v="1"/>
    <n v="0"/>
    <n v="0"/>
    <n v="0"/>
    <n v="0"/>
    <n v="0"/>
    <n v="0"/>
    <n v="0"/>
    <n v="0"/>
  </r>
  <r>
    <s v="6PE222"/>
    <s v="Specialpedagogik för grundskolan (UK)"/>
    <m/>
    <s v="LYGFR"/>
    <s v="H17"/>
    <s v="H19"/>
    <s v="H1913-15"/>
    <m/>
    <m/>
    <m/>
    <m/>
    <n v="100"/>
    <n v="5"/>
    <m/>
    <m/>
    <n v="14"/>
    <n v="1.1666666666666665"/>
    <n v="0.85"/>
    <n v="0.99166666666666647"/>
    <x v="0"/>
    <s v="Pedagogik                     "/>
    <s v="Sam"/>
    <s v="Grundlärarprogrammet - fritidshem"/>
    <n v="23641"/>
    <n v="28786"/>
    <n v="56127.283333333326"/>
    <n v="5800"/>
    <n v="6766.6666666666661"/>
    <n v="62893.94999999999"/>
    <n v="0"/>
    <n v="0"/>
    <n v="0"/>
    <n v="1"/>
    <n v="0"/>
    <n v="0"/>
    <n v="0"/>
    <n v="0"/>
    <n v="0"/>
    <n v="0"/>
    <n v="0"/>
    <n v="0"/>
  </r>
  <r>
    <s v="6PE222"/>
    <s v="Specialpedagogik för grundskolan (UK)"/>
    <m/>
    <s v="LYGFT"/>
    <s v="H17"/>
    <s v="V19"/>
    <s v="V1918-20"/>
    <s v="Umeå"/>
    <m/>
    <m/>
    <m/>
    <n v="100"/>
    <n v="5"/>
    <m/>
    <m/>
    <n v="1"/>
    <n v="8.3333333333333329E-2"/>
    <n v="0.85"/>
    <n v="7.0833333333333331E-2"/>
    <x v="0"/>
    <s v="Pedagogik                     "/>
    <s v="Sam"/>
    <s v="Grundlärarprogrammet - förskoleklass och åk 1-3"/>
    <n v="23641"/>
    <n v="28786"/>
    <n v="4009.0916666666662"/>
    <n v="5800"/>
    <n v="483.33333333333331"/>
    <n v="4492.4249999999993"/>
    <n v="0"/>
    <n v="0"/>
    <n v="0"/>
    <n v="1"/>
    <n v="0"/>
    <n v="0"/>
    <n v="0"/>
    <n v="0"/>
    <n v="0"/>
    <n v="0"/>
    <n v="0"/>
    <n v="0"/>
  </r>
  <r>
    <s v="6PE222"/>
    <s v="Specialpedagogik för grundskolan (UK)"/>
    <m/>
    <s v="LYGFT"/>
    <s v="H17"/>
    <s v="V19"/>
    <s v="V1918-20"/>
    <s v="Umeå"/>
    <m/>
    <m/>
    <m/>
    <n v="100"/>
    <n v="5"/>
    <m/>
    <m/>
    <n v="33"/>
    <n v="2.75"/>
    <n v="0.85"/>
    <n v="2.3374999999999999"/>
    <x v="0"/>
    <s v="Pedagogik                     "/>
    <s v="Sam"/>
    <s v="Grundlärarprogrammet - förskoleklass och åk 1-3"/>
    <n v="23641"/>
    <n v="28786"/>
    <n v="132300.02499999999"/>
    <n v="5800"/>
    <n v="15950"/>
    <n v="148250.02499999999"/>
    <n v="0"/>
    <n v="0"/>
    <n v="0"/>
    <n v="1"/>
    <n v="0"/>
    <n v="0"/>
    <n v="0"/>
    <n v="0"/>
    <n v="0"/>
    <n v="0"/>
    <n v="0"/>
    <n v="0"/>
  </r>
  <r>
    <s v="6PE222"/>
    <s v="Specialpedagogik för grundskolan (UK)"/>
    <m/>
    <s v="LYGRM"/>
    <s v="H12"/>
    <s v="V19"/>
    <s v="V1918-20"/>
    <s v="Umeå"/>
    <m/>
    <m/>
    <m/>
    <n v="100"/>
    <n v="5"/>
    <m/>
    <m/>
    <n v="1"/>
    <n v="8.3333333333333329E-2"/>
    <n v="0.85"/>
    <n v="7.0833333333333331E-2"/>
    <x v="0"/>
    <s v="Pedagogik                     "/>
    <s v="Sam"/>
    <s v="Grundlärarprogrammet - grundskolans åk 4-6"/>
    <n v="23641"/>
    <n v="28786"/>
    <n v="4009.0916666666662"/>
    <n v="5800"/>
    <n v="483.33333333333331"/>
    <n v="4492.4249999999993"/>
    <n v="0"/>
    <n v="0"/>
    <n v="0"/>
    <n v="1"/>
    <n v="0"/>
    <n v="0"/>
    <n v="0"/>
    <n v="0"/>
    <n v="0"/>
    <n v="0"/>
    <n v="0"/>
    <n v="0"/>
  </r>
  <r>
    <s v="6PE222"/>
    <s v="Specialpedagogik för grundskolan (UK)"/>
    <m/>
    <s v="LYGRM"/>
    <s v="H16"/>
    <s v="V19"/>
    <s v="V1918-20"/>
    <s v="Umeå"/>
    <m/>
    <m/>
    <m/>
    <n v="100"/>
    <n v="5"/>
    <m/>
    <m/>
    <n v="1"/>
    <n v="8.3333333333333329E-2"/>
    <n v="0.85"/>
    <n v="7.0833333333333331E-2"/>
    <x v="0"/>
    <s v="Pedagogik                     "/>
    <s v="Sam"/>
    <s v="Grundlärarprogrammet - grundskolans åk 4-6"/>
    <n v="23641"/>
    <n v="28786"/>
    <n v="4009.0916666666662"/>
    <n v="5800"/>
    <n v="483.33333333333331"/>
    <n v="4492.4249999999993"/>
    <n v="0"/>
    <n v="0"/>
    <n v="0"/>
    <n v="1"/>
    <n v="0"/>
    <n v="0"/>
    <n v="0"/>
    <n v="0"/>
    <n v="0"/>
    <n v="0"/>
    <n v="0"/>
    <n v="0"/>
  </r>
  <r>
    <s v="6PE222"/>
    <s v="Specialpedagogik för grundskolan (UK)"/>
    <m/>
    <s v="LYGRM"/>
    <s v="H17"/>
    <s v="V19"/>
    <s v="V1918-20"/>
    <s v="Umeå"/>
    <m/>
    <m/>
    <m/>
    <n v="100"/>
    <n v="5"/>
    <m/>
    <m/>
    <n v="32"/>
    <n v="2.6666666666666665"/>
    <n v="0.85"/>
    <n v="2.2666666666666666"/>
    <x v="0"/>
    <s v="Pedagogik                     "/>
    <s v="Sam"/>
    <s v="Grundlärarprogrammet - grundskolans åk 4-6"/>
    <n v="23641"/>
    <n v="28786"/>
    <n v="128290.93333333332"/>
    <n v="5800"/>
    <n v="15466.666666666666"/>
    <n v="143757.59999999998"/>
    <n v="0"/>
    <n v="0"/>
    <n v="0"/>
    <n v="1"/>
    <n v="0"/>
    <n v="0"/>
    <n v="0"/>
    <n v="0"/>
    <n v="0"/>
    <n v="0"/>
    <n v="0"/>
    <n v="0"/>
  </r>
  <r>
    <s v="6PE223"/>
    <s v="Specialpedagogik - åk 7-9 och gymnasieskolan (UK)"/>
    <m/>
    <s v="FRIST"/>
    <m/>
    <s v="H19"/>
    <m/>
    <m/>
    <s v="Campus"/>
    <m/>
    <m/>
    <n v="100"/>
    <n v="5"/>
    <m/>
    <m/>
    <n v="5"/>
    <n v="0.41666666666666663"/>
    <n v="0.8"/>
    <n v="0.33333333333333331"/>
    <x v="0"/>
    <s v="Pedagogik                     "/>
    <s v="Sam"/>
    <s v="Fristående och övriga kurser"/>
    <n v="23641"/>
    <n v="28786"/>
    <n v="19445.75"/>
    <n v="5800"/>
    <n v="2416.6666666666665"/>
    <n v="21862.416666666668"/>
    <n v="0"/>
    <n v="0"/>
    <n v="0"/>
    <n v="1"/>
    <n v="0"/>
    <n v="0"/>
    <n v="0"/>
    <n v="0"/>
    <n v="0"/>
    <n v="0"/>
    <n v="0"/>
    <n v="0"/>
  </r>
  <r>
    <s v="6PE223"/>
    <s v="Specialpedagogik - åk 7-9 och gymnasieskolan (UK)"/>
    <m/>
    <s v="LYAGR"/>
    <s v="H17"/>
    <s v="H19"/>
    <s v="H1917-20"/>
    <m/>
    <m/>
    <s v="TXBI"/>
    <m/>
    <n v="100"/>
    <n v="5"/>
    <m/>
    <m/>
    <n v="4"/>
    <n v="0.33333333333333331"/>
    <n v="0.85"/>
    <n v="0.28333333333333333"/>
    <x v="0"/>
    <s v="Pedagogik                     "/>
    <s v="Sam"/>
    <s v="Ämneslärarprogrammet - åk 7-9"/>
    <n v="23641"/>
    <n v="28786"/>
    <n v="16036.366666666665"/>
    <n v="5800"/>
    <n v="1933.3333333333333"/>
    <n v="17969.699999999997"/>
    <n v="0"/>
    <n v="0"/>
    <n v="0"/>
    <n v="1"/>
    <n v="0"/>
    <n v="0"/>
    <n v="0"/>
    <n v="0"/>
    <n v="0"/>
    <n v="0"/>
    <n v="0"/>
    <n v="0"/>
  </r>
  <r>
    <s v="6PE223"/>
    <s v="Specialpedagogik - åk 7-9 och gymnasieskolan (UK)"/>
    <m/>
    <s v="LYAGY"/>
    <s v="H15"/>
    <s v="H19"/>
    <s v="H1917-20"/>
    <m/>
    <m/>
    <s v="ENGS"/>
    <m/>
    <n v="100"/>
    <n v="5"/>
    <m/>
    <m/>
    <n v="1"/>
    <n v="8.3333333333333329E-2"/>
    <n v="0.85"/>
    <n v="7.0833333333333331E-2"/>
    <x v="0"/>
    <s v="Pedagogik                     "/>
    <s v="Sam"/>
    <s v="Ämneslärarprogrammet - Gy"/>
    <n v="23641"/>
    <n v="28786"/>
    <n v="4009.0916666666662"/>
    <n v="5800"/>
    <n v="483.33333333333331"/>
    <n v="4492.4249999999993"/>
    <n v="0"/>
    <n v="0"/>
    <n v="0"/>
    <n v="1"/>
    <n v="0"/>
    <n v="0"/>
    <n v="0"/>
    <n v="0"/>
    <n v="0"/>
    <n v="0"/>
    <n v="0"/>
    <n v="0"/>
  </r>
  <r>
    <s v="6PE223"/>
    <s v="Specialpedagogik - åk 7-9 och gymnasieskolan (UK)"/>
    <m/>
    <s v="LYAGY"/>
    <s v="H15"/>
    <s v="H19"/>
    <s v="H1917-20"/>
    <m/>
    <m/>
    <s v="MATT"/>
    <m/>
    <n v="100"/>
    <n v="5"/>
    <m/>
    <m/>
    <n v="2"/>
    <n v="0.16666666666666666"/>
    <n v="0.85"/>
    <n v="0.14166666666666666"/>
    <x v="0"/>
    <s v="Pedagogik                     "/>
    <s v="Sam"/>
    <s v="Ämneslärarprogrammet - Gy"/>
    <n v="23641"/>
    <n v="28786"/>
    <n v="8018.1833333333325"/>
    <n v="5800"/>
    <n v="966.66666666666663"/>
    <n v="8984.8499999999985"/>
    <n v="0"/>
    <n v="0"/>
    <n v="0"/>
    <n v="1"/>
    <n v="0"/>
    <n v="0"/>
    <n v="0"/>
    <n v="0"/>
    <n v="0"/>
    <n v="0"/>
    <n v="0"/>
    <n v="0"/>
  </r>
  <r>
    <s v="6PE223"/>
    <s v="Specialpedagogik - åk 7-9 och gymnasieskolan (UK)"/>
    <m/>
    <s v="LYAGY"/>
    <s v="H16"/>
    <s v="H19"/>
    <s v="H1917-20"/>
    <m/>
    <m/>
    <s v="MATT"/>
    <m/>
    <n v="100"/>
    <n v="5"/>
    <m/>
    <m/>
    <n v="3"/>
    <n v="0.25"/>
    <n v="0.85"/>
    <n v="0.21249999999999999"/>
    <x v="0"/>
    <s v="Pedagogik                     "/>
    <s v="Sam"/>
    <s v="Ämneslärarprogrammet - Gy"/>
    <n v="23641"/>
    <n v="28786"/>
    <n v="12027.275"/>
    <n v="5800"/>
    <n v="1450"/>
    <n v="13477.275"/>
    <n v="0"/>
    <n v="0"/>
    <n v="0"/>
    <n v="1"/>
    <n v="0"/>
    <n v="0"/>
    <n v="0"/>
    <n v="0"/>
    <n v="0"/>
    <n v="0"/>
    <n v="0"/>
    <n v="0"/>
  </r>
  <r>
    <s v="6PE223"/>
    <s v="Specialpedagogik - åk 7-9 och gymnasieskolan (UK)"/>
    <m/>
    <s v="LYAGY"/>
    <s v="H16"/>
    <s v="H19"/>
    <s v="H1917-20"/>
    <m/>
    <m/>
    <s v="MUSI"/>
    <m/>
    <n v="100"/>
    <n v="5"/>
    <m/>
    <m/>
    <n v="1"/>
    <n v="8.3333333333333329E-2"/>
    <n v="0.85"/>
    <n v="7.0833333333333331E-2"/>
    <x v="0"/>
    <s v="Pedagogik                     "/>
    <s v="Sam"/>
    <s v="Ämneslärarprogrammet - Gy"/>
    <n v="23641"/>
    <n v="28786"/>
    <n v="4009.0916666666662"/>
    <n v="5800"/>
    <n v="483.33333333333331"/>
    <n v="4492.4249999999993"/>
    <n v="0"/>
    <n v="0"/>
    <n v="0"/>
    <n v="1"/>
    <n v="0"/>
    <n v="0"/>
    <n v="0"/>
    <n v="0"/>
    <n v="0"/>
    <n v="0"/>
    <n v="0"/>
    <n v="0"/>
  </r>
  <r>
    <s v="6PE223"/>
    <s v="Specialpedagogik - åk 7-9 och gymnasieskolan (UK)"/>
    <m/>
    <s v="LYAGY"/>
    <s v="H16"/>
    <s v="H19"/>
    <s v="H1917-20"/>
    <m/>
    <m/>
    <s v="RELK"/>
    <m/>
    <n v="100"/>
    <n v="5"/>
    <m/>
    <m/>
    <n v="1"/>
    <n v="8.3333333333333329E-2"/>
    <n v="0.85"/>
    <n v="7.0833333333333331E-2"/>
    <x v="0"/>
    <s v="Pedagogik                     "/>
    <s v="Sam"/>
    <s v="Ämneslärarprogrammet - Gy"/>
    <n v="23641"/>
    <n v="28786"/>
    <n v="4009.0916666666662"/>
    <n v="5800"/>
    <n v="483.33333333333331"/>
    <n v="4492.4249999999993"/>
    <n v="0"/>
    <n v="0"/>
    <n v="0"/>
    <n v="1"/>
    <n v="0"/>
    <n v="0"/>
    <n v="0"/>
    <n v="0"/>
    <n v="0"/>
    <n v="0"/>
    <n v="0"/>
    <n v="0"/>
  </r>
  <r>
    <s v="6PE223"/>
    <s v="Specialpedagogik - åk 7-9 och gymnasieskolan (UK)"/>
    <m/>
    <s v="LYAGY"/>
    <s v="H16"/>
    <s v="H19"/>
    <s v="H1917-20"/>
    <m/>
    <m/>
    <s v="SAMK"/>
    <m/>
    <n v="100"/>
    <n v="5"/>
    <m/>
    <m/>
    <n v="1"/>
    <n v="8.3333333333333329E-2"/>
    <n v="0.85"/>
    <n v="7.0833333333333331E-2"/>
    <x v="0"/>
    <s v="Pedagogik                     "/>
    <s v="Sam"/>
    <s v="Ämneslärarprogrammet - Gy"/>
    <n v="23641"/>
    <n v="28786"/>
    <n v="4009.0916666666662"/>
    <n v="5800"/>
    <n v="483.33333333333331"/>
    <n v="4492.4249999999993"/>
    <n v="0"/>
    <n v="0"/>
    <n v="0"/>
    <n v="1"/>
    <n v="0"/>
    <n v="0"/>
    <n v="0"/>
    <n v="0"/>
    <n v="0"/>
    <n v="0"/>
    <n v="0"/>
    <n v="0"/>
  </r>
  <r>
    <s v="6PE223"/>
    <s v="Specialpedagogik - åk 7-9 och gymnasieskolan (UK)"/>
    <m/>
    <s v="LYAGY"/>
    <s v="H17"/>
    <s v="H19"/>
    <s v="H1917-20"/>
    <m/>
    <m/>
    <s v="BIOL"/>
    <m/>
    <n v="100"/>
    <n v="5"/>
    <m/>
    <m/>
    <n v="1"/>
    <n v="8.3333333333333329E-2"/>
    <n v="0.85"/>
    <n v="7.0833333333333331E-2"/>
    <x v="0"/>
    <s v="Pedagogik                     "/>
    <s v="Sam"/>
    <s v="Ämneslärarprogrammet - Gy"/>
    <n v="23641"/>
    <n v="28786"/>
    <n v="4009.0916666666662"/>
    <n v="5800"/>
    <n v="483.33333333333331"/>
    <n v="4492.4249999999993"/>
    <n v="0"/>
    <n v="0"/>
    <n v="0"/>
    <n v="1"/>
    <n v="0"/>
    <n v="0"/>
    <n v="0"/>
    <n v="0"/>
    <n v="0"/>
    <n v="0"/>
    <n v="0"/>
    <n v="0"/>
  </r>
  <r>
    <s v="6PE223"/>
    <s v="Specialpedagogik - åk 7-9 och gymnasieskolan (UK)"/>
    <m/>
    <s v="LYAGY"/>
    <s v="H17"/>
    <s v="H19"/>
    <s v="H1917-20"/>
    <m/>
    <m/>
    <s v="ENGS"/>
    <m/>
    <n v="100"/>
    <n v="5"/>
    <m/>
    <m/>
    <n v="16"/>
    <n v="1.3333333333333333"/>
    <n v="0.85"/>
    <n v="1.1333333333333333"/>
    <x v="0"/>
    <s v="Pedagogik                     "/>
    <s v="Sam"/>
    <s v="Ämneslärarprogrammet - Gy"/>
    <n v="23641"/>
    <n v="28786"/>
    <n v="64145.46666666666"/>
    <n v="5800"/>
    <n v="7733.333333333333"/>
    <n v="71878.799999999988"/>
    <n v="0"/>
    <n v="0"/>
    <n v="0"/>
    <n v="1"/>
    <n v="0"/>
    <n v="0"/>
    <n v="0"/>
    <n v="0"/>
    <n v="0"/>
    <n v="0"/>
    <n v="0"/>
    <n v="0"/>
  </r>
  <r>
    <s v="6PE223"/>
    <s v="Specialpedagogik - åk 7-9 och gymnasieskolan (UK)"/>
    <m/>
    <s v="LYAGY"/>
    <s v="H17"/>
    <s v="H19"/>
    <s v="H1917-20"/>
    <m/>
    <m/>
    <s v="HIST"/>
    <m/>
    <n v="100"/>
    <n v="5"/>
    <m/>
    <m/>
    <n v="14"/>
    <n v="1.1666666666666665"/>
    <n v="0.85"/>
    <n v="0.99166666666666647"/>
    <x v="0"/>
    <s v="Pedagogik                     "/>
    <s v="Sam"/>
    <s v="Ämneslärarprogrammet - Gy"/>
    <n v="23641"/>
    <n v="28786"/>
    <n v="56127.283333333326"/>
    <n v="5800"/>
    <n v="6766.6666666666661"/>
    <n v="62893.94999999999"/>
    <n v="0"/>
    <n v="0"/>
    <n v="0"/>
    <n v="1"/>
    <n v="0"/>
    <n v="0"/>
    <n v="0"/>
    <n v="0"/>
    <n v="0"/>
    <n v="0"/>
    <n v="0"/>
    <n v="0"/>
  </r>
  <r>
    <s v="6PE223"/>
    <s v="Specialpedagogik - åk 7-9 och gymnasieskolan (UK)"/>
    <m/>
    <s v="LYAGY"/>
    <s v="H17"/>
    <s v="H19"/>
    <s v="H1917-20"/>
    <m/>
    <m/>
    <s v="IDRH"/>
    <m/>
    <n v="100"/>
    <n v="5"/>
    <m/>
    <m/>
    <n v="15"/>
    <n v="1.25"/>
    <n v="0.85"/>
    <n v="1.0625"/>
    <x v="0"/>
    <s v="Pedagogik                     "/>
    <s v="Sam"/>
    <s v="Ämneslärarprogrammet - Gy"/>
    <n v="23641"/>
    <n v="28786"/>
    <n v="60136.375"/>
    <n v="5800"/>
    <n v="7250"/>
    <n v="67386.375"/>
    <n v="0"/>
    <n v="0"/>
    <n v="0"/>
    <n v="1"/>
    <n v="0"/>
    <n v="0"/>
    <n v="0"/>
    <n v="0"/>
    <n v="0"/>
    <n v="0"/>
    <n v="0"/>
    <n v="0"/>
  </r>
  <r>
    <s v="6PE223"/>
    <s v="Specialpedagogik - åk 7-9 och gymnasieskolan (UK)"/>
    <m/>
    <s v="LYAGY"/>
    <s v="H17"/>
    <s v="H19"/>
    <s v="H1917-20"/>
    <m/>
    <m/>
    <s v="MATT"/>
    <m/>
    <n v="100"/>
    <n v="5"/>
    <m/>
    <m/>
    <n v="12"/>
    <n v="1"/>
    <n v="0.85"/>
    <n v="0.85"/>
    <x v="0"/>
    <s v="Pedagogik                     "/>
    <s v="Sam"/>
    <s v="Ämneslärarprogrammet - Gy"/>
    <n v="23641"/>
    <n v="28786"/>
    <n v="48109.1"/>
    <n v="5800"/>
    <n v="5800"/>
    <n v="53909.1"/>
    <n v="0"/>
    <n v="0"/>
    <n v="0"/>
    <n v="1"/>
    <n v="0"/>
    <n v="0"/>
    <n v="0"/>
    <n v="0"/>
    <n v="0"/>
    <n v="0"/>
    <n v="0"/>
    <n v="0"/>
  </r>
  <r>
    <s v="6PE223"/>
    <s v="Specialpedagogik - åk 7-9 och gymnasieskolan (UK)"/>
    <m/>
    <s v="LYAGY"/>
    <s v="H17"/>
    <s v="H19"/>
    <s v="H1917-20"/>
    <m/>
    <m/>
    <s v="MUSI"/>
    <m/>
    <n v="100"/>
    <n v="5"/>
    <m/>
    <m/>
    <n v="2"/>
    <n v="0.16666666666666666"/>
    <n v="0.85"/>
    <n v="0.14166666666666666"/>
    <x v="0"/>
    <s v="Pedagogik                     "/>
    <s v="Sam"/>
    <s v="Ämneslärarprogrammet - Gy"/>
    <n v="23641"/>
    <n v="28786"/>
    <n v="8018.1833333333325"/>
    <n v="5800"/>
    <n v="966.66666666666663"/>
    <n v="8984.8499999999985"/>
    <n v="0"/>
    <n v="0"/>
    <n v="0"/>
    <n v="1"/>
    <n v="0"/>
    <n v="0"/>
    <n v="0"/>
    <n v="0"/>
    <n v="0"/>
    <n v="0"/>
    <n v="0"/>
    <n v="0"/>
  </r>
  <r>
    <s v="6PE223"/>
    <s v="Specialpedagogik - åk 7-9 och gymnasieskolan (UK)"/>
    <m/>
    <s v="LYAGY"/>
    <s v="H17"/>
    <s v="H19"/>
    <s v="H1917-20"/>
    <m/>
    <m/>
    <s v="RELK"/>
    <m/>
    <n v="100"/>
    <n v="5"/>
    <m/>
    <m/>
    <n v="4"/>
    <n v="0.33333333333333331"/>
    <n v="0.85"/>
    <n v="0.28333333333333333"/>
    <x v="0"/>
    <s v="Pedagogik                     "/>
    <s v="Sam"/>
    <s v="Ämneslärarprogrammet - Gy"/>
    <n v="23641"/>
    <n v="28786"/>
    <n v="16036.366666666665"/>
    <n v="5800"/>
    <n v="1933.3333333333333"/>
    <n v="17969.699999999997"/>
    <n v="0"/>
    <n v="0"/>
    <n v="0"/>
    <n v="1"/>
    <n v="0"/>
    <n v="0"/>
    <n v="0"/>
    <n v="0"/>
    <n v="0"/>
    <n v="0"/>
    <n v="0"/>
    <n v="0"/>
  </r>
  <r>
    <s v="6PE223"/>
    <s v="Specialpedagogik - åk 7-9 och gymnasieskolan (UK)"/>
    <m/>
    <s v="LYAGY"/>
    <s v="H17"/>
    <s v="H19"/>
    <s v="H1917-20"/>
    <m/>
    <m/>
    <s v="SAMK"/>
    <m/>
    <n v="100"/>
    <n v="5"/>
    <m/>
    <m/>
    <n v="6"/>
    <n v="0.5"/>
    <n v="0.85"/>
    <n v="0.42499999999999999"/>
    <x v="0"/>
    <s v="Pedagogik                     "/>
    <s v="Sam"/>
    <s v="Ämneslärarprogrammet - Gy"/>
    <n v="23641"/>
    <n v="28786"/>
    <n v="24054.55"/>
    <n v="5800"/>
    <n v="2900"/>
    <n v="26954.55"/>
    <n v="0"/>
    <n v="0"/>
    <n v="0"/>
    <n v="1"/>
    <n v="0"/>
    <n v="0"/>
    <n v="0"/>
    <n v="0"/>
    <n v="0"/>
    <n v="0"/>
    <n v="0"/>
    <n v="0"/>
  </r>
  <r>
    <s v="6PE223"/>
    <s v="Specialpedagogik - åk 7-9 och gymnasieskolan (UK)"/>
    <m/>
    <s v="LYAGY"/>
    <s v="H17"/>
    <s v="H19"/>
    <s v="H1917-20"/>
    <m/>
    <m/>
    <s v="SPAN"/>
    <m/>
    <n v="100"/>
    <n v="5"/>
    <m/>
    <m/>
    <n v="2"/>
    <n v="0.16666666666666666"/>
    <n v="0.85"/>
    <n v="0.14166666666666666"/>
    <x v="0"/>
    <s v="Pedagogik                     "/>
    <s v="Sam"/>
    <s v="Ämneslärarprogrammet - Gy"/>
    <n v="23641"/>
    <n v="28786"/>
    <n v="8018.1833333333325"/>
    <n v="5800"/>
    <n v="966.66666666666663"/>
    <n v="8984.8499999999985"/>
    <n v="0"/>
    <n v="0"/>
    <n v="0"/>
    <n v="1"/>
    <n v="0"/>
    <n v="0"/>
    <n v="0"/>
    <n v="0"/>
    <n v="0"/>
    <n v="0"/>
    <n v="0"/>
    <n v="0"/>
  </r>
  <r>
    <s v="6PE223"/>
    <s v="Specialpedagogik - åk 7-9 och gymnasieskolan (UK)"/>
    <m/>
    <s v="LYAGY"/>
    <s v="H17"/>
    <s v="H19"/>
    <s v="H1917-20"/>
    <m/>
    <m/>
    <s v="SVAA"/>
    <m/>
    <n v="100"/>
    <n v="5"/>
    <m/>
    <m/>
    <n v="11"/>
    <n v="0.91666666666666663"/>
    <n v="0.85"/>
    <n v="0.77916666666666656"/>
    <x v="0"/>
    <s v="Pedagogik                     "/>
    <s v="Sam"/>
    <s v="Ämneslärarprogrammet - Gy"/>
    <n v="23641"/>
    <n v="28786"/>
    <n v="44100.008333333331"/>
    <n v="5800"/>
    <n v="5316.6666666666661"/>
    <n v="49416.674999999996"/>
    <n v="0"/>
    <n v="0"/>
    <n v="0"/>
    <n v="1"/>
    <n v="0"/>
    <n v="0"/>
    <n v="0"/>
    <n v="0"/>
    <n v="0"/>
    <n v="0"/>
    <n v="0"/>
    <n v="0"/>
  </r>
  <r>
    <s v="6PE223"/>
    <s v="Specialpedagogik - åk 7-9 och gymnasieskolan (UK)"/>
    <m/>
    <s v="LYAGY"/>
    <s v="H17"/>
    <s v="H19"/>
    <s v="H1917-20"/>
    <m/>
    <m/>
    <s v="TYSK"/>
    <m/>
    <n v="100"/>
    <n v="5"/>
    <m/>
    <m/>
    <n v="1"/>
    <n v="8.3333333333333329E-2"/>
    <n v="0.85"/>
    <n v="7.0833333333333331E-2"/>
    <x v="0"/>
    <s v="Pedagogik                     "/>
    <s v="Sam"/>
    <s v="Ämneslärarprogrammet - Gy"/>
    <n v="23641"/>
    <n v="28786"/>
    <n v="4009.0916666666662"/>
    <n v="5800"/>
    <n v="483.33333333333331"/>
    <n v="4492.4249999999993"/>
    <n v="0"/>
    <n v="0"/>
    <n v="0"/>
    <n v="1"/>
    <n v="0"/>
    <n v="0"/>
    <n v="0"/>
    <n v="0"/>
    <n v="0"/>
    <n v="0"/>
    <n v="0"/>
    <n v="0"/>
  </r>
  <r>
    <s v="6PE223"/>
    <s v="Specialpedagogik - åk 7-9 och gymnasieskolan (UK)"/>
    <m/>
    <s v="LYAGY"/>
    <s v="H18"/>
    <s v="H19"/>
    <s v="H1917-20"/>
    <m/>
    <m/>
    <s v="BIOL"/>
    <m/>
    <n v="100"/>
    <n v="5"/>
    <m/>
    <m/>
    <n v="3"/>
    <n v="0.25"/>
    <n v="0.85"/>
    <n v="0.21249999999999999"/>
    <x v="0"/>
    <s v="Pedagogik                     "/>
    <s v="Sam"/>
    <s v="Ämneslärarprogrammet - Gy"/>
    <n v="23641"/>
    <n v="28786"/>
    <n v="12027.275"/>
    <n v="5800"/>
    <n v="1450"/>
    <n v="13477.275"/>
    <n v="0"/>
    <n v="0"/>
    <n v="0"/>
    <n v="1"/>
    <n v="0"/>
    <n v="0"/>
    <n v="0"/>
    <n v="0"/>
    <n v="0"/>
    <n v="0"/>
    <n v="0"/>
    <n v="0"/>
  </r>
  <r>
    <s v="6PE223"/>
    <s v="Specialpedagogik - åk 7-9 och gymnasieskolan (UK)"/>
    <m/>
    <s v="LYAGY"/>
    <s v="H18"/>
    <s v="H19"/>
    <s v="H1917-20"/>
    <m/>
    <m/>
    <s v="HIST"/>
    <m/>
    <n v="100"/>
    <n v="5"/>
    <m/>
    <m/>
    <n v="1"/>
    <n v="8.3333333333333329E-2"/>
    <n v="0.85"/>
    <n v="7.0833333333333331E-2"/>
    <x v="0"/>
    <s v="Pedagogik                     "/>
    <s v="Sam"/>
    <s v="Ämneslärarprogrammet - Gy"/>
    <n v="23641"/>
    <n v="28786"/>
    <n v="4009.0916666666662"/>
    <n v="5800"/>
    <n v="483.33333333333331"/>
    <n v="4492.4249999999993"/>
    <n v="0"/>
    <n v="0"/>
    <n v="0"/>
    <n v="1"/>
    <n v="0"/>
    <n v="0"/>
    <n v="0"/>
    <n v="0"/>
    <n v="0"/>
    <n v="0"/>
    <n v="0"/>
    <n v="0"/>
  </r>
  <r>
    <s v="6PE223"/>
    <s v="Specialpedagogik - åk 7-9 och gymnasieskolan (UK)"/>
    <m/>
    <s v="LYAGY"/>
    <s v="H18"/>
    <s v="H19"/>
    <s v="H1917-20"/>
    <m/>
    <m/>
    <s v="MATT"/>
    <m/>
    <n v="100"/>
    <n v="5"/>
    <m/>
    <m/>
    <n v="1"/>
    <n v="8.3333333333333329E-2"/>
    <n v="0.85"/>
    <n v="7.0833333333333331E-2"/>
    <x v="0"/>
    <s v="Pedagogik                     "/>
    <s v="Sam"/>
    <s v="Ämneslärarprogrammet - Gy"/>
    <n v="23641"/>
    <n v="28786"/>
    <n v="4009.0916666666662"/>
    <n v="5800"/>
    <n v="483.33333333333331"/>
    <n v="4492.4249999999993"/>
    <n v="0"/>
    <n v="0"/>
    <n v="0"/>
    <n v="1"/>
    <n v="0"/>
    <n v="0"/>
    <n v="0"/>
    <n v="0"/>
    <n v="0"/>
    <n v="0"/>
    <n v="0"/>
    <n v="0"/>
  </r>
  <r>
    <s v="6PE223"/>
    <s v="Specialpedagogik - åk 7-9 och gymnasieskolan (UK)"/>
    <m/>
    <s v="LYAGY"/>
    <s v="H18"/>
    <s v="H19"/>
    <s v="H1917-20"/>
    <m/>
    <m/>
    <s v="SVAN"/>
    <m/>
    <n v="100"/>
    <n v="5"/>
    <m/>
    <m/>
    <n v="1"/>
    <n v="8.3333333333333329E-2"/>
    <n v="0.85"/>
    <n v="7.0833333333333331E-2"/>
    <x v="0"/>
    <s v="Pedagogik                     "/>
    <s v="Sam"/>
    <s v="Ämneslärarprogrammet - Gy"/>
    <n v="23641"/>
    <n v="28786"/>
    <n v="4009.0916666666662"/>
    <n v="5800"/>
    <n v="483.33333333333331"/>
    <n v="4492.4249999999993"/>
    <n v="0"/>
    <n v="0"/>
    <n v="0"/>
    <n v="1"/>
    <n v="0"/>
    <n v="0"/>
    <n v="0"/>
    <n v="0"/>
    <n v="0"/>
    <n v="0"/>
    <n v="0"/>
    <n v="0"/>
  </r>
  <r>
    <s v="6PE223"/>
    <s v="Specialpedagogik - åk 7-9 och gymnasieskolan (UK)"/>
    <m/>
    <s v="LYAGY"/>
    <s v="H19"/>
    <s v="H19"/>
    <s v="H1917-20"/>
    <m/>
    <m/>
    <s v="MATT"/>
    <m/>
    <n v="100"/>
    <n v="5"/>
    <m/>
    <m/>
    <n v="1"/>
    <n v="8.3333333333333329E-2"/>
    <n v="0.85"/>
    <n v="7.0833333333333331E-2"/>
    <x v="0"/>
    <s v="Pedagogik                     "/>
    <s v="Sam"/>
    <s v="Ämneslärarprogrammet - Gy"/>
    <n v="23641"/>
    <n v="28786"/>
    <n v="4009.0916666666662"/>
    <n v="5800"/>
    <n v="483.33333333333331"/>
    <n v="4492.4249999999993"/>
    <n v="0"/>
    <n v="0"/>
    <n v="0"/>
    <n v="1"/>
    <n v="0"/>
    <n v="0"/>
    <n v="0"/>
    <n v="0"/>
    <n v="0"/>
    <n v="0"/>
    <n v="0"/>
    <n v="0"/>
  </r>
  <r>
    <s v="6PE224"/>
    <s v="Utbildningsvetenskap, undervisning och lärande för grundskolan - fritidshem (UK)"/>
    <m/>
    <s v="LYGFR"/>
    <s v="H17"/>
    <s v="V19"/>
    <s v="V191-6"/>
    <s v="Umeå"/>
    <m/>
    <m/>
    <m/>
    <n v="100"/>
    <n v="8"/>
    <m/>
    <m/>
    <n v="15"/>
    <n v="2"/>
    <n v="0.85"/>
    <n v="1.7"/>
    <x v="0"/>
    <s v="Pedagogik                     "/>
    <s v="Sam"/>
    <s v="Grundlärarprogrammet - fritidshem"/>
    <n v="23641"/>
    <n v="28786"/>
    <n v="96218.2"/>
    <n v="5800"/>
    <n v="11600"/>
    <n v="107818.2"/>
    <n v="0"/>
    <n v="0"/>
    <n v="0"/>
    <n v="1"/>
    <n v="0"/>
    <n v="0"/>
    <n v="0"/>
    <n v="0"/>
    <n v="0"/>
    <n v="0"/>
    <n v="0"/>
    <n v="0"/>
  </r>
  <r>
    <s v="6PE225"/>
    <s v="Utbildningsvetenskap, undervisning och lärande för grundskolan (UK)"/>
    <m/>
    <s v="LYGFT"/>
    <s v="H17"/>
    <s v="V19"/>
    <s v="V191-6"/>
    <s v="Umeå"/>
    <m/>
    <m/>
    <m/>
    <n v="100"/>
    <n v="8"/>
    <m/>
    <m/>
    <n v="1"/>
    <n v="0.13333333333333333"/>
    <n v="0.85"/>
    <n v="0.11333333333333333"/>
    <x v="0"/>
    <s v="Pedagogik                     "/>
    <s v="Sam"/>
    <s v="Grundlärarprogrammet - förskoleklass och åk 1-3"/>
    <n v="23641"/>
    <n v="28786"/>
    <n v="6414.5466666666662"/>
    <n v="5800"/>
    <n v="773.33333333333337"/>
    <n v="7187.8799999999992"/>
    <n v="0"/>
    <n v="0"/>
    <n v="0"/>
    <n v="1"/>
    <n v="0"/>
    <n v="0"/>
    <n v="0"/>
    <n v="0"/>
    <n v="0"/>
    <n v="0"/>
    <n v="0"/>
    <n v="0"/>
  </r>
  <r>
    <s v="6PE225"/>
    <s v="Utbildningsvetenskap, undervisning och lärande för grundskolan (UK)"/>
    <m/>
    <s v="LYGFT"/>
    <s v="H17"/>
    <s v="V19"/>
    <s v="V191-6"/>
    <s v="Umeå"/>
    <m/>
    <m/>
    <m/>
    <n v="100"/>
    <n v="8"/>
    <m/>
    <m/>
    <n v="36"/>
    <n v="4.8"/>
    <n v="0.85"/>
    <n v="4.08"/>
    <x v="0"/>
    <s v="Pedagogik                     "/>
    <s v="Sam"/>
    <s v="Grundlärarprogrammet - förskoleklass och åk 1-3"/>
    <n v="23641"/>
    <n v="28786"/>
    <n v="230923.68"/>
    <n v="5800"/>
    <n v="27840"/>
    <n v="258763.68"/>
    <n v="0"/>
    <n v="0"/>
    <n v="0"/>
    <n v="1"/>
    <n v="0"/>
    <n v="0"/>
    <n v="0"/>
    <n v="0"/>
    <n v="0"/>
    <n v="0"/>
    <n v="0"/>
    <n v="0"/>
  </r>
  <r>
    <s v="6PE225"/>
    <s v="Utbildningsvetenskap, undervisning och lärande för grundskolan (UK)"/>
    <m/>
    <s v="LYGRM"/>
    <s v="H12"/>
    <s v="V19"/>
    <s v="V191-6"/>
    <s v="Umeå"/>
    <m/>
    <m/>
    <m/>
    <n v="100"/>
    <n v="8"/>
    <m/>
    <m/>
    <n v="1"/>
    <n v="0.13333333333333333"/>
    <n v="0.85"/>
    <n v="0.11333333333333333"/>
    <x v="0"/>
    <s v="Pedagogik                     "/>
    <s v="Sam"/>
    <s v="Grundlärarprogrammet - grundskolans åk 4-6"/>
    <n v="23641"/>
    <n v="28786"/>
    <n v="6414.5466666666662"/>
    <n v="5800"/>
    <n v="773.33333333333337"/>
    <n v="7187.8799999999992"/>
    <n v="0"/>
    <n v="0"/>
    <n v="0"/>
    <n v="1"/>
    <n v="0"/>
    <n v="0"/>
    <n v="0"/>
    <n v="0"/>
    <n v="0"/>
    <n v="0"/>
    <n v="0"/>
    <n v="0"/>
  </r>
  <r>
    <s v="6PE225"/>
    <s v="Utbildningsvetenskap, undervisning och lärande för grundskolan (UK)"/>
    <m/>
    <s v="LYGRM"/>
    <s v="H16"/>
    <s v="V19"/>
    <s v="V191-6"/>
    <s v="Umeå"/>
    <m/>
    <m/>
    <m/>
    <n v="100"/>
    <n v="8"/>
    <m/>
    <m/>
    <n v="1"/>
    <n v="0.13333333333333333"/>
    <n v="0.85"/>
    <n v="0.11333333333333333"/>
    <x v="0"/>
    <s v="Pedagogik                     "/>
    <s v="Sam"/>
    <s v="Grundlärarprogrammet - grundskolans åk 4-6"/>
    <n v="23641"/>
    <n v="28786"/>
    <n v="6414.5466666666662"/>
    <n v="5800"/>
    <n v="773.33333333333337"/>
    <n v="7187.8799999999992"/>
    <n v="0"/>
    <n v="0"/>
    <n v="0"/>
    <n v="1"/>
    <n v="0"/>
    <n v="0"/>
    <n v="0"/>
    <n v="0"/>
    <n v="0"/>
    <n v="0"/>
    <n v="0"/>
    <n v="0"/>
  </r>
  <r>
    <s v="6PE225"/>
    <s v="Utbildningsvetenskap, undervisning och lärande för grundskolan (UK)"/>
    <m/>
    <s v="LYGRM"/>
    <s v="H17"/>
    <s v="V19"/>
    <s v="V191-6"/>
    <s v="Umeå"/>
    <m/>
    <m/>
    <m/>
    <n v="100"/>
    <n v="8"/>
    <m/>
    <m/>
    <n v="32"/>
    <n v="4.2666666666666666"/>
    <n v="0.85"/>
    <n v="3.6266666666666665"/>
    <x v="0"/>
    <s v="Pedagogik                     "/>
    <s v="Sam"/>
    <s v="Grundlärarprogrammet - grundskolans åk 4-6"/>
    <n v="23641"/>
    <n v="28786"/>
    <n v="205265.49333333332"/>
    <n v="5800"/>
    <n v="24746.666666666668"/>
    <n v="230012.15999999997"/>
    <n v="0"/>
    <n v="0"/>
    <n v="0"/>
    <n v="1"/>
    <n v="0"/>
    <n v="0"/>
    <n v="0"/>
    <n v="0"/>
    <n v="0"/>
    <n v="0"/>
    <n v="0"/>
    <n v="0"/>
  </r>
  <r>
    <s v="6PE226"/>
    <s v="Utbildningsvetenskap, undervisning och lärande - Ämneslärarprogrammet (UK)"/>
    <m/>
    <s v="LYAGR"/>
    <s v="H17"/>
    <s v="H19"/>
    <s v="H191-5"/>
    <m/>
    <m/>
    <s v="TXBI"/>
    <m/>
    <n v="100"/>
    <n v="8"/>
    <m/>
    <m/>
    <n v="4"/>
    <n v="0.53333333333333333"/>
    <n v="0.85"/>
    <n v="0.45333333333333331"/>
    <x v="0"/>
    <s v="Pedagogik                     "/>
    <s v="Sam"/>
    <s v="Ämneslärarprogrammet - åk 7-9"/>
    <n v="23641"/>
    <n v="28786"/>
    <n v="25658.186666666665"/>
    <n v="5800"/>
    <n v="3093.3333333333335"/>
    <n v="28751.519999999997"/>
    <n v="0"/>
    <n v="0"/>
    <n v="0"/>
    <n v="1"/>
    <n v="0"/>
    <n v="0"/>
    <n v="0"/>
    <n v="0"/>
    <n v="0"/>
    <n v="0"/>
    <n v="0"/>
    <n v="0"/>
  </r>
  <r>
    <s v="6PE226"/>
    <s v="Utbildningsvetenskap, undervisning och lärande - Ämneslärarprogrammet (UK)"/>
    <m/>
    <s v="LYAGY"/>
    <s v="H15"/>
    <s v="H19"/>
    <s v="H191-5"/>
    <m/>
    <m/>
    <s v="ENGS"/>
    <m/>
    <n v="100"/>
    <n v="8"/>
    <m/>
    <m/>
    <n v="1"/>
    <n v="0.13333333333333333"/>
    <n v="0.85"/>
    <n v="0.11333333333333333"/>
    <x v="0"/>
    <s v="Pedagogik                     "/>
    <s v="Sam"/>
    <s v="Ämneslärarprogrammet - Gy"/>
    <n v="23641"/>
    <n v="28786"/>
    <n v="6414.5466666666662"/>
    <n v="5800"/>
    <n v="773.33333333333337"/>
    <n v="7187.8799999999992"/>
    <n v="0"/>
    <n v="0"/>
    <n v="0"/>
    <n v="1"/>
    <n v="0"/>
    <n v="0"/>
    <n v="0"/>
    <n v="0"/>
    <n v="0"/>
    <n v="0"/>
    <n v="0"/>
    <n v="0"/>
  </r>
  <r>
    <s v="6PE226"/>
    <s v="Utbildningsvetenskap, undervisning och lärande - Ämneslärarprogrammet (UK)"/>
    <m/>
    <s v="LYAGY"/>
    <s v="H15"/>
    <s v="H19"/>
    <s v="H191-5"/>
    <m/>
    <m/>
    <s v="MATT"/>
    <m/>
    <n v="100"/>
    <n v="8"/>
    <m/>
    <m/>
    <n v="2"/>
    <n v="0.26666666666666666"/>
    <n v="0.85"/>
    <n v="0.22666666666666666"/>
    <x v="0"/>
    <s v="Pedagogik                     "/>
    <s v="Sam"/>
    <s v="Ämneslärarprogrammet - Gy"/>
    <n v="23641"/>
    <n v="28786"/>
    <n v="12829.093333333332"/>
    <n v="5800"/>
    <n v="1546.6666666666667"/>
    <n v="14375.759999999998"/>
    <n v="0"/>
    <n v="0"/>
    <n v="0"/>
    <n v="1"/>
    <n v="0"/>
    <n v="0"/>
    <n v="0"/>
    <n v="0"/>
    <n v="0"/>
    <n v="0"/>
    <n v="0"/>
    <n v="0"/>
  </r>
  <r>
    <s v="6PE226"/>
    <s v="Utbildningsvetenskap, undervisning och lärande - Ämneslärarprogrammet (UK)"/>
    <m/>
    <s v="LYAGY"/>
    <s v="H16"/>
    <s v="H19"/>
    <s v="H191-5"/>
    <m/>
    <m/>
    <s v="MATT"/>
    <m/>
    <n v="100"/>
    <n v="8"/>
    <m/>
    <m/>
    <n v="3"/>
    <n v="0.4"/>
    <n v="0.85"/>
    <n v="0.34"/>
    <x v="0"/>
    <s v="Pedagogik                     "/>
    <s v="Sam"/>
    <s v="Ämneslärarprogrammet - Gy"/>
    <n v="23641"/>
    <n v="28786"/>
    <n v="19243.64"/>
    <n v="5800"/>
    <n v="2320"/>
    <n v="21563.64"/>
    <n v="0"/>
    <n v="0"/>
    <n v="0"/>
    <n v="1"/>
    <n v="0"/>
    <n v="0"/>
    <n v="0"/>
    <n v="0"/>
    <n v="0"/>
    <n v="0"/>
    <n v="0"/>
    <n v="0"/>
  </r>
  <r>
    <s v="6PE226"/>
    <s v="Utbildningsvetenskap, undervisning och lärande - Ämneslärarprogrammet (UK)"/>
    <m/>
    <s v="LYAGY"/>
    <s v="H16"/>
    <s v="H19"/>
    <s v="H191-5"/>
    <m/>
    <m/>
    <s v="MUSI"/>
    <m/>
    <n v="100"/>
    <n v="8"/>
    <m/>
    <m/>
    <n v="1"/>
    <n v="0.13333333333333333"/>
    <n v="0.85"/>
    <n v="0.11333333333333333"/>
    <x v="0"/>
    <s v="Pedagogik                     "/>
    <s v="Sam"/>
    <s v="Ämneslärarprogrammet - Gy"/>
    <n v="23641"/>
    <n v="28786"/>
    <n v="6414.5466666666662"/>
    <n v="5800"/>
    <n v="773.33333333333337"/>
    <n v="7187.8799999999992"/>
    <n v="0"/>
    <n v="0"/>
    <n v="0"/>
    <n v="1"/>
    <n v="0"/>
    <n v="0"/>
    <n v="0"/>
    <n v="0"/>
    <n v="0"/>
    <n v="0"/>
    <n v="0"/>
    <n v="0"/>
  </r>
  <r>
    <s v="6PE226"/>
    <s v="Utbildningsvetenskap, undervisning och lärande - Ämneslärarprogrammet (UK)"/>
    <m/>
    <s v="LYAGY"/>
    <s v="H16"/>
    <s v="H19"/>
    <s v="H191-5"/>
    <m/>
    <m/>
    <s v="RELK"/>
    <m/>
    <n v="100"/>
    <n v="8"/>
    <m/>
    <m/>
    <n v="1"/>
    <n v="0.13333333333333333"/>
    <n v="0.85"/>
    <n v="0.11333333333333333"/>
    <x v="0"/>
    <s v="Pedagogik                     "/>
    <s v="Sam"/>
    <s v="Ämneslärarprogrammet - Gy"/>
    <n v="23641"/>
    <n v="28786"/>
    <n v="6414.5466666666662"/>
    <n v="5800"/>
    <n v="773.33333333333337"/>
    <n v="7187.8799999999992"/>
    <n v="0"/>
    <n v="0"/>
    <n v="0"/>
    <n v="1"/>
    <n v="0"/>
    <n v="0"/>
    <n v="0"/>
    <n v="0"/>
    <n v="0"/>
    <n v="0"/>
    <n v="0"/>
    <n v="0"/>
  </r>
  <r>
    <s v="6PE226"/>
    <s v="Utbildningsvetenskap, undervisning och lärande - Ämneslärarprogrammet (UK)"/>
    <m/>
    <s v="LYAGY"/>
    <s v="H16"/>
    <s v="H19"/>
    <s v="H191-5"/>
    <m/>
    <m/>
    <s v="SAMK"/>
    <m/>
    <n v="100"/>
    <n v="8"/>
    <m/>
    <m/>
    <n v="1"/>
    <n v="0.13333333333333333"/>
    <n v="0.85"/>
    <n v="0.11333333333333333"/>
    <x v="0"/>
    <s v="Pedagogik                     "/>
    <s v="Sam"/>
    <s v="Ämneslärarprogrammet - Gy"/>
    <n v="23641"/>
    <n v="28786"/>
    <n v="6414.5466666666662"/>
    <n v="5800"/>
    <n v="773.33333333333337"/>
    <n v="7187.8799999999992"/>
    <n v="0"/>
    <n v="0"/>
    <n v="0"/>
    <n v="1"/>
    <n v="0"/>
    <n v="0"/>
    <n v="0"/>
    <n v="0"/>
    <n v="0"/>
    <n v="0"/>
    <n v="0"/>
    <n v="0"/>
  </r>
  <r>
    <s v="6PE226"/>
    <s v="Utbildningsvetenskap, undervisning och lärande - Ämneslärarprogrammet (UK)"/>
    <m/>
    <s v="LYAGY"/>
    <s v="H17"/>
    <s v="H19"/>
    <s v="H191-5"/>
    <m/>
    <m/>
    <s v="BIOL"/>
    <m/>
    <n v="100"/>
    <n v="8"/>
    <m/>
    <m/>
    <n v="1"/>
    <n v="0.13333333333333333"/>
    <n v="0.85"/>
    <n v="0.11333333333333333"/>
    <x v="0"/>
    <s v="Pedagogik                     "/>
    <s v="Sam"/>
    <s v="Ämneslärarprogrammet - Gy"/>
    <n v="23641"/>
    <n v="28786"/>
    <n v="6414.5466666666662"/>
    <n v="5800"/>
    <n v="773.33333333333337"/>
    <n v="7187.8799999999992"/>
    <n v="0"/>
    <n v="0"/>
    <n v="0"/>
    <n v="1"/>
    <n v="0"/>
    <n v="0"/>
    <n v="0"/>
    <n v="0"/>
    <n v="0"/>
    <n v="0"/>
    <n v="0"/>
    <n v="0"/>
  </r>
  <r>
    <s v="6PE226"/>
    <s v="Utbildningsvetenskap, undervisning och lärande - Ämneslärarprogrammet (UK)"/>
    <m/>
    <s v="LYAGY"/>
    <s v="H17"/>
    <s v="H19"/>
    <s v="H191-5"/>
    <m/>
    <m/>
    <s v="ENGS"/>
    <m/>
    <n v="100"/>
    <n v="8"/>
    <m/>
    <m/>
    <n v="15"/>
    <n v="2"/>
    <n v="0.85"/>
    <n v="1.7"/>
    <x v="0"/>
    <s v="Pedagogik                     "/>
    <s v="Sam"/>
    <s v="Ämneslärarprogrammet - Gy"/>
    <n v="23641"/>
    <n v="28786"/>
    <n v="96218.2"/>
    <n v="5800"/>
    <n v="11600"/>
    <n v="107818.2"/>
    <n v="0"/>
    <n v="0"/>
    <n v="0"/>
    <n v="1"/>
    <n v="0"/>
    <n v="0"/>
    <n v="0"/>
    <n v="0"/>
    <n v="0"/>
    <n v="0"/>
    <n v="0"/>
    <n v="0"/>
  </r>
  <r>
    <s v="6PE226"/>
    <s v="Utbildningsvetenskap, undervisning och lärande - Ämneslärarprogrammet (UK)"/>
    <m/>
    <s v="LYAGY"/>
    <s v="H17"/>
    <s v="H19"/>
    <s v="H191-5"/>
    <m/>
    <m/>
    <s v="HIST"/>
    <m/>
    <n v="100"/>
    <n v="8"/>
    <m/>
    <m/>
    <n v="14"/>
    <n v="1.8666666666666667"/>
    <n v="0.85"/>
    <n v="1.5866666666666667"/>
    <x v="0"/>
    <s v="Pedagogik                     "/>
    <s v="Sam"/>
    <s v="Ämneslärarprogrammet - Gy"/>
    <n v="23641"/>
    <n v="28786"/>
    <n v="89803.653333333335"/>
    <n v="5800"/>
    <n v="10826.666666666666"/>
    <n v="100630.32"/>
    <n v="0"/>
    <n v="0"/>
    <n v="0"/>
    <n v="1"/>
    <n v="0"/>
    <n v="0"/>
    <n v="0"/>
    <n v="0"/>
    <n v="0"/>
    <n v="0"/>
    <n v="0"/>
    <n v="0"/>
  </r>
  <r>
    <s v="6PE226"/>
    <s v="Utbildningsvetenskap, undervisning och lärande - Ämneslärarprogrammet (UK)"/>
    <m/>
    <s v="LYAGY"/>
    <s v="H17"/>
    <s v="H19"/>
    <s v="H191-5"/>
    <m/>
    <m/>
    <s v="IDRH"/>
    <m/>
    <n v="100"/>
    <n v="8"/>
    <m/>
    <m/>
    <n v="15"/>
    <n v="2"/>
    <n v="0.85"/>
    <n v="1.7"/>
    <x v="0"/>
    <s v="Pedagogik                     "/>
    <s v="Sam"/>
    <s v="Ämneslärarprogrammet - Gy"/>
    <n v="23641"/>
    <n v="28786"/>
    <n v="96218.2"/>
    <n v="5800"/>
    <n v="11600"/>
    <n v="107818.2"/>
    <n v="0"/>
    <n v="0"/>
    <n v="0"/>
    <n v="1"/>
    <n v="0"/>
    <n v="0"/>
    <n v="0"/>
    <n v="0"/>
    <n v="0"/>
    <n v="0"/>
    <n v="0"/>
    <n v="0"/>
  </r>
  <r>
    <s v="6PE226"/>
    <s v="Utbildningsvetenskap, undervisning och lärande - Ämneslärarprogrammet (UK)"/>
    <m/>
    <s v="LYAGY"/>
    <s v="H17"/>
    <s v="H19"/>
    <s v="H191-5"/>
    <m/>
    <m/>
    <s v="MATT"/>
    <m/>
    <n v="100"/>
    <n v="8"/>
    <m/>
    <m/>
    <n v="12"/>
    <n v="1.6"/>
    <n v="0.85"/>
    <n v="1.36"/>
    <x v="0"/>
    <s v="Pedagogik                     "/>
    <s v="Sam"/>
    <s v="Ämneslärarprogrammet - Gy"/>
    <n v="23641"/>
    <n v="28786"/>
    <n v="76974.559999999998"/>
    <n v="5800"/>
    <n v="9280"/>
    <n v="86254.56"/>
    <n v="0"/>
    <n v="0"/>
    <n v="0"/>
    <n v="1"/>
    <n v="0"/>
    <n v="0"/>
    <n v="0"/>
    <n v="0"/>
    <n v="0"/>
    <n v="0"/>
    <n v="0"/>
    <n v="0"/>
  </r>
  <r>
    <s v="6PE226"/>
    <s v="Utbildningsvetenskap, undervisning och lärande - Ämneslärarprogrammet (UK)"/>
    <m/>
    <s v="LYAGY"/>
    <s v="H17"/>
    <s v="H19"/>
    <s v="H191-5"/>
    <m/>
    <m/>
    <s v="MUSI"/>
    <m/>
    <n v="100"/>
    <n v="8"/>
    <m/>
    <m/>
    <n v="2"/>
    <n v="0.26666666666666666"/>
    <n v="0.85"/>
    <n v="0.22666666666666666"/>
    <x v="0"/>
    <s v="Pedagogik                     "/>
    <s v="Sam"/>
    <s v="Ämneslärarprogrammet - Gy"/>
    <n v="23641"/>
    <n v="28786"/>
    <n v="12829.093333333332"/>
    <n v="5800"/>
    <n v="1546.6666666666667"/>
    <n v="14375.759999999998"/>
    <n v="0"/>
    <n v="0"/>
    <n v="0"/>
    <n v="1"/>
    <n v="0"/>
    <n v="0"/>
    <n v="0"/>
    <n v="0"/>
    <n v="0"/>
    <n v="0"/>
    <n v="0"/>
    <n v="0"/>
  </r>
  <r>
    <s v="6PE226"/>
    <s v="Utbildningsvetenskap, undervisning och lärande - Ämneslärarprogrammet (UK)"/>
    <m/>
    <s v="LYAGY"/>
    <s v="H17"/>
    <s v="H19"/>
    <s v="H191-5"/>
    <m/>
    <m/>
    <s v="RELK"/>
    <m/>
    <n v="100"/>
    <n v="8"/>
    <m/>
    <m/>
    <n v="4"/>
    <n v="0.53333333333333333"/>
    <n v="0.85"/>
    <n v="0.45333333333333331"/>
    <x v="0"/>
    <s v="Pedagogik                     "/>
    <s v="Sam"/>
    <s v="Ämneslärarprogrammet - Gy"/>
    <n v="23641"/>
    <n v="28786"/>
    <n v="25658.186666666665"/>
    <n v="5800"/>
    <n v="3093.3333333333335"/>
    <n v="28751.519999999997"/>
    <n v="0"/>
    <n v="0"/>
    <n v="0"/>
    <n v="1"/>
    <n v="0"/>
    <n v="0"/>
    <n v="0"/>
    <n v="0"/>
    <n v="0"/>
    <n v="0"/>
    <n v="0"/>
    <n v="0"/>
  </r>
  <r>
    <s v="6PE226"/>
    <s v="Utbildningsvetenskap, undervisning och lärande - Ämneslärarprogrammet (UK)"/>
    <m/>
    <s v="LYAGY"/>
    <s v="H17"/>
    <s v="H19"/>
    <s v="H191-5"/>
    <m/>
    <m/>
    <s v="SAMK"/>
    <m/>
    <n v="100"/>
    <n v="8"/>
    <m/>
    <m/>
    <n v="6"/>
    <n v="0.8"/>
    <n v="0.85"/>
    <n v="0.68"/>
    <x v="0"/>
    <s v="Pedagogik                     "/>
    <s v="Sam"/>
    <s v="Ämneslärarprogrammet - Gy"/>
    <n v="23641"/>
    <n v="28786"/>
    <n v="38487.279999999999"/>
    <n v="5800"/>
    <n v="4640"/>
    <n v="43127.28"/>
    <n v="0"/>
    <n v="0"/>
    <n v="0"/>
    <n v="1"/>
    <n v="0"/>
    <n v="0"/>
    <n v="0"/>
    <n v="0"/>
    <n v="0"/>
    <n v="0"/>
    <n v="0"/>
    <n v="0"/>
  </r>
  <r>
    <s v="6PE226"/>
    <s v="Utbildningsvetenskap, undervisning och lärande - Ämneslärarprogrammet (UK)"/>
    <m/>
    <s v="LYAGY"/>
    <s v="H17"/>
    <s v="H19"/>
    <s v="H191-5"/>
    <m/>
    <m/>
    <s v="SPAN"/>
    <m/>
    <n v="100"/>
    <n v="8"/>
    <m/>
    <m/>
    <n v="2"/>
    <n v="0.26666666666666666"/>
    <n v="0.85"/>
    <n v="0.22666666666666666"/>
    <x v="0"/>
    <s v="Pedagogik                     "/>
    <s v="Sam"/>
    <s v="Ämneslärarprogrammet - Gy"/>
    <n v="23641"/>
    <n v="28786"/>
    <n v="12829.093333333332"/>
    <n v="5800"/>
    <n v="1546.6666666666667"/>
    <n v="14375.759999999998"/>
    <n v="0"/>
    <n v="0"/>
    <n v="0"/>
    <n v="1"/>
    <n v="0"/>
    <n v="0"/>
    <n v="0"/>
    <n v="0"/>
    <n v="0"/>
    <n v="0"/>
    <n v="0"/>
    <n v="0"/>
  </r>
  <r>
    <s v="6PE226"/>
    <s v="Utbildningsvetenskap, undervisning och lärande - Ämneslärarprogrammet (UK)"/>
    <m/>
    <s v="LYAGY"/>
    <s v="H17"/>
    <s v="H19"/>
    <s v="H191-5"/>
    <m/>
    <m/>
    <s v="SVAA"/>
    <m/>
    <n v="100"/>
    <n v="8"/>
    <m/>
    <m/>
    <n v="11"/>
    <n v="1.4666666666666666"/>
    <n v="0.85"/>
    <n v="1.2466666666666666"/>
    <x v="0"/>
    <s v="Pedagogik                     "/>
    <s v="Sam"/>
    <s v="Ämneslärarprogrammet - Gy"/>
    <n v="23641"/>
    <n v="28786"/>
    <n v="70560.013333333336"/>
    <n v="5800"/>
    <n v="8506.6666666666661"/>
    <n v="79066.680000000008"/>
    <n v="0"/>
    <n v="0"/>
    <n v="0"/>
    <n v="1"/>
    <n v="0"/>
    <n v="0"/>
    <n v="0"/>
    <n v="0"/>
    <n v="0"/>
    <n v="0"/>
    <n v="0"/>
    <n v="0"/>
  </r>
  <r>
    <s v="6PE226"/>
    <s v="Utbildningsvetenskap, undervisning och lärande - Ämneslärarprogrammet (UK)"/>
    <m/>
    <s v="LYAGY"/>
    <s v="H17"/>
    <s v="H19"/>
    <s v="H191-5"/>
    <m/>
    <m/>
    <s v="TYSK"/>
    <m/>
    <n v="100"/>
    <n v="8"/>
    <m/>
    <m/>
    <n v="1"/>
    <n v="0.13333333333333333"/>
    <n v="0.85"/>
    <n v="0.11333333333333333"/>
    <x v="0"/>
    <s v="Pedagogik                     "/>
    <s v="Sam"/>
    <s v="Ämneslärarprogrammet - Gy"/>
    <n v="23641"/>
    <n v="28786"/>
    <n v="6414.5466666666662"/>
    <n v="5800"/>
    <n v="773.33333333333337"/>
    <n v="7187.8799999999992"/>
    <n v="0"/>
    <n v="0"/>
    <n v="0"/>
    <n v="1"/>
    <n v="0"/>
    <n v="0"/>
    <n v="0"/>
    <n v="0"/>
    <n v="0"/>
    <n v="0"/>
    <n v="0"/>
    <n v="0"/>
  </r>
  <r>
    <s v="6PE226"/>
    <s v="Utbildningsvetenskap, undervisning och lärande - Ämneslärarprogrammet (UK)"/>
    <m/>
    <s v="LYAGY"/>
    <s v="H18"/>
    <s v="H19"/>
    <s v="H191-5"/>
    <m/>
    <m/>
    <s v="BIOL"/>
    <m/>
    <n v="100"/>
    <n v="8"/>
    <m/>
    <m/>
    <n v="3"/>
    <n v="0.4"/>
    <n v="0.85"/>
    <n v="0.34"/>
    <x v="0"/>
    <s v="Pedagogik                     "/>
    <s v="Sam"/>
    <s v="Ämneslärarprogrammet - Gy"/>
    <n v="23641"/>
    <n v="28786"/>
    <n v="19243.64"/>
    <n v="5800"/>
    <n v="2320"/>
    <n v="21563.64"/>
    <n v="0"/>
    <n v="0"/>
    <n v="0"/>
    <n v="1"/>
    <n v="0"/>
    <n v="0"/>
    <n v="0"/>
    <n v="0"/>
    <n v="0"/>
    <n v="0"/>
    <n v="0"/>
    <n v="0"/>
  </r>
  <r>
    <s v="6PE226"/>
    <s v="Utbildningsvetenskap, undervisning och lärande - Ämneslärarprogrammet (UK)"/>
    <m/>
    <s v="LYAGY"/>
    <s v="H18"/>
    <s v="H19"/>
    <s v="H191-5"/>
    <m/>
    <m/>
    <s v="HIST"/>
    <m/>
    <n v="100"/>
    <n v="8"/>
    <m/>
    <m/>
    <n v="1"/>
    <n v="0.13333333333333333"/>
    <n v="0.85"/>
    <n v="0.11333333333333333"/>
    <x v="0"/>
    <s v="Pedagogik                     "/>
    <s v="Sam"/>
    <s v="Ämneslärarprogrammet - Gy"/>
    <n v="23641"/>
    <n v="28786"/>
    <n v="6414.5466666666662"/>
    <n v="5800"/>
    <n v="773.33333333333337"/>
    <n v="7187.8799999999992"/>
    <n v="0"/>
    <n v="0"/>
    <n v="0"/>
    <n v="1"/>
    <n v="0"/>
    <n v="0"/>
    <n v="0"/>
    <n v="0"/>
    <n v="0"/>
    <n v="0"/>
    <n v="0"/>
    <n v="0"/>
  </r>
  <r>
    <s v="6PE226"/>
    <s v="Utbildningsvetenskap, undervisning och lärande - Ämneslärarprogrammet (UK)"/>
    <m/>
    <s v="LYAGY"/>
    <s v="H18"/>
    <s v="H19"/>
    <s v="H191-5"/>
    <m/>
    <m/>
    <s v="MATT"/>
    <m/>
    <n v="100"/>
    <n v="8"/>
    <m/>
    <m/>
    <n v="1"/>
    <n v="0.13333333333333333"/>
    <n v="0.85"/>
    <n v="0.11333333333333333"/>
    <x v="0"/>
    <s v="Pedagogik                     "/>
    <s v="Sam"/>
    <s v="Ämneslärarprogrammet - Gy"/>
    <n v="23641"/>
    <n v="28786"/>
    <n v="6414.5466666666662"/>
    <n v="5800"/>
    <n v="773.33333333333337"/>
    <n v="7187.8799999999992"/>
    <n v="0"/>
    <n v="0"/>
    <n v="0"/>
    <n v="1"/>
    <n v="0"/>
    <n v="0"/>
    <n v="0"/>
    <n v="0"/>
    <n v="0"/>
    <n v="0"/>
    <n v="0"/>
    <n v="0"/>
  </r>
  <r>
    <s v="6PE226"/>
    <s v="Utbildningsvetenskap, undervisning och lärande - Ämneslärarprogrammet (UK)"/>
    <m/>
    <s v="LYAGY"/>
    <s v="H18"/>
    <s v="H19"/>
    <s v="H191-5"/>
    <m/>
    <m/>
    <s v="SVAN"/>
    <m/>
    <n v="100"/>
    <n v="8"/>
    <m/>
    <m/>
    <n v="1"/>
    <n v="0.13333333333333333"/>
    <n v="0.85"/>
    <n v="0.11333333333333333"/>
    <x v="0"/>
    <s v="Pedagogik                     "/>
    <s v="Sam"/>
    <s v="Ämneslärarprogrammet - Gy"/>
    <n v="23641"/>
    <n v="28786"/>
    <n v="6414.5466666666662"/>
    <n v="5800"/>
    <n v="773.33333333333337"/>
    <n v="7187.8799999999992"/>
    <n v="0"/>
    <n v="0"/>
    <n v="0"/>
    <n v="1"/>
    <n v="0"/>
    <n v="0"/>
    <n v="0"/>
    <n v="0"/>
    <n v="0"/>
    <n v="0"/>
    <n v="0"/>
    <n v="0"/>
  </r>
  <r>
    <s v="6PE227"/>
    <s v="Den professionella läraren 2: Uppdrag, ledarskap och undervisning (UK)"/>
    <m/>
    <s v="LYKFO"/>
    <s v="V19"/>
    <s v="V19"/>
    <s v="V1912-14"/>
    <s v="Umeå"/>
    <m/>
    <m/>
    <m/>
    <n v="100"/>
    <n v="7.5"/>
    <m/>
    <m/>
    <n v="14"/>
    <n v="1.75"/>
    <n v="0.85"/>
    <n v="1.4875"/>
    <x v="0"/>
    <s v="Pedagogik                     "/>
    <s v="Sam"/>
    <s v="KPU - Förhöjd studietakt - utbildningsbidrag"/>
    <n v="23641"/>
    <n v="28786"/>
    <n v="84190.925000000003"/>
    <n v="5800"/>
    <n v="10150"/>
    <n v="94340.925000000003"/>
    <n v="0"/>
    <n v="0"/>
    <n v="0"/>
    <n v="1"/>
    <n v="0"/>
    <n v="0"/>
    <n v="0"/>
    <n v="0"/>
    <n v="0"/>
    <n v="0"/>
    <n v="0"/>
    <n v="0"/>
  </r>
  <r>
    <s v="6PE227"/>
    <s v="Den professionella läraren 2: Uppdrag, ledarskap och undervisning (UK)"/>
    <m/>
    <s v="LYKGR"/>
    <s v="H19"/>
    <s v="H19"/>
    <s v="H1912-14"/>
    <m/>
    <m/>
    <s v="FHHK"/>
    <m/>
    <n v="150"/>
    <n v="7.5"/>
    <m/>
    <m/>
    <n v="2"/>
    <n v="0.25"/>
    <n v="0.85"/>
    <n v="0.21249999999999999"/>
    <x v="0"/>
    <s v="Pedagogik                     "/>
    <s v="Sam"/>
    <s v="KPU - åk 7-9"/>
    <n v="23641"/>
    <n v="28786"/>
    <n v="12027.275"/>
    <n v="5800"/>
    <n v="1450"/>
    <n v="13477.275"/>
    <n v="0"/>
    <n v="0"/>
    <n v="0"/>
    <n v="1"/>
    <n v="0"/>
    <n v="0"/>
    <n v="0"/>
    <n v="0"/>
    <n v="0"/>
    <n v="0"/>
    <n v="0"/>
    <n v="0"/>
  </r>
  <r>
    <s v="6PE227"/>
    <s v="Den professionella läraren 2: Uppdrag, ledarskap och undervisning (UK)"/>
    <m/>
    <s v="LYKGR"/>
    <s v="H19"/>
    <s v="H19"/>
    <s v="H1912-14"/>
    <m/>
    <m/>
    <s v="FHOV"/>
    <m/>
    <n v="150"/>
    <n v="7.5"/>
    <m/>
    <m/>
    <n v="11"/>
    <n v="1.375"/>
    <n v="0.85"/>
    <n v="1.16875"/>
    <x v="0"/>
    <s v="Pedagogik                     "/>
    <s v="Sam"/>
    <s v="KPU - åk 7-9"/>
    <n v="23641"/>
    <n v="28786"/>
    <n v="66150.012499999997"/>
    <n v="5800"/>
    <n v="7975"/>
    <n v="74125.012499999997"/>
    <n v="0"/>
    <n v="0"/>
    <n v="0"/>
    <n v="1"/>
    <n v="0"/>
    <n v="0"/>
    <n v="0"/>
    <n v="0"/>
    <n v="0"/>
    <n v="0"/>
    <n v="0"/>
    <n v="0"/>
  </r>
  <r>
    <s v="6PE227"/>
    <s v="Den professionella läraren 2: Uppdrag, ledarskap och undervisning (UK)"/>
    <m/>
    <s v="LYKGR"/>
    <s v="H19"/>
    <s v="H19"/>
    <s v="H1912-14"/>
    <m/>
    <m/>
    <s v="FHSL"/>
    <m/>
    <n v="150"/>
    <n v="7.5"/>
    <m/>
    <m/>
    <n v="4"/>
    <n v="0.5"/>
    <n v="0.85"/>
    <n v="0.42499999999999999"/>
    <x v="0"/>
    <s v="Pedagogik                     "/>
    <s v="Sam"/>
    <s v="KPU - åk 7-9"/>
    <n v="23641"/>
    <n v="28786"/>
    <n v="24054.55"/>
    <n v="5800"/>
    <n v="2900"/>
    <n v="26954.55"/>
    <n v="0"/>
    <n v="0"/>
    <n v="0"/>
    <n v="1"/>
    <n v="0"/>
    <n v="0"/>
    <n v="0"/>
    <n v="0"/>
    <n v="0"/>
    <n v="0"/>
    <n v="0"/>
    <n v="0"/>
  </r>
  <r>
    <s v="6PE227"/>
    <s v="Den professionella läraren 2: Uppdrag, ledarskap och undervisning (UK)"/>
    <m/>
    <s v="LYKGY"/>
    <s v="H08"/>
    <s v="H19"/>
    <s v="H1912-14"/>
    <m/>
    <m/>
    <s v="FHOV"/>
    <m/>
    <n v="150"/>
    <n v="7.5"/>
    <m/>
    <m/>
    <n v="1"/>
    <n v="0.125"/>
    <n v="0.85"/>
    <n v="0.10625"/>
    <x v="0"/>
    <s v="Pedagogik                     "/>
    <s v="Sam"/>
    <s v="KPU - Gy"/>
    <n v="23641"/>
    <n v="28786"/>
    <n v="6013.6374999999998"/>
    <n v="5800"/>
    <n v="725"/>
    <n v="6738.6374999999998"/>
    <n v="0"/>
    <n v="0"/>
    <n v="0"/>
    <n v="1"/>
    <n v="0"/>
    <n v="0"/>
    <n v="0"/>
    <n v="0"/>
    <n v="0"/>
    <n v="0"/>
    <n v="0"/>
    <n v="0"/>
  </r>
  <r>
    <s v="6PE227"/>
    <s v="Den professionella läraren 2: Uppdrag, ledarskap och undervisning (UK)"/>
    <m/>
    <s v="LYKGY"/>
    <s v="H19"/>
    <s v="H19"/>
    <s v="H1912-14"/>
    <m/>
    <m/>
    <s v="FHFK"/>
    <m/>
    <n v="150"/>
    <n v="7.5"/>
    <m/>
    <m/>
    <n v="4"/>
    <n v="0.5"/>
    <n v="0.85"/>
    <n v="0.42499999999999999"/>
    <x v="0"/>
    <s v="Pedagogik                     "/>
    <s v="Sam"/>
    <s v="KPU - Gy"/>
    <n v="23641"/>
    <n v="28786"/>
    <n v="24054.55"/>
    <n v="5800"/>
    <n v="2900"/>
    <n v="26954.55"/>
    <n v="0"/>
    <n v="0"/>
    <n v="0"/>
    <n v="1"/>
    <n v="0"/>
    <n v="0"/>
    <n v="0"/>
    <n v="0"/>
    <n v="0"/>
    <n v="0"/>
    <n v="0"/>
    <n v="0"/>
  </r>
  <r>
    <s v="6PE227"/>
    <s v="Den professionella läraren 2: Uppdrag, ledarskap och undervisning (UK)"/>
    <m/>
    <s v="LYKGY"/>
    <s v="H19"/>
    <s v="H19"/>
    <s v="H1912-14"/>
    <m/>
    <m/>
    <s v="FHOV"/>
    <m/>
    <n v="150"/>
    <n v="7.5"/>
    <m/>
    <m/>
    <n v="18"/>
    <n v="2.25"/>
    <n v="0.85"/>
    <n v="1.9124999999999999"/>
    <x v="0"/>
    <s v="Pedagogik                     "/>
    <s v="Sam"/>
    <s v="KPU - Gy"/>
    <n v="23641"/>
    <n v="28786"/>
    <n v="108245.47500000001"/>
    <n v="5800"/>
    <n v="13050"/>
    <n v="121295.47500000001"/>
    <n v="0"/>
    <n v="0"/>
    <n v="0"/>
    <n v="1"/>
    <n v="0"/>
    <n v="0"/>
    <n v="0"/>
    <n v="0"/>
    <n v="0"/>
    <n v="0"/>
    <n v="0"/>
    <n v="0"/>
  </r>
  <r>
    <s v="6PE227"/>
    <s v="Den professionella läraren 2: Uppdrag, ledarskap och undervisning (UK)"/>
    <m/>
    <s v="LYKGY"/>
    <s v="H19"/>
    <s v="H19"/>
    <s v="H1912-14"/>
    <m/>
    <m/>
    <s v="GYFH"/>
    <m/>
    <n v="150"/>
    <n v="7.5"/>
    <m/>
    <m/>
    <n v="2"/>
    <n v="0.25"/>
    <n v="0.85"/>
    <n v="0.21249999999999999"/>
    <x v="0"/>
    <s v="Pedagogik                     "/>
    <s v="Sam"/>
    <s v="KPU - Gy"/>
    <n v="23641"/>
    <n v="28786"/>
    <n v="12027.275"/>
    <n v="5800"/>
    <n v="1450"/>
    <n v="13477.275"/>
    <n v="0"/>
    <n v="0"/>
    <n v="0"/>
    <n v="1"/>
    <n v="0"/>
    <n v="0"/>
    <n v="0"/>
    <n v="0"/>
    <n v="0"/>
    <n v="0"/>
    <n v="0"/>
    <n v="0"/>
  </r>
  <r>
    <s v="6PE228"/>
    <s v="Barnet, omvärlden och fritidshemmets uppdrag"/>
    <m/>
    <s v="LYGFR"/>
    <s v="H18"/>
    <s v="V19"/>
    <s v="V191-10"/>
    <s v="Umeå"/>
    <m/>
    <m/>
    <m/>
    <n v="100"/>
    <n v="15"/>
    <m/>
    <m/>
    <n v="1"/>
    <n v="0.25"/>
    <n v="0.85"/>
    <n v="0.21249999999999999"/>
    <x v="1"/>
    <s v="TUV "/>
    <s v="Sam"/>
    <s v="Grundlärarprogrammet - fritidshem"/>
    <n v="18405"/>
    <n v="15773"/>
    <n v="7953.0124999999998"/>
    <n v="5800"/>
    <n v="1450"/>
    <n v="9403.0125000000007"/>
    <n v="0"/>
    <n v="0"/>
    <n v="0"/>
    <n v="0"/>
    <n v="0"/>
    <n v="0"/>
    <n v="1"/>
    <n v="0"/>
    <n v="0"/>
    <n v="0"/>
    <n v="0"/>
    <n v="0"/>
  </r>
  <r>
    <s v="6PE228"/>
    <s v="Barnet, omvärlden och fritidshemmets uppdrag"/>
    <m/>
    <s v="LYGFR"/>
    <s v="H18"/>
    <s v="V19"/>
    <s v="V191-10"/>
    <s v="Umeå"/>
    <m/>
    <m/>
    <m/>
    <n v="100"/>
    <n v="15"/>
    <m/>
    <m/>
    <n v="25"/>
    <n v="6.25"/>
    <n v="0.85"/>
    <n v="5.3125"/>
    <x v="1"/>
    <s v="TUV "/>
    <s v="Sam"/>
    <s v="Grundlärarprogrammet - fritidshem"/>
    <n v="18405"/>
    <n v="15773"/>
    <n v="198825.3125"/>
    <n v="5800"/>
    <n v="36250"/>
    <n v="235075.3125"/>
    <n v="0"/>
    <n v="0"/>
    <n v="0"/>
    <n v="0"/>
    <n v="0"/>
    <n v="0"/>
    <n v="1"/>
    <n v="0"/>
    <n v="0"/>
    <n v="0"/>
    <n v="0"/>
    <n v="0"/>
  </r>
  <r>
    <s v="6PE229"/>
    <s v="Läraryrkets dimensioner för fritidshem 1 (VFU)"/>
    <m/>
    <s v="LYGFR"/>
    <s v="H17"/>
    <s v="V19"/>
    <s v="V1914-20"/>
    <s v="Umeå"/>
    <m/>
    <m/>
    <m/>
    <n v="100"/>
    <n v="11"/>
    <m/>
    <m/>
    <n v="15"/>
    <n v="2.75"/>
    <n v="0.85"/>
    <n v="2.3374999999999999"/>
    <x v="1"/>
    <s v="TUV "/>
    <s v="Sam"/>
    <s v="Grundlärarprogrammet - fritidshem"/>
    <n v="21634"/>
    <n v="26986"/>
    <n v="122573.27499999999"/>
    <n v="3400"/>
    <n v="9350"/>
    <n v="131923.27499999999"/>
    <n v="0"/>
    <n v="0"/>
    <n v="0"/>
    <n v="0"/>
    <n v="0"/>
    <n v="0"/>
    <n v="0"/>
    <n v="0"/>
    <n v="1"/>
    <n v="0"/>
    <n v="0"/>
    <n v="0"/>
  </r>
  <r>
    <s v="6PE234"/>
    <s v="Verksamhets förlagd utbildning (VFU)"/>
    <m/>
    <s v="LYKFO"/>
    <s v="V19"/>
    <s v="H19"/>
    <s v="H191-20"/>
    <m/>
    <m/>
    <m/>
    <m/>
    <n v="100"/>
    <n v="28.5"/>
    <m/>
    <m/>
    <n v="14"/>
    <n v="6.6499999999999995"/>
    <n v="0.85"/>
    <n v="5.652499999999999"/>
    <x v="9"/>
    <s v="NMD"/>
    <s v="TekNat"/>
    <s v="KPU - Förhöjd studietakt - utbildningsbidrag"/>
    <n v="21634"/>
    <n v="26986"/>
    <n v="296404.46499999997"/>
    <n v="3400"/>
    <n v="22610"/>
    <n v="319014.46499999997"/>
    <n v="0"/>
    <n v="0"/>
    <n v="0"/>
    <n v="0"/>
    <n v="0"/>
    <n v="0"/>
    <n v="0"/>
    <n v="0"/>
    <n v="1"/>
    <n v="0"/>
    <n v="0"/>
    <n v="0"/>
  </r>
  <r>
    <s v="6PE234"/>
    <s v="Verksamhets förlagd utbildning (VFU)"/>
    <m/>
    <s v="LYKGR"/>
    <s v="H17"/>
    <s v="V19"/>
    <s v="V191-20"/>
    <s v="Umeå"/>
    <m/>
    <m/>
    <m/>
    <n v="150"/>
    <n v="28.5"/>
    <m/>
    <m/>
    <n v="0"/>
    <n v="0"/>
    <n v="0.85"/>
    <n v="0"/>
    <x v="9"/>
    <s v="NMD"/>
    <s v="TekNat"/>
    <s v="KPU - åk 7-9"/>
    <n v="21634"/>
    <n v="26986"/>
    <n v="0"/>
    <n v="3400"/>
    <n v="0"/>
    <n v="0"/>
    <n v="0"/>
    <n v="0"/>
    <n v="0"/>
    <n v="0"/>
    <n v="0"/>
    <n v="0"/>
    <n v="0"/>
    <n v="0"/>
    <n v="1"/>
    <n v="0"/>
    <n v="0"/>
    <n v="0"/>
  </r>
  <r>
    <s v="6PE234"/>
    <s v="Verksamhets förlagd utbildning (VFU)"/>
    <m/>
    <s v="LYKGR"/>
    <s v="H18"/>
    <s v="V19"/>
    <s v="V191-20"/>
    <s v="Umeå"/>
    <m/>
    <m/>
    <m/>
    <n v="150"/>
    <n v="28.5"/>
    <m/>
    <m/>
    <n v="11"/>
    <n v="5.2249999999999996"/>
    <n v="0.85"/>
    <n v="4.4412499999999993"/>
    <x v="9"/>
    <s v="NMD"/>
    <s v="TekNat"/>
    <s v="KPU - åk 7-9"/>
    <n v="21634"/>
    <n v="26986"/>
    <n v="232889.22249999997"/>
    <n v="3400"/>
    <n v="17765"/>
    <n v="250654.22249999997"/>
    <n v="0"/>
    <n v="0"/>
    <n v="0"/>
    <n v="0"/>
    <n v="0"/>
    <n v="0"/>
    <n v="0"/>
    <n v="0"/>
    <n v="1"/>
    <n v="0"/>
    <n v="0"/>
    <n v="0"/>
  </r>
  <r>
    <s v="6PE234"/>
    <s v="Verksamhets förlagd utbildning (VFU)"/>
    <m/>
    <s v="LYKGY"/>
    <s v="H16"/>
    <s v="V19"/>
    <s v="V191-20"/>
    <s v="Umeå"/>
    <m/>
    <m/>
    <m/>
    <n v="150"/>
    <n v="28.5"/>
    <m/>
    <m/>
    <n v="1"/>
    <n v="0.47499999999999998"/>
    <n v="0.85"/>
    <n v="0.40375"/>
    <x v="9"/>
    <s v="NMD"/>
    <s v="TekNat"/>
    <s v="KPU - Gy"/>
    <n v="21634"/>
    <n v="26986"/>
    <n v="21171.747499999998"/>
    <n v="3400"/>
    <n v="1615"/>
    <n v="22786.747499999998"/>
    <n v="0"/>
    <n v="0"/>
    <n v="0"/>
    <n v="0"/>
    <n v="0"/>
    <n v="0"/>
    <n v="0"/>
    <n v="0"/>
    <n v="1"/>
    <n v="0"/>
    <n v="0"/>
    <n v="0"/>
  </r>
  <r>
    <s v="6PE234"/>
    <s v="Verksamhets förlagd utbildning (VFU)"/>
    <m/>
    <s v="LYKGY"/>
    <s v="H18"/>
    <s v="V19"/>
    <s v="V191-20"/>
    <s v="Umeå"/>
    <m/>
    <m/>
    <m/>
    <n v="150"/>
    <n v="28.5"/>
    <m/>
    <m/>
    <n v="13"/>
    <n v="6.1749999999999998"/>
    <n v="0.85"/>
    <n v="5.2487499999999994"/>
    <x v="9"/>
    <s v="NMD"/>
    <s v="TekNat"/>
    <s v="KPU - Gy"/>
    <n v="21634"/>
    <n v="26986"/>
    <n v="275232.71749999997"/>
    <n v="3400"/>
    <n v="20995"/>
    <n v="296227.71749999997"/>
    <n v="0"/>
    <n v="0"/>
    <n v="0"/>
    <n v="0"/>
    <n v="0"/>
    <n v="0"/>
    <n v="0"/>
    <n v="0"/>
    <n v="1"/>
    <n v="0"/>
    <n v="0"/>
    <n v="0"/>
  </r>
  <r>
    <s v="6PE235"/>
    <s v="Examensarbete med ämnesdidaktisk inriktning (UK)"/>
    <m/>
    <s v="LYKFO"/>
    <s v="V19"/>
    <s v="V19"/>
    <s v="V1919-20:H191-20"/>
    <s v="Umeå"/>
    <m/>
    <m/>
    <m/>
    <n v="33"/>
    <n v="2.2999999999999998"/>
    <m/>
    <m/>
    <n v="13"/>
    <n v="0.49833333333333329"/>
    <n v="0.85"/>
    <n v="0.42358333333333331"/>
    <x v="9"/>
    <s v="NMD"/>
    <s v="TekNat"/>
    <s v="KPU - Förhöjd studietakt - utbildningsbidrag"/>
    <n v="23641"/>
    <n v="28786"/>
    <n v="23974.368166666663"/>
    <n v="5800"/>
    <n v="2890.333333333333"/>
    <n v="26864.701499999996"/>
    <n v="0"/>
    <n v="0"/>
    <n v="0"/>
    <n v="1"/>
    <n v="0"/>
    <n v="0"/>
    <n v="0"/>
    <n v="0"/>
    <n v="0"/>
    <n v="0"/>
    <n v="0"/>
    <n v="0"/>
  </r>
  <r>
    <s v="6PE235"/>
    <s v="Examensarbete med ämnesdidaktisk inriktning (UK)"/>
    <m/>
    <s v="LYKFO"/>
    <s v="V19"/>
    <s v="H19"/>
    <s v="V1919-20:H191-20"/>
    <m/>
    <m/>
    <m/>
    <m/>
    <n v="33"/>
    <n v="12.7"/>
    <m/>
    <m/>
    <n v="13"/>
    <n v="2.7516666666666665"/>
    <n v="0.85"/>
    <n v="2.3389166666666665"/>
    <x v="9"/>
    <s v="NMD"/>
    <s v="TekNat"/>
    <s v="KPU - Förhöjd studietakt - utbildningsbidrag"/>
    <n v="23641"/>
    <n v="28786"/>
    <n v="132380.20683333333"/>
    <n v="5800"/>
    <n v="15959.666666666666"/>
    <n v="148339.87349999999"/>
    <n v="0"/>
    <n v="0"/>
    <n v="0"/>
    <n v="1"/>
    <n v="0"/>
    <n v="0"/>
    <n v="0"/>
    <n v="0"/>
    <n v="0"/>
    <n v="0"/>
    <n v="0"/>
    <n v="0"/>
  </r>
  <r>
    <s v="6PE235"/>
    <s v="Examensarbete med ämnesdidaktisk inriktning (UK)"/>
    <m/>
    <s v="LYKGR"/>
    <s v="H17"/>
    <s v="V19"/>
    <s v="V191-20"/>
    <s v="Umeå"/>
    <m/>
    <m/>
    <m/>
    <n v="150"/>
    <n v="15"/>
    <m/>
    <m/>
    <n v="1"/>
    <n v="0.25"/>
    <n v="0.85"/>
    <n v="0.21249999999999999"/>
    <x v="9"/>
    <s v="NMD"/>
    <s v="TekNat"/>
    <s v="KPU - åk 7-9"/>
    <n v="23641"/>
    <n v="28786"/>
    <n v="12027.275"/>
    <n v="5800"/>
    <n v="1450"/>
    <n v="13477.275"/>
    <n v="0"/>
    <n v="0"/>
    <n v="0"/>
    <n v="1"/>
    <n v="0"/>
    <n v="0"/>
    <n v="0"/>
    <n v="0"/>
    <n v="0"/>
    <n v="0"/>
    <n v="0"/>
    <n v="0"/>
  </r>
  <r>
    <s v="6PE235"/>
    <s v="Examensarbete med ämnesdidaktisk inriktning (UK)"/>
    <m/>
    <s v="LYKGR"/>
    <s v="H18"/>
    <s v="V19"/>
    <s v="V191-20"/>
    <s v="Umeå"/>
    <m/>
    <m/>
    <m/>
    <n v="150"/>
    <n v="15"/>
    <m/>
    <m/>
    <n v="13"/>
    <n v="3.25"/>
    <n v="0.85"/>
    <n v="2.7624999999999997"/>
    <x v="9"/>
    <s v="NMD"/>
    <s v="TekNat"/>
    <s v="KPU - åk 7-9"/>
    <n v="23641"/>
    <n v="28786"/>
    <n v="156354.57500000001"/>
    <n v="5800"/>
    <n v="18850"/>
    <n v="175204.57500000001"/>
    <n v="0"/>
    <n v="0"/>
    <n v="0"/>
    <n v="1"/>
    <n v="0"/>
    <n v="0"/>
    <n v="0"/>
    <n v="0"/>
    <n v="0"/>
    <n v="0"/>
    <n v="0"/>
    <n v="0"/>
  </r>
  <r>
    <s v="6PE235"/>
    <s v="Examensarbete med ämnesdidaktisk inriktning (UK)"/>
    <m/>
    <s v="LYKGY"/>
    <s v="H16"/>
    <s v="V19"/>
    <s v="V191-20"/>
    <s v="Umeå"/>
    <m/>
    <m/>
    <m/>
    <n v="150"/>
    <n v="15"/>
    <m/>
    <m/>
    <n v="1"/>
    <n v="0.25"/>
    <n v="0.85"/>
    <n v="0.21249999999999999"/>
    <x v="9"/>
    <s v="NMD"/>
    <s v="TekNat"/>
    <s v="KPU - Gy"/>
    <n v="23641"/>
    <n v="28786"/>
    <n v="12027.275"/>
    <n v="5800"/>
    <n v="1450"/>
    <n v="13477.275"/>
    <n v="0"/>
    <n v="0"/>
    <n v="0"/>
    <n v="1"/>
    <n v="0"/>
    <n v="0"/>
    <n v="0"/>
    <n v="0"/>
    <n v="0"/>
    <n v="0"/>
    <n v="0"/>
    <n v="0"/>
  </r>
  <r>
    <s v="6PE235"/>
    <s v="Examensarbete med ämnesdidaktisk inriktning (UK)"/>
    <m/>
    <s v="LYKGY"/>
    <s v="H18"/>
    <s v="V19"/>
    <s v="V191-20"/>
    <s v="Umeå"/>
    <m/>
    <m/>
    <m/>
    <n v="150"/>
    <n v="15"/>
    <m/>
    <m/>
    <n v="13"/>
    <n v="3.25"/>
    <n v="0.85"/>
    <n v="2.7624999999999997"/>
    <x v="9"/>
    <s v="NMD"/>
    <s v="TekNat"/>
    <s v="KPU - Gy"/>
    <n v="23641"/>
    <n v="28786"/>
    <n v="156354.57500000001"/>
    <n v="5800"/>
    <n v="18850"/>
    <n v="175204.57500000001"/>
    <n v="0"/>
    <n v="0"/>
    <n v="0"/>
    <n v="1"/>
    <n v="0"/>
    <n v="0"/>
    <n v="0"/>
    <n v="0"/>
    <n v="0"/>
    <n v="0"/>
    <n v="0"/>
    <n v="0"/>
  </r>
  <r>
    <s v="6PE236"/>
    <s v="Bedömning för och av lärande i grundskolan (UK)"/>
    <m/>
    <s v="LYGFR"/>
    <s v="H17"/>
    <s v="V19"/>
    <s v="V197-13"/>
    <s v="Umeå"/>
    <m/>
    <m/>
    <m/>
    <n v="100"/>
    <n v="11"/>
    <m/>
    <m/>
    <n v="13"/>
    <n v="2.3833333333333333"/>
    <n v="0.85"/>
    <n v="2.0258333333333334"/>
    <x v="9"/>
    <s v="NMD"/>
    <s v="TekNat"/>
    <s v="Grundlärarprogrammet - fritidshem"/>
    <n v="23641"/>
    <n v="28786"/>
    <n v="114660.02166666667"/>
    <n v="5800"/>
    <n v="13823.333333333334"/>
    <n v="128483.355"/>
    <n v="0"/>
    <n v="0"/>
    <n v="0"/>
    <n v="1"/>
    <n v="0"/>
    <n v="0"/>
    <n v="0"/>
    <n v="0"/>
    <n v="0"/>
    <n v="0"/>
    <n v="0"/>
    <n v="0"/>
  </r>
  <r>
    <s v="6PE236"/>
    <s v="Bedömning för och av lärande i grundskolan (UK)"/>
    <m/>
    <s v="LYGFT"/>
    <s v="H17"/>
    <s v="V19"/>
    <s v="V197-13"/>
    <s v="Umeå"/>
    <m/>
    <m/>
    <m/>
    <n v="100"/>
    <n v="11"/>
    <m/>
    <m/>
    <n v="35"/>
    <n v="6.4166666666666661"/>
    <n v="0.85"/>
    <n v="5.4541666666666657"/>
    <x v="9"/>
    <s v="NMD"/>
    <s v="TekNat"/>
    <s v="Grundlärarprogrammet - förskoleklass och åk 1-3"/>
    <n v="23641"/>
    <n v="28786"/>
    <n v="308700.05833333329"/>
    <n v="5800"/>
    <n v="37216.666666666664"/>
    <n v="345916.72499999998"/>
    <n v="0"/>
    <n v="0"/>
    <n v="0"/>
    <n v="1"/>
    <n v="0"/>
    <n v="0"/>
    <n v="0"/>
    <n v="0"/>
    <n v="0"/>
    <n v="0"/>
    <n v="0"/>
    <n v="0"/>
  </r>
  <r>
    <s v="6PE236"/>
    <s v="Bedömning för och av lärande i grundskolan (UK)"/>
    <m/>
    <s v="LYGRM"/>
    <s v="H16"/>
    <s v="V19"/>
    <s v="V197-13"/>
    <s v="Umeå"/>
    <m/>
    <m/>
    <m/>
    <n v="100"/>
    <n v="11"/>
    <m/>
    <m/>
    <n v="1"/>
    <n v="0.18333333333333332"/>
    <n v="0.85"/>
    <n v="0.15583333333333332"/>
    <x v="9"/>
    <s v="NMD"/>
    <s v="TekNat"/>
    <s v="Grundlärarprogrammet - grundskolans åk 4-6"/>
    <n v="23641"/>
    <n v="28786"/>
    <n v="8820.001666666667"/>
    <n v="5800"/>
    <n v="1063.3333333333333"/>
    <n v="9883.3350000000009"/>
    <n v="0"/>
    <n v="0"/>
    <n v="0"/>
    <n v="1"/>
    <n v="0"/>
    <n v="0"/>
    <n v="0"/>
    <n v="0"/>
    <n v="0"/>
    <n v="0"/>
    <n v="0"/>
    <n v="0"/>
  </r>
  <r>
    <s v="6PE236"/>
    <s v="Bedömning för och av lärande i grundskolan (UK)"/>
    <m/>
    <s v="LYGRM"/>
    <s v="H17"/>
    <s v="V19"/>
    <s v="V197-13"/>
    <s v="Umeå"/>
    <m/>
    <m/>
    <m/>
    <n v="100"/>
    <n v="11"/>
    <m/>
    <m/>
    <n v="32"/>
    <n v="5.8666666666666663"/>
    <n v="0.85"/>
    <n v="4.9866666666666664"/>
    <x v="9"/>
    <s v="NMD"/>
    <s v="TekNat"/>
    <s v="Grundlärarprogrammet - grundskolans åk 4-6"/>
    <n v="23641"/>
    <n v="28786"/>
    <n v="282240.05333333334"/>
    <n v="5800"/>
    <n v="34026.666666666664"/>
    <n v="316266.72000000003"/>
    <n v="0"/>
    <n v="0"/>
    <n v="0"/>
    <n v="1"/>
    <n v="0"/>
    <n v="0"/>
    <n v="0"/>
    <n v="0"/>
    <n v="0"/>
    <n v="0"/>
    <n v="0"/>
    <n v="0"/>
  </r>
  <r>
    <s v="6PE237"/>
    <s v="Bedömning för lärande i förskolan (UK)"/>
    <m/>
    <s v="LYFSK"/>
    <s v="H16"/>
    <s v="V19"/>
    <s v="H1817-20:V191-3"/>
    <s v="Umeå"/>
    <m/>
    <m/>
    <m/>
    <n v="100"/>
    <n v="4"/>
    <m/>
    <m/>
    <n v="3"/>
    <n v="0.2"/>
    <n v="0.85"/>
    <n v="0.17"/>
    <x v="9"/>
    <s v="NMD"/>
    <s v="TekNat"/>
    <s v="Förskollärarprogrammet"/>
    <n v="23641"/>
    <n v="28786"/>
    <n v="9621.82"/>
    <n v="5800"/>
    <n v="1160"/>
    <n v="10781.82"/>
    <n v="0"/>
    <n v="0"/>
    <n v="0"/>
    <n v="1"/>
    <n v="0"/>
    <n v="0"/>
    <n v="0"/>
    <n v="0"/>
    <n v="0"/>
    <n v="0"/>
    <n v="0"/>
    <n v="0"/>
  </r>
  <r>
    <s v="6PE237"/>
    <s v="Bedömning för lärande i förskolan (UK)"/>
    <m/>
    <s v="LYFSK"/>
    <s v="H16"/>
    <s v="H19"/>
    <s v="V1917-20:H191-3"/>
    <m/>
    <m/>
    <m/>
    <m/>
    <n v="100"/>
    <n v="4"/>
    <m/>
    <m/>
    <n v="1"/>
    <n v="6.6666666666666666E-2"/>
    <n v="0.85"/>
    <n v="5.6666666666666664E-2"/>
    <x v="9"/>
    <s v="NMD"/>
    <s v="TekNat"/>
    <s v="Förskollärarprogrammet"/>
    <n v="23641"/>
    <n v="28786"/>
    <n v="3207.2733333333331"/>
    <n v="5800"/>
    <n v="386.66666666666669"/>
    <n v="3593.9399999999996"/>
    <n v="0"/>
    <n v="0"/>
    <n v="0"/>
    <n v="1"/>
    <n v="0"/>
    <n v="0"/>
    <n v="0"/>
    <n v="0"/>
    <n v="0"/>
    <n v="0"/>
    <n v="0"/>
    <n v="0"/>
  </r>
  <r>
    <s v="6PE237"/>
    <s v="Bedömning för lärande i förskolan (UK)"/>
    <m/>
    <s v="LYFSK"/>
    <s v="H17"/>
    <s v="V19"/>
    <s v="V1917-20:H191-3"/>
    <s v="Umeå"/>
    <m/>
    <m/>
    <m/>
    <n v="100"/>
    <n v="6"/>
    <m/>
    <m/>
    <n v="32"/>
    <n v="3.2"/>
    <n v="0.85"/>
    <n v="2.72"/>
    <x v="9"/>
    <s v="NMD"/>
    <s v="TekNat"/>
    <s v="Förskollärarprogrammet"/>
    <n v="23641"/>
    <n v="28786"/>
    <n v="153949.12"/>
    <n v="5800"/>
    <n v="18560"/>
    <n v="172509.12"/>
    <n v="0"/>
    <n v="0"/>
    <n v="0"/>
    <n v="1"/>
    <n v="0"/>
    <n v="0"/>
    <n v="0"/>
    <n v="0"/>
    <n v="0"/>
    <n v="0"/>
    <n v="0"/>
    <n v="0"/>
  </r>
  <r>
    <s v="6PE237"/>
    <s v="Bedömning för lärande i förskolan (UK)"/>
    <m/>
    <s v="LYFSK"/>
    <s v="H17"/>
    <s v="H19"/>
    <s v="H1917-20:V201-3"/>
    <m/>
    <m/>
    <m/>
    <m/>
    <n v="100"/>
    <n v="6"/>
    <m/>
    <m/>
    <n v="4"/>
    <n v="0.4"/>
    <n v="0.85"/>
    <n v="0.34"/>
    <x v="9"/>
    <s v="NMD"/>
    <s v="TekNat"/>
    <s v="Förskollärarprogrammet"/>
    <n v="23641"/>
    <n v="28786"/>
    <n v="19243.64"/>
    <n v="5800"/>
    <n v="2320"/>
    <n v="21563.64"/>
    <n v="0"/>
    <n v="0"/>
    <n v="0"/>
    <n v="1"/>
    <n v="0"/>
    <n v="0"/>
    <n v="0"/>
    <n v="0"/>
    <n v="0"/>
    <n v="0"/>
    <n v="0"/>
    <n v="0"/>
  </r>
  <r>
    <s v="6PE237"/>
    <s v="Bedömning för lärande i förskolan (UK)"/>
    <m/>
    <s v="LYFSK"/>
    <s v="H17"/>
    <s v="H19"/>
    <s v="V1917-20:H191-3"/>
    <m/>
    <m/>
    <m/>
    <m/>
    <n v="100"/>
    <n v="4"/>
    <m/>
    <m/>
    <n v="30"/>
    <n v="2"/>
    <n v="0.85"/>
    <n v="1.7"/>
    <x v="9"/>
    <s v="NMD"/>
    <s v="TekNat"/>
    <s v="Förskollärarprogrammet"/>
    <n v="23641"/>
    <n v="28786"/>
    <n v="96218.2"/>
    <n v="5800"/>
    <n v="11600"/>
    <n v="107818.2"/>
    <n v="0"/>
    <n v="0"/>
    <n v="0"/>
    <n v="1"/>
    <n v="0"/>
    <n v="0"/>
    <n v="0"/>
    <n v="0"/>
    <n v="0"/>
    <n v="0"/>
    <n v="0"/>
    <n v="0"/>
  </r>
  <r>
    <s v="6PE237"/>
    <s v="Bedömning för lärande i förskolan (UK)"/>
    <m/>
    <s v="LYFSK"/>
    <s v="V16"/>
    <s v="V19"/>
    <s v="H1817-20:V191-3"/>
    <s v="Umeå"/>
    <m/>
    <m/>
    <m/>
    <n v="100"/>
    <n v="4"/>
    <m/>
    <m/>
    <n v="1"/>
    <n v="6.6666666666666666E-2"/>
    <n v="0.85"/>
    <n v="5.6666666666666664E-2"/>
    <x v="9"/>
    <s v="NMD"/>
    <s v="TekNat"/>
    <s v="Förskollärarprogrammet"/>
    <n v="23641"/>
    <n v="28786"/>
    <n v="3207.2733333333331"/>
    <n v="5800"/>
    <n v="386.66666666666669"/>
    <n v="3593.9399999999996"/>
    <n v="0"/>
    <n v="0"/>
    <n v="0"/>
    <n v="1"/>
    <n v="0"/>
    <n v="0"/>
    <n v="0"/>
    <n v="0"/>
    <n v="0"/>
    <n v="0"/>
    <n v="0"/>
    <n v="0"/>
  </r>
  <r>
    <s v="6PE237"/>
    <s v="Bedömning för lärande i förskolan (UK)"/>
    <m/>
    <s v="LYFSK"/>
    <s v="V17"/>
    <s v="V19"/>
    <s v="H1817-20:V191-3"/>
    <s v="Umeå"/>
    <m/>
    <m/>
    <m/>
    <n v="100"/>
    <n v="4"/>
    <m/>
    <m/>
    <n v="19"/>
    <n v="1.2666666666666666"/>
    <n v="0.85"/>
    <n v="1.0766666666666667"/>
    <x v="9"/>
    <s v="NMD"/>
    <s v="TekNat"/>
    <s v="Förskollärarprogrammet"/>
    <n v="23641"/>
    <n v="28786"/>
    <n v="60938.193333333329"/>
    <n v="5800"/>
    <n v="7346.6666666666661"/>
    <n v="68284.86"/>
    <n v="0"/>
    <n v="0"/>
    <n v="0"/>
    <n v="1"/>
    <n v="0"/>
    <n v="0"/>
    <n v="0"/>
    <n v="0"/>
    <n v="0"/>
    <n v="0"/>
    <n v="0"/>
    <n v="0"/>
  </r>
  <r>
    <s v="6PE237"/>
    <s v="Bedömning för lärande i förskolan (UK)"/>
    <m/>
    <s v="LYFSK"/>
    <s v="V17"/>
    <s v="H19"/>
    <s v="V1917-20:H191-3"/>
    <m/>
    <m/>
    <m/>
    <m/>
    <n v="100"/>
    <n v="4"/>
    <m/>
    <m/>
    <n v="2"/>
    <n v="0.13333333333333333"/>
    <n v="0.85"/>
    <n v="0.11333333333333333"/>
    <x v="9"/>
    <s v="NMD"/>
    <s v="TekNat"/>
    <s v="Förskollärarprogrammet"/>
    <n v="23641"/>
    <n v="28786"/>
    <n v="6414.5466666666662"/>
    <n v="5800"/>
    <n v="773.33333333333337"/>
    <n v="7187.8799999999992"/>
    <n v="0"/>
    <n v="0"/>
    <n v="0"/>
    <n v="1"/>
    <n v="0"/>
    <n v="0"/>
    <n v="0"/>
    <n v="0"/>
    <n v="0"/>
    <n v="0"/>
    <n v="0"/>
    <n v="0"/>
  </r>
  <r>
    <s v="6PE237"/>
    <s v="Bedömning för lärande i förskolan (UK)"/>
    <m/>
    <s v="LYFSK"/>
    <s v="V18"/>
    <s v="H19"/>
    <s v="H1917-20:V201-3"/>
    <s v="Umeå"/>
    <m/>
    <m/>
    <m/>
    <n v="100"/>
    <n v="6"/>
    <m/>
    <m/>
    <n v="23"/>
    <n v="2.3000000000000003"/>
    <n v="0.85"/>
    <n v="1.9550000000000001"/>
    <x v="9"/>
    <s v="NMD"/>
    <s v="TekNat"/>
    <s v="Förskollärarprogrammet"/>
    <n v="23641"/>
    <n v="28786"/>
    <n v="110650.93000000001"/>
    <n v="5800"/>
    <n v="13340.000000000002"/>
    <n v="123990.93000000001"/>
    <n v="0"/>
    <n v="0"/>
    <n v="0"/>
    <n v="1"/>
    <n v="0"/>
    <n v="0"/>
    <n v="0"/>
    <n v="0"/>
    <n v="0"/>
    <n v="0"/>
    <n v="0"/>
    <n v="0"/>
  </r>
  <r>
    <s v="6PE237"/>
    <s v="Bedömning för lärande i förskolan (UK)"/>
    <m/>
    <s v="LYFSK"/>
    <s v="V18"/>
    <s v="H19"/>
    <s v="H1917-20:V201-3"/>
    <s v="Ö-vik"/>
    <m/>
    <m/>
    <m/>
    <n v="100"/>
    <n v="6"/>
    <m/>
    <m/>
    <n v="16"/>
    <n v="1.6"/>
    <n v="0.85"/>
    <n v="1.36"/>
    <x v="9"/>
    <s v="NMD"/>
    <s v="TekNat"/>
    <s v="Förskollärarprogrammet"/>
    <n v="23641"/>
    <n v="28786"/>
    <n v="76974.559999999998"/>
    <n v="5800"/>
    <n v="9280"/>
    <n v="86254.56"/>
    <n v="0"/>
    <n v="0"/>
    <n v="0"/>
    <n v="1"/>
    <n v="0"/>
    <n v="0"/>
    <n v="0"/>
    <n v="0"/>
    <n v="0"/>
    <n v="0"/>
    <n v="0"/>
    <n v="0"/>
  </r>
  <r>
    <s v="6PE238"/>
    <s v="Bedömning för och av lärande för åk 7-9 och gymnasium (UK)"/>
    <m/>
    <s v="LYAGR"/>
    <s v="H17"/>
    <s v="H19"/>
    <s v="H196-12"/>
    <m/>
    <m/>
    <s v="TXBI"/>
    <m/>
    <n v="100"/>
    <n v="11"/>
    <m/>
    <m/>
    <n v="4"/>
    <n v="0.73333333333333328"/>
    <n v="0.85"/>
    <n v="0.62333333333333329"/>
    <x v="9"/>
    <s v="NMD"/>
    <s v="TekNat"/>
    <s v="Ämneslärarprogrammet - åk 7-9"/>
    <n v="23641"/>
    <n v="28786"/>
    <n v="35280.006666666668"/>
    <n v="5800"/>
    <n v="4253.333333333333"/>
    <n v="39533.340000000004"/>
    <n v="0"/>
    <n v="0"/>
    <n v="0"/>
    <n v="1"/>
    <n v="0"/>
    <n v="0"/>
    <n v="0"/>
    <n v="0"/>
    <n v="0"/>
    <n v="0"/>
    <n v="0"/>
    <n v="0"/>
  </r>
  <r>
    <s v="6PE238"/>
    <s v="Bedömning för och av lärande för åk 7-9 och gymnasium (UK)"/>
    <m/>
    <s v="LYAGY"/>
    <s v="H15"/>
    <s v="H19"/>
    <s v="H196-12"/>
    <m/>
    <m/>
    <s v="MATT"/>
    <m/>
    <n v="100"/>
    <n v="11"/>
    <m/>
    <m/>
    <n v="2"/>
    <n v="0.36666666666666664"/>
    <n v="0.85"/>
    <n v="0.31166666666666665"/>
    <x v="9"/>
    <s v="NMD"/>
    <s v="TekNat"/>
    <s v="Ämneslärarprogrammet - Gy"/>
    <n v="23641"/>
    <n v="28786"/>
    <n v="17640.003333333334"/>
    <n v="5800"/>
    <n v="2126.6666666666665"/>
    <n v="19766.670000000002"/>
    <n v="0"/>
    <n v="0"/>
    <n v="0"/>
    <n v="1"/>
    <n v="0"/>
    <n v="0"/>
    <n v="0"/>
    <n v="0"/>
    <n v="0"/>
    <n v="0"/>
    <n v="0"/>
    <n v="0"/>
  </r>
  <r>
    <s v="6PE238"/>
    <s v="Bedömning för och av lärande för åk 7-9 och gymnasium (UK)"/>
    <m/>
    <s v="LYAGY"/>
    <s v="H16"/>
    <s v="H19"/>
    <s v="H196-12"/>
    <m/>
    <m/>
    <s v="MATT"/>
    <m/>
    <n v="100"/>
    <n v="11"/>
    <m/>
    <m/>
    <n v="3"/>
    <n v="0.54999999999999993"/>
    <n v="0.85"/>
    <n v="0.46749999999999992"/>
    <x v="9"/>
    <s v="NMD"/>
    <s v="TekNat"/>
    <s v="Ämneslärarprogrammet - Gy"/>
    <n v="23641"/>
    <n v="28786"/>
    <n v="26460.004999999997"/>
    <n v="5800"/>
    <n v="3189.9999999999995"/>
    <n v="29650.004999999997"/>
    <n v="0"/>
    <n v="0"/>
    <n v="0"/>
    <n v="1"/>
    <n v="0"/>
    <n v="0"/>
    <n v="0"/>
    <n v="0"/>
    <n v="0"/>
    <n v="0"/>
    <n v="0"/>
    <n v="0"/>
  </r>
  <r>
    <s v="6PE238"/>
    <s v="Bedömning för och av lärande för åk 7-9 och gymnasium (UK)"/>
    <m/>
    <s v="LYAGY"/>
    <s v="H16"/>
    <s v="H19"/>
    <s v="H196-12"/>
    <m/>
    <m/>
    <s v="MUSI"/>
    <m/>
    <n v="100"/>
    <n v="11"/>
    <m/>
    <m/>
    <n v="1"/>
    <n v="0.18333333333333332"/>
    <n v="0.85"/>
    <n v="0.15583333333333332"/>
    <x v="9"/>
    <s v="NMD"/>
    <s v="TekNat"/>
    <s v="Ämneslärarprogrammet - Gy"/>
    <n v="23641"/>
    <n v="28786"/>
    <n v="8820.001666666667"/>
    <n v="5800"/>
    <n v="1063.3333333333333"/>
    <n v="9883.3350000000009"/>
    <n v="0"/>
    <n v="0"/>
    <n v="0"/>
    <n v="1"/>
    <n v="0"/>
    <n v="0"/>
    <n v="0"/>
    <n v="0"/>
    <n v="0"/>
    <n v="0"/>
    <n v="0"/>
    <n v="0"/>
  </r>
  <r>
    <s v="6PE238"/>
    <s v="Bedömning för och av lärande för åk 7-9 och gymnasium (UK)"/>
    <m/>
    <s v="LYAGY"/>
    <s v="H16"/>
    <s v="H19"/>
    <s v="H196-12"/>
    <m/>
    <m/>
    <s v="RELK"/>
    <m/>
    <n v="100"/>
    <n v="11"/>
    <m/>
    <m/>
    <n v="1"/>
    <n v="0.18333333333333332"/>
    <n v="0.85"/>
    <n v="0.15583333333333332"/>
    <x v="9"/>
    <s v="NMD"/>
    <s v="TekNat"/>
    <s v="Ämneslärarprogrammet - Gy"/>
    <n v="23641"/>
    <n v="28786"/>
    <n v="8820.001666666667"/>
    <n v="5800"/>
    <n v="1063.3333333333333"/>
    <n v="9883.3350000000009"/>
    <n v="0"/>
    <n v="0"/>
    <n v="0"/>
    <n v="1"/>
    <n v="0"/>
    <n v="0"/>
    <n v="0"/>
    <n v="0"/>
    <n v="0"/>
    <n v="0"/>
    <n v="0"/>
    <n v="0"/>
  </r>
  <r>
    <s v="6PE238"/>
    <s v="Bedömning för och av lärande för åk 7-9 och gymnasium (UK)"/>
    <m/>
    <s v="LYAGY"/>
    <s v="H16"/>
    <s v="H19"/>
    <s v="H196-12"/>
    <m/>
    <m/>
    <s v="SAMK"/>
    <m/>
    <n v="100"/>
    <n v="11"/>
    <m/>
    <m/>
    <n v="1"/>
    <n v="0.18333333333333332"/>
    <n v="0.85"/>
    <n v="0.15583333333333332"/>
    <x v="9"/>
    <s v="NMD"/>
    <s v="TekNat"/>
    <s v="Ämneslärarprogrammet - Gy"/>
    <n v="23641"/>
    <n v="28786"/>
    <n v="8820.001666666667"/>
    <n v="5800"/>
    <n v="1063.3333333333333"/>
    <n v="9883.3350000000009"/>
    <n v="0"/>
    <n v="0"/>
    <n v="0"/>
    <n v="1"/>
    <n v="0"/>
    <n v="0"/>
    <n v="0"/>
    <n v="0"/>
    <n v="0"/>
    <n v="0"/>
    <n v="0"/>
    <n v="0"/>
  </r>
  <r>
    <s v="6PE238"/>
    <s v="Bedömning för och av lärande för åk 7-9 och gymnasium (UK)"/>
    <m/>
    <s v="LYAGY"/>
    <s v="H17"/>
    <s v="H19"/>
    <s v="H196-12"/>
    <m/>
    <m/>
    <s v="BIOL"/>
    <m/>
    <n v="100"/>
    <n v="11"/>
    <m/>
    <m/>
    <n v="1"/>
    <n v="0.18333333333333332"/>
    <n v="0.85"/>
    <n v="0.15583333333333332"/>
    <x v="9"/>
    <s v="NMD"/>
    <s v="TekNat"/>
    <s v="Ämneslärarprogrammet - Gy"/>
    <n v="23641"/>
    <n v="28786"/>
    <n v="8820.001666666667"/>
    <n v="5800"/>
    <n v="1063.3333333333333"/>
    <n v="9883.3350000000009"/>
    <n v="0"/>
    <n v="0"/>
    <n v="0"/>
    <n v="1"/>
    <n v="0"/>
    <n v="0"/>
    <n v="0"/>
    <n v="0"/>
    <n v="0"/>
    <n v="0"/>
    <n v="0"/>
    <n v="0"/>
  </r>
  <r>
    <s v="6PE238"/>
    <s v="Bedömning för och av lärande för åk 7-9 och gymnasium (UK)"/>
    <m/>
    <s v="LYAGY"/>
    <s v="H17"/>
    <s v="H19"/>
    <s v="H196-12"/>
    <m/>
    <m/>
    <s v="ENGS"/>
    <m/>
    <n v="100"/>
    <n v="11"/>
    <m/>
    <m/>
    <n v="16"/>
    <n v="2.9333333333333331"/>
    <n v="0.85"/>
    <n v="2.4933333333333332"/>
    <x v="9"/>
    <s v="NMD"/>
    <s v="TekNat"/>
    <s v="Ämneslärarprogrammet - Gy"/>
    <n v="23641"/>
    <n v="28786"/>
    <n v="141120.02666666667"/>
    <n v="5800"/>
    <n v="17013.333333333332"/>
    <n v="158133.36000000002"/>
    <n v="0"/>
    <n v="0"/>
    <n v="0"/>
    <n v="1"/>
    <n v="0"/>
    <n v="0"/>
    <n v="0"/>
    <n v="0"/>
    <n v="0"/>
    <n v="0"/>
    <n v="0"/>
    <n v="0"/>
  </r>
  <r>
    <s v="6PE238"/>
    <s v="Bedömning för och av lärande för åk 7-9 och gymnasium (UK)"/>
    <m/>
    <s v="LYAGY"/>
    <s v="H17"/>
    <s v="H19"/>
    <s v="H196-12"/>
    <m/>
    <m/>
    <s v="HIST"/>
    <m/>
    <n v="100"/>
    <n v="11"/>
    <m/>
    <m/>
    <n v="14"/>
    <n v="2.5666666666666664"/>
    <n v="0.85"/>
    <n v="2.1816666666666662"/>
    <x v="9"/>
    <s v="NMD"/>
    <s v="TekNat"/>
    <s v="Ämneslärarprogrammet - Gy"/>
    <n v="23641"/>
    <n v="28786"/>
    <n v="123480.02333333332"/>
    <n v="5800"/>
    <n v="14886.666666666666"/>
    <n v="138366.68999999997"/>
    <n v="0"/>
    <n v="0"/>
    <n v="0"/>
    <n v="1"/>
    <n v="0"/>
    <n v="0"/>
    <n v="0"/>
    <n v="0"/>
    <n v="0"/>
    <n v="0"/>
    <n v="0"/>
    <n v="0"/>
  </r>
  <r>
    <s v="6PE238"/>
    <s v="Bedömning för och av lärande för åk 7-9 och gymnasium (UK)"/>
    <m/>
    <s v="LYAGY"/>
    <s v="H17"/>
    <s v="H19"/>
    <s v="H196-12"/>
    <m/>
    <m/>
    <s v="IDRH"/>
    <m/>
    <n v="100"/>
    <n v="11"/>
    <m/>
    <m/>
    <n v="15"/>
    <n v="2.75"/>
    <n v="0.85"/>
    <n v="2.3374999999999999"/>
    <x v="9"/>
    <s v="NMD"/>
    <s v="TekNat"/>
    <s v="Ämneslärarprogrammet - Gy"/>
    <n v="23641"/>
    <n v="28786"/>
    <n v="132300.02499999999"/>
    <n v="5800"/>
    <n v="15950"/>
    <n v="148250.02499999999"/>
    <n v="0"/>
    <n v="0"/>
    <n v="0"/>
    <n v="1"/>
    <n v="0"/>
    <n v="0"/>
    <n v="0"/>
    <n v="0"/>
    <n v="0"/>
    <n v="0"/>
    <n v="0"/>
    <n v="0"/>
  </r>
  <r>
    <s v="6PE238"/>
    <s v="Bedömning för och av lärande för åk 7-9 och gymnasium (UK)"/>
    <m/>
    <s v="LYAGY"/>
    <s v="H17"/>
    <s v="H19"/>
    <s v="H196-12"/>
    <m/>
    <m/>
    <s v="MATT"/>
    <m/>
    <n v="100"/>
    <n v="11"/>
    <m/>
    <m/>
    <n v="12"/>
    <n v="2.1999999999999997"/>
    <n v="0.85"/>
    <n v="1.8699999999999997"/>
    <x v="9"/>
    <s v="NMD"/>
    <s v="TekNat"/>
    <s v="Ämneslärarprogrammet - Gy"/>
    <n v="23641"/>
    <n v="28786"/>
    <n v="105840.01999999999"/>
    <n v="5800"/>
    <n v="12759.999999999998"/>
    <n v="118600.01999999999"/>
    <n v="0"/>
    <n v="0"/>
    <n v="0"/>
    <n v="1"/>
    <n v="0"/>
    <n v="0"/>
    <n v="0"/>
    <n v="0"/>
    <n v="0"/>
    <n v="0"/>
    <n v="0"/>
    <n v="0"/>
  </r>
  <r>
    <s v="6PE238"/>
    <s v="Bedömning för och av lärande för åk 7-9 och gymnasium (UK)"/>
    <m/>
    <s v="LYAGY"/>
    <s v="H17"/>
    <s v="H19"/>
    <s v="H196-12"/>
    <m/>
    <m/>
    <s v="MUSI"/>
    <m/>
    <n v="100"/>
    <n v="11"/>
    <m/>
    <m/>
    <n v="2"/>
    <n v="0.36666666666666664"/>
    <n v="0.85"/>
    <n v="0.31166666666666665"/>
    <x v="9"/>
    <s v="NMD"/>
    <s v="TekNat"/>
    <s v="Ämneslärarprogrammet - Gy"/>
    <n v="23641"/>
    <n v="28786"/>
    <n v="17640.003333333334"/>
    <n v="5800"/>
    <n v="2126.6666666666665"/>
    <n v="19766.670000000002"/>
    <n v="0"/>
    <n v="0"/>
    <n v="0"/>
    <n v="1"/>
    <n v="0"/>
    <n v="0"/>
    <n v="0"/>
    <n v="0"/>
    <n v="0"/>
    <n v="0"/>
    <n v="0"/>
    <n v="0"/>
  </r>
  <r>
    <s v="6PE238"/>
    <s v="Bedömning för och av lärande för åk 7-9 och gymnasium (UK)"/>
    <m/>
    <s v="LYAGY"/>
    <s v="H17"/>
    <s v="H19"/>
    <s v="H196-12"/>
    <m/>
    <m/>
    <s v="RELK"/>
    <m/>
    <n v="100"/>
    <n v="11"/>
    <m/>
    <m/>
    <n v="4"/>
    <n v="0.73333333333333328"/>
    <n v="0.85"/>
    <n v="0.62333333333333329"/>
    <x v="9"/>
    <s v="NMD"/>
    <s v="TekNat"/>
    <s v="Ämneslärarprogrammet - Gy"/>
    <n v="23641"/>
    <n v="28786"/>
    <n v="35280.006666666668"/>
    <n v="5800"/>
    <n v="4253.333333333333"/>
    <n v="39533.340000000004"/>
    <n v="0"/>
    <n v="0"/>
    <n v="0"/>
    <n v="1"/>
    <n v="0"/>
    <n v="0"/>
    <n v="0"/>
    <n v="0"/>
    <n v="0"/>
    <n v="0"/>
    <n v="0"/>
    <n v="0"/>
  </r>
  <r>
    <s v="6PE238"/>
    <s v="Bedömning för och av lärande för åk 7-9 och gymnasium (UK)"/>
    <m/>
    <s v="LYAGY"/>
    <s v="H17"/>
    <s v="H19"/>
    <s v="H196-12"/>
    <m/>
    <m/>
    <s v="SAMK"/>
    <m/>
    <n v="100"/>
    <n v="11"/>
    <m/>
    <m/>
    <n v="6"/>
    <n v="1.0999999999999999"/>
    <n v="0.85"/>
    <n v="0.93499999999999983"/>
    <x v="9"/>
    <s v="NMD"/>
    <s v="TekNat"/>
    <s v="Ämneslärarprogrammet - Gy"/>
    <n v="23641"/>
    <n v="28786"/>
    <n v="52920.009999999995"/>
    <n v="5800"/>
    <n v="6379.9999999999991"/>
    <n v="59300.009999999995"/>
    <n v="0"/>
    <n v="0"/>
    <n v="0"/>
    <n v="1"/>
    <n v="0"/>
    <n v="0"/>
    <n v="0"/>
    <n v="0"/>
    <n v="0"/>
    <n v="0"/>
    <n v="0"/>
    <n v="0"/>
  </r>
  <r>
    <s v="6PE238"/>
    <s v="Bedömning för och av lärande för åk 7-9 och gymnasium (UK)"/>
    <m/>
    <s v="LYAGY"/>
    <s v="H17"/>
    <s v="H19"/>
    <s v="H196-12"/>
    <m/>
    <m/>
    <s v="SPAN"/>
    <m/>
    <n v="100"/>
    <n v="11"/>
    <m/>
    <m/>
    <n v="2"/>
    <n v="0.36666666666666664"/>
    <n v="0.85"/>
    <n v="0.31166666666666665"/>
    <x v="9"/>
    <s v="NMD"/>
    <s v="TekNat"/>
    <s v="Ämneslärarprogrammet - Gy"/>
    <n v="23641"/>
    <n v="28786"/>
    <n v="17640.003333333334"/>
    <n v="5800"/>
    <n v="2126.6666666666665"/>
    <n v="19766.670000000002"/>
    <n v="0"/>
    <n v="0"/>
    <n v="0"/>
    <n v="1"/>
    <n v="0"/>
    <n v="0"/>
    <n v="0"/>
    <n v="0"/>
    <n v="0"/>
    <n v="0"/>
    <n v="0"/>
    <n v="0"/>
  </r>
  <r>
    <s v="6PE238"/>
    <s v="Bedömning för och av lärande för åk 7-9 och gymnasium (UK)"/>
    <m/>
    <s v="LYAGY"/>
    <s v="H17"/>
    <s v="H19"/>
    <s v="H196-12"/>
    <m/>
    <m/>
    <s v="SVAA"/>
    <m/>
    <n v="100"/>
    <n v="11"/>
    <m/>
    <m/>
    <n v="11"/>
    <n v="2.0166666666666666"/>
    <n v="0.85"/>
    <n v="1.7141666666666666"/>
    <x v="9"/>
    <s v="NMD"/>
    <s v="TekNat"/>
    <s v="Ämneslärarprogrammet - Gy"/>
    <n v="23641"/>
    <n v="28786"/>
    <n v="97020.018333333326"/>
    <n v="5800"/>
    <n v="11696.666666666666"/>
    <n v="108716.685"/>
    <n v="0"/>
    <n v="0"/>
    <n v="0"/>
    <n v="1"/>
    <n v="0"/>
    <n v="0"/>
    <n v="0"/>
    <n v="0"/>
    <n v="0"/>
    <n v="0"/>
    <n v="0"/>
    <n v="0"/>
  </r>
  <r>
    <s v="6PE238"/>
    <s v="Bedömning för och av lärande för åk 7-9 och gymnasium (UK)"/>
    <m/>
    <s v="LYAGY"/>
    <s v="H17"/>
    <s v="H19"/>
    <s v="H196-12"/>
    <m/>
    <m/>
    <s v="TYSK"/>
    <m/>
    <n v="100"/>
    <n v="11"/>
    <m/>
    <m/>
    <n v="1"/>
    <n v="0.18333333333333332"/>
    <n v="0.85"/>
    <n v="0.15583333333333332"/>
    <x v="9"/>
    <s v="NMD"/>
    <s v="TekNat"/>
    <s v="Ämneslärarprogrammet - Gy"/>
    <n v="23641"/>
    <n v="28786"/>
    <n v="8820.001666666667"/>
    <n v="5800"/>
    <n v="1063.3333333333333"/>
    <n v="9883.3350000000009"/>
    <n v="0"/>
    <n v="0"/>
    <n v="0"/>
    <n v="1"/>
    <n v="0"/>
    <n v="0"/>
    <n v="0"/>
    <n v="0"/>
    <n v="0"/>
    <n v="0"/>
    <n v="0"/>
    <n v="0"/>
  </r>
  <r>
    <s v="6PE238"/>
    <s v="Bedömning för och av lärande för åk 7-9 och gymnasium (UK)"/>
    <m/>
    <s v="LYAGY"/>
    <s v="H18"/>
    <s v="H19"/>
    <s v="H196-12"/>
    <m/>
    <m/>
    <s v="BIOL"/>
    <m/>
    <n v="100"/>
    <n v="11"/>
    <m/>
    <m/>
    <n v="3"/>
    <n v="0.54999999999999993"/>
    <n v="0.85"/>
    <n v="0.46749999999999992"/>
    <x v="9"/>
    <s v="NMD"/>
    <s v="TekNat"/>
    <s v="Ämneslärarprogrammet - Gy"/>
    <n v="23641"/>
    <n v="28786"/>
    <n v="26460.004999999997"/>
    <n v="5800"/>
    <n v="3189.9999999999995"/>
    <n v="29650.004999999997"/>
    <n v="0"/>
    <n v="0"/>
    <n v="0"/>
    <n v="1"/>
    <n v="0"/>
    <n v="0"/>
    <n v="0"/>
    <n v="0"/>
    <n v="0"/>
    <n v="0"/>
    <n v="0"/>
    <n v="0"/>
  </r>
  <r>
    <s v="6PE238"/>
    <s v="Bedömning för och av lärande för åk 7-9 och gymnasium (UK)"/>
    <m/>
    <s v="LYAGY"/>
    <s v="H18"/>
    <s v="H19"/>
    <s v="H196-12"/>
    <m/>
    <m/>
    <s v="HIST"/>
    <m/>
    <n v="100"/>
    <n v="11"/>
    <m/>
    <m/>
    <n v="1"/>
    <n v="0.18333333333333332"/>
    <n v="0.85"/>
    <n v="0.15583333333333332"/>
    <x v="9"/>
    <s v="NMD"/>
    <s v="TekNat"/>
    <s v="Ämneslärarprogrammet - Gy"/>
    <n v="23641"/>
    <n v="28786"/>
    <n v="8820.001666666667"/>
    <n v="5800"/>
    <n v="1063.3333333333333"/>
    <n v="9883.3350000000009"/>
    <n v="0"/>
    <n v="0"/>
    <n v="0"/>
    <n v="1"/>
    <n v="0"/>
    <n v="0"/>
    <n v="0"/>
    <n v="0"/>
    <n v="0"/>
    <n v="0"/>
    <n v="0"/>
    <n v="0"/>
  </r>
  <r>
    <s v="6PE238"/>
    <s v="Bedömning för och av lärande för åk 7-9 och gymnasium (UK)"/>
    <m/>
    <s v="LYAGY"/>
    <s v="H18"/>
    <s v="H19"/>
    <s v="H196-12"/>
    <m/>
    <m/>
    <s v="MATT"/>
    <m/>
    <n v="100"/>
    <n v="11"/>
    <m/>
    <m/>
    <n v="1"/>
    <n v="0.18333333333333332"/>
    <n v="0.85"/>
    <n v="0.15583333333333332"/>
    <x v="9"/>
    <s v="NMD"/>
    <s v="TekNat"/>
    <s v="Ämneslärarprogrammet - Gy"/>
    <n v="23641"/>
    <n v="28786"/>
    <n v="8820.001666666667"/>
    <n v="5800"/>
    <n v="1063.3333333333333"/>
    <n v="9883.3350000000009"/>
    <n v="0"/>
    <n v="0"/>
    <n v="0"/>
    <n v="1"/>
    <n v="0"/>
    <n v="0"/>
    <n v="0"/>
    <n v="0"/>
    <n v="0"/>
    <n v="0"/>
    <n v="0"/>
    <n v="0"/>
  </r>
  <r>
    <s v="6PE238"/>
    <s v="Bedömning för och av lärande för åk 7-9 och gymnasium (UK)"/>
    <m/>
    <s v="LYAGY"/>
    <s v="H18"/>
    <s v="H19"/>
    <s v="H196-12"/>
    <m/>
    <m/>
    <s v="SVAN"/>
    <m/>
    <n v="100"/>
    <n v="11"/>
    <m/>
    <m/>
    <n v="1"/>
    <n v="0.18333333333333332"/>
    <n v="0.85"/>
    <n v="0.15583333333333332"/>
    <x v="9"/>
    <s v="NMD"/>
    <s v="TekNat"/>
    <s v="Ämneslärarprogrammet - Gy"/>
    <n v="23641"/>
    <n v="28786"/>
    <n v="8820.001666666667"/>
    <n v="5800"/>
    <n v="1063.3333333333333"/>
    <n v="9883.3350000000009"/>
    <n v="0"/>
    <n v="0"/>
    <n v="0"/>
    <n v="1"/>
    <n v="0"/>
    <n v="0"/>
    <n v="0"/>
    <n v="0"/>
    <n v="0"/>
    <n v="0"/>
    <n v="0"/>
    <n v="0"/>
  </r>
  <r>
    <s v="6PE239"/>
    <s v="Utbildningspolicy och pedagogisk praktik ur internationella perspektiv"/>
    <m/>
    <s v="FRIST"/>
    <m/>
    <s v="V19"/>
    <m/>
    <m/>
    <s v="Campus"/>
    <m/>
    <m/>
    <n v="100"/>
    <n v="7.5"/>
    <m/>
    <m/>
    <n v="0"/>
    <n v="0"/>
    <n v="0.8"/>
    <n v="0"/>
    <x v="1"/>
    <s v="TUV "/>
    <s v="Sam"/>
    <s v="Fristående och övriga kurser"/>
    <n v="18405"/>
    <n v="15773"/>
    <n v="0"/>
    <n v="5800"/>
    <n v="0"/>
    <n v="0"/>
    <n v="0"/>
    <n v="0"/>
    <n v="0"/>
    <n v="0"/>
    <n v="0"/>
    <n v="0"/>
    <n v="1"/>
    <n v="0"/>
    <n v="0"/>
    <n v="0"/>
    <n v="0"/>
    <n v="0"/>
  </r>
  <r>
    <s v="6PE240"/>
    <s v="Formativ bedömning och motivation"/>
    <m/>
    <s v="FRIST"/>
    <m/>
    <s v="V19"/>
    <m/>
    <m/>
    <s v="Distans"/>
    <m/>
    <m/>
    <n v="25"/>
    <n v="7.5"/>
    <m/>
    <m/>
    <n v="0"/>
    <n v="0"/>
    <n v="0.8"/>
    <n v="0"/>
    <x v="9"/>
    <s v="NMD"/>
    <s v="TekNat"/>
    <s v="Fristående och övriga kurser"/>
    <n v="19473"/>
    <n v="34806"/>
    <n v="0"/>
    <n v="21800"/>
    <n v="0"/>
    <n v="0"/>
    <n v="0"/>
    <n v="0"/>
    <n v="0"/>
    <n v="0"/>
    <n v="0"/>
    <n v="1"/>
    <n v="0"/>
    <n v="0"/>
    <n v="0"/>
    <n v="0"/>
    <n v="0"/>
    <n v="0"/>
  </r>
  <r>
    <s v="6PE240"/>
    <s v="Formativ bedömning och motivation"/>
    <m/>
    <s v="FRIST"/>
    <m/>
    <s v="Sommar"/>
    <s v="Sommarkurs"/>
    <m/>
    <s v="Distans"/>
    <m/>
    <m/>
    <n v="50"/>
    <n v="7.5"/>
    <m/>
    <m/>
    <n v="0"/>
    <n v="0"/>
    <n v="0.8"/>
    <n v="0"/>
    <x v="9"/>
    <s v="NMD"/>
    <s v="TekNat"/>
    <s v="Fristående och övriga kurser"/>
    <n v="19473"/>
    <n v="34806"/>
    <n v="0"/>
    <n v="21800"/>
    <n v="0"/>
    <n v="0"/>
    <n v="0"/>
    <n v="0"/>
    <n v="0"/>
    <n v="0"/>
    <n v="0"/>
    <n v="1"/>
    <n v="0"/>
    <n v="0"/>
    <n v="0"/>
    <n v="0"/>
    <n v="0"/>
    <n v="0"/>
  </r>
  <r>
    <s v="6PE240"/>
    <s v="Formativ bedömning och motivation"/>
    <m/>
    <s v="FRIST"/>
    <m/>
    <s v="H19"/>
    <m/>
    <m/>
    <s v="Distans"/>
    <m/>
    <m/>
    <n v="25"/>
    <n v="7.5"/>
    <m/>
    <m/>
    <n v="20"/>
    <n v="2.5"/>
    <n v="0.8"/>
    <n v="2"/>
    <x v="9"/>
    <s v="NMD"/>
    <s v="TekNat"/>
    <s v="Fristående och övriga kurser"/>
    <n v="19473"/>
    <n v="34806"/>
    <n v="118294.5"/>
    <n v="21800"/>
    <n v="54500"/>
    <n v="172794.5"/>
    <n v="0"/>
    <n v="0"/>
    <n v="0"/>
    <n v="0"/>
    <n v="0"/>
    <n v="1"/>
    <n v="0"/>
    <n v="0"/>
    <n v="0"/>
    <n v="0"/>
    <n v="0"/>
    <n v="0"/>
  </r>
  <r>
    <s v="6PE241"/>
    <s v="Magisteruppsats i Pedagogisk yrkesverksamhet"/>
    <m/>
    <s v="FRIST"/>
    <m/>
    <s v="H19"/>
    <m/>
    <m/>
    <s v="Distans"/>
    <m/>
    <m/>
    <n v="50"/>
    <n v="15"/>
    <m/>
    <m/>
    <n v="30"/>
    <n v="7.5"/>
    <n v="0.8"/>
    <n v="6"/>
    <x v="1"/>
    <s v="TUV "/>
    <s v="Sam"/>
    <s v="Fristående och övriga kurser"/>
    <n v="18405"/>
    <n v="15773"/>
    <n v="232675.5"/>
    <n v="5800"/>
    <n v="43500"/>
    <n v="276175.5"/>
    <n v="0"/>
    <n v="0"/>
    <n v="0"/>
    <n v="0"/>
    <n v="0"/>
    <n v="0"/>
    <n v="1"/>
    <n v="0"/>
    <n v="0"/>
    <n v="0"/>
    <n v="0"/>
    <n v="0"/>
  </r>
  <r>
    <s v="6PE242"/>
    <s v="Magisteruppsats i Pedagogisk yrkesverksamhet"/>
    <m/>
    <s v="FRIST"/>
    <m/>
    <s v="H19"/>
    <m/>
    <m/>
    <s v="Distans"/>
    <m/>
    <m/>
    <n v="100"/>
    <n v="30"/>
    <m/>
    <m/>
    <n v="30"/>
    <n v="15"/>
    <n v="0.8"/>
    <n v="12"/>
    <x v="1"/>
    <s v="TUV "/>
    <s v="Sam"/>
    <s v="Fristående och övriga kurser"/>
    <n v="18405"/>
    <n v="15773"/>
    <n v="465351"/>
    <n v="5800"/>
    <n v="87000"/>
    <n v="552351"/>
    <n v="0"/>
    <n v="0"/>
    <n v="0"/>
    <n v="0"/>
    <n v="0"/>
    <n v="0"/>
    <n v="1"/>
    <n v="0"/>
    <n v="0"/>
    <n v="0"/>
    <n v="0"/>
    <n v="0"/>
  </r>
  <r>
    <s v="6PE243"/>
    <s v="Trygga lärmiljöer, identitet och intersektionalitet"/>
    <m/>
    <s v="FRIST"/>
    <m/>
    <s v="H19"/>
    <m/>
    <m/>
    <s v="Distans"/>
    <m/>
    <m/>
    <n v="50"/>
    <n v="15"/>
    <m/>
    <m/>
    <n v="40"/>
    <n v="10"/>
    <n v="0.8"/>
    <n v="8"/>
    <x v="1"/>
    <s v="TUV "/>
    <s v="Sam"/>
    <s v="Fristående och övriga kurser"/>
    <n v="18405"/>
    <n v="15773"/>
    <n v="310234"/>
    <n v="5800"/>
    <n v="58000"/>
    <n v="368234"/>
    <n v="0"/>
    <n v="0"/>
    <n v="0"/>
    <n v="0"/>
    <n v="0"/>
    <n v="0"/>
    <n v="1"/>
    <n v="0"/>
    <n v="0"/>
    <n v="0"/>
    <n v="0"/>
    <n v="0"/>
  </r>
  <r>
    <s v="6PE244"/>
    <s v="Normkritisk genuspedagogik"/>
    <m/>
    <s v="FRIST"/>
    <m/>
    <s v="H19"/>
    <m/>
    <m/>
    <s v="Distans"/>
    <m/>
    <m/>
    <n v="50"/>
    <n v="15"/>
    <m/>
    <m/>
    <n v="20"/>
    <n v="5"/>
    <n v="0.8"/>
    <n v="4"/>
    <x v="1"/>
    <s v="TUV "/>
    <s v="Sam"/>
    <s v="Fristående och övriga kurser"/>
    <n v="18405"/>
    <n v="15773"/>
    <n v="155117"/>
    <n v="5800"/>
    <n v="29000"/>
    <n v="184117"/>
    <n v="0"/>
    <n v="0"/>
    <n v="0"/>
    <n v="0"/>
    <n v="0"/>
    <n v="0"/>
    <n v="1"/>
    <n v="0"/>
    <n v="0"/>
    <n v="0"/>
    <n v="0"/>
    <n v="0"/>
  </r>
  <r>
    <s v="6PE245"/>
    <s v="Barns och ungas identitetsskapande på nätet"/>
    <m/>
    <s v="FRIST"/>
    <m/>
    <s v="V19"/>
    <m/>
    <m/>
    <s v="Distans"/>
    <m/>
    <m/>
    <n v="50"/>
    <n v="7.5"/>
    <m/>
    <m/>
    <n v="9"/>
    <n v="1.125"/>
    <n v="0.8"/>
    <n v="0.9"/>
    <x v="1"/>
    <s v="TUV "/>
    <s v="Sam"/>
    <s v="Fristående och övriga kurser"/>
    <n v="18405"/>
    <n v="15773"/>
    <n v="34901.324999999997"/>
    <n v="5800"/>
    <n v="6525"/>
    <n v="41426.324999999997"/>
    <n v="0"/>
    <n v="0"/>
    <n v="0"/>
    <n v="0"/>
    <n v="0"/>
    <n v="0"/>
    <n v="1"/>
    <n v="0"/>
    <n v="0"/>
    <n v="0"/>
    <n v="0"/>
    <n v="0"/>
  </r>
  <r>
    <s v="6PE246"/>
    <s v="Mobbning och kränkande handlingar i teori och praktik"/>
    <m/>
    <s v="FRIST"/>
    <m/>
    <s v="V19"/>
    <m/>
    <m/>
    <s v="Distans"/>
    <m/>
    <m/>
    <n v="50"/>
    <n v="7.5"/>
    <m/>
    <m/>
    <n v="13"/>
    <n v="1.625"/>
    <n v="0.8"/>
    <n v="1.3"/>
    <x v="1"/>
    <s v="TUV "/>
    <s v="Sam"/>
    <s v="Fristående och övriga kurser"/>
    <n v="18405"/>
    <n v="15773"/>
    <n v="50413.025000000001"/>
    <n v="5800"/>
    <n v="9425"/>
    <n v="59838.025000000001"/>
    <n v="0"/>
    <n v="0"/>
    <n v="0"/>
    <n v="0"/>
    <n v="0"/>
    <n v="0"/>
    <n v="1"/>
    <n v="0"/>
    <n v="0"/>
    <n v="0"/>
    <n v="0"/>
    <n v="0"/>
  </r>
  <r>
    <s v="6PE249"/>
    <s v="Läraryrkets dimensioner för fritidshem 2 (VFU)"/>
    <m/>
    <s v="LYGFR"/>
    <s v="H16"/>
    <s v="H19"/>
    <s v="H1911-12"/>
    <m/>
    <m/>
    <m/>
    <m/>
    <n v="100"/>
    <n v="2.5"/>
    <m/>
    <m/>
    <n v="2"/>
    <n v="8.3333333333333329E-2"/>
    <n v="0.85"/>
    <n v="7.0833333333333331E-2"/>
    <x v="0"/>
    <s v="Pedagogik                     "/>
    <s v="Sam"/>
    <s v="Grundlärarprogrammet - fritidshem"/>
    <n v="21634"/>
    <n v="26986"/>
    <n v="3714.3416666666662"/>
    <n v="3400"/>
    <n v="283.33333333333331"/>
    <n v="3997.6749999999997"/>
    <n v="0"/>
    <n v="0"/>
    <n v="0"/>
    <n v="0"/>
    <n v="0"/>
    <n v="0"/>
    <n v="0"/>
    <n v="0"/>
    <n v="1"/>
    <n v="0"/>
    <n v="0"/>
    <n v="0"/>
  </r>
  <r>
    <s v="6PE249"/>
    <s v="Läraryrkets dimensioner för fritidshem 2 (VFU)"/>
    <m/>
    <s v="LYGFR"/>
    <s v="H17"/>
    <s v="H19"/>
    <s v="H1911-12"/>
    <m/>
    <m/>
    <m/>
    <m/>
    <n v="100"/>
    <n v="2.5"/>
    <m/>
    <m/>
    <n v="8"/>
    <n v="0.33333333333333331"/>
    <n v="0.85"/>
    <n v="0.28333333333333333"/>
    <x v="0"/>
    <s v="Pedagogik                     "/>
    <s v="Sam"/>
    <s v="Grundlärarprogrammet - fritidshem"/>
    <n v="21634"/>
    <n v="26986"/>
    <n v="14857.366666666665"/>
    <n v="3400"/>
    <n v="1133.3333333333333"/>
    <n v="15990.699999999999"/>
    <n v="0"/>
    <n v="0"/>
    <n v="0"/>
    <n v="0"/>
    <n v="0"/>
    <n v="0"/>
    <n v="0"/>
    <n v="0"/>
    <n v="1"/>
    <n v="0"/>
    <n v="0"/>
    <n v="0"/>
  </r>
  <r>
    <s v="6PE249"/>
    <s v="Läraryrkets dimensioner för fritidshem 2 (VFU)"/>
    <m/>
    <s v="LYGFR"/>
    <s v="H18"/>
    <s v="H19"/>
    <s v="H1911-12"/>
    <m/>
    <m/>
    <m/>
    <m/>
    <n v="100"/>
    <n v="2.5"/>
    <m/>
    <m/>
    <n v="1"/>
    <n v="4.1666666666666664E-2"/>
    <n v="0.85"/>
    <n v="3.5416666666666666E-2"/>
    <x v="0"/>
    <s v="Pedagogik                     "/>
    <s v="Sam"/>
    <s v="Grundlärarprogrammet - fritidshem"/>
    <n v="21634"/>
    <n v="26986"/>
    <n v="1857.1708333333331"/>
    <n v="3400"/>
    <n v="141.66666666666666"/>
    <n v="1998.8374999999999"/>
    <n v="0"/>
    <n v="0"/>
    <n v="0"/>
    <n v="0"/>
    <n v="0"/>
    <n v="0"/>
    <n v="0"/>
    <n v="0"/>
    <n v="1"/>
    <n v="0"/>
    <n v="0"/>
    <n v="0"/>
  </r>
  <r>
    <s v="6PE250"/>
    <s v="Elever i behov av extra anpassningar och särskilt stöd ur ett fritidshemsperspektiv"/>
    <m/>
    <s v="LYGFR"/>
    <s v="H16"/>
    <s v="H19"/>
    <s v="H1916-20"/>
    <m/>
    <m/>
    <m/>
    <m/>
    <n v="100"/>
    <n v="7.5"/>
    <m/>
    <m/>
    <n v="2"/>
    <n v="0.25"/>
    <n v="0.85"/>
    <n v="0.21249999999999999"/>
    <x v="1"/>
    <s v="TUV "/>
    <s v="Sam"/>
    <s v="Grundlärarprogrammet - fritidshem"/>
    <n v="18405"/>
    <n v="15773"/>
    <n v="7953.0124999999998"/>
    <n v="5800"/>
    <n v="1450"/>
    <n v="9403.0125000000007"/>
    <n v="0"/>
    <n v="0"/>
    <n v="0"/>
    <n v="0"/>
    <n v="0"/>
    <n v="0"/>
    <n v="1"/>
    <n v="0"/>
    <n v="0"/>
    <n v="0"/>
    <n v="0"/>
    <n v="0"/>
  </r>
  <r>
    <s v="6PE250"/>
    <s v="Elever i behov av extra anpassningar och särskilt stöd ur ett fritidshemsperspektiv"/>
    <m/>
    <s v="LYGFR"/>
    <s v="H17"/>
    <s v="H19"/>
    <s v="H1916-20"/>
    <m/>
    <m/>
    <m/>
    <m/>
    <n v="100"/>
    <n v="7.5"/>
    <m/>
    <m/>
    <n v="14"/>
    <n v="1.75"/>
    <n v="0.85"/>
    <n v="1.4875"/>
    <x v="1"/>
    <s v="TUV "/>
    <s v="Sam"/>
    <s v="Grundlärarprogrammet - fritidshem"/>
    <n v="18405"/>
    <n v="15773"/>
    <n v="55671.087500000001"/>
    <n v="5800"/>
    <n v="10150"/>
    <n v="65821.087499999994"/>
    <n v="0"/>
    <n v="0"/>
    <n v="0"/>
    <n v="0"/>
    <n v="0"/>
    <n v="0"/>
    <n v="1"/>
    <n v="0"/>
    <n v="0"/>
    <n v="0"/>
    <n v="0"/>
    <n v="0"/>
  </r>
  <r>
    <s v="6PE251"/>
    <s v="Att undervisa i förskolan (VFU)"/>
    <m/>
    <s v="LYFSK"/>
    <s v="H18"/>
    <s v="V19"/>
    <s v="V1914-20"/>
    <s v="Umeå"/>
    <m/>
    <m/>
    <m/>
    <n v="100"/>
    <n v="10"/>
    <m/>
    <m/>
    <n v="47"/>
    <n v="7.833333333333333"/>
    <n v="0.85"/>
    <n v="6.6583333333333332"/>
    <x v="1"/>
    <s v="TUV "/>
    <s v="Sam"/>
    <s v="Förskollärarprogrammet"/>
    <n v="21634"/>
    <n v="26986"/>
    <n v="349148.11666666664"/>
    <n v="3400"/>
    <n v="26633.333333333332"/>
    <n v="375781.44999999995"/>
    <n v="0"/>
    <n v="0"/>
    <n v="0"/>
    <n v="0"/>
    <n v="0"/>
    <n v="0"/>
    <n v="0"/>
    <n v="0"/>
    <n v="1"/>
    <n v="0"/>
    <n v="0"/>
    <n v="0"/>
  </r>
  <r>
    <s v="6PE251"/>
    <s v="Att undervisa i förskolan (VFU)"/>
    <m/>
    <s v="LYFSK"/>
    <s v="H18"/>
    <s v="H19"/>
    <s v="H1914-20"/>
    <m/>
    <m/>
    <m/>
    <m/>
    <n v="100"/>
    <n v="10"/>
    <m/>
    <m/>
    <n v="2"/>
    <n v="0.33333333333333331"/>
    <n v="0.85"/>
    <n v="0.28333333333333333"/>
    <x v="1"/>
    <s v="TUV "/>
    <s v="Sam"/>
    <s v="Förskollärarprogrammet"/>
    <n v="21634"/>
    <n v="26986"/>
    <n v="14857.366666666665"/>
    <n v="3400"/>
    <n v="1133.3333333333333"/>
    <n v="15990.699999999999"/>
    <n v="0"/>
    <n v="0"/>
    <n v="0"/>
    <n v="0"/>
    <n v="0"/>
    <n v="0"/>
    <n v="0"/>
    <n v="0"/>
    <n v="1"/>
    <n v="0"/>
    <n v="0"/>
    <n v="0"/>
  </r>
  <r>
    <s v="6PE251"/>
    <s v="Att undervisa i förskolan (VFU)"/>
    <m/>
    <s v="LYFSK"/>
    <s v="V19"/>
    <s v="H19"/>
    <s v="H1914-20"/>
    <m/>
    <m/>
    <m/>
    <m/>
    <n v="100"/>
    <n v="10"/>
    <m/>
    <m/>
    <n v="17"/>
    <n v="2.833333333333333"/>
    <n v="0.85"/>
    <n v="2.4083333333333332"/>
    <x v="1"/>
    <s v="TUV "/>
    <s v="Sam"/>
    <s v="Förskollärarprogrammet"/>
    <n v="21634"/>
    <n v="26986"/>
    <n v="126287.61666666667"/>
    <n v="3400"/>
    <n v="9633.3333333333321"/>
    <n v="135920.95000000001"/>
    <n v="0"/>
    <n v="0"/>
    <n v="0"/>
    <n v="0"/>
    <n v="0"/>
    <n v="0"/>
    <n v="0"/>
    <n v="0"/>
    <n v="1"/>
    <n v="0"/>
    <n v="0"/>
    <n v="0"/>
  </r>
  <r>
    <s v="6PE252"/>
    <s v="Förskolans uppdrag och arbetssätt 2"/>
    <m/>
    <s v="LYFSK"/>
    <s v="H16"/>
    <s v="V19"/>
    <s v="V191-7"/>
    <s v="Umeå"/>
    <m/>
    <m/>
    <m/>
    <n v="100"/>
    <n v="10"/>
    <m/>
    <m/>
    <n v="1"/>
    <n v="0.16666666666666666"/>
    <n v="0.85"/>
    <n v="0.14166666666666666"/>
    <x v="1"/>
    <s v="TUV "/>
    <s v="Sam"/>
    <s v="Förskollärarprogrammet"/>
    <n v="18405"/>
    <n v="15773"/>
    <n v="5302.0083333333332"/>
    <n v="5800"/>
    <n v="966.66666666666663"/>
    <n v="6268.6750000000002"/>
    <n v="0"/>
    <n v="0"/>
    <n v="0"/>
    <n v="0"/>
    <n v="0"/>
    <n v="0"/>
    <n v="1"/>
    <n v="0"/>
    <n v="0"/>
    <n v="0"/>
    <n v="0"/>
    <n v="0"/>
  </r>
  <r>
    <s v="6PE252"/>
    <s v="Förskolans uppdrag och arbetssätt 2"/>
    <m/>
    <s v="LYFSK"/>
    <s v="H17"/>
    <s v="V19"/>
    <s v="V191-7"/>
    <s v="Umeå"/>
    <m/>
    <m/>
    <m/>
    <n v="100"/>
    <n v="10"/>
    <m/>
    <m/>
    <n v="34"/>
    <n v="5.6666666666666661"/>
    <n v="0.85"/>
    <n v="4.8166666666666664"/>
    <x v="1"/>
    <s v="TUV "/>
    <s v="Sam"/>
    <s v="Förskollärarprogrammet"/>
    <n v="18405"/>
    <n v="15773"/>
    <n v="180268.28333333333"/>
    <n v="5800"/>
    <n v="32866.666666666664"/>
    <n v="213134.94999999998"/>
    <n v="0"/>
    <n v="0"/>
    <n v="0"/>
    <n v="0"/>
    <n v="0"/>
    <n v="0"/>
    <n v="1"/>
    <n v="0"/>
    <n v="0"/>
    <n v="0"/>
    <n v="0"/>
    <n v="0"/>
  </r>
  <r>
    <s v="6PE252"/>
    <s v="Förskolans uppdrag och arbetssätt 2"/>
    <m/>
    <s v="LYFSK"/>
    <s v="H17"/>
    <s v="H19"/>
    <s v="H191-7"/>
    <m/>
    <m/>
    <m/>
    <m/>
    <n v="100"/>
    <n v="10"/>
    <m/>
    <m/>
    <n v="3"/>
    <n v="0.5"/>
    <n v="0.85"/>
    <n v="0.42499999999999999"/>
    <x v="1"/>
    <s v="TUV "/>
    <s v="Sam"/>
    <s v="Förskollärarprogrammet"/>
    <n v="18405"/>
    <n v="15773"/>
    <n v="15906.025"/>
    <n v="5800"/>
    <n v="2900"/>
    <n v="18806.025000000001"/>
    <n v="0"/>
    <n v="0"/>
    <n v="0"/>
    <n v="0"/>
    <n v="0"/>
    <n v="0"/>
    <n v="1"/>
    <n v="0"/>
    <n v="0"/>
    <n v="0"/>
    <n v="0"/>
    <n v="0"/>
  </r>
  <r>
    <s v="6PE252"/>
    <s v="Förskolans uppdrag och arbetssätt 2"/>
    <m/>
    <s v="LYFSK"/>
    <s v="V17"/>
    <s v="V19"/>
    <s v="V191-7"/>
    <s v="Umeå"/>
    <m/>
    <m/>
    <m/>
    <n v="100"/>
    <n v="10"/>
    <m/>
    <m/>
    <n v="1"/>
    <n v="0.16666666666666666"/>
    <n v="0.85"/>
    <n v="0.14166666666666666"/>
    <x v="1"/>
    <s v="TUV "/>
    <s v="Sam"/>
    <s v="Förskollärarprogrammet"/>
    <n v="18405"/>
    <n v="15773"/>
    <n v="5302.0083333333332"/>
    <n v="5800"/>
    <n v="966.66666666666663"/>
    <n v="6268.6750000000002"/>
    <n v="0"/>
    <n v="0"/>
    <n v="0"/>
    <n v="0"/>
    <n v="0"/>
    <n v="0"/>
    <n v="1"/>
    <n v="0"/>
    <n v="0"/>
    <n v="0"/>
    <n v="0"/>
    <n v="0"/>
  </r>
  <r>
    <s v="6PE252"/>
    <s v="Förskolans uppdrag och arbetssätt 2"/>
    <m/>
    <s v="LYFSK"/>
    <s v="V18"/>
    <s v="H19"/>
    <s v="H191-7"/>
    <s v="Umeå"/>
    <m/>
    <m/>
    <m/>
    <n v="100"/>
    <n v="10"/>
    <m/>
    <m/>
    <n v="21"/>
    <n v="3.5"/>
    <n v="0.85"/>
    <n v="2.9750000000000001"/>
    <x v="1"/>
    <s v="TUV "/>
    <s v="Sam"/>
    <s v="Förskollärarprogrammet"/>
    <n v="18405"/>
    <n v="15773"/>
    <n v="111342.175"/>
    <n v="5800"/>
    <n v="20300"/>
    <n v="131642.17499999999"/>
    <n v="0"/>
    <n v="0"/>
    <n v="0"/>
    <n v="0"/>
    <n v="0"/>
    <n v="0"/>
    <n v="1"/>
    <n v="0"/>
    <n v="0"/>
    <n v="0"/>
    <n v="0"/>
    <n v="0"/>
  </r>
  <r>
    <s v="6PE252"/>
    <s v="Förskolans uppdrag och arbetssätt 2"/>
    <m/>
    <s v="LYFSK"/>
    <s v="V18"/>
    <s v="H19"/>
    <s v="H191-7"/>
    <s v="Ö-vik"/>
    <m/>
    <m/>
    <m/>
    <n v="100"/>
    <n v="10"/>
    <m/>
    <m/>
    <n v="16"/>
    <n v="2.6666666666666665"/>
    <n v="0.85"/>
    <n v="2.2666666666666666"/>
    <x v="1"/>
    <s v="TUV "/>
    <s v="Sam"/>
    <s v="Förskollärarprogrammet"/>
    <n v="18405"/>
    <n v="15773"/>
    <n v="84832.133333333331"/>
    <n v="5800"/>
    <n v="15466.666666666666"/>
    <n v="100298.8"/>
    <n v="0"/>
    <n v="0"/>
    <n v="0"/>
    <n v="0"/>
    <n v="0"/>
    <n v="0"/>
    <n v="1"/>
    <n v="0"/>
    <n v="0"/>
    <n v="0"/>
    <n v="0"/>
    <n v="0"/>
  </r>
  <r>
    <s v="6PE253"/>
    <s v="Läraryrkets dimensioner för förskolan 1 (VFU)"/>
    <m/>
    <s v="LYFSK"/>
    <s v="H16"/>
    <s v="V19"/>
    <s v="V194-10"/>
    <s v="Umeå"/>
    <m/>
    <m/>
    <m/>
    <n v="100"/>
    <n v="11"/>
    <m/>
    <m/>
    <n v="2"/>
    <n v="0.36666666666666664"/>
    <n v="0.85"/>
    <n v="0.31166666666666665"/>
    <x v="1"/>
    <s v="TUV "/>
    <s v="Sam"/>
    <s v="Förskollärarprogrammet"/>
    <n v="21634"/>
    <n v="26986"/>
    <n v="16343.103333333333"/>
    <n v="3400"/>
    <n v="1246.6666666666665"/>
    <n v="17589.77"/>
    <n v="0"/>
    <n v="0"/>
    <n v="0"/>
    <n v="0"/>
    <n v="0"/>
    <n v="0"/>
    <n v="0"/>
    <n v="0"/>
    <n v="1"/>
    <n v="0"/>
    <n v="0"/>
    <n v="0"/>
  </r>
  <r>
    <s v="6PE253"/>
    <s v="Läraryrkets dimensioner för förskolan 1 (VFU)"/>
    <m/>
    <s v="LYFSK"/>
    <s v="H17"/>
    <s v="H19"/>
    <s v="H194-10"/>
    <m/>
    <m/>
    <m/>
    <m/>
    <n v="100"/>
    <n v="11"/>
    <m/>
    <m/>
    <n v="32"/>
    <n v="5.8666666666666663"/>
    <n v="0.85"/>
    <n v="4.9866666666666664"/>
    <x v="1"/>
    <s v="TUV "/>
    <s v="Sam"/>
    <s v="Förskollärarprogrammet"/>
    <n v="21634"/>
    <n v="26986"/>
    <n v="261489.65333333332"/>
    <n v="3400"/>
    <n v="19946.666666666664"/>
    <n v="281436.32"/>
    <n v="0"/>
    <n v="0"/>
    <n v="0"/>
    <n v="0"/>
    <n v="0"/>
    <n v="0"/>
    <n v="0"/>
    <n v="0"/>
    <n v="1"/>
    <n v="0"/>
    <n v="0"/>
    <n v="0"/>
  </r>
  <r>
    <s v="6PE253"/>
    <s v="Läraryrkets dimensioner för förskolan 1 (VFU)"/>
    <m/>
    <s v="LYFSK"/>
    <s v="V17"/>
    <s v="V19"/>
    <s v="V194-10"/>
    <s v="Umeå"/>
    <m/>
    <m/>
    <m/>
    <n v="100"/>
    <n v="11"/>
    <m/>
    <m/>
    <n v="17"/>
    <n v="3.1166666666666663"/>
    <n v="0.85"/>
    <n v="2.6491666666666664"/>
    <x v="1"/>
    <s v="TUV "/>
    <s v="Sam"/>
    <s v="Förskollärarprogrammet"/>
    <n v="21634"/>
    <n v="26986"/>
    <n v="138916.37833333333"/>
    <n v="3400"/>
    <n v="10596.666666666666"/>
    <n v="149513.04499999998"/>
    <n v="0"/>
    <n v="0"/>
    <n v="0"/>
    <n v="0"/>
    <n v="0"/>
    <n v="0"/>
    <n v="0"/>
    <n v="0"/>
    <n v="1"/>
    <n v="0"/>
    <n v="0"/>
    <n v="0"/>
  </r>
  <r>
    <s v="6PE253"/>
    <s v="Läraryrkets dimensioner för förskolan 1 (VFU)"/>
    <m/>
    <s v="LYFSK"/>
    <s v="V17"/>
    <s v="H19"/>
    <s v="H194-10"/>
    <m/>
    <m/>
    <m/>
    <m/>
    <n v="100"/>
    <n v="11"/>
    <m/>
    <m/>
    <n v="3"/>
    <n v="0.54999999999999993"/>
    <n v="0.85"/>
    <n v="0.46749999999999992"/>
    <x v="1"/>
    <s v="TUV "/>
    <s v="Sam"/>
    <s v="Förskollärarprogrammet"/>
    <n v="21634"/>
    <n v="26986"/>
    <n v="24514.654999999999"/>
    <n v="3400"/>
    <n v="1869.9999999999998"/>
    <n v="26384.654999999999"/>
    <n v="0"/>
    <n v="0"/>
    <n v="0"/>
    <n v="0"/>
    <n v="0"/>
    <n v="0"/>
    <n v="0"/>
    <n v="0"/>
    <n v="1"/>
    <n v="0"/>
    <n v="0"/>
    <n v="0"/>
  </r>
  <r>
    <s v="6PE254"/>
    <s v="Läraryrkets dimensioner för förskolan 2 (VFU)"/>
    <m/>
    <s v="LYFSK"/>
    <s v="H14"/>
    <s v="V19"/>
    <s v="V191-5"/>
    <s v="Umeå"/>
    <m/>
    <m/>
    <m/>
    <n v="100"/>
    <n v="7.5"/>
    <m/>
    <m/>
    <n v="1"/>
    <n v="0.125"/>
    <n v="0.85"/>
    <n v="0.10625"/>
    <x v="1"/>
    <s v="TUV "/>
    <s v="Sam"/>
    <s v="Förskollärarprogrammet"/>
    <n v="21634"/>
    <n v="26986"/>
    <n v="5571.5124999999998"/>
    <n v="3400"/>
    <n v="425"/>
    <n v="5996.5124999999998"/>
    <n v="0"/>
    <n v="0"/>
    <n v="0"/>
    <n v="0"/>
    <n v="0"/>
    <n v="0"/>
    <n v="0"/>
    <n v="0"/>
    <n v="1"/>
    <n v="0"/>
    <n v="0"/>
    <n v="0"/>
  </r>
  <r>
    <s v="6PE254"/>
    <s v="Läraryrkets dimensioner för förskolan 2 (VFU)"/>
    <m/>
    <s v="LYFSK"/>
    <s v="H14"/>
    <s v="V19"/>
    <s v="V191-5"/>
    <s v="Umeå"/>
    <m/>
    <m/>
    <m/>
    <n v="100"/>
    <n v="7.5"/>
    <m/>
    <m/>
    <n v="1"/>
    <n v="0.125"/>
    <n v="0.85"/>
    <n v="0.10625"/>
    <x v="1"/>
    <s v="TUV "/>
    <s v="Sam"/>
    <s v="Förskollärarprogrammet"/>
    <n v="21634"/>
    <n v="26986"/>
    <n v="5571.5124999999998"/>
    <n v="3400"/>
    <n v="425"/>
    <n v="5996.5124999999998"/>
    <n v="0"/>
    <n v="0"/>
    <n v="0"/>
    <n v="0"/>
    <n v="0"/>
    <n v="0"/>
    <n v="0"/>
    <n v="0"/>
    <n v="1"/>
    <n v="0"/>
    <n v="0"/>
    <n v="0"/>
  </r>
  <r>
    <s v="6PE254"/>
    <s v="Läraryrkets dimensioner för förskolan 2 (VFU)"/>
    <m/>
    <s v="LYFSK"/>
    <s v="H15"/>
    <s v="V19"/>
    <s v="V191-5"/>
    <s v="Umeå"/>
    <m/>
    <m/>
    <m/>
    <n v="100"/>
    <n v="7.5"/>
    <m/>
    <m/>
    <n v="1"/>
    <n v="0.125"/>
    <n v="0.85"/>
    <n v="0.10625"/>
    <x v="1"/>
    <s v="TUV "/>
    <s v="Sam"/>
    <s v="Förskollärarprogrammet"/>
    <n v="21634"/>
    <n v="26986"/>
    <n v="5571.5124999999998"/>
    <n v="3400"/>
    <n v="425"/>
    <n v="5996.5124999999998"/>
    <n v="0"/>
    <n v="0"/>
    <n v="0"/>
    <n v="0"/>
    <n v="0"/>
    <n v="0"/>
    <n v="0"/>
    <n v="0"/>
    <n v="1"/>
    <n v="0"/>
    <n v="0"/>
    <n v="0"/>
  </r>
  <r>
    <s v="6PE254"/>
    <s v="Läraryrkets dimensioner för förskolan 2 (VFU)"/>
    <m/>
    <s v="LYFSK"/>
    <s v="H16"/>
    <s v="H19"/>
    <s v="H191-5"/>
    <m/>
    <m/>
    <m/>
    <m/>
    <n v="100"/>
    <n v="7.5"/>
    <m/>
    <m/>
    <n v="56"/>
    <n v="7"/>
    <n v="0.85"/>
    <n v="5.95"/>
    <x v="1"/>
    <s v="TUV "/>
    <s v="Sam"/>
    <s v="Förskollärarprogrammet"/>
    <n v="21634"/>
    <n v="26986"/>
    <n v="312004.7"/>
    <n v="3400"/>
    <n v="23800"/>
    <n v="335804.7"/>
    <n v="0"/>
    <n v="0"/>
    <n v="0"/>
    <n v="0"/>
    <n v="0"/>
    <n v="0"/>
    <n v="0"/>
    <n v="0"/>
    <n v="1"/>
    <n v="0"/>
    <n v="0"/>
    <n v="0"/>
  </r>
  <r>
    <s v="6PE254"/>
    <s v="Läraryrkets dimensioner för förskolan 2 (VFU)"/>
    <m/>
    <s v="LYFSK"/>
    <s v="V16"/>
    <s v="V19"/>
    <s v="V191-5"/>
    <s v="Umeå"/>
    <m/>
    <m/>
    <m/>
    <n v="100"/>
    <n v="7.5"/>
    <m/>
    <m/>
    <n v="21"/>
    <n v="2.625"/>
    <n v="0.85"/>
    <n v="2.2312499999999997"/>
    <x v="1"/>
    <s v="TUV "/>
    <s v="Sam"/>
    <s v="Förskollärarprogrammet"/>
    <n v="21634"/>
    <n v="26986"/>
    <n v="117001.76249999998"/>
    <n v="3400"/>
    <n v="8925"/>
    <n v="125926.76249999998"/>
    <n v="0"/>
    <n v="0"/>
    <n v="0"/>
    <n v="0"/>
    <n v="0"/>
    <n v="0"/>
    <n v="0"/>
    <n v="0"/>
    <n v="1"/>
    <n v="0"/>
    <n v="0"/>
    <n v="0"/>
  </r>
  <r>
    <s v="6PE254"/>
    <s v="Läraryrkets dimensioner för förskolan 2 (VFU)"/>
    <m/>
    <s v="LYFSK"/>
    <s v="V16"/>
    <s v="V19"/>
    <s v="V191-5"/>
    <s v="Umeå"/>
    <m/>
    <m/>
    <m/>
    <n v="100"/>
    <n v="7.5"/>
    <m/>
    <m/>
    <n v="1"/>
    <n v="0.125"/>
    <n v="0.85"/>
    <n v="0.10625"/>
    <x v="1"/>
    <s v="TUV "/>
    <s v="Sam"/>
    <s v="Förskollärarprogrammet"/>
    <n v="21634"/>
    <n v="26986"/>
    <n v="5571.5124999999998"/>
    <n v="3400"/>
    <n v="425"/>
    <n v="5996.5124999999998"/>
    <n v="0"/>
    <n v="0"/>
    <n v="0"/>
    <n v="0"/>
    <n v="0"/>
    <n v="0"/>
    <n v="0"/>
    <n v="0"/>
    <n v="1"/>
    <n v="0"/>
    <n v="0"/>
    <n v="0"/>
  </r>
  <r>
    <s v="6PE254"/>
    <s v="Läraryrkets dimensioner för förskolan 2 (VFU)"/>
    <m/>
    <s v="LYFSK"/>
    <s v="V16"/>
    <s v="H19"/>
    <s v="H191-5"/>
    <m/>
    <m/>
    <m/>
    <m/>
    <n v="100"/>
    <n v="7.5"/>
    <m/>
    <m/>
    <n v="3"/>
    <n v="0.375"/>
    <n v="0.85"/>
    <n v="0.31874999999999998"/>
    <x v="1"/>
    <s v="TUV "/>
    <s v="Sam"/>
    <s v="Förskollärarprogrammet"/>
    <n v="21634"/>
    <n v="26986"/>
    <n v="16714.537499999999"/>
    <n v="3400"/>
    <n v="1275"/>
    <n v="17989.537499999999"/>
    <n v="0"/>
    <n v="0"/>
    <n v="0"/>
    <n v="0"/>
    <n v="0"/>
    <n v="0"/>
    <n v="0"/>
    <n v="0"/>
    <n v="1"/>
    <n v="0"/>
    <n v="0"/>
    <n v="0"/>
  </r>
  <r>
    <s v="6PE254"/>
    <s v="Läraryrkets dimensioner för förskolan 2 (VFU)"/>
    <m/>
    <s v="LYFSK"/>
    <s v="V17"/>
    <s v="V19"/>
    <s v="V191-5"/>
    <s v="Umeå"/>
    <m/>
    <m/>
    <m/>
    <n v="100"/>
    <n v="7.5"/>
    <m/>
    <m/>
    <n v="1"/>
    <n v="0.125"/>
    <n v="0.85"/>
    <n v="0.10625"/>
    <x v="1"/>
    <s v="TUV "/>
    <s v="Sam"/>
    <s v="Förskollärarprogrammet"/>
    <n v="21634"/>
    <n v="26986"/>
    <n v="5571.5124999999998"/>
    <n v="3400"/>
    <n v="425"/>
    <n v="5996.5124999999998"/>
    <n v="0"/>
    <n v="0"/>
    <n v="0"/>
    <n v="0"/>
    <n v="0"/>
    <n v="0"/>
    <n v="0"/>
    <n v="0"/>
    <n v="1"/>
    <n v="0"/>
    <n v="0"/>
    <n v="0"/>
  </r>
  <r>
    <s v="6PE255"/>
    <s v="Examensarbete för förskollärarexamen"/>
    <m/>
    <s v="LYFSK"/>
    <s v="H14"/>
    <s v="V19"/>
    <s v="V196-15"/>
    <s v="Umeå"/>
    <m/>
    <m/>
    <m/>
    <n v="100"/>
    <n v="15"/>
    <m/>
    <m/>
    <n v="1"/>
    <n v="0.25"/>
    <n v="0.85"/>
    <n v="0.21249999999999999"/>
    <x v="1"/>
    <s v="TUV "/>
    <s v="Sam"/>
    <s v="Förskollärarprogrammet"/>
    <n v="18405"/>
    <n v="15773"/>
    <n v="7953.0124999999998"/>
    <n v="5800"/>
    <n v="1450"/>
    <n v="9403.0125000000007"/>
    <n v="0"/>
    <n v="0"/>
    <n v="0"/>
    <n v="0"/>
    <n v="0"/>
    <n v="0"/>
    <n v="1"/>
    <n v="0"/>
    <n v="0"/>
    <n v="0"/>
    <n v="0"/>
    <n v="0"/>
  </r>
  <r>
    <s v="6PE255"/>
    <s v="Examensarbete för förskollärarexamen"/>
    <m/>
    <s v="LYFSK"/>
    <s v="H15"/>
    <s v="V19"/>
    <s v="V196-15"/>
    <s v="Umeå"/>
    <m/>
    <m/>
    <m/>
    <n v="100"/>
    <n v="15"/>
    <m/>
    <m/>
    <n v="1"/>
    <n v="0.25"/>
    <n v="0.85"/>
    <n v="0.21249999999999999"/>
    <x v="1"/>
    <s v="TUV "/>
    <s v="Sam"/>
    <s v="Förskollärarprogrammet"/>
    <n v="18405"/>
    <n v="15773"/>
    <n v="7953.0124999999998"/>
    <n v="5800"/>
    <n v="1450"/>
    <n v="9403.0125000000007"/>
    <n v="0"/>
    <n v="0"/>
    <n v="0"/>
    <n v="0"/>
    <n v="0"/>
    <n v="0"/>
    <n v="1"/>
    <n v="0"/>
    <n v="0"/>
    <n v="0"/>
    <n v="0"/>
    <n v="0"/>
  </r>
  <r>
    <s v="6PE255"/>
    <s v="Examensarbete för förskollärarexamen"/>
    <m/>
    <s v="LYFSK"/>
    <s v="H16"/>
    <s v="H19"/>
    <s v="H196-15"/>
    <m/>
    <m/>
    <m/>
    <m/>
    <n v="100"/>
    <n v="15"/>
    <m/>
    <m/>
    <n v="59"/>
    <n v="14.75"/>
    <n v="0.85"/>
    <n v="12.5375"/>
    <x v="1"/>
    <s v="TUV "/>
    <s v="Sam"/>
    <s v="Förskollärarprogrammet"/>
    <n v="18405"/>
    <n v="15773"/>
    <n v="469227.73749999999"/>
    <n v="5800"/>
    <n v="85550"/>
    <n v="554777.73750000005"/>
    <n v="0"/>
    <n v="0"/>
    <n v="0"/>
    <n v="0"/>
    <n v="0"/>
    <n v="0"/>
    <n v="1"/>
    <n v="0"/>
    <n v="0"/>
    <n v="0"/>
    <n v="0"/>
    <n v="0"/>
  </r>
  <r>
    <s v="6PE255"/>
    <s v="Examensarbete för förskollärarexamen"/>
    <m/>
    <s v="LYFSK"/>
    <s v="V16"/>
    <s v="V19"/>
    <s v="V196-15"/>
    <s v="Umeå"/>
    <m/>
    <m/>
    <m/>
    <n v="100"/>
    <n v="15"/>
    <m/>
    <m/>
    <n v="22"/>
    <n v="5.5"/>
    <n v="0.85"/>
    <n v="4.6749999999999998"/>
    <x v="1"/>
    <s v="TUV "/>
    <s v="Sam"/>
    <s v="Förskollärarprogrammet"/>
    <n v="18405"/>
    <n v="15773"/>
    <n v="174966.27499999999"/>
    <n v="5800"/>
    <n v="31900"/>
    <n v="206866.27499999999"/>
    <n v="0"/>
    <n v="0"/>
    <n v="0"/>
    <n v="0"/>
    <n v="0"/>
    <n v="0"/>
    <n v="1"/>
    <n v="0"/>
    <n v="0"/>
    <n v="0"/>
    <n v="0"/>
    <n v="0"/>
  </r>
  <r>
    <s v="6PE255"/>
    <s v="Examensarbete för förskollärarexamen"/>
    <m/>
    <s v="LYFSK"/>
    <s v="V16"/>
    <s v="V19"/>
    <s v="V196-15"/>
    <s v="Umeå"/>
    <m/>
    <m/>
    <m/>
    <n v="100"/>
    <n v="15"/>
    <m/>
    <m/>
    <n v="1"/>
    <n v="0.25"/>
    <n v="0.85"/>
    <n v="0.21249999999999999"/>
    <x v="1"/>
    <s v="TUV "/>
    <s v="Sam"/>
    <s v="Förskollärarprogrammet"/>
    <n v="18405"/>
    <n v="15773"/>
    <n v="7953.0124999999998"/>
    <n v="5800"/>
    <n v="1450"/>
    <n v="9403.0125000000007"/>
    <n v="0"/>
    <n v="0"/>
    <n v="0"/>
    <n v="0"/>
    <n v="0"/>
    <n v="0"/>
    <n v="1"/>
    <n v="0"/>
    <n v="0"/>
    <n v="0"/>
    <n v="0"/>
    <n v="0"/>
  </r>
  <r>
    <s v="6PE255"/>
    <s v="Examensarbete för förskollärarexamen"/>
    <m/>
    <s v="LYFSK"/>
    <s v="V16"/>
    <s v="H19"/>
    <s v="H196-15"/>
    <m/>
    <m/>
    <m/>
    <m/>
    <n v="100"/>
    <n v="15"/>
    <m/>
    <m/>
    <n v="3"/>
    <n v="0.75"/>
    <n v="0.85"/>
    <n v="0.63749999999999996"/>
    <x v="1"/>
    <s v="TUV "/>
    <s v="Sam"/>
    <s v="Förskollärarprogrammet"/>
    <n v="18405"/>
    <n v="15773"/>
    <n v="23859.037499999999"/>
    <n v="5800"/>
    <n v="4350"/>
    <n v="28209.037499999999"/>
    <n v="0"/>
    <n v="0"/>
    <n v="0"/>
    <n v="0"/>
    <n v="0"/>
    <n v="0"/>
    <n v="1"/>
    <n v="0"/>
    <n v="0"/>
    <n v="0"/>
    <n v="0"/>
    <n v="0"/>
  </r>
  <r>
    <s v="6PE255"/>
    <s v="Examensarbete för förskollärarexamen"/>
    <m/>
    <s v="LYFSK"/>
    <s v="V17"/>
    <s v="V19"/>
    <s v="V196-15"/>
    <s v="Umeå"/>
    <m/>
    <m/>
    <m/>
    <n v="100"/>
    <n v="15"/>
    <m/>
    <m/>
    <n v="1"/>
    <n v="0.25"/>
    <n v="0.85"/>
    <n v="0.21249999999999999"/>
    <x v="1"/>
    <s v="TUV "/>
    <s v="Sam"/>
    <s v="Förskollärarprogrammet"/>
    <n v="18405"/>
    <n v="15773"/>
    <n v="7953.0124999999998"/>
    <n v="5800"/>
    <n v="1450"/>
    <n v="9403.0125000000007"/>
    <n v="0"/>
    <n v="0"/>
    <n v="0"/>
    <n v="0"/>
    <n v="0"/>
    <n v="0"/>
    <n v="1"/>
    <n v="0"/>
    <n v="0"/>
    <n v="0"/>
    <n v="0"/>
    <n v="0"/>
  </r>
  <r>
    <s v="6PE256"/>
    <s v="Kunskap, undervisning och lärande 2"/>
    <m/>
    <s v="LYKGR"/>
    <s v="H18"/>
    <s v="H19"/>
    <s v="H191-20"/>
    <m/>
    <m/>
    <s v="GRHF"/>
    <m/>
    <n v="50"/>
    <n v="15"/>
    <m/>
    <m/>
    <n v="14"/>
    <n v="3.5"/>
    <n v="0.85"/>
    <n v="2.9750000000000001"/>
    <x v="9"/>
    <s v="NMD"/>
    <s v="TekNat"/>
    <s v="KPU - åk 7-9"/>
    <n v="23641"/>
    <n v="28786"/>
    <n v="168381.85"/>
    <n v="5800"/>
    <n v="20300"/>
    <n v="188681.85"/>
    <n v="0"/>
    <n v="0"/>
    <n v="0"/>
    <n v="1"/>
    <n v="0"/>
    <n v="0"/>
    <n v="0"/>
    <n v="0"/>
    <n v="0"/>
    <n v="0"/>
    <n v="0"/>
    <n v="0"/>
  </r>
  <r>
    <s v="6PE256"/>
    <s v="Kunskap, undervisning och lärande 2"/>
    <m/>
    <s v="LYKGR"/>
    <s v="H19"/>
    <s v="H19"/>
    <s v="H191-20"/>
    <m/>
    <m/>
    <s v="GRHF"/>
    <m/>
    <n v="50"/>
    <n v="15"/>
    <m/>
    <m/>
    <n v="1"/>
    <n v="0.25"/>
    <n v="0.85"/>
    <n v="0.21249999999999999"/>
    <x v="9"/>
    <s v="NMD"/>
    <s v="TekNat"/>
    <s v="KPU - åk 7-9"/>
    <n v="23641"/>
    <n v="28786"/>
    <n v="12027.275"/>
    <n v="5800"/>
    <n v="1450"/>
    <n v="13477.275"/>
    <n v="0"/>
    <n v="0"/>
    <n v="0"/>
    <n v="1"/>
    <n v="0"/>
    <n v="0"/>
    <n v="0"/>
    <n v="0"/>
    <n v="0"/>
    <n v="0"/>
    <n v="0"/>
    <n v="0"/>
  </r>
  <r>
    <s v="6PE256"/>
    <s v="Kunskap, undervisning och lärande 2"/>
    <m/>
    <s v="LYKGY"/>
    <s v="H17"/>
    <s v="H19"/>
    <s v="H191-20"/>
    <m/>
    <m/>
    <s v="GYHF"/>
    <m/>
    <n v="50"/>
    <n v="15"/>
    <m/>
    <m/>
    <n v="1"/>
    <n v="0.25"/>
    <n v="0.85"/>
    <n v="0.21249999999999999"/>
    <x v="9"/>
    <s v="NMD"/>
    <s v="TekNat"/>
    <s v="KPU - Gy"/>
    <n v="23641"/>
    <n v="28786"/>
    <n v="12027.275"/>
    <n v="5800"/>
    <n v="1450"/>
    <n v="13477.275"/>
    <n v="0"/>
    <n v="0"/>
    <n v="0"/>
    <n v="1"/>
    <n v="0"/>
    <n v="0"/>
    <n v="0"/>
    <n v="0"/>
    <n v="0"/>
    <n v="0"/>
    <n v="0"/>
    <n v="0"/>
  </r>
  <r>
    <s v="6PE256"/>
    <s v="Kunskap, undervisning och lärande 2"/>
    <m/>
    <s v="LYKGY"/>
    <s v="H18"/>
    <s v="H19"/>
    <s v="H191-20"/>
    <m/>
    <m/>
    <s v="ESTE"/>
    <m/>
    <n v="50"/>
    <n v="15"/>
    <m/>
    <m/>
    <n v="1"/>
    <n v="0.25"/>
    <n v="0.85"/>
    <n v="0.21249999999999999"/>
    <x v="9"/>
    <s v="NMD"/>
    <s v="TekNat"/>
    <s v="KPU - Gy"/>
    <n v="23641"/>
    <n v="28786"/>
    <n v="12027.275"/>
    <n v="5800"/>
    <n v="1450"/>
    <n v="13477.275"/>
    <n v="0"/>
    <n v="0"/>
    <n v="0"/>
    <n v="1"/>
    <n v="0"/>
    <n v="0"/>
    <n v="0"/>
    <n v="0"/>
    <n v="0"/>
    <n v="0"/>
    <n v="0"/>
    <n v="0"/>
  </r>
  <r>
    <s v="6PE256"/>
    <s v="Kunskap, undervisning och lärande 2"/>
    <m/>
    <s v="LYKGY"/>
    <s v="H18"/>
    <s v="H19"/>
    <s v="H191-20"/>
    <m/>
    <m/>
    <s v="GYHF"/>
    <m/>
    <n v="50"/>
    <n v="15"/>
    <m/>
    <m/>
    <n v="8"/>
    <n v="2"/>
    <n v="0.85"/>
    <n v="1.7"/>
    <x v="9"/>
    <s v="NMD"/>
    <s v="TekNat"/>
    <s v="KPU - Gy"/>
    <n v="23641"/>
    <n v="28786"/>
    <n v="96218.2"/>
    <n v="5800"/>
    <n v="11600"/>
    <n v="107818.2"/>
    <n v="0"/>
    <n v="0"/>
    <n v="0"/>
    <n v="1"/>
    <n v="0"/>
    <n v="0"/>
    <n v="0"/>
    <n v="0"/>
    <n v="0"/>
    <n v="0"/>
    <n v="0"/>
    <n v="0"/>
  </r>
  <r>
    <s v="6PE257"/>
    <s v="Läraryrkets dimensioner för förskoleklass och grundskolans årskurs 1-3 (VFU)"/>
    <m/>
    <s v="LYGFT"/>
    <s v="H15"/>
    <s v="H19"/>
    <s v="H191-15"/>
    <m/>
    <m/>
    <m/>
    <m/>
    <n v="100"/>
    <n v="22.5"/>
    <m/>
    <m/>
    <n v="2"/>
    <n v="0.75"/>
    <n v="0.85"/>
    <n v="0.63749999999999996"/>
    <x v="9"/>
    <s v="NMD"/>
    <s v="TekNat"/>
    <s v="Grundlärarprogrammet - förskoleklass och åk 1-3"/>
    <n v="21634"/>
    <n v="26986"/>
    <n v="33429.074999999997"/>
    <n v="3400"/>
    <n v="2550"/>
    <n v="35979.074999999997"/>
    <n v="0"/>
    <n v="0"/>
    <n v="0"/>
    <n v="0"/>
    <n v="0"/>
    <n v="0"/>
    <n v="0"/>
    <n v="0"/>
    <n v="1"/>
    <n v="0"/>
    <n v="0"/>
    <n v="0"/>
  </r>
  <r>
    <s v="6PE257"/>
    <s v="Läraryrkets dimensioner för förskoleklass och grundskolans årskurs 1-3 (VFU)"/>
    <m/>
    <s v="LYGFT"/>
    <s v="H16"/>
    <s v="H19"/>
    <s v="H191-15"/>
    <m/>
    <m/>
    <m/>
    <m/>
    <n v="100"/>
    <n v="22.5"/>
    <m/>
    <m/>
    <n v="38"/>
    <n v="14.25"/>
    <n v="0.85"/>
    <n v="12.112499999999999"/>
    <x v="9"/>
    <s v="NMD"/>
    <s v="TekNat"/>
    <s v="Grundlärarprogrammet - förskoleklass och åk 1-3"/>
    <n v="21634"/>
    <n v="26986"/>
    <n v="635152.42500000005"/>
    <n v="3400"/>
    <n v="48450"/>
    <n v="683602.42500000005"/>
    <n v="0"/>
    <n v="0"/>
    <n v="0"/>
    <n v="0"/>
    <n v="0"/>
    <n v="0"/>
    <n v="0"/>
    <n v="0"/>
    <n v="1"/>
    <n v="0"/>
    <n v="0"/>
    <n v="0"/>
  </r>
  <r>
    <s v="6PE258"/>
    <s v="Läraryrkets dimensioner för grundskolans årskurs 4-6 (VFU)"/>
    <m/>
    <s v="LYGRM"/>
    <s v="H15"/>
    <s v="H19"/>
    <s v="H191-15"/>
    <m/>
    <m/>
    <m/>
    <m/>
    <n v="100"/>
    <n v="22.5"/>
    <m/>
    <m/>
    <n v="2"/>
    <n v="0.75"/>
    <n v="0.85"/>
    <n v="0.63749999999999996"/>
    <x v="9"/>
    <s v="NMD"/>
    <s v="TekNat"/>
    <s v="Grundlärarprogrammet - grundskolans åk 4-6"/>
    <n v="21634"/>
    <n v="26986"/>
    <n v="33429.074999999997"/>
    <n v="3400"/>
    <n v="2550"/>
    <n v="35979.074999999997"/>
    <n v="0"/>
    <n v="0"/>
    <n v="0"/>
    <n v="0"/>
    <n v="0"/>
    <n v="0"/>
    <n v="0"/>
    <n v="0"/>
    <n v="1"/>
    <n v="0"/>
    <n v="0"/>
    <n v="0"/>
  </r>
  <r>
    <s v="6PE258"/>
    <s v="Läraryrkets dimensioner för grundskolans årskurs 4-6 (VFU)"/>
    <m/>
    <s v="LYGRM"/>
    <s v="H16"/>
    <s v="H19"/>
    <s v="H191-15"/>
    <m/>
    <m/>
    <m/>
    <m/>
    <n v="100"/>
    <n v="22.5"/>
    <m/>
    <m/>
    <n v="23"/>
    <n v="8.625"/>
    <n v="0.85"/>
    <n v="7.3312499999999998"/>
    <x v="9"/>
    <s v="NMD"/>
    <s v="TekNat"/>
    <s v="Grundlärarprogrammet - grundskolans åk 4-6"/>
    <n v="21634"/>
    <n v="26986"/>
    <n v="384434.36249999999"/>
    <n v="3400"/>
    <n v="29325"/>
    <n v="413759.36249999999"/>
    <n v="0"/>
    <n v="0"/>
    <n v="0"/>
    <n v="0"/>
    <n v="0"/>
    <n v="0"/>
    <n v="0"/>
    <n v="0"/>
    <n v="1"/>
    <n v="0"/>
    <n v="0"/>
    <n v="0"/>
  </r>
  <r>
    <s v="6PE259"/>
    <s v="Läraryrkets dimensioner för fritidshem 3 (VFU)"/>
    <m/>
    <s v="LYGFR"/>
    <s v="H16"/>
    <s v="V19"/>
    <s v="V191-5"/>
    <s v="Umeå"/>
    <m/>
    <m/>
    <m/>
    <n v="100"/>
    <n v="7.5"/>
    <m/>
    <m/>
    <n v="21"/>
    <n v="2.625"/>
    <n v="0.85"/>
    <n v="2.2312499999999997"/>
    <x v="1"/>
    <s v="TUV "/>
    <s v="Sam"/>
    <s v="Grundlärarprogrammet - fritidshem"/>
    <n v="21634"/>
    <n v="26986"/>
    <n v="117001.76249999998"/>
    <n v="3400"/>
    <n v="8925"/>
    <n v="125926.76249999998"/>
    <n v="0"/>
    <n v="0"/>
    <n v="0"/>
    <n v="0"/>
    <n v="0"/>
    <n v="0"/>
    <n v="0"/>
    <n v="0"/>
    <n v="1"/>
    <n v="0"/>
    <n v="0"/>
    <n v="0"/>
  </r>
  <r>
    <s v="6PE260"/>
    <s v="Samhällsorientering för förskolan"/>
    <m/>
    <s v="LYFSK"/>
    <s v="H15"/>
    <s v="V19"/>
    <s v="V191-10"/>
    <s v="Umeå"/>
    <m/>
    <m/>
    <m/>
    <n v="100"/>
    <n v="15"/>
    <m/>
    <m/>
    <n v="1"/>
    <n v="0.25"/>
    <n v="0.85"/>
    <n v="0.21249999999999999"/>
    <x v="1"/>
    <s v="TUV "/>
    <s v="Sam"/>
    <s v="Förskollärarprogrammet"/>
    <n v="18405"/>
    <n v="15773"/>
    <n v="7953.0124999999998"/>
    <n v="5800"/>
    <n v="1450"/>
    <n v="9403.0125000000007"/>
    <n v="0"/>
    <n v="0"/>
    <n v="0"/>
    <n v="0"/>
    <n v="0"/>
    <n v="0"/>
    <n v="1"/>
    <n v="0"/>
    <n v="0"/>
    <n v="0"/>
    <n v="0"/>
    <n v="0"/>
  </r>
  <r>
    <s v="6PE260"/>
    <s v="Samhällsorientering för förskolan"/>
    <m/>
    <s v="LYFSK"/>
    <s v="H16"/>
    <s v="V19"/>
    <s v="V191-10"/>
    <s v="Umeå"/>
    <m/>
    <m/>
    <m/>
    <n v="100"/>
    <n v="15"/>
    <m/>
    <m/>
    <n v="58"/>
    <n v="14.5"/>
    <n v="0.85"/>
    <n v="12.324999999999999"/>
    <x v="1"/>
    <s v="TUV "/>
    <s v="Sam"/>
    <s v="Förskollärarprogrammet"/>
    <n v="18405"/>
    <n v="15773"/>
    <n v="461274.72499999998"/>
    <n v="5800"/>
    <n v="84100"/>
    <n v="545374.72499999998"/>
    <n v="0"/>
    <n v="0"/>
    <n v="0"/>
    <n v="0"/>
    <n v="0"/>
    <n v="0"/>
    <n v="1"/>
    <n v="0"/>
    <n v="0"/>
    <n v="0"/>
    <n v="0"/>
    <n v="0"/>
  </r>
  <r>
    <s v="6PE260"/>
    <s v="Samhällsorientering för förskolan"/>
    <m/>
    <s v="LYFSK"/>
    <s v="H16"/>
    <s v="H19"/>
    <s v="H191-10"/>
    <m/>
    <m/>
    <m/>
    <m/>
    <n v="100"/>
    <n v="15"/>
    <m/>
    <m/>
    <n v="3"/>
    <n v="0.75"/>
    <n v="0.85"/>
    <n v="0.63749999999999996"/>
    <x v="1"/>
    <s v="TUV "/>
    <s v="Sam"/>
    <s v="Förskollärarprogrammet"/>
    <n v="18405"/>
    <n v="15773"/>
    <n v="23859.037499999999"/>
    <n v="5800"/>
    <n v="4350"/>
    <n v="28209.037499999999"/>
    <n v="0"/>
    <n v="0"/>
    <n v="0"/>
    <n v="0"/>
    <n v="0"/>
    <n v="0"/>
    <n v="1"/>
    <n v="0"/>
    <n v="0"/>
    <n v="0"/>
    <n v="0"/>
    <n v="0"/>
  </r>
  <r>
    <s v="6PE260"/>
    <s v="Samhällsorientering för förskolan"/>
    <m/>
    <s v="LYFSK"/>
    <s v="V16"/>
    <s v="V19"/>
    <s v="V191-10"/>
    <s v="Umeå"/>
    <m/>
    <m/>
    <m/>
    <n v="100"/>
    <n v="15"/>
    <m/>
    <m/>
    <n v="1"/>
    <n v="0.25"/>
    <n v="0.85"/>
    <n v="0.21249999999999999"/>
    <x v="1"/>
    <s v="TUV "/>
    <s v="Sam"/>
    <s v="Förskollärarprogrammet"/>
    <n v="18405"/>
    <n v="15773"/>
    <n v="7953.0124999999998"/>
    <n v="5800"/>
    <n v="1450"/>
    <n v="9403.0125000000007"/>
    <n v="0"/>
    <n v="0"/>
    <n v="0"/>
    <n v="0"/>
    <n v="0"/>
    <n v="0"/>
    <n v="1"/>
    <n v="0"/>
    <n v="0"/>
    <n v="0"/>
    <n v="0"/>
    <n v="0"/>
  </r>
  <r>
    <s v="6PE260"/>
    <s v="Samhällsorientering för förskolan"/>
    <m/>
    <s v="LYFSK"/>
    <s v="V16"/>
    <s v="V19"/>
    <s v="V191-10"/>
    <s v="Umeå"/>
    <m/>
    <m/>
    <m/>
    <n v="100"/>
    <n v="15"/>
    <m/>
    <m/>
    <n v="2"/>
    <n v="0.5"/>
    <n v="0.85"/>
    <n v="0.42499999999999999"/>
    <x v="1"/>
    <s v="TUV "/>
    <s v="Sam"/>
    <s v="Förskollärarprogrammet"/>
    <n v="18405"/>
    <n v="15773"/>
    <n v="15906.025"/>
    <n v="5800"/>
    <n v="2900"/>
    <n v="18806.025000000001"/>
    <n v="0"/>
    <n v="0"/>
    <n v="0"/>
    <n v="0"/>
    <n v="0"/>
    <n v="0"/>
    <n v="1"/>
    <n v="0"/>
    <n v="0"/>
    <n v="0"/>
    <n v="0"/>
    <n v="0"/>
  </r>
  <r>
    <s v="6PE260"/>
    <s v="Samhällsorientering för förskolan"/>
    <m/>
    <s v="LYFSK"/>
    <s v="V16"/>
    <s v="H19"/>
    <s v="H191-10"/>
    <m/>
    <m/>
    <m/>
    <m/>
    <n v="100"/>
    <n v="15"/>
    <m/>
    <m/>
    <n v="1"/>
    <n v="0.25"/>
    <n v="0.85"/>
    <n v="0.21249999999999999"/>
    <x v="1"/>
    <s v="TUV "/>
    <s v="Sam"/>
    <s v="Förskollärarprogrammet"/>
    <n v="18405"/>
    <n v="15773"/>
    <n v="7953.0124999999998"/>
    <n v="5800"/>
    <n v="1450"/>
    <n v="9403.0125000000007"/>
    <n v="0"/>
    <n v="0"/>
    <n v="0"/>
    <n v="0"/>
    <n v="0"/>
    <n v="0"/>
    <n v="1"/>
    <n v="0"/>
    <n v="0"/>
    <n v="0"/>
    <n v="0"/>
    <n v="0"/>
  </r>
  <r>
    <s v="6PE260"/>
    <s v="Samhällsorientering för förskolan"/>
    <m/>
    <s v="LYFSK"/>
    <s v="V17"/>
    <s v="H19"/>
    <s v="H191-10"/>
    <m/>
    <m/>
    <m/>
    <m/>
    <n v="100"/>
    <n v="15"/>
    <m/>
    <m/>
    <n v="20"/>
    <n v="5"/>
    <n v="0.85"/>
    <n v="4.25"/>
    <x v="1"/>
    <s v="TUV "/>
    <s v="Sam"/>
    <s v="Förskollärarprogrammet"/>
    <n v="18405"/>
    <n v="15773"/>
    <n v="159060.25"/>
    <n v="5800"/>
    <n v="29000"/>
    <n v="188060.25"/>
    <n v="0"/>
    <n v="0"/>
    <n v="0"/>
    <n v="0"/>
    <n v="0"/>
    <n v="0"/>
    <n v="1"/>
    <n v="0"/>
    <n v="0"/>
    <n v="0"/>
    <n v="0"/>
    <n v="0"/>
  </r>
  <r>
    <s v="6PE261"/>
    <s v="Profession och vetenskap för förskolan (UK)"/>
    <m/>
    <s v="LYFSK"/>
    <s v="H14"/>
    <s v="V19"/>
    <s v="V1916-20"/>
    <s v="Umeå"/>
    <m/>
    <m/>
    <m/>
    <n v="100"/>
    <n v="7.5"/>
    <m/>
    <m/>
    <n v="1"/>
    <n v="0.125"/>
    <n v="0.85"/>
    <n v="0.10625"/>
    <x v="1"/>
    <s v="TUV "/>
    <s v="Sam"/>
    <s v="Förskollärarprogrammet"/>
    <n v="23641"/>
    <n v="28786"/>
    <n v="6013.6374999999998"/>
    <n v="5800"/>
    <n v="725"/>
    <n v="6738.6374999999998"/>
    <n v="0"/>
    <n v="0"/>
    <n v="0"/>
    <n v="1"/>
    <n v="0"/>
    <n v="0"/>
    <n v="0"/>
    <n v="0"/>
    <n v="0"/>
    <n v="0"/>
    <n v="0"/>
    <n v="0"/>
  </r>
  <r>
    <s v="6PE261"/>
    <s v="Profession och vetenskap för förskolan (UK)"/>
    <m/>
    <s v="LYFSK"/>
    <s v="H14"/>
    <s v="V19"/>
    <s v="V1916-20"/>
    <s v="Umeå"/>
    <m/>
    <m/>
    <m/>
    <n v="100"/>
    <n v="7.5"/>
    <m/>
    <m/>
    <n v="1"/>
    <n v="0.125"/>
    <n v="0.85"/>
    <n v="0.10625"/>
    <x v="1"/>
    <s v="TUV "/>
    <s v="Sam"/>
    <s v="Förskollärarprogrammet"/>
    <n v="23641"/>
    <n v="28786"/>
    <n v="6013.6374999999998"/>
    <n v="5800"/>
    <n v="725"/>
    <n v="6738.6374999999998"/>
    <n v="0"/>
    <n v="0"/>
    <n v="0"/>
    <n v="1"/>
    <n v="0"/>
    <n v="0"/>
    <n v="0"/>
    <n v="0"/>
    <n v="0"/>
    <n v="0"/>
    <n v="0"/>
    <n v="0"/>
  </r>
  <r>
    <s v="6PE261"/>
    <s v="Profession och vetenskap för förskolan (UK)"/>
    <m/>
    <s v="LYFSK"/>
    <s v="H15"/>
    <s v="V19"/>
    <s v="V1916-20"/>
    <s v="Umeå"/>
    <m/>
    <m/>
    <m/>
    <n v="100"/>
    <n v="7.5"/>
    <m/>
    <m/>
    <n v="1"/>
    <n v="0.125"/>
    <n v="0.85"/>
    <n v="0.10625"/>
    <x v="1"/>
    <s v="TUV "/>
    <s v="Sam"/>
    <s v="Förskollärarprogrammet"/>
    <n v="23641"/>
    <n v="28786"/>
    <n v="6013.6374999999998"/>
    <n v="5800"/>
    <n v="725"/>
    <n v="6738.6374999999998"/>
    <n v="0"/>
    <n v="0"/>
    <n v="0"/>
    <n v="1"/>
    <n v="0"/>
    <n v="0"/>
    <n v="0"/>
    <n v="0"/>
    <n v="0"/>
    <n v="0"/>
    <n v="0"/>
    <n v="0"/>
  </r>
  <r>
    <s v="6PE261"/>
    <s v="Profession och vetenskap för förskolan (UK)"/>
    <m/>
    <s v="LYFSK"/>
    <s v="H16"/>
    <s v="H19"/>
    <s v="H1916-20"/>
    <m/>
    <m/>
    <m/>
    <m/>
    <n v="100"/>
    <n v="7.5"/>
    <m/>
    <m/>
    <n v="57"/>
    <n v="7.125"/>
    <n v="0.85"/>
    <n v="6.0562499999999995"/>
    <x v="1"/>
    <s v="TUV "/>
    <s v="Sam"/>
    <s v="Förskollärarprogrammet"/>
    <n v="23641"/>
    <n v="28786"/>
    <n v="342777.33750000002"/>
    <n v="5800"/>
    <n v="41325"/>
    <n v="384102.33750000002"/>
    <n v="0"/>
    <n v="0"/>
    <n v="0"/>
    <n v="1"/>
    <n v="0"/>
    <n v="0"/>
    <n v="0"/>
    <n v="0"/>
    <n v="0"/>
    <n v="0"/>
    <n v="0"/>
    <n v="0"/>
  </r>
  <r>
    <s v="6PE261"/>
    <s v="Profession och vetenskap för förskolan (UK)"/>
    <m/>
    <s v="LYFSK"/>
    <s v="V16"/>
    <s v="V19"/>
    <s v="V1916-20"/>
    <s v="Umeå"/>
    <m/>
    <m/>
    <m/>
    <n v="100"/>
    <n v="7.5"/>
    <m/>
    <m/>
    <n v="23"/>
    <n v="2.875"/>
    <n v="0.85"/>
    <n v="2.4437500000000001"/>
    <x v="1"/>
    <s v="TUV "/>
    <s v="Sam"/>
    <s v="Förskollärarprogrammet"/>
    <n v="23641"/>
    <n v="28786"/>
    <n v="138313.66250000001"/>
    <n v="5800"/>
    <n v="16675"/>
    <n v="154988.66250000001"/>
    <n v="0"/>
    <n v="0"/>
    <n v="0"/>
    <n v="1"/>
    <n v="0"/>
    <n v="0"/>
    <n v="0"/>
    <n v="0"/>
    <n v="0"/>
    <n v="0"/>
    <n v="0"/>
    <n v="0"/>
  </r>
  <r>
    <s v="6PE261"/>
    <s v="Profession och vetenskap för förskolan (UK)"/>
    <m/>
    <s v="LYFSK"/>
    <s v="V16"/>
    <s v="V19"/>
    <s v="V1916-20"/>
    <s v="Umeå"/>
    <m/>
    <m/>
    <m/>
    <n v="100"/>
    <n v="7.5"/>
    <m/>
    <m/>
    <n v="1"/>
    <n v="0.125"/>
    <n v="0.85"/>
    <n v="0.10625"/>
    <x v="1"/>
    <s v="TUV "/>
    <s v="Sam"/>
    <s v="Förskollärarprogrammet"/>
    <n v="23641"/>
    <n v="28786"/>
    <n v="6013.6374999999998"/>
    <n v="5800"/>
    <n v="725"/>
    <n v="6738.6374999999998"/>
    <n v="0"/>
    <n v="0"/>
    <n v="0"/>
    <n v="1"/>
    <n v="0"/>
    <n v="0"/>
    <n v="0"/>
    <n v="0"/>
    <n v="0"/>
    <n v="0"/>
    <n v="0"/>
    <n v="0"/>
  </r>
  <r>
    <s v="6PE261"/>
    <s v="Profession och vetenskap för förskolan (UK)"/>
    <m/>
    <s v="LYFSK"/>
    <s v="V16"/>
    <s v="H19"/>
    <s v="H1916-20"/>
    <m/>
    <m/>
    <m/>
    <m/>
    <n v="100"/>
    <n v="7.5"/>
    <m/>
    <m/>
    <n v="3"/>
    <n v="0.375"/>
    <n v="0.85"/>
    <n v="0.31874999999999998"/>
    <x v="1"/>
    <s v="TUV "/>
    <s v="Sam"/>
    <s v="Förskollärarprogrammet"/>
    <n v="23641"/>
    <n v="28786"/>
    <n v="18040.912499999999"/>
    <n v="5800"/>
    <n v="2175"/>
    <n v="20215.912499999999"/>
    <n v="0"/>
    <n v="0"/>
    <n v="0"/>
    <n v="1"/>
    <n v="0"/>
    <n v="0"/>
    <n v="0"/>
    <n v="0"/>
    <n v="0"/>
    <n v="0"/>
    <n v="0"/>
    <n v="0"/>
  </r>
  <r>
    <s v="6PE262"/>
    <s v="Profession och vetenskap för fritidshem (UK)"/>
    <m/>
    <s v="LYGFR"/>
    <s v="H16"/>
    <s v="V19"/>
    <s v="V1916-20"/>
    <s v="Umeå"/>
    <m/>
    <m/>
    <m/>
    <n v="100"/>
    <n v="7.5"/>
    <m/>
    <m/>
    <n v="1"/>
    <n v="0.125"/>
    <n v="0.85"/>
    <n v="0.10625"/>
    <x v="1"/>
    <s v="TUV "/>
    <s v="Sam"/>
    <s v="Grundlärarprogrammet - fritidshem"/>
    <n v="23641"/>
    <n v="28786"/>
    <n v="6013.6374999999998"/>
    <n v="5800"/>
    <n v="725"/>
    <n v="6738.6374999999998"/>
    <n v="0"/>
    <n v="0"/>
    <n v="0"/>
    <n v="1"/>
    <n v="0"/>
    <n v="0"/>
    <n v="0"/>
    <n v="0"/>
    <n v="0"/>
    <n v="0"/>
    <n v="0"/>
    <n v="0"/>
  </r>
  <r>
    <s v="6PE262"/>
    <s v="Profession och vetenskap för fritidshem (UK)"/>
    <m/>
    <s v="LYGFR"/>
    <s v="H16"/>
    <s v="V19"/>
    <s v="V1916-20"/>
    <s v="Umeå"/>
    <m/>
    <m/>
    <m/>
    <n v="100"/>
    <n v="7.5"/>
    <m/>
    <m/>
    <n v="21"/>
    <n v="2.625"/>
    <n v="0.85"/>
    <n v="2.2312499999999997"/>
    <x v="1"/>
    <s v="TUV "/>
    <s v="Sam"/>
    <s v="Grundlärarprogrammet - fritidshem"/>
    <n v="23641"/>
    <n v="28786"/>
    <n v="126286.38749999998"/>
    <n v="5800"/>
    <n v="15225"/>
    <n v="141511.38749999998"/>
    <n v="0"/>
    <n v="0"/>
    <n v="0"/>
    <n v="1"/>
    <n v="0"/>
    <n v="0"/>
    <n v="0"/>
    <n v="0"/>
    <n v="0"/>
    <n v="0"/>
    <n v="0"/>
    <n v="0"/>
  </r>
  <r>
    <s v="6PE263"/>
    <s v="Utbildningspolicy i nationell och internationell kontext"/>
    <m/>
    <s v="FRIST"/>
    <m/>
    <s v="V19"/>
    <m/>
    <m/>
    <s v="Campus"/>
    <m/>
    <m/>
    <n v="100"/>
    <n v="7.5"/>
    <m/>
    <m/>
    <n v="0"/>
    <n v="0"/>
    <n v="0.8"/>
    <n v="0"/>
    <x v="1"/>
    <s v="TUV "/>
    <s v="Sam"/>
    <s v="Fristående och övriga kurser"/>
    <n v="18405"/>
    <n v="15773"/>
    <n v="0"/>
    <n v="5800"/>
    <n v="0"/>
    <n v="0"/>
    <n v="0"/>
    <n v="0"/>
    <n v="0"/>
    <n v="0"/>
    <n v="0"/>
    <n v="0"/>
    <n v="1"/>
    <n v="0"/>
    <n v="0"/>
    <n v="0"/>
    <n v="0"/>
    <n v="0"/>
  </r>
  <r>
    <s v="6PE264"/>
    <s v="Grundlärare som profession (UK)"/>
    <m/>
    <s v="LYGFR"/>
    <s v="H19"/>
    <s v="H19"/>
    <s v="H191-4"/>
    <m/>
    <m/>
    <m/>
    <m/>
    <n v="100"/>
    <n v="6"/>
    <m/>
    <m/>
    <n v="25"/>
    <n v="2.5"/>
    <n v="0.85"/>
    <n v="2.125"/>
    <x v="9"/>
    <s v="NMD"/>
    <s v="TekNat"/>
    <s v="Grundlärarprogrammet - fritidshem"/>
    <n v="23641"/>
    <n v="28786"/>
    <n v="120272.75"/>
    <n v="5800"/>
    <n v="14500"/>
    <n v="134772.75"/>
    <n v="0"/>
    <n v="0"/>
    <n v="0"/>
    <n v="1"/>
    <n v="0"/>
    <n v="0"/>
    <n v="0"/>
    <n v="0"/>
    <n v="0"/>
    <n v="0"/>
    <n v="0"/>
    <n v="0"/>
  </r>
  <r>
    <s v="6PE264"/>
    <s v="Grundlärare som profession (UK)"/>
    <m/>
    <s v="LYGFT"/>
    <s v="H14"/>
    <s v="H19"/>
    <s v="H191-4"/>
    <m/>
    <m/>
    <m/>
    <m/>
    <n v="100"/>
    <n v="6"/>
    <m/>
    <m/>
    <n v="1"/>
    <n v="0.1"/>
    <n v="0.85"/>
    <n v="8.5000000000000006E-2"/>
    <x v="9"/>
    <s v="NMD"/>
    <s v="TekNat"/>
    <s v="Grundlärarprogrammet - förskoleklass och åk 1-3"/>
    <n v="23641"/>
    <n v="28786"/>
    <n v="4810.91"/>
    <n v="5800"/>
    <n v="580"/>
    <n v="5390.91"/>
    <n v="0"/>
    <n v="0"/>
    <n v="0"/>
    <n v="1"/>
    <n v="0"/>
    <n v="0"/>
    <n v="0"/>
    <n v="0"/>
    <n v="0"/>
    <n v="0"/>
    <n v="0"/>
    <n v="0"/>
  </r>
  <r>
    <s v="6PE264"/>
    <s v="Grundlärare som profession (UK)"/>
    <m/>
    <s v="LYGFT"/>
    <s v="H18"/>
    <s v="H19"/>
    <s v="H191-4"/>
    <m/>
    <m/>
    <m/>
    <m/>
    <n v="100"/>
    <n v="6"/>
    <m/>
    <m/>
    <n v="1"/>
    <n v="0.1"/>
    <n v="0.85"/>
    <n v="8.5000000000000006E-2"/>
    <x v="9"/>
    <s v="NMD"/>
    <s v="TekNat"/>
    <s v="Grundlärarprogrammet - förskoleklass och åk 1-3"/>
    <n v="23641"/>
    <n v="28786"/>
    <n v="4810.91"/>
    <n v="5800"/>
    <n v="580"/>
    <n v="5390.91"/>
    <n v="0"/>
    <n v="0"/>
    <n v="0"/>
    <n v="1"/>
    <n v="0"/>
    <n v="0"/>
    <n v="0"/>
    <n v="0"/>
    <n v="0"/>
    <n v="0"/>
    <n v="0"/>
    <n v="0"/>
  </r>
  <r>
    <s v="6PE264"/>
    <s v="Grundlärare som profession (UK)"/>
    <m/>
    <s v="LYGFT"/>
    <s v="H19"/>
    <s v="H19"/>
    <s v="H191-4"/>
    <m/>
    <m/>
    <m/>
    <m/>
    <n v="100"/>
    <n v="6"/>
    <m/>
    <m/>
    <n v="52"/>
    <n v="5.2"/>
    <n v="0.85"/>
    <n v="4.42"/>
    <x v="9"/>
    <s v="NMD"/>
    <s v="TekNat"/>
    <s v="Grundlärarprogrammet - förskoleklass och åk 1-3"/>
    <n v="23641"/>
    <n v="28786"/>
    <n v="250167.32"/>
    <n v="5800"/>
    <n v="30160"/>
    <n v="280327.32"/>
    <n v="0"/>
    <n v="0"/>
    <n v="0"/>
    <n v="1"/>
    <n v="0"/>
    <n v="0"/>
    <n v="0"/>
    <n v="0"/>
    <n v="0"/>
    <n v="0"/>
    <n v="0"/>
    <n v="0"/>
  </r>
  <r>
    <s v="6PE264"/>
    <s v="Grundlärare som profession (UK)"/>
    <m/>
    <s v="LYGFT"/>
    <s v="V18"/>
    <s v="H19"/>
    <s v="H191-4"/>
    <m/>
    <m/>
    <m/>
    <m/>
    <n v="100"/>
    <n v="6"/>
    <m/>
    <m/>
    <n v="1"/>
    <n v="0.1"/>
    <n v="0.85"/>
    <n v="8.5000000000000006E-2"/>
    <x v="9"/>
    <s v="NMD"/>
    <s v="TekNat"/>
    <s v="Grundlärarprogrammet - förskoleklass och åk 1-3"/>
    <n v="23641"/>
    <n v="28786"/>
    <n v="4810.91"/>
    <n v="5800"/>
    <n v="580"/>
    <n v="5390.91"/>
    <n v="0"/>
    <n v="0"/>
    <n v="0"/>
    <n v="1"/>
    <n v="0"/>
    <n v="0"/>
    <n v="0"/>
    <n v="0"/>
    <n v="0"/>
    <n v="0"/>
    <n v="0"/>
    <n v="0"/>
  </r>
  <r>
    <s v="6PE264"/>
    <s v="Grundlärare som profession (UK)"/>
    <m/>
    <s v="LYGRM"/>
    <s v="H19"/>
    <s v="H19"/>
    <s v="H191-4"/>
    <m/>
    <m/>
    <m/>
    <m/>
    <n v="100"/>
    <n v="6"/>
    <m/>
    <m/>
    <n v="35"/>
    <n v="3.5"/>
    <n v="0.85"/>
    <n v="2.9750000000000001"/>
    <x v="9"/>
    <s v="NMD"/>
    <s v="TekNat"/>
    <s v="Grundlärarprogrammet - grundskolans åk 4-6"/>
    <n v="23641"/>
    <n v="28786"/>
    <n v="168381.85"/>
    <n v="5800"/>
    <n v="20300"/>
    <n v="188681.85"/>
    <n v="0"/>
    <n v="0"/>
    <n v="0"/>
    <n v="1"/>
    <n v="0"/>
    <n v="0"/>
    <n v="0"/>
    <n v="0"/>
    <n v="0"/>
    <n v="0"/>
    <n v="0"/>
    <n v="0"/>
  </r>
  <r>
    <s v="6PE265"/>
    <s v="Profession och vetenskap för åk 4-6 (UK III)"/>
    <m/>
    <s v="LYGRM"/>
    <s v="H12"/>
    <s v="V19"/>
    <s v="V1916-20"/>
    <s v="Umeå"/>
    <m/>
    <m/>
    <m/>
    <n v="100"/>
    <n v="7.5"/>
    <m/>
    <m/>
    <n v="1"/>
    <n v="0.125"/>
    <n v="0.85"/>
    <n v="0.10625"/>
    <x v="9"/>
    <s v="NMD"/>
    <s v="TekNat"/>
    <s v="Grundlärarprogrammet - grundskolans åk 4-6"/>
    <n v="23641"/>
    <n v="28786"/>
    <n v="6013.6374999999998"/>
    <n v="5800"/>
    <n v="725"/>
    <n v="6738.6374999999998"/>
    <n v="0"/>
    <n v="0"/>
    <n v="0"/>
    <n v="1"/>
    <n v="0"/>
    <n v="0"/>
    <n v="0"/>
    <n v="0"/>
    <n v="0"/>
    <n v="0"/>
    <n v="0"/>
    <n v="0"/>
  </r>
  <r>
    <s v="6PE265"/>
    <s v="Profession och vetenskap för åk 4-6 (UK III)"/>
    <m/>
    <s v="LYGRM"/>
    <s v="H15"/>
    <s v="V19"/>
    <s v="V1916-20"/>
    <s v="Umeå"/>
    <m/>
    <m/>
    <m/>
    <n v="100"/>
    <n v="7.5"/>
    <m/>
    <m/>
    <n v="24"/>
    <n v="3"/>
    <n v="0.85"/>
    <n v="2.5499999999999998"/>
    <x v="9"/>
    <s v="NMD"/>
    <s v="TekNat"/>
    <s v="Grundlärarprogrammet - grundskolans åk 4-6"/>
    <n v="23641"/>
    <n v="28786"/>
    <n v="144327.29999999999"/>
    <n v="5800"/>
    <n v="17400"/>
    <n v="161727.29999999999"/>
    <n v="0"/>
    <n v="0"/>
    <n v="0"/>
    <n v="1"/>
    <n v="0"/>
    <n v="0"/>
    <n v="0"/>
    <n v="0"/>
    <n v="0"/>
    <n v="0"/>
    <n v="0"/>
    <n v="0"/>
  </r>
  <r>
    <s v="6PE265"/>
    <s v="Profession och vetenskap för åk 4-6 (UK III)"/>
    <m/>
    <s v="LYGRM"/>
    <s v="H16"/>
    <s v="V19"/>
    <s v="V1916-20"/>
    <s v="Umeå"/>
    <m/>
    <m/>
    <m/>
    <n v="100"/>
    <n v="7.5"/>
    <m/>
    <m/>
    <n v="2"/>
    <n v="0.25"/>
    <n v="0.85"/>
    <n v="0.21249999999999999"/>
    <x v="9"/>
    <s v="NMD"/>
    <s v="TekNat"/>
    <s v="Grundlärarprogrammet - grundskolans åk 4-6"/>
    <n v="23641"/>
    <n v="28786"/>
    <n v="12027.275"/>
    <n v="5800"/>
    <n v="1450"/>
    <n v="13477.275"/>
    <n v="0"/>
    <n v="0"/>
    <n v="0"/>
    <n v="1"/>
    <n v="0"/>
    <n v="0"/>
    <n v="0"/>
    <n v="0"/>
    <n v="0"/>
    <n v="0"/>
    <n v="0"/>
    <n v="0"/>
  </r>
  <r>
    <s v="6PE266"/>
    <s v="Profession och vetenskap för F-3 (UK III)"/>
    <m/>
    <s v="LYGFT"/>
    <s v="H14"/>
    <s v="V19"/>
    <s v="V1916-20"/>
    <s v="Umeå"/>
    <m/>
    <m/>
    <m/>
    <n v="100"/>
    <n v="7.5"/>
    <m/>
    <m/>
    <n v="2"/>
    <n v="0.25"/>
    <n v="0.85"/>
    <n v="0.21249999999999999"/>
    <x v="9"/>
    <s v="NMD"/>
    <s v="TekNat"/>
    <s v="Grundlärarprogrammet - förskoleklass och åk 1-3"/>
    <n v="23641"/>
    <n v="28786"/>
    <n v="12027.275"/>
    <n v="5800"/>
    <n v="1450"/>
    <n v="13477.275"/>
    <n v="0"/>
    <n v="0"/>
    <n v="0"/>
    <n v="1"/>
    <n v="0"/>
    <n v="0"/>
    <n v="0"/>
    <n v="0"/>
    <n v="0"/>
    <n v="0"/>
    <n v="0"/>
    <n v="0"/>
  </r>
  <r>
    <s v="6PE266"/>
    <s v="Profession och vetenskap för F-3 (UK III)"/>
    <m/>
    <s v="LYGFT"/>
    <s v="H15"/>
    <s v="V19"/>
    <s v="V1916-20"/>
    <s v="Umeå"/>
    <m/>
    <m/>
    <m/>
    <n v="100"/>
    <n v="7.5"/>
    <m/>
    <m/>
    <n v="1"/>
    <n v="0.125"/>
    <n v="0.85"/>
    <n v="0.10625"/>
    <x v="9"/>
    <s v="NMD"/>
    <s v="TekNat"/>
    <s v="Grundlärarprogrammet - förskoleklass och åk 1-3"/>
    <n v="23641"/>
    <n v="28786"/>
    <n v="6013.6374999999998"/>
    <n v="5800"/>
    <n v="725"/>
    <n v="6738.6374999999998"/>
    <n v="0"/>
    <n v="0"/>
    <n v="0"/>
    <n v="1"/>
    <n v="0"/>
    <n v="0"/>
    <n v="0"/>
    <n v="0"/>
    <n v="0"/>
    <n v="0"/>
    <n v="0"/>
    <n v="0"/>
  </r>
  <r>
    <s v="6PE266"/>
    <s v="Profession och vetenskap för F-3 (UK III)"/>
    <m/>
    <s v="LYGFT"/>
    <s v="H15"/>
    <s v="V19"/>
    <s v="V1916-20"/>
    <s v="Umeå"/>
    <m/>
    <m/>
    <m/>
    <n v="100"/>
    <n v="7.5"/>
    <m/>
    <m/>
    <n v="43"/>
    <n v="5.375"/>
    <n v="0.85"/>
    <n v="4.5687499999999996"/>
    <x v="9"/>
    <s v="NMD"/>
    <s v="TekNat"/>
    <s v="Grundlärarprogrammet - förskoleklass och åk 1-3"/>
    <n v="23641"/>
    <n v="28786"/>
    <n v="258586.41249999998"/>
    <n v="5800"/>
    <n v="31175"/>
    <n v="289761.41249999998"/>
    <n v="0"/>
    <n v="0"/>
    <n v="0"/>
    <n v="1"/>
    <n v="0"/>
    <n v="0"/>
    <n v="0"/>
    <n v="0"/>
    <n v="0"/>
    <n v="0"/>
    <n v="0"/>
    <n v="0"/>
  </r>
  <r>
    <s v="6PE266"/>
    <s v="Profession och vetenskap för F-3 (UK III)"/>
    <m/>
    <s v="LYGFT"/>
    <s v="H15"/>
    <s v="V19"/>
    <s v="V1916-20"/>
    <s v="Umeå"/>
    <m/>
    <m/>
    <m/>
    <n v="100"/>
    <n v="7.5"/>
    <m/>
    <m/>
    <n v="1"/>
    <n v="0.125"/>
    <n v="0.85"/>
    <n v="0.10625"/>
    <x v="9"/>
    <s v="NMD"/>
    <s v="TekNat"/>
    <s v="Grundlärarprogrammet - förskoleklass och åk 1-3"/>
    <n v="23641"/>
    <n v="28786"/>
    <n v="6013.6374999999998"/>
    <n v="5800"/>
    <n v="725"/>
    <n v="6738.6374999999998"/>
    <n v="0"/>
    <n v="0"/>
    <n v="0"/>
    <n v="1"/>
    <n v="0"/>
    <n v="0"/>
    <n v="0"/>
    <n v="0"/>
    <n v="0"/>
    <n v="0"/>
    <n v="0"/>
    <n v="0"/>
  </r>
  <r>
    <s v="6PE267"/>
    <s v="Ämnesdidaktik (UK)"/>
    <m/>
    <s v="LYKFO"/>
    <s v="V19"/>
    <s v="V19"/>
    <s v="V1918-20"/>
    <s v="Umeå"/>
    <m/>
    <m/>
    <m/>
    <n v="100"/>
    <n v="7.5"/>
    <m/>
    <m/>
    <n v="15"/>
    <n v="1.875"/>
    <n v="0.85"/>
    <n v="1.59375"/>
    <x v="9"/>
    <s v="NMD"/>
    <s v="TekNat"/>
    <s v="KPU - Förhöjd studietakt - utbildningsbidrag"/>
    <n v="23641"/>
    <n v="28786"/>
    <n v="90204.5625"/>
    <n v="5800"/>
    <n v="10875"/>
    <n v="101079.5625"/>
    <n v="0"/>
    <n v="0"/>
    <n v="0"/>
    <n v="1"/>
    <n v="0"/>
    <n v="0"/>
    <n v="0"/>
    <n v="0"/>
    <n v="0"/>
    <n v="0"/>
    <n v="0"/>
    <n v="0"/>
  </r>
  <r>
    <s v="6PE267"/>
    <s v="Ämnesdidaktik (UK)"/>
    <m/>
    <s v="LYKGR"/>
    <s v="H19"/>
    <s v="H19"/>
    <s v="H1918-20"/>
    <m/>
    <m/>
    <s v="FHHK"/>
    <m/>
    <n v="150"/>
    <n v="7.5"/>
    <m/>
    <m/>
    <n v="2"/>
    <n v="0.25"/>
    <n v="0.85"/>
    <n v="0.21249999999999999"/>
    <x v="9"/>
    <s v="NMD"/>
    <s v="TekNat"/>
    <s v="KPU - åk 7-9"/>
    <n v="23641"/>
    <n v="28786"/>
    <n v="12027.275"/>
    <n v="5800"/>
    <n v="1450"/>
    <n v="13477.275"/>
    <n v="0"/>
    <n v="0"/>
    <n v="0"/>
    <n v="1"/>
    <n v="0"/>
    <n v="0"/>
    <n v="0"/>
    <n v="0"/>
    <n v="0"/>
    <n v="0"/>
    <n v="0"/>
    <n v="0"/>
  </r>
  <r>
    <s v="6PE267"/>
    <s v="Ämnesdidaktik (UK)"/>
    <m/>
    <s v="LYKGR"/>
    <s v="H19"/>
    <s v="H19"/>
    <s v="H1918-20"/>
    <m/>
    <m/>
    <s v="FHOV"/>
    <m/>
    <n v="150"/>
    <n v="7.5"/>
    <m/>
    <m/>
    <n v="12"/>
    <n v="1.5"/>
    <n v="0.85"/>
    <n v="1.2749999999999999"/>
    <x v="9"/>
    <s v="NMD"/>
    <s v="TekNat"/>
    <s v="KPU - åk 7-9"/>
    <n v="23641"/>
    <n v="28786"/>
    <n v="72163.649999999994"/>
    <n v="5800"/>
    <n v="8700"/>
    <n v="80863.649999999994"/>
    <n v="0"/>
    <n v="0"/>
    <n v="0"/>
    <n v="1"/>
    <n v="0"/>
    <n v="0"/>
    <n v="0"/>
    <n v="0"/>
    <n v="0"/>
    <n v="0"/>
    <n v="0"/>
    <n v="0"/>
  </r>
  <r>
    <s v="6PE267"/>
    <s v="Ämnesdidaktik (UK)"/>
    <m/>
    <s v="LYKGR"/>
    <s v="H19"/>
    <s v="H19"/>
    <s v="H1918-20"/>
    <m/>
    <m/>
    <s v="FHSL"/>
    <m/>
    <n v="150"/>
    <n v="7.5"/>
    <m/>
    <m/>
    <n v="4"/>
    <n v="0.5"/>
    <n v="0.85"/>
    <n v="0.42499999999999999"/>
    <x v="9"/>
    <s v="NMD"/>
    <s v="TekNat"/>
    <s v="KPU - åk 7-9"/>
    <n v="23641"/>
    <n v="28786"/>
    <n v="24054.55"/>
    <n v="5800"/>
    <n v="2900"/>
    <n v="26954.55"/>
    <n v="0"/>
    <n v="0"/>
    <n v="0"/>
    <n v="1"/>
    <n v="0"/>
    <n v="0"/>
    <n v="0"/>
    <n v="0"/>
    <n v="0"/>
    <n v="0"/>
    <n v="0"/>
    <n v="0"/>
  </r>
  <r>
    <s v="6PE267"/>
    <s v="Ämnesdidaktik (UK)"/>
    <m/>
    <s v="LYKGY"/>
    <s v="H08"/>
    <s v="H19"/>
    <s v="H1918-20"/>
    <m/>
    <m/>
    <s v="FHOV"/>
    <m/>
    <n v="150"/>
    <n v="7.5"/>
    <m/>
    <m/>
    <n v="1"/>
    <n v="0.125"/>
    <n v="0.85"/>
    <n v="0.10625"/>
    <x v="9"/>
    <s v="NMD"/>
    <s v="TekNat"/>
    <s v="KPU - Gy"/>
    <n v="23641"/>
    <n v="28786"/>
    <n v="6013.6374999999998"/>
    <n v="5800"/>
    <n v="725"/>
    <n v="6738.6374999999998"/>
    <n v="0"/>
    <n v="0"/>
    <n v="0"/>
    <n v="1"/>
    <n v="0"/>
    <n v="0"/>
    <n v="0"/>
    <n v="0"/>
    <n v="0"/>
    <n v="0"/>
    <n v="0"/>
    <n v="0"/>
  </r>
  <r>
    <s v="6PE267"/>
    <s v="Ämnesdidaktik (UK)"/>
    <m/>
    <s v="LYKGY"/>
    <s v="H19"/>
    <s v="H19"/>
    <s v="H1918-20"/>
    <m/>
    <m/>
    <s v="FHFK"/>
    <m/>
    <n v="150"/>
    <n v="7.5"/>
    <m/>
    <m/>
    <n v="4"/>
    <n v="0.5"/>
    <n v="0.85"/>
    <n v="0.42499999999999999"/>
    <x v="9"/>
    <s v="NMD"/>
    <s v="TekNat"/>
    <s v="KPU - Gy"/>
    <n v="23641"/>
    <n v="28786"/>
    <n v="24054.55"/>
    <n v="5800"/>
    <n v="2900"/>
    <n v="26954.55"/>
    <n v="0"/>
    <n v="0"/>
    <n v="0"/>
    <n v="1"/>
    <n v="0"/>
    <n v="0"/>
    <n v="0"/>
    <n v="0"/>
    <n v="0"/>
    <n v="0"/>
    <n v="0"/>
    <n v="0"/>
  </r>
  <r>
    <s v="6PE267"/>
    <s v="Ämnesdidaktik (UK)"/>
    <m/>
    <s v="LYKGY"/>
    <s v="H19"/>
    <s v="H19"/>
    <s v="H1918-20"/>
    <m/>
    <m/>
    <s v="FHOV"/>
    <m/>
    <n v="150"/>
    <n v="7.5"/>
    <m/>
    <m/>
    <n v="18"/>
    <n v="2.25"/>
    <n v="0.85"/>
    <n v="1.9124999999999999"/>
    <x v="9"/>
    <s v="NMD"/>
    <s v="TekNat"/>
    <s v="KPU - Gy"/>
    <n v="23641"/>
    <n v="28786"/>
    <n v="108245.47500000001"/>
    <n v="5800"/>
    <n v="13050"/>
    <n v="121295.47500000001"/>
    <n v="0"/>
    <n v="0"/>
    <n v="0"/>
    <n v="1"/>
    <n v="0"/>
    <n v="0"/>
    <n v="0"/>
    <n v="0"/>
    <n v="0"/>
    <n v="0"/>
    <n v="0"/>
    <n v="0"/>
  </r>
  <r>
    <s v="6PE267"/>
    <s v="Ämnesdidaktik (UK)"/>
    <m/>
    <s v="LYKGY"/>
    <s v="H19"/>
    <s v="H19"/>
    <s v="H1918-20"/>
    <m/>
    <m/>
    <s v="GYFH"/>
    <m/>
    <n v="150"/>
    <n v="7.5"/>
    <m/>
    <m/>
    <n v="2"/>
    <n v="0.25"/>
    <n v="0.85"/>
    <n v="0.21249999999999999"/>
    <x v="9"/>
    <s v="NMD"/>
    <s v="TekNat"/>
    <s v="KPU - Gy"/>
    <n v="23641"/>
    <n v="28786"/>
    <n v="12027.275"/>
    <n v="5800"/>
    <n v="1450"/>
    <n v="13477.275"/>
    <n v="0"/>
    <n v="0"/>
    <n v="0"/>
    <n v="1"/>
    <n v="0"/>
    <n v="0"/>
    <n v="0"/>
    <n v="0"/>
    <n v="0"/>
    <n v="0"/>
    <n v="0"/>
    <n v="0"/>
  </r>
  <r>
    <s v="6PE268"/>
    <s v="Att vara grundlärare (VFU)"/>
    <m/>
    <s v="LYGFR"/>
    <s v="H19"/>
    <s v="H19"/>
    <s v="H195"/>
    <m/>
    <m/>
    <m/>
    <m/>
    <n v="100"/>
    <n v="1.5"/>
    <n v="-0.08"/>
    <n v="25"/>
    <n v="23"/>
    <n v="0.57500000000000007"/>
    <n v="0.85"/>
    <n v="0.48875000000000002"/>
    <x v="9"/>
    <s v="NMD"/>
    <s v="TekNat"/>
    <s v="Grundlärarprogrammet - fritidshem"/>
    <n v="21634"/>
    <n v="26986"/>
    <n v="25628.957500000004"/>
    <n v="3400"/>
    <n v="1955.0000000000002"/>
    <n v="27583.957500000004"/>
    <n v="0"/>
    <n v="0"/>
    <n v="0"/>
    <n v="0"/>
    <n v="0"/>
    <n v="0"/>
    <n v="0"/>
    <n v="0"/>
    <n v="1"/>
    <n v="0"/>
    <n v="0"/>
    <n v="0"/>
  </r>
  <r>
    <s v="6PE268"/>
    <s v="Att vara grundlärare (VFU)"/>
    <m/>
    <s v="LYGFT"/>
    <s v="H14"/>
    <s v="H19"/>
    <s v="H195"/>
    <m/>
    <m/>
    <m/>
    <m/>
    <n v="100"/>
    <n v="1.5"/>
    <m/>
    <m/>
    <n v="1"/>
    <n v="2.5000000000000001E-2"/>
    <n v="0.85"/>
    <n v="2.1250000000000002E-2"/>
    <x v="9"/>
    <s v="NMD"/>
    <s v="TekNat"/>
    <s v="Grundlärarprogrammet - förskoleklass och åk 1-3"/>
    <n v="21634"/>
    <n v="26986"/>
    <n v="1114.3025"/>
    <n v="3400"/>
    <n v="85"/>
    <n v="1199.3025"/>
    <n v="0"/>
    <n v="0"/>
    <n v="0"/>
    <n v="0"/>
    <n v="0"/>
    <n v="0"/>
    <n v="0"/>
    <n v="0"/>
    <n v="1"/>
    <n v="0"/>
    <n v="0"/>
    <n v="0"/>
  </r>
  <r>
    <s v="6PE268"/>
    <s v="Att vara grundlärare (VFU)"/>
    <m/>
    <s v="LYGFT"/>
    <s v="H18"/>
    <s v="H19"/>
    <s v="H195"/>
    <m/>
    <m/>
    <m/>
    <m/>
    <n v="100"/>
    <n v="1.5"/>
    <m/>
    <m/>
    <n v="1"/>
    <n v="2.5000000000000001E-2"/>
    <n v="0.85"/>
    <n v="2.1250000000000002E-2"/>
    <x v="9"/>
    <s v="NMD"/>
    <s v="TekNat"/>
    <s v="Grundlärarprogrammet - förskoleklass och åk 1-3"/>
    <n v="21634"/>
    <n v="26986"/>
    <n v="1114.3025"/>
    <n v="3400"/>
    <n v="85"/>
    <n v="1199.3025"/>
    <n v="0"/>
    <n v="0"/>
    <n v="0"/>
    <n v="0"/>
    <n v="0"/>
    <n v="0"/>
    <n v="0"/>
    <n v="0"/>
    <n v="1"/>
    <n v="0"/>
    <n v="0"/>
    <n v="0"/>
  </r>
  <r>
    <s v="6PE268"/>
    <s v="Att vara grundlärare (VFU)"/>
    <m/>
    <s v="LYGFT"/>
    <s v="H19"/>
    <s v="H19"/>
    <s v="H195"/>
    <m/>
    <m/>
    <m/>
    <m/>
    <n v="100"/>
    <n v="1.5"/>
    <n v="-0.05"/>
    <n v="51"/>
    <n v="48.45"/>
    <n v="1.2112500000000002"/>
    <n v="0.85"/>
    <n v="1.0295625000000002"/>
    <x v="9"/>
    <s v="NMD"/>
    <s v="TekNat"/>
    <s v="Grundlärarprogrammet - förskoleklass och åk 1-3"/>
    <n v="21634"/>
    <n v="26986"/>
    <n v="53987.956125000012"/>
    <n v="3400"/>
    <n v="4118.2500000000009"/>
    <n v="58106.206125000012"/>
    <n v="0"/>
    <n v="0"/>
    <n v="0"/>
    <n v="0"/>
    <n v="0"/>
    <n v="0"/>
    <n v="0"/>
    <n v="0"/>
    <n v="1"/>
    <n v="0"/>
    <n v="0"/>
    <n v="0"/>
  </r>
  <r>
    <s v="6PE268"/>
    <s v="Att vara grundlärare (VFU)"/>
    <m/>
    <s v="LYGFT"/>
    <s v="V18"/>
    <s v="H19"/>
    <s v="H195"/>
    <m/>
    <m/>
    <m/>
    <m/>
    <n v="100"/>
    <n v="1.5"/>
    <m/>
    <m/>
    <n v="1"/>
    <n v="2.5000000000000001E-2"/>
    <n v="0.85"/>
    <n v="2.1250000000000002E-2"/>
    <x v="9"/>
    <s v="NMD"/>
    <s v="TekNat"/>
    <s v="Grundlärarprogrammet - förskoleklass och åk 1-3"/>
    <n v="21634"/>
    <n v="26986"/>
    <n v="1114.3025"/>
    <n v="3400"/>
    <n v="85"/>
    <n v="1199.3025"/>
    <n v="0"/>
    <n v="0"/>
    <n v="0"/>
    <n v="0"/>
    <n v="0"/>
    <n v="0"/>
    <n v="0"/>
    <n v="0"/>
    <n v="1"/>
    <n v="0"/>
    <n v="0"/>
    <n v="0"/>
  </r>
  <r>
    <s v="6PE268"/>
    <s v="Att vara grundlärare (VFU)"/>
    <m/>
    <s v="LYGRM"/>
    <s v="H19"/>
    <s v="H19"/>
    <s v="H195"/>
    <m/>
    <m/>
    <m/>
    <m/>
    <n v="100"/>
    <n v="1.5"/>
    <n v="-0.05"/>
    <n v="35"/>
    <n v="33.25"/>
    <n v="0.83125000000000004"/>
    <n v="0.85"/>
    <n v="0.70656249999999998"/>
    <x v="9"/>
    <s v="NMD"/>
    <s v="TekNat"/>
    <s v="Grundlärarprogrammet - grundskolans åk 4-6"/>
    <n v="21634"/>
    <n v="26986"/>
    <n v="37050.558124999996"/>
    <n v="3400"/>
    <n v="2826.25"/>
    <n v="39876.808124999996"/>
    <n v="0"/>
    <n v="0"/>
    <n v="0"/>
    <n v="0"/>
    <n v="0"/>
    <n v="0"/>
    <n v="0"/>
    <n v="0"/>
    <n v="1"/>
    <n v="0"/>
    <n v="0"/>
    <n v="0"/>
  </r>
  <r>
    <s v="6PE269"/>
    <s v="Att undervisa i biologi (VFU)"/>
    <m/>
    <s v="LYAGY"/>
    <s v="H17"/>
    <s v="H19"/>
    <s v="H1913-16"/>
    <m/>
    <m/>
    <s v="BIOL"/>
    <m/>
    <n v="100"/>
    <n v="6"/>
    <m/>
    <m/>
    <n v="1"/>
    <n v="0.1"/>
    <n v="0.85"/>
    <n v="8.5000000000000006E-2"/>
    <x v="9"/>
    <s v="NMD"/>
    <s v="TekNat"/>
    <s v="Ämneslärarprogrammet - Gy"/>
    <n v="21634"/>
    <n v="26986"/>
    <n v="4457.21"/>
    <n v="3400"/>
    <n v="340"/>
    <n v="4797.21"/>
    <n v="0"/>
    <n v="0"/>
    <n v="0"/>
    <n v="0"/>
    <n v="0"/>
    <n v="0"/>
    <n v="0"/>
    <n v="0"/>
    <n v="1"/>
    <n v="0"/>
    <n v="0"/>
    <n v="0"/>
  </r>
  <r>
    <s v="6PE269"/>
    <s v="Att undervisa i biologi (VFU)"/>
    <m/>
    <s v="LYAGY"/>
    <s v="H18"/>
    <s v="H19"/>
    <s v="H1913-16"/>
    <m/>
    <m/>
    <s v="BIOL"/>
    <m/>
    <n v="100"/>
    <n v="6"/>
    <m/>
    <m/>
    <n v="3"/>
    <n v="0.30000000000000004"/>
    <n v="0.85"/>
    <n v="0.255"/>
    <x v="9"/>
    <s v="NMD"/>
    <s v="TekNat"/>
    <s v="Ämneslärarprogrammet - Gy"/>
    <n v="21634"/>
    <n v="26986"/>
    <n v="13371.630000000001"/>
    <n v="3400"/>
    <n v="1020.0000000000001"/>
    <n v="14391.630000000001"/>
    <n v="0"/>
    <n v="0"/>
    <n v="0"/>
    <n v="0"/>
    <n v="0"/>
    <n v="0"/>
    <n v="0"/>
    <n v="0"/>
    <n v="1"/>
    <n v="0"/>
    <n v="0"/>
    <n v="0"/>
  </r>
  <r>
    <s v="6PE271"/>
    <s v="Att undervisa i Idrott och hälsa (VFU)"/>
    <m/>
    <s v="LYAGY"/>
    <s v="H16"/>
    <s v="H19"/>
    <s v="H1913-16"/>
    <m/>
    <m/>
    <s v="IDRH"/>
    <m/>
    <n v="100"/>
    <n v="6"/>
    <m/>
    <m/>
    <n v="1"/>
    <n v="0.1"/>
    <n v="0.85"/>
    <n v="8.5000000000000006E-2"/>
    <x v="0"/>
    <s v="Pedagogik                     "/>
    <s v="Sam"/>
    <s v="Ämneslärarprogrammet - Gy"/>
    <n v="21634"/>
    <n v="26986"/>
    <n v="4457.21"/>
    <n v="3400"/>
    <n v="340"/>
    <n v="4797.21"/>
    <n v="0"/>
    <n v="0"/>
    <n v="0"/>
    <n v="0"/>
    <n v="0"/>
    <n v="0"/>
    <n v="0"/>
    <n v="0"/>
    <n v="1"/>
    <n v="0"/>
    <n v="0"/>
    <n v="0"/>
  </r>
  <r>
    <s v="6PE271"/>
    <s v="Att undervisa i Idrott och hälsa (VFU)"/>
    <m/>
    <s v="LYAGY"/>
    <s v="H17"/>
    <s v="H19"/>
    <s v="H1913-16"/>
    <m/>
    <m/>
    <s v="IDRH"/>
    <m/>
    <n v="100"/>
    <n v="6"/>
    <m/>
    <m/>
    <n v="16"/>
    <n v="1.6"/>
    <n v="0.85"/>
    <n v="1.36"/>
    <x v="0"/>
    <s v="Pedagogik                     "/>
    <s v="Sam"/>
    <s v="Ämneslärarprogrammet - Gy"/>
    <n v="21634"/>
    <n v="26986"/>
    <n v="71315.360000000001"/>
    <n v="3400"/>
    <n v="5440"/>
    <n v="76755.360000000001"/>
    <n v="0"/>
    <n v="0"/>
    <n v="0"/>
    <n v="0"/>
    <n v="0"/>
    <n v="0"/>
    <n v="0"/>
    <n v="0"/>
    <n v="1"/>
    <n v="0"/>
    <n v="0"/>
    <n v="0"/>
  </r>
  <r>
    <s v="6PE272"/>
    <s v="Att undervisa i Samhällskunskap (VFU)"/>
    <m/>
    <s v="LYAGY"/>
    <s v="H16"/>
    <s v="H19"/>
    <s v="H1913-16"/>
    <m/>
    <m/>
    <s v="SAMK"/>
    <m/>
    <n v="100"/>
    <n v="6"/>
    <m/>
    <m/>
    <n v="2"/>
    <n v="0.2"/>
    <n v="0.85"/>
    <n v="0.17"/>
    <x v="0"/>
    <s v="Pedagogik                     "/>
    <s v="Sam"/>
    <s v="Ämneslärarprogrammet - Gy"/>
    <n v="21634"/>
    <n v="26986"/>
    <n v="8914.42"/>
    <n v="3400"/>
    <n v="680"/>
    <n v="9594.42"/>
    <n v="0"/>
    <n v="0"/>
    <n v="0"/>
    <n v="0"/>
    <n v="0"/>
    <n v="0"/>
    <n v="0"/>
    <n v="0"/>
    <n v="1"/>
    <n v="0"/>
    <n v="0"/>
    <n v="0"/>
  </r>
  <r>
    <s v="6PE272"/>
    <s v="Att undervisa i Samhällskunskap (VFU)"/>
    <m/>
    <s v="LYAGY"/>
    <s v="H17"/>
    <s v="H19"/>
    <s v="H1913-16"/>
    <m/>
    <m/>
    <s v="SAMK"/>
    <m/>
    <n v="100"/>
    <n v="6"/>
    <m/>
    <m/>
    <n v="6"/>
    <n v="0.60000000000000009"/>
    <n v="0.85"/>
    <n v="0.51"/>
    <x v="0"/>
    <s v="Pedagogik                     "/>
    <s v="Sam"/>
    <s v="Ämneslärarprogrammet - Gy"/>
    <n v="21634"/>
    <n v="26986"/>
    <n v="26743.260000000002"/>
    <n v="3400"/>
    <n v="2040.0000000000002"/>
    <n v="28783.260000000002"/>
    <n v="0"/>
    <n v="0"/>
    <n v="0"/>
    <n v="0"/>
    <n v="0"/>
    <n v="0"/>
    <n v="0"/>
    <n v="0"/>
    <n v="1"/>
    <n v="0"/>
    <n v="0"/>
    <n v="0"/>
  </r>
  <r>
    <s v="6PE273"/>
    <s v="Fjärrundervisning"/>
    <m/>
    <s v="FRIST"/>
    <m/>
    <s v="Sommar"/>
    <s v="Sommarkurs"/>
    <m/>
    <s v="Campus"/>
    <m/>
    <m/>
    <n v="50"/>
    <n v="7.5"/>
    <m/>
    <m/>
    <n v="22"/>
    <n v="2.75"/>
    <n v="0.8"/>
    <n v="2.2000000000000002"/>
    <x v="0"/>
    <s v="Pedagogik                     "/>
    <s v="Sam"/>
    <s v="Fristående och övriga kurser"/>
    <n v="18405"/>
    <n v="15773"/>
    <n v="85314.35"/>
    <n v="5800"/>
    <n v="15950"/>
    <n v="101264.35"/>
    <n v="0"/>
    <n v="0"/>
    <n v="0"/>
    <n v="0"/>
    <n v="0"/>
    <n v="0"/>
    <n v="1"/>
    <n v="0"/>
    <n v="0"/>
    <n v="0"/>
    <n v="0"/>
    <n v="0"/>
  </r>
  <r>
    <s v="6PE274"/>
    <s v="Skolans digitalisering"/>
    <m/>
    <s v="FRIST"/>
    <m/>
    <s v="V19"/>
    <m/>
    <m/>
    <s v="Campus"/>
    <m/>
    <m/>
    <n v="50"/>
    <n v="7.5"/>
    <m/>
    <m/>
    <n v="1"/>
    <n v="0.125"/>
    <n v="0.8"/>
    <n v="0.1"/>
    <x v="0"/>
    <s v="Pedagogik                     "/>
    <s v="Sam"/>
    <s v="Fristående och övriga kurser"/>
    <n v="18405"/>
    <n v="15773"/>
    <n v="3877.9250000000002"/>
    <n v="5800"/>
    <n v="725"/>
    <n v="4602.9250000000002"/>
    <n v="0"/>
    <n v="0"/>
    <n v="0"/>
    <n v="0"/>
    <n v="0"/>
    <n v="0"/>
    <n v="1"/>
    <n v="0"/>
    <n v="0"/>
    <n v="0"/>
    <n v="0"/>
    <n v="0"/>
  </r>
  <r>
    <s v="6PE275"/>
    <s v="Genuspedagogik i lärmiljöer"/>
    <m/>
    <s v="FRIST"/>
    <m/>
    <s v="V19"/>
    <m/>
    <m/>
    <s v="Distans"/>
    <m/>
    <m/>
    <n v="50"/>
    <n v="15"/>
    <m/>
    <m/>
    <n v="60"/>
    <n v="15"/>
    <n v="0.8"/>
    <n v="12"/>
    <x v="1"/>
    <s v="TUV "/>
    <s v="Sam"/>
    <s v="Fristående och övriga kurser"/>
    <n v="18405"/>
    <n v="15773"/>
    <n v="465351"/>
    <n v="5800"/>
    <n v="87000"/>
    <n v="552351"/>
    <n v="0"/>
    <n v="0"/>
    <n v="0"/>
    <n v="0"/>
    <n v="0"/>
    <n v="0"/>
    <n v="1"/>
    <n v="0"/>
    <n v="0"/>
    <n v="0"/>
    <n v="0"/>
    <n v="0"/>
  </r>
  <r>
    <s v="6PE275"/>
    <s v="Genuspedagogik i lärmiljöer"/>
    <m/>
    <s v="FRIST"/>
    <m/>
    <s v="H19"/>
    <m/>
    <m/>
    <s v="Distans"/>
    <m/>
    <m/>
    <n v="50"/>
    <n v="15"/>
    <m/>
    <m/>
    <n v="50"/>
    <n v="12.5"/>
    <n v="0.8"/>
    <n v="10"/>
    <x v="1"/>
    <s v="TUV "/>
    <s v="Sam"/>
    <s v="Fristående och övriga kurser"/>
    <n v="18405"/>
    <n v="15773"/>
    <n v="387792.5"/>
    <n v="5800"/>
    <n v="72500"/>
    <n v="460292.5"/>
    <n v="0"/>
    <n v="0"/>
    <n v="0"/>
    <n v="0"/>
    <n v="0"/>
    <n v="0"/>
    <n v="1"/>
    <n v="0"/>
    <n v="0"/>
    <n v="0"/>
    <n v="0"/>
    <n v="0"/>
  </r>
  <r>
    <s v="6PE276"/>
    <s v="Mobbning i lärmiljöer"/>
    <m/>
    <s v="FRIST"/>
    <m/>
    <s v="V19"/>
    <m/>
    <m/>
    <s v="Distans"/>
    <m/>
    <m/>
    <n v="25"/>
    <n v="7.5"/>
    <m/>
    <m/>
    <n v="45"/>
    <n v="5.625"/>
    <n v="0.8"/>
    <n v="4.5"/>
    <x v="1"/>
    <s v="TUV "/>
    <s v="Sam"/>
    <s v="Fristående och övriga kurser"/>
    <n v="18405"/>
    <n v="15773"/>
    <n v="174506.625"/>
    <n v="5800"/>
    <n v="32625"/>
    <n v="207131.625"/>
    <n v="0"/>
    <n v="0"/>
    <n v="0"/>
    <n v="0"/>
    <n v="0"/>
    <n v="0"/>
    <n v="1"/>
    <n v="0"/>
    <n v="0"/>
    <n v="0"/>
    <n v="0"/>
    <n v="0"/>
  </r>
  <r>
    <s v="6PE276"/>
    <s v="Mobbning i lärmiljöer"/>
    <m/>
    <s v="FRIST"/>
    <m/>
    <s v="H19"/>
    <m/>
    <m/>
    <s v="Distans"/>
    <m/>
    <m/>
    <n v="25"/>
    <n v="7.5"/>
    <m/>
    <m/>
    <n v="50"/>
    <n v="6.25"/>
    <n v="0.8"/>
    <n v="5"/>
    <x v="1"/>
    <s v="TUV "/>
    <s v="Sam"/>
    <s v="Fristående och övriga kurser"/>
    <n v="18405"/>
    <n v="15773"/>
    <n v="193896.25"/>
    <n v="5800"/>
    <n v="36250"/>
    <n v="230146.25"/>
    <n v="0"/>
    <n v="0"/>
    <n v="0"/>
    <n v="0"/>
    <n v="0"/>
    <n v="0"/>
    <n v="1"/>
    <n v="0"/>
    <n v="0"/>
    <n v="0"/>
    <n v="0"/>
    <n v="0"/>
  </r>
  <r>
    <s v="6PE277"/>
    <s v="Kurs i examensarbete - Matematikutveckling"/>
    <m/>
    <s v="LYSPL"/>
    <s v="H18"/>
    <s v="H19"/>
    <s v="H196-15"/>
    <m/>
    <m/>
    <s v="MAGG"/>
    <m/>
    <n v="100"/>
    <n v="15"/>
    <m/>
    <m/>
    <n v="8"/>
    <n v="2"/>
    <n v="0.85"/>
    <n v="1.7"/>
    <x v="9"/>
    <s v="NMD"/>
    <s v="TekNat"/>
    <s v="Speciallärarprogrammet"/>
    <n v="19473"/>
    <n v="34806"/>
    <n v="98116.2"/>
    <n v="21800"/>
    <n v="43600"/>
    <n v="141716.20000000001"/>
    <n v="0"/>
    <n v="0"/>
    <n v="0"/>
    <n v="0"/>
    <n v="0"/>
    <n v="1"/>
    <n v="0"/>
    <n v="0"/>
    <n v="0"/>
    <n v="0"/>
    <n v="0"/>
    <n v="0"/>
  </r>
  <r>
    <s v="6PE278"/>
    <s v="Undervisning och kvalitetsutveckling i förskola respektive fritidshem"/>
    <m/>
    <s v="FRIST"/>
    <m/>
    <s v="H19"/>
    <m/>
    <m/>
    <s v="Distans"/>
    <m/>
    <m/>
    <n v="50"/>
    <n v="15"/>
    <m/>
    <m/>
    <n v="30"/>
    <n v="7.5"/>
    <n v="0.8"/>
    <n v="6"/>
    <x v="1"/>
    <s v="TUV "/>
    <s v="Sam"/>
    <s v="Fristående och övriga kurser"/>
    <n v="18405"/>
    <n v="15773"/>
    <n v="232675.5"/>
    <n v="5800"/>
    <n v="43500"/>
    <n v="276175.5"/>
    <n v="0"/>
    <n v="0"/>
    <n v="0"/>
    <n v="0"/>
    <n v="0"/>
    <n v="0"/>
    <n v="1"/>
    <n v="0"/>
    <n v="0"/>
    <n v="0"/>
    <n v="0"/>
    <n v="0"/>
  </r>
  <r>
    <s v="6PE279"/>
    <s v="Språk och matematik i ett specialpedagogiskt perspektiv"/>
    <m/>
    <s v="LYSPE"/>
    <s v="H12"/>
    <s v="H19"/>
    <s v="H1916-20"/>
    <m/>
    <m/>
    <m/>
    <m/>
    <n v="100"/>
    <n v="7.5"/>
    <m/>
    <m/>
    <n v="1"/>
    <n v="0.125"/>
    <n v="0.85"/>
    <n v="0.10625"/>
    <x v="9"/>
    <s v="NMD"/>
    <s v="TekNat"/>
    <s v="Specialpedagogprogrammet"/>
    <n v="19473"/>
    <n v="34806"/>
    <n v="6132.2624999999998"/>
    <n v="21800"/>
    <n v="2725"/>
    <n v="8857.2625000000007"/>
    <n v="0"/>
    <n v="0"/>
    <n v="0"/>
    <n v="0"/>
    <n v="0"/>
    <n v="1"/>
    <n v="0"/>
    <n v="0"/>
    <n v="0"/>
    <n v="0"/>
    <n v="0"/>
    <n v="0"/>
  </r>
  <r>
    <s v="6PE279"/>
    <s v="Språk och matematik i ett specialpedagogiskt perspektiv"/>
    <m/>
    <s v="LYSPE"/>
    <s v="H18"/>
    <s v="H19"/>
    <s v="H1916-20"/>
    <m/>
    <m/>
    <m/>
    <m/>
    <n v="100"/>
    <n v="7.5"/>
    <m/>
    <m/>
    <n v="35"/>
    <n v="4.375"/>
    <n v="0.85"/>
    <n v="3.71875"/>
    <x v="9"/>
    <s v="NMD"/>
    <s v="TekNat"/>
    <s v="Specialpedagogprogrammet"/>
    <n v="19473"/>
    <n v="34806"/>
    <n v="214629.1875"/>
    <n v="21800"/>
    <n v="95375"/>
    <n v="310004.1875"/>
    <n v="0"/>
    <n v="0"/>
    <n v="0"/>
    <n v="0"/>
    <n v="0"/>
    <n v="1"/>
    <n v="0"/>
    <n v="0"/>
    <n v="0"/>
    <n v="0"/>
    <n v="0"/>
    <n v="0"/>
  </r>
  <r>
    <s v="6PE279"/>
    <s v="Språk och matematik i ett specialpedagogiskt perspektiv"/>
    <m/>
    <s v="LYSPL"/>
    <s v="H18"/>
    <s v="H19"/>
    <s v="H1916-20"/>
    <m/>
    <m/>
    <s v="UTGG"/>
    <m/>
    <n v="100"/>
    <n v="7.5"/>
    <m/>
    <m/>
    <n v="3"/>
    <n v="0.375"/>
    <n v="0.85"/>
    <n v="0.31874999999999998"/>
    <x v="9"/>
    <s v="NMD"/>
    <s v="TekNat"/>
    <s v="Speciallärarprogrammet"/>
    <n v="19473"/>
    <n v="34806"/>
    <n v="18396.787499999999"/>
    <n v="21800"/>
    <n v="8175"/>
    <n v="26571.787499999999"/>
    <n v="0"/>
    <n v="0"/>
    <n v="0"/>
    <n v="0"/>
    <n v="0"/>
    <n v="1"/>
    <n v="0"/>
    <n v="0"/>
    <n v="0"/>
    <n v="0"/>
    <n v="0"/>
    <n v="0"/>
  </r>
  <r>
    <s v="6PE280"/>
    <s v="Matematik i specialpedagogiskt perspektiv"/>
    <m/>
    <s v="LYSPL"/>
    <s v="H18"/>
    <s v="H19"/>
    <s v="H1916-20"/>
    <m/>
    <m/>
    <s v="SVGG"/>
    <m/>
    <n v="100"/>
    <n v="7.5"/>
    <m/>
    <m/>
    <n v="16"/>
    <n v="2"/>
    <n v="0.85"/>
    <n v="1.7"/>
    <x v="9"/>
    <s v="NMD"/>
    <s v="TekNat"/>
    <s v="Speciallärarprogrammet"/>
    <n v="19473"/>
    <n v="34806"/>
    <n v="98116.2"/>
    <n v="21800"/>
    <n v="43600"/>
    <n v="141716.20000000001"/>
    <n v="0"/>
    <n v="0"/>
    <n v="0"/>
    <n v="0"/>
    <n v="0"/>
    <n v="1"/>
    <n v="0"/>
    <n v="0"/>
    <n v="0"/>
    <n v="0"/>
    <n v="0"/>
    <n v="0"/>
  </r>
  <r>
    <s v="6PE302"/>
    <s v="Pedagogiskt ledarskap, sociala relationer och konflikthantering"/>
    <m/>
    <s v="LYKGR"/>
    <s v="H18"/>
    <s v="V19"/>
    <s v="V1910-20"/>
    <s v="Umeå"/>
    <m/>
    <m/>
    <m/>
    <n v="50"/>
    <n v="10"/>
    <m/>
    <m/>
    <n v="15"/>
    <n v="2.5"/>
    <n v="0.85"/>
    <n v="2.125"/>
    <x v="0"/>
    <s v="Pedagogik                     "/>
    <s v="Sam"/>
    <s v="KPU - åk 7-9"/>
    <n v="23641"/>
    <n v="28786"/>
    <n v="120272.75"/>
    <n v="5800"/>
    <n v="14500"/>
    <n v="134772.75"/>
    <n v="0"/>
    <n v="0"/>
    <n v="0"/>
    <n v="1"/>
    <n v="0"/>
    <n v="0"/>
    <n v="0"/>
    <n v="0"/>
    <n v="0"/>
    <n v="0"/>
    <n v="0"/>
    <n v="0"/>
  </r>
  <r>
    <s v="6PE302"/>
    <s v="Pedagogiskt ledarskap, sociala relationer och konflikthantering"/>
    <m/>
    <s v="LYKGY"/>
    <s v="H18"/>
    <s v="V19"/>
    <s v="V1910-20"/>
    <s v="Umeå"/>
    <m/>
    <m/>
    <m/>
    <n v="50"/>
    <n v="10"/>
    <m/>
    <m/>
    <n v="7"/>
    <n v="1.1666666666666665"/>
    <n v="0.85"/>
    <n v="0.99166666666666647"/>
    <x v="0"/>
    <s v="Pedagogik                     "/>
    <s v="Sam"/>
    <s v="KPU - Gy"/>
    <n v="23641"/>
    <n v="28786"/>
    <n v="56127.283333333326"/>
    <n v="5800"/>
    <n v="6766.6666666666661"/>
    <n v="62893.94999999999"/>
    <n v="0"/>
    <n v="0"/>
    <n v="0"/>
    <n v="1"/>
    <n v="0"/>
    <n v="0"/>
    <n v="0"/>
    <n v="0"/>
    <n v="0"/>
    <n v="0"/>
    <n v="0"/>
    <n v="0"/>
  </r>
  <r>
    <s v="6PE302"/>
    <s v="Pedagogiskt ledarskap, sociala relationer och konflikthantering"/>
    <m/>
    <s v="LYYRK"/>
    <s v="H18"/>
    <s v="V19"/>
    <s v="V1910-20"/>
    <s v="Umeå"/>
    <m/>
    <m/>
    <m/>
    <n v="50"/>
    <n v="10"/>
    <m/>
    <m/>
    <n v="44"/>
    <n v="7.333333333333333"/>
    <n v="0.85"/>
    <n v="6.2333333333333325"/>
    <x v="0"/>
    <s v="Pedagogik                     "/>
    <s v="Sam"/>
    <s v="Yrkeslärarprogrammet"/>
    <n v="23641"/>
    <n v="28786"/>
    <n v="352800.06666666665"/>
    <n v="5800"/>
    <n v="42533.333333333328"/>
    <n v="395333.39999999997"/>
    <n v="0"/>
    <n v="0"/>
    <n v="0"/>
    <n v="1"/>
    <n v="0"/>
    <n v="0"/>
    <n v="0"/>
    <n v="0"/>
    <n v="0"/>
    <n v="0"/>
    <n v="0"/>
    <n v="0"/>
  </r>
  <r>
    <s v="6RV001"/>
    <s v="Religionsvetenskap II: fortsättningskurs"/>
    <m/>
    <s v="LYAGY"/>
    <s v="H16"/>
    <s v="H19"/>
    <s v="H191-20"/>
    <m/>
    <m/>
    <s v="SAMK"/>
    <m/>
    <n v="100"/>
    <n v="30"/>
    <m/>
    <m/>
    <n v="1"/>
    <n v="0.5"/>
    <n v="0.85"/>
    <n v="0.42499999999999999"/>
    <x v="12"/>
    <s v="Inst för ide- o samhällsstudier"/>
    <s v="Hum"/>
    <s v="Ämneslärarprogrammet - Gy"/>
    <n v="18405"/>
    <n v="15773"/>
    <n v="15906.025"/>
    <n v="5800"/>
    <n v="2900"/>
    <n v="18806.025000000001"/>
    <n v="0"/>
    <n v="1"/>
    <n v="0"/>
    <n v="0"/>
    <n v="0"/>
    <n v="0"/>
    <n v="0"/>
    <n v="0"/>
    <n v="0"/>
    <n v="0"/>
    <n v="0"/>
    <n v="0"/>
  </r>
  <r>
    <s v="6RV001"/>
    <s v="Religionsvetenskap II: fortsättningskurs"/>
    <m/>
    <s v="LYAGY"/>
    <s v="H16"/>
    <s v="H19"/>
    <s v="H191-20"/>
    <m/>
    <m/>
    <s v="SVAA"/>
    <m/>
    <n v="100"/>
    <n v="30"/>
    <m/>
    <m/>
    <n v="1"/>
    <n v="0.5"/>
    <n v="0.85"/>
    <n v="0.42499999999999999"/>
    <x v="12"/>
    <s v="Inst för ide- o samhällsstudier"/>
    <s v="Hum"/>
    <s v="Ämneslärarprogrammet - Gy"/>
    <n v="18405"/>
    <n v="15773"/>
    <n v="15906.025"/>
    <n v="5800"/>
    <n v="2900"/>
    <n v="18806.025000000001"/>
    <n v="0"/>
    <n v="1"/>
    <n v="0"/>
    <n v="0"/>
    <n v="0"/>
    <n v="0"/>
    <n v="0"/>
    <n v="0"/>
    <n v="0"/>
    <n v="0"/>
    <n v="0"/>
    <n v="0"/>
  </r>
  <r>
    <s v="6RV011"/>
    <s v="Examensarbete för ämneslärarexamen - religion"/>
    <m/>
    <s v="LYAGY"/>
    <s v="H12"/>
    <s v="V19"/>
    <s v="H1816-20:V191-15"/>
    <s v="Umeå"/>
    <m/>
    <s v="HIST"/>
    <m/>
    <n v="100"/>
    <n v="22.5"/>
    <m/>
    <m/>
    <n v="1"/>
    <n v="0.375"/>
    <n v="0.85"/>
    <n v="0.31874999999999998"/>
    <x v="12"/>
    <s v="Inst för ide- o samhällsstudier"/>
    <s v="Hum"/>
    <s v="Ämneslärarprogrammet - Gy"/>
    <n v="18405"/>
    <n v="15773"/>
    <n v="11929.518749999999"/>
    <n v="5800"/>
    <n v="2175"/>
    <n v="14104.518749999999"/>
    <n v="0"/>
    <n v="1"/>
    <n v="0"/>
    <n v="0"/>
    <n v="0"/>
    <n v="0"/>
    <n v="0"/>
    <n v="0"/>
    <n v="0"/>
    <n v="0"/>
    <n v="0"/>
    <n v="0"/>
  </r>
  <r>
    <s v="6RV011"/>
    <s v="Examensarbete för ämneslärarexamen - religion"/>
    <m/>
    <s v="LYAGY"/>
    <s v="H14"/>
    <s v="V19"/>
    <s v="H1816-20:V191-15"/>
    <s v="Umeå"/>
    <m/>
    <s v="RELK"/>
    <m/>
    <n v="100"/>
    <n v="22.5"/>
    <m/>
    <m/>
    <n v="2"/>
    <n v="0.75"/>
    <n v="0.85"/>
    <n v="0.63749999999999996"/>
    <x v="12"/>
    <s v="Inst för ide- o samhällsstudier"/>
    <s v="Hum"/>
    <s v="Ämneslärarprogrammet - Gy"/>
    <n v="18405"/>
    <n v="15773"/>
    <n v="23859.037499999999"/>
    <n v="5800"/>
    <n v="4350"/>
    <n v="28209.037499999999"/>
    <n v="0"/>
    <n v="1"/>
    <n v="0"/>
    <n v="0"/>
    <n v="0"/>
    <n v="0"/>
    <n v="0"/>
    <n v="0"/>
    <n v="0"/>
    <n v="0"/>
    <n v="0"/>
    <n v="0"/>
  </r>
  <r>
    <s v="6RV011"/>
    <s v="Examensarbete för ämneslärarexamen - religion"/>
    <m/>
    <s v="LYAGY"/>
    <s v="H15"/>
    <s v="V19"/>
    <s v="H1816-20:V191-15"/>
    <s v="Umeå"/>
    <m/>
    <s v="ENGS"/>
    <m/>
    <n v="100"/>
    <n v="22.5"/>
    <m/>
    <m/>
    <n v="1"/>
    <n v="0.375"/>
    <n v="0.85"/>
    <n v="0.31874999999999998"/>
    <x v="12"/>
    <s v="Inst för ide- o samhällsstudier"/>
    <s v="Hum"/>
    <s v="Ämneslärarprogrammet - Gy"/>
    <n v="18405"/>
    <n v="15773"/>
    <n v="11929.518749999999"/>
    <n v="5800"/>
    <n v="2175"/>
    <n v="14104.518749999999"/>
    <n v="0"/>
    <n v="1"/>
    <n v="0"/>
    <n v="0"/>
    <n v="0"/>
    <n v="0"/>
    <n v="0"/>
    <n v="0"/>
    <n v="0"/>
    <n v="0"/>
    <n v="0"/>
    <n v="0"/>
  </r>
  <r>
    <s v="6RV011"/>
    <s v="Examensarbete för ämneslärarexamen - religion"/>
    <m/>
    <s v="LYAGY"/>
    <s v="H15"/>
    <s v="H19"/>
    <s v="H1916-20:V201-15"/>
    <m/>
    <m/>
    <s v="RELK"/>
    <m/>
    <n v="100"/>
    <n v="7.5"/>
    <m/>
    <m/>
    <n v="1"/>
    <n v="0.125"/>
    <n v="0.85"/>
    <n v="0.10625"/>
    <x v="12"/>
    <s v="Inst för ide- o samhällsstudier"/>
    <s v="Hum"/>
    <s v="Ämneslärarprogrammet - Gy"/>
    <n v="18405"/>
    <n v="15773"/>
    <n v="3976.5062499999999"/>
    <n v="5800"/>
    <n v="725"/>
    <n v="4701.5062500000004"/>
    <n v="0"/>
    <n v="1"/>
    <n v="0"/>
    <n v="0"/>
    <n v="0"/>
    <n v="0"/>
    <n v="0"/>
    <n v="0"/>
    <n v="0"/>
    <n v="0"/>
    <n v="0"/>
    <n v="0"/>
  </r>
  <r>
    <s v="6RV018"/>
    <s v="Läraryrkets dimensioner- ingångsämne religion (VFU)"/>
    <m/>
    <s v="LYAGY"/>
    <s v="H14"/>
    <s v="H19"/>
    <s v="H191-15"/>
    <m/>
    <m/>
    <s v="RELK"/>
    <m/>
    <n v="100"/>
    <n v="22.5"/>
    <m/>
    <m/>
    <n v="1"/>
    <n v="0.375"/>
    <n v="0.85"/>
    <n v="0.31874999999999998"/>
    <x v="12"/>
    <s v="Inst för ide- o samhällsstudier"/>
    <s v="Hum"/>
    <s v="Ämneslärarprogrammet - Gy"/>
    <n v="21634"/>
    <n v="26986"/>
    <n v="16714.537499999999"/>
    <n v="3400"/>
    <n v="1275"/>
    <n v="17989.537499999999"/>
    <n v="0"/>
    <n v="0"/>
    <n v="0"/>
    <n v="0"/>
    <n v="0"/>
    <n v="0"/>
    <n v="0"/>
    <n v="0"/>
    <n v="1"/>
    <n v="0"/>
    <n v="0"/>
    <n v="0"/>
  </r>
  <r>
    <s v="6RV018"/>
    <s v="Läraryrkets dimensioner- ingångsämne religion (VFU)"/>
    <m/>
    <s v="LYAGY"/>
    <s v="H15"/>
    <s v="H19"/>
    <s v="H191-15"/>
    <m/>
    <m/>
    <s v="RELK"/>
    <m/>
    <n v="100"/>
    <n v="22.5"/>
    <m/>
    <m/>
    <n v="2"/>
    <n v="0.75"/>
    <n v="0.85"/>
    <n v="0.63749999999999996"/>
    <x v="12"/>
    <s v="Inst för ide- o samhällsstudier"/>
    <s v="Hum"/>
    <s v="Ämneslärarprogrammet - Gy"/>
    <n v="21634"/>
    <n v="26986"/>
    <n v="33429.074999999997"/>
    <n v="3400"/>
    <n v="2550"/>
    <n v="35979.074999999997"/>
    <n v="0"/>
    <n v="0"/>
    <n v="0"/>
    <n v="0"/>
    <n v="0"/>
    <n v="0"/>
    <n v="0"/>
    <n v="0"/>
    <n v="1"/>
    <n v="0"/>
    <n v="0"/>
    <n v="0"/>
  </r>
  <r>
    <s v="6RV019"/>
    <s v="Att undervisa i religionskunskap (VFU)"/>
    <m/>
    <s v="LYAGY"/>
    <s v="H16"/>
    <s v="H19"/>
    <s v="H1913-16"/>
    <m/>
    <m/>
    <s v="RELK"/>
    <m/>
    <n v="100"/>
    <n v="6"/>
    <m/>
    <m/>
    <n v="1"/>
    <n v="0.1"/>
    <n v="0.85"/>
    <n v="8.5000000000000006E-2"/>
    <x v="12"/>
    <s v="Inst för ide- o samhällsstudier"/>
    <s v="Hum"/>
    <s v="Ämneslärarprogrammet - Gy"/>
    <n v="21634"/>
    <n v="26986"/>
    <n v="4457.21"/>
    <n v="3400"/>
    <n v="340"/>
    <n v="4797.21"/>
    <n v="0"/>
    <n v="0"/>
    <n v="0"/>
    <n v="0"/>
    <n v="0"/>
    <n v="0"/>
    <n v="0"/>
    <n v="0"/>
    <n v="1"/>
    <n v="0"/>
    <n v="0"/>
    <n v="0"/>
  </r>
  <r>
    <s v="6RV019"/>
    <s v="Att undervisa i religionskunskap (VFU)"/>
    <m/>
    <s v="LYAGY"/>
    <s v="H17"/>
    <s v="H19"/>
    <s v="H1913-16"/>
    <m/>
    <m/>
    <s v="RELK"/>
    <m/>
    <n v="100"/>
    <n v="6"/>
    <m/>
    <m/>
    <n v="4"/>
    <n v="0.4"/>
    <n v="0.85"/>
    <n v="0.34"/>
    <x v="12"/>
    <s v="Inst för ide- o samhällsstudier"/>
    <s v="Hum"/>
    <s v="Ämneslärarprogrammet - Gy"/>
    <n v="21634"/>
    <n v="26986"/>
    <n v="17828.84"/>
    <n v="3400"/>
    <n v="1360"/>
    <n v="19188.84"/>
    <n v="0"/>
    <n v="0"/>
    <n v="0"/>
    <n v="0"/>
    <n v="0"/>
    <n v="0"/>
    <n v="0"/>
    <n v="0"/>
    <n v="1"/>
    <n v="0"/>
    <n v="0"/>
    <n v="0"/>
  </r>
  <r>
    <s v="6RV020"/>
    <s v="Religionsvetenskap 2"/>
    <m/>
    <s v="LYAGY"/>
    <s v="H16"/>
    <s v="H19"/>
    <s v="H191-20"/>
    <m/>
    <m/>
    <s v="BILÄ"/>
    <m/>
    <n v="100"/>
    <n v="30"/>
    <m/>
    <m/>
    <n v="1"/>
    <n v="0.5"/>
    <n v="0.85"/>
    <n v="0.42499999999999999"/>
    <x v="12"/>
    <s v="Inst för ide- o samhällsstudier"/>
    <s v="Hum"/>
    <s v="Ämneslärarprogrammet - Gy"/>
    <n v="18405"/>
    <n v="15773"/>
    <n v="15906.025"/>
    <n v="5800"/>
    <n v="2900"/>
    <n v="18806.025000000001"/>
    <n v="0"/>
    <n v="1"/>
    <n v="0"/>
    <n v="0"/>
    <n v="0"/>
    <n v="0"/>
    <n v="0"/>
    <n v="0"/>
    <n v="0"/>
    <n v="0"/>
    <n v="0"/>
    <n v="0"/>
  </r>
  <r>
    <s v="6RV020"/>
    <s v="Religionsvetenskap 2"/>
    <m/>
    <s v="LYAGY"/>
    <s v="H16"/>
    <s v="H19"/>
    <s v="H191-20"/>
    <m/>
    <m/>
    <s v="ENGS"/>
    <m/>
    <n v="100"/>
    <n v="30"/>
    <m/>
    <m/>
    <n v="1"/>
    <n v="0.5"/>
    <n v="0.85"/>
    <n v="0.42499999999999999"/>
    <x v="12"/>
    <s v="Inst för ide- o samhällsstudier"/>
    <s v="Hum"/>
    <s v="Ämneslärarprogrammet - Gy"/>
    <n v="18405"/>
    <n v="15773"/>
    <n v="15906.025"/>
    <n v="5800"/>
    <n v="2900"/>
    <n v="18806.025000000001"/>
    <n v="0"/>
    <n v="1"/>
    <n v="0"/>
    <n v="0"/>
    <n v="0"/>
    <n v="0"/>
    <n v="0"/>
    <n v="0"/>
    <n v="0"/>
    <n v="0"/>
    <n v="0"/>
    <n v="0"/>
  </r>
  <r>
    <s v="6RV020"/>
    <s v="Religionsvetenskap 2"/>
    <m/>
    <s v="LYAGY"/>
    <s v="H16"/>
    <s v="H19"/>
    <s v="H191-20"/>
    <m/>
    <m/>
    <s v="HIST"/>
    <m/>
    <n v="100"/>
    <n v="30"/>
    <m/>
    <m/>
    <n v="2"/>
    <n v="1"/>
    <n v="0.85"/>
    <n v="0.85"/>
    <x v="12"/>
    <s v="Inst för ide- o samhällsstudier"/>
    <s v="Hum"/>
    <s v="Ämneslärarprogrammet - Gy"/>
    <n v="18405"/>
    <n v="15773"/>
    <n v="31812.05"/>
    <n v="5800"/>
    <n v="5800"/>
    <n v="37612.050000000003"/>
    <n v="0"/>
    <n v="1"/>
    <n v="0"/>
    <n v="0"/>
    <n v="0"/>
    <n v="0"/>
    <n v="0"/>
    <n v="0"/>
    <n v="0"/>
    <n v="0"/>
    <n v="0"/>
    <n v="0"/>
  </r>
  <r>
    <s v="6RV020"/>
    <s v="Religionsvetenskap 2"/>
    <m/>
    <s v="LYAGY"/>
    <s v="H16"/>
    <s v="H19"/>
    <s v="H191-20"/>
    <m/>
    <m/>
    <s v="MATT"/>
    <m/>
    <n v="100"/>
    <n v="30"/>
    <m/>
    <m/>
    <n v="1"/>
    <n v="0.5"/>
    <n v="0.85"/>
    <n v="0.42499999999999999"/>
    <x v="12"/>
    <s v="Inst för ide- o samhällsstudier"/>
    <s v="Hum"/>
    <s v="Ämneslärarprogrammet - Gy"/>
    <n v="18405"/>
    <n v="15773"/>
    <n v="15906.025"/>
    <n v="5800"/>
    <n v="2900"/>
    <n v="18806.025000000001"/>
    <n v="0"/>
    <n v="1"/>
    <n v="0"/>
    <n v="0"/>
    <n v="0"/>
    <n v="0"/>
    <n v="0"/>
    <n v="0"/>
    <n v="0"/>
    <n v="0"/>
    <n v="0"/>
    <n v="0"/>
  </r>
  <r>
    <s v="6RV020"/>
    <s v="Religionsvetenskap 2"/>
    <m/>
    <s v="LYAGY"/>
    <s v="H17"/>
    <s v="H19"/>
    <s v="H191-20"/>
    <m/>
    <m/>
    <s v="RELK"/>
    <m/>
    <n v="100"/>
    <n v="30"/>
    <m/>
    <m/>
    <n v="1"/>
    <n v="0.5"/>
    <n v="0.85"/>
    <n v="0.42499999999999999"/>
    <x v="12"/>
    <s v="Inst för ide- o samhällsstudier"/>
    <s v="Hum"/>
    <s v="Ämneslärarprogrammet - Gy"/>
    <n v="18405"/>
    <n v="15773"/>
    <n v="15906.025"/>
    <n v="5800"/>
    <n v="2900"/>
    <n v="18806.025000000001"/>
    <n v="0"/>
    <n v="1"/>
    <n v="0"/>
    <n v="0"/>
    <n v="0"/>
    <n v="0"/>
    <n v="0"/>
    <n v="0"/>
    <n v="0"/>
    <n v="0"/>
    <n v="0"/>
    <n v="0"/>
  </r>
  <r>
    <s v="6RV020"/>
    <s v="Religionsvetenskap 2"/>
    <m/>
    <s v="LYAGY"/>
    <s v="H18"/>
    <s v="H19"/>
    <s v="H191-20"/>
    <m/>
    <m/>
    <s v="RELK"/>
    <m/>
    <n v="100"/>
    <n v="30"/>
    <m/>
    <m/>
    <n v="6"/>
    <n v="3"/>
    <n v="0.85"/>
    <n v="2.5499999999999998"/>
    <x v="12"/>
    <s v="Inst för ide- o samhällsstudier"/>
    <s v="Hum"/>
    <s v="Ämneslärarprogrammet - Gy"/>
    <n v="18405"/>
    <n v="15773"/>
    <n v="95436.15"/>
    <n v="5800"/>
    <n v="17400"/>
    <n v="112836.15"/>
    <n v="0"/>
    <n v="1"/>
    <n v="0"/>
    <n v="0"/>
    <n v="0"/>
    <n v="0"/>
    <n v="0"/>
    <n v="0"/>
    <n v="0"/>
    <n v="0"/>
    <n v="0"/>
    <n v="0"/>
  </r>
  <r>
    <s v="6RV020"/>
    <s v="Religionsvetenskap 2"/>
    <m/>
    <s v="LYAGY"/>
    <s v="H18"/>
    <s v="H19"/>
    <s v="H191-20"/>
    <m/>
    <m/>
    <s v="SVAA"/>
    <m/>
    <n v="100"/>
    <n v="30"/>
    <m/>
    <m/>
    <n v="1"/>
    <n v="0.5"/>
    <n v="0.85"/>
    <n v="0.42499999999999999"/>
    <x v="12"/>
    <s v="Inst för ide- o samhällsstudier"/>
    <s v="Hum"/>
    <s v="Ämneslärarprogrammet - Gy"/>
    <n v="18405"/>
    <n v="15773"/>
    <n v="15906.025"/>
    <n v="5800"/>
    <n v="2900"/>
    <n v="18806.025000000001"/>
    <n v="0"/>
    <n v="1"/>
    <n v="0"/>
    <n v="0"/>
    <n v="0"/>
    <n v="0"/>
    <n v="0"/>
    <n v="0"/>
    <n v="0"/>
    <n v="0"/>
    <n v="0"/>
    <n v="0"/>
  </r>
  <r>
    <s v="6RV021"/>
    <s v="Religionsvetenskap 1"/>
    <m/>
    <s v="LYAGY"/>
    <s v="H16"/>
    <s v="V19"/>
    <s v="V191-20"/>
    <s v="Umeå"/>
    <m/>
    <s v="BILÄ"/>
    <m/>
    <n v="100"/>
    <n v="30"/>
    <m/>
    <m/>
    <n v="1"/>
    <n v="0.5"/>
    <n v="0.85"/>
    <n v="0.42499999999999999"/>
    <x v="12"/>
    <s v="Inst för ide- o samhällsstudier"/>
    <s v="Hum"/>
    <s v="Ämneslärarprogrammet - Gy"/>
    <n v="18405"/>
    <n v="15773"/>
    <n v="15906.025"/>
    <n v="5800"/>
    <n v="2900"/>
    <n v="18806.025000000001"/>
    <n v="0"/>
    <n v="1"/>
    <n v="0"/>
    <n v="0"/>
    <n v="0"/>
    <n v="0"/>
    <n v="0"/>
    <n v="0"/>
    <n v="0"/>
    <n v="0"/>
    <n v="0"/>
    <n v="0"/>
  </r>
  <r>
    <s v="6RV021"/>
    <s v="Religionsvetenskap 1"/>
    <m/>
    <s v="LYAGY"/>
    <s v="H16"/>
    <s v="V19"/>
    <s v="V191-20"/>
    <s v="Umeå"/>
    <m/>
    <s v="ENGS"/>
    <m/>
    <n v="100"/>
    <n v="30"/>
    <m/>
    <m/>
    <n v="1"/>
    <n v="0.5"/>
    <n v="0.85"/>
    <n v="0.42499999999999999"/>
    <x v="12"/>
    <s v="Inst för ide- o samhällsstudier"/>
    <s v="Hum"/>
    <s v="Ämneslärarprogrammet - Gy"/>
    <n v="18405"/>
    <n v="15773"/>
    <n v="15906.025"/>
    <n v="5800"/>
    <n v="2900"/>
    <n v="18806.025000000001"/>
    <n v="0"/>
    <n v="1"/>
    <n v="0"/>
    <n v="0"/>
    <n v="0"/>
    <n v="0"/>
    <n v="0"/>
    <n v="0"/>
    <n v="0"/>
    <n v="0"/>
    <n v="0"/>
    <n v="0"/>
  </r>
  <r>
    <s v="6RV021"/>
    <s v="Religionsvetenskap 1"/>
    <m/>
    <s v="LYAGY"/>
    <s v="H16"/>
    <s v="V19"/>
    <s v="V191-20"/>
    <s v="Umeå"/>
    <m/>
    <s v="HIST"/>
    <m/>
    <n v="100"/>
    <n v="30"/>
    <m/>
    <m/>
    <n v="2"/>
    <n v="1"/>
    <n v="0.85"/>
    <n v="0.85"/>
    <x v="12"/>
    <s v="Inst för ide- o samhällsstudier"/>
    <s v="Hum"/>
    <s v="Ämneslärarprogrammet - Gy"/>
    <n v="18405"/>
    <n v="15773"/>
    <n v="31812.05"/>
    <n v="5800"/>
    <n v="5800"/>
    <n v="37612.050000000003"/>
    <n v="0"/>
    <n v="1"/>
    <n v="0"/>
    <n v="0"/>
    <n v="0"/>
    <n v="0"/>
    <n v="0"/>
    <n v="0"/>
    <n v="0"/>
    <n v="0"/>
    <n v="0"/>
    <n v="0"/>
  </r>
  <r>
    <s v="6RV021"/>
    <s v="Religionsvetenskap 1"/>
    <m/>
    <s v="LYAGY"/>
    <s v="H16"/>
    <s v="V19"/>
    <s v="V191-20"/>
    <s v="Umeå"/>
    <m/>
    <s v="MATT"/>
    <m/>
    <n v="100"/>
    <n v="30"/>
    <m/>
    <m/>
    <n v="1"/>
    <n v="0.5"/>
    <n v="0.85"/>
    <n v="0.42499999999999999"/>
    <x v="12"/>
    <s v="Inst för ide- o samhällsstudier"/>
    <s v="Hum"/>
    <s v="Ämneslärarprogrammet - Gy"/>
    <n v="18405"/>
    <n v="15773"/>
    <n v="15906.025"/>
    <n v="5800"/>
    <n v="2900"/>
    <n v="18806.025000000001"/>
    <n v="0"/>
    <n v="1"/>
    <n v="0"/>
    <n v="0"/>
    <n v="0"/>
    <n v="0"/>
    <n v="0"/>
    <n v="0"/>
    <n v="0"/>
    <n v="0"/>
    <n v="0"/>
    <n v="0"/>
  </r>
  <r>
    <s v="6RV021"/>
    <s v="Religionsvetenskap 1"/>
    <m/>
    <s v="LYAGY"/>
    <s v="H16"/>
    <s v="V19"/>
    <s v="V191-20"/>
    <s v="Umeå"/>
    <m/>
    <s v="SAMK"/>
    <m/>
    <n v="100"/>
    <n v="30"/>
    <m/>
    <m/>
    <n v="1"/>
    <n v="0.5"/>
    <n v="0.85"/>
    <n v="0.42499999999999999"/>
    <x v="12"/>
    <s v="Inst för ide- o samhällsstudier"/>
    <s v="Hum"/>
    <s v="Ämneslärarprogrammet - Gy"/>
    <n v="18405"/>
    <n v="15773"/>
    <n v="15906.025"/>
    <n v="5800"/>
    <n v="2900"/>
    <n v="18806.025000000001"/>
    <n v="0"/>
    <n v="1"/>
    <n v="0"/>
    <n v="0"/>
    <n v="0"/>
    <n v="0"/>
    <n v="0"/>
    <n v="0"/>
    <n v="0"/>
    <n v="0"/>
    <n v="0"/>
    <n v="0"/>
  </r>
  <r>
    <s v="6RV021"/>
    <s v="Religionsvetenskap 1"/>
    <m/>
    <s v="LYAGY"/>
    <s v="H18"/>
    <s v="V19"/>
    <s v="V191-20"/>
    <s v="Umeå"/>
    <m/>
    <s v="RELK"/>
    <m/>
    <n v="100"/>
    <n v="30"/>
    <m/>
    <m/>
    <n v="7"/>
    <n v="3.5"/>
    <n v="0.85"/>
    <n v="2.9750000000000001"/>
    <x v="12"/>
    <s v="Inst för ide- o samhällsstudier"/>
    <s v="Hum"/>
    <s v="Ämneslärarprogrammet - Gy"/>
    <n v="18405"/>
    <n v="15773"/>
    <n v="111342.175"/>
    <n v="5800"/>
    <n v="20300"/>
    <n v="131642.17499999999"/>
    <n v="0"/>
    <n v="1"/>
    <n v="0"/>
    <n v="0"/>
    <n v="0"/>
    <n v="0"/>
    <n v="0"/>
    <n v="0"/>
    <n v="0"/>
    <n v="0"/>
    <n v="0"/>
    <n v="0"/>
  </r>
  <r>
    <s v="6RV021"/>
    <s v="Religionsvetenskap 1"/>
    <m/>
    <s v="LYAGY"/>
    <s v="H18"/>
    <s v="V19"/>
    <s v="V191-20"/>
    <s v="Umeå"/>
    <m/>
    <s v="SVAA"/>
    <m/>
    <n v="100"/>
    <n v="30"/>
    <m/>
    <m/>
    <n v="2"/>
    <n v="1"/>
    <n v="0.85"/>
    <n v="0.85"/>
    <x v="12"/>
    <s v="Inst för ide- o samhällsstudier"/>
    <s v="Hum"/>
    <s v="Ämneslärarprogrammet - Gy"/>
    <n v="18405"/>
    <n v="15773"/>
    <n v="31812.05"/>
    <n v="5800"/>
    <n v="5800"/>
    <n v="37612.050000000003"/>
    <n v="0"/>
    <n v="1"/>
    <n v="0"/>
    <n v="0"/>
    <n v="0"/>
    <n v="0"/>
    <n v="0"/>
    <n v="0"/>
    <n v="0"/>
    <n v="0"/>
    <n v="0"/>
    <n v="0"/>
  </r>
  <r>
    <s v="6RV022"/>
    <s v="Religionsvetenskap 3"/>
    <m/>
    <s v="LYAGY"/>
    <s v="H15"/>
    <s v="V19"/>
    <s v="V191-20"/>
    <s v="Umeå"/>
    <m/>
    <s v="HIST"/>
    <m/>
    <n v="100"/>
    <n v="30"/>
    <m/>
    <m/>
    <n v="5"/>
    <n v="2.5"/>
    <n v="0.85"/>
    <n v="2.125"/>
    <x v="12"/>
    <s v="Inst för ide- o samhällsstudier"/>
    <s v="Hum"/>
    <s v="Ämneslärarprogrammet - Gy"/>
    <n v="18405"/>
    <n v="15773"/>
    <n v="79530.125"/>
    <n v="5800"/>
    <n v="14500"/>
    <n v="94030.125"/>
    <n v="0"/>
    <n v="1"/>
    <n v="0"/>
    <n v="0"/>
    <n v="0"/>
    <n v="0"/>
    <n v="0"/>
    <n v="0"/>
    <n v="0"/>
    <n v="0"/>
    <n v="0"/>
    <n v="0"/>
  </r>
  <r>
    <s v="6RV022"/>
    <s v="Religionsvetenskap 3"/>
    <m/>
    <s v="LYAGY"/>
    <s v="H16"/>
    <s v="V19"/>
    <s v="V191-20"/>
    <s v="Umeå"/>
    <m/>
    <s v="RELK"/>
    <m/>
    <n v="100"/>
    <n v="30"/>
    <m/>
    <m/>
    <n v="4"/>
    <n v="2"/>
    <n v="0.85"/>
    <n v="1.7"/>
    <x v="12"/>
    <s v="Inst för ide- o samhällsstudier"/>
    <s v="Hum"/>
    <s v="Ämneslärarprogrammet - Gy"/>
    <n v="18405"/>
    <n v="15773"/>
    <n v="63624.1"/>
    <n v="5800"/>
    <n v="11600"/>
    <n v="75224.100000000006"/>
    <n v="0"/>
    <n v="1"/>
    <n v="0"/>
    <n v="0"/>
    <n v="0"/>
    <n v="0"/>
    <n v="0"/>
    <n v="0"/>
    <n v="0"/>
    <n v="0"/>
    <n v="0"/>
    <n v="0"/>
  </r>
  <r>
    <s v="6RV022"/>
    <s v="Religionsvetenskap 3"/>
    <m/>
    <s v="LYAGY"/>
    <s v="H17"/>
    <s v="V19"/>
    <s v="V191-20"/>
    <s v="Umeå"/>
    <m/>
    <s v="IDRH"/>
    <m/>
    <n v="100"/>
    <n v="30"/>
    <m/>
    <m/>
    <n v="1"/>
    <n v="0.5"/>
    <n v="0.85"/>
    <n v="0.42499999999999999"/>
    <x v="12"/>
    <s v="Inst för ide- o samhällsstudier"/>
    <s v="Hum"/>
    <s v="Ämneslärarprogrammet - Gy"/>
    <n v="18405"/>
    <n v="15773"/>
    <n v="15906.025"/>
    <n v="5800"/>
    <n v="2900"/>
    <n v="18806.025000000001"/>
    <n v="0"/>
    <n v="1"/>
    <n v="0"/>
    <n v="0"/>
    <n v="0"/>
    <n v="0"/>
    <n v="0"/>
    <n v="0"/>
    <n v="0"/>
    <n v="0"/>
    <n v="0"/>
    <n v="0"/>
  </r>
  <r>
    <s v="6RV022"/>
    <s v="Religionsvetenskap 3"/>
    <m/>
    <s v="LYAGY"/>
    <s v="H17"/>
    <s v="V19"/>
    <s v="V191-20"/>
    <s v="Umeå"/>
    <m/>
    <s v="RELK"/>
    <m/>
    <n v="100"/>
    <n v="30"/>
    <m/>
    <m/>
    <n v="2"/>
    <n v="1"/>
    <n v="0.85"/>
    <n v="0.85"/>
    <x v="12"/>
    <s v="Inst för ide- o samhällsstudier"/>
    <s v="Hum"/>
    <s v="Ämneslärarprogrammet - Gy"/>
    <n v="18405"/>
    <n v="15773"/>
    <n v="31812.05"/>
    <n v="5800"/>
    <n v="5800"/>
    <n v="37612.050000000003"/>
    <n v="0"/>
    <n v="1"/>
    <n v="0"/>
    <n v="0"/>
    <n v="0"/>
    <n v="0"/>
    <n v="0"/>
    <n v="0"/>
    <n v="0"/>
    <n v="0"/>
    <n v="0"/>
    <n v="0"/>
  </r>
  <r>
    <s v="6RV023"/>
    <s v="Religionsvetenskap 3, med kandidatuppsats"/>
    <m/>
    <s v="LYAGY"/>
    <s v="H17"/>
    <s v="V19"/>
    <s v="V191-20"/>
    <s v="Umeå"/>
    <m/>
    <s v="RELK"/>
    <m/>
    <n v="100"/>
    <n v="30"/>
    <m/>
    <m/>
    <n v="4"/>
    <n v="2"/>
    <n v="0.85"/>
    <n v="1.7"/>
    <x v="12"/>
    <s v="Inst för ide- o samhällsstudier"/>
    <s v="Hum"/>
    <s v="Ämneslärarprogrammet - Gy"/>
    <n v="18405"/>
    <n v="15773"/>
    <n v="63624.1"/>
    <n v="5800"/>
    <n v="11600"/>
    <n v="75224.100000000006"/>
    <n v="0"/>
    <n v="1"/>
    <n v="0"/>
    <n v="0"/>
    <n v="0"/>
    <n v="0"/>
    <n v="0"/>
    <n v="0"/>
    <n v="0"/>
    <n v="0"/>
    <n v="0"/>
    <n v="0"/>
  </r>
  <r>
    <s v="6RV023"/>
    <s v="Religionsvetenskap 3, med kandidatuppsats"/>
    <m/>
    <s v="LYAGY"/>
    <m/>
    <s v="V19"/>
    <s v="V191-20"/>
    <s v="Umeå"/>
    <m/>
    <s v="ENGS"/>
    <m/>
    <n v="100"/>
    <n v="30"/>
    <m/>
    <m/>
    <n v="2"/>
    <n v="1"/>
    <n v="0.85"/>
    <n v="0.85"/>
    <x v="12"/>
    <s v="Inst för ide- o samhällsstudier"/>
    <s v="Hum"/>
    <s v="Ämneslärarprogrammet - Gy"/>
    <n v="18405"/>
    <n v="15773"/>
    <n v="31812.05"/>
    <n v="5800"/>
    <n v="5800"/>
    <n v="37612.050000000003"/>
    <n v="0"/>
    <n v="1"/>
    <n v="0"/>
    <n v="0"/>
    <n v="0"/>
    <n v="0"/>
    <n v="0"/>
    <n v="0"/>
    <n v="0"/>
    <n v="0"/>
    <n v="0"/>
    <n v="0"/>
  </r>
  <r>
    <s v="6RV023"/>
    <s v="Religionsvetenskap 3, med kandidatuppsats"/>
    <m/>
    <s v="LYAGY"/>
    <m/>
    <s v="V19"/>
    <s v="V191-20"/>
    <s v="Umeå"/>
    <m/>
    <s v="HIST"/>
    <m/>
    <n v="100"/>
    <n v="30"/>
    <m/>
    <m/>
    <n v="2"/>
    <n v="1"/>
    <n v="0.85"/>
    <n v="0.85"/>
    <x v="12"/>
    <s v="Inst för ide- o samhällsstudier"/>
    <s v="Hum"/>
    <s v="Ämneslärarprogrammet - Gy"/>
    <n v="18405"/>
    <n v="15773"/>
    <n v="31812.05"/>
    <n v="5800"/>
    <n v="5800"/>
    <n v="37612.050000000003"/>
    <n v="0"/>
    <n v="1"/>
    <n v="0"/>
    <n v="0"/>
    <n v="0"/>
    <n v="0"/>
    <n v="0"/>
    <n v="0"/>
    <n v="0"/>
    <n v="0"/>
    <n v="0"/>
    <n v="0"/>
  </r>
  <r>
    <s v="6RV023"/>
    <s v="Religionsvetenskap 3, med kandidatuppsats"/>
    <m/>
    <s v="LYAGY"/>
    <m/>
    <s v="V19"/>
    <s v="V191-20"/>
    <s v="Umeå"/>
    <m/>
    <s v="SAMK"/>
    <m/>
    <n v="100"/>
    <n v="30"/>
    <m/>
    <m/>
    <n v="1"/>
    <n v="0.5"/>
    <n v="0.85"/>
    <n v="0.42499999999999999"/>
    <x v="12"/>
    <s v="Inst för ide- o samhällsstudier"/>
    <s v="Hum"/>
    <s v="Ämneslärarprogrammet - Gy"/>
    <n v="18405"/>
    <n v="15773"/>
    <n v="15906.025"/>
    <n v="5800"/>
    <n v="2900"/>
    <n v="18806.025000000001"/>
    <n v="0"/>
    <n v="1"/>
    <n v="0"/>
    <n v="0"/>
    <n v="0"/>
    <n v="0"/>
    <n v="0"/>
    <n v="0"/>
    <n v="0"/>
    <n v="0"/>
    <n v="0"/>
    <n v="0"/>
  </r>
  <r>
    <s v="6RV023"/>
    <s v="Religionsvetenskap 3, med kandidatuppsats"/>
    <m/>
    <s v="LYAGY"/>
    <m/>
    <s v="V19"/>
    <s v="V191-20"/>
    <s v="Umeå"/>
    <m/>
    <s v="SVAA"/>
    <m/>
    <n v="100"/>
    <n v="30"/>
    <m/>
    <m/>
    <n v="1"/>
    <n v="0.5"/>
    <n v="0.85"/>
    <n v="0.42499999999999999"/>
    <x v="12"/>
    <s v="Inst för ide- o samhällsstudier"/>
    <s v="Hum"/>
    <s v="Ämneslärarprogrammet - Gy"/>
    <n v="18405"/>
    <n v="15773"/>
    <n v="15906.025"/>
    <n v="5800"/>
    <n v="2900"/>
    <n v="18806.025000000001"/>
    <n v="0"/>
    <n v="1"/>
    <n v="0"/>
    <n v="0"/>
    <n v="0"/>
    <n v="0"/>
    <n v="0"/>
    <n v="0"/>
    <n v="0"/>
    <n v="0"/>
    <n v="0"/>
    <n v="0"/>
  </r>
  <r>
    <s v="6SA008"/>
    <s v="Spanska I för ämneslärare"/>
    <m/>
    <s v="FRIST"/>
    <m/>
    <s v="V19"/>
    <m/>
    <m/>
    <s v="Campus"/>
    <m/>
    <m/>
    <n v="100"/>
    <n v="30"/>
    <m/>
    <m/>
    <n v="1"/>
    <n v="0.5"/>
    <n v="0.8"/>
    <n v="0.4"/>
    <x v="10"/>
    <s v="Inst för språkstudier"/>
    <s v="Hum"/>
    <s v="Fristående och övriga kurser"/>
    <n v="18405"/>
    <n v="15773"/>
    <n v="15511.7"/>
    <n v="5800"/>
    <n v="2900"/>
    <n v="18411.7"/>
    <n v="0"/>
    <n v="1"/>
    <n v="0"/>
    <n v="0"/>
    <n v="0"/>
    <n v="0"/>
    <n v="0"/>
    <n v="0"/>
    <n v="0"/>
    <n v="0"/>
    <n v="0"/>
    <n v="0"/>
  </r>
  <r>
    <s v="6SA008"/>
    <s v="Spanska I för ämneslärare"/>
    <m/>
    <s v="LYAGY"/>
    <s v="H15"/>
    <s v="V19"/>
    <s v="V191-20"/>
    <s v="Umeå"/>
    <m/>
    <s v="ENGS"/>
    <m/>
    <n v="100"/>
    <n v="30"/>
    <m/>
    <m/>
    <n v="1"/>
    <n v="0.5"/>
    <n v="0.85"/>
    <n v="0.42499999999999999"/>
    <x v="10"/>
    <s v="Inst för språkstudier"/>
    <s v="Hum"/>
    <s v="Ämneslärarprogrammet - Gy"/>
    <n v="18405"/>
    <n v="15773"/>
    <n v="15906.025"/>
    <n v="5800"/>
    <n v="2900"/>
    <n v="18806.025000000001"/>
    <n v="0"/>
    <n v="1"/>
    <n v="0"/>
    <n v="0"/>
    <n v="0"/>
    <n v="0"/>
    <n v="0"/>
    <n v="0"/>
    <n v="0"/>
    <n v="0"/>
    <n v="0"/>
    <n v="0"/>
  </r>
  <r>
    <s v="6SA008"/>
    <s v="Spanska I för ämneslärare"/>
    <m/>
    <s v="LYAGY"/>
    <s v="H15"/>
    <s v="V19"/>
    <s v="V191-20"/>
    <s v="Umeå"/>
    <m/>
    <s v="SVAA"/>
    <m/>
    <n v="100"/>
    <n v="30"/>
    <m/>
    <m/>
    <n v="1"/>
    <n v="0.5"/>
    <n v="0.85"/>
    <n v="0.42499999999999999"/>
    <x v="10"/>
    <s v="Inst för språkstudier"/>
    <s v="Hum"/>
    <s v="Ämneslärarprogrammet - Gy"/>
    <n v="18405"/>
    <n v="15773"/>
    <n v="15906.025"/>
    <n v="5800"/>
    <n v="2900"/>
    <n v="18806.025000000001"/>
    <n v="0"/>
    <n v="1"/>
    <n v="0"/>
    <n v="0"/>
    <n v="0"/>
    <n v="0"/>
    <n v="0"/>
    <n v="0"/>
    <n v="0"/>
    <n v="0"/>
    <n v="0"/>
    <n v="0"/>
  </r>
  <r>
    <s v="6SA008"/>
    <s v="Spanska I för ämneslärare"/>
    <m/>
    <s v="LYAGY"/>
    <s v="H18"/>
    <s v="V19"/>
    <s v="V191-20"/>
    <s v="Umeå"/>
    <m/>
    <s v="SPAN"/>
    <m/>
    <n v="100"/>
    <n v="30"/>
    <m/>
    <m/>
    <n v="2"/>
    <n v="1"/>
    <n v="0.85"/>
    <n v="0.85"/>
    <x v="10"/>
    <s v="Inst för språkstudier"/>
    <s v="Hum"/>
    <s v="Ämneslärarprogrammet - Gy"/>
    <n v="18405"/>
    <n v="15773"/>
    <n v="31812.05"/>
    <n v="5800"/>
    <n v="5800"/>
    <n v="37612.050000000003"/>
    <n v="0"/>
    <n v="1"/>
    <n v="0"/>
    <n v="0"/>
    <n v="0"/>
    <n v="0"/>
    <n v="0"/>
    <n v="0"/>
    <n v="0"/>
    <n v="0"/>
    <n v="0"/>
    <n v="0"/>
  </r>
  <r>
    <s v="6SA011"/>
    <s v="Spanska för ämneslärare, kurs III"/>
    <m/>
    <s v="FRIST"/>
    <m/>
    <s v="V19"/>
    <m/>
    <m/>
    <s v="Campus"/>
    <m/>
    <m/>
    <n v="100"/>
    <n v="30"/>
    <m/>
    <m/>
    <n v="0"/>
    <n v="0"/>
    <n v="0.8"/>
    <n v="0"/>
    <x v="10"/>
    <s v="Inst för språkstudier"/>
    <s v="Hum"/>
    <s v="Fristående och övriga kurser"/>
    <n v="18405"/>
    <n v="15773"/>
    <n v="0"/>
    <n v="5800"/>
    <n v="0"/>
    <n v="0"/>
    <n v="0"/>
    <n v="1"/>
    <n v="0"/>
    <n v="0"/>
    <n v="0"/>
    <n v="0"/>
    <n v="0"/>
    <n v="0"/>
    <n v="0"/>
    <n v="0"/>
    <n v="0"/>
    <n v="0"/>
  </r>
  <r>
    <s v="6SA011"/>
    <s v="Spanska för ämneslärare, kurs III"/>
    <m/>
    <s v="LYAGY"/>
    <s v="H17"/>
    <s v="V19"/>
    <s v="V191-20"/>
    <s v="Umeå"/>
    <m/>
    <s v="SPAN"/>
    <m/>
    <n v="100"/>
    <n v="30"/>
    <m/>
    <m/>
    <n v="3"/>
    <n v="1.5"/>
    <n v="0.85"/>
    <n v="1.2749999999999999"/>
    <x v="10"/>
    <s v="Inst för språkstudier"/>
    <s v="Hum"/>
    <s v="Ämneslärarprogrammet - Gy"/>
    <n v="18405"/>
    <n v="15773"/>
    <n v="47718.074999999997"/>
    <n v="5800"/>
    <n v="8700"/>
    <n v="56418.074999999997"/>
    <n v="0"/>
    <n v="1"/>
    <n v="0"/>
    <n v="0"/>
    <n v="0"/>
    <n v="0"/>
    <n v="0"/>
    <n v="0"/>
    <n v="0"/>
    <n v="0"/>
    <n v="0"/>
    <n v="0"/>
  </r>
  <r>
    <s v="6SA012"/>
    <s v="Spanska för ämneslärare, kurs II"/>
    <m/>
    <s v="FRIST"/>
    <m/>
    <s v="H19"/>
    <m/>
    <m/>
    <s v="Campus"/>
    <m/>
    <m/>
    <n v="100"/>
    <n v="30"/>
    <m/>
    <m/>
    <n v="2"/>
    <n v="1"/>
    <n v="0.8"/>
    <n v="0.8"/>
    <x v="10"/>
    <s v="Inst för språkstudier"/>
    <s v="Hum"/>
    <s v="Fristående och övriga kurser"/>
    <n v="18405"/>
    <n v="15773"/>
    <n v="31023.4"/>
    <n v="5800"/>
    <n v="5800"/>
    <n v="36823.4"/>
    <n v="0"/>
    <n v="1"/>
    <n v="0"/>
    <n v="0"/>
    <n v="0"/>
    <n v="0"/>
    <n v="0"/>
    <n v="0"/>
    <n v="0"/>
    <n v="0"/>
    <n v="0"/>
    <n v="0"/>
  </r>
  <r>
    <s v="6SA013"/>
    <s v="Att undervisa i Spanska (VFU)"/>
    <m/>
    <s v="LYAGY"/>
    <s v="H17"/>
    <s v="H19"/>
    <s v="H1913-16"/>
    <m/>
    <m/>
    <s v="SPAN"/>
    <m/>
    <n v="100"/>
    <n v="6"/>
    <m/>
    <m/>
    <n v="2"/>
    <n v="0.2"/>
    <n v="0.85"/>
    <n v="0.17"/>
    <x v="10"/>
    <s v="Inst för språkstudier"/>
    <s v="Hum"/>
    <s v="Ämneslärarprogrammet - Gy"/>
    <n v="21634"/>
    <n v="26986"/>
    <n v="8914.42"/>
    <n v="3400"/>
    <n v="680"/>
    <n v="9594.42"/>
    <n v="0"/>
    <n v="0"/>
    <n v="0"/>
    <n v="0"/>
    <n v="0"/>
    <n v="0"/>
    <n v="0"/>
    <n v="0"/>
    <n v="1"/>
    <n v="0"/>
    <n v="0"/>
    <n v="0"/>
  </r>
  <r>
    <s v="6SA014"/>
    <s v="Spanska för ämneslärare, kurs 2"/>
    <m/>
    <s v="LYAGY"/>
    <s v="H15"/>
    <s v="H19"/>
    <s v="H191-20"/>
    <m/>
    <m/>
    <s v="ENGS"/>
    <m/>
    <n v="100"/>
    <n v="30"/>
    <m/>
    <m/>
    <n v="1"/>
    <n v="0.5"/>
    <n v="0.85"/>
    <n v="0.42499999999999999"/>
    <x v="10"/>
    <s v="Inst för språkstudier"/>
    <s v="Hum"/>
    <s v="Ämneslärarprogrammet - Gy"/>
    <n v="18405"/>
    <n v="15773"/>
    <n v="15906.025"/>
    <n v="5800"/>
    <n v="2900"/>
    <n v="18806.025000000001"/>
    <n v="0"/>
    <n v="1"/>
    <n v="0"/>
    <n v="0"/>
    <n v="0"/>
    <n v="0"/>
    <n v="0"/>
    <n v="0"/>
    <n v="0"/>
    <n v="0"/>
    <n v="0"/>
    <n v="0"/>
  </r>
  <r>
    <s v="6SA014"/>
    <s v="Spanska för ämneslärare, kurs 2"/>
    <m/>
    <s v="LYAGY"/>
    <s v="H15"/>
    <s v="H19"/>
    <s v="H191-20"/>
    <m/>
    <m/>
    <s v="IDRH"/>
    <m/>
    <n v="100"/>
    <n v="30"/>
    <m/>
    <m/>
    <n v="1"/>
    <n v="0.5"/>
    <n v="0.85"/>
    <n v="0.42499999999999999"/>
    <x v="10"/>
    <s v="Inst för språkstudier"/>
    <s v="Hum"/>
    <s v="Ämneslärarprogrammet - Gy"/>
    <n v="18405"/>
    <n v="15773"/>
    <n v="15906.025"/>
    <n v="5800"/>
    <n v="2900"/>
    <n v="18806.025000000001"/>
    <n v="0"/>
    <n v="1"/>
    <n v="0"/>
    <n v="0"/>
    <n v="0"/>
    <n v="0"/>
    <n v="0"/>
    <n v="0"/>
    <n v="0"/>
    <n v="0"/>
    <n v="0"/>
    <n v="0"/>
  </r>
  <r>
    <s v="6SA014"/>
    <s v="Spanska för ämneslärare, kurs 2"/>
    <m/>
    <s v="LYAGY"/>
    <s v="H15"/>
    <s v="H19"/>
    <s v="H191-20"/>
    <m/>
    <m/>
    <s v="SVAA"/>
    <m/>
    <n v="100"/>
    <n v="30"/>
    <m/>
    <m/>
    <n v="1"/>
    <n v="0.5"/>
    <n v="0.85"/>
    <n v="0.42499999999999999"/>
    <x v="10"/>
    <s v="Inst för språkstudier"/>
    <s v="Hum"/>
    <s v="Ämneslärarprogrammet - Gy"/>
    <n v="18405"/>
    <n v="15773"/>
    <n v="15906.025"/>
    <n v="5800"/>
    <n v="2900"/>
    <n v="18806.025000000001"/>
    <n v="0"/>
    <n v="1"/>
    <n v="0"/>
    <n v="0"/>
    <n v="0"/>
    <n v="0"/>
    <n v="0"/>
    <n v="0"/>
    <n v="0"/>
    <n v="0"/>
    <n v="0"/>
    <n v="0"/>
  </r>
  <r>
    <s v="6SA014"/>
    <s v="Spanska för ämneslärare, kurs 2"/>
    <m/>
    <s v="LYAGY"/>
    <s v="H18"/>
    <s v="H19"/>
    <s v="H191-20"/>
    <m/>
    <m/>
    <s v="SPAN"/>
    <m/>
    <n v="100"/>
    <n v="30"/>
    <m/>
    <m/>
    <n v="2"/>
    <n v="1"/>
    <n v="0.85"/>
    <n v="0.85"/>
    <x v="10"/>
    <s v="Inst för språkstudier"/>
    <s v="Hum"/>
    <s v="Ämneslärarprogrammet - Gy"/>
    <n v="18405"/>
    <n v="15773"/>
    <n v="31812.05"/>
    <n v="5800"/>
    <n v="5800"/>
    <n v="37612.050000000003"/>
    <n v="0"/>
    <n v="1"/>
    <n v="0"/>
    <n v="0"/>
    <n v="0"/>
    <n v="0"/>
    <n v="0"/>
    <n v="0"/>
    <n v="0"/>
    <n v="0"/>
    <n v="0"/>
    <n v="0"/>
  </r>
  <r>
    <s v="6SD002"/>
    <s v="Examensarbete i svenska för ämneslärarexamen"/>
    <m/>
    <s v="LYAGY"/>
    <s v="H14"/>
    <s v="V19"/>
    <s v="H1816-20:V191-15"/>
    <s v="Umeå"/>
    <m/>
    <s v="ENGS"/>
    <m/>
    <n v="100"/>
    <n v="22.5"/>
    <m/>
    <m/>
    <n v="2"/>
    <n v="0.75"/>
    <n v="0.85"/>
    <n v="0.63749999999999996"/>
    <x v="10"/>
    <s v="Inst för språkstudier"/>
    <s v="Hum"/>
    <s v="Ämneslärarprogrammet - Gy"/>
    <n v="18405"/>
    <n v="15773"/>
    <n v="23859.037499999999"/>
    <n v="5800"/>
    <n v="4350"/>
    <n v="28209.037499999999"/>
    <n v="0"/>
    <n v="1"/>
    <n v="0"/>
    <n v="0"/>
    <n v="0"/>
    <n v="0"/>
    <n v="0"/>
    <n v="0"/>
    <n v="0"/>
    <n v="0"/>
    <n v="0"/>
    <n v="0"/>
  </r>
  <r>
    <s v="6SD002"/>
    <s v="Examensarbete i svenska för ämneslärarexamen"/>
    <m/>
    <s v="LYAGY"/>
    <s v="H14"/>
    <s v="V19"/>
    <s v="H1816-20:V191-15"/>
    <s v="Umeå"/>
    <m/>
    <s v="IDRH"/>
    <m/>
    <n v="100"/>
    <n v="22.5"/>
    <m/>
    <m/>
    <n v="2"/>
    <n v="0.75"/>
    <n v="0.85"/>
    <n v="0.63749999999999996"/>
    <x v="10"/>
    <s v="Inst för språkstudier"/>
    <s v="Hum"/>
    <s v="Ämneslärarprogrammet - Gy"/>
    <n v="18405"/>
    <n v="15773"/>
    <n v="23859.037499999999"/>
    <n v="5800"/>
    <n v="4350"/>
    <n v="28209.037499999999"/>
    <n v="0"/>
    <n v="1"/>
    <n v="0"/>
    <n v="0"/>
    <n v="0"/>
    <n v="0"/>
    <n v="0"/>
    <n v="0"/>
    <n v="0"/>
    <n v="0"/>
    <n v="0"/>
    <n v="0"/>
  </r>
  <r>
    <s v="6SD002"/>
    <s v="Examensarbete i svenska för ämneslärarexamen"/>
    <m/>
    <s v="LYAGY"/>
    <s v="H14"/>
    <s v="V19"/>
    <s v="H1816-20:V191-15"/>
    <s v="Umeå"/>
    <m/>
    <s v="SVAA"/>
    <m/>
    <n v="100"/>
    <n v="22.5"/>
    <m/>
    <m/>
    <n v="7"/>
    <n v="2.625"/>
    <n v="0.85"/>
    <n v="2.2312499999999997"/>
    <x v="10"/>
    <s v="Inst för språkstudier"/>
    <s v="Hum"/>
    <s v="Ämneslärarprogrammet - Gy"/>
    <n v="18405"/>
    <n v="15773"/>
    <n v="83506.631250000006"/>
    <n v="5800"/>
    <n v="15225"/>
    <n v="98731.631250000006"/>
    <n v="0"/>
    <n v="1"/>
    <n v="0"/>
    <n v="0"/>
    <n v="0"/>
    <n v="0"/>
    <n v="0"/>
    <n v="0"/>
    <n v="0"/>
    <n v="0"/>
    <n v="0"/>
    <n v="0"/>
  </r>
  <r>
    <s v="6SD002"/>
    <s v="Examensarbete i svenska för ämneslärarexamen"/>
    <m/>
    <s v="LYAGY"/>
    <s v="H15"/>
    <s v="H19"/>
    <s v="H1916-20:V201-15"/>
    <m/>
    <m/>
    <s v="ENGS"/>
    <m/>
    <n v="100"/>
    <n v="7.5"/>
    <m/>
    <m/>
    <n v="2"/>
    <n v="0.25"/>
    <n v="0.85"/>
    <n v="0.21249999999999999"/>
    <x v="10"/>
    <s v="Inst för språkstudier"/>
    <s v="Hum"/>
    <s v="Ämneslärarprogrammet - Gy"/>
    <n v="18405"/>
    <n v="15773"/>
    <n v="7953.0124999999998"/>
    <n v="5800"/>
    <n v="1450"/>
    <n v="9403.0125000000007"/>
    <n v="0"/>
    <n v="1"/>
    <n v="0"/>
    <n v="0"/>
    <n v="0"/>
    <n v="0"/>
    <n v="0"/>
    <n v="0"/>
    <n v="0"/>
    <n v="0"/>
    <n v="0"/>
    <n v="0"/>
  </r>
  <r>
    <s v="6SD002"/>
    <s v="Examensarbete i svenska för ämneslärarexamen"/>
    <m/>
    <s v="LYAGY"/>
    <s v="H15"/>
    <s v="H19"/>
    <s v="H1916-20:V201-15"/>
    <m/>
    <m/>
    <s v="IDRH"/>
    <m/>
    <n v="100"/>
    <n v="7.5"/>
    <m/>
    <m/>
    <n v="1"/>
    <n v="0.125"/>
    <n v="0.85"/>
    <n v="0.10625"/>
    <x v="10"/>
    <s v="Inst för språkstudier"/>
    <s v="Hum"/>
    <s v="Ämneslärarprogrammet - Gy"/>
    <n v="18405"/>
    <n v="15773"/>
    <n v="3976.5062499999999"/>
    <n v="5800"/>
    <n v="725"/>
    <n v="4701.5062500000004"/>
    <n v="0"/>
    <n v="1"/>
    <n v="0"/>
    <n v="0"/>
    <n v="0"/>
    <n v="0"/>
    <n v="0"/>
    <n v="0"/>
    <n v="0"/>
    <n v="0"/>
    <n v="0"/>
    <n v="0"/>
  </r>
  <r>
    <s v="6SD002"/>
    <s v="Examensarbete i svenska för ämneslärarexamen"/>
    <m/>
    <s v="LYAGY"/>
    <s v="H15"/>
    <s v="H19"/>
    <s v="H1916-20:V201-15"/>
    <m/>
    <m/>
    <s v="SVAA"/>
    <m/>
    <n v="100"/>
    <n v="7.5"/>
    <m/>
    <m/>
    <n v="10"/>
    <n v="1.25"/>
    <n v="0.85"/>
    <n v="1.0625"/>
    <x v="10"/>
    <s v="Inst för språkstudier"/>
    <s v="Hum"/>
    <s v="Ämneslärarprogrammet - Gy"/>
    <n v="18405"/>
    <n v="15773"/>
    <n v="39765.0625"/>
    <n v="5800"/>
    <n v="7250"/>
    <n v="47015.0625"/>
    <n v="0"/>
    <n v="1"/>
    <n v="0"/>
    <n v="0"/>
    <n v="0"/>
    <n v="0"/>
    <n v="0"/>
    <n v="0"/>
    <n v="0"/>
    <n v="0"/>
    <n v="0"/>
    <n v="0"/>
  </r>
  <r>
    <s v="6SD002"/>
    <s v="Examensarbete i svenska för ämneslärarexamen"/>
    <m/>
    <s v="LYAGY"/>
    <s v="H16"/>
    <s v="H19"/>
    <s v="H1916-20:V201-15"/>
    <m/>
    <m/>
    <s v="IDRH"/>
    <m/>
    <n v="100"/>
    <n v="7.5"/>
    <m/>
    <m/>
    <n v="1"/>
    <n v="0.125"/>
    <n v="0.85"/>
    <n v="0.10625"/>
    <x v="10"/>
    <s v="Inst för språkstudier"/>
    <s v="Hum"/>
    <s v="Ämneslärarprogrammet - Gy"/>
    <n v="18405"/>
    <n v="15773"/>
    <n v="3976.5062499999999"/>
    <n v="5800"/>
    <n v="725"/>
    <n v="4701.5062500000004"/>
    <n v="0"/>
    <n v="1"/>
    <n v="0"/>
    <n v="0"/>
    <n v="0"/>
    <n v="0"/>
    <n v="0"/>
    <n v="0"/>
    <n v="0"/>
    <n v="0"/>
    <n v="0"/>
    <n v="0"/>
  </r>
  <r>
    <s v="6SD002"/>
    <s v="Examensarbete i svenska för ämneslärarexamen"/>
    <m/>
    <s v="LYAGY"/>
    <s v="H16"/>
    <s v="H19"/>
    <s v="H1916-20:V201-15"/>
    <m/>
    <m/>
    <s v="SVAA"/>
    <m/>
    <n v="100"/>
    <n v="7.5"/>
    <m/>
    <m/>
    <n v="1"/>
    <n v="0.125"/>
    <n v="0.85"/>
    <n v="0.10625"/>
    <x v="10"/>
    <s v="Inst för språkstudier"/>
    <s v="Hum"/>
    <s v="Ämneslärarprogrammet - Gy"/>
    <n v="18405"/>
    <n v="15773"/>
    <n v="3976.5062499999999"/>
    <n v="5800"/>
    <n v="725"/>
    <n v="4701.5062500000004"/>
    <n v="0"/>
    <n v="1"/>
    <n v="0"/>
    <n v="0"/>
    <n v="0"/>
    <n v="0"/>
    <n v="0"/>
    <n v="0"/>
    <n v="0"/>
    <n v="0"/>
    <n v="0"/>
    <n v="0"/>
  </r>
  <r>
    <s v="6SD003"/>
    <s v="Examensarbete i språkdidaktik för ämneslärarexamen"/>
    <m/>
    <s v="LYAGY"/>
    <s v="H12"/>
    <s v="V19"/>
    <s v="H1816-20:V191-15"/>
    <s v="Umeå"/>
    <m/>
    <s v="ENGS"/>
    <m/>
    <n v="100"/>
    <n v="22.5"/>
    <m/>
    <m/>
    <n v="1"/>
    <n v="0.375"/>
    <n v="0.85"/>
    <n v="0.31874999999999998"/>
    <x v="10"/>
    <s v="Inst för språkstudier"/>
    <s v="Hum"/>
    <s v="Ämneslärarprogrammet - Gy"/>
    <n v="18405"/>
    <n v="15773"/>
    <n v="11929.518749999999"/>
    <n v="5800"/>
    <n v="2175"/>
    <n v="14104.518749999999"/>
    <n v="0"/>
    <n v="1"/>
    <n v="0"/>
    <n v="0"/>
    <n v="0"/>
    <n v="0"/>
    <n v="0"/>
    <n v="0"/>
    <n v="0"/>
    <n v="0"/>
    <n v="0"/>
    <n v="0"/>
  </r>
  <r>
    <s v="6SD003"/>
    <s v="Examensarbete i språkdidaktik för ämneslärarexamen"/>
    <m/>
    <s v="LYAGY"/>
    <s v="H14"/>
    <s v="V19"/>
    <s v="H1816-20:V191-15"/>
    <s v="Umeå"/>
    <m/>
    <s v="ENGS"/>
    <m/>
    <n v="100"/>
    <n v="22.5"/>
    <m/>
    <m/>
    <n v="9"/>
    <n v="3.375"/>
    <n v="0.85"/>
    <n v="2.8687499999999999"/>
    <x v="10"/>
    <s v="Inst för språkstudier"/>
    <s v="Hum"/>
    <s v="Ämneslärarprogrammet - Gy"/>
    <n v="18405"/>
    <n v="15773"/>
    <n v="107365.66875"/>
    <n v="5800"/>
    <n v="19575"/>
    <n v="126940.66875"/>
    <n v="0"/>
    <n v="1"/>
    <n v="0"/>
    <n v="0"/>
    <n v="0"/>
    <n v="0"/>
    <n v="0"/>
    <n v="0"/>
    <n v="0"/>
    <n v="0"/>
    <n v="0"/>
    <n v="0"/>
  </r>
  <r>
    <s v="6SD003"/>
    <s v="Examensarbete i språkdidaktik för ämneslärarexamen"/>
    <m/>
    <s v="LYAGY"/>
    <s v="H14"/>
    <s v="V19"/>
    <s v="H1816-20:V191-15"/>
    <s v="Umeå"/>
    <m/>
    <s v="HIST"/>
    <m/>
    <n v="100"/>
    <n v="22.5"/>
    <m/>
    <m/>
    <n v="1"/>
    <n v="0.375"/>
    <n v="0.85"/>
    <n v="0.31874999999999998"/>
    <x v="10"/>
    <s v="Inst för språkstudier"/>
    <s v="Hum"/>
    <s v="Ämneslärarprogrammet - Gy"/>
    <n v="18405"/>
    <n v="15773"/>
    <n v="11929.518749999999"/>
    <n v="5800"/>
    <n v="2175"/>
    <n v="14104.518749999999"/>
    <n v="0"/>
    <n v="1"/>
    <n v="0"/>
    <n v="0"/>
    <n v="0"/>
    <n v="0"/>
    <n v="0"/>
    <n v="0"/>
    <n v="0"/>
    <n v="0"/>
    <n v="0"/>
    <n v="0"/>
  </r>
  <r>
    <s v="6SD003"/>
    <s v="Examensarbete i språkdidaktik för ämneslärarexamen"/>
    <m/>
    <s v="LYAGY"/>
    <s v="H14"/>
    <s v="V19"/>
    <s v="H1816-20:V191-15"/>
    <s v="Umeå"/>
    <m/>
    <s v="MATT"/>
    <m/>
    <n v="100"/>
    <n v="22.5"/>
    <m/>
    <m/>
    <n v="3"/>
    <n v="1.125"/>
    <n v="0.85"/>
    <n v="0.95624999999999993"/>
    <x v="10"/>
    <s v="Inst för språkstudier"/>
    <s v="Hum"/>
    <s v="Ämneslärarprogrammet - Gy"/>
    <n v="18405"/>
    <n v="15773"/>
    <n v="35788.556250000001"/>
    <n v="5800"/>
    <n v="6525"/>
    <n v="42313.556250000001"/>
    <n v="0"/>
    <n v="1"/>
    <n v="0"/>
    <n v="0"/>
    <n v="0"/>
    <n v="0"/>
    <n v="0"/>
    <n v="0"/>
    <n v="0"/>
    <n v="0"/>
    <n v="0"/>
    <n v="0"/>
  </r>
  <r>
    <s v="6SD003"/>
    <s v="Examensarbete i språkdidaktik för ämneslärarexamen"/>
    <m/>
    <s v="LYAGY"/>
    <s v="H14"/>
    <s v="H19"/>
    <s v="H1916-20:V201-15"/>
    <m/>
    <m/>
    <s v="ENGS"/>
    <m/>
    <n v="100"/>
    <n v="7.5"/>
    <m/>
    <m/>
    <n v="2"/>
    <n v="0.25"/>
    <n v="0.85"/>
    <n v="0.21249999999999999"/>
    <x v="10"/>
    <s v="Inst för språkstudier"/>
    <s v="Hum"/>
    <s v="Ämneslärarprogrammet - Gy"/>
    <n v="18405"/>
    <n v="15773"/>
    <n v="7953.0124999999998"/>
    <n v="5800"/>
    <n v="1450"/>
    <n v="9403.0125000000007"/>
    <n v="0"/>
    <n v="1"/>
    <n v="0"/>
    <n v="0"/>
    <n v="0"/>
    <n v="0"/>
    <n v="0"/>
    <n v="0"/>
    <n v="0"/>
    <n v="0"/>
    <n v="0"/>
    <n v="0"/>
  </r>
  <r>
    <s v="6SD003"/>
    <s v="Examensarbete i språkdidaktik för ämneslärarexamen"/>
    <m/>
    <s v="LYAGY"/>
    <s v="H15"/>
    <s v="H19"/>
    <s v="H1916-20:V201-15"/>
    <m/>
    <m/>
    <s v="ENGS"/>
    <m/>
    <n v="100"/>
    <n v="7.5"/>
    <m/>
    <m/>
    <n v="5"/>
    <n v="0.625"/>
    <n v="0.85"/>
    <n v="0.53125"/>
    <x v="10"/>
    <s v="Inst för språkstudier"/>
    <s v="Hum"/>
    <s v="Ämneslärarprogrammet - Gy"/>
    <n v="18405"/>
    <n v="15773"/>
    <n v="19882.53125"/>
    <n v="5800"/>
    <n v="3625"/>
    <n v="23507.53125"/>
    <n v="0"/>
    <n v="1"/>
    <n v="0"/>
    <n v="0"/>
    <n v="0"/>
    <n v="0"/>
    <n v="0"/>
    <n v="0"/>
    <n v="0"/>
    <n v="0"/>
    <n v="0"/>
    <n v="0"/>
  </r>
  <r>
    <s v="6SD003"/>
    <s v="Examensarbete i språkdidaktik för ämneslärarexamen"/>
    <m/>
    <s v="LYAGY"/>
    <s v="H15"/>
    <s v="H19"/>
    <s v="H1916-20:V201-15"/>
    <m/>
    <m/>
    <s v="RELK"/>
    <m/>
    <n v="100"/>
    <n v="7.5"/>
    <m/>
    <m/>
    <n v="1"/>
    <n v="0.125"/>
    <n v="0.85"/>
    <n v="0.10625"/>
    <x v="10"/>
    <s v="Inst för språkstudier"/>
    <s v="Hum"/>
    <s v="Ämneslärarprogrammet - Gy"/>
    <n v="18405"/>
    <n v="15773"/>
    <n v="3976.5062499999999"/>
    <n v="5800"/>
    <n v="725"/>
    <n v="4701.5062500000004"/>
    <n v="0"/>
    <n v="1"/>
    <n v="0"/>
    <n v="0"/>
    <n v="0"/>
    <n v="0"/>
    <n v="0"/>
    <n v="0"/>
    <n v="0"/>
    <n v="0"/>
    <n v="0"/>
    <n v="0"/>
  </r>
  <r>
    <s v="6SD003"/>
    <s v="Examensarbete i språkdidaktik för ämneslärarexamen"/>
    <m/>
    <s v="LYAGY"/>
    <s v="H16"/>
    <s v="V19"/>
    <s v="H1816-20:V191-15"/>
    <s v="Umeå"/>
    <m/>
    <s v="ENGS"/>
    <m/>
    <n v="100"/>
    <n v="22.5"/>
    <m/>
    <m/>
    <n v="1"/>
    <n v="0.375"/>
    <n v="0.85"/>
    <n v="0.31874999999999998"/>
    <x v="10"/>
    <s v="Inst för språkstudier"/>
    <s v="Hum"/>
    <s v="Ämneslärarprogrammet - Gy"/>
    <n v="18405"/>
    <n v="15773"/>
    <n v="11929.518749999999"/>
    <n v="5800"/>
    <n v="2175"/>
    <n v="14104.518749999999"/>
    <n v="0"/>
    <n v="1"/>
    <n v="0"/>
    <n v="0"/>
    <n v="0"/>
    <n v="0"/>
    <n v="0"/>
    <n v="0"/>
    <n v="0"/>
    <n v="0"/>
    <n v="0"/>
    <n v="0"/>
  </r>
  <r>
    <s v="6SD004"/>
    <s v="Ämnesdidaktik, Att utveckla lärande och undervisning i språkliga kontexter"/>
    <m/>
    <s v="FRIST"/>
    <m/>
    <s v="H19"/>
    <m/>
    <m/>
    <s v="Distans"/>
    <m/>
    <m/>
    <n v="25"/>
    <n v="7.5"/>
    <m/>
    <m/>
    <n v="6"/>
    <n v="0.75"/>
    <n v="0.8"/>
    <n v="0.60000000000000009"/>
    <x v="10"/>
    <s v="Inst för språkstudier"/>
    <s v="Hum"/>
    <s v="Fristående och övriga kurser"/>
    <n v="18405"/>
    <n v="15773"/>
    <n v="23267.550000000003"/>
    <n v="5800"/>
    <n v="4350"/>
    <n v="27617.550000000003"/>
    <n v="0"/>
    <n v="1"/>
    <n v="0"/>
    <n v="0"/>
    <n v="0"/>
    <n v="0"/>
    <n v="0"/>
    <n v="0"/>
    <n v="0"/>
    <n v="0"/>
    <n v="0"/>
    <n v="0"/>
  </r>
  <r>
    <s v="6SD005"/>
    <s v="Examensarbete med språkdidaktisk inriktning för lärarexamen"/>
    <m/>
    <s v="FRIST"/>
    <m/>
    <s v="V19"/>
    <m/>
    <m/>
    <s v="Distans"/>
    <m/>
    <m/>
    <n v="50"/>
    <n v="15"/>
    <m/>
    <m/>
    <n v="0"/>
    <n v="0"/>
    <n v="0.8"/>
    <n v="0"/>
    <x v="10"/>
    <s v="Inst för språkstudier"/>
    <s v="Hum"/>
    <s v="Fristående och övriga kurser"/>
    <n v="18405"/>
    <n v="15773"/>
    <n v="0"/>
    <n v="5800"/>
    <n v="0"/>
    <n v="0"/>
    <n v="0"/>
    <n v="1"/>
    <n v="0"/>
    <n v="0"/>
    <n v="0"/>
    <n v="0"/>
    <n v="0"/>
    <n v="0"/>
    <n v="0"/>
    <n v="0"/>
    <n v="0"/>
    <n v="0"/>
  </r>
  <r>
    <s v="6SD007"/>
    <s v="Didaktik för det flerspråkiga klassrummet"/>
    <m/>
    <s v="FRIST"/>
    <m/>
    <s v="H19"/>
    <m/>
    <m/>
    <s v="Distans"/>
    <m/>
    <m/>
    <n v="25"/>
    <n v="7.5"/>
    <m/>
    <m/>
    <n v="20"/>
    <n v="2.5"/>
    <n v="0.8"/>
    <n v="2"/>
    <x v="10"/>
    <s v="Inst för språkstudier"/>
    <s v="Hum"/>
    <s v="Fristående och övriga kurser"/>
    <n v="18405"/>
    <n v="15773"/>
    <n v="77558.5"/>
    <n v="5800"/>
    <n v="14500"/>
    <n v="92058.5"/>
    <n v="0"/>
    <n v="1"/>
    <n v="0"/>
    <n v="0"/>
    <n v="0"/>
    <n v="0"/>
    <n v="0"/>
    <n v="0"/>
    <n v="0"/>
    <n v="0"/>
    <n v="0"/>
    <n v="0"/>
  </r>
  <r>
    <s v="6SD008"/>
    <s v="Språkdidaktik: Aktuella frågor och metoder i språkdidaktisk forskning"/>
    <m/>
    <s v="FRIST"/>
    <m/>
    <s v="V19"/>
    <m/>
    <m/>
    <s v="Distans"/>
    <m/>
    <m/>
    <n v="25"/>
    <n v="7.5"/>
    <m/>
    <m/>
    <n v="0"/>
    <n v="0"/>
    <n v="0.8"/>
    <n v="0"/>
    <x v="10"/>
    <s v="Inst för språkstudier"/>
    <s v="Hum"/>
    <s v="Fristående och övriga kurser"/>
    <n v="18405"/>
    <n v="15773"/>
    <n v="0"/>
    <n v="5800"/>
    <n v="0"/>
    <n v="0"/>
    <n v="0"/>
    <n v="1"/>
    <n v="0"/>
    <n v="0"/>
    <n v="0"/>
    <n v="0"/>
    <n v="0"/>
    <n v="0"/>
    <n v="0"/>
    <n v="0"/>
    <n v="0"/>
    <n v="0"/>
  </r>
  <r>
    <s v="6SD010"/>
    <s v="Språk-, skriv- och läsutveckling för speciallärare"/>
    <m/>
    <s v="LYSPL"/>
    <s v="H18"/>
    <s v="V19"/>
    <s v="V191-20"/>
    <s v="Umeå"/>
    <m/>
    <s v="SVGG"/>
    <m/>
    <n v="100"/>
    <n v="30"/>
    <m/>
    <m/>
    <n v="1"/>
    <n v="0.5"/>
    <n v="0.85"/>
    <n v="0.42499999999999999"/>
    <x v="10"/>
    <s v="Inst för språkstudier"/>
    <s v="Hum"/>
    <s v="Speciallärarprogrammet"/>
    <n v="18405"/>
    <n v="15773"/>
    <n v="15906.025"/>
    <n v="5800"/>
    <n v="2900"/>
    <n v="18806.025000000001"/>
    <n v="0"/>
    <n v="1"/>
    <n v="0"/>
    <n v="0"/>
    <n v="0"/>
    <n v="0"/>
    <n v="0"/>
    <n v="0"/>
    <n v="0"/>
    <n v="0"/>
    <n v="0"/>
    <n v="0"/>
  </r>
  <r>
    <s v="6SD010"/>
    <s v="Språk-, skriv- och läsutveckling för speciallärare"/>
    <m/>
    <s v="LYSPL"/>
    <s v="H18"/>
    <s v="V19"/>
    <s v="V191-20"/>
    <s v="Umeå"/>
    <m/>
    <s v="SVGG"/>
    <m/>
    <n v="100"/>
    <n v="30"/>
    <m/>
    <m/>
    <n v="16"/>
    <n v="8"/>
    <n v="0.85"/>
    <n v="6.8"/>
    <x v="10"/>
    <s v="Inst för språkstudier"/>
    <s v="Hum"/>
    <s v="Speciallärarprogrammet"/>
    <n v="18405"/>
    <n v="15773"/>
    <n v="254496.4"/>
    <n v="5800"/>
    <n v="46400"/>
    <n v="300896.40000000002"/>
    <n v="0"/>
    <n v="1"/>
    <n v="0"/>
    <n v="0"/>
    <n v="0"/>
    <n v="0"/>
    <n v="0"/>
    <n v="0"/>
    <n v="0"/>
    <n v="0"/>
    <n v="0"/>
    <n v="0"/>
  </r>
  <r>
    <s v="6SD011"/>
    <s v="Examensarbete för speciallärarexamen med specialisering mot språk-, skriv- och läsutveckling"/>
    <m/>
    <s v="LYSPL"/>
    <s v="H18"/>
    <s v="H19"/>
    <s v="H196-15"/>
    <m/>
    <m/>
    <s v="SVGG"/>
    <m/>
    <n v="100"/>
    <n v="15"/>
    <m/>
    <m/>
    <n v="16"/>
    <n v="4"/>
    <n v="0.85"/>
    <n v="3.4"/>
    <x v="10"/>
    <s v="Inst för språkstudier"/>
    <s v="Hum"/>
    <s v="Speciallärarprogrammet"/>
    <n v="18405"/>
    <n v="15773"/>
    <n v="127248.2"/>
    <n v="5800"/>
    <n v="23200"/>
    <n v="150448.20000000001"/>
    <n v="0"/>
    <n v="0"/>
    <n v="0"/>
    <n v="0"/>
    <n v="0"/>
    <n v="0"/>
    <n v="1"/>
    <n v="0"/>
    <n v="0"/>
    <n v="0"/>
    <n v="0"/>
    <n v="0"/>
  </r>
  <r>
    <s v="6SD012"/>
    <s v="Språk-, skriv- och läsutveckling i ett specialpedagogiskt perspektiv"/>
    <m/>
    <s v="LYSPL"/>
    <s v="H18"/>
    <s v="H19"/>
    <s v="H1916-20"/>
    <m/>
    <m/>
    <s v="MAGG"/>
    <m/>
    <n v="100"/>
    <n v="7.5"/>
    <m/>
    <m/>
    <n v="8"/>
    <n v="1"/>
    <n v="0.85"/>
    <n v="0.85"/>
    <x v="10"/>
    <s v="Inst för språkstudier"/>
    <s v="Hum"/>
    <s v="Speciallärarprogrammet"/>
    <n v="18405"/>
    <n v="15773"/>
    <n v="31812.05"/>
    <n v="5800"/>
    <n v="5800"/>
    <n v="37612.050000000003"/>
    <n v="0"/>
    <n v="0"/>
    <n v="0"/>
    <n v="0"/>
    <n v="0"/>
    <n v="0"/>
    <n v="1"/>
    <n v="0"/>
    <n v="0"/>
    <n v="0"/>
    <n v="0"/>
    <n v="0"/>
  </r>
  <r>
    <s v="6SH009"/>
    <s v="Samhällskunskap 1"/>
    <m/>
    <s v="LYAGY"/>
    <s v="H16"/>
    <s v="V19"/>
    <s v="V191-20"/>
    <s v="Umeå"/>
    <m/>
    <s v="ENGS"/>
    <m/>
    <n v="100"/>
    <n v="30"/>
    <m/>
    <m/>
    <n v="3"/>
    <n v="1.5"/>
    <n v="0.85"/>
    <n v="1.2749999999999999"/>
    <x v="16"/>
    <s v="Statsvetenskap                "/>
    <s v="Sam"/>
    <s v="Ämneslärarprogrammet - Gy"/>
    <n v="18405"/>
    <n v="15773"/>
    <n v="47718.074999999997"/>
    <n v="5800"/>
    <n v="8700"/>
    <n v="56418.074999999997"/>
    <n v="0"/>
    <n v="1"/>
    <n v="0"/>
    <n v="0"/>
    <n v="0"/>
    <n v="0"/>
    <n v="0"/>
    <n v="0"/>
    <n v="0"/>
    <n v="0"/>
    <n v="0"/>
    <n v="0"/>
  </r>
  <r>
    <s v="6SH009"/>
    <s v="Samhällskunskap 1"/>
    <m/>
    <s v="LYAGY"/>
    <s v="H16"/>
    <s v="V19"/>
    <s v="V191-20"/>
    <s v="Umeå"/>
    <m/>
    <s v="HIST"/>
    <m/>
    <n v="100"/>
    <n v="30"/>
    <m/>
    <m/>
    <n v="2"/>
    <n v="1"/>
    <n v="0.85"/>
    <n v="0.85"/>
    <x v="16"/>
    <s v="Statsvetenskap                "/>
    <s v="Sam"/>
    <s v="Ämneslärarprogrammet - Gy"/>
    <n v="18405"/>
    <n v="15773"/>
    <n v="31812.05"/>
    <n v="5800"/>
    <n v="5800"/>
    <n v="37612.050000000003"/>
    <n v="0"/>
    <n v="1"/>
    <n v="0"/>
    <n v="0"/>
    <n v="0"/>
    <n v="0"/>
    <n v="0"/>
    <n v="0"/>
    <n v="0"/>
    <n v="0"/>
    <n v="0"/>
    <n v="0"/>
  </r>
  <r>
    <s v="6SH009"/>
    <s v="Samhällskunskap 1"/>
    <m/>
    <s v="LYAGY"/>
    <s v="H16"/>
    <s v="V19"/>
    <s v="V191-20"/>
    <s v="Umeå"/>
    <m/>
    <s v="IDRH"/>
    <m/>
    <n v="100"/>
    <n v="30"/>
    <m/>
    <m/>
    <n v="2"/>
    <n v="1"/>
    <n v="0.85"/>
    <n v="0.85"/>
    <x v="16"/>
    <s v="Statsvetenskap                "/>
    <s v="Sam"/>
    <s v="Ämneslärarprogrammet - Gy"/>
    <n v="18405"/>
    <n v="15773"/>
    <n v="31812.05"/>
    <n v="5800"/>
    <n v="5800"/>
    <n v="37612.050000000003"/>
    <n v="0"/>
    <n v="1"/>
    <n v="0"/>
    <n v="0"/>
    <n v="0"/>
    <n v="0"/>
    <n v="0"/>
    <n v="0"/>
    <n v="0"/>
    <n v="0"/>
    <n v="0"/>
    <n v="0"/>
  </r>
  <r>
    <s v="6SH009"/>
    <s v="Samhällskunskap 1"/>
    <m/>
    <s v="LYAGY"/>
    <s v="H18"/>
    <s v="V19"/>
    <s v="V191-20"/>
    <s v="Umeå"/>
    <m/>
    <s v="ENGS"/>
    <m/>
    <n v="100"/>
    <n v="30"/>
    <m/>
    <m/>
    <n v="1"/>
    <n v="0.5"/>
    <n v="0.85"/>
    <n v="0.42499999999999999"/>
    <x v="16"/>
    <s v="Statsvetenskap                "/>
    <s v="Sam"/>
    <s v="Ämneslärarprogrammet - Gy"/>
    <n v="18405"/>
    <n v="15773"/>
    <n v="15906.025"/>
    <n v="5800"/>
    <n v="2900"/>
    <n v="18806.025000000001"/>
    <n v="0"/>
    <n v="1"/>
    <n v="0"/>
    <n v="0"/>
    <n v="0"/>
    <n v="0"/>
    <n v="0"/>
    <n v="0"/>
    <n v="0"/>
    <n v="0"/>
    <n v="0"/>
    <n v="0"/>
  </r>
  <r>
    <s v="6SH009"/>
    <s v="Samhällskunskap 1"/>
    <m/>
    <s v="LYAGY"/>
    <s v="H18"/>
    <s v="V19"/>
    <s v="V191-20"/>
    <s v="Umeå"/>
    <m/>
    <s v="SAMK"/>
    <m/>
    <n v="100"/>
    <n v="30"/>
    <m/>
    <m/>
    <n v="14"/>
    <n v="7"/>
    <n v="0.85"/>
    <n v="5.95"/>
    <x v="16"/>
    <s v="Statsvetenskap                "/>
    <s v="Sam"/>
    <s v="Ämneslärarprogrammet - Gy"/>
    <n v="18405"/>
    <n v="15773"/>
    <n v="222684.35"/>
    <n v="5800"/>
    <n v="40600"/>
    <n v="263284.34999999998"/>
    <n v="0"/>
    <n v="1"/>
    <n v="0"/>
    <n v="0"/>
    <n v="0"/>
    <n v="0"/>
    <n v="0"/>
    <n v="0"/>
    <n v="0"/>
    <n v="0"/>
    <n v="0"/>
    <n v="0"/>
  </r>
  <r>
    <s v="6SH010"/>
    <s v="Samhällskunskap 2"/>
    <m/>
    <s v="LYAGY"/>
    <s v="H16"/>
    <s v="H19"/>
    <s v="H191-20"/>
    <m/>
    <m/>
    <s v="ENGS"/>
    <m/>
    <n v="100"/>
    <n v="30"/>
    <m/>
    <m/>
    <n v="3"/>
    <n v="1.5"/>
    <n v="0.85"/>
    <n v="1.2749999999999999"/>
    <x v="16"/>
    <s v="Statsvetenskap                "/>
    <s v="Sam"/>
    <s v="Ämneslärarprogrammet - Gy"/>
    <n v="18405"/>
    <n v="15773"/>
    <n v="47718.074999999997"/>
    <n v="5800"/>
    <n v="8700"/>
    <n v="56418.074999999997"/>
    <n v="0"/>
    <n v="0"/>
    <n v="0"/>
    <n v="0"/>
    <n v="0"/>
    <n v="0"/>
    <n v="1"/>
    <n v="0"/>
    <n v="0"/>
    <n v="0"/>
    <n v="0"/>
    <n v="0"/>
  </r>
  <r>
    <s v="6SH010"/>
    <s v="Samhällskunskap 2"/>
    <m/>
    <s v="LYAGY"/>
    <s v="H16"/>
    <s v="H19"/>
    <s v="H191-20"/>
    <m/>
    <m/>
    <s v="HIST"/>
    <m/>
    <n v="100"/>
    <n v="30"/>
    <m/>
    <m/>
    <n v="2"/>
    <n v="1"/>
    <n v="0.85"/>
    <n v="0.85"/>
    <x v="16"/>
    <s v="Statsvetenskap                "/>
    <s v="Sam"/>
    <s v="Ämneslärarprogrammet - Gy"/>
    <n v="18405"/>
    <n v="15773"/>
    <n v="31812.05"/>
    <n v="5800"/>
    <n v="5800"/>
    <n v="37612.050000000003"/>
    <n v="0"/>
    <n v="0"/>
    <n v="0"/>
    <n v="0"/>
    <n v="0"/>
    <n v="0"/>
    <n v="1"/>
    <n v="0"/>
    <n v="0"/>
    <n v="0"/>
    <n v="0"/>
    <n v="0"/>
  </r>
  <r>
    <s v="6SH010"/>
    <s v="Samhällskunskap 2"/>
    <m/>
    <s v="LYAGY"/>
    <s v="H16"/>
    <s v="H19"/>
    <s v="H191-20"/>
    <m/>
    <m/>
    <s v="IDRH"/>
    <m/>
    <n v="100"/>
    <n v="30"/>
    <m/>
    <m/>
    <n v="1"/>
    <n v="0.5"/>
    <n v="0.85"/>
    <n v="0.42499999999999999"/>
    <x v="16"/>
    <s v="Statsvetenskap                "/>
    <s v="Sam"/>
    <s v="Ämneslärarprogrammet - Gy"/>
    <n v="18405"/>
    <n v="15773"/>
    <n v="15906.025"/>
    <n v="5800"/>
    <n v="2900"/>
    <n v="18806.025000000001"/>
    <n v="0"/>
    <n v="0"/>
    <n v="0"/>
    <n v="0"/>
    <n v="0"/>
    <n v="0"/>
    <n v="1"/>
    <n v="0"/>
    <n v="0"/>
    <n v="0"/>
    <n v="0"/>
    <n v="0"/>
  </r>
  <r>
    <s v="6SH010"/>
    <s v="Samhällskunskap 2"/>
    <m/>
    <s v="LYAGY"/>
    <s v="H16"/>
    <s v="H19"/>
    <s v="H191-20"/>
    <m/>
    <m/>
    <s v="RELK"/>
    <m/>
    <n v="100"/>
    <n v="30"/>
    <m/>
    <m/>
    <n v="1"/>
    <n v="0.5"/>
    <n v="0.85"/>
    <n v="0.42499999999999999"/>
    <x v="16"/>
    <s v="Statsvetenskap                "/>
    <s v="Sam"/>
    <s v="Ämneslärarprogrammet - Gy"/>
    <n v="18405"/>
    <n v="15773"/>
    <n v="15906.025"/>
    <n v="5800"/>
    <n v="2900"/>
    <n v="18806.025000000001"/>
    <n v="0"/>
    <n v="0"/>
    <n v="0"/>
    <n v="0"/>
    <n v="0"/>
    <n v="0"/>
    <n v="1"/>
    <n v="0"/>
    <n v="0"/>
    <n v="0"/>
    <n v="0"/>
    <n v="0"/>
  </r>
  <r>
    <s v="6SH010"/>
    <s v="Samhällskunskap 2"/>
    <m/>
    <s v="LYAGY"/>
    <s v="H17"/>
    <s v="H19"/>
    <s v="H191-20"/>
    <m/>
    <m/>
    <s v="SAMK"/>
    <m/>
    <n v="100"/>
    <n v="30"/>
    <m/>
    <m/>
    <n v="1"/>
    <n v="0.5"/>
    <n v="0.85"/>
    <n v="0.42499999999999999"/>
    <x v="16"/>
    <s v="Statsvetenskap                "/>
    <s v="Sam"/>
    <s v="Ämneslärarprogrammet - Gy"/>
    <n v="18405"/>
    <n v="15773"/>
    <n v="15906.025"/>
    <n v="5800"/>
    <n v="2900"/>
    <n v="18806.025000000001"/>
    <n v="0"/>
    <n v="0"/>
    <n v="0"/>
    <n v="0"/>
    <n v="0"/>
    <n v="0"/>
    <n v="1"/>
    <n v="0"/>
    <n v="0"/>
    <n v="0"/>
    <n v="0"/>
    <n v="0"/>
  </r>
  <r>
    <s v="6SH010"/>
    <s v="Samhällskunskap 2"/>
    <m/>
    <s v="LYAGY"/>
    <s v="H18"/>
    <s v="H19"/>
    <s v="H191-20"/>
    <m/>
    <m/>
    <s v="SAMK"/>
    <m/>
    <n v="100"/>
    <n v="30"/>
    <m/>
    <m/>
    <n v="13"/>
    <n v="6.5"/>
    <n v="0.85"/>
    <n v="5.5249999999999995"/>
    <x v="16"/>
    <s v="Statsvetenskap                "/>
    <s v="Sam"/>
    <s v="Ämneslärarprogrammet - Gy"/>
    <n v="18405"/>
    <n v="15773"/>
    <n v="206778.32500000001"/>
    <n v="5800"/>
    <n v="37700"/>
    <n v="244478.32500000001"/>
    <n v="0"/>
    <n v="0"/>
    <n v="0"/>
    <n v="0"/>
    <n v="0"/>
    <n v="0"/>
    <n v="1"/>
    <n v="0"/>
    <n v="0"/>
    <n v="0"/>
    <n v="0"/>
    <n v="0"/>
  </r>
  <r>
    <s v="6SH011"/>
    <s v="Samhällskunskap 3"/>
    <m/>
    <s v="LYAGY"/>
    <s v="H14"/>
    <s v="V19"/>
    <s v="V191-20"/>
    <s v="Umeå"/>
    <m/>
    <s v="SAMK"/>
    <m/>
    <n v="100"/>
    <n v="30"/>
    <m/>
    <m/>
    <n v="1"/>
    <n v="0.5"/>
    <n v="0.85"/>
    <n v="0.42499999999999999"/>
    <x v="16"/>
    <s v="Statsvetenskap                "/>
    <s v="Sam"/>
    <s v="Ämneslärarprogrammet - Gy"/>
    <n v="18405"/>
    <n v="15773"/>
    <n v="15906.025"/>
    <n v="5800"/>
    <n v="2900"/>
    <n v="18806.025000000001"/>
    <n v="0"/>
    <n v="1"/>
    <n v="0"/>
    <n v="0"/>
    <n v="0"/>
    <n v="0"/>
    <n v="0"/>
    <n v="0"/>
    <n v="0"/>
    <n v="0"/>
    <n v="0"/>
    <n v="0"/>
  </r>
  <r>
    <s v="6SH011"/>
    <s v="Samhällskunskap 3"/>
    <m/>
    <s v="LYAGY"/>
    <s v="H15"/>
    <s v="V19"/>
    <s v="V191-20"/>
    <s v="Umeå"/>
    <m/>
    <s v="ENGS"/>
    <m/>
    <n v="100"/>
    <n v="30"/>
    <m/>
    <m/>
    <n v="1"/>
    <n v="0.5"/>
    <n v="0.85"/>
    <n v="0.42499999999999999"/>
    <x v="16"/>
    <s v="Statsvetenskap                "/>
    <s v="Sam"/>
    <s v="Ämneslärarprogrammet - Gy"/>
    <n v="18405"/>
    <n v="15773"/>
    <n v="15906.025"/>
    <n v="5800"/>
    <n v="2900"/>
    <n v="18806.025000000001"/>
    <n v="0"/>
    <n v="1"/>
    <n v="0"/>
    <n v="0"/>
    <n v="0"/>
    <n v="0"/>
    <n v="0"/>
    <n v="0"/>
    <n v="0"/>
    <n v="0"/>
    <n v="0"/>
    <n v="0"/>
  </r>
  <r>
    <s v="6SH011"/>
    <s v="Samhällskunskap 3"/>
    <m/>
    <s v="LYAGY"/>
    <s v="H15"/>
    <s v="V19"/>
    <s v="V191-20"/>
    <s v="Umeå"/>
    <m/>
    <s v="HIST"/>
    <m/>
    <n v="100"/>
    <n v="30"/>
    <m/>
    <m/>
    <n v="4"/>
    <n v="2"/>
    <n v="0.85"/>
    <n v="1.7"/>
    <x v="16"/>
    <s v="Statsvetenskap                "/>
    <s v="Sam"/>
    <s v="Ämneslärarprogrammet - Gy"/>
    <n v="18405"/>
    <n v="15773"/>
    <n v="63624.1"/>
    <n v="5800"/>
    <n v="11600"/>
    <n v="75224.100000000006"/>
    <n v="0"/>
    <n v="1"/>
    <n v="0"/>
    <n v="0"/>
    <n v="0"/>
    <n v="0"/>
    <n v="0"/>
    <n v="0"/>
    <n v="0"/>
    <n v="0"/>
    <n v="0"/>
    <n v="0"/>
  </r>
  <r>
    <s v="6SH011"/>
    <s v="Samhällskunskap 3"/>
    <m/>
    <s v="LYAGY"/>
    <s v="H17"/>
    <s v="V19"/>
    <s v="V191-20"/>
    <s v="Umeå"/>
    <m/>
    <s v="SAMK"/>
    <m/>
    <n v="100"/>
    <n v="30"/>
    <m/>
    <m/>
    <n v="7"/>
    <n v="3.5"/>
    <n v="0.85"/>
    <n v="2.9750000000000001"/>
    <x v="16"/>
    <s v="Statsvetenskap                "/>
    <s v="Sam"/>
    <s v="Ämneslärarprogrammet - Gy"/>
    <n v="18405"/>
    <n v="15773"/>
    <n v="111342.175"/>
    <n v="5800"/>
    <n v="20300"/>
    <n v="131642.17499999999"/>
    <n v="0"/>
    <n v="1"/>
    <n v="0"/>
    <n v="0"/>
    <n v="0"/>
    <n v="0"/>
    <n v="0"/>
    <n v="0"/>
    <n v="0"/>
    <n v="0"/>
    <n v="0"/>
    <n v="0"/>
  </r>
  <r>
    <s v="6SH013"/>
    <s v="Examensarbete"/>
    <m/>
    <s v="LYAGR"/>
    <s v="H14"/>
    <s v="H19"/>
    <s v="V1916-20:H191-15"/>
    <m/>
    <m/>
    <s v="SAMK"/>
    <m/>
    <n v="100"/>
    <n v="7.5"/>
    <m/>
    <m/>
    <n v="1"/>
    <n v="0.125"/>
    <n v="0.85"/>
    <n v="0.10625"/>
    <x v="16"/>
    <s v="Statsvetenskap                "/>
    <s v="Sam"/>
    <s v="Ämneslärarprogrammet - åk 7-9"/>
    <n v="18405"/>
    <n v="15773"/>
    <n v="3976.5062499999999"/>
    <n v="5800"/>
    <n v="725"/>
    <n v="4701.5062500000004"/>
    <n v="0"/>
    <n v="0"/>
    <n v="0"/>
    <n v="0"/>
    <n v="0"/>
    <n v="0"/>
    <n v="1"/>
    <n v="0"/>
    <n v="0"/>
    <n v="0"/>
    <n v="0"/>
    <n v="0"/>
  </r>
  <r>
    <s v="6SH013"/>
    <s v="Examensarbete"/>
    <m/>
    <s v="LYAGY"/>
    <s v="H11"/>
    <s v="V19"/>
    <s v="H1816-20:V191-15"/>
    <s v="Umeå"/>
    <m/>
    <s v="SAMK"/>
    <m/>
    <n v="100"/>
    <n v="22.5"/>
    <m/>
    <m/>
    <n v="1"/>
    <n v="0.375"/>
    <n v="0.85"/>
    <n v="0.31874999999999998"/>
    <x v="16"/>
    <s v="Statsvetenskap                "/>
    <s v="Sam"/>
    <s v="Ämneslärarprogrammet - Gy"/>
    <n v="18405"/>
    <n v="15773"/>
    <n v="11929.518749999999"/>
    <n v="5800"/>
    <n v="2175"/>
    <n v="14104.518749999999"/>
    <n v="0"/>
    <n v="0"/>
    <n v="0"/>
    <n v="0"/>
    <n v="0"/>
    <n v="0"/>
    <n v="1"/>
    <n v="0"/>
    <n v="0"/>
    <n v="0"/>
    <n v="0"/>
    <n v="0"/>
  </r>
  <r>
    <s v="6SH013"/>
    <s v="Examensarbete"/>
    <m/>
    <s v="LYAGY"/>
    <s v="H14"/>
    <s v="V19"/>
    <s v="H1816-20:V191-15"/>
    <s v="Umeå"/>
    <m/>
    <s v="HIST"/>
    <m/>
    <n v="100"/>
    <n v="22.5"/>
    <m/>
    <m/>
    <n v="4"/>
    <n v="1.5"/>
    <n v="0.85"/>
    <n v="1.2749999999999999"/>
    <x v="16"/>
    <s v="Statsvetenskap                "/>
    <s v="Sam"/>
    <s v="Ämneslärarprogrammet - Gy"/>
    <n v="18405"/>
    <n v="15773"/>
    <n v="47718.074999999997"/>
    <n v="5800"/>
    <n v="8700"/>
    <n v="56418.074999999997"/>
    <n v="0"/>
    <n v="0"/>
    <n v="0"/>
    <n v="0"/>
    <n v="0"/>
    <n v="0"/>
    <n v="1"/>
    <n v="0"/>
    <n v="0"/>
    <n v="0"/>
    <n v="0"/>
    <n v="0"/>
  </r>
  <r>
    <s v="6SH013"/>
    <s v="Examensarbete"/>
    <m/>
    <s v="LYAGY"/>
    <s v="H14"/>
    <s v="V19"/>
    <s v="H1816-20:V191-15"/>
    <s v="Umeå"/>
    <m/>
    <s v="IDRH"/>
    <m/>
    <n v="100"/>
    <n v="22.5"/>
    <m/>
    <m/>
    <n v="2"/>
    <n v="0.75"/>
    <n v="0.85"/>
    <n v="0.63749999999999996"/>
    <x v="16"/>
    <s v="Statsvetenskap                "/>
    <s v="Sam"/>
    <s v="Ämneslärarprogrammet - Gy"/>
    <n v="18405"/>
    <n v="15773"/>
    <n v="23859.037499999999"/>
    <n v="5800"/>
    <n v="4350"/>
    <n v="28209.037499999999"/>
    <n v="0"/>
    <n v="0"/>
    <n v="0"/>
    <n v="0"/>
    <n v="0"/>
    <n v="0"/>
    <n v="1"/>
    <n v="0"/>
    <n v="0"/>
    <n v="0"/>
    <n v="0"/>
    <n v="0"/>
  </r>
  <r>
    <s v="6SH013"/>
    <s v="Examensarbete"/>
    <m/>
    <s v="LYAGY"/>
    <s v="H14"/>
    <s v="V19"/>
    <s v="H1816-20:V191-15"/>
    <s v="Umeå"/>
    <m/>
    <s v="RELK"/>
    <m/>
    <n v="100"/>
    <n v="22.5"/>
    <m/>
    <m/>
    <n v="2"/>
    <n v="0.75"/>
    <n v="0.85"/>
    <n v="0.63749999999999996"/>
    <x v="16"/>
    <s v="Statsvetenskap                "/>
    <s v="Sam"/>
    <s v="Ämneslärarprogrammet - Gy"/>
    <n v="18405"/>
    <n v="15773"/>
    <n v="23859.037499999999"/>
    <n v="5800"/>
    <n v="4350"/>
    <n v="28209.037499999999"/>
    <n v="0"/>
    <n v="0"/>
    <n v="0"/>
    <n v="0"/>
    <n v="0"/>
    <n v="0"/>
    <n v="1"/>
    <n v="0"/>
    <n v="0"/>
    <n v="0"/>
    <n v="0"/>
    <n v="0"/>
  </r>
  <r>
    <s v="6SH013"/>
    <s v="Examensarbete"/>
    <m/>
    <s v="LYAGY"/>
    <s v="H14"/>
    <s v="V19"/>
    <s v="H1816-20:V191-15"/>
    <s v="Umeå"/>
    <m/>
    <s v="SAMK"/>
    <m/>
    <n v="100"/>
    <n v="22.5"/>
    <m/>
    <m/>
    <n v="7"/>
    <n v="2.625"/>
    <n v="0.85"/>
    <n v="2.2312499999999997"/>
    <x v="16"/>
    <s v="Statsvetenskap                "/>
    <s v="Sam"/>
    <s v="Ämneslärarprogrammet - Gy"/>
    <n v="18405"/>
    <n v="15773"/>
    <n v="83506.631250000006"/>
    <n v="5800"/>
    <n v="15225"/>
    <n v="98731.631250000006"/>
    <n v="0"/>
    <n v="0"/>
    <n v="0"/>
    <n v="0"/>
    <n v="0"/>
    <n v="0"/>
    <n v="1"/>
    <n v="0"/>
    <n v="0"/>
    <n v="0"/>
    <n v="0"/>
    <n v="0"/>
  </r>
  <r>
    <s v="6SH013"/>
    <s v="Examensarbete"/>
    <m/>
    <s v="LYAGY"/>
    <s v="H15"/>
    <s v="H19"/>
    <s v="H1916-20:V201-15"/>
    <m/>
    <m/>
    <s v="ENGS"/>
    <m/>
    <n v="100"/>
    <n v="7.5"/>
    <m/>
    <m/>
    <n v="1"/>
    <n v="0.125"/>
    <n v="0.85"/>
    <n v="0.10625"/>
    <x v="16"/>
    <s v="Statsvetenskap                "/>
    <s v="Sam"/>
    <s v="Ämneslärarprogrammet - Gy"/>
    <n v="18405"/>
    <n v="15773"/>
    <n v="3976.5062499999999"/>
    <n v="5800"/>
    <n v="725"/>
    <n v="4701.5062500000004"/>
    <n v="0"/>
    <n v="0"/>
    <n v="0"/>
    <n v="0"/>
    <n v="0"/>
    <n v="0"/>
    <n v="1"/>
    <n v="0"/>
    <n v="0"/>
    <n v="0"/>
    <n v="0"/>
    <n v="0"/>
  </r>
  <r>
    <s v="6SH013"/>
    <s v="Examensarbete"/>
    <m/>
    <s v="LYAGY"/>
    <s v="H15"/>
    <s v="H19"/>
    <s v="H1916-20:V201-15"/>
    <m/>
    <m/>
    <s v="HIST"/>
    <m/>
    <n v="100"/>
    <n v="7.5"/>
    <m/>
    <m/>
    <n v="2"/>
    <n v="0.25"/>
    <n v="0.85"/>
    <n v="0.21249999999999999"/>
    <x v="16"/>
    <s v="Statsvetenskap                "/>
    <s v="Sam"/>
    <s v="Ämneslärarprogrammet - Gy"/>
    <n v="18405"/>
    <n v="15773"/>
    <n v="7953.0124999999998"/>
    <n v="5800"/>
    <n v="1450"/>
    <n v="9403.0125000000007"/>
    <n v="0"/>
    <n v="0"/>
    <n v="0"/>
    <n v="0"/>
    <n v="0"/>
    <n v="0"/>
    <n v="1"/>
    <n v="0"/>
    <n v="0"/>
    <n v="0"/>
    <n v="0"/>
    <n v="0"/>
  </r>
  <r>
    <s v="6SH013"/>
    <s v="Examensarbete"/>
    <m/>
    <s v="LYAGY"/>
    <s v="H15"/>
    <s v="H19"/>
    <s v="H1916-20:V201-15"/>
    <m/>
    <m/>
    <s v="SAMK"/>
    <m/>
    <n v="100"/>
    <n v="7.5"/>
    <m/>
    <m/>
    <n v="4"/>
    <n v="0.5"/>
    <n v="0.85"/>
    <n v="0.42499999999999999"/>
    <x v="16"/>
    <s v="Statsvetenskap                "/>
    <s v="Sam"/>
    <s v="Ämneslärarprogrammet - Gy"/>
    <n v="18405"/>
    <n v="15773"/>
    <n v="15906.025"/>
    <n v="5800"/>
    <n v="2900"/>
    <n v="18806.025000000001"/>
    <n v="0"/>
    <n v="0"/>
    <n v="0"/>
    <n v="0"/>
    <n v="0"/>
    <n v="0"/>
    <n v="1"/>
    <n v="0"/>
    <n v="0"/>
    <n v="0"/>
    <n v="0"/>
    <n v="0"/>
  </r>
  <r>
    <s v="6SH014"/>
    <s v="Profession och vetenskap"/>
    <m/>
    <s v="FRIST"/>
    <m/>
    <s v="V19"/>
    <m/>
    <s v="Umeå"/>
    <m/>
    <m/>
    <m/>
    <n v="100"/>
    <n v="7.5"/>
    <m/>
    <m/>
    <n v="1"/>
    <n v="0.125"/>
    <n v="0.85"/>
    <n v="0.10625"/>
    <x v="16"/>
    <s v="Statsvetenskap                "/>
    <s v="Sam"/>
    <s v="Fristående och övriga kurser"/>
    <n v="23641"/>
    <n v="28786"/>
    <n v="6013.6374999999998"/>
    <n v="5800"/>
    <n v="725"/>
    <n v="6738.6374999999998"/>
    <n v="0"/>
    <n v="0"/>
    <n v="0"/>
    <n v="1"/>
    <n v="0"/>
    <n v="0"/>
    <n v="0"/>
    <n v="0"/>
    <n v="0"/>
    <n v="0"/>
    <n v="0"/>
    <n v="0"/>
  </r>
  <r>
    <s v="6SH014"/>
    <s v="Profession och vetenskap"/>
    <m/>
    <s v="LYAGR"/>
    <s v="H14"/>
    <s v="V19"/>
    <s v="V1916-20"/>
    <s v="Umeå"/>
    <m/>
    <s v="HEMK"/>
    <m/>
    <n v="100"/>
    <n v="7.5"/>
    <m/>
    <m/>
    <n v="1"/>
    <n v="0.125"/>
    <n v="0.85"/>
    <n v="0.10625"/>
    <x v="16"/>
    <s v="Statsvetenskap                "/>
    <s v="Sam"/>
    <s v="Ämneslärarprogrammet - åk 7-9"/>
    <n v="23641"/>
    <n v="28786"/>
    <n v="6013.6374999999998"/>
    <n v="5800"/>
    <n v="725"/>
    <n v="6738.6374999999998"/>
    <n v="0"/>
    <n v="0"/>
    <n v="0"/>
    <n v="1"/>
    <n v="0"/>
    <n v="0"/>
    <n v="0"/>
    <n v="0"/>
    <n v="0"/>
    <n v="0"/>
    <n v="0"/>
    <n v="0"/>
  </r>
  <r>
    <s v="6SH014"/>
    <s v="Profession och vetenskap"/>
    <m/>
    <s v="LYAGR"/>
    <s v="H14"/>
    <s v="V19"/>
    <s v="V1916-20"/>
    <s v="Umeå"/>
    <m/>
    <s v="IDRH"/>
    <m/>
    <n v="100"/>
    <n v="7.5"/>
    <m/>
    <m/>
    <n v="2"/>
    <n v="0.25"/>
    <n v="0.85"/>
    <n v="0.21249999999999999"/>
    <x v="16"/>
    <s v="Statsvetenskap                "/>
    <s v="Sam"/>
    <s v="Ämneslärarprogrammet - åk 7-9"/>
    <n v="23641"/>
    <n v="28786"/>
    <n v="12027.275"/>
    <n v="5800"/>
    <n v="1450"/>
    <n v="13477.275"/>
    <n v="0"/>
    <n v="0"/>
    <n v="0"/>
    <n v="1"/>
    <n v="0"/>
    <n v="0"/>
    <n v="0"/>
    <n v="0"/>
    <n v="0"/>
    <n v="0"/>
    <n v="0"/>
    <n v="0"/>
  </r>
  <r>
    <s v="6SH014"/>
    <s v="Profession och vetenskap"/>
    <m/>
    <s v="LYAGR"/>
    <s v="H14"/>
    <s v="H19"/>
    <s v="H1916-20"/>
    <m/>
    <m/>
    <s v="MATT"/>
    <m/>
    <n v="100"/>
    <n v="7.5"/>
    <m/>
    <m/>
    <n v="1"/>
    <n v="0.125"/>
    <n v="0.85"/>
    <n v="0.10625"/>
    <x v="16"/>
    <s v="Statsvetenskap                "/>
    <s v="Sam"/>
    <s v="Ämneslärarprogrammet - åk 7-9"/>
    <n v="23641"/>
    <n v="28786"/>
    <n v="6013.6374999999998"/>
    <n v="5800"/>
    <n v="725"/>
    <n v="6738.6374999999998"/>
    <n v="0"/>
    <n v="0"/>
    <n v="0"/>
    <n v="1"/>
    <n v="0"/>
    <n v="0"/>
    <n v="0"/>
    <n v="0"/>
    <n v="0"/>
    <n v="0"/>
    <n v="0"/>
    <n v="0"/>
  </r>
  <r>
    <s v="6SH014"/>
    <s v="Profession och vetenskap"/>
    <m/>
    <s v="LYAGR"/>
    <s v="H14"/>
    <s v="H19"/>
    <s v="H1916-20"/>
    <m/>
    <m/>
    <s v="SAMK"/>
    <m/>
    <n v="100"/>
    <n v="7.5"/>
    <m/>
    <m/>
    <n v="1"/>
    <n v="0.125"/>
    <n v="0.85"/>
    <n v="0.10625"/>
    <x v="16"/>
    <s v="Statsvetenskap                "/>
    <s v="Sam"/>
    <s v="Ämneslärarprogrammet - åk 7-9"/>
    <n v="23641"/>
    <n v="28786"/>
    <n v="6013.6374999999998"/>
    <n v="5800"/>
    <n v="725"/>
    <n v="6738.6374999999998"/>
    <n v="0"/>
    <n v="0"/>
    <n v="0"/>
    <n v="1"/>
    <n v="0"/>
    <n v="0"/>
    <n v="0"/>
    <n v="0"/>
    <n v="0"/>
    <n v="0"/>
    <n v="0"/>
    <n v="0"/>
  </r>
  <r>
    <s v="6SH014"/>
    <s v="Profession och vetenskap"/>
    <m/>
    <s v="LYAGR"/>
    <s v="H15"/>
    <s v="H19"/>
    <s v="H1916-20"/>
    <m/>
    <m/>
    <s v="IDRH"/>
    <m/>
    <n v="100"/>
    <n v="7.5"/>
    <m/>
    <m/>
    <n v="1"/>
    <n v="0.125"/>
    <n v="0.85"/>
    <n v="0.10625"/>
    <x v="16"/>
    <s v="Statsvetenskap                "/>
    <s v="Sam"/>
    <s v="Ämneslärarprogrammet - åk 7-9"/>
    <n v="23641"/>
    <n v="28786"/>
    <n v="6013.6374999999998"/>
    <n v="5800"/>
    <n v="725"/>
    <n v="6738.6374999999998"/>
    <n v="0"/>
    <n v="0"/>
    <n v="0"/>
    <n v="1"/>
    <n v="0"/>
    <n v="0"/>
    <n v="0"/>
    <n v="0"/>
    <n v="0"/>
    <n v="0"/>
    <n v="0"/>
    <n v="0"/>
  </r>
  <r>
    <s v="6SH014"/>
    <s v="Profession och vetenskap"/>
    <m/>
    <s v="LYAGY"/>
    <s v="H13"/>
    <s v="V19"/>
    <s v="V1916-20"/>
    <s v="Umeå"/>
    <m/>
    <s v="HIST"/>
    <m/>
    <n v="100"/>
    <n v="7.5"/>
    <m/>
    <m/>
    <n v="1"/>
    <n v="0.125"/>
    <n v="0.85"/>
    <n v="0.10625"/>
    <x v="16"/>
    <s v="Statsvetenskap                "/>
    <s v="Sam"/>
    <s v="Ämneslärarprogrammet - Gy"/>
    <n v="23641"/>
    <n v="28786"/>
    <n v="6013.6374999999998"/>
    <n v="5800"/>
    <n v="725"/>
    <n v="6738.6374999999998"/>
    <n v="0"/>
    <n v="0"/>
    <n v="0"/>
    <n v="1"/>
    <n v="0"/>
    <n v="0"/>
    <n v="0"/>
    <n v="0"/>
    <n v="0"/>
    <n v="0"/>
    <n v="0"/>
    <n v="0"/>
  </r>
  <r>
    <s v="6SH014"/>
    <s v="Profession och vetenskap"/>
    <m/>
    <s v="LYAGY"/>
    <s v="H13"/>
    <s v="V19"/>
    <s v="V1916-20"/>
    <s v="Umeå"/>
    <m/>
    <s v="IDRH"/>
    <m/>
    <n v="100"/>
    <n v="7.5"/>
    <m/>
    <m/>
    <n v="1"/>
    <n v="0.125"/>
    <n v="0.85"/>
    <n v="0.10625"/>
    <x v="16"/>
    <s v="Statsvetenskap                "/>
    <s v="Sam"/>
    <s v="Ämneslärarprogrammet - Gy"/>
    <n v="23641"/>
    <n v="28786"/>
    <n v="6013.6374999999998"/>
    <n v="5800"/>
    <n v="725"/>
    <n v="6738.6374999999998"/>
    <n v="0"/>
    <n v="0"/>
    <n v="0"/>
    <n v="1"/>
    <n v="0"/>
    <n v="0"/>
    <n v="0"/>
    <n v="0"/>
    <n v="0"/>
    <n v="0"/>
    <n v="0"/>
    <n v="0"/>
  </r>
  <r>
    <s v="6SH014"/>
    <s v="Profession och vetenskap"/>
    <m/>
    <s v="LYAGY"/>
    <s v="H14"/>
    <s v="V19"/>
    <s v="V1916-20"/>
    <s v="Umeå"/>
    <m/>
    <s v="ENGS"/>
    <m/>
    <n v="100"/>
    <n v="7.5"/>
    <m/>
    <m/>
    <n v="1"/>
    <n v="0.125"/>
    <n v="0.85"/>
    <n v="0.10625"/>
    <x v="16"/>
    <s v="Statsvetenskap                "/>
    <s v="Sam"/>
    <s v="Ämneslärarprogrammet - Gy"/>
    <n v="23641"/>
    <n v="28786"/>
    <n v="6013.6374999999998"/>
    <n v="5800"/>
    <n v="725"/>
    <n v="6738.6374999999998"/>
    <n v="0"/>
    <n v="0"/>
    <n v="0"/>
    <n v="1"/>
    <n v="0"/>
    <n v="0"/>
    <n v="0"/>
    <n v="0"/>
    <n v="0"/>
    <n v="0"/>
    <n v="0"/>
    <n v="0"/>
  </r>
  <r>
    <s v="6SH014"/>
    <s v="Profession och vetenskap"/>
    <m/>
    <s v="LYAGY"/>
    <s v="H14"/>
    <s v="V19"/>
    <s v="V1916-20"/>
    <s v="Umeå"/>
    <m/>
    <s v="ENGS"/>
    <m/>
    <n v="100"/>
    <n v="7.5"/>
    <m/>
    <m/>
    <n v="14"/>
    <n v="1.75"/>
    <n v="0.85"/>
    <n v="1.4875"/>
    <x v="16"/>
    <s v="Statsvetenskap                "/>
    <s v="Sam"/>
    <s v="Ämneslärarprogrammet - Gy"/>
    <n v="23641"/>
    <n v="28786"/>
    <n v="84190.925000000003"/>
    <n v="5800"/>
    <n v="10150"/>
    <n v="94340.925000000003"/>
    <n v="0"/>
    <n v="0"/>
    <n v="0"/>
    <n v="1"/>
    <n v="0"/>
    <n v="0"/>
    <n v="0"/>
    <n v="0"/>
    <n v="0"/>
    <n v="0"/>
    <n v="0"/>
    <n v="0"/>
  </r>
  <r>
    <s v="6SH014"/>
    <s v="Profession och vetenskap"/>
    <m/>
    <s v="LYAGY"/>
    <s v="H14"/>
    <s v="V19"/>
    <s v="V1916-20"/>
    <s v="Umeå"/>
    <m/>
    <s v="HIST"/>
    <m/>
    <n v="100"/>
    <n v="7.5"/>
    <m/>
    <m/>
    <n v="7"/>
    <n v="0.875"/>
    <n v="0.85"/>
    <n v="0.74375000000000002"/>
    <x v="16"/>
    <s v="Statsvetenskap                "/>
    <s v="Sam"/>
    <s v="Ämneslärarprogrammet - Gy"/>
    <n v="23641"/>
    <n v="28786"/>
    <n v="42095.462500000001"/>
    <n v="5800"/>
    <n v="5075"/>
    <n v="47170.462500000001"/>
    <n v="0"/>
    <n v="0"/>
    <n v="0"/>
    <n v="1"/>
    <n v="0"/>
    <n v="0"/>
    <n v="0"/>
    <n v="0"/>
    <n v="0"/>
    <n v="0"/>
    <n v="0"/>
    <n v="0"/>
  </r>
  <r>
    <s v="6SH014"/>
    <s v="Profession och vetenskap"/>
    <m/>
    <s v="LYAGY"/>
    <s v="H14"/>
    <s v="V19"/>
    <s v="V1916-20"/>
    <s v="Umeå"/>
    <m/>
    <s v="IDRH"/>
    <m/>
    <n v="100"/>
    <n v="7.5"/>
    <m/>
    <m/>
    <n v="12"/>
    <n v="1.5"/>
    <n v="0.85"/>
    <n v="1.2749999999999999"/>
    <x v="16"/>
    <s v="Statsvetenskap                "/>
    <s v="Sam"/>
    <s v="Ämneslärarprogrammet - Gy"/>
    <n v="23641"/>
    <n v="28786"/>
    <n v="72163.649999999994"/>
    <n v="5800"/>
    <n v="8700"/>
    <n v="80863.649999999994"/>
    <n v="0"/>
    <n v="0"/>
    <n v="0"/>
    <n v="1"/>
    <n v="0"/>
    <n v="0"/>
    <n v="0"/>
    <n v="0"/>
    <n v="0"/>
    <n v="0"/>
    <n v="0"/>
    <n v="0"/>
  </r>
  <r>
    <s v="6SH014"/>
    <s v="Profession och vetenskap"/>
    <m/>
    <s v="LYAGY"/>
    <s v="H14"/>
    <s v="V19"/>
    <s v="V1916-20"/>
    <s v="Umeå"/>
    <m/>
    <s v="MATT"/>
    <m/>
    <n v="100"/>
    <n v="7.5"/>
    <m/>
    <m/>
    <n v="3"/>
    <n v="0.375"/>
    <n v="0.85"/>
    <n v="0.31874999999999998"/>
    <x v="16"/>
    <s v="Statsvetenskap                "/>
    <s v="Sam"/>
    <s v="Ämneslärarprogrammet - Gy"/>
    <n v="23641"/>
    <n v="28786"/>
    <n v="18040.912499999999"/>
    <n v="5800"/>
    <n v="2175"/>
    <n v="20215.912499999999"/>
    <n v="0"/>
    <n v="0"/>
    <n v="0"/>
    <n v="1"/>
    <n v="0"/>
    <n v="0"/>
    <n v="0"/>
    <n v="0"/>
    <n v="0"/>
    <n v="0"/>
    <n v="0"/>
    <n v="0"/>
  </r>
  <r>
    <s v="6SH014"/>
    <s v="Profession och vetenskap"/>
    <m/>
    <s v="LYAGY"/>
    <s v="H14"/>
    <s v="V19"/>
    <s v="V1916-20"/>
    <s v="Umeå"/>
    <m/>
    <s v="MUSI"/>
    <m/>
    <n v="100"/>
    <n v="7.5"/>
    <m/>
    <m/>
    <n v="1"/>
    <n v="0.125"/>
    <n v="0.85"/>
    <n v="0.10625"/>
    <x v="16"/>
    <s v="Statsvetenskap                "/>
    <s v="Sam"/>
    <s v="Ämneslärarprogrammet - Gy"/>
    <n v="23641"/>
    <n v="28786"/>
    <n v="6013.6374999999998"/>
    <n v="5800"/>
    <n v="725"/>
    <n v="6738.6374999999998"/>
    <n v="0"/>
    <n v="0"/>
    <n v="0"/>
    <n v="1"/>
    <n v="0"/>
    <n v="0"/>
    <n v="0"/>
    <n v="0"/>
    <n v="0"/>
    <n v="0"/>
    <n v="0"/>
    <n v="0"/>
  </r>
  <r>
    <s v="6SH014"/>
    <s v="Profession och vetenskap"/>
    <m/>
    <s v="LYAGY"/>
    <s v="H14"/>
    <s v="V19"/>
    <s v="V1916-20"/>
    <s v="Umeå"/>
    <m/>
    <s v="RELK"/>
    <m/>
    <n v="100"/>
    <n v="7.5"/>
    <m/>
    <m/>
    <n v="4"/>
    <n v="0.5"/>
    <n v="0.85"/>
    <n v="0.42499999999999999"/>
    <x v="16"/>
    <s v="Statsvetenskap                "/>
    <s v="Sam"/>
    <s v="Ämneslärarprogrammet - Gy"/>
    <n v="23641"/>
    <n v="28786"/>
    <n v="24054.55"/>
    <n v="5800"/>
    <n v="2900"/>
    <n v="26954.55"/>
    <n v="0"/>
    <n v="0"/>
    <n v="0"/>
    <n v="1"/>
    <n v="0"/>
    <n v="0"/>
    <n v="0"/>
    <n v="0"/>
    <n v="0"/>
    <n v="0"/>
    <n v="0"/>
    <n v="0"/>
  </r>
  <r>
    <s v="6SH014"/>
    <s v="Profession och vetenskap"/>
    <m/>
    <s v="LYAGY"/>
    <s v="H14"/>
    <s v="V19"/>
    <s v="V1916-20"/>
    <s v="Umeå"/>
    <m/>
    <s v="SAMK"/>
    <m/>
    <n v="100"/>
    <n v="7.5"/>
    <m/>
    <m/>
    <n v="7"/>
    <n v="0.875"/>
    <n v="0.85"/>
    <n v="0.74375000000000002"/>
    <x v="16"/>
    <s v="Statsvetenskap                "/>
    <s v="Sam"/>
    <s v="Ämneslärarprogrammet - Gy"/>
    <n v="23641"/>
    <n v="28786"/>
    <n v="42095.462500000001"/>
    <n v="5800"/>
    <n v="5075"/>
    <n v="47170.462500000001"/>
    <n v="0"/>
    <n v="0"/>
    <n v="0"/>
    <n v="1"/>
    <n v="0"/>
    <n v="0"/>
    <n v="0"/>
    <n v="0"/>
    <n v="0"/>
    <n v="0"/>
    <n v="0"/>
    <n v="0"/>
  </r>
  <r>
    <s v="6SH014"/>
    <s v="Profession och vetenskap"/>
    <m/>
    <s v="LYAGY"/>
    <s v="H14"/>
    <s v="V19"/>
    <s v="V1916-20"/>
    <s v="Umeå"/>
    <m/>
    <s v="SVAA"/>
    <m/>
    <n v="100"/>
    <n v="7.5"/>
    <m/>
    <m/>
    <n v="7"/>
    <n v="0.875"/>
    <n v="0.85"/>
    <n v="0.74375000000000002"/>
    <x v="16"/>
    <s v="Statsvetenskap                "/>
    <s v="Sam"/>
    <s v="Ämneslärarprogrammet - Gy"/>
    <n v="23641"/>
    <n v="28786"/>
    <n v="42095.462500000001"/>
    <n v="5800"/>
    <n v="5075"/>
    <n v="47170.462500000001"/>
    <n v="0"/>
    <n v="0"/>
    <n v="0"/>
    <n v="1"/>
    <n v="0"/>
    <n v="0"/>
    <n v="0"/>
    <n v="0"/>
    <n v="0"/>
    <n v="0"/>
    <n v="0"/>
    <n v="0"/>
  </r>
  <r>
    <s v="6SH014"/>
    <s v="Profession och vetenskap"/>
    <m/>
    <s v="LYAGY"/>
    <s v="H15"/>
    <s v="V19"/>
    <s v="V1916-20"/>
    <s v="Umeå"/>
    <m/>
    <s v="IDRH"/>
    <m/>
    <n v="100"/>
    <n v="7.5"/>
    <m/>
    <m/>
    <n v="1"/>
    <n v="0.125"/>
    <n v="0.85"/>
    <n v="0.10625"/>
    <x v="16"/>
    <s v="Statsvetenskap                "/>
    <s v="Sam"/>
    <s v="Ämneslärarprogrammet - Gy"/>
    <n v="23641"/>
    <n v="28786"/>
    <n v="6013.6374999999998"/>
    <n v="5800"/>
    <n v="725"/>
    <n v="6738.6374999999998"/>
    <n v="0"/>
    <n v="0"/>
    <n v="0"/>
    <n v="1"/>
    <n v="0"/>
    <n v="0"/>
    <n v="0"/>
    <n v="0"/>
    <n v="0"/>
    <n v="0"/>
    <n v="0"/>
    <n v="0"/>
  </r>
  <r>
    <s v="6SL021"/>
    <s v="Slöjd, Trä- och metall 2a, distans"/>
    <m/>
    <s v="FRIST"/>
    <m/>
    <s v="H19"/>
    <m/>
    <m/>
    <s v="Distans"/>
    <m/>
    <m/>
    <n v="50"/>
    <n v="15"/>
    <m/>
    <m/>
    <n v="22"/>
    <n v="5.5"/>
    <n v="0.8"/>
    <n v="4.4000000000000004"/>
    <x v="11"/>
    <s v="Estetiska ämnen               "/>
    <s v="Hum"/>
    <s v="Fristående och övriga kurser"/>
    <n v="19473"/>
    <n v="34806"/>
    <n v="260247.90000000002"/>
    <n v="21800"/>
    <n v="119900"/>
    <n v="380147.9"/>
    <n v="0"/>
    <n v="0"/>
    <n v="0"/>
    <n v="0"/>
    <n v="0"/>
    <n v="0"/>
    <n v="0"/>
    <n v="1"/>
    <n v="0"/>
    <n v="0"/>
    <n v="0"/>
    <n v="0"/>
  </r>
  <r>
    <s v="6SL022"/>
    <s v="Slöjd, Trä- och metall 2b, distans"/>
    <m/>
    <s v="FRIST"/>
    <m/>
    <s v="V19"/>
    <m/>
    <m/>
    <s v="Distans"/>
    <m/>
    <m/>
    <n v="50"/>
    <n v="15"/>
    <m/>
    <m/>
    <n v="11"/>
    <n v="2.75"/>
    <n v="0.8"/>
    <n v="2.2000000000000002"/>
    <x v="11"/>
    <s v="Estetiska ämnen               "/>
    <s v="Hum"/>
    <s v="Fristående och övriga kurser"/>
    <n v="19473"/>
    <n v="34806"/>
    <n v="130123.95000000001"/>
    <n v="21800"/>
    <n v="59950"/>
    <n v="190073.95"/>
    <n v="0"/>
    <n v="0"/>
    <n v="0"/>
    <n v="0"/>
    <n v="0"/>
    <n v="0"/>
    <n v="0"/>
    <n v="1"/>
    <n v="0"/>
    <n v="0"/>
    <n v="0"/>
    <n v="0"/>
  </r>
  <r>
    <s v="6SL030"/>
    <s v="Slöjd trä och metall 1 30 hp, fristående"/>
    <m/>
    <s v="FRIST"/>
    <m/>
    <s v="V19"/>
    <m/>
    <m/>
    <s v="Campus"/>
    <m/>
    <m/>
    <n v="100"/>
    <n v="30"/>
    <m/>
    <m/>
    <n v="0"/>
    <n v="0"/>
    <n v="0.8"/>
    <n v="0"/>
    <x v="11"/>
    <s v="Estetiska ämnen               "/>
    <s v="Hum"/>
    <s v="Fristående och övriga kurser"/>
    <n v="19473"/>
    <n v="34806"/>
    <n v="0"/>
    <n v="21800"/>
    <n v="0"/>
    <n v="0"/>
    <n v="0"/>
    <n v="0"/>
    <n v="0"/>
    <n v="0"/>
    <n v="0"/>
    <n v="0"/>
    <n v="0"/>
    <n v="1"/>
    <n v="0"/>
    <n v="0"/>
    <n v="0"/>
    <n v="0"/>
  </r>
  <r>
    <s v="6SL035"/>
    <s v="Slöjd 1, trä- och metall"/>
    <m/>
    <s v="FRIST"/>
    <m/>
    <s v="V19"/>
    <m/>
    <m/>
    <s v="Distans"/>
    <m/>
    <m/>
    <n v="50"/>
    <n v="15"/>
    <m/>
    <m/>
    <n v="25"/>
    <n v="6.25"/>
    <n v="0.8"/>
    <n v="5"/>
    <x v="11"/>
    <s v="Estetiska ämnen               "/>
    <s v="Hum"/>
    <s v="Fristående och övriga kurser"/>
    <n v="19473"/>
    <n v="34806"/>
    <n v="295736.25"/>
    <n v="21800"/>
    <n v="136250"/>
    <n v="431986.25"/>
    <n v="0"/>
    <n v="0"/>
    <n v="0"/>
    <n v="0"/>
    <n v="0"/>
    <n v="0"/>
    <n v="0"/>
    <n v="1"/>
    <n v="0"/>
    <n v="0"/>
    <n v="0"/>
    <n v="0"/>
  </r>
  <r>
    <s v="6SL035"/>
    <s v="Slöjd 1, trä- och metall"/>
    <m/>
    <s v="FRIST"/>
    <m/>
    <s v="H19"/>
    <m/>
    <m/>
    <s v="Distans"/>
    <m/>
    <m/>
    <n v="50"/>
    <n v="15"/>
    <m/>
    <m/>
    <n v="36"/>
    <n v="9"/>
    <n v="0.8"/>
    <n v="7.2"/>
    <x v="11"/>
    <s v="Estetiska ämnen               "/>
    <s v="Hum"/>
    <s v="Fristående och övriga kurser"/>
    <n v="19473"/>
    <n v="34806"/>
    <n v="425860.2"/>
    <n v="21800"/>
    <n v="196200"/>
    <n v="622060.19999999995"/>
    <n v="0"/>
    <n v="0"/>
    <n v="0"/>
    <n v="0"/>
    <n v="0"/>
    <n v="0"/>
    <n v="0"/>
    <n v="1"/>
    <n v="0"/>
    <n v="0"/>
    <n v="0"/>
    <n v="0"/>
  </r>
  <r>
    <s v="6SL036"/>
    <s v="Form, färg, estetik och uttryck - Utveckla ditt formspråk i trä"/>
    <m/>
    <s v="FRIST"/>
    <m/>
    <s v="H19"/>
    <m/>
    <m/>
    <s v="Distans"/>
    <m/>
    <m/>
    <n v="50"/>
    <n v="15"/>
    <m/>
    <m/>
    <n v="8"/>
    <n v="2"/>
    <n v="0.8"/>
    <n v="1.6"/>
    <x v="11"/>
    <s v="Estetiska ämnen               "/>
    <s v="Hum"/>
    <s v="Fristående och övriga kurser"/>
    <n v="19473"/>
    <n v="34806"/>
    <n v="94635.6"/>
    <n v="21800"/>
    <n v="43600"/>
    <n v="138235.6"/>
    <n v="0"/>
    <n v="0"/>
    <n v="0"/>
    <n v="0"/>
    <n v="0"/>
    <n v="0"/>
    <n v="0"/>
    <n v="1"/>
    <n v="0"/>
    <n v="0"/>
    <n v="0"/>
    <n v="0"/>
  </r>
  <r>
    <s v="6SL037"/>
    <s v="Slöjd trä och metall 2, fristående"/>
    <m/>
    <s v="FRIST"/>
    <m/>
    <s v="H19"/>
    <m/>
    <m/>
    <s v="Campus"/>
    <m/>
    <m/>
    <n v="100"/>
    <n v="30"/>
    <m/>
    <m/>
    <n v="3"/>
    <n v="1.5"/>
    <n v="0.8"/>
    <n v="1.2000000000000002"/>
    <x v="11"/>
    <s v="Estetiska ämnen               "/>
    <s v="Hum"/>
    <s v="Fristående och övriga kurser"/>
    <n v="19473"/>
    <n v="34806"/>
    <n v="70976.700000000012"/>
    <n v="21800"/>
    <n v="32700"/>
    <n v="103676.70000000001"/>
    <n v="0"/>
    <n v="0"/>
    <n v="0"/>
    <n v="0"/>
    <n v="0"/>
    <n v="0"/>
    <n v="0"/>
    <n v="1"/>
    <n v="0"/>
    <n v="0"/>
    <n v="0"/>
    <n v="0"/>
  </r>
  <r>
    <s v="6SL038"/>
    <s v="Skapandets intryck - utveckla och tala om hantverkets tysta kunskap"/>
    <m/>
    <s v="FRIST"/>
    <m/>
    <s v="V19"/>
    <m/>
    <m/>
    <s v="Distans"/>
    <m/>
    <m/>
    <n v="50"/>
    <n v="15"/>
    <m/>
    <m/>
    <n v="7"/>
    <n v="1.75"/>
    <n v="0.8"/>
    <n v="1.4000000000000001"/>
    <x v="11"/>
    <s v="Estetiska ämnen               "/>
    <s v="Hum"/>
    <s v="Fristående och övriga kurser"/>
    <n v="19473"/>
    <n v="34806"/>
    <n v="82806.149999999994"/>
    <n v="21800"/>
    <n v="38150"/>
    <n v="120956.15"/>
    <n v="0"/>
    <n v="0"/>
    <n v="0"/>
    <n v="0"/>
    <n v="0"/>
    <n v="0"/>
    <n v="0"/>
    <n v="1"/>
    <n v="0"/>
    <n v="0"/>
    <n v="0"/>
    <n v="0"/>
  </r>
  <r>
    <s v="6SM007"/>
    <s v="&quot;Fatta Sapmi&quot; (prel. namn)"/>
    <m/>
    <s v="FRIST"/>
    <m/>
    <s v="H19"/>
    <m/>
    <m/>
    <s v="Distans"/>
    <m/>
    <m/>
    <n v="25"/>
    <n v="7.5"/>
    <m/>
    <m/>
    <n v="10"/>
    <n v="1.25"/>
    <n v="0.8"/>
    <n v="1"/>
    <x v="10"/>
    <s v="Inst för språkstudier"/>
    <s v="Hum"/>
    <s v="Fristående och övriga kurser"/>
    <n v="15846"/>
    <n v="26926"/>
    <n v="46733.5"/>
    <n v="17300"/>
    <n v="21625"/>
    <n v="68358.5"/>
    <n v="0"/>
    <n v="0"/>
    <n v="0"/>
    <n v="0"/>
    <n v="0"/>
    <n v="0"/>
    <n v="0"/>
    <n v="0"/>
    <n v="0"/>
    <n v="0"/>
    <n v="1"/>
    <n v="0"/>
  </r>
  <r>
    <s v="6SOMKostv1"/>
    <s v="Ämnesmetodik inom mat, måltider och hälsa"/>
    <m/>
    <s v="FRIST"/>
    <m/>
    <s v="Sommar"/>
    <s v="Sommarkurs"/>
    <m/>
    <s v="Distans"/>
    <m/>
    <m/>
    <n v="50"/>
    <n v="5"/>
    <m/>
    <m/>
    <n v="0"/>
    <n v="0"/>
    <n v="0.8"/>
    <n v="0"/>
    <x v="14"/>
    <s v="Kostvetenskap                 "/>
    <s v="Sam"/>
    <s v="Fristående och övriga kurser"/>
    <n v="19473"/>
    <n v="34806"/>
    <n v="0"/>
    <n v="21800"/>
    <n v="0"/>
    <n v="0"/>
    <n v="0"/>
    <n v="0"/>
    <n v="0"/>
    <n v="0"/>
    <n v="0"/>
    <n v="1"/>
    <n v="0"/>
    <n v="0"/>
    <n v="0"/>
    <n v="0"/>
    <n v="0"/>
    <n v="0"/>
  </r>
  <r>
    <s v="6SP050"/>
    <s v="Introduktion till det specialpedagogiska fältet"/>
    <m/>
    <s v="LYSPE"/>
    <s v="H19"/>
    <s v="H19"/>
    <s v="H191-5"/>
    <m/>
    <m/>
    <m/>
    <m/>
    <n v="100"/>
    <n v="7.5"/>
    <m/>
    <m/>
    <n v="34"/>
    <n v="4.25"/>
    <n v="0.85"/>
    <n v="3.6124999999999998"/>
    <x v="0"/>
    <s v="Pedagogik                     "/>
    <s v="Sam"/>
    <s v="Specialpedagogprogrammet"/>
    <n v="18405"/>
    <n v="15773"/>
    <n v="135201.21249999999"/>
    <n v="5800"/>
    <n v="24650"/>
    <n v="159851.21249999999"/>
    <n v="0"/>
    <n v="0"/>
    <n v="0"/>
    <n v="0"/>
    <n v="0"/>
    <n v="0"/>
    <n v="1"/>
    <n v="0"/>
    <n v="0"/>
    <n v="0"/>
    <n v="0"/>
    <n v="0"/>
  </r>
  <r>
    <s v="6SP050"/>
    <s v="Introduktion till det specialpedagogiska fältet"/>
    <m/>
    <s v="LYSPL"/>
    <s v="H03"/>
    <s v="H19"/>
    <s v="H191-5"/>
    <m/>
    <m/>
    <s v="SVGG"/>
    <m/>
    <n v="100"/>
    <n v="7.5"/>
    <m/>
    <m/>
    <n v="2"/>
    <n v="0.25"/>
    <n v="0.85"/>
    <n v="0.21249999999999999"/>
    <x v="0"/>
    <s v="Pedagogik                     "/>
    <s v="Sam"/>
    <s v="Speciallärarprogrammet"/>
    <n v="18405"/>
    <n v="15773"/>
    <n v="7953.0124999999998"/>
    <n v="5800"/>
    <n v="1450"/>
    <n v="9403.0125000000007"/>
    <n v="0"/>
    <n v="0"/>
    <n v="0"/>
    <n v="0"/>
    <n v="0"/>
    <n v="0"/>
    <n v="1"/>
    <n v="0"/>
    <n v="0"/>
    <n v="0"/>
    <n v="0"/>
    <n v="0"/>
  </r>
  <r>
    <s v="6SP050"/>
    <s v="Introduktion till det specialpedagogiska fältet"/>
    <m/>
    <s v="LYSPL"/>
    <s v="H03"/>
    <s v="H19"/>
    <s v="H191-5"/>
    <m/>
    <m/>
    <s v="UTGG"/>
    <m/>
    <n v="100"/>
    <n v="7.5"/>
    <m/>
    <m/>
    <n v="1"/>
    <n v="0.125"/>
    <n v="0.85"/>
    <n v="0.10625"/>
    <x v="0"/>
    <s v="Pedagogik                     "/>
    <s v="Sam"/>
    <s v="Speciallärarprogrammet"/>
    <n v="18405"/>
    <n v="15773"/>
    <n v="3976.5062499999999"/>
    <n v="5800"/>
    <n v="725"/>
    <n v="4701.5062500000004"/>
    <n v="0"/>
    <n v="0"/>
    <n v="0"/>
    <n v="0"/>
    <n v="0"/>
    <n v="0"/>
    <n v="1"/>
    <n v="0"/>
    <n v="0"/>
    <n v="0"/>
    <n v="0"/>
    <n v="0"/>
  </r>
  <r>
    <s v="6SP050"/>
    <s v="Introduktion till det specialpedagogiska fältet"/>
    <m/>
    <s v="LYSPL"/>
    <s v="H19"/>
    <s v="H19"/>
    <s v="H191-5"/>
    <m/>
    <m/>
    <s v="MAGG"/>
    <m/>
    <n v="100"/>
    <n v="7.5"/>
    <m/>
    <m/>
    <n v="15"/>
    <n v="1.875"/>
    <n v="0.85"/>
    <n v="1.59375"/>
    <x v="0"/>
    <s v="Pedagogik                     "/>
    <s v="Sam"/>
    <s v="Speciallärarprogrammet"/>
    <n v="18405"/>
    <n v="15773"/>
    <n v="59647.59375"/>
    <n v="5800"/>
    <n v="10875"/>
    <n v="70522.59375"/>
    <n v="0"/>
    <n v="0"/>
    <n v="0"/>
    <n v="0"/>
    <n v="0"/>
    <n v="0"/>
    <n v="1"/>
    <n v="0"/>
    <n v="0"/>
    <n v="0"/>
    <n v="0"/>
    <n v="0"/>
  </r>
  <r>
    <s v="6SP050"/>
    <s v="Introduktion till det specialpedagogiska fältet"/>
    <m/>
    <s v="LYSPL"/>
    <s v="H19"/>
    <s v="H19"/>
    <s v="H191-5"/>
    <m/>
    <m/>
    <s v="SVGG"/>
    <m/>
    <n v="100"/>
    <n v="7.5"/>
    <m/>
    <m/>
    <n v="16"/>
    <n v="2"/>
    <n v="0.85"/>
    <n v="1.7"/>
    <x v="0"/>
    <s v="Pedagogik                     "/>
    <s v="Sam"/>
    <s v="Speciallärarprogrammet"/>
    <n v="18405"/>
    <n v="15773"/>
    <n v="63624.1"/>
    <n v="5800"/>
    <n v="11600"/>
    <n v="75224.100000000006"/>
    <n v="0"/>
    <n v="0"/>
    <n v="0"/>
    <n v="0"/>
    <n v="0"/>
    <n v="0"/>
    <n v="1"/>
    <n v="0"/>
    <n v="0"/>
    <n v="0"/>
    <n v="0"/>
    <n v="0"/>
  </r>
  <r>
    <s v="6SP050"/>
    <s v="Introduktion till det specialpedagogiska fältet"/>
    <m/>
    <s v="LYSPL"/>
    <s v="H19"/>
    <s v="H19"/>
    <s v="H191-5"/>
    <m/>
    <m/>
    <s v="UTGG"/>
    <m/>
    <n v="100"/>
    <n v="7.5"/>
    <m/>
    <m/>
    <n v="14"/>
    <n v="1.75"/>
    <n v="0.85"/>
    <n v="1.4875"/>
    <x v="0"/>
    <s v="Pedagogik                     "/>
    <s v="Sam"/>
    <s v="Speciallärarprogrammet"/>
    <n v="18405"/>
    <n v="15773"/>
    <n v="55671.087500000001"/>
    <n v="5800"/>
    <n v="10150"/>
    <n v="65821.087499999994"/>
    <n v="0"/>
    <n v="0"/>
    <n v="0"/>
    <n v="0"/>
    <n v="0"/>
    <n v="0"/>
    <n v="1"/>
    <n v="0"/>
    <n v="0"/>
    <n v="0"/>
    <n v="0"/>
    <n v="0"/>
  </r>
  <r>
    <s v="6SP050"/>
    <s v="Introduktion till det specialpedagogiska fältet"/>
    <m/>
    <s v="LYSPL"/>
    <s v="V07"/>
    <s v="H19"/>
    <s v="H191-5"/>
    <m/>
    <m/>
    <s v="UTGG"/>
    <m/>
    <n v="100"/>
    <n v="7.5"/>
    <m/>
    <m/>
    <n v="1"/>
    <n v="0.125"/>
    <n v="0.85"/>
    <n v="0.10625"/>
    <x v="0"/>
    <s v="Pedagogik                     "/>
    <s v="Sam"/>
    <s v="Speciallärarprogrammet"/>
    <n v="18405"/>
    <n v="15773"/>
    <n v="3976.5062499999999"/>
    <n v="5800"/>
    <n v="725"/>
    <n v="4701.5062500000004"/>
    <n v="0"/>
    <n v="0"/>
    <n v="0"/>
    <n v="0"/>
    <n v="0"/>
    <n v="0"/>
    <n v="1"/>
    <n v="0"/>
    <n v="0"/>
    <n v="0"/>
    <n v="0"/>
    <n v="0"/>
  </r>
  <r>
    <s v="6SP050"/>
    <s v="Introduktion till det specialpedagogiska fältet"/>
    <m/>
    <s v="LYSPL"/>
    <s v="V08"/>
    <s v="H19"/>
    <s v="H191-5"/>
    <m/>
    <m/>
    <s v="SVGG"/>
    <m/>
    <n v="100"/>
    <n v="7.5"/>
    <m/>
    <m/>
    <n v="2"/>
    <n v="0.25"/>
    <n v="0.85"/>
    <n v="0.21249999999999999"/>
    <x v="0"/>
    <s v="Pedagogik                     "/>
    <s v="Sam"/>
    <s v="Speciallärarprogrammet"/>
    <n v="18405"/>
    <n v="15773"/>
    <n v="7953.0124999999998"/>
    <n v="5800"/>
    <n v="1450"/>
    <n v="9403.0125000000007"/>
    <n v="0"/>
    <n v="0"/>
    <n v="0"/>
    <n v="0"/>
    <n v="0"/>
    <n v="0"/>
    <n v="1"/>
    <n v="0"/>
    <n v="0"/>
    <n v="0"/>
    <n v="0"/>
    <n v="0"/>
  </r>
  <r>
    <s v="6SP051"/>
    <s v="Neuropsykiatriska svårigheter i olika lärmiljöer"/>
    <m/>
    <s v="FRIST"/>
    <m/>
    <s v="H19"/>
    <m/>
    <m/>
    <s v="Campus"/>
    <m/>
    <m/>
    <n v="100"/>
    <n v="7.5"/>
    <m/>
    <m/>
    <n v="10"/>
    <n v="1.25"/>
    <n v="0.8"/>
    <n v="1"/>
    <x v="0"/>
    <s v="Pedagogik                     "/>
    <s v="Sam"/>
    <s v="Fristående och övriga kurser"/>
    <n v="18405"/>
    <n v="15773"/>
    <n v="38779.25"/>
    <n v="5800"/>
    <n v="7250"/>
    <n v="46029.25"/>
    <n v="0"/>
    <n v="0"/>
    <n v="0"/>
    <n v="0"/>
    <n v="0"/>
    <n v="0"/>
    <n v="1"/>
    <n v="0"/>
    <n v="0"/>
    <n v="0"/>
    <n v="0"/>
    <n v="0"/>
  </r>
  <r>
    <s v="6SP051"/>
    <s v="Neuropsykiatriska svårigheter i olika lärmiljöer"/>
    <m/>
    <s v="LYSPE"/>
    <s v="H19"/>
    <s v="H19"/>
    <s v="H1916-20"/>
    <m/>
    <m/>
    <m/>
    <m/>
    <n v="100"/>
    <n v="7.5"/>
    <n v="-0.1"/>
    <n v="34"/>
    <n v="30.6"/>
    <n v="3.8250000000000002"/>
    <n v="0.85"/>
    <n v="3.2512500000000002"/>
    <x v="0"/>
    <s v="Pedagogik                     "/>
    <s v="Sam"/>
    <s v="Specialpedagogprogrammet"/>
    <n v="18405"/>
    <n v="15773"/>
    <n v="121681.09125"/>
    <n v="5800"/>
    <n v="22185"/>
    <n v="143866.09125"/>
    <n v="0"/>
    <n v="0"/>
    <n v="0"/>
    <n v="0"/>
    <n v="0"/>
    <n v="0"/>
    <n v="1"/>
    <n v="0"/>
    <n v="0"/>
    <n v="0"/>
    <n v="0"/>
    <n v="0"/>
  </r>
  <r>
    <s v="6SP051"/>
    <s v="Neuropsykiatriska svårigheter i olika lärmiljöer"/>
    <m/>
    <s v="LYSPL"/>
    <s v="H03"/>
    <s v="H19"/>
    <s v="H1916-20"/>
    <m/>
    <m/>
    <s v="SVGG"/>
    <m/>
    <n v="100"/>
    <n v="7.5"/>
    <m/>
    <m/>
    <n v="2"/>
    <n v="0.25"/>
    <n v="0.85"/>
    <n v="0.21249999999999999"/>
    <x v="0"/>
    <s v="Pedagogik                     "/>
    <s v="Sam"/>
    <s v="Speciallärarprogrammet"/>
    <n v="18405"/>
    <n v="15773"/>
    <n v="7953.0124999999998"/>
    <n v="5800"/>
    <n v="1450"/>
    <n v="9403.0125000000007"/>
    <n v="0"/>
    <n v="0"/>
    <n v="0"/>
    <n v="0"/>
    <n v="0"/>
    <n v="0"/>
    <n v="1"/>
    <n v="0"/>
    <n v="0"/>
    <n v="0"/>
    <n v="0"/>
    <n v="0"/>
  </r>
  <r>
    <s v="6SP051"/>
    <s v="Neuropsykiatriska svårigheter i olika lärmiljöer"/>
    <m/>
    <s v="LYSPL"/>
    <s v="H03"/>
    <s v="H19"/>
    <s v="H1916-20"/>
    <m/>
    <m/>
    <s v="UTGG"/>
    <m/>
    <n v="100"/>
    <n v="7.5"/>
    <m/>
    <m/>
    <n v="1"/>
    <n v="0.125"/>
    <n v="0.85"/>
    <n v="0.10625"/>
    <x v="0"/>
    <s v="Pedagogik                     "/>
    <s v="Sam"/>
    <s v="Speciallärarprogrammet"/>
    <n v="18405"/>
    <n v="15773"/>
    <n v="3976.5062499999999"/>
    <n v="5800"/>
    <n v="725"/>
    <n v="4701.5062500000004"/>
    <n v="0"/>
    <n v="0"/>
    <n v="0"/>
    <n v="0"/>
    <n v="0"/>
    <n v="0"/>
    <n v="1"/>
    <n v="0"/>
    <n v="0"/>
    <n v="0"/>
    <n v="0"/>
    <n v="0"/>
  </r>
  <r>
    <s v="6SP051"/>
    <s v="Neuropsykiatriska svårigheter i olika lärmiljöer"/>
    <m/>
    <s v="LYSPL"/>
    <s v="H18"/>
    <s v="H19"/>
    <s v="H1916-20"/>
    <m/>
    <m/>
    <s v="UTGG"/>
    <m/>
    <n v="100"/>
    <n v="7.5"/>
    <m/>
    <m/>
    <n v="1"/>
    <n v="0.125"/>
    <n v="0.85"/>
    <n v="0.10625"/>
    <x v="0"/>
    <s v="Pedagogik                     "/>
    <s v="Sam"/>
    <s v="Speciallärarprogrammet"/>
    <n v="18405"/>
    <n v="15773"/>
    <n v="3976.5062499999999"/>
    <n v="5800"/>
    <n v="725"/>
    <n v="4701.5062500000004"/>
    <n v="0"/>
    <n v="0"/>
    <n v="0"/>
    <n v="0"/>
    <n v="0"/>
    <n v="0"/>
    <n v="1"/>
    <n v="0"/>
    <n v="0"/>
    <n v="0"/>
    <n v="0"/>
    <n v="0"/>
  </r>
  <r>
    <s v="6SP051"/>
    <s v="Neuropsykiatriska svårigheter i olika lärmiljöer"/>
    <m/>
    <s v="LYSPL"/>
    <s v="H19"/>
    <s v="H19"/>
    <s v="H1916-20"/>
    <m/>
    <m/>
    <s v="MAGG"/>
    <m/>
    <n v="100"/>
    <n v="7.5"/>
    <m/>
    <m/>
    <n v="15"/>
    <n v="1.875"/>
    <n v="0.85"/>
    <n v="1.59375"/>
    <x v="0"/>
    <s v="Pedagogik                     "/>
    <s v="Sam"/>
    <s v="Speciallärarprogrammet"/>
    <n v="18405"/>
    <n v="15773"/>
    <n v="59647.59375"/>
    <n v="5800"/>
    <n v="10875"/>
    <n v="70522.59375"/>
    <n v="0"/>
    <n v="0"/>
    <n v="0"/>
    <n v="0"/>
    <n v="0"/>
    <n v="0"/>
    <n v="1"/>
    <n v="0"/>
    <n v="0"/>
    <n v="0"/>
    <n v="0"/>
    <n v="0"/>
  </r>
  <r>
    <s v="6SP051"/>
    <s v="Neuropsykiatriska svårigheter i olika lärmiljöer"/>
    <m/>
    <s v="LYSPL"/>
    <s v="H19"/>
    <s v="H19"/>
    <s v="H1916-20"/>
    <m/>
    <m/>
    <s v="SVGG"/>
    <m/>
    <n v="100"/>
    <n v="7.5"/>
    <m/>
    <m/>
    <n v="15"/>
    <n v="1.875"/>
    <n v="0.85"/>
    <n v="1.59375"/>
    <x v="0"/>
    <s v="Pedagogik                     "/>
    <s v="Sam"/>
    <s v="Speciallärarprogrammet"/>
    <n v="18405"/>
    <n v="15773"/>
    <n v="59647.59375"/>
    <n v="5800"/>
    <n v="10875"/>
    <n v="70522.59375"/>
    <n v="0"/>
    <n v="0"/>
    <n v="0"/>
    <n v="0"/>
    <n v="0"/>
    <n v="0"/>
    <n v="1"/>
    <n v="0"/>
    <n v="0"/>
    <n v="0"/>
    <n v="0"/>
    <n v="0"/>
  </r>
  <r>
    <s v="6SP051"/>
    <s v="Neuropsykiatriska svårigheter i olika lärmiljöer"/>
    <m/>
    <s v="LYSPL"/>
    <s v="H19"/>
    <s v="H19"/>
    <s v="H1916-20"/>
    <m/>
    <m/>
    <s v="UTGG"/>
    <m/>
    <n v="100"/>
    <n v="7.5"/>
    <m/>
    <m/>
    <n v="14"/>
    <n v="1.75"/>
    <n v="0.85"/>
    <n v="1.4875"/>
    <x v="0"/>
    <s v="Pedagogik                     "/>
    <s v="Sam"/>
    <s v="Speciallärarprogrammet"/>
    <n v="18405"/>
    <n v="15773"/>
    <n v="55671.087500000001"/>
    <n v="5800"/>
    <n v="10150"/>
    <n v="65821.087499999994"/>
    <n v="0"/>
    <n v="0"/>
    <n v="0"/>
    <n v="0"/>
    <n v="0"/>
    <n v="0"/>
    <n v="1"/>
    <n v="0"/>
    <n v="0"/>
    <n v="0"/>
    <n v="0"/>
    <n v="0"/>
  </r>
  <r>
    <s v="6SP051"/>
    <s v="Neuropsykiatriska svårigheter i olika lärmiljöer"/>
    <m/>
    <s v="LYSPL"/>
    <s v="V07"/>
    <s v="H19"/>
    <s v="H1916-20"/>
    <m/>
    <m/>
    <s v="UTGG"/>
    <m/>
    <n v="100"/>
    <n v="7.5"/>
    <m/>
    <m/>
    <n v="1"/>
    <n v="0.125"/>
    <n v="0.85"/>
    <n v="0.10625"/>
    <x v="0"/>
    <s v="Pedagogik                     "/>
    <s v="Sam"/>
    <s v="Speciallärarprogrammet"/>
    <n v="18405"/>
    <n v="15773"/>
    <n v="3976.5062499999999"/>
    <n v="5800"/>
    <n v="725"/>
    <n v="4701.5062500000004"/>
    <n v="0"/>
    <n v="0"/>
    <n v="0"/>
    <n v="0"/>
    <n v="0"/>
    <n v="0"/>
    <n v="1"/>
    <n v="0"/>
    <n v="0"/>
    <n v="0"/>
    <n v="0"/>
    <n v="0"/>
  </r>
  <r>
    <s v="6SP051"/>
    <s v="Neuropsykiatriska svårigheter i olika lärmiljöer"/>
    <m/>
    <s v="LYSPL"/>
    <s v="V08"/>
    <s v="H19"/>
    <s v="H1916-20"/>
    <m/>
    <m/>
    <s v="SVGG"/>
    <m/>
    <n v="100"/>
    <n v="7.5"/>
    <m/>
    <m/>
    <n v="2"/>
    <n v="0.25"/>
    <n v="0.85"/>
    <n v="0.21249999999999999"/>
    <x v="0"/>
    <s v="Pedagogik                     "/>
    <s v="Sam"/>
    <s v="Speciallärarprogrammet"/>
    <n v="18405"/>
    <n v="15773"/>
    <n v="7953.0124999999998"/>
    <n v="5800"/>
    <n v="1450"/>
    <n v="9403.0125000000007"/>
    <n v="0"/>
    <n v="0"/>
    <n v="0"/>
    <n v="0"/>
    <n v="0"/>
    <n v="0"/>
    <n v="1"/>
    <n v="0"/>
    <n v="0"/>
    <n v="0"/>
    <n v="0"/>
    <n v="0"/>
  </r>
  <r>
    <s v="6SP052"/>
    <s v="Speciallärarens och specialpedagogens yrkesfunktion"/>
    <m/>
    <s v="LYSPE"/>
    <s v="H19"/>
    <s v="H19"/>
    <s v="H196-15"/>
    <m/>
    <m/>
    <m/>
    <m/>
    <n v="100"/>
    <n v="15"/>
    <n v="-0.05"/>
    <n v="34"/>
    <n v="32.299999999999997"/>
    <n v="8.0749999999999993"/>
    <n v="0.85"/>
    <n v="6.8637499999999996"/>
    <x v="1"/>
    <s v="TUV "/>
    <s v="Sam"/>
    <s v="Specialpedagogprogrammet"/>
    <n v="34144.199999999997"/>
    <n v="33557.800000000003"/>
    <n v="506046.76474999997"/>
    <n v="5800"/>
    <n v="46834.999999999993"/>
    <n v="552881.76474999997"/>
    <n v="0"/>
    <n v="0"/>
    <n v="0"/>
    <n v="0"/>
    <n v="0"/>
    <n v="0"/>
    <n v="0.2"/>
    <n v="0"/>
    <n v="0"/>
    <n v="0"/>
    <n v="0"/>
    <n v="0.8"/>
  </r>
  <r>
    <s v="6SP052"/>
    <s v="Speciallärarens och specialpedagogens yrkesfunktion"/>
    <m/>
    <s v="LYSPL"/>
    <s v="H03"/>
    <s v="H19"/>
    <s v="H196-15"/>
    <m/>
    <m/>
    <s v="SVGG"/>
    <m/>
    <n v="100"/>
    <n v="15"/>
    <m/>
    <m/>
    <n v="2"/>
    <n v="0.5"/>
    <n v="0.85"/>
    <n v="0.42499999999999999"/>
    <x v="1"/>
    <s v="TUV "/>
    <s v="Sam"/>
    <s v="Speciallärarprogrammet"/>
    <n v="34144.199999999997"/>
    <n v="33557.800000000003"/>
    <n v="31334.165000000001"/>
    <n v="5800"/>
    <n v="2900"/>
    <n v="34234.165000000001"/>
    <n v="0"/>
    <n v="0"/>
    <n v="0"/>
    <n v="0"/>
    <n v="0"/>
    <n v="0"/>
    <n v="0.2"/>
    <n v="0"/>
    <n v="0"/>
    <n v="0"/>
    <n v="0"/>
    <n v="0.8"/>
  </r>
  <r>
    <s v="6SP052"/>
    <s v="Speciallärarens och specialpedagogens yrkesfunktion"/>
    <m/>
    <s v="LYSPL"/>
    <s v="H03"/>
    <s v="H19"/>
    <s v="H196-15"/>
    <m/>
    <m/>
    <s v="UTGG"/>
    <m/>
    <n v="100"/>
    <n v="15"/>
    <m/>
    <m/>
    <n v="1"/>
    <n v="0.25"/>
    <n v="0.85"/>
    <n v="0.21249999999999999"/>
    <x v="1"/>
    <s v="TUV "/>
    <s v="Sam"/>
    <s v="Speciallärarprogrammet"/>
    <n v="34144.199999999997"/>
    <n v="33557.800000000003"/>
    <n v="15667.0825"/>
    <n v="5800"/>
    <n v="1450"/>
    <n v="17117.0825"/>
    <n v="0"/>
    <n v="0"/>
    <n v="0"/>
    <n v="0"/>
    <n v="0"/>
    <n v="0"/>
    <n v="0.2"/>
    <n v="0"/>
    <n v="0"/>
    <n v="0"/>
    <n v="0"/>
    <n v="0.8"/>
  </r>
  <r>
    <s v="6SP052"/>
    <s v="Speciallärarens och specialpedagogens yrkesfunktion"/>
    <m/>
    <s v="LYSPL"/>
    <s v="H19"/>
    <s v="H19"/>
    <s v="H196-15"/>
    <m/>
    <m/>
    <s v="MAGG"/>
    <m/>
    <n v="100"/>
    <n v="15"/>
    <m/>
    <m/>
    <n v="15"/>
    <n v="3.75"/>
    <n v="0.85"/>
    <n v="3.1875"/>
    <x v="1"/>
    <s v="TUV "/>
    <s v="Sam"/>
    <s v="Speciallärarprogrammet"/>
    <n v="34144.199999999997"/>
    <n v="33557.800000000003"/>
    <n v="235006.23749999999"/>
    <n v="5800"/>
    <n v="21750"/>
    <n v="256756.23749999999"/>
    <n v="0"/>
    <n v="0"/>
    <n v="0"/>
    <n v="0"/>
    <n v="0"/>
    <n v="0"/>
    <n v="0.2"/>
    <n v="0"/>
    <n v="0"/>
    <n v="0"/>
    <n v="0"/>
    <n v="0.8"/>
  </r>
  <r>
    <s v="6SP052"/>
    <s v="Speciallärarens och specialpedagogens yrkesfunktion"/>
    <m/>
    <s v="LYSPL"/>
    <s v="H19"/>
    <s v="H19"/>
    <s v="H196-15"/>
    <m/>
    <m/>
    <s v="SVGG"/>
    <m/>
    <n v="100"/>
    <n v="15"/>
    <m/>
    <m/>
    <n v="15"/>
    <n v="3.75"/>
    <n v="0.85"/>
    <n v="3.1875"/>
    <x v="1"/>
    <s v="TUV "/>
    <s v="Sam"/>
    <s v="Speciallärarprogrammet"/>
    <n v="34144.199999999997"/>
    <n v="33557.800000000003"/>
    <n v="235006.23749999999"/>
    <n v="5800"/>
    <n v="21750"/>
    <n v="256756.23749999999"/>
    <n v="0"/>
    <n v="0"/>
    <n v="0"/>
    <n v="0"/>
    <n v="0"/>
    <n v="0"/>
    <n v="0.2"/>
    <n v="0"/>
    <n v="0"/>
    <n v="0"/>
    <n v="0"/>
    <n v="0.8"/>
  </r>
  <r>
    <s v="6SP052"/>
    <s v="Speciallärarens och specialpedagogens yrkesfunktion"/>
    <m/>
    <s v="LYSPL"/>
    <s v="H19"/>
    <s v="H19"/>
    <s v="H196-15"/>
    <m/>
    <m/>
    <s v="UTGG"/>
    <m/>
    <n v="100"/>
    <n v="15"/>
    <m/>
    <m/>
    <n v="14"/>
    <n v="3.5"/>
    <n v="0.85"/>
    <n v="2.9750000000000001"/>
    <x v="1"/>
    <s v="TUV "/>
    <s v="Sam"/>
    <s v="Speciallärarprogrammet"/>
    <n v="34144.199999999997"/>
    <n v="33557.800000000003"/>
    <n v="219339.155"/>
    <n v="5800"/>
    <n v="20300"/>
    <n v="239639.155"/>
    <n v="0"/>
    <n v="0"/>
    <n v="0"/>
    <n v="0"/>
    <n v="0"/>
    <n v="0"/>
    <n v="0.2"/>
    <n v="0"/>
    <n v="0"/>
    <n v="0"/>
    <n v="0"/>
    <n v="0.8"/>
  </r>
  <r>
    <s v="6SP052"/>
    <s v="Speciallärarens och specialpedagogens yrkesfunktion"/>
    <m/>
    <s v="LYSPL"/>
    <s v="V07"/>
    <s v="H19"/>
    <s v="H196-15"/>
    <m/>
    <m/>
    <s v="UTGG"/>
    <m/>
    <n v="100"/>
    <n v="15"/>
    <m/>
    <m/>
    <n v="1"/>
    <n v="0.25"/>
    <n v="0.85"/>
    <n v="0.21249999999999999"/>
    <x v="1"/>
    <s v="TUV "/>
    <s v="Sam"/>
    <s v="Speciallärarprogrammet"/>
    <n v="34144.199999999997"/>
    <n v="33557.800000000003"/>
    <n v="15667.0825"/>
    <n v="5800"/>
    <n v="1450"/>
    <n v="17117.0825"/>
    <n v="0"/>
    <n v="0"/>
    <n v="0"/>
    <n v="0"/>
    <n v="0"/>
    <n v="0"/>
    <n v="0.2"/>
    <n v="0"/>
    <n v="0"/>
    <n v="0"/>
    <n v="0"/>
    <n v="0.8"/>
  </r>
  <r>
    <s v="6SP052"/>
    <s v="Speciallärarens och specialpedagogens yrkesfunktion"/>
    <m/>
    <s v="LYSPL"/>
    <s v="V08"/>
    <s v="H19"/>
    <s v="H196-15"/>
    <m/>
    <m/>
    <s v="SVGG"/>
    <m/>
    <n v="100"/>
    <n v="15"/>
    <m/>
    <m/>
    <n v="2"/>
    <n v="0.5"/>
    <n v="0.85"/>
    <n v="0.42499999999999999"/>
    <x v="1"/>
    <s v="TUV "/>
    <s v="Sam"/>
    <s v="Speciallärarprogrammet"/>
    <n v="34144.199999999997"/>
    <n v="33557.800000000003"/>
    <n v="31334.165000000001"/>
    <n v="5800"/>
    <n v="2900"/>
    <n v="34234.165000000001"/>
    <n v="0"/>
    <n v="0"/>
    <n v="0"/>
    <n v="0"/>
    <n v="0"/>
    <n v="0"/>
    <n v="0.2"/>
    <n v="0"/>
    <n v="0"/>
    <n v="0"/>
    <n v="0"/>
    <n v="0.8"/>
  </r>
  <r>
    <s v="6SP053"/>
    <s v="Utvärdering, ledarskap och förändringsarbete"/>
    <m/>
    <s v="FRIST"/>
    <m/>
    <s v="V19"/>
    <m/>
    <m/>
    <s v="Distans"/>
    <m/>
    <m/>
    <n v="100"/>
    <n v="22.5"/>
    <m/>
    <m/>
    <n v="1"/>
    <n v="0.375"/>
    <n v="0.8"/>
    <n v="0.30000000000000004"/>
    <x v="0"/>
    <s v="Pedagogik                     "/>
    <s v="Sam"/>
    <s v="Fristående och övriga kurser"/>
    <n v="18405"/>
    <n v="15773"/>
    <n v="11633.775000000001"/>
    <n v="5800"/>
    <n v="2175"/>
    <n v="13808.775000000001"/>
    <n v="0"/>
    <n v="0"/>
    <n v="0"/>
    <n v="0"/>
    <n v="0"/>
    <n v="0"/>
    <n v="1"/>
    <n v="0"/>
    <n v="0"/>
    <n v="0"/>
    <n v="0"/>
    <n v="0"/>
  </r>
  <r>
    <s v="6SP053"/>
    <s v="Utvärdering, ledarskap och förändringsarbete"/>
    <m/>
    <s v="LYSPE"/>
    <s v="H12"/>
    <s v="V19"/>
    <s v="V196-20"/>
    <s v="Umeå"/>
    <m/>
    <s v="ALLM"/>
    <m/>
    <n v="100"/>
    <n v="22.5"/>
    <m/>
    <m/>
    <n v="1"/>
    <n v="0.375"/>
    <n v="0.85"/>
    <n v="0.31874999999999998"/>
    <x v="0"/>
    <s v="Pedagogik                     "/>
    <s v="Sam"/>
    <s v="Specialpedagogprogrammet"/>
    <n v="18405"/>
    <n v="15773"/>
    <n v="11929.518749999999"/>
    <n v="5800"/>
    <n v="2175"/>
    <n v="14104.518749999999"/>
    <n v="0"/>
    <n v="0"/>
    <n v="0"/>
    <n v="0"/>
    <n v="0"/>
    <n v="0"/>
    <n v="1"/>
    <n v="0"/>
    <n v="0"/>
    <n v="0"/>
    <n v="0"/>
    <n v="0"/>
  </r>
  <r>
    <s v="6SP053"/>
    <s v="Utvärdering, ledarskap och förändringsarbete"/>
    <m/>
    <s v="LYSPE"/>
    <s v="H18"/>
    <s v="V19"/>
    <s v="V196-20"/>
    <s v="Umeå"/>
    <m/>
    <s v="ALLM"/>
    <m/>
    <n v="100"/>
    <n v="22.5"/>
    <m/>
    <m/>
    <n v="38"/>
    <n v="14.25"/>
    <n v="0.85"/>
    <n v="12.112499999999999"/>
    <x v="0"/>
    <s v="Pedagogik                     "/>
    <s v="Sam"/>
    <s v="Specialpedagogprogrammet"/>
    <n v="18405"/>
    <n v="15773"/>
    <n v="453321.71250000002"/>
    <n v="5800"/>
    <n v="82650"/>
    <n v="535971.71250000002"/>
    <n v="0"/>
    <n v="0"/>
    <n v="0"/>
    <n v="0"/>
    <n v="0"/>
    <n v="0"/>
    <n v="1"/>
    <n v="0"/>
    <n v="0"/>
    <n v="0"/>
    <n v="0"/>
    <n v="0"/>
  </r>
  <r>
    <s v="6SP054"/>
    <s v="Att utveckla lärande i skola och vardag - Utvecklingsstörning"/>
    <m/>
    <s v="FRIST"/>
    <m/>
    <s v="V19"/>
    <m/>
    <m/>
    <s v="Distans"/>
    <m/>
    <m/>
    <n v="100"/>
    <n v="15"/>
    <m/>
    <m/>
    <n v="0"/>
    <n v="0"/>
    <n v="0.8"/>
    <n v="0"/>
    <x v="0"/>
    <s v="Pedagogik                     "/>
    <s v="Sam"/>
    <s v="Fristående och övriga kurser"/>
    <n v="18405"/>
    <n v="15773"/>
    <n v="0"/>
    <n v="5800"/>
    <n v="0"/>
    <n v="0"/>
    <n v="0"/>
    <n v="0"/>
    <n v="0"/>
    <n v="0"/>
    <n v="0"/>
    <n v="0"/>
    <n v="1"/>
    <n v="0"/>
    <n v="0"/>
    <n v="0"/>
    <n v="0"/>
    <n v="0"/>
  </r>
  <r>
    <s v="6SP054"/>
    <s v="Att utveckla lärande i skola och vardag - Utvecklingsstörning"/>
    <m/>
    <s v="LYSPL"/>
    <s v="H18"/>
    <s v="V19"/>
    <s v="V191-10"/>
    <s v="Umeå"/>
    <m/>
    <s v="UTGG"/>
    <m/>
    <n v="100"/>
    <n v="15"/>
    <m/>
    <m/>
    <n v="3"/>
    <n v="0.75"/>
    <n v="0.85"/>
    <n v="0.63749999999999996"/>
    <x v="0"/>
    <s v="Pedagogik                     "/>
    <s v="Sam"/>
    <s v="Speciallärarprogrammet"/>
    <n v="18405"/>
    <n v="15773"/>
    <n v="23859.037499999999"/>
    <n v="5800"/>
    <n v="4350"/>
    <n v="28209.037499999999"/>
    <n v="0"/>
    <n v="0"/>
    <n v="0"/>
    <n v="0"/>
    <n v="0"/>
    <n v="0"/>
    <n v="1"/>
    <n v="0"/>
    <n v="0"/>
    <n v="0"/>
    <n v="0"/>
    <n v="0"/>
  </r>
  <r>
    <s v="6SP055"/>
    <s v="Undervisning, kommunikation och kunskapsutveckling - Utvecklingsstörning"/>
    <m/>
    <s v="FRIST"/>
    <m/>
    <s v="V19"/>
    <m/>
    <m/>
    <s v="Distans"/>
    <m/>
    <m/>
    <n v="100"/>
    <n v="15"/>
    <m/>
    <m/>
    <n v="0"/>
    <n v="0"/>
    <n v="0.8"/>
    <n v="0"/>
    <x v="0"/>
    <s v="Pedagogik                     "/>
    <s v="Sam"/>
    <s v="Fristående och övriga kurser"/>
    <n v="18405"/>
    <n v="15773"/>
    <n v="0"/>
    <n v="5800"/>
    <n v="0"/>
    <n v="0"/>
    <n v="0"/>
    <n v="0"/>
    <n v="0"/>
    <n v="0"/>
    <n v="0"/>
    <n v="0"/>
    <n v="1"/>
    <n v="0"/>
    <n v="0"/>
    <n v="0"/>
    <n v="0"/>
    <n v="0"/>
  </r>
  <r>
    <s v="6SP055"/>
    <s v="Undervisning, kommunikation och kunskapsutveckling - Utvecklingsstörning"/>
    <m/>
    <s v="LYSPL"/>
    <s v="H18"/>
    <s v="V19"/>
    <s v="V1911-20"/>
    <s v="Umeå"/>
    <m/>
    <s v="UTGG"/>
    <m/>
    <n v="100"/>
    <n v="15"/>
    <m/>
    <m/>
    <n v="3"/>
    <n v="0.75"/>
    <n v="0.85"/>
    <n v="0.63749999999999996"/>
    <x v="0"/>
    <s v="Pedagogik                     "/>
    <s v="Sam"/>
    <s v="Speciallärarprogrammet"/>
    <n v="18405"/>
    <n v="15773"/>
    <n v="23859.037499999999"/>
    <n v="5800"/>
    <n v="4350"/>
    <n v="28209.037499999999"/>
    <n v="0"/>
    <n v="0"/>
    <n v="0"/>
    <n v="0"/>
    <n v="0"/>
    <n v="0"/>
    <n v="1"/>
    <n v="0"/>
    <n v="0"/>
    <n v="0"/>
    <n v="0"/>
    <n v="0"/>
  </r>
  <r>
    <s v="6SP056"/>
    <s v="Neuropsykiatriska svårigheter - förhållningsätt, bemötande och strategier i pedagogisk verksamhet"/>
    <m/>
    <s v="FRIST"/>
    <m/>
    <s v="V19"/>
    <m/>
    <m/>
    <s v="Distans"/>
    <m/>
    <m/>
    <n v="50"/>
    <n v="15"/>
    <m/>
    <m/>
    <n v="57"/>
    <n v="14.25"/>
    <n v="0.8"/>
    <n v="11.4"/>
    <x v="1"/>
    <s v="TUV "/>
    <s v="Sam"/>
    <s v="Fristående och övriga kurser"/>
    <n v="18405"/>
    <n v="15773"/>
    <n v="442083.45"/>
    <n v="5800"/>
    <n v="82650"/>
    <n v="524733.44999999995"/>
    <n v="0"/>
    <n v="0"/>
    <n v="0"/>
    <n v="0"/>
    <n v="0"/>
    <n v="0"/>
    <n v="1"/>
    <n v="0"/>
    <n v="0"/>
    <n v="0"/>
    <n v="0"/>
    <n v="0"/>
  </r>
  <r>
    <s v="6SP056"/>
    <s v="Neuropsykiatriska svårigheter - förhållningsätt, bemötande och strategier i pedagogisk verksamhet"/>
    <m/>
    <s v="FRIST"/>
    <m/>
    <s v="H19"/>
    <m/>
    <m/>
    <s v="Distans"/>
    <m/>
    <m/>
    <n v="50"/>
    <n v="15"/>
    <m/>
    <m/>
    <n v="30"/>
    <n v="7.5"/>
    <n v="0.8"/>
    <n v="6"/>
    <x v="1"/>
    <s v="TUV "/>
    <s v="Sam"/>
    <s v="Fristående och övriga kurser"/>
    <n v="18405"/>
    <n v="15773"/>
    <n v="232675.5"/>
    <n v="5800"/>
    <n v="43500"/>
    <n v="276175.5"/>
    <n v="0"/>
    <n v="0"/>
    <n v="0"/>
    <n v="0"/>
    <n v="0"/>
    <n v="0"/>
    <n v="1"/>
    <n v="0"/>
    <n v="0"/>
    <n v="0"/>
    <n v="0"/>
    <n v="0"/>
  </r>
  <r>
    <s v="6SP057"/>
    <s v="Specialpedagogiska kunskapsområden"/>
    <m/>
    <s v="LYSPE"/>
    <s v="H12"/>
    <s v="V19"/>
    <s v="V191-5"/>
    <s v="Umeå"/>
    <m/>
    <s v="ALLM"/>
    <m/>
    <n v="100"/>
    <n v="7.5"/>
    <m/>
    <m/>
    <n v="1"/>
    <n v="0.125"/>
    <n v="0.85"/>
    <n v="0.10625"/>
    <x v="1"/>
    <s v="TUV "/>
    <s v="Sam"/>
    <s v="Specialpedagogprogrammet"/>
    <n v="18405"/>
    <n v="15773"/>
    <n v="3976.5062499999999"/>
    <n v="5800"/>
    <n v="725"/>
    <n v="4701.5062500000004"/>
    <n v="0"/>
    <n v="0"/>
    <n v="0"/>
    <n v="0"/>
    <n v="0"/>
    <n v="0"/>
    <n v="1"/>
    <n v="0"/>
    <n v="0"/>
    <n v="0"/>
    <n v="0"/>
    <n v="0"/>
  </r>
  <r>
    <s v="6SP057"/>
    <s v="Specialpedagogiska kunskapsområden"/>
    <m/>
    <s v="LYSPE"/>
    <s v="H18"/>
    <s v="V19"/>
    <s v="V191-5"/>
    <s v="Umeå"/>
    <m/>
    <s v="ALLM"/>
    <m/>
    <n v="100"/>
    <n v="7.5"/>
    <m/>
    <m/>
    <n v="38"/>
    <n v="4.75"/>
    <n v="0.85"/>
    <n v="4.0374999999999996"/>
    <x v="1"/>
    <s v="TUV "/>
    <s v="Sam"/>
    <s v="Specialpedagogprogrammet"/>
    <n v="18405"/>
    <n v="15773"/>
    <n v="151107.23749999999"/>
    <n v="5800"/>
    <n v="27550"/>
    <n v="178657.23749999999"/>
    <n v="0"/>
    <n v="0"/>
    <n v="0"/>
    <n v="0"/>
    <n v="0"/>
    <n v="0"/>
    <n v="1"/>
    <n v="0"/>
    <n v="0"/>
    <n v="0"/>
    <n v="0"/>
    <n v="0"/>
  </r>
  <r>
    <s v="6SP058"/>
    <s v="Vetenskaplig metodkurs Speciallärar- och specialpedagogprogrammen"/>
    <m/>
    <s v="LYSPE"/>
    <s v="H18"/>
    <s v="H19"/>
    <s v="H191-5"/>
    <m/>
    <m/>
    <m/>
    <m/>
    <n v="100"/>
    <n v="7.5"/>
    <m/>
    <m/>
    <n v="33"/>
    <n v="4.125"/>
    <n v="0.85"/>
    <n v="3.5062500000000001"/>
    <x v="0"/>
    <s v="Pedagogik                     "/>
    <s v="Sam"/>
    <s v="Specialpedagogprogrammet"/>
    <n v="18405"/>
    <n v="15773"/>
    <n v="131224.70624999999"/>
    <n v="5800"/>
    <n v="23925"/>
    <n v="155149.70624999999"/>
    <n v="0"/>
    <n v="0"/>
    <n v="0"/>
    <n v="0"/>
    <n v="0"/>
    <n v="0"/>
    <n v="1"/>
    <n v="0"/>
    <n v="0"/>
    <n v="0"/>
    <n v="0"/>
    <n v="0"/>
  </r>
  <r>
    <s v="6SP058"/>
    <s v="Vetenskaplig metodkurs Speciallärar- och specialpedagogprogrammen"/>
    <m/>
    <s v="LYSPL"/>
    <s v="H18"/>
    <s v="H19"/>
    <s v="H191-5"/>
    <m/>
    <m/>
    <s v="MAGG"/>
    <m/>
    <n v="100"/>
    <n v="7.5"/>
    <m/>
    <m/>
    <n v="8"/>
    <n v="1"/>
    <n v="0.85"/>
    <n v="0.85"/>
    <x v="0"/>
    <s v="Pedagogik                     "/>
    <s v="Sam"/>
    <s v="Speciallärarprogrammet"/>
    <n v="18405"/>
    <n v="15773"/>
    <n v="31812.05"/>
    <n v="5800"/>
    <n v="5800"/>
    <n v="37612.050000000003"/>
    <n v="0"/>
    <n v="0"/>
    <n v="0"/>
    <n v="0"/>
    <n v="0"/>
    <n v="0"/>
    <n v="1"/>
    <n v="0"/>
    <n v="0"/>
    <n v="0"/>
    <n v="0"/>
    <n v="0"/>
  </r>
  <r>
    <s v="6SP058"/>
    <s v="Vetenskaplig metodkurs Speciallärar- och specialpedagogprogrammen"/>
    <m/>
    <s v="LYSPL"/>
    <s v="H18"/>
    <s v="H19"/>
    <s v="H191-5"/>
    <m/>
    <m/>
    <s v="SVGG"/>
    <m/>
    <n v="100"/>
    <n v="7.5"/>
    <m/>
    <m/>
    <n v="16"/>
    <n v="2"/>
    <n v="0.85"/>
    <n v="1.7"/>
    <x v="0"/>
    <s v="Pedagogik                     "/>
    <s v="Sam"/>
    <s v="Speciallärarprogrammet"/>
    <n v="18405"/>
    <n v="15773"/>
    <n v="63624.1"/>
    <n v="5800"/>
    <n v="11600"/>
    <n v="75224.100000000006"/>
    <n v="0"/>
    <n v="0"/>
    <n v="0"/>
    <n v="0"/>
    <n v="0"/>
    <n v="0"/>
    <n v="1"/>
    <n v="0"/>
    <n v="0"/>
    <n v="0"/>
    <n v="0"/>
    <n v="0"/>
  </r>
  <r>
    <s v="6SP058"/>
    <s v="Vetenskaplig metodkurs Speciallärar- och specialpedagogprogrammen"/>
    <m/>
    <s v="LYSPL"/>
    <s v="H18"/>
    <s v="H19"/>
    <s v="H191-5"/>
    <m/>
    <m/>
    <s v="UTGG"/>
    <m/>
    <n v="100"/>
    <n v="7.5"/>
    <m/>
    <m/>
    <n v="3"/>
    <n v="0.375"/>
    <n v="0.85"/>
    <n v="0.31874999999999998"/>
    <x v="0"/>
    <s v="Pedagogik                     "/>
    <s v="Sam"/>
    <s v="Speciallärarprogrammet"/>
    <n v="18405"/>
    <n v="15773"/>
    <n v="11929.518749999999"/>
    <n v="5800"/>
    <n v="2175"/>
    <n v="14104.518749999999"/>
    <n v="0"/>
    <n v="0"/>
    <n v="0"/>
    <n v="0"/>
    <n v="0"/>
    <n v="0"/>
    <n v="1"/>
    <n v="0"/>
    <n v="0"/>
    <n v="0"/>
    <n v="0"/>
    <n v="0"/>
  </r>
  <r>
    <s v="6SP059"/>
    <s v="Examensarbete speciallärarprogrammet med specialisering mot utvecklingsstörning"/>
    <m/>
    <s v="LYSPL"/>
    <s v="H18"/>
    <s v="H19"/>
    <s v="H196-15"/>
    <m/>
    <m/>
    <s v="UTGG"/>
    <m/>
    <n v="100"/>
    <n v="15"/>
    <m/>
    <m/>
    <n v="3"/>
    <n v="0.75"/>
    <n v="0.85"/>
    <n v="0.63749999999999996"/>
    <x v="0"/>
    <s v="Pedagogik                     "/>
    <s v="Sam"/>
    <s v="Speciallärarprogrammet"/>
    <n v="18405"/>
    <n v="15773"/>
    <n v="23859.037499999999"/>
    <n v="5800"/>
    <n v="4350"/>
    <n v="28209.037499999999"/>
    <n v="0"/>
    <n v="0"/>
    <n v="0"/>
    <n v="0"/>
    <n v="0"/>
    <n v="0"/>
    <n v="1"/>
    <n v="0"/>
    <n v="0"/>
    <n v="0"/>
    <n v="0"/>
    <n v="0"/>
  </r>
  <r>
    <s v="6SP060"/>
    <s v="Eamensarbete specialpedagogprogrammet"/>
    <m/>
    <s v="LYSPE"/>
    <s v="H12"/>
    <s v="H19"/>
    <s v="H196-15"/>
    <m/>
    <m/>
    <m/>
    <m/>
    <n v="100"/>
    <n v="15"/>
    <m/>
    <m/>
    <n v="1"/>
    <n v="0.25"/>
    <n v="0.85"/>
    <n v="0.21249999999999999"/>
    <x v="0"/>
    <s v="Pedagogik                     "/>
    <s v="Sam"/>
    <s v="Specialpedagogprogrammet"/>
    <n v="18405"/>
    <n v="15773"/>
    <n v="7953.0124999999998"/>
    <n v="5800"/>
    <n v="1450"/>
    <n v="9403.0125000000007"/>
    <n v="0"/>
    <n v="0"/>
    <n v="0"/>
    <n v="0"/>
    <n v="0"/>
    <n v="0"/>
    <n v="1"/>
    <n v="0"/>
    <n v="0"/>
    <n v="0"/>
    <n v="0"/>
    <n v="0"/>
  </r>
  <r>
    <s v="6SP060"/>
    <s v="Eamensarbete specialpedagogprogrammet"/>
    <m/>
    <s v="LYSPE"/>
    <s v="H18"/>
    <s v="H19"/>
    <s v="H196-15"/>
    <m/>
    <m/>
    <m/>
    <m/>
    <n v="100"/>
    <n v="15"/>
    <m/>
    <m/>
    <n v="36"/>
    <n v="9"/>
    <n v="0.85"/>
    <n v="7.6499999999999995"/>
    <x v="0"/>
    <s v="Pedagogik                     "/>
    <s v="Sam"/>
    <s v="Specialpedagogprogrammet"/>
    <n v="18405"/>
    <n v="15773"/>
    <n v="286308.45"/>
    <n v="5800"/>
    <n v="52200"/>
    <n v="338508.45"/>
    <n v="0"/>
    <n v="0"/>
    <n v="0"/>
    <n v="0"/>
    <n v="0"/>
    <n v="0"/>
    <n v="1"/>
    <n v="0"/>
    <n v="0"/>
    <n v="0"/>
    <n v="0"/>
    <n v="0"/>
  </r>
  <r>
    <s v="6SP060"/>
    <s v="Eamensarbete specialpedagogprogrammet"/>
    <m/>
    <s v="LYSPL"/>
    <s v="H18"/>
    <s v="H19"/>
    <s v="H196-15"/>
    <m/>
    <m/>
    <s v="SVGG"/>
    <m/>
    <n v="100"/>
    <n v="15"/>
    <m/>
    <m/>
    <n v="1"/>
    <n v="0.25"/>
    <n v="0.85"/>
    <n v="0.21249999999999999"/>
    <x v="0"/>
    <s v="Pedagogik                     "/>
    <s v="Sam"/>
    <s v="Speciallärarprogrammet"/>
    <n v="18405"/>
    <n v="15773"/>
    <n v="7953.0124999999998"/>
    <n v="5800"/>
    <n v="1450"/>
    <n v="9403.0125000000007"/>
    <n v="0"/>
    <n v="0"/>
    <n v="0"/>
    <n v="0"/>
    <n v="0"/>
    <n v="0"/>
    <n v="1"/>
    <n v="0"/>
    <n v="0"/>
    <n v="0"/>
    <n v="0"/>
    <n v="0"/>
  </r>
  <r>
    <s v="6ST000"/>
    <s v="Politik och samhälle"/>
    <m/>
    <s v="LYSYV"/>
    <s v="H16"/>
    <s v="V19"/>
    <s v="V191-10"/>
    <s v="Umeå"/>
    <s v="REGU"/>
    <m/>
    <m/>
    <n v="100"/>
    <n v="15"/>
    <m/>
    <m/>
    <n v="0"/>
    <n v="0"/>
    <n v="0.85"/>
    <n v="0"/>
    <x v="16"/>
    <s v="Statsvetenskap                "/>
    <s v="Sam"/>
    <s v="Studie- och yrkesvägledarprogram"/>
    <n v="18405"/>
    <n v="15773"/>
    <n v="0"/>
    <n v="5800"/>
    <n v="0"/>
    <n v="0"/>
    <n v="0"/>
    <n v="0"/>
    <n v="0"/>
    <n v="0"/>
    <n v="0"/>
    <n v="0"/>
    <n v="1"/>
    <n v="0"/>
    <n v="0"/>
    <n v="0"/>
    <n v="0"/>
    <n v="0"/>
  </r>
  <r>
    <s v="6ST000"/>
    <s v="Politik och samhälle"/>
    <m/>
    <s v="LYSYV"/>
    <s v="H18"/>
    <s v="V19"/>
    <s v="V191-10"/>
    <s v="Umeå"/>
    <s v="DIST"/>
    <m/>
    <m/>
    <n v="100"/>
    <n v="15"/>
    <m/>
    <m/>
    <n v="20"/>
    <n v="5"/>
    <n v="0.85"/>
    <n v="4.25"/>
    <x v="16"/>
    <s v="Statsvetenskap                "/>
    <s v="Sam"/>
    <s v="Studie- och yrkesvägledarprogram"/>
    <n v="18405"/>
    <n v="15773"/>
    <n v="159060.25"/>
    <n v="5800"/>
    <n v="29000"/>
    <n v="188060.25"/>
    <n v="0"/>
    <n v="0"/>
    <n v="0"/>
    <n v="0"/>
    <n v="0"/>
    <n v="0"/>
    <n v="1"/>
    <n v="0"/>
    <n v="0"/>
    <n v="0"/>
    <n v="0"/>
    <n v="0"/>
  </r>
  <r>
    <s v="6ST000"/>
    <s v="Politik och samhälle"/>
    <m/>
    <s v="LYSYV"/>
    <s v="H18"/>
    <s v="V19"/>
    <s v="V191-10"/>
    <s v="Umeå"/>
    <s v="REGU"/>
    <m/>
    <m/>
    <n v="100"/>
    <n v="15"/>
    <m/>
    <m/>
    <n v="25"/>
    <n v="6.25"/>
    <n v="0.85"/>
    <n v="5.3125"/>
    <x v="16"/>
    <s v="Statsvetenskap                "/>
    <s v="Sam"/>
    <s v="Studie- och yrkesvägledarprogram"/>
    <n v="18405"/>
    <n v="15773"/>
    <n v="198825.3125"/>
    <n v="5800"/>
    <n v="36250"/>
    <n v="235075.3125"/>
    <n v="0"/>
    <n v="0"/>
    <n v="0"/>
    <n v="0"/>
    <n v="0"/>
    <n v="0"/>
    <n v="1"/>
    <n v="0"/>
    <n v="0"/>
    <n v="0"/>
    <n v="0"/>
    <n v="0"/>
  </r>
  <r>
    <s v="6ST001"/>
    <s v="Utbildning och arbetsmarknad I"/>
    <m/>
    <s v="LYSYV"/>
    <s v="H18"/>
    <s v="V19"/>
    <s v="V1911-20"/>
    <s v="Umeå"/>
    <s v="DIST"/>
    <m/>
    <m/>
    <n v="100"/>
    <n v="7.5"/>
    <m/>
    <m/>
    <n v="21"/>
    <n v="2.625"/>
    <n v="0.85"/>
    <n v="2.2312499999999997"/>
    <x v="16"/>
    <s v="Statsvetenskap                "/>
    <s v="Sam"/>
    <s v="Studie- och yrkesvägledarprogram"/>
    <n v="18405"/>
    <n v="15773"/>
    <n v="83506.631250000006"/>
    <n v="5800"/>
    <n v="15225"/>
    <n v="98731.631250000006"/>
    <n v="0"/>
    <n v="0"/>
    <n v="0"/>
    <n v="0"/>
    <n v="0"/>
    <n v="0"/>
    <n v="1"/>
    <n v="0"/>
    <n v="0"/>
    <n v="0"/>
    <n v="0"/>
    <n v="0"/>
  </r>
  <r>
    <s v="6ST001"/>
    <s v="Utbildning och arbetsmarknad I"/>
    <m/>
    <s v="LYSYV"/>
    <s v="H18"/>
    <s v="V19"/>
    <s v="V1911-20"/>
    <s v="Umeå"/>
    <s v="REGU"/>
    <m/>
    <m/>
    <n v="100"/>
    <n v="7.5"/>
    <m/>
    <m/>
    <n v="23"/>
    <n v="2.875"/>
    <n v="0.85"/>
    <n v="2.4437500000000001"/>
    <x v="16"/>
    <s v="Statsvetenskap                "/>
    <s v="Sam"/>
    <s v="Studie- och yrkesvägledarprogram"/>
    <n v="18405"/>
    <n v="15773"/>
    <n v="91459.643750000003"/>
    <n v="5800"/>
    <n v="16675"/>
    <n v="108134.64375"/>
    <n v="0"/>
    <n v="0"/>
    <n v="0"/>
    <n v="0"/>
    <n v="0"/>
    <n v="0"/>
    <n v="1"/>
    <n v="0"/>
    <n v="0"/>
    <n v="0"/>
    <n v="0"/>
    <n v="0"/>
  </r>
  <r>
    <s v="6SV020"/>
    <s v="Svenska I för ämneslärare"/>
    <m/>
    <s v="LYAGY"/>
    <s v="H16"/>
    <s v="V19"/>
    <s v="V191-20"/>
    <s v="Umeå"/>
    <m/>
    <s v="ENGS"/>
    <m/>
    <n v="100"/>
    <n v="30"/>
    <m/>
    <m/>
    <n v="5"/>
    <n v="2.5"/>
    <n v="0.85"/>
    <n v="2.125"/>
    <x v="10"/>
    <s v="Inst för språkstudier"/>
    <s v="Hum"/>
    <s v="Ämneslärarprogrammet - Gy"/>
    <n v="18405"/>
    <n v="15773"/>
    <n v="79530.125"/>
    <n v="5800"/>
    <n v="14500"/>
    <n v="94030.125"/>
    <n v="0"/>
    <n v="1"/>
    <n v="0"/>
    <n v="0"/>
    <n v="0"/>
    <n v="0"/>
    <n v="0"/>
    <n v="0"/>
    <n v="0"/>
    <n v="0"/>
    <n v="0"/>
    <n v="0"/>
  </r>
  <r>
    <s v="6SV020"/>
    <s v="Svenska I för ämneslärare"/>
    <m/>
    <s v="LYAGY"/>
    <s v="H16"/>
    <s v="V19"/>
    <s v="V191-20"/>
    <s v="Umeå"/>
    <m/>
    <s v="HIST"/>
    <m/>
    <n v="100"/>
    <n v="30"/>
    <m/>
    <m/>
    <n v="1"/>
    <n v="0.5"/>
    <n v="0.85"/>
    <n v="0.42499999999999999"/>
    <x v="10"/>
    <s v="Inst för språkstudier"/>
    <s v="Hum"/>
    <s v="Ämneslärarprogrammet - Gy"/>
    <n v="18405"/>
    <n v="15773"/>
    <n v="15906.025"/>
    <n v="5800"/>
    <n v="2900"/>
    <n v="18806.025000000001"/>
    <n v="0"/>
    <n v="1"/>
    <n v="0"/>
    <n v="0"/>
    <n v="0"/>
    <n v="0"/>
    <n v="0"/>
    <n v="0"/>
    <n v="0"/>
    <n v="0"/>
    <n v="0"/>
    <n v="0"/>
  </r>
  <r>
    <s v="6SV020"/>
    <s v="Svenska I för ämneslärare"/>
    <m/>
    <s v="LYAGY"/>
    <s v="H16"/>
    <s v="V19"/>
    <s v="V191-20"/>
    <s v="Umeå"/>
    <m/>
    <s v="RELK"/>
    <m/>
    <n v="100"/>
    <n v="30"/>
    <m/>
    <m/>
    <n v="2"/>
    <n v="1"/>
    <n v="0.85"/>
    <n v="0.85"/>
    <x v="10"/>
    <s v="Inst för språkstudier"/>
    <s v="Hum"/>
    <s v="Ämneslärarprogrammet - Gy"/>
    <n v="18405"/>
    <n v="15773"/>
    <n v="31812.05"/>
    <n v="5800"/>
    <n v="5800"/>
    <n v="37612.050000000003"/>
    <n v="0"/>
    <n v="1"/>
    <n v="0"/>
    <n v="0"/>
    <n v="0"/>
    <n v="0"/>
    <n v="0"/>
    <n v="0"/>
    <n v="0"/>
    <n v="0"/>
    <n v="0"/>
    <n v="0"/>
  </r>
  <r>
    <s v="6SV020"/>
    <s v="Svenska I för ämneslärare"/>
    <m/>
    <s v="LYAGY"/>
    <s v="H16"/>
    <s v="V19"/>
    <s v="V191-20"/>
    <s v="Umeå"/>
    <m/>
    <s v="SAMK"/>
    <m/>
    <n v="100"/>
    <n v="30"/>
    <m/>
    <m/>
    <n v="1"/>
    <n v="0.5"/>
    <n v="0.85"/>
    <n v="0.42499999999999999"/>
    <x v="10"/>
    <s v="Inst för språkstudier"/>
    <s v="Hum"/>
    <s v="Ämneslärarprogrammet - Gy"/>
    <n v="18405"/>
    <n v="15773"/>
    <n v="15906.025"/>
    <n v="5800"/>
    <n v="2900"/>
    <n v="18806.025000000001"/>
    <n v="0"/>
    <n v="1"/>
    <n v="0"/>
    <n v="0"/>
    <n v="0"/>
    <n v="0"/>
    <n v="0"/>
    <n v="0"/>
    <n v="0"/>
    <n v="0"/>
    <n v="0"/>
    <n v="0"/>
  </r>
  <r>
    <s v="6SV020"/>
    <s v="Svenska I för ämneslärare"/>
    <m/>
    <s v="LYAGY"/>
    <s v="H16"/>
    <s v="V19"/>
    <s v="V191-20"/>
    <s v="Umeå"/>
    <m/>
    <s v="SVAN"/>
    <m/>
    <n v="100"/>
    <n v="30"/>
    <m/>
    <m/>
    <n v="1"/>
    <n v="0.5"/>
    <n v="0.85"/>
    <n v="0.42499999999999999"/>
    <x v="10"/>
    <s v="Inst för språkstudier"/>
    <s v="Hum"/>
    <s v="Ämneslärarprogrammet - Gy"/>
    <n v="18405"/>
    <n v="15773"/>
    <n v="15906.025"/>
    <n v="5800"/>
    <n v="2900"/>
    <n v="18806.025000000001"/>
    <n v="0"/>
    <n v="1"/>
    <n v="0"/>
    <n v="0"/>
    <n v="0"/>
    <n v="0"/>
    <n v="0"/>
    <n v="0"/>
    <n v="0"/>
    <n v="0"/>
    <n v="0"/>
    <n v="0"/>
  </r>
  <r>
    <s v="6SV020"/>
    <s v="Svenska I för ämneslärare"/>
    <m/>
    <s v="LYAGY"/>
    <s v="H17"/>
    <s v="V19"/>
    <s v="V191-20"/>
    <s v="Umeå"/>
    <m/>
    <s v="SVAA"/>
    <m/>
    <n v="100"/>
    <n v="30"/>
    <m/>
    <m/>
    <n v="1"/>
    <n v="0.5"/>
    <n v="0.85"/>
    <n v="0.42499999999999999"/>
    <x v="10"/>
    <s v="Inst för språkstudier"/>
    <s v="Hum"/>
    <s v="Ämneslärarprogrammet - Gy"/>
    <n v="18405"/>
    <n v="15773"/>
    <n v="15906.025"/>
    <n v="5800"/>
    <n v="2900"/>
    <n v="18806.025000000001"/>
    <n v="0"/>
    <n v="1"/>
    <n v="0"/>
    <n v="0"/>
    <n v="0"/>
    <n v="0"/>
    <n v="0"/>
    <n v="0"/>
    <n v="0"/>
    <n v="0"/>
    <n v="0"/>
    <n v="0"/>
  </r>
  <r>
    <s v="6SV020"/>
    <s v="Svenska I för ämneslärare"/>
    <m/>
    <s v="LYAGY"/>
    <s v="H18"/>
    <s v="V19"/>
    <s v="V191-20"/>
    <s v="Umeå"/>
    <m/>
    <s v="ENGS"/>
    <m/>
    <n v="100"/>
    <n v="30"/>
    <m/>
    <m/>
    <n v="1"/>
    <n v="0.5"/>
    <n v="0.85"/>
    <n v="0.42499999999999999"/>
    <x v="10"/>
    <s v="Inst för språkstudier"/>
    <s v="Hum"/>
    <s v="Ämneslärarprogrammet - Gy"/>
    <n v="18405"/>
    <n v="15773"/>
    <n v="15906.025"/>
    <n v="5800"/>
    <n v="2900"/>
    <n v="18806.025000000001"/>
    <n v="0"/>
    <n v="1"/>
    <n v="0"/>
    <n v="0"/>
    <n v="0"/>
    <n v="0"/>
    <n v="0"/>
    <n v="0"/>
    <n v="0"/>
    <n v="0"/>
    <n v="0"/>
    <n v="0"/>
  </r>
  <r>
    <s v="6SV020"/>
    <s v="Svenska I för ämneslärare"/>
    <m/>
    <s v="LYAGY"/>
    <s v="H18"/>
    <s v="V19"/>
    <s v="V191-20"/>
    <s v="Umeå"/>
    <m/>
    <s v="SVAA"/>
    <m/>
    <n v="100"/>
    <n v="30"/>
    <m/>
    <m/>
    <n v="15"/>
    <n v="7.5"/>
    <n v="0.85"/>
    <n v="6.375"/>
    <x v="10"/>
    <s v="Inst för språkstudier"/>
    <s v="Hum"/>
    <s v="Ämneslärarprogrammet - Gy"/>
    <n v="18405"/>
    <n v="15773"/>
    <n v="238590.375"/>
    <n v="5800"/>
    <n v="43500"/>
    <n v="282090.375"/>
    <n v="0"/>
    <n v="1"/>
    <n v="0"/>
    <n v="0"/>
    <n v="0"/>
    <n v="0"/>
    <n v="0"/>
    <n v="0"/>
    <n v="0"/>
    <n v="0"/>
    <n v="0"/>
    <n v="0"/>
  </r>
  <r>
    <s v="6SV021"/>
    <s v="Svenska för F-3, kurs 1"/>
    <m/>
    <s v="LYGFT"/>
    <s v="H18"/>
    <s v="V19"/>
    <s v="V191-10"/>
    <s v="Umeå"/>
    <m/>
    <m/>
    <m/>
    <n v="100"/>
    <n v="15"/>
    <m/>
    <m/>
    <n v="47"/>
    <n v="11.75"/>
    <n v="0.85"/>
    <n v="9.9874999999999989"/>
    <x v="10"/>
    <s v="Inst för språkstudier"/>
    <s v="Hum"/>
    <s v="Grundlärarprogrammet - förskoleklass och åk 1-3"/>
    <n v="18405"/>
    <n v="15773"/>
    <n v="373791.58750000002"/>
    <n v="5800"/>
    <n v="68150"/>
    <n v="441941.58750000002"/>
    <n v="0"/>
    <n v="1"/>
    <n v="0"/>
    <n v="0"/>
    <n v="0"/>
    <n v="0"/>
    <n v="0"/>
    <n v="0"/>
    <n v="0"/>
    <n v="0"/>
    <n v="0"/>
    <n v="0"/>
  </r>
  <r>
    <s v="6SV022"/>
    <s v="Svenska för F-3, kurs 2"/>
    <m/>
    <s v="LYGFT"/>
    <s v="H18"/>
    <s v="H19"/>
    <s v="H1916-20"/>
    <m/>
    <m/>
    <m/>
    <m/>
    <n v="100"/>
    <n v="7.5"/>
    <m/>
    <m/>
    <n v="44"/>
    <n v="5.5"/>
    <n v="0.85"/>
    <n v="4.6749999999999998"/>
    <x v="10"/>
    <s v="Inst för språkstudier"/>
    <s v="Hum"/>
    <s v="Grundlärarprogrammet - förskoleklass och åk 1-3"/>
    <n v="18405"/>
    <n v="15773"/>
    <n v="174966.27499999999"/>
    <n v="5800"/>
    <n v="31900"/>
    <n v="206866.27499999999"/>
    <n v="0"/>
    <n v="1"/>
    <n v="0"/>
    <n v="0"/>
    <n v="0"/>
    <n v="0"/>
    <n v="0"/>
    <n v="0"/>
    <n v="0"/>
    <n v="0"/>
    <n v="0"/>
    <n v="0"/>
  </r>
  <r>
    <s v="6SV023"/>
    <s v="Svenska för F-3, kurs 3"/>
    <m/>
    <s v="LYGFT"/>
    <s v="H15"/>
    <s v="H19"/>
    <s v="H1911-15"/>
    <m/>
    <m/>
    <m/>
    <m/>
    <n v="100"/>
    <n v="7.5"/>
    <m/>
    <m/>
    <n v="1"/>
    <n v="0.125"/>
    <n v="0.85"/>
    <n v="0.10625"/>
    <x v="10"/>
    <s v="Inst för språkstudier"/>
    <s v="Hum"/>
    <s v="Grundlärarprogrammet - förskoleklass och åk 1-3"/>
    <n v="18405"/>
    <n v="15773"/>
    <n v="3976.5062499999999"/>
    <n v="5800"/>
    <n v="725"/>
    <n v="4701.5062500000004"/>
    <n v="0"/>
    <n v="1"/>
    <n v="0"/>
    <n v="0"/>
    <n v="0"/>
    <n v="0"/>
    <n v="0"/>
    <n v="0"/>
    <n v="0"/>
    <n v="0"/>
    <n v="0"/>
    <n v="0"/>
  </r>
  <r>
    <s v="6SV023"/>
    <s v="Svenska för F-3, kurs 3"/>
    <m/>
    <s v="LYGFT"/>
    <s v="H17"/>
    <s v="H19"/>
    <s v="H1911-15"/>
    <m/>
    <m/>
    <m/>
    <m/>
    <n v="100"/>
    <n v="7.5"/>
    <m/>
    <m/>
    <n v="34"/>
    <n v="4.25"/>
    <n v="0.85"/>
    <n v="3.6124999999999998"/>
    <x v="10"/>
    <s v="Inst för språkstudier"/>
    <s v="Hum"/>
    <s v="Grundlärarprogrammet - förskoleklass och åk 1-3"/>
    <n v="18405"/>
    <n v="15773"/>
    <n v="135201.21249999999"/>
    <n v="5800"/>
    <n v="24650"/>
    <n v="159851.21249999999"/>
    <n v="0"/>
    <n v="1"/>
    <n v="0"/>
    <n v="0"/>
    <n v="0"/>
    <n v="0"/>
    <n v="0"/>
    <n v="0"/>
    <n v="0"/>
    <n v="0"/>
    <n v="0"/>
    <n v="0"/>
  </r>
  <r>
    <s v="6SV023"/>
    <s v="Svenska för F-3, kurs 3"/>
    <m/>
    <s v="LYGFT"/>
    <s v="H19"/>
    <s v="H19"/>
    <s v="H1911-15"/>
    <m/>
    <m/>
    <m/>
    <m/>
    <n v="100"/>
    <n v="7.5"/>
    <m/>
    <m/>
    <n v="1"/>
    <n v="0.125"/>
    <n v="0.85"/>
    <n v="0.10625"/>
    <x v="10"/>
    <s v="Inst för språkstudier"/>
    <s v="Hum"/>
    <s v="Grundlärarprogrammet - förskoleklass och åk 1-3"/>
    <n v="18405"/>
    <n v="15773"/>
    <n v="3976.5062499999999"/>
    <n v="5800"/>
    <n v="725"/>
    <n v="4701.5062500000004"/>
    <n v="0"/>
    <n v="1"/>
    <n v="0"/>
    <n v="0"/>
    <n v="0"/>
    <n v="0"/>
    <n v="0"/>
    <n v="0"/>
    <n v="0"/>
    <n v="0"/>
    <n v="0"/>
    <n v="0"/>
  </r>
  <r>
    <s v="6SV024"/>
    <s v="Svenska för åk 4-6, kurs 1"/>
    <m/>
    <s v="LYGRM"/>
    <s v="H18"/>
    <s v="V19"/>
    <s v="V191-10"/>
    <s v="Umeå"/>
    <m/>
    <m/>
    <m/>
    <n v="100"/>
    <n v="15"/>
    <m/>
    <m/>
    <n v="27"/>
    <n v="6.75"/>
    <n v="0.85"/>
    <n v="5.7374999999999998"/>
    <x v="10"/>
    <s v="Inst för språkstudier"/>
    <s v="Hum"/>
    <s v="Grundlärarprogrammet - grundskolans åk 4-6"/>
    <n v="18405"/>
    <n v="15773"/>
    <n v="214731.33749999999"/>
    <n v="5800"/>
    <n v="39150"/>
    <n v="253881.33749999999"/>
    <n v="0"/>
    <n v="1"/>
    <n v="0"/>
    <n v="0"/>
    <n v="0"/>
    <n v="0"/>
    <n v="0"/>
    <n v="0"/>
    <n v="0"/>
    <n v="0"/>
    <n v="0"/>
    <n v="0"/>
  </r>
  <r>
    <s v="6SV025"/>
    <s v="Svenska för åk 4-6, kurs 2"/>
    <m/>
    <s v="LYGRM"/>
    <s v="H18"/>
    <s v="H19"/>
    <s v="H1916-20"/>
    <m/>
    <m/>
    <m/>
    <m/>
    <n v="100"/>
    <n v="7.5"/>
    <m/>
    <m/>
    <n v="21"/>
    <n v="2.625"/>
    <n v="0.85"/>
    <n v="2.2312499999999997"/>
    <x v="10"/>
    <s v="Inst för språkstudier"/>
    <s v="Hum"/>
    <s v="Grundlärarprogrammet - grundskolans åk 4-6"/>
    <n v="18405"/>
    <n v="15773"/>
    <n v="83506.631250000006"/>
    <n v="5800"/>
    <n v="15225"/>
    <n v="98731.631250000006"/>
    <n v="0"/>
    <n v="1"/>
    <n v="0"/>
    <n v="0"/>
    <n v="0"/>
    <n v="0"/>
    <n v="0"/>
    <n v="0"/>
    <n v="0"/>
    <n v="0"/>
    <n v="0"/>
    <n v="0"/>
  </r>
  <r>
    <s v="6SV026"/>
    <s v="Svenska för åk 4-6, kurs 3"/>
    <m/>
    <s v="LYGRM"/>
    <s v="H17"/>
    <s v="H19"/>
    <s v="H1911-15"/>
    <m/>
    <m/>
    <m/>
    <m/>
    <n v="100"/>
    <n v="7.5"/>
    <m/>
    <m/>
    <n v="28"/>
    <n v="3.5"/>
    <n v="0.85"/>
    <n v="2.9750000000000001"/>
    <x v="10"/>
    <s v="Inst för språkstudier"/>
    <s v="Hum"/>
    <s v="Grundlärarprogrammet - grundskolans åk 4-6"/>
    <n v="18405"/>
    <n v="15773"/>
    <n v="111342.175"/>
    <n v="5800"/>
    <n v="20300"/>
    <n v="131642.17499999999"/>
    <n v="0"/>
    <n v="1"/>
    <n v="0"/>
    <n v="0"/>
    <n v="0"/>
    <n v="0"/>
    <n v="0"/>
    <n v="0"/>
    <n v="0"/>
    <n v="0"/>
    <n v="0"/>
    <n v="0"/>
  </r>
  <r>
    <s v="6SV027"/>
    <s v="Svenska II för ämneslärare"/>
    <m/>
    <s v="LYAGY"/>
    <s v="H16"/>
    <s v="H19"/>
    <s v="H191-20"/>
    <m/>
    <m/>
    <s v="ENGS"/>
    <m/>
    <n v="100"/>
    <n v="30"/>
    <m/>
    <m/>
    <n v="5"/>
    <n v="2.5"/>
    <n v="0.85"/>
    <n v="2.125"/>
    <x v="10"/>
    <s v="Inst för språkstudier"/>
    <s v="Hum"/>
    <s v="Ämneslärarprogrammet - Gy"/>
    <n v="18405"/>
    <n v="15773"/>
    <n v="79530.125"/>
    <n v="5800"/>
    <n v="14500"/>
    <n v="94030.125"/>
    <n v="0"/>
    <n v="1"/>
    <n v="0"/>
    <n v="0"/>
    <n v="0"/>
    <n v="0"/>
    <n v="0"/>
    <n v="0"/>
    <n v="0"/>
    <n v="0"/>
    <n v="0"/>
    <n v="0"/>
  </r>
  <r>
    <s v="6SV027"/>
    <s v="Svenska II för ämneslärare"/>
    <m/>
    <s v="LYAGY"/>
    <s v="H16"/>
    <s v="H19"/>
    <s v="H191-20"/>
    <m/>
    <m/>
    <s v="HIST"/>
    <m/>
    <n v="100"/>
    <n v="30"/>
    <m/>
    <m/>
    <n v="1"/>
    <n v="0.5"/>
    <n v="0.85"/>
    <n v="0.42499999999999999"/>
    <x v="10"/>
    <s v="Inst för språkstudier"/>
    <s v="Hum"/>
    <s v="Ämneslärarprogrammet - Gy"/>
    <n v="18405"/>
    <n v="15773"/>
    <n v="15906.025"/>
    <n v="5800"/>
    <n v="2900"/>
    <n v="18806.025000000001"/>
    <n v="0"/>
    <n v="1"/>
    <n v="0"/>
    <n v="0"/>
    <n v="0"/>
    <n v="0"/>
    <n v="0"/>
    <n v="0"/>
    <n v="0"/>
    <n v="0"/>
    <n v="0"/>
    <n v="0"/>
  </r>
  <r>
    <s v="6SV027"/>
    <s v="Svenska II för ämneslärare"/>
    <m/>
    <s v="LYAGY"/>
    <s v="H16"/>
    <s v="H19"/>
    <s v="H191-20"/>
    <m/>
    <m/>
    <s v="RELK"/>
    <m/>
    <n v="100"/>
    <n v="30"/>
    <m/>
    <m/>
    <n v="2"/>
    <n v="1"/>
    <n v="0.85"/>
    <n v="0.85"/>
    <x v="10"/>
    <s v="Inst för språkstudier"/>
    <s v="Hum"/>
    <s v="Ämneslärarprogrammet - Gy"/>
    <n v="18405"/>
    <n v="15773"/>
    <n v="31812.05"/>
    <n v="5800"/>
    <n v="5800"/>
    <n v="37612.050000000003"/>
    <n v="0"/>
    <n v="1"/>
    <n v="0"/>
    <n v="0"/>
    <n v="0"/>
    <n v="0"/>
    <n v="0"/>
    <n v="0"/>
    <n v="0"/>
    <n v="0"/>
    <n v="0"/>
    <n v="0"/>
  </r>
  <r>
    <s v="6SV027"/>
    <s v="Svenska II för ämneslärare"/>
    <m/>
    <s v="LYAGY"/>
    <s v="H16"/>
    <s v="H19"/>
    <s v="H191-20"/>
    <m/>
    <m/>
    <s v="SVAN"/>
    <m/>
    <n v="100"/>
    <n v="30"/>
    <m/>
    <m/>
    <n v="1"/>
    <n v="0.5"/>
    <n v="0.85"/>
    <n v="0.42499999999999999"/>
    <x v="10"/>
    <s v="Inst för språkstudier"/>
    <s v="Hum"/>
    <s v="Ämneslärarprogrammet - Gy"/>
    <n v="18405"/>
    <n v="15773"/>
    <n v="15906.025"/>
    <n v="5800"/>
    <n v="2900"/>
    <n v="18806.025000000001"/>
    <n v="0"/>
    <n v="1"/>
    <n v="0"/>
    <n v="0"/>
    <n v="0"/>
    <n v="0"/>
    <n v="0"/>
    <n v="0"/>
    <n v="0"/>
    <n v="0"/>
    <n v="0"/>
    <n v="0"/>
  </r>
  <r>
    <s v="6SV027"/>
    <s v="Svenska II för ämneslärare"/>
    <m/>
    <s v="LYAGY"/>
    <s v="H18"/>
    <s v="H19"/>
    <s v="H191-20"/>
    <m/>
    <m/>
    <s v="ENGS"/>
    <m/>
    <n v="100"/>
    <n v="30"/>
    <m/>
    <m/>
    <n v="1"/>
    <n v="0.5"/>
    <n v="0.85"/>
    <n v="0.42499999999999999"/>
    <x v="10"/>
    <s v="Inst för språkstudier"/>
    <s v="Hum"/>
    <s v="Ämneslärarprogrammet - Gy"/>
    <n v="18405"/>
    <n v="15773"/>
    <n v="15906.025"/>
    <n v="5800"/>
    <n v="2900"/>
    <n v="18806.025000000001"/>
    <n v="0"/>
    <n v="1"/>
    <n v="0"/>
    <n v="0"/>
    <n v="0"/>
    <n v="0"/>
    <n v="0"/>
    <n v="0"/>
    <n v="0"/>
    <n v="0"/>
    <n v="0"/>
    <n v="0"/>
  </r>
  <r>
    <s v="6SV027"/>
    <s v="Svenska II för ämneslärare"/>
    <m/>
    <s v="LYAGY"/>
    <s v="H18"/>
    <s v="H19"/>
    <s v="H191-20"/>
    <m/>
    <m/>
    <s v="SVAA"/>
    <m/>
    <n v="100"/>
    <n v="30"/>
    <m/>
    <m/>
    <n v="16"/>
    <n v="8"/>
    <n v="0.85"/>
    <n v="6.8"/>
    <x v="10"/>
    <s v="Inst för språkstudier"/>
    <s v="Hum"/>
    <s v="Ämneslärarprogrammet - Gy"/>
    <n v="18405"/>
    <n v="15773"/>
    <n v="254496.4"/>
    <n v="5800"/>
    <n v="46400"/>
    <n v="300896.40000000002"/>
    <n v="0"/>
    <n v="1"/>
    <n v="0"/>
    <n v="0"/>
    <n v="0"/>
    <n v="0"/>
    <n v="0"/>
    <n v="0"/>
    <n v="0"/>
    <n v="0"/>
    <n v="0"/>
    <n v="0"/>
  </r>
  <r>
    <s v="6SV028"/>
    <s v="Svenska III för ämneslärare"/>
    <m/>
    <s v="LYAGY"/>
    <s v="H15"/>
    <s v="V19"/>
    <s v="V191-20"/>
    <s v="Umeå"/>
    <m/>
    <s v="ENGS"/>
    <m/>
    <n v="100"/>
    <n v="30"/>
    <m/>
    <m/>
    <n v="2"/>
    <n v="1"/>
    <n v="0.85"/>
    <n v="0.85"/>
    <x v="10"/>
    <s v="Inst för språkstudier"/>
    <s v="Hum"/>
    <s v="Ämneslärarprogrammet - Gy"/>
    <n v="18405"/>
    <n v="15773"/>
    <n v="31812.05"/>
    <n v="5800"/>
    <n v="5800"/>
    <n v="37612.050000000003"/>
    <n v="0"/>
    <n v="1"/>
    <n v="0"/>
    <n v="0"/>
    <n v="0"/>
    <n v="0"/>
    <n v="0"/>
    <n v="0"/>
    <n v="0"/>
    <n v="0"/>
    <n v="0"/>
    <n v="0"/>
  </r>
  <r>
    <s v="6SV028"/>
    <s v="Svenska III för ämneslärare"/>
    <m/>
    <s v="LYAGY"/>
    <s v="H15"/>
    <s v="V19"/>
    <s v="V191-20"/>
    <s v="Umeå"/>
    <m/>
    <s v="IDRH"/>
    <m/>
    <n v="100"/>
    <n v="30"/>
    <m/>
    <m/>
    <n v="1"/>
    <n v="0.5"/>
    <n v="0.85"/>
    <n v="0.42499999999999999"/>
    <x v="10"/>
    <s v="Inst för språkstudier"/>
    <s v="Hum"/>
    <s v="Ämneslärarprogrammet - Gy"/>
    <n v="18405"/>
    <n v="15773"/>
    <n v="15906.025"/>
    <n v="5800"/>
    <n v="2900"/>
    <n v="18806.025000000001"/>
    <n v="0"/>
    <n v="1"/>
    <n v="0"/>
    <n v="0"/>
    <n v="0"/>
    <n v="0"/>
    <n v="0"/>
    <n v="0"/>
    <n v="0"/>
    <n v="0"/>
    <n v="0"/>
    <n v="0"/>
  </r>
  <r>
    <s v="6SV028"/>
    <s v="Svenska III för ämneslärare"/>
    <m/>
    <s v="LYAGY"/>
    <s v="H16"/>
    <s v="V19"/>
    <s v="V191-20"/>
    <s v="Umeå"/>
    <m/>
    <s v="IDRH"/>
    <m/>
    <n v="100"/>
    <n v="30"/>
    <m/>
    <m/>
    <n v="1"/>
    <n v="0.5"/>
    <n v="0.85"/>
    <n v="0.42499999999999999"/>
    <x v="10"/>
    <s v="Inst för språkstudier"/>
    <s v="Hum"/>
    <s v="Ämneslärarprogrammet - Gy"/>
    <n v="18405"/>
    <n v="15773"/>
    <n v="15906.025"/>
    <n v="5800"/>
    <n v="2900"/>
    <n v="18806.025000000001"/>
    <n v="0"/>
    <n v="1"/>
    <n v="0"/>
    <n v="0"/>
    <n v="0"/>
    <n v="0"/>
    <n v="0"/>
    <n v="0"/>
    <n v="0"/>
    <n v="0"/>
    <n v="0"/>
    <n v="0"/>
  </r>
  <r>
    <s v="6SV028"/>
    <s v="Svenska III för ämneslärare"/>
    <m/>
    <s v="LYAGY"/>
    <s v="H17"/>
    <s v="V19"/>
    <s v="V191-20"/>
    <s v="Umeå"/>
    <m/>
    <s v="SVAA"/>
    <m/>
    <n v="100"/>
    <n v="30"/>
    <m/>
    <m/>
    <n v="10"/>
    <n v="5"/>
    <n v="0.85"/>
    <n v="4.25"/>
    <x v="10"/>
    <s v="Inst för språkstudier"/>
    <s v="Hum"/>
    <s v="Ämneslärarprogrammet - Gy"/>
    <n v="18405"/>
    <n v="15773"/>
    <n v="159060.25"/>
    <n v="5800"/>
    <n v="29000"/>
    <n v="188060.25"/>
    <n v="0"/>
    <n v="1"/>
    <n v="0"/>
    <n v="0"/>
    <n v="0"/>
    <n v="0"/>
    <n v="0"/>
    <n v="0"/>
    <n v="0"/>
    <n v="0"/>
    <n v="0"/>
    <n v="0"/>
  </r>
  <r>
    <s v="6SV057"/>
    <s v="Att undervisa i svenska som andraspråk (VFU)"/>
    <m/>
    <s v="LYAGY"/>
    <s v="H14"/>
    <s v="H19"/>
    <s v="H1913-16"/>
    <m/>
    <m/>
    <s v="SVAA"/>
    <m/>
    <n v="100"/>
    <n v="6"/>
    <m/>
    <m/>
    <n v="1"/>
    <n v="0.1"/>
    <n v="0.85"/>
    <n v="8.5000000000000006E-2"/>
    <x v="10"/>
    <s v="Inst för språkstudier"/>
    <s v="Hum"/>
    <s v="Ämneslärarprogrammet - Gy"/>
    <n v="21634"/>
    <n v="26986"/>
    <n v="4457.21"/>
    <n v="3400"/>
    <n v="340"/>
    <n v="4797.21"/>
    <n v="0"/>
    <n v="0"/>
    <n v="0"/>
    <n v="0"/>
    <n v="0"/>
    <n v="0"/>
    <n v="0"/>
    <n v="0"/>
    <n v="1"/>
    <n v="0"/>
    <n v="0"/>
    <n v="0"/>
  </r>
  <r>
    <s v="6SV058"/>
    <s v="Att undervisa i svenska (VFU)"/>
    <m/>
    <s v="LYAGY"/>
    <s v="H17"/>
    <s v="H19"/>
    <s v="H1913-16"/>
    <m/>
    <m/>
    <s v="SVAA"/>
    <m/>
    <n v="100"/>
    <n v="6"/>
    <m/>
    <m/>
    <n v="11"/>
    <n v="1.1000000000000001"/>
    <n v="0.85"/>
    <n v="0.93500000000000005"/>
    <x v="10"/>
    <s v="Inst för språkstudier"/>
    <s v="Hum"/>
    <s v="Ämneslärarprogrammet - Gy"/>
    <n v="21634"/>
    <n v="26986"/>
    <n v="49029.31"/>
    <n v="3400"/>
    <n v="3740.0000000000005"/>
    <n v="52769.31"/>
    <n v="0"/>
    <n v="0"/>
    <n v="0"/>
    <n v="0"/>
    <n v="0"/>
    <n v="0"/>
    <n v="0"/>
    <n v="0"/>
    <n v="1"/>
    <n v="0"/>
    <n v="0"/>
    <n v="0"/>
  </r>
  <r>
    <s v="6SV060"/>
    <s v="Svenska som andraspråk A"/>
    <m/>
    <s v="FRIST"/>
    <m/>
    <s v="V19"/>
    <m/>
    <m/>
    <s v="Campus"/>
    <m/>
    <m/>
    <n v="100"/>
    <n v="30"/>
    <m/>
    <m/>
    <n v="6"/>
    <n v="3"/>
    <n v="0.8"/>
    <n v="2.4000000000000004"/>
    <x v="10"/>
    <s v="Inst för språkstudier"/>
    <s v="Hum"/>
    <s v="Fristående och övriga kurser"/>
    <n v="18405"/>
    <n v="15773"/>
    <n v="93070.200000000012"/>
    <n v="5800"/>
    <n v="17400"/>
    <n v="110470.20000000001"/>
    <n v="0"/>
    <n v="1"/>
    <n v="0"/>
    <n v="0"/>
    <n v="0"/>
    <n v="0"/>
    <n v="0"/>
    <n v="0"/>
    <n v="0"/>
    <n v="0"/>
    <n v="0"/>
    <n v="0"/>
  </r>
  <r>
    <s v="6SV063"/>
    <s v="Svenska som andraspråk B"/>
    <m/>
    <s v="FRIST"/>
    <m/>
    <s v="H19"/>
    <m/>
    <m/>
    <s v="Campus"/>
    <m/>
    <m/>
    <n v="100"/>
    <n v="30"/>
    <m/>
    <m/>
    <n v="8"/>
    <n v="4"/>
    <n v="0.8"/>
    <n v="3.2"/>
    <x v="10"/>
    <s v="Inst för språkstudier"/>
    <s v="Hum"/>
    <s v="Fristående och övriga kurser"/>
    <n v="18405"/>
    <n v="15773"/>
    <n v="124093.6"/>
    <n v="5800"/>
    <n v="23200"/>
    <n v="147293.6"/>
    <n v="0"/>
    <n v="1"/>
    <n v="0"/>
    <n v="0"/>
    <n v="0"/>
    <n v="0"/>
    <n v="0"/>
    <n v="0"/>
    <n v="0"/>
    <n v="0"/>
    <n v="0"/>
    <n v="0"/>
  </r>
  <r>
    <s v="6SV066"/>
    <s v="Svenska som andraspråk C, Diskriminerande strukturer och skönlitteratur"/>
    <m/>
    <s v="FRIST"/>
    <m/>
    <s v="V19"/>
    <m/>
    <m/>
    <s v="Distans"/>
    <m/>
    <m/>
    <n v="50"/>
    <n v="15"/>
    <m/>
    <m/>
    <n v="2"/>
    <n v="0.5"/>
    <n v="0.8"/>
    <n v="0.4"/>
    <x v="10"/>
    <s v="Inst för språkstudier"/>
    <s v="Hum"/>
    <s v="Fristående och övriga kurser"/>
    <n v="18405"/>
    <n v="15773"/>
    <n v="15511.7"/>
    <n v="5800"/>
    <n v="2900"/>
    <n v="18411.7"/>
    <n v="0"/>
    <n v="1"/>
    <n v="0"/>
    <n v="0"/>
    <n v="0"/>
    <n v="0"/>
    <n v="0"/>
    <n v="0"/>
    <n v="0"/>
    <n v="0"/>
    <n v="0"/>
    <n v="0"/>
  </r>
  <r>
    <s v="6SV067"/>
    <s v="Svenska som andraspråk C, Examensarbete för kandidatexamen"/>
    <m/>
    <s v="FRIST"/>
    <m/>
    <s v="V19"/>
    <m/>
    <m/>
    <s v="Distans"/>
    <m/>
    <m/>
    <n v="50"/>
    <n v="15"/>
    <m/>
    <m/>
    <n v="2"/>
    <n v="0.5"/>
    <n v="0.8"/>
    <n v="0.4"/>
    <x v="10"/>
    <s v="Inst för språkstudier"/>
    <s v="Hum"/>
    <s v="Fristående och övriga kurser"/>
    <n v="18405"/>
    <n v="15773"/>
    <n v="15511.7"/>
    <n v="5800"/>
    <n v="2900"/>
    <n v="18411.7"/>
    <n v="0"/>
    <n v="1"/>
    <n v="0"/>
    <n v="0"/>
    <n v="0"/>
    <n v="0"/>
    <n v="0"/>
    <n v="0"/>
    <n v="0"/>
    <n v="0"/>
    <n v="0"/>
    <n v="0"/>
  </r>
  <r>
    <s v="6SV068"/>
    <s v="Svenska som andraspråk för ämneslärare, kurs 1"/>
    <m/>
    <s v="FRIST"/>
    <m/>
    <s v="V19"/>
    <m/>
    <m/>
    <s v="Campus"/>
    <m/>
    <m/>
    <n v="100"/>
    <n v="30"/>
    <m/>
    <m/>
    <n v="0"/>
    <n v="0"/>
    <n v="0.8"/>
    <n v="0"/>
    <x v="10"/>
    <s v="Inst för språkstudier"/>
    <s v="Hum"/>
    <s v="Fristående och övriga kurser"/>
    <n v="18405"/>
    <n v="15773"/>
    <n v="0"/>
    <n v="5800"/>
    <n v="0"/>
    <n v="0"/>
    <n v="0"/>
    <n v="1"/>
    <n v="0"/>
    <n v="0"/>
    <n v="0"/>
    <n v="0"/>
    <n v="0"/>
    <n v="0"/>
    <n v="0"/>
    <n v="0"/>
    <n v="0"/>
    <n v="0"/>
  </r>
  <r>
    <s v="6SV068"/>
    <s v="Svenska som andraspråk för ämneslärare, kurs 1"/>
    <m/>
    <s v="LYAGY"/>
    <s v="H14"/>
    <s v="V19"/>
    <s v="V191-20"/>
    <s v="Umeå"/>
    <m/>
    <s v="ENGS"/>
    <m/>
    <n v="100"/>
    <n v="30"/>
    <m/>
    <m/>
    <n v="1"/>
    <n v="0.5"/>
    <n v="0.85"/>
    <n v="0.42499999999999999"/>
    <x v="10"/>
    <s v="Inst för språkstudier"/>
    <s v="Hum"/>
    <s v="Ämneslärarprogrammet - Gy"/>
    <n v="18405"/>
    <n v="15773"/>
    <n v="15906.025"/>
    <n v="5800"/>
    <n v="2900"/>
    <n v="18806.025000000001"/>
    <n v="0"/>
    <n v="1"/>
    <n v="0"/>
    <n v="0"/>
    <n v="0"/>
    <n v="0"/>
    <n v="0"/>
    <n v="0"/>
    <n v="0"/>
    <n v="0"/>
    <n v="0"/>
    <n v="0"/>
  </r>
  <r>
    <s v="6SV068"/>
    <s v="Svenska som andraspråk för ämneslärare, kurs 1"/>
    <m/>
    <s v="LYAGY"/>
    <s v="H16"/>
    <s v="V19"/>
    <s v="V191-20"/>
    <s v="Umeå"/>
    <m/>
    <s v="BILÄ"/>
    <m/>
    <n v="100"/>
    <n v="30"/>
    <m/>
    <m/>
    <n v="1"/>
    <n v="0.5"/>
    <n v="0.85"/>
    <n v="0.42499999999999999"/>
    <x v="10"/>
    <s v="Inst för språkstudier"/>
    <s v="Hum"/>
    <s v="Ämneslärarprogrammet - Gy"/>
    <n v="18405"/>
    <n v="15773"/>
    <n v="15906.025"/>
    <n v="5800"/>
    <n v="2900"/>
    <n v="18806.025000000001"/>
    <n v="0"/>
    <n v="1"/>
    <n v="0"/>
    <n v="0"/>
    <n v="0"/>
    <n v="0"/>
    <n v="0"/>
    <n v="0"/>
    <n v="0"/>
    <n v="0"/>
    <n v="0"/>
    <n v="0"/>
  </r>
  <r>
    <s v="6SV068"/>
    <s v="Svenska som andraspråk för ämneslärare, kurs 1"/>
    <m/>
    <s v="LYAGY"/>
    <s v="H16"/>
    <s v="V19"/>
    <s v="V191-20"/>
    <s v="Umeå"/>
    <m/>
    <s v="ENGS"/>
    <m/>
    <n v="100"/>
    <n v="30"/>
    <m/>
    <m/>
    <n v="9"/>
    <n v="4.5"/>
    <n v="0.85"/>
    <n v="3.8249999999999997"/>
    <x v="10"/>
    <s v="Inst för språkstudier"/>
    <s v="Hum"/>
    <s v="Ämneslärarprogrammet - Gy"/>
    <n v="18405"/>
    <n v="15773"/>
    <n v="143154.22500000001"/>
    <n v="5800"/>
    <n v="26100"/>
    <n v="169254.22500000001"/>
    <n v="0"/>
    <n v="1"/>
    <n v="0"/>
    <n v="0"/>
    <n v="0"/>
    <n v="0"/>
    <n v="0"/>
    <n v="0"/>
    <n v="0"/>
    <n v="0"/>
    <n v="0"/>
    <n v="0"/>
  </r>
  <r>
    <s v="6SV068"/>
    <s v="Svenska som andraspråk för ämneslärare, kurs 1"/>
    <m/>
    <s v="LYAGY"/>
    <s v="H16"/>
    <s v="V19"/>
    <s v="V191-20"/>
    <s v="Umeå"/>
    <m/>
    <s v="IDRH"/>
    <m/>
    <n v="100"/>
    <n v="30"/>
    <m/>
    <m/>
    <n v="6"/>
    <n v="3"/>
    <n v="0.85"/>
    <n v="2.5499999999999998"/>
    <x v="10"/>
    <s v="Inst för språkstudier"/>
    <s v="Hum"/>
    <s v="Ämneslärarprogrammet - Gy"/>
    <n v="18405"/>
    <n v="15773"/>
    <n v="95436.15"/>
    <n v="5800"/>
    <n v="17400"/>
    <n v="112836.15"/>
    <n v="0"/>
    <n v="1"/>
    <n v="0"/>
    <n v="0"/>
    <n v="0"/>
    <n v="0"/>
    <n v="0"/>
    <n v="0"/>
    <n v="0"/>
    <n v="0"/>
    <n v="0"/>
    <n v="0"/>
  </r>
  <r>
    <s v="6SV068"/>
    <s v="Svenska som andraspråk för ämneslärare, kurs 1"/>
    <m/>
    <s v="LYAGY"/>
    <s v="H16"/>
    <s v="V19"/>
    <s v="V191-20"/>
    <s v="Umeå"/>
    <m/>
    <s v="SVAA"/>
    <m/>
    <n v="100"/>
    <n v="30"/>
    <m/>
    <m/>
    <n v="5"/>
    <n v="2.5"/>
    <n v="0.85"/>
    <n v="2.125"/>
    <x v="10"/>
    <s v="Inst för språkstudier"/>
    <s v="Hum"/>
    <s v="Ämneslärarprogrammet - Gy"/>
    <n v="18405"/>
    <n v="15773"/>
    <n v="79530.125"/>
    <n v="5800"/>
    <n v="14500"/>
    <n v="94030.125"/>
    <n v="0"/>
    <n v="1"/>
    <n v="0"/>
    <n v="0"/>
    <n v="0"/>
    <n v="0"/>
    <n v="0"/>
    <n v="0"/>
    <n v="0"/>
    <n v="0"/>
    <n v="0"/>
    <n v="0"/>
  </r>
  <r>
    <s v="6SV068"/>
    <s v="Svenska som andraspråk för ämneslärare, kurs 1"/>
    <m/>
    <s v="LYAGY"/>
    <s v="H17"/>
    <s v="V19"/>
    <s v="V191-20"/>
    <s v="Umeå"/>
    <m/>
    <s v="ENGS"/>
    <m/>
    <n v="100"/>
    <n v="30"/>
    <m/>
    <m/>
    <n v="1"/>
    <n v="0.5"/>
    <n v="0.85"/>
    <n v="0.42499999999999999"/>
    <x v="10"/>
    <s v="Inst för språkstudier"/>
    <s v="Hum"/>
    <s v="Ämneslärarprogrammet - Gy"/>
    <n v="18405"/>
    <n v="15773"/>
    <n v="15906.025"/>
    <n v="5800"/>
    <n v="2900"/>
    <n v="18806.025000000001"/>
    <n v="0"/>
    <n v="1"/>
    <n v="0"/>
    <n v="0"/>
    <n v="0"/>
    <n v="0"/>
    <n v="0"/>
    <n v="0"/>
    <n v="0"/>
    <n v="0"/>
    <n v="0"/>
    <n v="0"/>
  </r>
  <r>
    <s v="6SV068"/>
    <s v="Svenska som andraspråk för ämneslärare, kurs 1"/>
    <m/>
    <s v="LYAGY"/>
    <s v="H17"/>
    <s v="V19"/>
    <s v="V191-20"/>
    <s v="Umeå"/>
    <m/>
    <s v="MATT"/>
    <m/>
    <n v="100"/>
    <n v="30"/>
    <m/>
    <m/>
    <n v="1"/>
    <n v="0.5"/>
    <n v="0.85"/>
    <n v="0.42499999999999999"/>
    <x v="10"/>
    <s v="Inst för språkstudier"/>
    <s v="Hum"/>
    <s v="Ämneslärarprogrammet - Gy"/>
    <n v="18405"/>
    <n v="15773"/>
    <n v="15906.025"/>
    <n v="5800"/>
    <n v="2900"/>
    <n v="18806.025000000001"/>
    <n v="0"/>
    <n v="1"/>
    <n v="0"/>
    <n v="0"/>
    <n v="0"/>
    <n v="0"/>
    <n v="0"/>
    <n v="0"/>
    <n v="0"/>
    <n v="0"/>
    <n v="0"/>
    <n v="0"/>
  </r>
  <r>
    <s v="6SV068"/>
    <s v="Svenska som andraspråk för ämneslärare, kurs 1"/>
    <m/>
    <s v="LYAGY"/>
    <s v="H18"/>
    <s v="V19"/>
    <s v="V191-20"/>
    <s v="Umeå"/>
    <m/>
    <s v="SVAN"/>
    <m/>
    <n v="100"/>
    <n v="30"/>
    <m/>
    <m/>
    <n v="2"/>
    <n v="1"/>
    <n v="0.85"/>
    <n v="0.85"/>
    <x v="10"/>
    <s v="Inst för språkstudier"/>
    <s v="Hum"/>
    <s v="Ämneslärarprogrammet - Gy"/>
    <n v="18405"/>
    <n v="15773"/>
    <n v="31812.05"/>
    <n v="5800"/>
    <n v="5800"/>
    <n v="37612.050000000003"/>
    <n v="0"/>
    <n v="1"/>
    <n v="0"/>
    <n v="0"/>
    <n v="0"/>
    <n v="0"/>
    <n v="0"/>
    <n v="0"/>
    <n v="0"/>
    <n v="0"/>
    <n v="0"/>
    <n v="0"/>
  </r>
  <r>
    <s v="6SV068"/>
    <s v="Svenska som andraspråk för ämneslärare, kurs 1"/>
    <m/>
    <s v="LYAGY"/>
    <m/>
    <s v="V19"/>
    <s v="V191-20"/>
    <s v="Umeå"/>
    <m/>
    <s v="RELK"/>
    <m/>
    <n v="100"/>
    <n v="30"/>
    <m/>
    <m/>
    <n v="1"/>
    <n v="0.5"/>
    <n v="0.85"/>
    <n v="0.42499999999999999"/>
    <x v="10"/>
    <s v="Inst för språkstudier"/>
    <s v="Hum"/>
    <s v="Ämneslärarprogrammet - Gy"/>
    <n v="18405"/>
    <n v="15773"/>
    <n v="15906.025"/>
    <n v="5800"/>
    <n v="2900"/>
    <n v="18806.025000000001"/>
    <n v="0"/>
    <n v="1"/>
    <n v="0"/>
    <n v="0"/>
    <n v="0"/>
    <n v="0"/>
    <n v="0"/>
    <n v="0"/>
    <n v="0"/>
    <n v="0"/>
    <n v="0"/>
    <n v="0"/>
  </r>
  <r>
    <s v="6SV069"/>
    <s v="Svenska som andraspråk för ämneslärare, kurs 2"/>
    <m/>
    <s v="FRIST"/>
    <m/>
    <s v="H19"/>
    <m/>
    <m/>
    <s v="Campus"/>
    <m/>
    <m/>
    <n v="100"/>
    <n v="30"/>
    <m/>
    <m/>
    <n v="2"/>
    <n v="1"/>
    <n v="0.8"/>
    <n v="0.8"/>
    <x v="10"/>
    <s v="Inst för språkstudier"/>
    <s v="Hum"/>
    <s v="Fristående och övriga kurser"/>
    <n v="18405"/>
    <n v="15773"/>
    <n v="31023.4"/>
    <n v="5800"/>
    <n v="5800"/>
    <n v="36823.4"/>
    <n v="0"/>
    <n v="1"/>
    <n v="0"/>
    <n v="0"/>
    <n v="0"/>
    <n v="0"/>
    <n v="0"/>
    <n v="0"/>
    <n v="0"/>
    <n v="0"/>
    <n v="0"/>
    <n v="0"/>
  </r>
  <r>
    <s v="6SV069"/>
    <s v="Svenska som andraspråk för ämneslärare, kurs 2"/>
    <m/>
    <s v="LYAGY"/>
    <s v="H14"/>
    <s v="H19"/>
    <s v="H191-20"/>
    <m/>
    <m/>
    <s v="ENGS"/>
    <m/>
    <n v="100"/>
    <n v="30"/>
    <m/>
    <m/>
    <n v="1"/>
    <n v="0.5"/>
    <n v="0.85"/>
    <n v="0.42499999999999999"/>
    <x v="10"/>
    <s v="Inst för språkstudier"/>
    <s v="Hum"/>
    <s v="Ämneslärarprogrammet - Gy"/>
    <n v="18405"/>
    <n v="15773"/>
    <n v="15906.025"/>
    <n v="5800"/>
    <n v="2900"/>
    <n v="18806.025000000001"/>
    <n v="0"/>
    <n v="1"/>
    <n v="0"/>
    <n v="0"/>
    <n v="0"/>
    <n v="0"/>
    <n v="0"/>
    <n v="0"/>
    <n v="0"/>
    <n v="0"/>
    <n v="0"/>
    <n v="0"/>
  </r>
  <r>
    <s v="6SV069"/>
    <s v="Svenska som andraspråk för ämneslärare, kurs 2"/>
    <m/>
    <s v="LYAGY"/>
    <s v="H15"/>
    <s v="H19"/>
    <s v="H191-20"/>
    <m/>
    <m/>
    <s v="ENGS"/>
    <m/>
    <n v="100"/>
    <n v="30"/>
    <m/>
    <m/>
    <n v="1"/>
    <n v="0.5"/>
    <n v="0.85"/>
    <n v="0.42499999999999999"/>
    <x v="10"/>
    <s v="Inst för språkstudier"/>
    <s v="Hum"/>
    <s v="Ämneslärarprogrammet - Gy"/>
    <n v="18405"/>
    <n v="15773"/>
    <n v="15906.025"/>
    <n v="5800"/>
    <n v="2900"/>
    <n v="18806.025000000001"/>
    <n v="0"/>
    <n v="1"/>
    <n v="0"/>
    <n v="0"/>
    <n v="0"/>
    <n v="0"/>
    <n v="0"/>
    <n v="0"/>
    <n v="0"/>
    <n v="0"/>
    <n v="0"/>
    <n v="0"/>
  </r>
  <r>
    <s v="6SV069"/>
    <s v="Svenska som andraspråk för ämneslärare, kurs 2"/>
    <m/>
    <s v="LYAGY"/>
    <s v="H16"/>
    <s v="H19"/>
    <s v="H191-20"/>
    <m/>
    <m/>
    <s v="BILÄ"/>
    <m/>
    <n v="100"/>
    <n v="30"/>
    <m/>
    <m/>
    <n v="1"/>
    <n v="0.5"/>
    <n v="0.85"/>
    <n v="0.42499999999999999"/>
    <x v="10"/>
    <s v="Inst för språkstudier"/>
    <s v="Hum"/>
    <s v="Ämneslärarprogrammet - Gy"/>
    <n v="18405"/>
    <n v="15773"/>
    <n v="15906.025"/>
    <n v="5800"/>
    <n v="2900"/>
    <n v="18806.025000000001"/>
    <n v="0"/>
    <n v="1"/>
    <n v="0"/>
    <n v="0"/>
    <n v="0"/>
    <n v="0"/>
    <n v="0"/>
    <n v="0"/>
    <n v="0"/>
    <n v="0"/>
    <n v="0"/>
    <n v="0"/>
  </r>
  <r>
    <s v="6SV069"/>
    <s v="Svenska som andraspråk för ämneslärare, kurs 2"/>
    <m/>
    <s v="LYAGY"/>
    <s v="H16"/>
    <s v="H19"/>
    <s v="H191-20"/>
    <m/>
    <m/>
    <s v="ENGS"/>
    <m/>
    <n v="100"/>
    <n v="30"/>
    <m/>
    <m/>
    <n v="8"/>
    <n v="4"/>
    <n v="0.85"/>
    <n v="3.4"/>
    <x v="10"/>
    <s v="Inst för språkstudier"/>
    <s v="Hum"/>
    <s v="Ämneslärarprogrammet - Gy"/>
    <n v="18405"/>
    <n v="15773"/>
    <n v="127248.2"/>
    <n v="5800"/>
    <n v="23200"/>
    <n v="150448.20000000001"/>
    <n v="0"/>
    <n v="1"/>
    <n v="0"/>
    <n v="0"/>
    <n v="0"/>
    <n v="0"/>
    <n v="0"/>
    <n v="0"/>
    <n v="0"/>
    <n v="0"/>
    <n v="0"/>
    <n v="0"/>
  </r>
  <r>
    <s v="6SV069"/>
    <s v="Svenska som andraspråk för ämneslärare, kurs 2"/>
    <m/>
    <s v="LYAGY"/>
    <s v="H16"/>
    <s v="H19"/>
    <s v="H191-20"/>
    <m/>
    <m/>
    <s v="IDRH"/>
    <m/>
    <n v="100"/>
    <n v="30"/>
    <m/>
    <m/>
    <n v="5"/>
    <n v="2.5"/>
    <n v="0.85"/>
    <n v="2.125"/>
    <x v="10"/>
    <s v="Inst för språkstudier"/>
    <s v="Hum"/>
    <s v="Ämneslärarprogrammet - Gy"/>
    <n v="18405"/>
    <n v="15773"/>
    <n v="79530.125"/>
    <n v="5800"/>
    <n v="14500"/>
    <n v="94030.125"/>
    <n v="0"/>
    <n v="1"/>
    <n v="0"/>
    <n v="0"/>
    <n v="0"/>
    <n v="0"/>
    <n v="0"/>
    <n v="0"/>
    <n v="0"/>
    <n v="0"/>
    <n v="0"/>
    <n v="0"/>
  </r>
  <r>
    <s v="6SV069"/>
    <s v="Svenska som andraspråk för ämneslärare, kurs 2"/>
    <m/>
    <s v="LYAGY"/>
    <s v="H16"/>
    <s v="H19"/>
    <s v="H191-20"/>
    <m/>
    <m/>
    <s v="SVAA"/>
    <m/>
    <n v="100"/>
    <n v="30"/>
    <m/>
    <m/>
    <n v="4"/>
    <n v="2"/>
    <n v="0.85"/>
    <n v="1.7"/>
    <x v="10"/>
    <s v="Inst för språkstudier"/>
    <s v="Hum"/>
    <s v="Ämneslärarprogrammet - Gy"/>
    <n v="18405"/>
    <n v="15773"/>
    <n v="63624.1"/>
    <n v="5800"/>
    <n v="11600"/>
    <n v="75224.100000000006"/>
    <n v="0"/>
    <n v="1"/>
    <n v="0"/>
    <n v="0"/>
    <n v="0"/>
    <n v="0"/>
    <n v="0"/>
    <n v="0"/>
    <n v="0"/>
    <n v="0"/>
    <n v="0"/>
    <n v="0"/>
  </r>
  <r>
    <s v="6SV069"/>
    <s v="Svenska som andraspråk för ämneslärare, kurs 2"/>
    <m/>
    <s v="LYAGY"/>
    <s v="H17"/>
    <s v="H19"/>
    <s v="H191-20"/>
    <m/>
    <m/>
    <s v="SVAN"/>
    <m/>
    <n v="100"/>
    <n v="30"/>
    <m/>
    <m/>
    <n v="1"/>
    <n v="0.5"/>
    <n v="0.85"/>
    <n v="0.42499999999999999"/>
    <x v="10"/>
    <s v="Inst för språkstudier"/>
    <s v="Hum"/>
    <s v="Ämneslärarprogrammet - Gy"/>
    <n v="18405"/>
    <n v="15773"/>
    <n v="15906.025"/>
    <n v="5800"/>
    <n v="2900"/>
    <n v="18806.025000000001"/>
    <n v="0"/>
    <n v="1"/>
    <n v="0"/>
    <n v="0"/>
    <n v="0"/>
    <n v="0"/>
    <n v="0"/>
    <n v="0"/>
    <n v="0"/>
    <n v="0"/>
    <n v="0"/>
    <n v="0"/>
  </r>
  <r>
    <s v="6SV069"/>
    <s v="Svenska som andraspråk för ämneslärare, kurs 2"/>
    <m/>
    <s v="LYAGY"/>
    <s v="H18"/>
    <s v="H19"/>
    <s v="H191-20"/>
    <m/>
    <m/>
    <s v="SVAN"/>
    <m/>
    <n v="100"/>
    <n v="30"/>
    <m/>
    <m/>
    <n v="2"/>
    <n v="1"/>
    <n v="0.85"/>
    <n v="0.85"/>
    <x v="10"/>
    <s v="Inst för språkstudier"/>
    <s v="Hum"/>
    <s v="Ämneslärarprogrammet - Gy"/>
    <n v="18405"/>
    <n v="15773"/>
    <n v="31812.05"/>
    <n v="5800"/>
    <n v="5800"/>
    <n v="37612.050000000003"/>
    <n v="0"/>
    <n v="1"/>
    <n v="0"/>
    <n v="0"/>
    <n v="0"/>
    <n v="0"/>
    <n v="0"/>
    <n v="0"/>
    <n v="0"/>
    <n v="0"/>
    <n v="0"/>
    <n v="0"/>
  </r>
  <r>
    <s v="6SV070"/>
    <s v="Svenska som andraspråk för ämneslärare, kurs 3"/>
    <m/>
    <s v="FRIST"/>
    <m/>
    <s v="V19"/>
    <m/>
    <m/>
    <s v="Campus"/>
    <m/>
    <m/>
    <n v="100"/>
    <n v="30"/>
    <m/>
    <m/>
    <n v="0"/>
    <n v="0"/>
    <n v="0.8"/>
    <n v="0"/>
    <x v="10"/>
    <s v="Inst för språkstudier"/>
    <s v="Hum"/>
    <s v="Fristående och övriga kurser"/>
    <n v="18405"/>
    <n v="15773"/>
    <n v="0"/>
    <n v="5800"/>
    <n v="0"/>
    <n v="0"/>
    <n v="0"/>
    <n v="1"/>
    <n v="0"/>
    <n v="0"/>
    <n v="0"/>
    <n v="0"/>
    <n v="0"/>
    <n v="0"/>
    <n v="0"/>
    <n v="0"/>
    <n v="0"/>
    <n v="0"/>
  </r>
  <r>
    <s v="6SV070"/>
    <s v="Svenska som andraspråk för ämneslärare, kurs 3"/>
    <m/>
    <s v="LYAGY"/>
    <s v="H14"/>
    <s v="V19"/>
    <s v="V191-20"/>
    <s v="Umeå"/>
    <m/>
    <s v="BILÄ"/>
    <m/>
    <n v="100"/>
    <n v="30"/>
    <m/>
    <m/>
    <n v="1"/>
    <n v="0.5"/>
    <n v="0.85"/>
    <n v="0.42499999999999999"/>
    <x v="10"/>
    <s v="Inst för språkstudier"/>
    <s v="Hum"/>
    <s v="Ämneslärarprogrammet - Gy"/>
    <n v="18405"/>
    <n v="15773"/>
    <n v="15906.025"/>
    <n v="5800"/>
    <n v="2900"/>
    <n v="18806.025000000001"/>
    <n v="0"/>
    <n v="1"/>
    <n v="0"/>
    <n v="0"/>
    <n v="0"/>
    <n v="0"/>
    <n v="0"/>
    <n v="0"/>
    <n v="0"/>
    <n v="0"/>
    <n v="0"/>
    <n v="0"/>
  </r>
  <r>
    <s v="6SV070"/>
    <s v="Svenska som andraspråk för ämneslärare, kurs 3"/>
    <m/>
    <s v="LYAGY"/>
    <s v="H15"/>
    <s v="V19"/>
    <s v="V191-20"/>
    <s v="Umeå"/>
    <m/>
    <s v="ENGS"/>
    <m/>
    <n v="100"/>
    <n v="30"/>
    <m/>
    <m/>
    <n v="2"/>
    <n v="1"/>
    <n v="0.85"/>
    <n v="0.85"/>
    <x v="10"/>
    <s v="Inst för språkstudier"/>
    <s v="Hum"/>
    <s v="Ämneslärarprogrammet - Gy"/>
    <n v="18405"/>
    <n v="15773"/>
    <n v="31812.05"/>
    <n v="5800"/>
    <n v="5800"/>
    <n v="37612.050000000003"/>
    <n v="0"/>
    <n v="1"/>
    <n v="0"/>
    <n v="0"/>
    <n v="0"/>
    <n v="0"/>
    <n v="0"/>
    <n v="0"/>
    <n v="0"/>
    <n v="0"/>
    <n v="0"/>
    <n v="0"/>
  </r>
  <r>
    <s v="6SV070"/>
    <s v="Svenska som andraspråk för ämneslärare, kurs 3"/>
    <m/>
    <s v="LYAGY"/>
    <s v="H15"/>
    <s v="V19"/>
    <s v="V191-20"/>
    <s v="Umeå"/>
    <m/>
    <s v="SVAA"/>
    <m/>
    <n v="100"/>
    <n v="30"/>
    <m/>
    <m/>
    <n v="2"/>
    <n v="1"/>
    <n v="0.85"/>
    <n v="0.85"/>
    <x v="10"/>
    <s v="Inst för språkstudier"/>
    <s v="Hum"/>
    <s v="Ämneslärarprogrammet - Gy"/>
    <n v="18405"/>
    <n v="15773"/>
    <n v="31812.05"/>
    <n v="5800"/>
    <n v="5800"/>
    <n v="37612.050000000003"/>
    <n v="0"/>
    <n v="1"/>
    <n v="0"/>
    <n v="0"/>
    <n v="0"/>
    <n v="0"/>
    <n v="0"/>
    <n v="0"/>
    <n v="0"/>
    <n v="0"/>
    <n v="0"/>
    <n v="0"/>
  </r>
  <r>
    <s v="6SV070"/>
    <s v="Svenska som andraspråk för ämneslärare, kurs 3"/>
    <m/>
    <s v="LYAGY"/>
    <s v="H16"/>
    <s v="V19"/>
    <s v="V191-20"/>
    <s v="Umeå"/>
    <m/>
    <s v="SVAA"/>
    <m/>
    <n v="100"/>
    <n v="30"/>
    <m/>
    <m/>
    <n v="1"/>
    <n v="0.5"/>
    <n v="0.85"/>
    <n v="0.42499999999999999"/>
    <x v="10"/>
    <s v="Inst för språkstudier"/>
    <s v="Hum"/>
    <s v="Ämneslärarprogrammet - Gy"/>
    <n v="18405"/>
    <n v="15773"/>
    <n v="15906.025"/>
    <n v="5800"/>
    <n v="2900"/>
    <n v="18806.025000000001"/>
    <n v="0"/>
    <n v="1"/>
    <n v="0"/>
    <n v="0"/>
    <n v="0"/>
    <n v="0"/>
    <n v="0"/>
    <n v="0"/>
    <n v="0"/>
    <n v="0"/>
    <n v="0"/>
    <n v="0"/>
  </r>
  <r>
    <s v="6SV070"/>
    <s v="Svenska som andraspråk för ämneslärare, kurs 3"/>
    <m/>
    <s v="LYAGY"/>
    <m/>
    <s v="V19"/>
    <s v="V191-20"/>
    <s v="Umeå"/>
    <m/>
    <s v="IDRH"/>
    <m/>
    <n v="100"/>
    <n v="30"/>
    <m/>
    <m/>
    <n v="1"/>
    <n v="0.5"/>
    <n v="0.85"/>
    <n v="0.42499999999999999"/>
    <x v="10"/>
    <s v="Inst för språkstudier"/>
    <s v="Hum"/>
    <s v="Ämneslärarprogrammet - Gy"/>
    <n v="18405"/>
    <n v="15773"/>
    <n v="15906.025"/>
    <n v="5800"/>
    <n v="2900"/>
    <n v="18806.025000000001"/>
    <n v="0"/>
    <n v="1"/>
    <n v="0"/>
    <n v="0"/>
    <n v="0"/>
    <n v="0"/>
    <n v="0"/>
    <n v="0"/>
    <n v="0"/>
    <n v="0"/>
    <n v="0"/>
    <n v="0"/>
  </r>
  <r>
    <s v="6SV072"/>
    <s v="Att läsa och skriva i lärarutbildning och läraryrket - fokus grundlärare"/>
    <m/>
    <s v="FRIST"/>
    <m/>
    <s v="Sommar"/>
    <s v="Sommarkurs"/>
    <m/>
    <s v="Distans"/>
    <m/>
    <m/>
    <n v="50"/>
    <n v="7.5"/>
    <m/>
    <m/>
    <n v="30"/>
    <n v="3.75"/>
    <n v="0.8"/>
    <n v="3"/>
    <x v="10"/>
    <s v="Inst för språkstudier"/>
    <s v="Hum"/>
    <s v="Fristående och övriga kurser"/>
    <n v="18405"/>
    <n v="15773"/>
    <n v="116337.75"/>
    <n v="5800"/>
    <n v="21750"/>
    <n v="138087.75"/>
    <n v="0"/>
    <n v="1"/>
    <n v="0"/>
    <n v="0"/>
    <n v="0"/>
    <n v="0"/>
    <n v="0"/>
    <n v="0"/>
    <n v="0"/>
    <n v="0"/>
    <n v="0"/>
    <n v="0"/>
  </r>
  <r>
    <s v="6SV073"/>
    <s v="Att läsa och skriva i lärarutbildning och läraryrket - fokus ämneslärare"/>
    <m/>
    <s v="FRIST"/>
    <m/>
    <s v="Sommar"/>
    <s v="Sommarkurs"/>
    <m/>
    <s v="Distans"/>
    <m/>
    <m/>
    <n v="50"/>
    <n v="7.5"/>
    <m/>
    <m/>
    <n v="32"/>
    <n v="4"/>
    <n v="0.8"/>
    <n v="3.2"/>
    <x v="10"/>
    <s v="Inst för språkstudier"/>
    <s v="Hum"/>
    <s v="Fristående och övriga kurser"/>
    <n v="18405"/>
    <n v="15773"/>
    <n v="124093.6"/>
    <n v="5800"/>
    <n v="23200"/>
    <n v="147293.6"/>
    <n v="0"/>
    <n v="1"/>
    <n v="0"/>
    <n v="0"/>
    <n v="0"/>
    <n v="0"/>
    <n v="0"/>
    <n v="0"/>
    <n v="0"/>
    <n v="0"/>
    <n v="0"/>
    <n v="0"/>
  </r>
  <r>
    <s v="6SV074"/>
    <s v="Flerspråkighet i förskoleklassen och grundskolans tidigare år"/>
    <m/>
    <s v="FRIST"/>
    <m/>
    <s v="Sommar"/>
    <s v="Sommarkurs"/>
    <m/>
    <s v="Distans"/>
    <m/>
    <m/>
    <n v="50"/>
    <n v="7.5"/>
    <m/>
    <m/>
    <n v="24"/>
    <n v="3"/>
    <n v="0.8"/>
    <n v="2.4000000000000004"/>
    <x v="10"/>
    <s v="Inst för språkstudier"/>
    <s v="Hum"/>
    <s v="Fristående och övriga kurser"/>
    <n v="18405"/>
    <n v="15773"/>
    <n v="93070.200000000012"/>
    <n v="5800"/>
    <n v="17400"/>
    <n v="110470.20000000001"/>
    <n v="0"/>
    <n v="1"/>
    <n v="0"/>
    <n v="0"/>
    <n v="0"/>
    <n v="0"/>
    <n v="0"/>
    <n v="0"/>
    <n v="0"/>
    <n v="0"/>
    <n v="0"/>
    <n v="0"/>
  </r>
  <r>
    <s v="6SY003"/>
    <s v="Studie- och yrkesvägledningens grunder"/>
    <m/>
    <s v="LYSYV"/>
    <s v="H18"/>
    <s v="H19"/>
    <s v="H191-10"/>
    <m/>
    <s v="REGU"/>
    <m/>
    <m/>
    <n v="100"/>
    <n v="15"/>
    <m/>
    <m/>
    <n v="1"/>
    <n v="0.25"/>
    <n v="0.85"/>
    <n v="0.21249999999999999"/>
    <x v="1"/>
    <s v="TUV "/>
    <s v="Sam"/>
    <s v="Studie- och yrkesvägledarprogram"/>
    <n v="22339.8"/>
    <n v="20219.2"/>
    <n v="9881.5299999999988"/>
    <n v="5800"/>
    <n v="1450"/>
    <n v="11331.529999999999"/>
    <n v="0"/>
    <n v="0"/>
    <n v="0"/>
    <n v="0"/>
    <n v="0"/>
    <n v="0"/>
    <n v="0.8"/>
    <n v="0"/>
    <n v="0"/>
    <n v="0"/>
    <n v="0"/>
    <n v="0.2"/>
  </r>
  <r>
    <s v="6SY003"/>
    <s v="Studie- och yrkesvägledningens grunder"/>
    <m/>
    <s v="LYSYV"/>
    <s v="H19"/>
    <s v="H19"/>
    <s v="H191-10"/>
    <m/>
    <s v="DIST"/>
    <m/>
    <m/>
    <n v="100"/>
    <n v="15"/>
    <m/>
    <m/>
    <n v="29"/>
    <n v="7.25"/>
    <n v="0.85"/>
    <n v="6.1624999999999996"/>
    <x v="1"/>
    <s v="TUV "/>
    <s v="Sam"/>
    <s v="Studie- och yrkesvägledarprogram"/>
    <n v="22339.8"/>
    <n v="20219.2"/>
    <n v="286564.37"/>
    <n v="5800"/>
    <n v="42050"/>
    <n v="328614.37"/>
    <n v="0"/>
    <n v="0"/>
    <n v="0"/>
    <n v="0"/>
    <n v="0"/>
    <n v="0"/>
    <n v="0.8"/>
    <n v="0"/>
    <n v="0"/>
    <n v="0"/>
    <n v="0"/>
    <n v="0.2"/>
  </r>
  <r>
    <s v="6SY003"/>
    <s v="Studie- och yrkesvägledningens grunder"/>
    <m/>
    <s v="LYSYV"/>
    <s v="H19"/>
    <s v="H19"/>
    <s v="H191-10"/>
    <m/>
    <s v="REGU"/>
    <m/>
    <m/>
    <n v="100"/>
    <n v="15"/>
    <m/>
    <m/>
    <n v="32"/>
    <n v="8"/>
    <n v="0.85"/>
    <n v="6.8"/>
    <x v="1"/>
    <s v="TUV "/>
    <s v="Sam"/>
    <s v="Studie- och yrkesvägledarprogram"/>
    <n v="22339.8"/>
    <n v="20219.2"/>
    <n v="316208.95999999996"/>
    <n v="5800"/>
    <n v="46400"/>
    <n v="362608.95999999996"/>
    <n v="0"/>
    <n v="0"/>
    <n v="0"/>
    <n v="0"/>
    <n v="0"/>
    <n v="0"/>
    <n v="0.8"/>
    <n v="0"/>
    <n v="0"/>
    <n v="0"/>
    <n v="0"/>
    <n v="0.2"/>
  </r>
  <r>
    <s v="6SY013"/>
    <s v="Vetenskapliga perspektiv på studie- och yrkesvägledning"/>
    <m/>
    <s v="LYSYV"/>
    <s v="H18"/>
    <s v="H19"/>
    <s v="H1916-20"/>
    <m/>
    <s v="REGU"/>
    <m/>
    <m/>
    <n v="100"/>
    <n v="7.5"/>
    <m/>
    <m/>
    <n v="1"/>
    <n v="0.125"/>
    <n v="0.85"/>
    <n v="0.10625"/>
    <x v="1"/>
    <s v="TUV "/>
    <s v="Sam"/>
    <s v="Studie- och yrkesvägledarprogram"/>
    <n v="18405"/>
    <n v="15773"/>
    <n v="3976.5062499999999"/>
    <n v="5800"/>
    <n v="725"/>
    <n v="4701.5062500000004"/>
    <n v="0"/>
    <n v="0"/>
    <n v="0"/>
    <n v="0"/>
    <n v="0"/>
    <n v="0"/>
    <n v="1"/>
    <n v="0"/>
    <n v="0"/>
    <n v="0"/>
    <n v="0"/>
    <n v="0"/>
  </r>
  <r>
    <s v="6SY013"/>
    <s v="Vetenskapliga perspektiv på studie- och yrkesvägledning"/>
    <m/>
    <s v="LYSYV"/>
    <s v="H19"/>
    <s v="H19"/>
    <s v="H1916-20"/>
    <m/>
    <s v="DIST"/>
    <m/>
    <m/>
    <n v="100"/>
    <n v="7.5"/>
    <n v="-0.08"/>
    <n v="29"/>
    <n v="26.68"/>
    <n v="3.335"/>
    <n v="0.85"/>
    <n v="2.8347500000000001"/>
    <x v="1"/>
    <s v="TUV "/>
    <s v="Sam"/>
    <s v="Studie- och yrkesvägledarprogram"/>
    <n v="18405"/>
    <n v="15773"/>
    <n v="106093.18675000001"/>
    <n v="5800"/>
    <n v="19343"/>
    <n v="125436.18675000001"/>
    <n v="0"/>
    <n v="0"/>
    <n v="0"/>
    <n v="0"/>
    <n v="0"/>
    <n v="0"/>
    <n v="1"/>
    <n v="0"/>
    <n v="0"/>
    <n v="0"/>
    <n v="0"/>
    <n v="0"/>
  </r>
  <r>
    <s v="6SY013"/>
    <s v="Vetenskapliga perspektiv på studie- och yrkesvägledning"/>
    <m/>
    <s v="LYSYV"/>
    <s v="H19"/>
    <s v="H19"/>
    <s v="H1916-20"/>
    <m/>
    <s v="REGU"/>
    <m/>
    <m/>
    <n v="100"/>
    <n v="7.5"/>
    <n v="-0.08"/>
    <n v="32"/>
    <n v="29.44"/>
    <n v="3.68"/>
    <n v="0.85"/>
    <n v="3.1280000000000001"/>
    <x v="1"/>
    <s v="TUV "/>
    <s v="Sam"/>
    <s v="Studie- och yrkesvägledarprogram"/>
    <n v="18405"/>
    <n v="15773"/>
    <n v="117068.34400000001"/>
    <n v="5800"/>
    <n v="21344"/>
    <n v="138412.34400000001"/>
    <n v="0"/>
    <n v="0"/>
    <n v="0"/>
    <n v="0"/>
    <n v="0"/>
    <n v="0"/>
    <n v="1"/>
    <n v="0"/>
    <n v="0"/>
    <n v="0"/>
    <n v="0"/>
    <n v="0"/>
  </r>
  <r>
    <s v="6SY016"/>
    <s v="Utbildningssystem i Sverige och andra länder"/>
    <m/>
    <s v="LYSYV"/>
    <s v="H18"/>
    <s v="H19"/>
    <s v="H191-7"/>
    <m/>
    <s v="DIST"/>
    <m/>
    <m/>
    <n v="100"/>
    <n v="10"/>
    <m/>
    <m/>
    <n v="19"/>
    <n v="3.1666666666666665"/>
    <n v="0.85"/>
    <n v="2.6916666666666664"/>
    <x v="1"/>
    <s v="TUV "/>
    <s v="Sam"/>
    <s v="Studie- och yrkesvägledarprogram"/>
    <n v="18405"/>
    <n v="15773"/>
    <n v="100738.15833333333"/>
    <n v="5800"/>
    <n v="18366.666666666664"/>
    <n v="119104.82499999998"/>
    <n v="0"/>
    <n v="0"/>
    <n v="0"/>
    <n v="0"/>
    <n v="0"/>
    <n v="0"/>
    <n v="1"/>
    <n v="0"/>
    <n v="0"/>
    <n v="0"/>
    <n v="0"/>
    <n v="0"/>
  </r>
  <r>
    <s v="6SY016"/>
    <s v="Utbildningssystem i Sverige och andra länder"/>
    <m/>
    <s v="LYSYV"/>
    <s v="H18"/>
    <s v="H19"/>
    <s v="H191-7"/>
    <m/>
    <s v="REGU"/>
    <m/>
    <m/>
    <n v="100"/>
    <n v="10"/>
    <m/>
    <m/>
    <n v="24"/>
    <n v="4"/>
    <n v="0.85"/>
    <n v="3.4"/>
    <x v="1"/>
    <s v="TUV "/>
    <s v="Sam"/>
    <s v="Studie- och yrkesvägledarprogram"/>
    <n v="18405"/>
    <n v="15773"/>
    <n v="127248.2"/>
    <n v="5800"/>
    <n v="23200"/>
    <n v="150448.20000000001"/>
    <n v="0"/>
    <n v="0"/>
    <n v="0"/>
    <n v="0"/>
    <n v="0"/>
    <n v="0"/>
    <n v="1"/>
    <n v="0"/>
    <n v="0"/>
    <n v="0"/>
    <n v="0"/>
    <n v="0"/>
  </r>
  <r>
    <s v="6SY018"/>
    <s v="Studie- och yrkesvägledningens praktik"/>
    <m/>
    <s v="LYSYV"/>
    <s v="H15"/>
    <s v="V19"/>
    <s v="V191-10"/>
    <s v="Umeå"/>
    <s v="DIST"/>
    <s v="DIOB"/>
    <m/>
    <n v="100"/>
    <n v="15"/>
    <m/>
    <m/>
    <n v="1"/>
    <n v="0.25"/>
    <n v="0.85"/>
    <n v="0.21249999999999999"/>
    <x v="1"/>
    <s v="TUV "/>
    <s v="Sam"/>
    <s v="Studie- och yrkesvägledarprogram"/>
    <n v="24307.199999999997"/>
    <n v="22442.299999999996"/>
    <n v="10845.788749999998"/>
    <n v="5800"/>
    <n v="1450"/>
    <n v="12295.788749999998"/>
    <n v="0"/>
    <n v="0"/>
    <n v="0"/>
    <n v="0"/>
    <n v="0"/>
    <n v="0"/>
    <n v="0.7"/>
    <n v="0"/>
    <n v="0"/>
    <n v="0"/>
    <n v="0"/>
    <n v="0.3"/>
  </r>
  <r>
    <s v="6SY018"/>
    <s v="Studie- och yrkesvägledningens praktik"/>
    <m/>
    <s v="LYSYV"/>
    <s v="H15"/>
    <s v="V19"/>
    <s v="V191-10"/>
    <s v="Umeå"/>
    <s v="DIST"/>
    <m/>
    <m/>
    <n v="100"/>
    <n v="15"/>
    <m/>
    <m/>
    <n v="1"/>
    <n v="0.25"/>
    <n v="0.85"/>
    <n v="0.21249999999999999"/>
    <x v="1"/>
    <s v="TUV "/>
    <s v="Sam"/>
    <s v="Studie- och yrkesvägledarprogram"/>
    <n v="24307.199999999997"/>
    <n v="22442.299999999996"/>
    <n v="10845.788749999998"/>
    <n v="5800"/>
    <n v="1450"/>
    <n v="12295.788749999998"/>
    <n v="0"/>
    <n v="0"/>
    <n v="0"/>
    <n v="0"/>
    <n v="0"/>
    <n v="0"/>
    <n v="0.7"/>
    <n v="0"/>
    <n v="0"/>
    <n v="0"/>
    <n v="0"/>
    <n v="0.3"/>
  </r>
  <r>
    <s v="6SY018"/>
    <s v="Studie- och yrkesvägledningens praktik"/>
    <m/>
    <s v="LYSYV"/>
    <s v="H15"/>
    <s v="V19"/>
    <s v="V191-10"/>
    <s v="Umeå"/>
    <s v="DIST"/>
    <m/>
    <m/>
    <n v="100"/>
    <n v="15"/>
    <m/>
    <m/>
    <n v="1"/>
    <n v="0.25"/>
    <n v="0.85"/>
    <n v="0.21249999999999999"/>
    <x v="1"/>
    <s v="TUV "/>
    <s v="Sam"/>
    <s v="Studie- och yrkesvägledarprogram"/>
    <n v="24307.199999999997"/>
    <n v="22442.299999999996"/>
    <n v="10845.788749999998"/>
    <n v="5800"/>
    <n v="1450"/>
    <n v="12295.788749999998"/>
    <n v="0"/>
    <n v="0"/>
    <n v="0"/>
    <n v="0"/>
    <n v="0"/>
    <n v="0"/>
    <n v="0.7"/>
    <n v="0"/>
    <n v="0"/>
    <n v="0"/>
    <n v="0"/>
    <n v="0.3"/>
  </r>
  <r>
    <s v="6SY018"/>
    <s v="Studie- och yrkesvägledningens praktik"/>
    <m/>
    <s v="LYSYV"/>
    <s v="H15"/>
    <s v="V19"/>
    <s v="V191-10"/>
    <s v="Umeå"/>
    <s v="REGU"/>
    <m/>
    <m/>
    <n v="100"/>
    <n v="15"/>
    <m/>
    <m/>
    <n v="0"/>
    <n v="0"/>
    <n v="0.85"/>
    <n v="0"/>
    <x v="1"/>
    <s v="TUV "/>
    <s v="Sam"/>
    <s v="Studie- och yrkesvägledarprogram"/>
    <n v="24307.199999999997"/>
    <n v="22442.299999999996"/>
    <n v="0"/>
    <n v="5800"/>
    <n v="0"/>
    <n v="0"/>
    <n v="0"/>
    <n v="0"/>
    <n v="0"/>
    <n v="0"/>
    <n v="0"/>
    <n v="0"/>
    <n v="0.7"/>
    <n v="0"/>
    <n v="0"/>
    <n v="0"/>
    <n v="0"/>
    <n v="0.3"/>
  </r>
  <r>
    <s v="6SY018"/>
    <s v="Studie- och yrkesvägledningens praktik"/>
    <m/>
    <s v="LYSYV"/>
    <s v="H16"/>
    <s v="V19"/>
    <s v="V191-10"/>
    <s v="Umeå"/>
    <s v="DIST"/>
    <s v="DIOB"/>
    <m/>
    <n v="100"/>
    <n v="15"/>
    <m/>
    <m/>
    <n v="21"/>
    <n v="5.25"/>
    <n v="0.85"/>
    <n v="4.4624999999999995"/>
    <x v="1"/>
    <s v="TUV "/>
    <s v="Sam"/>
    <s v="Studie- och yrkesvägledarprogram"/>
    <n v="24307.199999999997"/>
    <n v="22442.299999999996"/>
    <n v="227761.56374999997"/>
    <n v="5800"/>
    <n v="30450"/>
    <n v="258211.56374999997"/>
    <n v="0"/>
    <n v="0"/>
    <n v="0"/>
    <n v="0"/>
    <n v="0"/>
    <n v="0"/>
    <n v="0.7"/>
    <n v="0"/>
    <n v="0"/>
    <n v="0"/>
    <n v="0"/>
    <n v="0.3"/>
  </r>
  <r>
    <s v="6SY018"/>
    <s v="Studie- och yrkesvägledningens praktik"/>
    <m/>
    <s v="LYSYV"/>
    <s v="H16"/>
    <s v="V19"/>
    <s v="V191-10"/>
    <s v="Umeå"/>
    <s v="DIST"/>
    <m/>
    <m/>
    <n v="100"/>
    <n v="15"/>
    <m/>
    <m/>
    <n v="19"/>
    <n v="4.75"/>
    <n v="0.85"/>
    <n v="4.0374999999999996"/>
    <x v="1"/>
    <s v="TUV "/>
    <s v="Sam"/>
    <s v="Studie- och yrkesvägledarprogram"/>
    <n v="24307.199999999997"/>
    <n v="22442.299999999996"/>
    <n v="206069.98624999996"/>
    <n v="5800"/>
    <n v="27550"/>
    <n v="233619.98624999996"/>
    <n v="0"/>
    <n v="0"/>
    <n v="0"/>
    <n v="0"/>
    <n v="0"/>
    <n v="0"/>
    <n v="0.7"/>
    <n v="0"/>
    <n v="0"/>
    <n v="0"/>
    <n v="0"/>
    <n v="0.3"/>
  </r>
  <r>
    <s v="6SY018"/>
    <s v="Studie- och yrkesvägledningens praktik"/>
    <m/>
    <s v="LYSYV"/>
    <s v="H16"/>
    <s v="V19"/>
    <s v="V191-10"/>
    <s v="Umeå"/>
    <s v="DIST"/>
    <m/>
    <m/>
    <n v="100"/>
    <n v="15"/>
    <m/>
    <m/>
    <n v="1"/>
    <n v="0.25"/>
    <n v="0.85"/>
    <n v="0.21249999999999999"/>
    <x v="1"/>
    <s v="TUV "/>
    <s v="Sam"/>
    <s v="Studie- och yrkesvägledarprogram"/>
    <n v="24307.199999999997"/>
    <n v="22442.299999999996"/>
    <n v="10845.788749999998"/>
    <n v="5800"/>
    <n v="1450"/>
    <n v="12295.788749999998"/>
    <n v="0"/>
    <n v="0"/>
    <n v="0"/>
    <n v="0"/>
    <n v="0"/>
    <n v="0"/>
    <n v="0.7"/>
    <n v="0"/>
    <n v="0"/>
    <n v="0"/>
    <n v="0"/>
    <n v="0.3"/>
  </r>
  <r>
    <s v="6SY018"/>
    <s v="Studie- och yrkesvägledningens praktik"/>
    <m/>
    <s v="LYSYV"/>
    <s v="H16"/>
    <s v="V19"/>
    <s v="V191-10"/>
    <s v="Umeå"/>
    <s v="REGU"/>
    <m/>
    <m/>
    <n v="100"/>
    <n v="15"/>
    <m/>
    <m/>
    <n v="1"/>
    <n v="0.25"/>
    <n v="0.85"/>
    <n v="0.21249999999999999"/>
    <x v="1"/>
    <s v="TUV "/>
    <s v="Sam"/>
    <s v="Studie- och yrkesvägledarprogram"/>
    <n v="24307.199999999997"/>
    <n v="22442.299999999996"/>
    <n v="10845.788749999998"/>
    <n v="5800"/>
    <n v="1450"/>
    <n v="12295.788749999998"/>
    <n v="0"/>
    <n v="0"/>
    <n v="0"/>
    <n v="0"/>
    <n v="0"/>
    <n v="0"/>
    <n v="0.7"/>
    <n v="0"/>
    <n v="0"/>
    <n v="0"/>
    <n v="0"/>
    <n v="0.3"/>
  </r>
  <r>
    <s v="6SY018"/>
    <s v="Studie- och yrkesvägledningens praktik"/>
    <m/>
    <s v="LYSYV"/>
    <s v="H16"/>
    <s v="V19"/>
    <s v="V191-10"/>
    <s v="Umeå"/>
    <s v="REGU"/>
    <m/>
    <m/>
    <n v="100"/>
    <n v="15"/>
    <m/>
    <m/>
    <n v="28"/>
    <n v="7"/>
    <n v="0.85"/>
    <n v="5.95"/>
    <x v="1"/>
    <s v="TUV "/>
    <s v="Sam"/>
    <s v="Studie- och yrkesvägledarprogram"/>
    <n v="24307.199999999997"/>
    <n v="22442.299999999996"/>
    <n v="303682.08499999996"/>
    <n v="5800"/>
    <n v="40600"/>
    <n v="344282.08499999996"/>
    <n v="0"/>
    <n v="0"/>
    <n v="0"/>
    <n v="0"/>
    <n v="0"/>
    <n v="0"/>
    <n v="0.7"/>
    <n v="0"/>
    <n v="0"/>
    <n v="0"/>
    <n v="0"/>
    <n v="0.3"/>
  </r>
  <r>
    <s v="6SY028"/>
    <s v="Karriärutveckling i socialt och kulturellt perspektiv"/>
    <m/>
    <s v="LYSYV"/>
    <s v="H16"/>
    <s v="V19"/>
    <s v="V196-15"/>
    <s v="Umeå"/>
    <s v="DIST"/>
    <m/>
    <m/>
    <n v="100"/>
    <n v="15"/>
    <m/>
    <m/>
    <n v="2"/>
    <n v="0.5"/>
    <n v="0.85"/>
    <n v="0.42499999999999999"/>
    <x v="1"/>
    <s v="TUV "/>
    <s v="Sam"/>
    <s v="Studie- och yrkesvägledarprogram"/>
    <n v="18405"/>
    <n v="15773"/>
    <n v="15906.025"/>
    <n v="5800"/>
    <n v="2900"/>
    <n v="18806.025000000001"/>
    <n v="0"/>
    <n v="0"/>
    <n v="0"/>
    <n v="0"/>
    <n v="0"/>
    <n v="0"/>
    <n v="1"/>
    <n v="0"/>
    <n v="0"/>
    <n v="0"/>
    <n v="0"/>
    <n v="0"/>
  </r>
  <r>
    <s v="6SY028"/>
    <s v="Karriärutveckling i socialt och kulturellt perspektiv"/>
    <m/>
    <s v="LYSYV"/>
    <s v="H16"/>
    <s v="V19"/>
    <s v="V196-15"/>
    <s v="Umeå"/>
    <s v="REGU"/>
    <m/>
    <m/>
    <n v="100"/>
    <n v="15"/>
    <m/>
    <m/>
    <n v="1"/>
    <n v="0.25"/>
    <n v="0.85"/>
    <n v="0.21249999999999999"/>
    <x v="1"/>
    <s v="TUV "/>
    <s v="Sam"/>
    <s v="Studie- och yrkesvägledarprogram"/>
    <n v="18405"/>
    <n v="15773"/>
    <n v="7953.0124999999998"/>
    <n v="5800"/>
    <n v="1450"/>
    <n v="9403.0125000000007"/>
    <n v="0"/>
    <n v="0"/>
    <n v="0"/>
    <n v="0"/>
    <n v="0"/>
    <n v="0"/>
    <n v="1"/>
    <n v="0"/>
    <n v="0"/>
    <n v="0"/>
    <n v="0"/>
    <n v="0"/>
  </r>
  <r>
    <s v="6SY028"/>
    <s v="Karriärutveckling i socialt och kulturellt perspektiv"/>
    <m/>
    <s v="LYSYV"/>
    <s v="H16"/>
    <s v="V19"/>
    <s v="V196-15"/>
    <s v="Umeå"/>
    <s v="REGU"/>
    <m/>
    <m/>
    <n v="100"/>
    <n v="15"/>
    <m/>
    <m/>
    <n v="0"/>
    <n v="0"/>
    <n v="0.85"/>
    <n v="0"/>
    <x v="1"/>
    <s v="TUV "/>
    <s v="Sam"/>
    <s v="Studie- och yrkesvägledarprogram"/>
    <n v="18405"/>
    <n v="15773"/>
    <n v="0"/>
    <n v="5800"/>
    <n v="0"/>
    <n v="0"/>
    <n v="0"/>
    <n v="0"/>
    <n v="0"/>
    <n v="0"/>
    <n v="0"/>
    <n v="0"/>
    <n v="1"/>
    <n v="0"/>
    <n v="0"/>
    <n v="0"/>
    <n v="0"/>
    <n v="0"/>
  </r>
  <r>
    <s v="6SY028"/>
    <s v="Karriärutveckling i socialt och kulturellt perspektiv"/>
    <m/>
    <s v="LYSYV"/>
    <s v="H17"/>
    <s v="V19"/>
    <s v="V196-15"/>
    <s v="Umeå"/>
    <s v="DIST"/>
    <m/>
    <m/>
    <n v="100"/>
    <n v="15"/>
    <m/>
    <m/>
    <n v="0"/>
    <n v="0"/>
    <n v="0.85"/>
    <n v="0"/>
    <x v="1"/>
    <s v="TUV "/>
    <s v="Sam"/>
    <s v="Studie- och yrkesvägledarprogram"/>
    <n v="18405"/>
    <n v="15773"/>
    <n v="0"/>
    <n v="5800"/>
    <n v="0"/>
    <n v="0"/>
    <n v="0"/>
    <n v="0"/>
    <n v="0"/>
    <n v="0"/>
    <n v="0"/>
    <n v="0"/>
    <n v="1"/>
    <n v="0"/>
    <n v="0"/>
    <n v="0"/>
    <n v="0"/>
    <n v="0"/>
  </r>
  <r>
    <s v="6SY028"/>
    <s v="Karriärutveckling i socialt och kulturellt perspektiv"/>
    <m/>
    <s v="LYSYV"/>
    <s v="H17"/>
    <s v="V19"/>
    <s v="V196-15"/>
    <s v="Umeå"/>
    <s v="DIST"/>
    <m/>
    <m/>
    <n v="100"/>
    <n v="15"/>
    <m/>
    <m/>
    <n v="9"/>
    <n v="2.25"/>
    <n v="0.85"/>
    <n v="1.9124999999999999"/>
    <x v="1"/>
    <s v="TUV "/>
    <s v="Sam"/>
    <s v="Studie- och yrkesvägledarprogram"/>
    <n v="18405"/>
    <n v="15773"/>
    <n v="71577.112500000003"/>
    <n v="5800"/>
    <n v="13050"/>
    <n v="84627.112500000003"/>
    <n v="0"/>
    <n v="0"/>
    <n v="0"/>
    <n v="0"/>
    <n v="0"/>
    <n v="0"/>
    <n v="1"/>
    <n v="0"/>
    <n v="0"/>
    <n v="0"/>
    <n v="0"/>
    <n v="0"/>
  </r>
  <r>
    <s v="6SY028"/>
    <s v="Karriärutveckling i socialt och kulturellt perspektiv"/>
    <m/>
    <s v="LYSYV"/>
    <s v="H17"/>
    <s v="V19"/>
    <s v="V196-15"/>
    <s v="Umeå"/>
    <s v="REGU"/>
    <m/>
    <m/>
    <n v="100"/>
    <n v="15"/>
    <m/>
    <m/>
    <n v="1"/>
    <n v="0.25"/>
    <n v="0.85"/>
    <n v="0.21249999999999999"/>
    <x v="1"/>
    <s v="TUV "/>
    <s v="Sam"/>
    <s v="Studie- och yrkesvägledarprogram"/>
    <n v="18405"/>
    <n v="15773"/>
    <n v="7953.0124999999998"/>
    <n v="5800"/>
    <n v="1450"/>
    <n v="9403.0125000000007"/>
    <n v="0"/>
    <n v="0"/>
    <n v="0"/>
    <n v="0"/>
    <n v="0"/>
    <n v="0"/>
    <n v="1"/>
    <n v="0"/>
    <n v="0"/>
    <n v="0"/>
    <n v="0"/>
    <n v="0"/>
  </r>
  <r>
    <s v="6SY028"/>
    <s v="Karriärutveckling i socialt och kulturellt perspektiv"/>
    <m/>
    <s v="LYSYV"/>
    <s v="H17"/>
    <s v="V19"/>
    <s v="V196-15"/>
    <s v="Umeå"/>
    <s v="REGU"/>
    <m/>
    <m/>
    <n v="100"/>
    <n v="15"/>
    <m/>
    <m/>
    <n v="1"/>
    <n v="0.25"/>
    <n v="0.85"/>
    <n v="0.21249999999999999"/>
    <x v="1"/>
    <s v="TUV "/>
    <s v="Sam"/>
    <s v="Studie- och yrkesvägledarprogram"/>
    <n v="18405"/>
    <n v="15773"/>
    <n v="7953.0124999999998"/>
    <n v="5800"/>
    <n v="1450"/>
    <n v="9403.0125000000007"/>
    <n v="0"/>
    <n v="0"/>
    <n v="0"/>
    <n v="0"/>
    <n v="0"/>
    <n v="0"/>
    <n v="1"/>
    <n v="0"/>
    <n v="0"/>
    <n v="0"/>
    <n v="0"/>
    <n v="0"/>
  </r>
  <r>
    <s v="6SY028"/>
    <s v="Karriärutveckling i socialt och kulturellt perspektiv"/>
    <m/>
    <s v="LYSYV"/>
    <s v="H17"/>
    <s v="V19"/>
    <s v="V196-15"/>
    <s v="Umeå"/>
    <s v="REGU"/>
    <m/>
    <m/>
    <n v="100"/>
    <n v="15"/>
    <m/>
    <m/>
    <n v="19"/>
    <n v="4.75"/>
    <n v="0.85"/>
    <n v="4.0374999999999996"/>
    <x v="1"/>
    <s v="TUV "/>
    <s v="Sam"/>
    <s v="Studie- och yrkesvägledarprogram"/>
    <n v="18405"/>
    <n v="15773"/>
    <n v="151107.23749999999"/>
    <n v="5800"/>
    <n v="27550"/>
    <n v="178657.23749999999"/>
    <n v="0"/>
    <n v="0"/>
    <n v="0"/>
    <n v="0"/>
    <n v="0"/>
    <n v="0"/>
    <n v="1"/>
    <n v="0"/>
    <n v="0"/>
    <n v="0"/>
    <n v="0"/>
    <n v="0"/>
  </r>
  <r>
    <s v="6SY029"/>
    <s v="Karriärvägledning och andra insatser för människor i behov av särskilt stöd"/>
    <m/>
    <s v="LYSYV"/>
    <s v="H16"/>
    <s v="H19"/>
    <s v="H191-10"/>
    <m/>
    <s v="REGU"/>
    <m/>
    <m/>
    <n v="100"/>
    <n v="10"/>
    <m/>
    <m/>
    <n v="2"/>
    <n v="0.33333333333333331"/>
    <n v="0.85"/>
    <n v="0.28333333333333333"/>
    <x v="1"/>
    <s v="TUV "/>
    <s v="Sam"/>
    <s v="Studie- och yrkesvägledarprogram"/>
    <n v="22339.8"/>
    <n v="20219.2"/>
    <n v="13175.373333333333"/>
    <n v="5800"/>
    <n v="1933.3333333333333"/>
    <n v="15108.706666666667"/>
    <n v="0"/>
    <n v="0"/>
    <n v="0"/>
    <n v="0"/>
    <n v="0"/>
    <n v="0"/>
    <n v="0.8"/>
    <n v="0"/>
    <n v="0"/>
    <n v="0"/>
    <n v="0"/>
    <n v="0.2"/>
  </r>
  <r>
    <s v="6SY029"/>
    <s v="Karriärvägledning och andra insatser för människor i behov av särskilt stöd"/>
    <m/>
    <s v="LYSYV"/>
    <s v="H17"/>
    <s v="H19"/>
    <s v="H191-10"/>
    <m/>
    <s v="DIST"/>
    <m/>
    <m/>
    <n v="100"/>
    <n v="10"/>
    <m/>
    <m/>
    <n v="12"/>
    <n v="2"/>
    <n v="0.85"/>
    <n v="1.7"/>
    <x v="1"/>
    <s v="TUV "/>
    <s v="Sam"/>
    <s v="Studie- och yrkesvägledarprogram"/>
    <n v="22339.8"/>
    <n v="20219.2"/>
    <n v="79052.239999999991"/>
    <n v="5800"/>
    <n v="11600"/>
    <n v="90652.239999999991"/>
    <n v="0"/>
    <n v="0"/>
    <n v="0"/>
    <n v="0"/>
    <n v="0"/>
    <n v="0"/>
    <n v="0.8"/>
    <n v="0"/>
    <n v="0"/>
    <n v="0"/>
    <n v="0"/>
    <n v="0.2"/>
  </r>
  <r>
    <s v="6SY029"/>
    <s v="Karriärvägledning och andra insatser för människor i behov av särskilt stöd"/>
    <m/>
    <s v="LYSYV"/>
    <s v="H17"/>
    <s v="H19"/>
    <s v="H191-10"/>
    <m/>
    <s v="REGU"/>
    <m/>
    <m/>
    <n v="100"/>
    <n v="10"/>
    <m/>
    <m/>
    <n v="19"/>
    <n v="3.1666666666666665"/>
    <n v="0.85"/>
    <n v="2.6916666666666664"/>
    <x v="1"/>
    <s v="TUV "/>
    <s v="Sam"/>
    <s v="Studie- och yrkesvägledarprogram"/>
    <n v="22339.8"/>
    <n v="20219.2"/>
    <n v="125166.04666666666"/>
    <n v="5800"/>
    <n v="18366.666666666664"/>
    <n v="143532.71333333332"/>
    <n v="0"/>
    <n v="0"/>
    <n v="0"/>
    <n v="0"/>
    <n v="0"/>
    <n v="0"/>
    <n v="0.8"/>
    <n v="0"/>
    <n v="0"/>
    <n v="0"/>
    <n v="0"/>
    <n v="0.2"/>
  </r>
  <r>
    <s v="6SY029"/>
    <s v="Karriärvägledning och andra insatser för människor i behov av särskilt stöd"/>
    <m/>
    <s v="LYSYV"/>
    <s v="H18"/>
    <s v="H19"/>
    <s v="H191-10"/>
    <m/>
    <s v="REGU"/>
    <m/>
    <m/>
    <n v="100"/>
    <n v="10"/>
    <m/>
    <m/>
    <n v="1"/>
    <n v="0.16666666666666666"/>
    <n v="0.85"/>
    <n v="0.14166666666666666"/>
    <x v="1"/>
    <s v="TUV "/>
    <s v="Sam"/>
    <s v="Studie- och yrkesvägledarprogram"/>
    <n v="22339.8"/>
    <n v="20219.2"/>
    <n v="6587.6866666666665"/>
    <n v="5800"/>
    <n v="966.66666666666663"/>
    <n v="7554.3533333333335"/>
    <n v="0"/>
    <n v="0"/>
    <n v="0"/>
    <n v="0"/>
    <n v="0"/>
    <n v="0"/>
    <n v="0.8"/>
    <n v="0"/>
    <n v="0"/>
    <n v="0"/>
    <n v="0"/>
    <n v="0.2"/>
  </r>
  <r>
    <s v="6SY029"/>
    <s v="Karriärvägledning och andra insatser för människor i behov av särskilt stöd"/>
    <m/>
    <s v="LYSYV"/>
    <s v="H19"/>
    <s v="H19"/>
    <s v="H191-10"/>
    <m/>
    <s v="DIST"/>
    <s v="DIOB"/>
    <m/>
    <n v="100"/>
    <n v="10"/>
    <m/>
    <m/>
    <n v="27"/>
    <n v="4.5"/>
    <n v="0.85"/>
    <n v="3.8249999999999997"/>
    <x v="1"/>
    <s v="TUV "/>
    <s v="Sam"/>
    <s v="Studie- och yrkesvägledarprogram"/>
    <n v="22339.8"/>
    <n v="20219.2"/>
    <n v="177867.53999999998"/>
    <n v="5800"/>
    <n v="26100"/>
    <n v="203967.53999999998"/>
    <n v="0"/>
    <n v="0"/>
    <n v="0"/>
    <n v="0"/>
    <n v="0"/>
    <n v="0"/>
    <n v="0.8"/>
    <n v="0"/>
    <n v="0"/>
    <n v="0"/>
    <n v="0"/>
    <n v="0.2"/>
  </r>
  <r>
    <s v="6SY030"/>
    <s v="Karriärteori och vägledning"/>
    <m/>
    <s v="LYSYV"/>
    <s v="H10"/>
    <s v="H19"/>
    <s v="H1911-15"/>
    <m/>
    <s v="DIST"/>
    <m/>
    <m/>
    <n v="100"/>
    <n v="12.5"/>
    <m/>
    <m/>
    <n v="1"/>
    <n v="0.20833333333333334"/>
    <n v="0.85"/>
    <n v="0.17708333333333334"/>
    <x v="1"/>
    <s v="TUV "/>
    <s v="Sam"/>
    <s v="Studie- och yrkesvägledarprogram"/>
    <n v="18405"/>
    <n v="15773"/>
    <n v="6627.510416666667"/>
    <n v="5800"/>
    <n v="1208.3333333333335"/>
    <n v="7835.84375"/>
    <n v="0"/>
    <n v="0"/>
    <n v="0"/>
    <n v="0"/>
    <n v="0"/>
    <n v="0"/>
    <n v="1"/>
    <n v="0"/>
    <n v="0"/>
    <n v="0"/>
    <n v="0"/>
    <n v="0"/>
  </r>
  <r>
    <s v="6SY030"/>
    <s v="Karriärteori och vägledning"/>
    <m/>
    <s v="LYSYV"/>
    <s v="H16"/>
    <s v="H19"/>
    <s v="H1911-15"/>
    <m/>
    <s v="DIST"/>
    <m/>
    <m/>
    <n v="100"/>
    <n v="12.5"/>
    <m/>
    <m/>
    <n v="1"/>
    <n v="0.20833333333333334"/>
    <n v="0.85"/>
    <n v="0.17708333333333334"/>
    <x v="1"/>
    <s v="TUV "/>
    <s v="Sam"/>
    <s v="Studie- och yrkesvägledarprogram"/>
    <n v="18405"/>
    <n v="15773"/>
    <n v="6627.510416666667"/>
    <n v="5800"/>
    <n v="1208.3333333333335"/>
    <n v="7835.84375"/>
    <n v="0"/>
    <n v="0"/>
    <n v="0"/>
    <n v="0"/>
    <n v="0"/>
    <n v="0"/>
    <n v="1"/>
    <n v="0"/>
    <n v="0"/>
    <n v="0"/>
    <n v="0"/>
    <n v="0"/>
  </r>
  <r>
    <s v="6SY030"/>
    <s v="Karriärteori och vägledning"/>
    <m/>
    <s v="LYSYV"/>
    <s v="H16"/>
    <s v="H19"/>
    <s v="H1911-15"/>
    <m/>
    <s v="REGU"/>
    <m/>
    <m/>
    <n v="100"/>
    <n v="12.5"/>
    <m/>
    <m/>
    <n v="1"/>
    <n v="0.20833333333333334"/>
    <n v="0.85"/>
    <n v="0.17708333333333334"/>
    <x v="1"/>
    <s v="TUV "/>
    <s v="Sam"/>
    <s v="Studie- och yrkesvägledarprogram"/>
    <n v="18405"/>
    <n v="15773"/>
    <n v="6627.510416666667"/>
    <n v="5800"/>
    <n v="1208.3333333333335"/>
    <n v="7835.84375"/>
    <n v="0"/>
    <n v="0"/>
    <n v="0"/>
    <n v="0"/>
    <n v="0"/>
    <n v="0"/>
    <n v="1"/>
    <n v="0"/>
    <n v="0"/>
    <n v="0"/>
    <n v="0"/>
    <n v="0"/>
  </r>
  <r>
    <s v="6SY030"/>
    <s v="Karriärteori och vägledning"/>
    <m/>
    <s v="LYSYV"/>
    <s v="H17"/>
    <s v="H19"/>
    <s v="H1911-15"/>
    <m/>
    <s v="DIST"/>
    <m/>
    <m/>
    <n v="100"/>
    <n v="12.5"/>
    <m/>
    <m/>
    <n v="13"/>
    <n v="2.7083333333333335"/>
    <n v="0.85"/>
    <n v="2.3020833333333335"/>
    <x v="1"/>
    <s v="TUV "/>
    <s v="Sam"/>
    <s v="Studie- och yrkesvägledarprogram"/>
    <n v="18405"/>
    <n v="15773"/>
    <n v="86157.635416666672"/>
    <n v="5800"/>
    <n v="15708.333333333334"/>
    <n v="101865.96875"/>
    <n v="0"/>
    <n v="0"/>
    <n v="0"/>
    <n v="0"/>
    <n v="0"/>
    <n v="0"/>
    <n v="1"/>
    <n v="0"/>
    <n v="0"/>
    <n v="0"/>
    <n v="0"/>
    <n v="0"/>
  </r>
  <r>
    <s v="6SY030"/>
    <s v="Karriärteori och vägledning"/>
    <m/>
    <s v="LYSYV"/>
    <s v="H17"/>
    <s v="H19"/>
    <s v="H1911-15"/>
    <m/>
    <s v="REGU"/>
    <m/>
    <m/>
    <n v="100"/>
    <n v="12.5"/>
    <m/>
    <m/>
    <n v="19"/>
    <n v="3.9583333333333335"/>
    <n v="0.85"/>
    <n v="3.3645833333333335"/>
    <x v="1"/>
    <s v="TUV "/>
    <s v="Sam"/>
    <s v="Studie- och yrkesvägledarprogram"/>
    <n v="18405"/>
    <n v="15773"/>
    <n v="125922.69791666667"/>
    <n v="5800"/>
    <n v="22958.333333333336"/>
    <n v="148881.03125"/>
    <n v="0"/>
    <n v="0"/>
    <n v="0"/>
    <n v="0"/>
    <n v="0"/>
    <n v="0"/>
    <n v="1"/>
    <n v="0"/>
    <n v="0"/>
    <n v="0"/>
    <n v="0"/>
    <n v="0"/>
  </r>
  <r>
    <s v="6SY030"/>
    <s v="Karriärteori och vägledning"/>
    <m/>
    <s v="LYSYV"/>
    <s v="H18"/>
    <s v="H19"/>
    <s v="H1911-15"/>
    <m/>
    <s v="REGU"/>
    <m/>
    <m/>
    <n v="100"/>
    <n v="12.5"/>
    <m/>
    <m/>
    <n v="1"/>
    <n v="0.20833333333333334"/>
    <n v="0.85"/>
    <n v="0.17708333333333334"/>
    <x v="1"/>
    <s v="TUV "/>
    <s v="Sam"/>
    <s v="Studie- och yrkesvägledarprogram"/>
    <n v="18405"/>
    <n v="15773"/>
    <n v="6627.510416666667"/>
    <n v="5800"/>
    <n v="1208.3333333333335"/>
    <n v="7835.84375"/>
    <n v="0"/>
    <n v="0"/>
    <n v="0"/>
    <n v="0"/>
    <n v="0"/>
    <n v="0"/>
    <n v="1"/>
    <n v="0"/>
    <n v="0"/>
    <n v="0"/>
    <n v="0"/>
    <n v="0"/>
  </r>
  <r>
    <s v="6SY030"/>
    <s v="Karriärteori och vägledning"/>
    <m/>
    <s v="LYSYV"/>
    <s v="H19"/>
    <s v="H19"/>
    <s v="H1911-15"/>
    <m/>
    <s v="DIST"/>
    <s v="DIOB"/>
    <m/>
    <n v="100"/>
    <n v="12.5"/>
    <n v="-0.05"/>
    <n v="27"/>
    <n v="25.65"/>
    <n v="5.34375"/>
    <n v="0.85"/>
    <n v="4.5421874999999998"/>
    <x v="1"/>
    <s v="TUV "/>
    <s v="Sam"/>
    <s v="Studie- och yrkesvägledarprogram"/>
    <n v="18405"/>
    <n v="15773"/>
    <n v="169995.64218749999"/>
    <n v="5800"/>
    <n v="30993.75"/>
    <n v="200989.39218749999"/>
    <n v="0"/>
    <n v="0"/>
    <n v="0"/>
    <n v="0"/>
    <n v="0"/>
    <n v="0"/>
    <n v="1"/>
    <n v="0"/>
    <n v="0"/>
    <n v="0"/>
    <n v="0"/>
    <n v="0"/>
  </r>
  <r>
    <s v="6SY031"/>
    <s v="Gruppvägledning med inriktning mot karriärutveckling"/>
    <m/>
    <s v="LYSYV"/>
    <s v="H16"/>
    <s v="H19"/>
    <s v="H1916-20"/>
    <m/>
    <s v="REGU"/>
    <m/>
    <m/>
    <n v="100"/>
    <n v="7.5"/>
    <m/>
    <m/>
    <n v="1"/>
    <n v="0.125"/>
    <n v="0.85"/>
    <n v="0.10625"/>
    <x v="1"/>
    <s v="TUV "/>
    <s v="Sam"/>
    <s v="Studie- och yrkesvägledarprogram"/>
    <n v="34144.199999999997"/>
    <n v="33557.800000000003"/>
    <n v="7833.5412500000002"/>
    <n v="5800"/>
    <n v="725"/>
    <n v="8558.5412500000002"/>
    <n v="0"/>
    <n v="0"/>
    <n v="0"/>
    <n v="0"/>
    <n v="0"/>
    <n v="0"/>
    <n v="0.2"/>
    <n v="0"/>
    <n v="0"/>
    <n v="0"/>
    <n v="0"/>
    <n v="0.8"/>
  </r>
  <r>
    <s v="6SY031"/>
    <s v="Gruppvägledning med inriktning mot karriärutveckling"/>
    <m/>
    <s v="LYSYV"/>
    <s v="H17"/>
    <s v="H19"/>
    <s v="H1916-20"/>
    <m/>
    <s v="DIST"/>
    <m/>
    <m/>
    <n v="100"/>
    <n v="7.5"/>
    <m/>
    <m/>
    <n v="12"/>
    <n v="1.5"/>
    <n v="0.85"/>
    <n v="1.2749999999999999"/>
    <x v="1"/>
    <s v="TUV "/>
    <s v="Sam"/>
    <s v="Studie- och yrkesvägledarprogram"/>
    <n v="34144.199999999997"/>
    <n v="33557.800000000003"/>
    <n v="94002.494999999995"/>
    <n v="5800"/>
    <n v="8700"/>
    <n v="102702.495"/>
    <n v="0"/>
    <n v="0"/>
    <n v="0"/>
    <n v="0"/>
    <n v="0"/>
    <n v="0"/>
    <n v="0.2"/>
    <n v="0"/>
    <n v="0"/>
    <n v="0"/>
    <n v="0"/>
    <n v="0.8"/>
  </r>
  <r>
    <s v="6SY031"/>
    <s v="Gruppvägledning med inriktning mot karriärutveckling"/>
    <m/>
    <s v="LYSYV"/>
    <s v="H17"/>
    <s v="H19"/>
    <s v="H1916-20"/>
    <m/>
    <s v="REGU"/>
    <m/>
    <m/>
    <n v="100"/>
    <n v="7.5"/>
    <m/>
    <m/>
    <n v="19"/>
    <n v="2.375"/>
    <n v="0.85"/>
    <n v="2.0187499999999998"/>
    <x v="1"/>
    <s v="TUV "/>
    <s v="Sam"/>
    <s v="Studie- och yrkesvägledarprogram"/>
    <n v="34144.199999999997"/>
    <n v="33557.800000000003"/>
    <n v="148837.28375"/>
    <n v="5800"/>
    <n v="13775"/>
    <n v="162612.28375"/>
    <n v="0"/>
    <n v="0"/>
    <n v="0"/>
    <n v="0"/>
    <n v="0"/>
    <n v="0"/>
    <n v="0.2"/>
    <n v="0"/>
    <n v="0"/>
    <n v="0"/>
    <n v="0"/>
    <n v="0.8"/>
  </r>
  <r>
    <s v="6SY031"/>
    <s v="Gruppvägledning med inriktning mot karriärutveckling"/>
    <m/>
    <s v="LYSYV"/>
    <s v="H18"/>
    <s v="H19"/>
    <s v="H1916-20"/>
    <m/>
    <s v="REGU"/>
    <m/>
    <m/>
    <n v="100"/>
    <n v="7.5"/>
    <m/>
    <m/>
    <n v="1"/>
    <n v="0.125"/>
    <n v="0.85"/>
    <n v="0.10625"/>
    <x v="1"/>
    <s v="TUV "/>
    <s v="Sam"/>
    <s v="Studie- och yrkesvägledarprogram"/>
    <n v="34144.199999999997"/>
    <n v="33557.800000000003"/>
    <n v="7833.5412500000002"/>
    <n v="5800"/>
    <n v="725"/>
    <n v="8558.5412500000002"/>
    <n v="0"/>
    <n v="0"/>
    <n v="0"/>
    <n v="0"/>
    <n v="0"/>
    <n v="0"/>
    <n v="0.2"/>
    <n v="0"/>
    <n v="0"/>
    <n v="0"/>
    <n v="0"/>
    <n v="0.8"/>
  </r>
  <r>
    <s v="6SY031"/>
    <s v="Gruppvägledning med inriktning mot karriärutveckling"/>
    <m/>
    <s v="LYSYV"/>
    <s v="H19"/>
    <s v="H19"/>
    <s v="H1916-20"/>
    <m/>
    <s v="DIST"/>
    <s v="DIOB"/>
    <m/>
    <n v="100"/>
    <n v="7.5"/>
    <n v="-0.05"/>
    <n v="27"/>
    <n v="25.65"/>
    <n v="3.2062499999999998"/>
    <n v="0.85"/>
    <n v="2.7253124999999998"/>
    <x v="1"/>
    <s v="TUV "/>
    <s v="Sam"/>
    <s v="Studie- och yrkesvägledarprogram"/>
    <n v="34144.199999999997"/>
    <n v="33557.800000000003"/>
    <n v="200930.33306249999"/>
    <n v="5800"/>
    <n v="18596.25"/>
    <n v="219526.58306249999"/>
    <n v="0"/>
    <n v="0"/>
    <n v="0"/>
    <n v="0"/>
    <n v="0"/>
    <n v="0"/>
    <n v="0.2"/>
    <n v="0"/>
    <n v="0"/>
    <n v="0"/>
    <n v="0"/>
    <n v="0.8"/>
  </r>
  <r>
    <s v="6SY032"/>
    <s v="Kommunikation och undervisning"/>
    <m/>
    <s v="LYSYV"/>
    <s v="H18"/>
    <s v="V19"/>
    <s v="V1916-20"/>
    <s v="Umeå"/>
    <s v="DIST"/>
    <m/>
    <m/>
    <n v="100"/>
    <n v="7.5"/>
    <m/>
    <m/>
    <n v="20"/>
    <n v="2.5"/>
    <n v="0.85"/>
    <n v="2.125"/>
    <x v="0"/>
    <s v="Pedagogik                     "/>
    <s v="Sam"/>
    <s v="Studie- och yrkesvägledarprogram"/>
    <n v="18405"/>
    <n v="15773"/>
    <n v="79530.125"/>
    <n v="5800"/>
    <n v="14500"/>
    <n v="94030.125"/>
    <n v="0"/>
    <n v="0"/>
    <n v="0"/>
    <n v="0"/>
    <n v="0"/>
    <n v="0"/>
    <n v="1"/>
    <n v="0"/>
    <n v="0"/>
    <n v="0"/>
    <n v="0"/>
    <n v="0"/>
  </r>
  <r>
    <s v="6SY032"/>
    <s v="Kommunikation och undervisning"/>
    <m/>
    <s v="LYSYV"/>
    <s v="H18"/>
    <s v="V19"/>
    <s v="V1916-20"/>
    <s v="Umeå"/>
    <s v="REGU"/>
    <m/>
    <m/>
    <n v="100"/>
    <n v="7.5"/>
    <m/>
    <m/>
    <n v="23"/>
    <n v="2.875"/>
    <n v="0.85"/>
    <n v="2.4437500000000001"/>
    <x v="0"/>
    <s v="Pedagogik                     "/>
    <s v="Sam"/>
    <s v="Studie- och yrkesvägledarprogram"/>
    <n v="18405"/>
    <n v="15773"/>
    <n v="91459.643750000003"/>
    <n v="5800"/>
    <n v="16675"/>
    <n v="108134.64375"/>
    <n v="0"/>
    <n v="0"/>
    <n v="0"/>
    <n v="0"/>
    <n v="0"/>
    <n v="0"/>
    <n v="1"/>
    <n v="0"/>
    <n v="0"/>
    <n v="0"/>
    <n v="0"/>
    <n v="0"/>
  </r>
  <r>
    <s v="6SY033"/>
    <s v="Introduktion till studie- och yrkesvägledning"/>
    <m/>
    <s v="FRIST"/>
    <m/>
    <s v="V19"/>
    <m/>
    <s v="Umeå"/>
    <s v="DIST"/>
    <s v="DIOB"/>
    <m/>
    <n v="100"/>
    <n v="12.5"/>
    <m/>
    <m/>
    <n v="33"/>
    <n v="6.875"/>
    <n v="0.85"/>
    <n v="5.84375"/>
    <x v="1"/>
    <s v="TUV "/>
    <s v="Sam"/>
    <s v="Fristående och övriga kurser"/>
    <n v="18405"/>
    <n v="15773"/>
    <n v="218707.84375"/>
    <n v="5800"/>
    <n v="39875"/>
    <n v="258582.84375"/>
    <n v="0"/>
    <n v="0"/>
    <n v="0"/>
    <n v="0"/>
    <n v="0"/>
    <n v="0"/>
    <n v="1"/>
    <n v="0"/>
    <n v="0"/>
    <n v="0"/>
    <n v="0"/>
    <n v="0"/>
  </r>
  <r>
    <s v="6SY034"/>
    <s v="Teorier, modeller och metoder för karriärvägledning"/>
    <m/>
    <s v="FRIST"/>
    <m/>
    <s v="V19"/>
    <m/>
    <s v="Umeå"/>
    <s v="DIST"/>
    <s v="DIOB"/>
    <m/>
    <n v="100"/>
    <n v="7.5"/>
    <m/>
    <m/>
    <n v="32"/>
    <n v="4"/>
    <n v="0.85"/>
    <n v="3.4"/>
    <x v="1"/>
    <s v="TUV "/>
    <s v="Sam"/>
    <s v="Fristående och övriga kurser"/>
    <n v="18405"/>
    <n v="15773"/>
    <n v="127248.2"/>
    <n v="5800"/>
    <n v="23200"/>
    <n v="150448.20000000001"/>
    <n v="0"/>
    <n v="0"/>
    <n v="0"/>
    <n v="0"/>
    <n v="0"/>
    <n v="0"/>
    <n v="1"/>
    <n v="0"/>
    <n v="0"/>
    <n v="0"/>
    <n v="0"/>
    <n v="0"/>
  </r>
  <r>
    <s v="6SY035"/>
    <s v="Samhällsvetenskap"/>
    <m/>
    <s v="FRIST"/>
    <m/>
    <s v="V19"/>
    <m/>
    <s v="Umeå"/>
    <s v="DIST"/>
    <s v="DIOB"/>
    <m/>
    <n v="100"/>
    <n v="10"/>
    <n v="-0.08"/>
    <n v="33"/>
    <n v="30.36"/>
    <n v="5.0599999999999996"/>
    <n v="0.85"/>
    <n v="4.3009999999999993"/>
    <x v="1"/>
    <s v="TUV "/>
    <s v="Sam"/>
    <s v="Fristående och övriga kurser"/>
    <n v="18405"/>
    <n v="15773"/>
    <n v="160968.973"/>
    <n v="5800"/>
    <n v="29347.999999999996"/>
    <n v="190316.973"/>
    <n v="0"/>
    <n v="0"/>
    <n v="0"/>
    <n v="0"/>
    <n v="0"/>
    <n v="0"/>
    <n v="1"/>
    <n v="0"/>
    <n v="0"/>
    <n v="0"/>
    <n v="0"/>
    <n v="0"/>
  </r>
  <r>
    <s v="6SY036"/>
    <s v="Arbetsliv och lärande"/>
    <m/>
    <s v="LYSYV"/>
    <s v="H16"/>
    <s v="V19"/>
    <s v="V191-5"/>
    <s v="Umeå"/>
    <s v="DIST"/>
    <m/>
    <m/>
    <n v="100"/>
    <n v="7.5"/>
    <m/>
    <m/>
    <n v="1"/>
    <n v="0.125"/>
    <n v="0.85"/>
    <n v="0.10625"/>
    <x v="0"/>
    <s v="Pedagogik                     "/>
    <s v="Sam"/>
    <s v="Studie- och yrkesvägledarprogram"/>
    <n v="18405"/>
    <n v="15773"/>
    <n v="3976.5062499999999"/>
    <n v="5800"/>
    <n v="725"/>
    <n v="4701.5062500000004"/>
    <n v="0"/>
    <n v="0"/>
    <n v="0"/>
    <n v="0"/>
    <n v="0"/>
    <n v="0"/>
    <n v="1"/>
    <n v="0"/>
    <n v="0"/>
    <n v="0"/>
    <n v="0"/>
    <n v="0"/>
  </r>
  <r>
    <s v="6SY036"/>
    <s v="Arbetsliv och lärande"/>
    <m/>
    <s v="LYSYV"/>
    <s v="H17"/>
    <s v="V19"/>
    <s v="V191-5"/>
    <s v="Umeå"/>
    <s v="DIST"/>
    <m/>
    <m/>
    <n v="100"/>
    <n v="7.5"/>
    <m/>
    <m/>
    <n v="1"/>
    <n v="0.125"/>
    <n v="0.85"/>
    <n v="0.10625"/>
    <x v="0"/>
    <s v="Pedagogik                     "/>
    <s v="Sam"/>
    <s v="Studie- och yrkesvägledarprogram"/>
    <n v="18405"/>
    <n v="15773"/>
    <n v="3976.5062499999999"/>
    <n v="5800"/>
    <n v="725"/>
    <n v="4701.5062500000004"/>
    <n v="0"/>
    <n v="0"/>
    <n v="0"/>
    <n v="0"/>
    <n v="0"/>
    <n v="0"/>
    <n v="1"/>
    <n v="0"/>
    <n v="0"/>
    <n v="0"/>
    <n v="0"/>
    <n v="0"/>
  </r>
  <r>
    <s v="6SY036"/>
    <s v="Arbetsliv och lärande"/>
    <m/>
    <s v="LYSYV"/>
    <s v="H17"/>
    <s v="V19"/>
    <s v="V191-5"/>
    <s v="Umeå"/>
    <s v="DIST"/>
    <m/>
    <m/>
    <n v="100"/>
    <n v="7.5"/>
    <m/>
    <m/>
    <n v="10"/>
    <n v="1.25"/>
    <n v="0.85"/>
    <n v="1.0625"/>
    <x v="0"/>
    <s v="Pedagogik                     "/>
    <s v="Sam"/>
    <s v="Studie- och yrkesvägledarprogram"/>
    <n v="18405"/>
    <n v="15773"/>
    <n v="39765.0625"/>
    <n v="5800"/>
    <n v="7250"/>
    <n v="47015.0625"/>
    <n v="0"/>
    <n v="0"/>
    <n v="0"/>
    <n v="0"/>
    <n v="0"/>
    <n v="0"/>
    <n v="1"/>
    <n v="0"/>
    <n v="0"/>
    <n v="0"/>
    <n v="0"/>
    <n v="0"/>
  </r>
  <r>
    <s v="6SY036"/>
    <s v="Arbetsliv och lärande"/>
    <m/>
    <s v="LYSYV"/>
    <s v="H17"/>
    <s v="V19"/>
    <s v="V191-5"/>
    <s v="Umeå"/>
    <s v="REGU"/>
    <m/>
    <m/>
    <n v="100"/>
    <n v="7.5"/>
    <m/>
    <m/>
    <n v="19"/>
    <n v="2.375"/>
    <n v="0.85"/>
    <n v="2.0187499999999998"/>
    <x v="0"/>
    <s v="Pedagogik                     "/>
    <s v="Sam"/>
    <s v="Studie- och yrkesvägledarprogram"/>
    <n v="18405"/>
    <n v="15773"/>
    <n v="75553.618749999994"/>
    <n v="5800"/>
    <n v="13775"/>
    <n v="89328.618749999994"/>
    <n v="0"/>
    <n v="0"/>
    <n v="0"/>
    <n v="0"/>
    <n v="0"/>
    <n v="0"/>
    <n v="1"/>
    <n v="0"/>
    <n v="0"/>
    <n v="0"/>
    <n v="0"/>
    <n v="0"/>
  </r>
  <r>
    <s v="6SY037"/>
    <s v="Teorier, modeller och metoder för vägledning och dess praktik"/>
    <m/>
    <s v="LYSYV"/>
    <s v="H18"/>
    <s v="H19"/>
    <s v="H198-20"/>
    <m/>
    <s v="DIST"/>
    <m/>
    <m/>
    <n v="100"/>
    <n v="20"/>
    <m/>
    <m/>
    <n v="19"/>
    <n v="6.333333333333333"/>
    <n v="0.85"/>
    <n v="5.3833333333333329"/>
    <x v="1"/>
    <s v="TUV "/>
    <s v="Sam"/>
    <s v="Studie- och yrkesvägledarprogram"/>
    <n v="27258.3"/>
    <n v="25776.95"/>
    <n v="311401.81416666665"/>
    <n v="5800"/>
    <n v="36733.333333333328"/>
    <n v="348135.14749999996"/>
    <n v="0"/>
    <n v="0"/>
    <n v="0"/>
    <n v="0"/>
    <n v="0"/>
    <n v="0"/>
    <n v="0.55000000000000004"/>
    <n v="0"/>
    <n v="0"/>
    <n v="0"/>
    <n v="0"/>
    <n v="0.45"/>
  </r>
  <r>
    <s v="6SY037"/>
    <s v="Teorier, modeller och metoder för vägledning och dess praktik"/>
    <m/>
    <s v="LYSYV"/>
    <s v="H18"/>
    <s v="H19"/>
    <s v="H198-20"/>
    <m/>
    <s v="REGU"/>
    <m/>
    <m/>
    <n v="100"/>
    <n v="20"/>
    <m/>
    <m/>
    <n v="22"/>
    <n v="7.333333333333333"/>
    <n v="0.85"/>
    <n v="6.2333333333333325"/>
    <x v="1"/>
    <s v="TUV "/>
    <s v="Sam"/>
    <s v="Studie- och yrkesvägledarprogram"/>
    <n v="27258.3"/>
    <n v="25776.95"/>
    <n v="360570.52166666661"/>
    <n v="5800"/>
    <n v="42533.333333333328"/>
    <n v="403103.85499999992"/>
    <n v="0"/>
    <n v="0"/>
    <n v="0"/>
    <n v="0"/>
    <n v="0"/>
    <n v="0"/>
    <n v="0.55000000000000004"/>
    <n v="0"/>
    <n v="0"/>
    <n v="0"/>
    <n v="0"/>
    <n v="0.45"/>
  </r>
  <r>
    <s v="6SY038"/>
    <s v="Beteendevetenskapliga grunder"/>
    <m/>
    <s v="LYSYV"/>
    <s v="H18"/>
    <s v="H19"/>
    <s v="H1911-15"/>
    <m/>
    <s v="REGU"/>
    <m/>
    <m/>
    <n v="100"/>
    <n v="7.5"/>
    <m/>
    <m/>
    <n v="1"/>
    <n v="0.125"/>
    <n v="0.85"/>
    <n v="0.10625"/>
    <x v="1"/>
    <s v="TUV "/>
    <s v="Sam"/>
    <s v="Studie- och yrkesvägledarprogram"/>
    <n v="18405"/>
    <n v="15773"/>
    <n v="3976.5062499999999"/>
    <n v="5800"/>
    <n v="725"/>
    <n v="4701.5062500000004"/>
    <n v="0"/>
    <n v="0"/>
    <n v="0"/>
    <n v="0"/>
    <n v="0"/>
    <n v="0"/>
    <n v="1"/>
    <n v="0"/>
    <n v="0"/>
    <n v="0"/>
    <n v="0"/>
    <n v="0"/>
  </r>
  <r>
    <s v="6SY038"/>
    <s v="Beteendevetenskapliga grunder"/>
    <m/>
    <s v="LYSYV"/>
    <s v="H19"/>
    <s v="H19"/>
    <s v="H1911-15"/>
    <m/>
    <s v="DIST"/>
    <m/>
    <m/>
    <n v="100"/>
    <n v="7.5"/>
    <n v="-0.05"/>
    <n v="29"/>
    <n v="27.55"/>
    <n v="3.4437500000000001"/>
    <n v="0.85"/>
    <n v="2.9271875000000001"/>
    <x v="1"/>
    <s v="TUV "/>
    <s v="Sam"/>
    <s v="Studie- och yrkesvägledarprogram"/>
    <n v="18405"/>
    <n v="15773"/>
    <n v="109552.7471875"/>
    <n v="5800"/>
    <n v="19973.75"/>
    <n v="129526.4971875"/>
    <n v="0"/>
    <n v="0"/>
    <n v="0"/>
    <n v="0"/>
    <n v="0"/>
    <n v="0"/>
    <n v="1"/>
    <n v="0"/>
    <n v="0"/>
    <n v="0"/>
    <n v="0"/>
    <n v="0"/>
  </r>
  <r>
    <s v="6SY038"/>
    <s v="Beteendevetenskapliga grunder"/>
    <m/>
    <s v="LYSYV"/>
    <s v="H19"/>
    <s v="H19"/>
    <s v="H1911-15"/>
    <m/>
    <s v="REGU"/>
    <m/>
    <m/>
    <n v="100"/>
    <n v="7.5"/>
    <n v="-0.05"/>
    <n v="32"/>
    <n v="30.4"/>
    <n v="3.8"/>
    <n v="0.85"/>
    <n v="3.23"/>
    <x v="1"/>
    <s v="TUV "/>
    <s v="Sam"/>
    <s v="Studie- och yrkesvägledarprogram"/>
    <n v="18405"/>
    <n v="15773"/>
    <n v="120885.79000000001"/>
    <n v="5800"/>
    <n v="22040"/>
    <n v="142925.79"/>
    <n v="0"/>
    <n v="0"/>
    <n v="0"/>
    <n v="0"/>
    <n v="0"/>
    <n v="0"/>
    <n v="1"/>
    <n v="0"/>
    <n v="0"/>
    <n v="0"/>
    <n v="0"/>
    <n v="0"/>
  </r>
  <r>
    <s v="6TE004"/>
    <s v="Teknik för lärare F-6"/>
    <m/>
    <s v="FRIST"/>
    <m/>
    <s v="V19"/>
    <m/>
    <m/>
    <s v="Distans"/>
    <m/>
    <m/>
    <n v="25"/>
    <n v="7.5"/>
    <m/>
    <m/>
    <n v="0"/>
    <n v="0"/>
    <n v="0.8"/>
    <n v="0"/>
    <x v="9"/>
    <s v="NMD"/>
    <s v="TekNat"/>
    <s v="Fristående och övriga kurser"/>
    <n v="19473"/>
    <n v="34806"/>
    <n v="0"/>
    <n v="21800"/>
    <n v="0"/>
    <n v="0"/>
    <n v="0"/>
    <n v="0"/>
    <n v="0"/>
    <n v="0"/>
    <n v="0"/>
    <n v="0"/>
    <n v="0"/>
    <n v="1"/>
    <n v="0"/>
    <n v="0"/>
    <n v="0"/>
    <n v="0"/>
  </r>
  <r>
    <s v="6TX003"/>
    <s v="Textila uttryck II"/>
    <m/>
    <s v="FRIST"/>
    <m/>
    <s v="V19"/>
    <m/>
    <m/>
    <s v="Distans"/>
    <m/>
    <m/>
    <n v="50"/>
    <n v="15"/>
    <m/>
    <m/>
    <n v="0"/>
    <n v="0"/>
    <n v="0.8"/>
    <n v="0"/>
    <x v="11"/>
    <s v="Estetiska ämnen               "/>
    <s v="Hum"/>
    <s v="Fristående och övriga kurser"/>
    <n v="16934.099999999999"/>
    <n v="29289.999999999996"/>
    <n v="0"/>
    <n v="18650"/>
    <n v="0"/>
    <n v="0"/>
    <n v="0"/>
    <n v="0"/>
    <n v="0"/>
    <n v="0"/>
    <n v="0"/>
    <n v="0"/>
    <n v="0"/>
    <n v="0.3"/>
    <n v="0"/>
    <n v="0"/>
    <n v="0.7"/>
    <n v="0"/>
  </r>
  <r>
    <s v="6TX003"/>
    <s v="Textila uttryck II"/>
    <m/>
    <s v="FRIST"/>
    <m/>
    <s v="H19"/>
    <m/>
    <m/>
    <s v="Distans"/>
    <m/>
    <m/>
    <n v="50"/>
    <n v="15"/>
    <m/>
    <m/>
    <n v="16"/>
    <n v="4"/>
    <n v="0.8"/>
    <n v="3.2"/>
    <x v="11"/>
    <s v="Estetiska ämnen               "/>
    <s v="Hum"/>
    <s v="Fristående och övriga kurser"/>
    <n v="16934.099999999999"/>
    <n v="29289.999999999996"/>
    <n v="161464.4"/>
    <n v="18650"/>
    <n v="74600"/>
    <n v="236064.4"/>
    <n v="0"/>
    <n v="0"/>
    <n v="0"/>
    <n v="0"/>
    <n v="0"/>
    <n v="0"/>
    <n v="0"/>
    <n v="0.3"/>
    <n v="0"/>
    <n v="0"/>
    <n v="0.7"/>
    <n v="0"/>
  </r>
  <r>
    <s v="6TX016"/>
    <s v="Slöjd, textil 2a, distans"/>
    <m/>
    <s v="FRIST"/>
    <m/>
    <s v="H19"/>
    <m/>
    <m/>
    <s v="Distans"/>
    <m/>
    <m/>
    <n v="50"/>
    <n v="15"/>
    <m/>
    <m/>
    <n v="32"/>
    <n v="8"/>
    <n v="0.8"/>
    <n v="6.4"/>
    <x v="11"/>
    <s v="Estetiska ämnen               "/>
    <s v="Hum"/>
    <s v="Fristående och övriga kurser"/>
    <n v="19473"/>
    <n v="34806"/>
    <n v="378542.4"/>
    <n v="21800"/>
    <n v="174400"/>
    <n v="552942.4"/>
    <n v="0"/>
    <n v="0"/>
    <n v="0"/>
    <n v="0"/>
    <n v="0"/>
    <n v="0"/>
    <n v="0"/>
    <n v="1"/>
    <n v="0"/>
    <n v="0"/>
    <n v="0"/>
    <n v="0"/>
  </r>
  <r>
    <s v="6TX017"/>
    <s v="Slöjd textil 1 30 hp"/>
    <m/>
    <s v="LYAGR"/>
    <s v="H18"/>
    <s v="V19"/>
    <s v="V191-20"/>
    <s v="Umeå"/>
    <m/>
    <s v="TXAL"/>
    <m/>
    <n v="100"/>
    <n v="30"/>
    <m/>
    <m/>
    <n v="2"/>
    <n v="1"/>
    <n v="0.85"/>
    <n v="0.85"/>
    <x v="11"/>
    <s v="Estetiska ämnen               "/>
    <s v="Hum"/>
    <s v="Ämneslärarprogrammet - åk 7-9"/>
    <n v="19473"/>
    <n v="34806"/>
    <n v="49058.1"/>
    <n v="21800"/>
    <n v="21800"/>
    <n v="70858.100000000006"/>
    <n v="0"/>
    <n v="0"/>
    <n v="0"/>
    <n v="0"/>
    <n v="0"/>
    <n v="0"/>
    <n v="0"/>
    <n v="1"/>
    <n v="0"/>
    <n v="0"/>
    <n v="0"/>
    <n v="0"/>
  </r>
  <r>
    <s v="6TX020"/>
    <s v="Slöjd, textil 2b, distans"/>
    <m/>
    <s v="FRIST"/>
    <m/>
    <s v="V19"/>
    <m/>
    <m/>
    <s v="Distans"/>
    <m/>
    <m/>
    <n v="50"/>
    <n v="15"/>
    <m/>
    <m/>
    <n v="11"/>
    <n v="2.75"/>
    <n v="0.8"/>
    <n v="2.2000000000000002"/>
    <x v="11"/>
    <s v="Estetiska ämnen               "/>
    <s v="Hum"/>
    <s v="Fristående och övriga kurser"/>
    <n v="19473"/>
    <n v="34806"/>
    <n v="130123.95000000001"/>
    <n v="21800"/>
    <n v="59950"/>
    <n v="190073.95"/>
    <n v="0"/>
    <n v="0"/>
    <n v="0"/>
    <n v="0"/>
    <n v="0"/>
    <n v="0"/>
    <n v="0"/>
    <n v="1"/>
    <n v="0"/>
    <n v="0"/>
    <n v="0"/>
    <n v="0"/>
  </r>
  <r>
    <s v="6TX021"/>
    <s v="Vävdesign, fördjupning"/>
    <m/>
    <s v="FRIST"/>
    <m/>
    <s v="V19"/>
    <m/>
    <m/>
    <s v="Distans"/>
    <m/>
    <m/>
    <n v="50"/>
    <n v="15"/>
    <m/>
    <m/>
    <n v="18"/>
    <n v="4.5"/>
    <n v="0.8"/>
    <n v="3.6"/>
    <x v="11"/>
    <s v="Estetiska ämnen               "/>
    <s v="Hum"/>
    <s v="Fristående och övriga kurser"/>
    <n v="15846"/>
    <n v="26926"/>
    <n v="168240.6"/>
    <n v="17300"/>
    <n v="77850"/>
    <n v="246090.6"/>
    <n v="0"/>
    <n v="0"/>
    <n v="0"/>
    <n v="0"/>
    <n v="0"/>
    <n v="0"/>
    <n v="0"/>
    <n v="0"/>
    <n v="0"/>
    <n v="0"/>
    <n v="1"/>
    <n v="0"/>
  </r>
  <r>
    <s v="6TX023"/>
    <s v="Slöjd textil 1 30 hp, fristående"/>
    <m/>
    <s v="FRIST"/>
    <m/>
    <s v="V19"/>
    <m/>
    <m/>
    <s v="Campus"/>
    <m/>
    <m/>
    <n v="100"/>
    <n v="30"/>
    <m/>
    <m/>
    <n v="2"/>
    <n v="1"/>
    <n v="0.8"/>
    <n v="0.8"/>
    <x v="11"/>
    <s v="Estetiska ämnen               "/>
    <s v="Hum"/>
    <s v="Fristående och övriga kurser"/>
    <n v="19473"/>
    <n v="34806"/>
    <n v="47317.8"/>
    <n v="21800"/>
    <n v="21800"/>
    <n v="69117.8"/>
    <n v="0"/>
    <n v="0"/>
    <n v="0"/>
    <n v="0"/>
    <n v="0"/>
    <n v="0"/>
    <n v="0"/>
    <n v="1"/>
    <n v="0"/>
    <n v="0"/>
    <n v="0"/>
    <n v="0"/>
  </r>
  <r>
    <s v="6TX023"/>
    <s v="Slöjd textil 1 30 hp, fristående"/>
    <m/>
    <s v="FRIST"/>
    <m/>
    <s v="H19"/>
    <m/>
    <m/>
    <s v="Campus"/>
    <m/>
    <m/>
    <n v="100"/>
    <n v="30"/>
    <m/>
    <m/>
    <n v="3"/>
    <n v="1.5"/>
    <n v="0.8"/>
    <n v="1.2000000000000002"/>
    <x v="11"/>
    <s v="Estetiska ämnen               "/>
    <s v="Hum"/>
    <s v="Fristående och övriga kurser"/>
    <n v="19473"/>
    <n v="34806"/>
    <n v="70976.700000000012"/>
    <n v="21800"/>
    <n v="32700"/>
    <n v="103676.70000000001"/>
    <n v="0"/>
    <n v="0"/>
    <n v="0"/>
    <n v="0"/>
    <n v="0"/>
    <n v="0"/>
    <n v="0"/>
    <n v="1"/>
    <n v="0"/>
    <n v="0"/>
    <n v="0"/>
    <n v="0"/>
  </r>
  <r>
    <s v="6TX025"/>
    <s v="Textila uttryck"/>
    <m/>
    <s v="FRIST"/>
    <m/>
    <s v="V19"/>
    <m/>
    <m/>
    <s v="Distans"/>
    <m/>
    <m/>
    <n v="50"/>
    <n v="15"/>
    <m/>
    <m/>
    <n v="18"/>
    <n v="4.5"/>
    <n v="0.8"/>
    <n v="3.6"/>
    <x v="11"/>
    <s v="Estetiska ämnen               "/>
    <s v="Hum"/>
    <s v="Fristående och övriga kurser"/>
    <n v="19473"/>
    <n v="34806"/>
    <n v="212930.1"/>
    <n v="21800"/>
    <n v="98100"/>
    <n v="311030.09999999998"/>
    <n v="0"/>
    <n v="0"/>
    <n v="0"/>
    <n v="0"/>
    <n v="0"/>
    <n v="0"/>
    <n v="0"/>
    <n v="1"/>
    <n v="0"/>
    <n v="0"/>
    <n v="0"/>
    <n v="0"/>
  </r>
  <r>
    <s v="6TX026"/>
    <s v="Slöjd 1, textil"/>
    <m/>
    <s v="FRIST"/>
    <m/>
    <s v="V19"/>
    <m/>
    <m/>
    <s v="Distans"/>
    <m/>
    <m/>
    <n v="50"/>
    <n v="15"/>
    <m/>
    <m/>
    <n v="32"/>
    <n v="8"/>
    <n v="0.8"/>
    <n v="6.4"/>
    <x v="11"/>
    <s v="Estetiska ämnen               "/>
    <s v="Hum"/>
    <s v="Fristående och övriga kurser"/>
    <n v="19473"/>
    <n v="34806"/>
    <n v="378542.4"/>
    <n v="21800"/>
    <n v="174400"/>
    <n v="552942.4"/>
    <n v="0"/>
    <n v="0"/>
    <n v="0"/>
    <n v="0"/>
    <n v="0"/>
    <n v="0"/>
    <n v="0"/>
    <n v="1"/>
    <n v="0"/>
    <n v="0"/>
    <n v="0"/>
    <n v="0"/>
  </r>
  <r>
    <s v="6TX026"/>
    <s v="Slöjd 1, textil"/>
    <m/>
    <s v="FRIST"/>
    <m/>
    <s v="H19"/>
    <m/>
    <m/>
    <s v="Distans"/>
    <m/>
    <m/>
    <n v="50"/>
    <n v="15"/>
    <m/>
    <m/>
    <n v="38"/>
    <n v="9.5"/>
    <n v="0.8"/>
    <n v="7.6000000000000005"/>
    <x v="11"/>
    <s v="Estetiska ämnen               "/>
    <s v="Hum"/>
    <s v="Fristående och övriga kurser"/>
    <n v="19473"/>
    <n v="34806"/>
    <n v="449519.10000000003"/>
    <n v="21800"/>
    <n v="207100"/>
    <n v="656619.10000000009"/>
    <n v="0"/>
    <n v="0"/>
    <n v="0"/>
    <n v="0"/>
    <n v="0"/>
    <n v="0"/>
    <n v="0"/>
    <n v="1"/>
    <n v="0"/>
    <n v="0"/>
    <n v="0"/>
    <n v="0"/>
  </r>
  <r>
    <s v="6TX027"/>
    <s v="Kläddesign"/>
    <m/>
    <s v="FRIST"/>
    <m/>
    <s v="H19"/>
    <m/>
    <m/>
    <s v="Distans"/>
    <m/>
    <m/>
    <n v="50"/>
    <n v="7.5"/>
    <m/>
    <m/>
    <n v="16"/>
    <n v="2"/>
    <n v="0.8"/>
    <n v="1.6"/>
    <x v="11"/>
    <s v="Estetiska ämnen               "/>
    <s v="Hum"/>
    <s v="Fristående och övriga kurser"/>
    <n v="19473"/>
    <n v="34806"/>
    <n v="94635.6"/>
    <n v="21800"/>
    <n v="43600"/>
    <n v="138235.6"/>
    <n v="0"/>
    <n v="0"/>
    <n v="0"/>
    <n v="0"/>
    <n v="0"/>
    <n v="0"/>
    <n v="0"/>
    <n v="1"/>
    <n v="0"/>
    <n v="0"/>
    <n v="0"/>
    <n v="0"/>
  </r>
  <r>
    <s v="6TX028"/>
    <s v="Vävdesign"/>
    <m/>
    <s v="FRIST"/>
    <m/>
    <s v="H19"/>
    <m/>
    <m/>
    <s v="Distans"/>
    <m/>
    <m/>
    <n v="50"/>
    <n v="7.5"/>
    <m/>
    <m/>
    <n v="8"/>
    <n v="1"/>
    <n v="0.8"/>
    <n v="0.8"/>
    <x v="11"/>
    <s v="Estetiska ämnen               "/>
    <s v="Hum"/>
    <s v="Fristående och övriga kurser"/>
    <n v="19473"/>
    <n v="34806"/>
    <n v="47317.8"/>
    <n v="21800"/>
    <n v="21800"/>
    <n v="69117.8"/>
    <n v="0"/>
    <n v="0"/>
    <n v="0"/>
    <n v="0"/>
    <n v="0"/>
    <n v="0"/>
    <n v="0"/>
    <n v="1"/>
    <n v="0"/>
    <n v="0"/>
    <n v="0"/>
    <n v="0"/>
  </r>
  <r>
    <s v="6TX029"/>
    <s v="Väv- och kläddesign: Estetiska skapandeprocesser"/>
    <m/>
    <s v="FRIST"/>
    <m/>
    <s v="H19"/>
    <m/>
    <m/>
    <s v="Distans"/>
    <m/>
    <m/>
    <n v="50"/>
    <n v="7.5"/>
    <m/>
    <m/>
    <n v="15"/>
    <n v="1.875"/>
    <n v="0.8"/>
    <n v="1.5"/>
    <x v="11"/>
    <s v="Estetiska ämnen               "/>
    <s v="Hum"/>
    <s v="Fristående och övriga kurser"/>
    <n v="19473"/>
    <n v="34806"/>
    <n v="88720.875"/>
    <n v="21800"/>
    <n v="40875"/>
    <n v="129595.875"/>
    <n v="0"/>
    <n v="0"/>
    <n v="0"/>
    <n v="0"/>
    <n v="0"/>
    <n v="0"/>
    <n v="0"/>
    <n v="1"/>
    <n v="0"/>
    <n v="0"/>
    <n v="0"/>
    <n v="0"/>
  </r>
  <r>
    <s v="6TX030"/>
    <s v="Väv- och kläddesign fördjupning"/>
    <m/>
    <s v="FRIST"/>
    <m/>
    <s v="V19"/>
    <m/>
    <m/>
    <s v="Distans"/>
    <m/>
    <m/>
    <n v="50"/>
    <n v="15"/>
    <m/>
    <m/>
    <n v="6"/>
    <n v="1.5"/>
    <n v="0.8"/>
    <n v="1.2000000000000002"/>
    <x v="11"/>
    <s v="Estetiska ämnen               "/>
    <s v="Hum"/>
    <s v="Fristående och övriga kurser"/>
    <n v="18405"/>
    <n v="15773"/>
    <n v="46535.100000000006"/>
    <n v="5800"/>
    <n v="8700"/>
    <n v="55235.100000000006"/>
    <n v="0"/>
    <n v="1"/>
    <n v="0"/>
    <n v="0"/>
    <n v="0"/>
    <n v="0"/>
    <n v="0"/>
    <n v="0"/>
    <n v="0"/>
    <n v="0"/>
    <n v="0"/>
    <n v="0"/>
  </r>
  <r>
    <s v="6TX031"/>
    <s v="Slöjd - textil 3"/>
    <m/>
    <s v="LYAGR"/>
    <s v="H17"/>
    <s v="V19"/>
    <s v="V191-20"/>
    <s v="Umeå"/>
    <m/>
    <s v="TXBI"/>
    <m/>
    <n v="100"/>
    <n v="30"/>
    <m/>
    <m/>
    <n v="4"/>
    <n v="2"/>
    <n v="0.85"/>
    <n v="1.7"/>
    <x v="11"/>
    <s v="Estetiska ämnen               "/>
    <s v="Hum"/>
    <s v="Ämneslärarprogrammet - åk 7-9"/>
    <n v="19473"/>
    <n v="34806"/>
    <n v="98116.2"/>
    <n v="21800"/>
    <n v="43600"/>
    <n v="141716.20000000001"/>
    <n v="0"/>
    <n v="0"/>
    <n v="0"/>
    <n v="0"/>
    <n v="0"/>
    <n v="0"/>
    <n v="0"/>
    <n v="1"/>
    <n v="0"/>
    <n v="0"/>
    <n v="0"/>
    <n v="0"/>
  </r>
  <r>
    <s v="6TX032"/>
    <s v="Slöjd, textil 3, fristående"/>
    <m/>
    <s v="FRIST"/>
    <m/>
    <s v="V19"/>
    <m/>
    <m/>
    <s v="Campus"/>
    <m/>
    <m/>
    <n v="100"/>
    <n v="30"/>
    <m/>
    <m/>
    <n v="0"/>
    <n v="0"/>
    <n v="0.8"/>
    <n v="0"/>
    <x v="11"/>
    <s v="Estetiska ämnen               "/>
    <s v="Hum"/>
    <s v="Fristående och övriga kurser"/>
    <n v="19473"/>
    <n v="34806"/>
    <n v="0"/>
    <n v="21800"/>
    <n v="0"/>
    <n v="0"/>
    <n v="0"/>
    <n v="0"/>
    <n v="0"/>
    <n v="0"/>
    <n v="0"/>
    <n v="0"/>
    <n v="0"/>
    <n v="1"/>
    <n v="0"/>
    <n v="0"/>
    <n v="0"/>
    <n v="0"/>
  </r>
  <r>
    <s v="6TX033"/>
    <s v="Slöjd textil 2"/>
    <m/>
    <s v="LYAGR"/>
    <s v="H18"/>
    <s v="H19"/>
    <s v="H191-20"/>
    <m/>
    <m/>
    <s v="TXAL"/>
    <m/>
    <n v="100"/>
    <n v="30"/>
    <m/>
    <m/>
    <n v="2"/>
    <n v="1"/>
    <n v="0.85"/>
    <n v="0.85"/>
    <x v="11"/>
    <s v="Estetiska ämnen               "/>
    <s v="Hum"/>
    <s v="Ämneslärarprogrammet - åk 7-9"/>
    <n v="19473"/>
    <n v="34806"/>
    <n v="49058.1"/>
    <n v="21800"/>
    <n v="21800"/>
    <n v="70858.100000000006"/>
    <n v="0"/>
    <n v="0"/>
    <n v="0"/>
    <n v="0"/>
    <n v="0"/>
    <n v="0"/>
    <n v="0"/>
    <n v="1"/>
    <n v="0"/>
    <n v="0"/>
    <n v="0"/>
    <n v="0"/>
  </r>
  <r>
    <s v="6TY012"/>
    <s v="Tyska I för ämneslärare"/>
    <m/>
    <s v="FRIST"/>
    <m/>
    <s v="V19"/>
    <m/>
    <m/>
    <s v="Campus"/>
    <m/>
    <m/>
    <n v="100"/>
    <n v="30"/>
    <m/>
    <m/>
    <n v="0"/>
    <n v="0"/>
    <n v="0.8"/>
    <n v="0"/>
    <x v="10"/>
    <s v="Inst för språkstudier"/>
    <s v="Hum"/>
    <s v="Fristående och övriga kurser"/>
    <n v="18405"/>
    <n v="15773"/>
    <n v="0"/>
    <n v="5800"/>
    <n v="0"/>
    <n v="0"/>
    <n v="0"/>
    <n v="1"/>
    <n v="0"/>
    <n v="0"/>
    <n v="0"/>
    <n v="0"/>
    <n v="0"/>
    <n v="0"/>
    <n v="0"/>
    <n v="0"/>
    <n v="0"/>
    <n v="0"/>
  </r>
  <r>
    <s v="6TY013"/>
    <s v="Tyska II för ämneslärare"/>
    <m/>
    <s v="FRIST"/>
    <m/>
    <s v="H19"/>
    <m/>
    <m/>
    <s v="Campus"/>
    <m/>
    <m/>
    <n v="100"/>
    <n v="30"/>
    <m/>
    <m/>
    <n v="1"/>
    <n v="0.5"/>
    <n v="0.8"/>
    <n v="0.4"/>
    <x v="10"/>
    <s v="Inst för språkstudier"/>
    <s v="Hum"/>
    <s v="Fristående och övriga kurser"/>
    <n v="18405"/>
    <n v="15773"/>
    <n v="15511.7"/>
    <n v="5800"/>
    <n v="2900"/>
    <n v="18411.7"/>
    <n v="0"/>
    <n v="1"/>
    <n v="0"/>
    <n v="0"/>
    <n v="0"/>
    <n v="0"/>
    <n v="0"/>
    <n v="0"/>
    <n v="0"/>
    <n v="0"/>
    <n v="0"/>
    <n v="0"/>
  </r>
  <r>
    <s v="6TY014"/>
    <s v="Tyska III för ämneslärare med inriktning mot gymnasiet"/>
    <m/>
    <s v="FRIST"/>
    <m/>
    <s v="V19"/>
    <m/>
    <m/>
    <s v="Campus"/>
    <m/>
    <m/>
    <n v="100"/>
    <n v="30"/>
    <m/>
    <m/>
    <n v="1"/>
    <n v="0.5"/>
    <n v="0.8"/>
    <n v="0.4"/>
    <x v="10"/>
    <s v="Inst för språkstudier"/>
    <s v="Hum"/>
    <s v="Fristående och övriga kurser"/>
    <n v="18405"/>
    <n v="15773"/>
    <n v="15511.7"/>
    <n v="5800"/>
    <n v="2900"/>
    <n v="18411.7"/>
    <n v="0"/>
    <n v="1"/>
    <n v="0"/>
    <n v="0"/>
    <n v="0"/>
    <n v="0"/>
    <n v="0"/>
    <n v="0"/>
    <n v="0"/>
    <n v="0"/>
    <n v="0"/>
    <n v="0"/>
  </r>
  <r>
    <s v="6TY014"/>
    <s v="Tyska III för ämneslärare med inriktning mot gymnasiet"/>
    <m/>
    <s v="LYAGY"/>
    <s v="H17"/>
    <s v="V19"/>
    <s v="V191-20"/>
    <s v="Umeå"/>
    <m/>
    <s v="TYSK"/>
    <m/>
    <n v="100"/>
    <n v="30"/>
    <m/>
    <m/>
    <n v="1"/>
    <n v="0.5"/>
    <n v="0.85"/>
    <n v="0.42499999999999999"/>
    <x v="10"/>
    <s v="Inst för språkstudier"/>
    <s v="Hum"/>
    <s v="Ämneslärarprogrammet - Gy"/>
    <n v="18405"/>
    <n v="15773"/>
    <n v="15906.025"/>
    <n v="5800"/>
    <n v="2900"/>
    <n v="18806.025000000001"/>
    <n v="0"/>
    <n v="1"/>
    <n v="0"/>
    <n v="0"/>
    <n v="0"/>
    <n v="0"/>
    <n v="0"/>
    <n v="0"/>
    <n v="0"/>
    <n v="0"/>
    <n v="0"/>
    <n v="0"/>
  </r>
  <r>
    <s v="6TY021"/>
    <s v="Att undervisa i tyska (VFU)"/>
    <m/>
    <s v="LYAGY"/>
    <s v="H17"/>
    <s v="H19"/>
    <s v="H1913-16"/>
    <m/>
    <m/>
    <s v="TYSK"/>
    <m/>
    <n v="100"/>
    <n v="6"/>
    <m/>
    <m/>
    <n v="1"/>
    <n v="0.1"/>
    <n v="0.85"/>
    <n v="8.5000000000000006E-2"/>
    <x v="10"/>
    <s v="Inst för språkstudier"/>
    <s v="Hum"/>
    <s v="Ämneslärarprogrammet - Gy"/>
    <n v="21634"/>
    <n v="26986"/>
    <n v="4457.21"/>
    <n v="3400"/>
    <n v="340"/>
    <n v="4797.21"/>
    <n v="0"/>
    <n v="0"/>
    <n v="0"/>
    <n v="0"/>
    <n v="0"/>
    <n v="0"/>
    <n v="0"/>
    <n v="0"/>
    <n v="1"/>
    <n v="0"/>
    <n v="0"/>
    <n v="0"/>
  </r>
  <r>
    <s v="6TY023"/>
    <s v="Tyska för ämneslärare, kurs 2"/>
    <m/>
    <s v="LYAGY"/>
    <s v="H17"/>
    <s v="H19"/>
    <s v="H191-20"/>
    <m/>
    <m/>
    <s v="TYSK"/>
    <m/>
    <n v="100"/>
    <n v="30"/>
    <m/>
    <m/>
    <n v="1"/>
    <n v="0.5"/>
    <n v="0.85"/>
    <n v="0.42499999999999999"/>
    <x v="10"/>
    <s v="Inst för språkstudier"/>
    <s v="Hum"/>
    <s v="Ämneslärarprogrammet - Gy"/>
    <n v="18405"/>
    <n v="15773"/>
    <n v="15906.025"/>
    <n v="5800"/>
    <n v="2900"/>
    <n v="18806.025000000001"/>
    <n v="0"/>
    <n v="1"/>
    <n v="0"/>
    <n v="0"/>
    <n v="0"/>
    <n v="0"/>
    <n v="0"/>
    <n v="0"/>
    <n v="0"/>
    <n v="0"/>
    <n v="0"/>
    <n v="0"/>
  </r>
</pivotCacheRecords>
</file>

<file path=xl/pivotCache/pivotCacheRecords4.xml><?xml version="1.0" encoding="utf-8"?>
<pivotCacheRecords xmlns="http://schemas.openxmlformats.org/spreadsheetml/2006/main" xmlns:r="http://schemas.openxmlformats.org/officeDocument/2006/relationships" count="104">
  <r>
    <x v="0"/>
    <x v="0"/>
    <x v="0"/>
    <x v="0"/>
    <x v="0"/>
    <x v="0"/>
    <x v="0"/>
    <x v="0"/>
    <s v="Hum"/>
    <n v="10.375"/>
    <n v="2.0750000000000002"/>
    <n v="8.8187499999999996"/>
    <n v="1.7637499999999999"/>
    <n v="15846"/>
    <n v="26926"/>
    <n v="17300"/>
    <n v="80371.182499999995"/>
    <n v="-5625.9827750000004"/>
    <n v="74745.199724999999"/>
    <n v="35897.5"/>
  </r>
  <r>
    <x v="0"/>
    <x v="0"/>
    <x v="1"/>
    <x v="1"/>
    <x v="0"/>
    <x v="0"/>
    <x v="0"/>
    <x v="0"/>
    <s v="Hum"/>
    <n v="10.375"/>
    <n v="2.0750000000000002"/>
    <n v="8.8187499999999996"/>
    <n v="1.7637499999999999"/>
    <n v="15846"/>
    <n v="26926"/>
    <n v="17300"/>
    <n v="80371.182499999995"/>
    <n v="-5625.9827750000004"/>
    <n v="74745.199724999999"/>
    <n v="35897.5"/>
  </r>
  <r>
    <x v="1"/>
    <x v="1"/>
    <x v="2"/>
    <x v="2"/>
    <x v="0"/>
    <x v="1"/>
    <x v="1"/>
    <x v="1"/>
    <s v="Hum"/>
    <n v="12"/>
    <n v="3"/>
    <n v="10.199999999999999"/>
    <n v="2.5499999999999998"/>
    <n v="18405"/>
    <n v="15773"/>
    <n v="5800"/>
    <n v="95436.15"/>
    <n v="-6680.5304999999998"/>
    <n v="88755.619500000001"/>
    <n v="17400"/>
  </r>
  <r>
    <x v="2"/>
    <x v="2"/>
    <x v="3"/>
    <x v="3"/>
    <x v="1"/>
    <x v="1"/>
    <x v="2"/>
    <x v="2"/>
    <s v="Sam"/>
    <n v="14.5"/>
    <n v="3.625"/>
    <n v="12.225"/>
    <n v="3.0562499999999999"/>
    <n v="45034"/>
    <n v="31547"/>
    <n v="34500"/>
    <n v="259663.76874999999"/>
    <n v="-18176.463812500002"/>
    <n v="241487.30493749998"/>
    <n v="125062.5"/>
  </r>
  <r>
    <x v="2"/>
    <x v="2"/>
    <x v="4"/>
    <x v="4"/>
    <x v="0"/>
    <x v="2"/>
    <x v="2"/>
    <x v="2"/>
    <s v="Sam"/>
    <n v="14.5"/>
    <n v="2.1749999999999998"/>
    <n v="12.225"/>
    <n v="1.8337499999999998"/>
    <n v="45034"/>
    <n v="31547"/>
    <n v="34500"/>
    <n v="155798.26124999998"/>
    <n v="-10905.8782875"/>
    <n v="144892.38296249998"/>
    <n v="75037.5"/>
  </r>
  <r>
    <x v="3"/>
    <x v="3"/>
    <x v="5"/>
    <x v="5"/>
    <x v="1"/>
    <x v="3"/>
    <x v="2"/>
    <x v="2"/>
    <s v="Sam"/>
    <n v="11"/>
    <n v="1.8333333333333333"/>
    <n v="9.2750000000000004"/>
    <n v="1.5458333333333334"/>
    <n v="45034"/>
    <n v="31547"/>
    <n v="34500"/>
    <n v="131328.73749999999"/>
    <n v="-9193.0116249999992"/>
    <n v="122135.72587499999"/>
    <n v="63250"/>
  </r>
  <r>
    <x v="4"/>
    <x v="4"/>
    <x v="3"/>
    <x v="3"/>
    <x v="1"/>
    <x v="1"/>
    <x v="2"/>
    <x v="2"/>
    <s v="Sam"/>
    <n v="15"/>
    <n v="3.75"/>
    <n v="12.625"/>
    <n v="3.15625"/>
    <n v="45034"/>
    <n v="31547"/>
    <n v="34500"/>
    <n v="268447.71875"/>
    <n v="-18791.3403125"/>
    <n v="249656.37843750001"/>
    <n v="129375"/>
  </r>
  <r>
    <x v="5"/>
    <x v="5"/>
    <x v="6"/>
    <x v="6"/>
    <x v="2"/>
    <x v="4"/>
    <x v="3"/>
    <x v="3"/>
    <s v="Sam"/>
    <n v="0.75"/>
    <n v="0.375"/>
    <n v="0.63749999999999996"/>
    <n v="0.31874999999999998"/>
    <n v="18405"/>
    <n v="15773"/>
    <n v="5800"/>
    <n v="11929.518749999999"/>
    <n v="-835.06631249999998"/>
    <n v="11094.4524375"/>
    <n v="2175"/>
  </r>
  <r>
    <x v="6"/>
    <x v="6"/>
    <x v="6"/>
    <x v="6"/>
    <x v="2"/>
    <x v="4"/>
    <x v="3"/>
    <x v="3"/>
    <s v="Sam"/>
    <n v="0.875"/>
    <n v="0.4375"/>
    <n v="0.74375000000000002"/>
    <n v="0.37187500000000001"/>
    <n v="18672"/>
    <n v="20531.25"/>
    <n v="9800"/>
    <n v="15804.05859375"/>
    <n v="-1106.2841015625002"/>
    <n v="14697.7744921875"/>
    <n v="4287.5"/>
  </r>
  <r>
    <x v="7"/>
    <x v="7"/>
    <x v="7"/>
    <x v="7"/>
    <x v="2"/>
    <x v="4"/>
    <x v="4"/>
    <x v="4"/>
    <s v="Hum"/>
    <n v="9"/>
    <n v="4.5"/>
    <n v="7.6499999999999995"/>
    <n v="3.8249999999999997"/>
    <n v="18405"/>
    <n v="15773"/>
    <n v="5800"/>
    <n v="143154.22500000001"/>
    <n v="-10020.795750000001"/>
    <n v="133133.42925000002"/>
    <n v="26100"/>
  </r>
  <r>
    <x v="8"/>
    <x v="8"/>
    <x v="8"/>
    <x v="8"/>
    <x v="3"/>
    <x v="4"/>
    <x v="1"/>
    <x v="1"/>
    <s v="Hum"/>
    <n v="13.049999999999999"/>
    <n v="6.5249999999999995"/>
    <n v="11.092499999999999"/>
    <n v="5.5462499999999997"/>
    <n v="23641"/>
    <n v="28786"/>
    <n v="5800"/>
    <n v="313911.87749999994"/>
    <n v="-21973.831424999997"/>
    <n v="291938.04607499996"/>
    <n v="37845"/>
  </r>
  <r>
    <x v="9"/>
    <x v="9"/>
    <x v="9"/>
    <x v="9"/>
    <x v="0"/>
    <x v="0"/>
    <x v="1"/>
    <x v="1"/>
    <s v="Hum"/>
    <n v="16.166666666666664"/>
    <n v="3.2333333333333329"/>
    <n v="13.741666666666665"/>
    <n v="2.7483333333333331"/>
    <n v="23641"/>
    <n v="28786"/>
    <n v="5800"/>
    <n v="155552.75666666665"/>
    <n v="-10888.692966666667"/>
    <n v="144664.0637"/>
    <n v="18753.333333333332"/>
  </r>
  <r>
    <x v="9"/>
    <x v="9"/>
    <x v="10"/>
    <x v="10"/>
    <x v="0"/>
    <x v="5"/>
    <x v="1"/>
    <x v="1"/>
    <s v="Hum"/>
    <n v="16.166666666666664"/>
    <n v="0.80833333333333324"/>
    <n v="13.741666666666665"/>
    <n v="0.68708333333333327"/>
    <n v="23641"/>
    <n v="28786"/>
    <n v="5800"/>
    <n v="38888.189166666663"/>
    <n v="-2722.1732416666669"/>
    <n v="36166.015925"/>
    <n v="4688.333333333333"/>
  </r>
  <r>
    <x v="10"/>
    <x v="10"/>
    <x v="11"/>
    <x v="11"/>
    <x v="0"/>
    <x v="3"/>
    <x v="1"/>
    <x v="1"/>
    <s v="Hum"/>
    <n v="7"/>
    <n v="1.1666666666666665"/>
    <n v="5.9499999999999993"/>
    <n v="0.99166666666666647"/>
    <n v="18405"/>
    <n v="15773"/>
    <n v="5800"/>
    <n v="37114.058333333327"/>
    <n v="-2597.9840833333333"/>
    <n v="34516.074249999991"/>
    <n v="6766.6666666666661"/>
  </r>
  <r>
    <x v="10"/>
    <x v="10"/>
    <x v="0"/>
    <x v="0"/>
    <x v="0"/>
    <x v="4"/>
    <x v="1"/>
    <x v="1"/>
    <s v="Hum"/>
    <n v="7"/>
    <n v="3.5"/>
    <n v="5.9499999999999993"/>
    <n v="2.9749999999999996"/>
    <n v="18405"/>
    <n v="15773"/>
    <n v="5800"/>
    <n v="111342.17499999999"/>
    <n v="-7793.9522500000003"/>
    <n v="103548.22274999999"/>
    <n v="20300"/>
  </r>
  <r>
    <x v="11"/>
    <x v="11"/>
    <x v="10"/>
    <x v="10"/>
    <x v="0"/>
    <x v="0"/>
    <x v="1"/>
    <x v="1"/>
    <s v="Hum"/>
    <n v="40.465000000000003"/>
    <n v="8.0930000000000017"/>
    <n v="34.39524999999999"/>
    <n v="6.8790499999999986"/>
    <n v="23641"/>
    <n v="28786"/>
    <n v="5800"/>
    <n v="389346.94630000001"/>
    <n v="-27254.286241000002"/>
    <n v="362092.66005900002"/>
    <n v="46939.400000000009"/>
  </r>
  <r>
    <x v="11"/>
    <x v="11"/>
    <x v="0"/>
    <x v="0"/>
    <x v="0"/>
    <x v="6"/>
    <x v="1"/>
    <x v="1"/>
    <s v="Hum"/>
    <n v="40.465000000000003"/>
    <n v="5.3953333333333333"/>
    <n v="34.39524999999999"/>
    <n v="4.5860333333333321"/>
    <n v="23641"/>
    <n v="28786"/>
    <n v="5800"/>
    <n v="259564.63086666662"/>
    <n v="-18169.524160666664"/>
    <n v="241395.10670599996"/>
    <n v="31292.933333333334"/>
  </r>
  <r>
    <x v="12"/>
    <x v="12"/>
    <x v="8"/>
    <x v="8"/>
    <x v="3"/>
    <x v="7"/>
    <x v="1"/>
    <x v="1"/>
    <s v="Hum"/>
    <n v="40.158750000000005"/>
    <n v="18.740750000000002"/>
    <n v="34.134937499999992"/>
    <n v="15.929637499999997"/>
    <n v="23641"/>
    <n v="28786"/>
    <n v="5800"/>
    <n v="901600.61582499999"/>
    <n v="-63112.043107750003"/>
    <n v="838488.57271724998"/>
    <n v="108696.35"/>
  </r>
  <r>
    <x v="13"/>
    <x v="13"/>
    <x v="7"/>
    <x v="7"/>
    <x v="2"/>
    <x v="8"/>
    <x v="4"/>
    <x v="4"/>
    <s v="Hum"/>
    <n v="2.9000000000000004"/>
    <n v="0.96666666666666679"/>
    <n v="2.4650000000000003"/>
    <n v="0.82166666666666677"/>
    <n v="21634"/>
    <n v="26986"/>
    <n v="3400"/>
    <n v="43086.363333333342"/>
    <n v="-3016.0454333333341"/>
    <n v="40070.317900000009"/>
    <n v="3286.666666666667"/>
  </r>
  <r>
    <x v="14"/>
    <x v="14"/>
    <x v="7"/>
    <x v="7"/>
    <x v="2"/>
    <x v="8"/>
    <x v="4"/>
    <x v="4"/>
    <s v="Hum"/>
    <n v="2.9000000000000004"/>
    <n v="0.96666666666666679"/>
    <n v="2.4650000000000003"/>
    <n v="0.82166666666666677"/>
    <n v="21634"/>
    <n v="26986"/>
    <n v="3400"/>
    <n v="43086.363333333342"/>
    <n v="-3016.0454333333341"/>
    <n v="40070.317900000009"/>
    <n v="3286.666666666667"/>
  </r>
  <r>
    <x v="15"/>
    <x v="15"/>
    <x v="1"/>
    <x v="1"/>
    <x v="0"/>
    <x v="0"/>
    <x v="4"/>
    <x v="4"/>
    <s v="Hum"/>
    <n v="21.75"/>
    <n v="4.3500000000000005"/>
    <n v="18.487500000000001"/>
    <n v="3.6975000000000002"/>
    <n v="18405"/>
    <n v="15773"/>
    <n v="5800"/>
    <n v="138382.41750000001"/>
    <n v="-9686.7692250000018"/>
    <n v="128695.64827500001"/>
    <n v="25230.000000000004"/>
  </r>
  <r>
    <x v="16"/>
    <x v="16"/>
    <x v="1"/>
    <x v="1"/>
    <x v="0"/>
    <x v="8"/>
    <x v="4"/>
    <x v="4"/>
    <s v="Hum"/>
    <n v="3.125"/>
    <n v="1.0416666666666665"/>
    <n v="2.65625"/>
    <n v="0.88541666666666663"/>
    <n v="18405"/>
    <n v="15773"/>
    <n v="5800"/>
    <n v="33137.552083333328"/>
    <n v="-2319.6286458333334"/>
    <n v="30817.923437499994"/>
    <n v="6041.6666666666661"/>
  </r>
  <r>
    <x v="17"/>
    <x v="17"/>
    <x v="12"/>
    <x v="12"/>
    <x v="2"/>
    <x v="8"/>
    <x v="5"/>
    <x v="5"/>
    <s v="TekNat"/>
    <n v="4.5"/>
    <n v="1.5"/>
    <n v="3.8250000000000002"/>
    <n v="1.2749999999999999"/>
    <n v="19473"/>
    <n v="34806"/>
    <n v="21800"/>
    <n v="73587.149999999994"/>
    <n v="-5151.1005000000005"/>
    <n v="68436.049499999994"/>
    <n v="32700"/>
  </r>
  <r>
    <x v="18"/>
    <x v="18"/>
    <x v="12"/>
    <x v="12"/>
    <x v="2"/>
    <x v="8"/>
    <x v="5"/>
    <x v="5"/>
    <s v="TekNat"/>
    <n v="2.625"/>
    <n v="0.875"/>
    <n v="2.2312499999999997"/>
    <n v="0.74374999999999991"/>
    <n v="19473"/>
    <n v="34806"/>
    <n v="21800"/>
    <n v="42925.837499999994"/>
    <n v="-3004.8086249999997"/>
    <n v="39921.028874999996"/>
    <n v="19075"/>
  </r>
  <r>
    <x v="19"/>
    <x v="19"/>
    <x v="12"/>
    <x v="12"/>
    <x v="2"/>
    <x v="8"/>
    <x v="5"/>
    <x v="5"/>
    <s v="TekNat"/>
    <n v="3.5"/>
    <n v="1.1666666666666665"/>
    <n v="2.9750000000000001"/>
    <n v="0.9916666666666667"/>
    <n v="19473"/>
    <n v="34806"/>
    <n v="21800"/>
    <n v="57234.45"/>
    <n v="-4006.4115000000002"/>
    <n v="53228.038499999995"/>
    <n v="25433.333333333328"/>
  </r>
  <r>
    <x v="20"/>
    <x v="20"/>
    <x v="1"/>
    <x v="1"/>
    <x v="0"/>
    <x v="9"/>
    <x v="5"/>
    <x v="5"/>
    <s v="TekNat"/>
    <n v="10.625"/>
    <n v="2.8333333333333335"/>
    <n v="9.03125"/>
    <n v="2.4083333333333332"/>
    <n v="19473"/>
    <n v="34806"/>
    <n v="21800"/>
    <n v="138997.95000000001"/>
    <n v="-9729.8565000000017"/>
    <n v="129268.09350000002"/>
    <n v="61766.666666666672"/>
  </r>
  <r>
    <x v="21"/>
    <x v="21"/>
    <x v="1"/>
    <x v="1"/>
    <x v="0"/>
    <x v="0"/>
    <x v="5"/>
    <x v="5"/>
    <s v="TekNat"/>
    <n v="13.75"/>
    <n v="2.75"/>
    <n v="11.6875"/>
    <n v="2.3374999999999999"/>
    <n v="19473"/>
    <n v="34806"/>
    <n v="21800"/>
    <n v="134909.77499999999"/>
    <n v="-9443.6842500000002"/>
    <n v="125466.09074999999"/>
    <n v="59950"/>
  </r>
  <r>
    <x v="22"/>
    <x v="22"/>
    <x v="13"/>
    <x v="13"/>
    <x v="3"/>
    <x v="10"/>
    <x v="6"/>
    <x v="6"/>
    <s v="Sam"/>
    <n v="3.125"/>
    <n v="1.25"/>
    <n v="2.65625"/>
    <n v="1.0625"/>
    <n v="18405"/>
    <n v="15773"/>
    <n v="5800"/>
    <n v="39765.0625"/>
    <n v="-2783.5543750000002"/>
    <n v="36981.508125"/>
    <n v="7250"/>
  </r>
  <r>
    <x v="23"/>
    <x v="23"/>
    <x v="1"/>
    <x v="1"/>
    <x v="0"/>
    <x v="10"/>
    <x v="2"/>
    <x v="2"/>
    <s v="Sam"/>
    <n v="11.25"/>
    <n v="4.5"/>
    <n v="9.5625"/>
    <n v="3.8250000000000002"/>
    <n v="23641"/>
    <n v="28786"/>
    <n v="5800"/>
    <n v="216490.95"/>
    <n v="-15154.366500000002"/>
    <n v="201336.58350000001"/>
    <n v="26100"/>
  </r>
  <r>
    <x v="24"/>
    <x v="24"/>
    <x v="0"/>
    <x v="0"/>
    <x v="0"/>
    <x v="10"/>
    <x v="6"/>
    <x v="6"/>
    <s v="Sam"/>
    <n v="4.3333333333333339"/>
    <n v="1.7333333333333336"/>
    <n v="3.6833333333333331"/>
    <n v="1.4733333333333334"/>
    <n v="23641"/>
    <n v="28786"/>
    <n v="5800"/>
    <n v="83389.106666666674"/>
    <n v="-5837.2374666666674"/>
    <n v="77551.869200000001"/>
    <n v="10053.333333333336"/>
  </r>
  <r>
    <x v="25"/>
    <x v="25"/>
    <x v="0"/>
    <x v="0"/>
    <x v="0"/>
    <x v="10"/>
    <x v="6"/>
    <x v="6"/>
    <s v="Sam"/>
    <n v="1.9166666666666665"/>
    <n v="0.76666666666666661"/>
    <n v="1.6291666666666664"/>
    <n v="0.65166666666666662"/>
    <n v="23641"/>
    <n v="28786"/>
    <n v="5800"/>
    <n v="36883.643333333333"/>
    <n v="-2581.8550333333337"/>
    <n v="34301.7883"/>
    <n v="4446.6666666666661"/>
  </r>
  <r>
    <x v="26"/>
    <x v="26"/>
    <x v="14"/>
    <x v="14"/>
    <x v="0"/>
    <x v="1"/>
    <x v="6"/>
    <x v="6"/>
    <s v="Sam"/>
    <n v="8"/>
    <n v="2"/>
    <n v="6.8"/>
    <n v="1.7"/>
    <n v="23641"/>
    <n v="28786"/>
    <n v="5800"/>
    <n v="96218.2"/>
    <n v="-6735.2740000000003"/>
    <n v="89482.925999999992"/>
    <n v="11600"/>
  </r>
  <r>
    <x v="27"/>
    <x v="27"/>
    <x v="14"/>
    <x v="14"/>
    <x v="0"/>
    <x v="1"/>
    <x v="2"/>
    <x v="2"/>
    <s v="Sam"/>
    <n v="15.400000000000002"/>
    <n v="3.8500000000000005"/>
    <n v="13.090000000000002"/>
    <n v="3.2725000000000004"/>
    <n v="23641"/>
    <n v="28786"/>
    <n v="5800"/>
    <n v="185220.03500000003"/>
    <n v="-12965.402450000003"/>
    <n v="172254.63255000004"/>
    <n v="22330.000000000004"/>
  </r>
  <r>
    <x v="28"/>
    <x v="28"/>
    <x v="9"/>
    <x v="9"/>
    <x v="0"/>
    <x v="10"/>
    <x v="2"/>
    <x v="2"/>
    <s v="Sam"/>
    <n v="40.931249999999999"/>
    <n v="16.372499999999999"/>
    <n v="34.791562499999991"/>
    <n v="13.916624999999996"/>
    <n v="23641"/>
    <n v="28786"/>
    <n v="5800"/>
    <n v="787666.23974999983"/>
    <n v="-55136.636782499991"/>
    <n v="732529.60296749987"/>
    <n v="94960.499999999985"/>
  </r>
  <r>
    <x v="29"/>
    <x v="29"/>
    <x v="0"/>
    <x v="0"/>
    <x v="0"/>
    <x v="0"/>
    <x v="6"/>
    <x v="6"/>
    <s v="Sam"/>
    <n v="16.5"/>
    <n v="3.3000000000000003"/>
    <n v="14.025"/>
    <n v="2.8050000000000002"/>
    <n v="18405"/>
    <n v="15773"/>
    <n v="5800"/>
    <n v="104979.76500000001"/>
    <n v="-7348.5835500000021"/>
    <n v="97631.181450000018"/>
    <n v="19140"/>
  </r>
  <r>
    <x v="30"/>
    <x v="30"/>
    <x v="1"/>
    <x v="1"/>
    <x v="0"/>
    <x v="4"/>
    <x v="2"/>
    <x v="2"/>
    <s v="Sam"/>
    <n v="9.75"/>
    <n v="4.875"/>
    <n v="8.2874999999999996"/>
    <n v="4.1437499999999998"/>
    <n v="21634"/>
    <n v="26986"/>
    <n v="3400"/>
    <n v="217288.98749999999"/>
    <n v="-15210.229125"/>
    <n v="202078.75837499998"/>
    <n v="16575"/>
  </r>
  <r>
    <x v="31"/>
    <x v="31"/>
    <x v="1"/>
    <x v="1"/>
    <x v="0"/>
    <x v="9"/>
    <x v="5"/>
    <x v="5"/>
    <s v="TekNat"/>
    <n v="7.125"/>
    <n v="1.9"/>
    <n v="6.0562499999999995"/>
    <n v="1.6149999999999998"/>
    <n v="23641"/>
    <n v="28786"/>
    <n v="5800"/>
    <n v="91407.29"/>
    <n v="-6398.5102999999999"/>
    <n v="85008.779699999999"/>
    <n v="11020"/>
  </r>
  <r>
    <x v="31"/>
    <x v="31"/>
    <x v="0"/>
    <x v="0"/>
    <x v="0"/>
    <x v="9"/>
    <x v="5"/>
    <x v="5"/>
    <s v="TekNat"/>
    <n v="7.125"/>
    <n v="1.9"/>
    <n v="6.0562499999999995"/>
    <n v="1.6149999999999998"/>
    <n v="23641"/>
    <n v="28786"/>
    <n v="5800"/>
    <n v="91407.29"/>
    <n v="-6398.5102999999999"/>
    <n v="85008.779699999999"/>
    <n v="11020"/>
  </r>
  <r>
    <x v="32"/>
    <x v="32"/>
    <x v="15"/>
    <x v="15"/>
    <x v="0"/>
    <x v="0"/>
    <x v="6"/>
    <x v="6"/>
    <s v="Sam"/>
    <n v="7"/>
    <n v="1.4000000000000001"/>
    <n v="5.95"/>
    <n v="1.1900000000000002"/>
    <n v="23641"/>
    <n v="28786"/>
    <n v="5800"/>
    <n v="67352.740000000005"/>
    <n v="-4714.6918000000005"/>
    <n v="62638.048200000005"/>
    <n v="8120.0000000000009"/>
  </r>
  <r>
    <x v="33"/>
    <x v="33"/>
    <x v="0"/>
    <x v="0"/>
    <x v="0"/>
    <x v="9"/>
    <x v="6"/>
    <x v="6"/>
    <s v="Sam"/>
    <n v="7"/>
    <n v="1.8666666666666667"/>
    <n v="5.95"/>
    <n v="1.5866666666666667"/>
    <n v="23641"/>
    <n v="28786"/>
    <n v="5800"/>
    <n v="89803.653333333335"/>
    <n v="-6286.2557333333343"/>
    <n v="83517.397599999997"/>
    <n v="10826.666666666666"/>
  </r>
  <r>
    <x v="34"/>
    <x v="34"/>
    <x v="0"/>
    <x v="0"/>
    <x v="0"/>
    <x v="11"/>
    <x v="6"/>
    <x v="6"/>
    <s v="Sam"/>
    <n v="10.399999999999999"/>
    <n v="1.2999999999999998"/>
    <n v="8.8399999999999981"/>
    <n v="1.1049999999999998"/>
    <n v="23641"/>
    <n v="28786"/>
    <n v="5800"/>
    <n v="62541.829999999987"/>
    <n v="-4377.9280999999992"/>
    <n v="58163.90189999999"/>
    <n v="7539.9999999999991"/>
  </r>
  <r>
    <x v="34"/>
    <x v="34"/>
    <x v="9"/>
    <x v="9"/>
    <x v="0"/>
    <x v="1"/>
    <x v="6"/>
    <x v="6"/>
    <s v="Sam"/>
    <n v="10.399999999999999"/>
    <n v="2.5999999999999996"/>
    <n v="8.8399999999999981"/>
    <n v="2.2099999999999995"/>
    <n v="23641"/>
    <n v="28786"/>
    <n v="5800"/>
    <n v="125083.65999999997"/>
    <n v="-8755.8561999999984"/>
    <n v="116327.80379999998"/>
    <n v="15079.999999999998"/>
  </r>
  <r>
    <x v="35"/>
    <x v="35"/>
    <x v="0"/>
    <x v="0"/>
    <x v="0"/>
    <x v="12"/>
    <x v="6"/>
    <x v="6"/>
    <s v="Sam"/>
    <n v="7.8000000000000007"/>
    <n v="3.2500000000000004"/>
    <n v="6.63"/>
    <n v="2.7625000000000002"/>
    <n v="23641"/>
    <n v="28786"/>
    <n v="5800"/>
    <n v="156354.57500000001"/>
    <n v="-10944.820250000002"/>
    <n v="145409.75475000002"/>
    <n v="18850.000000000004"/>
  </r>
  <r>
    <x v="35"/>
    <x v="35"/>
    <x v="9"/>
    <x v="9"/>
    <x v="0"/>
    <x v="13"/>
    <x v="6"/>
    <x v="6"/>
    <s v="Sam"/>
    <n v="7.8000000000000007"/>
    <n v="0.65"/>
    <n v="6.63"/>
    <n v="0.55249999999999999"/>
    <n v="23641"/>
    <n v="28786"/>
    <n v="5800"/>
    <n v="31270.915000000001"/>
    <n v="-2188.96405"/>
    <n v="29081.950950000002"/>
    <n v="3770"/>
  </r>
  <r>
    <x v="36"/>
    <x v="36"/>
    <x v="1"/>
    <x v="1"/>
    <x v="0"/>
    <x v="10"/>
    <x v="2"/>
    <x v="2"/>
    <s v="Sam"/>
    <n v="7.0833333333333321"/>
    <n v="2.833333333333333"/>
    <n v="6.0083333333333329"/>
    <n v="2.4033333333333333"/>
    <n v="23641"/>
    <n v="28786"/>
    <n v="5800"/>
    <n v="136165.18666666665"/>
    <n v="-9531.5630666666657"/>
    <n v="126633.62359999998"/>
    <n v="16433.333333333332"/>
  </r>
  <r>
    <x v="36"/>
    <x v="36"/>
    <x v="9"/>
    <x v="9"/>
    <x v="0"/>
    <x v="14"/>
    <x v="2"/>
    <x v="2"/>
    <s v="Sam"/>
    <n v="7.0833333333333321"/>
    <n v="0.70833333333333326"/>
    <n v="6.0083333333333329"/>
    <n v="0.60083333333333333"/>
    <n v="23641"/>
    <n v="28786"/>
    <n v="5800"/>
    <n v="34041.296666666662"/>
    <n v="-2382.8907666666664"/>
    <n v="31658.405899999994"/>
    <n v="4108.333333333333"/>
  </r>
  <r>
    <x v="37"/>
    <x v="37"/>
    <x v="1"/>
    <x v="1"/>
    <x v="0"/>
    <x v="10"/>
    <x v="2"/>
    <x v="2"/>
    <s v="Sam"/>
    <n v="9.0833333333333357"/>
    <n v="3.6333333333333346"/>
    <n v="7.7000000000000011"/>
    <n v="3.0800000000000005"/>
    <n v="23641"/>
    <n v="28786"/>
    <n v="5800"/>
    <n v="174556.51333333337"/>
    <n v="-12218.955933333336"/>
    <n v="162337.55740000002"/>
    <n v="21073.333333333339"/>
  </r>
  <r>
    <x v="37"/>
    <x v="37"/>
    <x v="9"/>
    <x v="9"/>
    <x v="0"/>
    <x v="14"/>
    <x v="2"/>
    <x v="2"/>
    <s v="Sam"/>
    <n v="9.0833333333333357"/>
    <n v="0.90833333333333366"/>
    <n v="7.7000000000000011"/>
    <n v="0.77000000000000013"/>
    <n v="23641"/>
    <n v="28786"/>
    <n v="5800"/>
    <n v="43639.128333333341"/>
    <n v="-3054.7389833333341"/>
    <n v="40584.389350000005"/>
    <n v="5268.3333333333348"/>
  </r>
  <r>
    <x v="38"/>
    <x v="38"/>
    <x v="1"/>
    <x v="1"/>
    <x v="0"/>
    <x v="15"/>
    <x v="2"/>
    <x v="2"/>
    <s v="Sam"/>
    <n v="2"/>
    <n v="0.75"/>
    <n v="1.7"/>
    <n v="0.63749999999999996"/>
    <n v="23641"/>
    <n v="28786"/>
    <n v="5800"/>
    <n v="36081.824999999997"/>
    <n v="-2525.72775"/>
    <n v="33556.097249999999"/>
    <n v="4350"/>
  </r>
  <r>
    <x v="38"/>
    <x v="38"/>
    <x v="9"/>
    <x v="9"/>
    <x v="0"/>
    <x v="1"/>
    <x v="2"/>
    <x v="2"/>
    <s v="Sam"/>
    <n v="2"/>
    <n v="0.5"/>
    <n v="1.7"/>
    <n v="0.42499999999999999"/>
    <n v="23641"/>
    <n v="28786"/>
    <n v="5800"/>
    <n v="24054.55"/>
    <n v="-1683.8185000000001"/>
    <n v="22370.731499999998"/>
    <n v="2900"/>
  </r>
  <r>
    <x v="39"/>
    <x v="39"/>
    <x v="7"/>
    <x v="7"/>
    <x v="2"/>
    <x v="15"/>
    <x v="2"/>
    <x v="2"/>
    <s v="Sam"/>
    <n v="9.4666666666666686"/>
    <n v="3.5500000000000007"/>
    <n v="8.0466666666666669"/>
    <n v="3.0175000000000001"/>
    <n v="23641"/>
    <n v="28786"/>
    <n v="5800"/>
    <n v="170787.30500000002"/>
    <n v="-11955.111350000003"/>
    <n v="158832.19365000003"/>
    <n v="20590.000000000004"/>
  </r>
  <r>
    <x v="39"/>
    <x v="39"/>
    <x v="9"/>
    <x v="9"/>
    <x v="0"/>
    <x v="1"/>
    <x v="2"/>
    <x v="2"/>
    <s v="Sam"/>
    <n v="9.4666666666666686"/>
    <n v="2.3666666666666671"/>
    <n v="8.0466666666666669"/>
    <n v="2.0116666666666667"/>
    <n v="23641"/>
    <n v="28786"/>
    <n v="5800"/>
    <n v="113858.20333333334"/>
    <n v="-7970.0742333333346"/>
    <n v="105888.12910000001"/>
    <n v="13726.66666666667"/>
  </r>
  <r>
    <x v="40"/>
    <x v="40"/>
    <x v="9"/>
    <x v="9"/>
    <x v="0"/>
    <x v="1"/>
    <x v="2"/>
    <x v="2"/>
    <s v="Sam"/>
    <n v="13.600000000000001"/>
    <n v="3.4000000000000004"/>
    <n v="11.559999999999999"/>
    <n v="2.8899999999999997"/>
    <n v="23641"/>
    <n v="28786"/>
    <n v="5800"/>
    <n v="163570.94"/>
    <n v="-11449.965800000002"/>
    <n v="152120.9742"/>
    <n v="19720.000000000004"/>
  </r>
  <r>
    <x v="40"/>
    <x v="40"/>
    <x v="7"/>
    <x v="7"/>
    <x v="2"/>
    <x v="11"/>
    <x v="2"/>
    <x v="2"/>
    <s v="Sam"/>
    <n v="13.600000000000001"/>
    <n v="1.7000000000000002"/>
    <n v="11.559999999999999"/>
    <n v="1.4449999999999998"/>
    <n v="23641"/>
    <n v="28786"/>
    <n v="5800"/>
    <n v="81785.47"/>
    <n v="-5724.9829000000009"/>
    <n v="76060.487099999998"/>
    <n v="9860.0000000000018"/>
  </r>
  <r>
    <x v="41"/>
    <x v="41"/>
    <x v="1"/>
    <x v="1"/>
    <x v="0"/>
    <x v="9"/>
    <x v="2"/>
    <x v="2"/>
    <s v="Sam"/>
    <n v="7"/>
    <n v="1.8666666666666667"/>
    <n v="5.95"/>
    <n v="1.5866666666666667"/>
    <n v="23641"/>
    <n v="28786"/>
    <n v="5800"/>
    <n v="89803.653333333335"/>
    <n v="-6286.2557333333343"/>
    <n v="83517.397599999997"/>
    <n v="10826.666666666666"/>
  </r>
  <r>
    <x v="42"/>
    <x v="42"/>
    <x v="0"/>
    <x v="0"/>
    <x v="0"/>
    <x v="0"/>
    <x v="6"/>
    <x v="6"/>
    <s v="Sam"/>
    <n v="6.5"/>
    <n v="1.3"/>
    <n v="5.5250000000000004"/>
    <n v="1.1050000000000002"/>
    <n v="18405"/>
    <n v="15773"/>
    <n v="5800"/>
    <n v="41355.665000000008"/>
    <n v="-2894.8965500000008"/>
    <n v="38460.76845000001"/>
    <n v="7540"/>
  </r>
  <r>
    <x v="43"/>
    <x v="43"/>
    <x v="0"/>
    <x v="0"/>
    <x v="0"/>
    <x v="16"/>
    <x v="5"/>
    <x v="5"/>
    <s v="TekNat"/>
    <n v="14.849999999999998"/>
    <n v="3.3749999999999996"/>
    <n v="12.622499999999999"/>
    <n v="2.8687499999999995"/>
    <n v="23641"/>
    <n v="28786"/>
    <n v="5800"/>
    <n v="162368.21249999997"/>
    <n v="-11365.774874999999"/>
    <n v="151002.43762499996"/>
    <n v="19574.999999999996"/>
  </r>
  <r>
    <x v="43"/>
    <x v="43"/>
    <x v="1"/>
    <x v="1"/>
    <x v="0"/>
    <x v="16"/>
    <x v="5"/>
    <x v="5"/>
    <s v="TekNat"/>
    <n v="14.849999999999998"/>
    <n v="3.3749999999999996"/>
    <n v="12.622499999999999"/>
    <n v="2.8687499999999995"/>
    <n v="23641"/>
    <n v="28786"/>
    <n v="5800"/>
    <n v="162368.21249999997"/>
    <n v="-11365.774874999999"/>
    <n v="151002.43762499996"/>
    <n v="19574.999999999996"/>
  </r>
  <r>
    <x v="43"/>
    <x v="43"/>
    <x v="14"/>
    <x v="14"/>
    <x v="0"/>
    <x v="17"/>
    <x v="5"/>
    <x v="5"/>
    <s v="TekNat"/>
    <n v="14.849999999999998"/>
    <n v="1.3499999999999999"/>
    <n v="12.622499999999999"/>
    <n v="1.1475"/>
    <n v="23641"/>
    <n v="28786"/>
    <n v="5800"/>
    <n v="64947.284999999996"/>
    <n v="-4546.3099499999998"/>
    <n v="60400.975049999994"/>
    <n v="7829.9999999999991"/>
  </r>
  <r>
    <x v="44"/>
    <x v="44"/>
    <x v="1"/>
    <x v="1"/>
    <x v="0"/>
    <x v="18"/>
    <x v="5"/>
    <x v="5"/>
    <s v="TekNat"/>
    <n v="11.233333333333334"/>
    <n v="3.37"/>
    <n v="9.548333333333332"/>
    <n v="2.8644999999999996"/>
    <n v="23641"/>
    <n v="28786"/>
    <n v="5800"/>
    <n v="162127.66699999999"/>
    <n v="-11348.93669"/>
    <n v="150778.73030999998"/>
    <n v="19546"/>
  </r>
  <r>
    <x v="44"/>
    <x v="44"/>
    <x v="14"/>
    <x v="14"/>
    <x v="0"/>
    <x v="14"/>
    <x v="5"/>
    <x v="5"/>
    <s v="TekNat"/>
    <n v="11.233333333333334"/>
    <n v="1.1233333333333335"/>
    <n v="9.548333333333332"/>
    <n v="0.9548333333333332"/>
    <n v="23641"/>
    <n v="28786"/>
    <n v="5800"/>
    <n v="54042.555666666667"/>
    <n v="-3782.978896666667"/>
    <n v="50259.57677"/>
    <n v="6515.3333333333348"/>
  </r>
  <r>
    <x v="45"/>
    <x v="45"/>
    <x v="0"/>
    <x v="0"/>
    <x v="0"/>
    <x v="16"/>
    <x v="5"/>
    <x v="5"/>
    <s v="TekNat"/>
    <n v="18.7"/>
    <n v="4.25"/>
    <n v="15.895000000000001"/>
    <n v="3.6125000000000003"/>
    <n v="23641"/>
    <n v="28786"/>
    <n v="5800"/>
    <n v="204463.67499999999"/>
    <n v="-14312.457250000001"/>
    <n v="190151.21774999998"/>
    <n v="24650"/>
  </r>
  <r>
    <x v="45"/>
    <x v="45"/>
    <x v="1"/>
    <x v="1"/>
    <x v="0"/>
    <x v="16"/>
    <x v="5"/>
    <x v="5"/>
    <s v="TekNat"/>
    <n v="18.7"/>
    <n v="4.25"/>
    <n v="15.895000000000001"/>
    <n v="3.6125000000000003"/>
    <n v="23641"/>
    <n v="28786"/>
    <n v="5800"/>
    <n v="204463.67499999999"/>
    <n v="-14312.457250000001"/>
    <n v="190151.21774999998"/>
    <n v="24650"/>
  </r>
  <r>
    <x v="45"/>
    <x v="45"/>
    <x v="14"/>
    <x v="14"/>
    <x v="0"/>
    <x v="17"/>
    <x v="5"/>
    <x v="5"/>
    <s v="TekNat"/>
    <n v="18.7"/>
    <n v="1.7"/>
    <n v="15.895000000000001"/>
    <n v="1.4450000000000001"/>
    <n v="23641"/>
    <n v="28786"/>
    <n v="5800"/>
    <n v="81785.47"/>
    <n v="-5724.9829000000009"/>
    <n v="76060.487099999998"/>
    <n v="9860"/>
  </r>
  <r>
    <x v="46"/>
    <x v="46"/>
    <x v="13"/>
    <x v="13"/>
    <x v="3"/>
    <x v="9"/>
    <x v="5"/>
    <x v="5"/>
    <s v="TekNat"/>
    <n v="6.25"/>
    <n v="1.6666666666666667"/>
    <n v="5.3125"/>
    <n v="1.4166666666666667"/>
    <n v="23641"/>
    <n v="28786"/>
    <n v="5800"/>
    <n v="80181.833333333343"/>
    <n v="-5612.7283333333344"/>
    <n v="74569.10500000001"/>
    <n v="9666.6666666666679"/>
  </r>
  <r>
    <x v="46"/>
    <x v="46"/>
    <x v="1"/>
    <x v="1"/>
    <x v="0"/>
    <x v="0"/>
    <x v="5"/>
    <x v="5"/>
    <s v="TekNat"/>
    <n v="6.25"/>
    <n v="1.25"/>
    <n v="5.3125"/>
    <n v="1.0625"/>
    <n v="23641"/>
    <n v="28786"/>
    <n v="5800"/>
    <n v="60136.375"/>
    <n v="-4209.5462500000003"/>
    <n v="55926.828750000001"/>
    <n v="7250"/>
  </r>
  <r>
    <x v="46"/>
    <x v="46"/>
    <x v="0"/>
    <x v="0"/>
    <x v="0"/>
    <x v="0"/>
    <x v="5"/>
    <x v="5"/>
    <s v="TekNat"/>
    <n v="6.25"/>
    <n v="1.25"/>
    <n v="5.3125"/>
    <n v="1.0625"/>
    <n v="23641"/>
    <n v="28786"/>
    <n v="5800"/>
    <n v="60136.375"/>
    <n v="-4209.5462500000003"/>
    <n v="55926.828750000001"/>
    <n v="7250"/>
  </r>
  <r>
    <x v="47"/>
    <x v="47"/>
    <x v="16"/>
    <x v="16"/>
    <x v="3"/>
    <x v="19"/>
    <x v="5"/>
    <x v="5"/>
    <s v="TekNat"/>
    <n v="15"/>
    <n v="5.3333333333333339"/>
    <n v="12.749999999999998"/>
    <n v="4.5333333333333332"/>
    <n v="21634"/>
    <n v="26986"/>
    <n v="3400"/>
    <n v="237717.86666666667"/>
    <n v="-16640.250666666667"/>
    <n v="221077.61600000001"/>
    <n v="18133.333333333336"/>
  </r>
  <r>
    <x v="47"/>
    <x v="47"/>
    <x v="0"/>
    <x v="0"/>
    <x v="0"/>
    <x v="6"/>
    <x v="5"/>
    <x v="5"/>
    <s v="TekNat"/>
    <n v="15"/>
    <n v="2"/>
    <n v="12.749999999999998"/>
    <n v="1.6999999999999997"/>
    <n v="21634"/>
    <n v="26986"/>
    <n v="3400"/>
    <n v="89144.199999999983"/>
    <n v="-6240.0939999999991"/>
    <n v="82904.105999999985"/>
    <n v="6800"/>
  </r>
  <r>
    <x v="48"/>
    <x v="48"/>
    <x v="16"/>
    <x v="16"/>
    <x v="3"/>
    <x v="10"/>
    <x v="5"/>
    <x v="5"/>
    <s v="TekNat"/>
    <n v="9.375"/>
    <n v="3.75"/>
    <n v="7.96875"/>
    <n v="3.1875"/>
    <n v="21634"/>
    <n v="26986"/>
    <n v="3400"/>
    <n v="167145.375"/>
    <n v="-11700.17625"/>
    <n v="155445.19875000001"/>
    <n v="12750"/>
  </r>
  <r>
    <x v="49"/>
    <x v="49"/>
    <x v="0"/>
    <x v="0"/>
    <x v="0"/>
    <x v="18"/>
    <x v="6"/>
    <x v="6"/>
    <s v="Sam"/>
    <n v="21.5"/>
    <n v="6.45"/>
    <n v="18.274999999999999"/>
    <n v="5.482499999999999"/>
    <n v="18405"/>
    <n v="15773"/>
    <n v="5800"/>
    <n v="205187.72249999997"/>
    <n v="-14363.140574999999"/>
    <n v="190824.58192499998"/>
    <n v="37410"/>
  </r>
  <r>
    <x v="49"/>
    <x v="49"/>
    <x v="7"/>
    <x v="7"/>
    <x v="2"/>
    <x v="6"/>
    <x v="6"/>
    <x v="6"/>
    <s v="Sam"/>
    <n v="21.5"/>
    <n v="2.8666666666666667"/>
    <n v="18.274999999999999"/>
    <n v="2.4366666666666665"/>
    <n v="18405"/>
    <n v="15773"/>
    <n v="5800"/>
    <n v="91194.543333333335"/>
    <n v="-6383.6180333333341"/>
    <n v="84810.925300000003"/>
    <n v="16626.666666666668"/>
  </r>
  <r>
    <x v="50"/>
    <x v="50"/>
    <x v="0"/>
    <x v="0"/>
    <x v="0"/>
    <x v="7"/>
    <x v="6"/>
    <x v="6"/>
    <s v="Sam"/>
    <n v="10.875"/>
    <n v="5.0750000000000002"/>
    <n v="9.2437499999999986"/>
    <n v="4.3137499999999998"/>
    <n v="23641"/>
    <n v="28786"/>
    <n v="5800"/>
    <n v="244153.6825"/>
    <n v="-17090.757775000002"/>
    <n v="227062.92472499999"/>
    <n v="29435"/>
  </r>
  <r>
    <x v="51"/>
    <x v="51"/>
    <x v="0"/>
    <x v="0"/>
    <x v="0"/>
    <x v="7"/>
    <x v="6"/>
    <x v="6"/>
    <s v="Sam"/>
    <n v="2.75"/>
    <n v="1.2833333333333334"/>
    <n v="2.3374999999999999"/>
    <n v="1.0908333333333333"/>
    <n v="23641"/>
    <n v="28786"/>
    <n v="5800"/>
    <n v="61740.011666666673"/>
    <n v="-4321.8008166666677"/>
    <n v="57418.210850000003"/>
    <n v="7443.3333333333339"/>
  </r>
  <r>
    <x v="52"/>
    <x v="52"/>
    <x v="16"/>
    <x v="16"/>
    <x v="3"/>
    <x v="12"/>
    <x v="5"/>
    <x v="5"/>
    <s v="TekNat"/>
    <n v="11.5"/>
    <n v="4.791666666666667"/>
    <n v="9.7750000000000004"/>
    <n v="4.072916666666667"/>
    <n v="23641"/>
    <n v="28786"/>
    <n v="5800"/>
    <n v="230522.77083333334"/>
    <n v="-16136.593958333335"/>
    <n v="214386.176875"/>
    <n v="27791.666666666668"/>
  </r>
  <r>
    <x v="52"/>
    <x v="52"/>
    <x v="13"/>
    <x v="13"/>
    <x v="3"/>
    <x v="3"/>
    <x v="5"/>
    <x v="5"/>
    <s v="TekNat"/>
    <n v="11.5"/>
    <n v="1.9166666666666665"/>
    <n v="9.7750000000000004"/>
    <n v="1.6291666666666667"/>
    <n v="23641"/>
    <n v="28786"/>
    <n v="5800"/>
    <n v="92209.108333333337"/>
    <n v="-6454.6375833333341"/>
    <n v="85754.470750000008"/>
    <n v="11116.666666666666"/>
  </r>
  <r>
    <x v="53"/>
    <x v="53"/>
    <x v="16"/>
    <x v="16"/>
    <x v="3"/>
    <x v="10"/>
    <x v="5"/>
    <x v="5"/>
    <s v="TekNat"/>
    <n v="3.375"/>
    <n v="1.35"/>
    <n v="2.8687499999999999"/>
    <n v="1.1475"/>
    <n v="23641"/>
    <n v="28786"/>
    <n v="5800"/>
    <n v="64947.285000000003"/>
    <n v="-4546.3099500000008"/>
    <n v="60400.975050000001"/>
    <n v="7830.0000000000009"/>
  </r>
  <r>
    <x v="54"/>
    <x v="54"/>
    <x v="16"/>
    <x v="16"/>
    <x v="3"/>
    <x v="10"/>
    <x v="5"/>
    <x v="5"/>
    <s v="TekNat"/>
    <n v="5.875"/>
    <n v="2.35"/>
    <n v="4.9937499999999995"/>
    <n v="1.9974999999999998"/>
    <n v="23641"/>
    <n v="28786"/>
    <n v="5800"/>
    <n v="113056.38499999999"/>
    <n v="-7913.9469500000005"/>
    <n v="105142.43805"/>
    <n v="13630"/>
  </r>
  <r>
    <x v="55"/>
    <x v="55"/>
    <x v="16"/>
    <x v="16"/>
    <x v="3"/>
    <x v="8"/>
    <x v="5"/>
    <x v="5"/>
    <s v="TekNat"/>
    <n v="2.6924999999999999"/>
    <n v="0.89749999999999996"/>
    <n v="2.2886250000000001"/>
    <n v="0.76287499999999997"/>
    <n v="21634"/>
    <n v="26986"/>
    <n v="3400"/>
    <n v="40003.459749999995"/>
    <n v="-2800.2421824999997"/>
    <n v="37203.217567499996"/>
    <n v="3051.5"/>
  </r>
  <r>
    <x v="55"/>
    <x v="55"/>
    <x v="13"/>
    <x v="13"/>
    <x v="3"/>
    <x v="8"/>
    <x v="5"/>
    <x v="5"/>
    <s v="TekNat"/>
    <n v="2.6924999999999999"/>
    <n v="0.89749999999999996"/>
    <n v="2.2886250000000001"/>
    <n v="0.76287499999999997"/>
    <n v="21634"/>
    <n v="26986"/>
    <n v="3400"/>
    <n v="40003.459749999995"/>
    <n v="-2800.2421824999997"/>
    <n v="37203.217567499996"/>
    <n v="3051.5"/>
  </r>
  <r>
    <x v="56"/>
    <x v="56"/>
    <x v="16"/>
    <x v="16"/>
    <x v="3"/>
    <x v="7"/>
    <x v="5"/>
    <x v="5"/>
    <s v="TekNat"/>
    <n v="4.875"/>
    <n v="2.2749999999999999"/>
    <n v="4.1437499999999998"/>
    <n v="1.9337499999999999"/>
    <n v="19473"/>
    <n v="34806"/>
    <n v="21800"/>
    <n v="111607.17749999999"/>
    <n v="-7812.5024249999997"/>
    <n v="103794.67507499999"/>
    <n v="49595"/>
  </r>
  <r>
    <x v="57"/>
    <x v="57"/>
    <x v="1"/>
    <x v="1"/>
    <x v="0"/>
    <x v="10"/>
    <x v="2"/>
    <x v="2"/>
    <s v="Sam"/>
    <n v="11"/>
    <n v="4.4000000000000004"/>
    <n v="9.3499999999999979"/>
    <n v="3.7399999999999993"/>
    <n v="23641"/>
    <n v="28786"/>
    <n v="5800"/>
    <n v="211680.03999999998"/>
    <n v="-14817.602800000001"/>
    <n v="196862.43719999999"/>
    <n v="25520.000000000004"/>
  </r>
  <r>
    <x v="58"/>
    <x v="58"/>
    <x v="8"/>
    <x v="8"/>
    <x v="3"/>
    <x v="4"/>
    <x v="4"/>
    <x v="4"/>
    <s v="Hum"/>
    <n v="6"/>
    <n v="3"/>
    <n v="5.0999999999999996"/>
    <n v="2.5499999999999998"/>
    <n v="18405"/>
    <n v="15773"/>
    <n v="5800"/>
    <n v="95436.15"/>
    <n v="-6680.5304999999998"/>
    <n v="88755.619500000001"/>
    <n v="17400"/>
  </r>
  <r>
    <x v="59"/>
    <x v="59"/>
    <x v="2"/>
    <x v="2"/>
    <x v="0"/>
    <x v="20"/>
    <x v="7"/>
    <x v="7"/>
    <s v="Sam"/>
    <n v="11"/>
    <n v="1.76"/>
    <n v="9.35"/>
    <n v="1.496"/>
    <n v="18405"/>
    <n v="15773"/>
    <n v="5800"/>
    <n v="55989.207999999999"/>
    <n v="-3919.2445600000001"/>
    <n v="52069.96344"/>
    <n v="10208"/>
  </r>
  <r>
    <x v="59"/>
    <x v="59"/>
    <x v="17"/>
    <x v="17"/>
    <x v="0"/>
    <x v="21"/>
    <x v="7"/>
    <x v="7"/>
    <s v="Sam"/>
    <n v="11"/>
    <n v="2.64"/>
    <n v="9.35"/>
    <n v="2.2440000000000002"/>
    <n v="18405"/>
    <n v="15773"/>
    <n v="5800"/>
    <n v="83983.812000000005"/>
    <n v="-5878.8668400000006"/>
    <n v="78104.945160000003"/>
    <n v="15312"/>
  </r>
  <r>
    <x v="59"/>
    <x v="59"/>
    <x v="0"/>
    <x v="0"/>
    <x v="0"/>
    <x v="0"/>
    <x v="7"/>
    <x v="7"/>
    <s v="Sam"/>
    <n v="11"/>
    <n v="2.2000000000000002"/>
    <n v="9.35"/>
    <n v="1.87"/>
    <n v="18405"/>
    <n v="15773"/>
    <n v="5800"/>
    <n v="69986.510000000009"/>
    <n v="-4899.0557000000008"/>
    <n v="65087.454300000012"/>
    <n v="12760.000000000002"/>
  </r>
  <r>
    <x v="60"/>
    <x v="60"/>
    <x v="18"/>
    <x v="18"/>
    <x v="0"/>
    <x v="10"/>
    <x v="7"/>
    <x v="7"/>
    <s v="Sam"/>
    <n v="10.5"/>
    <n v="4.2"/>
    <n v="8.9249999999999989"/>
    <n v="3.57"/>
    <n v="18405"/>
    <n v="15773"/>
    <n v="5800"/>
    <n v="133610.60999999999"/>
    <n v="-9352.7427000000007"/>
    <n v="124257.86729999998"/>
    <n v="24360"/>
  </r>
  <r>
    <x v="60"/>
    <x v="60"/>
    <x v="0"/>
    <x v="0"/>
    <x v="0"/>
    <x v="0"/>
    <x v="7"/>
    <x v="7"/>
    <s v="Sam"/>
    <n v="10.5"/>
    <n v="2.1"/>
    <n v="8.9249999999999989"/>
    <n v="1.7849999999999999"/>
    <n v="18405"/>
    <n v="15773"/>
    <n v="5800"/>
    <n v="66805.304999999993"/>
    <n v="-4676.3713500000003"/>
    <n v="62128.933649999992"/>
    <n v="12180"/>
  </r>
  <r>
    <x v="61"/>
    <x v="61"/>
    <x v="2"/>
    <x v="2"/>
    <x v="0"/>
    <x v="22"/>
    <x v="7"/>
    <x v="7"/>
    <s v="Sam"/>
    <n v="6.5"/>
    <n v="1.1700000000000002"/>
    <n v="5.5250000000000004"/>
    <n v="0.99450000000000016"/>
    <n v="18405"/>
    <n v="15773"/>
    <n v="5800"/>
    <n v="37220.098500000007"/>
    <n v="-2605.406895000001"/>
    <n v="34614.691605000007"/>
    <n v="6786.0000000000009"/>
  </r>
  <r>
    <x v="61"/>
    <x v="61"/>
    <x v="17"/>
    <x v="17"/>
    <x v="0"/>
    <x v="23"/>
    <x v="7"/>
    <x v="7"/>
    <s v="Sam"/>
    <n v="6.5"/>
    <n v="1.7549999999999997"/>
    <n v="5.5250000000000004"/>
    <n v="1.4917499999999999"/>
    <n v="18405"/>
    <n v="15773"/>
    <n v="5800"/>
    <n v="55830.147749999989"/>
    <n v="-3908.1103424999997"/>
    <n v="51922.037407499993"/>
    <n v="10178.999999999998"/>
  </r>
  <r>
    <x v="61"/>
    <x v="61"/>
    <x v="0"/>
    <x v="0"/>
    <x v="0"/>
    <x v="5"/>
    <x v="7"/>
    <x v="7"/>
    <s v="Sam"/>
    <n v="6.5"/>
    <n v="0.32500000000000001"/>
    <n v="5.5250000000000004"/>
    <n v="0.27625000000000005"/>
    <n v="18405"/>
    <n v="15773"/>
    <n v="5800"/>
    <n v="10338.916250000002"/>
    <n v="-723.72413750000021"/>
    <n v="9615.1921125000026"/>
    <n v="1885"/>
  </r>
  <r>
    <x v="62"/>
    <x v="62"/>
    <x v="14"/>
    <x v="14"/>
    <x v="0"/>
    <x v="4"/>
    <x v="7"/>
    <x v="7"/>
    <s v="Sam"/>
    <n v="8.25"/>
    <n v="4.125"/>
    <n v="7.0125000000000002"/>
    <n v="3.5062500000000001"/>
    <n v="23641"/>
    <n v="28786"/>
    <n v="5800"/>
    <n v="198450.03750000001"/>
    <n v="-13891.502625000001"/>
    <n v="184558.53487500001"/>
    <n v="23925"/>
  </r>
  <r>
    <x v="63"/>
    <x v="63"/>
    <x v="16"/>
    <x v="16"/>
    <x v="3"/>
    <x v="0"/>
    <x v="2"/>
    <x v="2"/>
    <s v="Sam"/>
    <n v="10.625"/>
    <n v="2.125"/>
    <n v="9.03125"/>
    <n v="1.8062500000000001"/>
    <n v="18405"/>
    <n v="15773"/>
    <n v="5800"/>
    <n v="67600.606249999997"/>
    <n v="-4732.0424375000002"/>
    <n v="62868.563812499997"/>
    <n v="12325"/>
  </r>
  <r>
    <x v="63"/>
    <x v="63"/>
    <x v="9"/>
    <x v="9"/>
    <x v="0"/>
    <x v="0"/>
    <x v="2"/>
    <x v="2"/>
    <s v="Sam"/>
    <n v="10.625"/>
    <n v="2.125"/>
    <n v="9.03125"/>
    <n v="1.8062500000000001"/>
    <n v="18405"/>
    <n v="15773"/>
    <n v="5800"/>
    <n v="67600.606249999997"/>
    <n v="-4732.0424375000002"/>
    <n v="62868.563812499997"/>
    <n v="12325"/>
  </r>
  <r>
    <x v="64"/>
    <x v="64"/>
    <x v="1"/>
    <x v="1"/>
    <x v="0"/>
    <x v="9"/>
    <x v="2"/>
    <x v="2"/>
    <s v="Sam"/>
    <n v="11.45"/>
    <n v="3.0533333333333332"/>
    <n v="9.6700000000000017"/>
    <n v="2.5786666666666669"/>
    <n v="18405"/>
    <n v="15773"/>
    <n v="5800"/>
    <n v="96869.909333333344"/>
    <n v="-6780.8936533333344"/>
    <n v="90089.015680000011"/>
    <n v="17709.333333333332"/>
  </r>
  <r>
    <x v="64"/>
    <x v="64"/>
    <x v="9"/>
    <x v="9"/>
    <x v="0"/>
    <x v="9"/>
    <x v="2"/>
    <x v="2"/>
    <s v="Sam"/>
    <n v="11.45"/>
    <n v="3.0533333333333332"/>
    <n v="9.6700000000000017"/>
    <n v="2.5786666666666669"/>
    <n v="18405"/>
    <n v="15773"/>
    <n v="5800"/>
    <n v="96869.909333333344"/>
    <n v="-6780.8936533333344"/>
    <n v="90089.015680000011"/>
    <n v="17709.333333333332"/>
  </r>
  <r>
    <x v="65"/>
    <x v="65"/>
    <x v="0"/>
    <x v="0"/>
    <x v="0"/>
    <x v="8"/>
    <x v="6"/>
    <x v="6"/>
    <s v="Sam"/>
    <n v="20.574999999999999"/>
    <n v="6.8583333333333325"/>
    <n v="17.48875"/>
    <n v="5.8295833333333329"/>
    <n v="34144.199999999997"/>
    <n v="33557.800000000003"/>
    <n v="5800"/>
    <n v="429800.29658333329"/>
    <n v="-30086.020760833333"/>
    <n v="399714.27582249994"/>
    <n v="39778.333333333328"/>
  </r>
  <r>
    <x v="66"/>
    <x v="66"/>
    <x v="9"/>
    <x v="9"/>
    <x v="0"/>
    <x v="4"/>
    <x v="2"/>
    <x v="2"/>
    <s v="Sam"/>
    <n v="15"/>
    <n v="7.5"/>
    <n v="12.731249999999999"/>
    <n v="6.3656249999999996"/>
    <n v="18405"/>
    <n v="15773"/>
    <n v="5800"/>
    <n v="238442.50312499999"/>
    <n v="-16690.975218750002"/>
    <n v="221751.52790624998"/>
    <n v="43500"/>
  </r>
  <r>
    <x v="67"/>
    <x v="67"/>
    <x v="8"/>
    <x v="8"/>
    <x v="3"/>
    <x v="4"/>
    <x v="4"/>
    <x v="4"/>
    <s v="Hum"/>
    <n v="13.5"/>
    <n v="6.75"/>
    <n v="11.475"/>
    <n v="5.7374999999999998"/>
    <n v="18405"/>
    <n v="15773"/>
    <n v="5800"/>
    <n v="214731.33749999999"/>
    <n v="-15031.193625000002"/>
    <n v="199700.14387499998"/>
    <n v="39150"/>
  </r>
  <r>
    <x v="68"/>
    <x v="68"/>
    <x v="8"/>
    <x v="8"/>
    <x v="3"/>
    <x v="4"/>
    <x v="4"/>
    <x v="4"/>
    <s v="Hum"/>
    <n v="13"/>
    <n v="6.5"/>
    <n v="11.05"/>
    <n v="5.5250000000000004"/>
    <n v="18405"/>
    <n v="15773"/>
    <n v="5800"/>
    <n v="206778.32500000001"/>
    <n v="-14474.482750000003"/>
    <n v="192303.84225000002"/>
    <n v="37700"/>
  </r>
  <r>
    <x v="69"/>
    <x v="69"/>
    <x v="8"/>
    <x v="8"/>
    <x v="3"/>
    <x v="4"/>
    <x v="4"/>
    <x v="4"/>
    <s v="Hum"/>
    <n v="7"/>
    <n v="3.5"/>
    <n v="5.95"/>
    <n v="2.9750000000000001"/>
    <n v="18405"/>
    <n v="15773"/>
    <n v="5800"/>
    <n v="111342.175"/>
    <n v="-7793.9522500000012"/>
    <n v="103548.22275"/>
    <n v="20300"/>
  </r>
  <r>
    <x v="70"/>
    <x v="70"/>
    <x v="15"/>
    <x v="15"/>
    <x v="0"/>
    <x v="24"/>
    <x v="6"/>
    <x v="6"/>
    <s v="Sam"/>
    <n v="5.0599999999999996"/>
    <n v="3.5419999999999994"/>
    <n v="4.3009999999999993"/>
    <n v="3.0106999999999995"/>
    <n v="18405"/>
    <n v="15773"/>
    <n v="5800"/>
    <n v="112678.28109999998"/>
    <n v="-7887.4796769999994"/>
    <n v="104790.80142299998"/>
    <n v="20543.599999999995"/>
  </r>
  <r>
    <x v="70"/>
    <x v="70"/>
    <x v="0"/>
    <x v="0"/>
    <x v="0"/>
    <x v="18"/>
    <x v="6"/>
    <x v="6"/>
    <s v="Sam"/>
    <n v="5.0599999999999996"/>
    <n v="1.5179999999999998"/>
    <n v="4.3009999999999993"/>
    <n v="1.2902999999999998"/>
    <n v="18405"/>
    <n v="15773"/>
    <n v="5800"/>
    <n v="48290.691899999991"/>
    <n v="-3380.3484329999997"/>
    <n v="44910.343466999992"/>
    <n v="8804.4"/>
  </r>
  <r>
    <x v="71"/>
    <x v="71"/>
    <x v="0"/>
    <x v="0"/>
    <x v="0"/>
    <x v="25"/>
    <x v="6"/>
    <x v="6"/>
    <s v="Sam"/>
    <n v="7.3687500000000004"/>
    <n v="4.4212499999999997"/>
    <n v="6.2634375000000002"/>
    <n v="3.7580624999999999"/>
    <n v="18405"/>
    <n v="15773"/>
    <n v="5800"/>
    <n v="140649.02606249999"/>
    <n v="-9845.4318243750004"/>
    <n v="130803.59423812499"/>
    <n v="25643.24999999999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ell3" cacheId="2" applyNumberFormats="0" applyBorderFormats="0" applyFontFormats="0" applyPatternFormats="0" applyAlignmentFormats="0" applyWidthHeightFormats="1" dataCaption="Data" updatedVersion="6" minRefreshableVersion="3" showMemberPropertyTips="0" useAutoFormatting="1" itemPrintTitles="1" createdVersion="3" indent="0" compact="0" compactData="0" gridDropZones="1">
  <location ref="AH1:AL20" firstHeaderRow="1" firstDataRow="2" firstDataCol="1"/>
  <pivotFields count="4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dataField="1" compact="0" outline="0" subtotalTop="0" showAll="0" includeNewItemsInFilter="1"/>
    <pivotField compact="0" outline="0" subtotalTop="0" showAll="0" includeNewItemsInFilter="1"/>
    <pivotField dataField="1" compact="0" outline="0" subtotalTop="0" showAll="0" includeNewItemsInFilter="1"/>
    <pivotField axis="axisRow" compact="0" outline="0" subtotalTop="0" showAll="0" includeNewItemsInFilter="1" sortType="ascending">
      <items count="19">
        <item x="10"/>
        <item x="12"/>
        <item x="11"/>
        <item x="0"/>
        <item x="1"/>
        <item x="15"/>
        <item x="16"/>
        <item x="13"/>
        <item x="14"/>
        <item x="3"/>
        <item x="2"/>
        <item x="6"/>
        <item x="5"/>
        <item x="7"/>
        <item x="4"/>
        <item x="8"/>
        <item x="9"/>
        <item m="1" x="17"/>
        <item t="default"/>
      </items>
    </pivotField>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dataField="1" compact="0" outline="0" subtotalTop="0" showAll="0" includeNewItemsInFilter="1"/>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s>
  <rowFields count="1">
    <field x="19"/>
  </rowFields>
  <rowItems count="18">
    <i>
      <x/>
    </i>
    <i>
      <x v="1"/>
    </i>
    <i>
      <x v="2"/>
    </i>
    <i>
      <x v="3"/>
    </i>
    <i>
      <x v="4"/>
    </i>
    <i>
      <x v="5"/>
    </i>
    <i>
      <x v="6"/>
    </i>
    <i>
      <x v="7"/>
    </i>
    <i>
      <x v="8"/>
    </i>
    <i>
      <x v="9"/>
    </i>
    <i>
      <x v="10"/>
    </i>
    <i>
      <x v="11"/>
    </i>
    <i>
      <x v="12"/>
    </i>
    <i>
      <x v="13"/>
    </i>
    <i>
      <x v="14"/>
    </i>
    <i>
      <x v="15"/>
    </i>
    <i>
      <x v="16"/>
    </i>
    <i t="grand">
      <x/>
    </i>
  </rowItems>
  <colFields count="1">
    <field x="-2"/>
  </colFields>
  <colItems count="4">
    <i>
      <x/>
    </i>
    <i i="1">
      <x v="1"/>
    </i>
    <i i="2">
      <x v="2"/>
    </i>
    <i i="3">
      <x v="3"/>
    </i>
  </colItems>
  <dataFields count="4">
    <dataField name=" Lokalintäkt" fld="27" baseField="0" baseItem="0" numFmtId="171"/>
    <dataField name=" Kursintäkt" fld="25" baseField="0" baseItem="0" numFmtId="171"/>
    <dataField name=" HST" fld="16" baseField="0" baseItem="0" numFmtId="3"/>
    <dataField name=" HPR" fld="18" baseField="0" baseItem="0" numFmtId="3"/>
  </dataFields>
  <pivotTableStyleInfo showRowHeaders="1" showColHeaders="1" showRowStripes="0" showColStripes="0" showLastColumn="1"/>
</pivotTableDefinition>
</file>

<file path=xl/pivotTables/pivotTable2.xml><?xml version="1.0" encoding="utf-8"?>
<pivotTableDefinition xmlns="http://schemas.openxmlformats.org/spreadsheetml/2006/main" name="Pivottabell1" cacheId="3" applyNumberFormats="0" applyBorderFormats="0" applyFontFormats="0" applyPatternFormats="0" applyAlignmentFormats="0" applyWidthHeightFormats="1" dataCaption="Värden" updatedVersion="6" minRefreshableVersion="3" showCalcMbrs="0" useAutoFormatting="1" itemPrintTitles="1" createdVersion="3" indent="0" compact="0" compactData="0" multipleFieldFilters="0">
  <location ref="AH26:AL47" firstHeaderRow="1" firstDataRow="2" firstDataCol="1"/>
  <pivotFields count="20">
    <pivotField compact="0" outline="0" showAll="0"/>
    <pivotField compact="0" outline="0" showAll="0"/>
    <pivotField axis="axisRow" compact="0" outline="0" showAll="0" sortType="ascending" defaultSubtotal="0">
      <items count="21">
        <item x="16"/>
        <item m="1" x="19"/>
        <item x="8"/>
        <item x="13"/>
        <item x="0"/>
        <item x="1"/>
        <item x="9"/>
        <item x="18"/>
        <item x="17"/>
        <item x="10"/>
        <item x="14"/>
        <item x="15"/>
        <item x="2"/>
        <item x="11"/>
        <item x="4"/>
        <item x="3"/>
        <item m="1" x="20"/>
        <item x="5"/>
        <item x="6"/>
        <item x="12"/>
        <item x="7"/>
      </items>
    </pivotField>
    <pivotField compact="0" outline="0" showAll="0" sortType="ascending"/>
    <pivotField compact="0" outline="0" showAll="0"/>
    <pivotField compact="0" numFmtId="9" outline="0" showAll="0" defaultSubtotal="0"/>
    <pivotField compact="0" outline="0" showAll="0"/>
    <pivotField compact="0" outline="0" showAll="0"/>
    <pivotField compact="0" outline="0" showAll="0"/>
    <pivotField compact="0" numFmtId="168" outline="0" showAll="0"/>
    <pivotField dataField="1" compact="0" numFmtId="168" outline="0" showAll="0"/>
    <pivotField compact="0" numFmtId="168" outline="0" showAll="0"/>
    <pivotField dataField="1" compact="0" numFmtId="168" outline="0" showAll="0"/>
    <pivotField compact="0" numFmtId="168" outline="0" showAll="0"/>
    <pivotField compact="0" numFmtId="168" outline="0" showAll="0"/>
    <pivotField compact="0" numFmtId="168" outline="0" showAll="0"/>
    <pivotField compact="0" numFmtId="168" outline="0" showAll="0" defaultSubtotal="0"/>
    <pivotField compact="0" numFmtId="168" outline="0" showAll="0"/>
    <pivotField dataField="1" compact="0" numFmtId="168" outline="0" showAll="0" defaultSubtotal="0"/>
    <pivotField dataField="1" compact="0" numFmtId="168" outline="0" showAll="0"/>
  </pivotFields>
  <rowFields count="1">
    <field x="2"/>
  </rowFields>
  <rowItems count="20">
    <i>
      <x/>
    </i>
    <i>
      <x v="2"/>
    </i>
    <i>
      <x v="3"/>
    </i>
    <i>
      <x v="4"/>
    </i>
    <i>
      <x v="5"/>
    </i>
    <i>
      <x v="6"/>
    </i>
    <i>
      <x v="7"/>
    </i>
    <i>
      <x v="8"/>
    </i>
    <i>
      <x v="9"/>
    </i>
    <i>
      <x v="10"/>
    </i>
    <i>
      <x v="11"/>
    </i>
    <i>
      <x v="12"/>
    </i>
    <i>
      <x v="13"/>
    </i>
    <i>
      <x v="14"/>
    </i>
    <i>
      <x v="15"/>
    </i>
    <i>
      <x v="17"/>
    </i>
    <i>
      <x v="18"/>
    </i>
    <i>
      <x v="19"/>
    </i>
    <i>
      <x v="20"/>
    </i>
    <i t="grand">
      <x/>
    </i>
  </rowItems>
  <colFields count="1">
    <field x="-2"/>
  </colFields>
  <colItems count="4">
    <i>
      <x/>
    </i>
    <i i="1">
      <x v="1"/>
    </i>
    <i i="2">
      <x v="2"/>
    </i>
    <i i="3">
      <x v="3"/>
    </i>
  </colItems>
  <dataFields count="4">
    <dataField name="Summa av Lokalintäkt" fld="19" baseField="2" baseItem="5" numFmtId="171"/>
    <dataField name=" Kursintäkt efter avdrag" fld="18" baseField="0" baseItem="0" numFmtId="171"/>
    <dataField name=" HST medv" fld="10" baseField="0" baseItem="0" numFmtId="3"/>
    <dataField name=" HPr medv" fld="12" baseField="0" baseItem="0" numFmtId="3"/>
  </dataFields>
  <formats count="1">
    <format dxfId="72">
      <pivotArea outline="0" collapsedLevelsAreSubtotals="1" fieldPosition="0">
        <references count="1">
          <reference field="4294967294" count="1" selected="0">
            <x v="0"/>
          </reference>
        </references>
      </pivotArea>
    </format>
  </formats>
  <pivotTableStyleInfo name="PivotStyleMedium14" showRowHeaders="1" showColHeaders="1" showRowStripes="0" showColStripes="0" showLastColumn="1"/>
</pivotTableDefinition>
</file>

<file path=xl/pivotTables/pivotTable3.xml><?xml version="1.0" encoding="utf-8"?>
<pivotTableDefinition xmlns="http://schemas.openxmlformats.org/spreadsheetml/2006/main" name="Pivottabell2" cacheId="3" applyNumberFormats="0" applyBorderFormats="0" applyFontFormats="0" applyPatternFormats="0" applyAlignmentFormats="0" applyWidthHeightFormats="1" dataCaption="Värden" updatedVersion="6" minRefreshableVersion="3" showCalcMbrs="0" useAutoFormatting="1" itemPrintTitles="1" createdVersion="3" indent="0" compact="0" compactData="0" multipleFieldFilters="0">
  <location ref="AH51:AL61" firstHeaderRow="1" firstDataRow="2" firstDataCol="1"/>
  <pivotFields count="20">
    <pivotField compact="0" outline="0" showAll="0"/>
    <pivotField compact="0" outline="0" showAll="0"/>
    <pivotField compact="0" outline="0" showAll="0" defaultSubtotal="0"/>
    <pivotField compact="0" outline="0" showAll="0"/>
    <pivotField compact="0" outline="0" showAll="0"/>
    <pivotField compact="0" numFmtId="9" outline="0" showAll="0" defaultSubtotal="0"/>
    <pivotField axis="axisRow" compact="0" outline="0" showAll="0" sortType="ascending">
      <items count="10">
        <item x="4"/>
        <item x="1"/>
        <item x="0"/>
        <item x="2"/>
        <item x="6"/>
        <item x="7"/>
        <item x="3"/>
        <item m="1" x="8"/>
        <item x="5"/>
        <item t="default"/>
      </items>
    </pivotField>
    <pivotField compact="0" outline="0" showAll="0"/>
    <pivotField compact="0" outline="0" showAll="0"/>
    <pivotField compact="0" numFmtId="168" outline="0" showAll="0"/>
    <pivotField dataField="1" compact="0" numFmtId="168" outline="0" showAll="0"/>
    <pivotField compact="0" numFmtId="168" outline="0" showAll="0"/>
    <pivotField dataField="1" compact="0" numFmtId="168" outline="0" showAll="0"/>
    <pivotField compact="0" numFmtId="168" outline="0" showAll="0"/>
    <pivotField compact="0" numFmtId="168" outline="0" showAll="0"/>
    <pivotField compact="0" numFmtId="168" outline="0" showAll="0"/>
    <pivotField compact="0" numFmtId="168" outline="0" showAll="0" defaultSubtotal="0"/>
    <pivotField compact="0" numFmtId="168" outline="0" showAll="0"/>
    <pivotField dataField="1" compact="0" numFmtId="168" outline="0" showAll="0" defaultSubtotal="0"/>
    <pivotField dataField="1" compact="0" numFmtId="168" outline="0" showAll="0"/>
  </pivotFields>
  <rowFields count="1">
    <field x="6"/>
  </rowFields>
  <rowItems count="9">
    <i>
      <x/>
    </i>
    <i>
      <x v="1"/>
    </i>
    <i>
      <x v="2"/>
    </i>
    <i>
      <x v="3"/>
    </i>
    <i>
      <x v="4"/>
    </i>
    <i>
      <x v="5"/>
    </i>
    <i>
      <x v="6"/>
    </i>
    <i>
      <x v="8"/>
    </i>
    <i t="grand">
      <x/>
    </i>
  </rowItems>
  <colFields count="1">
    <field x="-2"/>
  </colFields>
  <colItems count="4">
    <i>
      <x/>
    </i>
    <i i="1">
      <x v="1"/>
    </i>
    <i i="2">
      <x v="2"/>
    </i>
    <i i="3">
      <x v="3"/>
    </i>
  </colItems>
  <dataFields count="4">
    <dataField name="Summa av Lokalintäkt" fld="19" baseField="6" baseItem="4" numFmtId="171"/>
    <dataField name=" Kursintäkt efter avdrag" fld="18" baseField="0" baseItem="0" numFmtId="171"/>
    <dataField name=" HST medv" fld="10" baseField="0" baseItem="0" numFmtId="3"/>
    <dataField name=" HPR medv" fld="12" baseField="0" baseItem="0" numFmtId="3"/>
  </dataFields>
  <formats count="3">
    <format dxfId="75">
      <pivotArea outline="0" fieldPosition="0">
        <references count="1">
          <reference field="4294967294" count="1">
            <x v="1"/>
          </reference>
        </references>
      </pivotArea>
    </format>
    <format dxfId="74">
      <pivotArea outline="0" fieldPosition="0">
        <references count="1">
          <reference field="4294967294" count="1">
            <x v="0"/>
          </reference>
        </references>
      </pivotArea>
    </format>
    <format dxfId="73">
      <pivotArea outline="0" collapsedLevelsAreSubtotals="1" fieldPosition="0">
        <references count="1">
          <reference field="4294967294" count="1" selected="0">
            <x v="0"/>
          </reference>
        </references>
      </pivotArea>
    </format>
  </formats>
  <pivotTableStyleInfo name="PivotStyleMedium14" showRowHeaders="1" showColHeaders="1" showRowStripes="0" showColStripes="0" showLastColumn="1"/>
</pivotTableDefinition>
</file>

<file path=xl/pivotTables/pivotTable4.xml><?xml version="1.0" encoding="utf-8"?>
<pivotTableDefinition xmlns="http://schemas.openxmlformats.org/spreadsheetml/2006/main" name="Pivottabell2" cacheId="3" applyNumberFormats="0" applyBorderFormats="0" applyFontFormats="0" applyPatternFormats="0" applyAlignmentFormats="0" applyWidthHeightFormats="1" dataCaption="Data" updatedVersion="6" minRefreshableVersion="3" asteriskTotals="1" showMemberPropertyTips="0" useAutoFormatting="1" itemPrintTitles="1" createdVersion="3" indent="0" compact="0" compactData="0" gridDropZones="1">
  <location ref="A2:K131" firstHeaderRow="1" firstDataRow="2" firstDataCol="7"/>
  <pivotFields count="20">
    <pivotField axis="axisRow" compact="0" outline="0" subtotalTop="0" showAll="0" includeNewItemsInFilter="1" defaultSubtotal="0">
      <items count="121">
        <item m="1" x="104"/>
        <item x="8"/>
        <item x="9"/>
        <item m="1" x="94"/>
        <item m="1" x="120"/>
        <item m="1" x="75"/>
        <item m="1" x="82"/>
        <item m="1" x="85"/>
        <item m="1" x="89"/>
        <item m="1" x="105"/>
        <item m="1" x="77"/>
        <item x="22"/>
        <item m="1" x="84"/>
        <item m="1" x="86"/>
        <item x="59"/>
        <item x="60"/>
        <item x="61"/>
        <item x="67"/>
        <item x="68"/>
        <item x="69"/>
        <item x="4"/>
        <item x="13"/>
        <item x="14"/>
        <item x="23"/>
        <item m="1" x="113"/>
        <item m="1" x="93"/>
        <item m="1" x="81"/>
        <item m="1" x="118"/>
        <item m="1" x="73"/>
        <item m="1" x="74"/>
        <item m="1" x="76"/>
        <item m="1" x="79"/>
        <item m="1" x="101"/>
        <item x="10"/>
        <item m="1" x="92"/>
        <item m="1" x="96"/>
        <item m="1" x="87"/>
        <item m="1" x="91"/>
        <item m="1" x="98"/>
        <item m="1" x="102"/>
        <item m="1" x="110"/>
        <item x="70"/>
        <item x="25"/>
        <item m="1" x="116"/>
        <item m="1" x="111"/>
        <item m="1" x="109"/>
        <item m="1" x="97"/>
        <item m="1" x="119"/>
        <item m="1" x="72"/>
        <item m="1" x="100"/>
        <item m="1" x="103"/>
        <item m="1" x="106"/>
        <item m="1" x="112"/>
        <item m="1" x="115"/>
        <item m="1" x="80"/>
        <item m="1" x="108"/>
        <item x="26"/>
        <item x="11"/>
        <item x="12"/>
        <item m="1" x="88"/>
        <item x="27"/>
        <item x="28"/>
        <item m="1" x="90"/>
        <item x="24"/>
        <item m="1" x="114"/>
        <item x="57"/>
        <item x="62"/>
        <item x="17"/>
        <item x="18"/>
        <item x="19"/>
        <item m="1" x="78"/>
        <item x="29"/>
        <item m="1" x="83"/>
        <item x="0"/>
        <item x="2"/>
        <item x="15"/>
        <item m="1" x="95"/>
        <item x="20"/>
        <item x="31"/>
        <item x="32"/>
        <item x="33"/>
        <item x="34"/>
        <item x="35"/>
        <item x="36"/>
        <item x="38"/>
        <item x="39"/>
        <item x="41"/>
        <item x="43"/>
        <item x="44"/>
        <item x="58"/>
        <item x="71"/>
        <item x="37"/>
        <item x="40"/>
        <item x="45"/>
        <item x="16"/>
        <item x="42"/>
        <item x="46"/>
        <item x="47"/>
        <item x="48"/>
        <item m="1" x="99"/>
        <item m="1" x="107"/>
        <item x="5"/>
        <item x="3"/>
        <item x="53"/>
        <item x="54"/>
        <item x="52"/>
        <item x="55"/>
        <item x="49"/>
        <item x="30"/>
        <item m="1" x="117"/>
        <item x="6"/>
        <item x="7"/>
        <item x="50"/>
        <item x="51"/>
        <item x="63"/>
        <item x="64"/>
        <item x="65"/>
        <item x="21"/>
        <item x="1"/>
        <item x="66"/>
        <item x="56"/>
      </items>
    </pivotField>
    <pivotField axis="axisRow" compact="0" outline="0" subtotalTop="0" showAll="0" includeNewItemsInFilter="1" defaultSubtotal="0">
      <items count="114">
        <item x="66"/>
        <item x="8"/>
        <item x="9"/>
        <item x="57"/>
        <item m="1" x="96"/>
        <item m="1" x="80"/>
        <item m="1" x="83"/>
        <item m="1" x="81"/>
        <item m="1" x="98"/>
        <item m="1" x="113"/>
        <item x="22"/>
        <item m="1" x="88"/>
        <item m="1" x="85"/>
        <item x="59"/>
        <item x="60"/>
        <item x="61"/>
        <item x="67"/>
        <item x="68"/>
        <item x="69"/>
        <item m="1" x="84"/>
        <item x="4"/>
        <item x="13"/>
        <item x="14"/>
        <item m="1" x="110"/>
        <item m="1" x="93"/>
        <item m="1" x="78"/>
        <item m="1" x="91"/>
        <item m="1" x="72"/>
        <item m="1" x="99"/>
        <item m="1" x="108"/>
        <item m="1" x="104"/>
        <item x="11"/>
        <item x="12"/>
        <item m="1" x="79"/>
        <item m="1" x="87"/>
        <item x="7"/>
        <item x="10"/>
        <item m="1" x="103"/>
        <item m="1" x="109"/>
        <item x="23"/>
        <item x="25"/>
        <item m="1" x="106"/>
        <item m="1" x="101"/>
        <item m="1" x="89"/>
        <item m="1" x="75"/>
        <item m="1" x="82"/>
        <item m="1" x="107"/>
        <item m="1" x="94"/>
        <item m="1" x="73"/>
        <item m="1" x="111"/>
        <item x="53"/>
        <item x="54"/>
        <item m="1" x="112"/>
        <item m="1" x="105"/>
        <item x="26"/>
        <item m="1" x="102"/>
        <item x="71"/>
        <item x="70"/>
        <item x="27"/>
        <item x="28"/>
        <item m="1" x="100"/>
        <item m="1" x="76"/>
        <item x="24"/>
        <item m="1" x="86"/>
        <item x="62"/>
        <item x="29"/>
        <item x="20"/>
        <item x="17"/>
        <item x="18"/>
        <item x="19"/>
        <item m="1" x="92"/>
        <item m="1" x="77"/>
        <item x="50"/>
        <item x="55"/>
        <item x="0"/>
        <item x="2"/>
        <item x="15"/>
        <item m="1" x="90"/>
        <item x="31"/>
        <item x="32"/>
        <item x="33"/>
        <item x="34"/>
        <item x="35"/>
        <item x="36"/>
        <item x="38"/>
        <item x="39"/>
        <item x="41"/>
        <item x="43"/>
        <item x="44"/>
        <item x="58"/>
        <item x="37"/>
        <item x="40"/>
        <item x="45"/>
        <item x="16"/>
        <item x="42"/>
        <item m="1" x="97"/>
        <item x="46"/>
        <item x="47"/>
        <item x="48"/>
        <item x="5"/>
        <item x="6"/>
        <item x="3"/>
        <item x="52"/>
        <item x="49"/>
        <item x="30"/>
        <item m="1" x="74"/>
        <item x="51"/>
        <item x="63"/>
        <item x="64"/>
        <item x="65"/>
        <item x="21"/>
        <item m="1" x="95"/>
        <item x="1"/>
        <item x="56"/>
      </items>
    </pivotField>
    <pivotField axis="axisRow" compact="0" outline="0" showAll="0">
      <items count="22">
        <item x="16"/>
        <item m="1" x="19"/>
        <item x="8"/>
        <item x="13"/>
        <item x="0"/>
        <item x="1"/>
        <item x="9"/>
        <item x="18"/>
        <item x="17"/>
        <item x="10"/>
        <item x="14"/>
        <item x="15"/>
        <item x="2"/>
        <item x="11"/>
        <item x="4"/>
        <item x="3"/>
        <item m="1" x="20"/>
        <item x="6"/>
        <item x="12"/>
        <item x="7"/>
        <item x="5"/>
        <item t="default"/>
      </items>
    </pivotField>
    <pivotField axis="axisRow" compact="0" outline="0" subtotalTop="0" showAll="0" includeNewItemsInFilter="1" defaultSubtotal="0">
      <items count="21">
        <item x="2"/>
        <item x="13"/>
        <item x="3"/>
        <item m="1" x="20"/>
        <item x="8"/>
        <item x="12"/>
        <item x="16"/>
        <item x="4"/>
        <item x="17"/>
        <item x="0"/>
        <item x="18"/>
        <item x="9"/>
        <item x="7"/>
        <item x="10"/>
        <item m="1" x="19"/>
        <item x="5"/>
        <item x="6"/>
        <item x="15"/>
        <item x="1"/>
        <item x="14"/>
        <item x="11"/>
      </items>
    </pivotField>
    <pivotField axis="axisRow" compact="0" outline="0" subtotalTop="0" showAll="0" includeNewItemsInFilter="1">
      <items count="5">
        <item x="3"/>
        <item x="1"/>
        <item x="0"/>
        <item x="2"/>
        <item t="default"/>
      </items>
    </pivotField>
    <pivotField axis="axisRow" compact="0" outline="0" showAll="0" defaultSubtotal="0">
      <items count="35">
        <item x="14"/>
        <item x="2"/>
        <item x="0"/>
        <item x="1"/>
        <item x="18"/>
        <item x="10"/>
        <item x="4"/>
        <item x="5"/>
        <item m="1" x="33"/>
        <item m="1" x="27"/>
        <item x="8"/>
        <item m="1" x="29"/>
        <item x="25"/>
        <item x="9"/>
        <item m="1" x="28"/>
        <item m="1" x="32"/>
        <item x="24"/>
        <item x="19"/>
        <item x="6"/>
        <item x="7"/>
        <item m="1" x="34"/>
        <item m="1" x="26"/>
        <item x="3"/>
        <item m="1" x="30"/>
        <item x="11"/>
        <item x="15"/>
        <item x="16"/>
        <item x="17"/>
        <item m="1" x="31"/>
        <item x="12"/>
        <item x="13"/>
        <item x="20"/>
        <item x="21"/>
        <item x="22"/>
        <item x="23"/>
      </items>
    </pivotField>
    <pivotField compact="0" outline="0" subtotalTop="0" showAll="0" includeNewItemsInFilter="1">
      <items count="10">
        <item x="4"/>
        <item x="1"/>
        <item sd="0" x="2"/>
        <item x="0"/>
        <item x="5"/>
        <item x="6"/>
        <item x="7"/>
        <item x="3"/>
        <item m="1" x="8"/>
        <item t="default"/>
      </items>
    </pivotField>
    <pivotField axis="axisRow" compact="0" outline="0" subtotalTop="0" showAll="0" includeNewItemsInFilter="1" defaultSubtotal="0">
      <items count="11">
        <item x="0"/>
        <item x="1"/>
        <item x="4"/>
        <item x="2"/>
        <item x="7"/>
        <item x="5"/>
        <item m="1" x="9"/>
        <item x="6"/>
        <item m="1" x="8"/>
        <item m="1" x="10"/>
        <item x="3"/>
      </items>
    </pivotField>
    <pivotField compact="0" outline="0" subtotalTop="0" showAll="0" includeNewItemsInFilter="1"/>
    <pivotField compact="0" outline="0" subtotalTop="0" showAll="0" includeNewItemsInFilter="1"/>
    <pivotField dataField="1" compact="0" numFmtId="168" outline="0" subtotalTop="0" showAll="0" includeNewItemsInFilter="1"/>
    <pivotField compact="0" outline="0" subtotalTop="0" showAll="0" includeNewItemsInFilter="1"/>
    <pivotField dataField="1" compact="0" numFmtId="168" outline="0" subtotalTop="0" showAll="0" includeNewItemsInFilter="1"/>
    <pivotField compact="0" outline="0" subtotalTop="0" showAll="0" includeNewItemsInFilter="1"/>
    <pivotField compact="0" outline="0" subtotalTop="0" showAll="0" includeNewItemsInFilter="1"/>
    <pivotField compact="0" outline="0" subtotalTop="0" showAll="0"/>
    <pivotField compact="0" outline="0" showAll="0" defaultSubtotal="0"/>
    <pivotField compact="0" outline="0" subtotalTop="0" showAll="0" includeNewItemsInFilter="1"/>
    <pivotField dataField="1" compact="0" outline="0" showAll="0" defaultSubtotal="0"/>
    <pivotField dataField="1" compact="0" outline="0" subtotalTop="0" showAll="0"/>
  </pivotFields>
  <rowFields count="7">
    <field x="4"/>
    <field x="2"/>
    <field x="3"/>
    <field x="0"/>
    <field x="1"/>
    <field x="7"/>
    <field x="5"/>
  </rowFields>
  <rowItems count="128">
    <i>
      <x/>
      <x/>
      <x v="6"/>
      <x v="97"/>
      <x v="97"/>
      <x v="5"/>
      <x v="17"/>
    </i>
    <i r="3">
      <x v="98"/>
      <x v="98"/>
      <x v="5"/>
      <x v="5"/>
    </i>
    <i r="3">
      <x v="103"/>
      <x v="50"/>
      <x v="5"/>
      <x v="5"/>
    </i>
    <i r="3">
      <x v="104"/>
      <x v="51"/>
      <x v="5"/>
      <x v="5"/>
    </i>
    <i r="3">
      <x v="105"/>
      <x v="102"/>
      <x v="5"/>
      <x v="29"/>
    </i>
    <i r="3">
      <x v="106"/>
      <x v="73"/>
      <x v="5"/>
      <x v="10"/>
    </i>
    <i r="3">
      <x v="114"/>
      <x v="107"/>
      <x v="3"/>
      <x v="2"/>
    </i>
    <i r="3">
      <x v="120"/>
      <x v="113"/>
      <x v="5"/>
      <x v="19"/>
    </i>
    <i t="default" r="1">
      <x/>
    </i>
    <i r="1">
      <x v="2"/>
      <x v="4"/>
      <x v="1"/>
      <x v="1"/>
      <x v="1"/>
      <x v="6"/>
    </i>
    <i r="3">
      <x v="17"/>
      <x v="16"/>
      <x v="2"/>
      <x v="6"/>
    </i>
    <i r="3">
      <x v="18"/>
      <x v="17"/>
      <x v="2"/>
      <x v="6"/>
    </i>
    <i r="3">
      <x v="19"/>
      <x v="18"/>
      <x v="2"/>
      <x v="6"/>
    </i>
    <i r="3">
      <x v="58"/>
      <x v="32"/>
      <x v="1"/>
      <x v="19"/>
    </i>
    <i r="3">
      <x v="89"/>
      <x v="89"/>
      <x v="2"/>
      <x v="6"/>
    </i>
    <i t="default" r="1">
      <x v="2"/>
    </i>
    <i r="1">
      <x v="3"/>
      <x v="1"/>
      <x v="11"/>
      <x v="10"/>
      <x v="7"/>
      <x v="5"/>
    </i>
    <i r="3">
      <x v="96"/>
      <x v="96"/>
      <x v="5"/>
      <x v="13"/>
    </i>
    <i r="3">
      <x v="105"/>
      <x v="102"/>
      <x v="5"/>
      <x v="22"/>
    </i>
    <i r="3">
      <x v="106"/>
      <x v="73"/>
      <x v="5"/>
      <x v="10"/>
    </i>
    <i t="default" r="1">
      <x v="3"/>
    </i>
    <i t="default">
      <x/>
    </i>
    <i>
      <x v="1"/>
      <x v="15"/>
      <x v="2"/>
      <x v="20"/>
      <x v="20"/>
      <x v="3"/>
      <x v="3"/>
    </i>
    <i r="3">
      <x v="74"/>
      <x v="75"/>
      <x v="3"/>
      <x v="3"/>
    </i>
    <i t="default" r="1">
      <x v="15"/>
    </i>
    <i r="1">
      <x v="20"/>
      <x v="15"/>
      <x v="102"/>
      <x v="101"/>
      <x v="3"/>
      <x v="22"/>
    </i>
    <i t="default" r="1">
      <x v="20"/>
    </i>
    <i t="default">
      <x v="1"/>
    </i>
    <i>
      <x v="2"/>
      <x v="4"/>
      <x v="9"/>
      <x v="14"/>
      <x v="13"/>
      <x v="4"/>
      <x v="2"/>
    </i>
    <i r="3">
      <x v="15"/>
      <x v="14"/>
      <x v="4"/>
      <x v="2"/>
    </i>
    <i r="3">
      <x v="16"/>
      <x v="15"/>
      <x v="4"/>
      <x v="7"/>
    </i>
    <i r="3">
      <x v="33"/>
      <x v="36"/>
      <x v="1"/>
      <x v="6"/>
    </i>
    <i r="3">
      <x v="41"/>
      <x v="57"/>
      <x v="7"/>
      <x v="4"/>
    </i>
    <i r="3">
      <x v="42"/>
      <x v="40"/>
      <x v="7"/>
      <x v="5"/>
    </i>
    <i r="3">
      <x v="57"/>
      <x v="31"/>
      <x v="1"/>
      <x v="18"/>
    </i>
    <i r="3">
      <x v="63"/>
      <x v="62"/>
      <x v="7"/>
      <x v="5"/>
    </i>
    <i r="3">
      <x v="71"/>
      <x v="65"/>
      <x v="7"/>
      <x v="2"/>
    </i>
    <i r="3">
      <x v="73"/>
      <x v="74"/>
      <x/>
      <x v="2"/>
    </i>
    <i r="3">
      <x v="78"/>
      <x v="78"/>
      <x v="5"/>
      <x v="13"/>
    </i>
    <i r="3">
      <x v="80"/>
      <x v="80"/>
      <x v="7"/>
      <x v="13"/>
    </i>
    <i r="3">
      <x v="81"/>
      <x v="81"/>
      <x v="7"/>
      <x v="24"/>
    </i>
    <i r="3">
      <x v="82"/>
      <x v="82"/>
      <x v="7"/>
      <x v="29"/>
    </i>
    <i r="3">
      <x v="87"/>
      <x v="87"/>
      <x v="5"/>
      <x v="26"/>
    </i>
    <i r="3">
      <x v="90"/>
      <x v="56"/>
      <x v="7"/>
      <x v="12"/>
    </i>
    <i r="3">
      <x v="93"/>
      <x v="92"/>
      <x v="5"/>
      <x v="26"/>
    </i>
    <i r="3">
      <x v="95"/>
      <x v="94"/>
      <x v="7"/>
      <x v="2"/>
    </i>
    <i r="3">
      <x v="96"/>
      <x v="96"/>
      <x v="5"/>
      <x v="2"/>
    </i>
    <i r="3">
      <x v="97"/>
      <x v="97"/>
      <x v="5"/>
      <x v="18"/>
    </i>
    <i r="3">
      <x v="107"/>
      <x v="103"/>
      <x v="7"/>
      <x v="4"/>
    </i>
    <i r="3">
      <x v="112"/>
      <x v="72"/>
      <x v="7"/>
      <x v="19"/>
    </i>
    <i r="3">
      <x v="113"/>
      <x v="106"/>
      <x v="7"/>
      <x v="19"/>
    </i>
    <i r="3">
      <x v="116"/>
      <x v="109"/>
      <x v="7"/>
      <x v="10"/>
    </i>
    <i t="default" r="1">
      <x v="4"/>
    </i>
    <i r="1">
      <x v="5"/>
      <x v="18"/>
      <x v="23"/>
      <x v="39"/>
      <x v="3"/>
      <x v="5"/>
    </i>
    <i r="3">
      <x v="65"/>
      <x v="3"/>
      <x v="3"/>
      <x v="5"/>
    </i>
    <i r="3">
      <x v="73"/>
      <x v="74"/>
      <x/>
      <x v="2"/>
    </i>
    <i r="3">
      <x v="75"/>
      <x v="76"/>
      <x v="2"/>
      <x v="2"/>
    </i>
    <i r="3">
      <x v="77"/>
      <x v="66"/>
      <x v="5"/>
      <x v="13"/>
    </i>
    <i r="3">
      <x v="78"/>
      <x v="78"/>
      <x v="5"/>
      <x v="13"/>
    </i>
    <i r="3">
      <x v="83"/>
      <x v="83"/>
      <x v="3"/>
      <x v="5"/>
    </i>
    <i r="3">
      <x v="84"/>
      <x v="84"/>
      <x v="3"/>
      <x v="25"/>
    </i>
    <i r="3">
      <x v="86"/>
      <x v="86"/>
      <x v="3"/>
      <x v="13"/>
    </i>
    <i r="3">
      <x v="87"/>
      <x v="87"/>
      <x v="5"/>
      <x v="26"/>
    </i>
    <i r="3">
      <x v="88"/>
      <x v="88"/>
      <x v="5"/>
      <x v="4"/>
    </i>
    <i r="3">
      <x v="91"/>
      <x v="90"/>
      <x v="3"/>
      <x v="5"/>
    </i>
    <i r="3">
      <x v="93"/>
      <x v="92"/>
      <x v="5"/>
      <x v="26"/>
    </i>
    <i r="3">
      <x v="94"/>
      <x v="93"/>
      <x v="2"/>
      <x v="10"/>
    </i>
    <i r="3">
      <x v="96"/>
      <x v="96"/>
      <x v="5"/>
      <x v="2"/>
    </i>
    <i r="3">
      <x v="108"/>
      <x v="104"/>
      <x v="3"/>
      <x v="6"/>
    </i>
    <i r="3">
      <x v="115"/>
      <x v="108"/>
      <x v="3"/>
      <x v="13"/>
    </i>
    <i r="3">
      <x v="117"/>
      <x v="110"/>
      <x v="5"/>
      <x v="2"/>
    </i>
    <i t="default" r="1">
      <x v="5"/>
    </i>
    <i r="1">
      <x v="6"/>
      <x v="11"/>
      <x v="2"/>
      <x v="2"/>
      <x v="1"/>
      <x v="2"/>
    </i>
    <i r="3">
      <x v="61"/>
      <x v="59"/>
      <x v="3"/>
      <x v="5"/>
    </i>
    <i r="3">
      <x v="81"/>
      <x v="81"/>
      <x v="7"/>
      <x v="3"/>
    </i>
    <i r="3">
      <x v="82"/>
      <x v="82"/>
      <x v="7"/>
      <x v="30"/>
    </i>
    <i r="3">
      <x v="83"/>
      <x v="83"/>
      <x v="3"/>
      <x/>
    </i>
    <i r="3">
      <x v="84"/>
      <x v="84"/>
      <x v="3"/>
      <x v="3"/>
    </i>
    <i r="3">
      <x v="85"/>
      <x v="85"/>
      <x v="3"/>
      <x v="3"/>
    </i>
    <i r="3">
      <x v="91"/>
      <x v="90"/>
      <x v="3"/>
      <x/>
    </i>
    <i r="3">
      <x v="92"/>
      <x v="91"/>
      <x v="3"/>
      <x v="3"/>
    </i>
    <i r="3">
      <x v="114"/>
      <x v="107"/>
      <x v="3"/>
      <x v="2"/>
    </i>
    <i r="3">
      <x v="115"/>
      <x v="108"/>
      <x v="3"/>
      <x v="13"/>
    </i>
    <i r="3">
      <x v="119"/>
      <x/>
      <x v="3"/>
      <x v="6"/>
    </i>
    <i t="default" r="1">
      <x v="6"/>
    </i>
    <i r="1">
      <x v="7"/>
      <x v="10"/>
      <x v="15"/>
      <x v="14"/>
      <x v="4"/>
      <x v="5"/>
    </i>
    <i t="default" r="1">
      <x v="7"/>
    </i>
    <i r="1">
      <x v="8"/>
      <x v="8"/>
      <x v="14"/>
      <x v="13"/>
      <x v="4"/>
      <x v="32"/>
    </i>
    <i r="3">
      <x v="16"/>
      <x v="15"/>
      <x v="4"/>
      <x v="34"/>
    </i>
    <i t="default" r="1">
      <x v="8"/>
    </i>
    <i r="1">
      <x v="9"/>
      <x v="13"/>
      <x v="2"/>
      <x v="2"/>
      <x v="1"/>
      <x v="7"/>
    </i>
    <i r="3">
      <x v="57"/>
      <x v="31"/>
      <x v="1"/>
      <x v="2"/>
    </i>
    <i t="default" r="1">
      <x v="9"/>
    </i>
    <i r="1">
      <x v="10"/>
      <x v="19"/>
      <x v="56"/>
      <x v="54"/>
      <x v="7"/>
      <x v="3"/>
    </i>
    <i r="3">
      <x v="60"/>
      <x v="58"/>
      <x v="3"/>
      <x v="3"/>
    </i>
    <i r="3">
      <x v="66"/>
      <x v="64"/>
      <x v="4"/>
      <x v="6"/>
    </i>
    <i r="3">
      <x v="87"/>
      <x v="87"/>
      <x v="5"/>
      <x v="27"/>
    </i>
    <i r="3">
      <x v="88"/>
      <x v="88"/>
      <x v="5"/>
      <x/>
    </i>
    <i r="3">
      <x v="93"/>
      <x v="92"/>
      <x v="5"/>
      <x v="27"/>
    </i>
    <i t="default" r="1">
      <x v="10"/>
    </i>
    <i r="1">
      <x v="11"/>
      <x v="17"/>
      <x v="41"/>
      <x v="57"/>
      <x v="7"/>
      <x v="16"/>
    </i>
    <i r="3">
      <x v="79"/>
      <x v="79"/>
      <x v="7"/>
      <x v="2"/>
    </i>
    <i t="default" r="1">
      <x v="11"/>
    </i>
    <i r="1">
      <x v="12"/>
      <x/>
      <x v="14"/>
      <x v="13"/>
      <x v="4"/>
      <x v="31"/>
    </i>
    <i r="3">
      <x v="16"/>
      <x v="15"/>
      <x v="4"/>
      <x v="33"/>
    </i>
    <i r="3">
      <x v="118"/>
      <x v="112"/>
      <x v="1"/>
      <x v="3"/>
    </i>
    <i t="default" r="1">
      <x v="12"/>
    </i>
    <i r="1">
      <x v="13"/>
      <x v="20"/>
      <x v="33"/>
      <x v="36"/>
      <x v="1"/>
      <x v="22"/>
    </i>
    <i t="default" r="1">
      <x v="13"/>
    </i>
    <i r="1">
      <x v="14"/>
      <x v="7"/>
      <x v="74"/>
      <x v="75"/>
      <x v="3"/>
      <x v="1"/>
    </i>
    <i t="default" r="1">
      <x v="14"/>
    </i>
    <i t="default">
      <x v="2"/>
    </i>
    <i>
      <x v="3"/>
      <x v="17"/>
      <x v="16"/>
      <x v="101"/>
      <x v="99"/>
      <x v="10"/>
      <x v="6"/>
    </i>
    <i r="3">
      <x v="110"/>
      <x v="100"/>
      <x v="10"/>
      <x v="6"/>
    </i>
    <i t="default" r="1">
      <x v="17"/>
    </i>
    <i r="1">
      <x v="18"/>
      <x v="5"/>
      <x v="67"/>
      <x v="67"/>
      <x v="5"/>
      <x v="10"/>
    </i>
    <i r="3">
      <x v="68"/>
      <x v="68"/>
      <x v="5"/>
      <x v="10"/>
    </i>
    <i r="3">
      <x v="69"/>
      <x v="69"/>
      <x v="5"/>
      <x v="10"/>
    </i>
    <i t="default" r="1">
      <x v="18"/>
    </i>
    <i r="1">
      <x v="19"/>
      <x v="12"/>
      <x v="21"/>
      <x v="21"/>
      <x v="2"/>
      <x v="10"/>
    </i>
    <i r="3">
      <x v="22"/>
      <x v="22"/>
      <x v="2"/>
      <x v="10"/>
    </i>
    <i r="3">
      <x v="85"/>
      <x v="85"/>
      <x v="3"/>
      <x v="25"/>
    </i>
    <i r="3">
      <x v="92"/>
      <x v="91"/>
      <x v="3"/>
      <x v="24"/>
    </i>
    <i r="3">
      <x v="107"/>
      <x v="103"/>
      <x v="7"/>
      <x v="18"/>
    </i>
    <i r="3">
      <x v="111"/>
      <x v="35"/>
      <x v="2"/>
      <x v="6"/>
    </i>
    <i t="default" r="1">
      <x v="19"/>
    </i>
    <i t="default">
      <x v="3"/>
    </i>
    <i t="grand">
      <x/>
    </i>
  </rowItems>
  <colFields count="1">
    <field x="-2"/>
  </colFields>
  <colItems count="4">
    <i>
      <x/>
    </i>
    <i i="1">
      <x v="1"/>
    </i>
    <i i="2">
      <x v="2"/>
    </i>
    <i i="3">
      <x v="3"/>
    </i>
  </colItems>
  <dataFields count="4">
    <dataField name=" HST medv" fld="10" baseField="5" baseItem="2" numFmtId="165"/>
    <dataField name="Summa av HPR Medv" fld="12" baseField="5" baseItem="30" numFmtId="165"/>
    <dataField name=" Kursintäkt efter avdrag" fld="18" baseField="0" baseItem="0" numFmtId="171"/>
    <dataField name="Summa av Lokalintäkt" fld="19" baseField="5" baseItem="4" numFmtId="171"/>
  </dataFields>
  <formats count="49">
    <format dxfId="71">
      <pivotArea dataOnly="0" labelOnly="1" grandRow="1" outline="0" fieldPosition="0"/>
    </format>
    <format dxfId="70">
      <pivotArea field="7" type="button" dataOnly="0" labelOnly="1" outline="0" axis="axisRow" fieldPosition="5"/>
    </format>
    <format dxfId="69">
      <pivotArea field="0" type="button" dataOnly="0" labelOnly="1" outline="0" axis="axisRow" fieldPosition="3"/>
    </format>
    <format dxfId="68">
      <pivotArea field="1" type="button" dataOnly="0" labelOnly="1" outline="0" axis="axisRow" fieldPosition="4"/>
    </format>
    <format dxfId="67">
      <pivotArea type="origin" dataOnly="0" labelOnly="1" outline="0" fieldPosition="0"/>
    </format>
    <format dxfId="66">
      <pivotArea dataOnly="0" labelOnly="1" outline="0" fieldPosition="0">
        <references count="1">
          <reference field="3" count="0"/>
        </references>
      </pivotArea>
    </format>
    <format dxfId="65">
      <pivotArea dataOnly="0" labelOnly="1" grandRow="1" outline="0" fieldPosition="0"/>
    </format>
    <format dxfId="64">
      <pivotArea field="3" type="button" dataOnly="0" labelOnly="1" outline="0" axis="axisRow" fieldPosition="2"/>
    </format>
    <format dxfId="63">
      <pivotArea field="6" type="button" dataOnly="0" labelOnly="1" outline="0"/>
    </format>
    <format dxfId="62">
      <pivotArea field="7" type="button" dataOnly="0" labelOnly="1" outline="0" axis="axisRow" fieldPosition="5"/>
    </format>
    <format dxfId="61">
      <pivotArea field="0" type="button" dataOnly="0" labelOnly="1" outline="0" axis="axisRow" fieldPosition="3"/>
    </format>
    <format dxfId="60">
      <pivotArea field="1" type="button" dataOnly="0" labelOnly="1" outline="0" axis="axisRow" fieldPosition="4"/>
    </format>
    <format dxfId="59">
      <pivotArea outline="0" fieldPosition="0">
        <references count="1">
          <reference field="4294967294" count="1">
            <x v="2"/>
          </reference>
        </references>
      </pivotArea>
    </format>
    <format dxfId="58">
      <pivotArea field="4" type="button" dataOnly="0" labelOnly="1" outline="0" axis="axisRow" fieldPosition="0"/>
    </format>
    <format dxfId="57">
      <pivotArea field="3" type="button" dataOnly="0" labelOnly="1" outline="0" axis="axisRow" fieldPosition="2"/>
    </format>
    <format dxfId="56">
      <pivotArea field="0" type="button" dataOnly="0" labelOnly="1" outline="0" axis="axisRow" fieldPosition="3"/>
    </format>
    <format dxfId="55">
      <pivotArea field="7" type="button" dataOnly="0" labelOnly="1" outline="0" axis="axisRow" fieldPosition="5"/>
    </format>
    <format dxfId="54">
      <pivotArea field="5" type="button" dataOnly="0" labelOnly="1" outline="0" axis="axisRow" fieldPosition="6"/>
    </format>
    <format dxfId="53">
      <pivotArea dataOnly="0" labelOnly="1" outline="0" fieldPosition="0">
        <references count="1">
          <reference field="4294967294" count="2">
            <x v="0"/>
            <x v="2"/>
          </reference>
        </references>
      </pivotArea>
    </format>
    <format dxfId="52">
      <pivotArea dataOnly="0" labelOnly="1" outline="0" fieldPosition="0">
        <references count="1">
          <reference field="4294967294" count="1">
            <x v="1"/>
          </reference>
        </references>
      </pivotArea>
    </format>
    <format dxfId="51">
      <pivotArea dataOnly="0" labelOnly="1" outline="0" fieldPosition="0">
        <references count="1">
          <reference field="4" count="1" defaultSubtotal="1">
            <x v="0"/>
          </reference>
        </references>
      </pivotArea>
    </format>
    <format dxfId="50">
      <pivotArea dataOnly="0" labelOnly="1" outline="0" fieldPosition="0">
        <references count="1">
          <reference field="4" count="1" defaultSubtotal="1">
            <x v="1"/>
          </reference>
        </references>
      </pivotArea>
    </format>
    <format dxfId="49">
      <pivotArea dataOnly="0" labelOnly="1" outline="0" fieldPosition="0">
        <references count="1">
          <reference field="4" count="1" defaultSubtotal="1">
            <x v="2"/>
          </reference>
        </references>
      </pivotArea>
    </format>
    <format dxfId="48">
      <pivotArea dataOnly="0" labelOnly="1" outline="0" fieldPosition="0">
        <references count="1">
          <reference field="4" count="1" defaultSubtotal="1">
            <x v="3"/>
          </reference>
        </references>
      </pivotArea>
    </format>
    <format dxfId="47">
      <pivotArea dataOnly="0" labelOnly="1" grandRow="1" outline="0" fieldPosition="0"/>
    </format>
    <format dxfId="46">
      <pivotArea dataOnly="0" labelOnly="1" outline="0" fieldPosition="0">
        <references count="2">
          <reference field="3" count="1" defaultSubtotal="1">
            <x v="1"/>
          </reference>
          <reference field="4" count="1" selected="0">
            <x v="0"/>
          </reference>
        </references>
      </pivotArea>
    </format>
    <format dxfId="45">
      <pivotArea dataOnly="0" labelOnly="1" outline="0" fieldPosition="0">
        <references count="2">
          <reference field="3" count="1" defaultSubtotal="1">
            <x v="3"/>
          </reference>
          <reference field="4" count="1" selected="0">
            <x v="0"/>
          </reference>
        </references>
      </pivotArea>
    </format>
    <format dxfId="44">
      <pivotArea dataOnly="0" labelOnly="1" outline="0" fieldPosition="0">
        <references count="2">
          <reference field="3" count="1" defaultSubtotal="1">
            <x v="4"/>
          </reference>
          <reference field="4" count="1" selected="0">
            <x v="0"/>
          </reference>
        </references>
      </pivotArea>
    </format>
    <format dxfId="43">
      <pivotArea dataOnly="0" labelOnly="1" outline="0" fieldPosition="0">
        <references count="2">
          <reference field="3" count="1" defaultSubtotal="1">
            <x v="6"/>
          </reference>
          <reference field="4" count="1" selected="0">
            <x v="0"/>
          </reference>
        </references>
      </pivotArea>
    </format>
    <format dxfId="42">
      <pivotArea dataOnly="0" labelOnly="1" outline="0" fieldPosition="0">
        <references count="2">
          <reference field="3" count="1" defaultSubtotal="1">
            <x v="2"/>
          </reference>
          <reference field="4" count="1" selected="0">
            <x v="1"/>
          </reference>
        </references>
      </pivotArea>
    </format>
    <format dxfId="41">
      <pivotArea dataOnly="0" labelOnly="1" outline="0" fieldPosition="0">
        <references count="2">
          <reference field="3" count="1" defaultSubtotal="1">
            <x v="15"/>
          </reference>
          <reference field="4" count="1" selected="0">
            <x v="1"/>
          </reference>
        </references>
      </pivotArea>
    </format>
    <format dxfId="40">
      <pivotArea dataOnly="0" labelOnly="1" outline="0" fieldPosition="0">
        <references count="2">
          <reference field="3" count="1" defaultSubtotal="1">
            <x v="0"/>
          </reference>
          <reference field="4" count="1" selected="0">
            <x v="2"/>
          </reference>
        </references>
      </pivotArea>
    </format>
    <format dxfId="39">
      <pivotArea dataOnly="0" labelOnly="1" outline="0" fieldPosition="0">
        <references count="2">
          <reference field="3" count="1" defaultSubtotal="1">
            <x v="7"/>
          </reference>
          <reference field="4" count="1" selected="0">
            <x v="2"/>
          </reference>
        </references>
      </pivotArea>
    </format>
    <format dxfId="38">
      <pivotArea dataOnly="0" labelOnly="1" outline="0" fieldPosition="0">
        <references count="2">
          <reference field="3" count="1" defaultSubtotal="1">
            <x v="8"/>
          </reference>
          <reference field="4" count="1" selected="0">
            <x v="2"/>
          </reference>
        </references>
      </pivotArea>
    </format>
    <format dxfId="37">
      <pivotArea dataOnly="0" labelOnly="1" outline="0" fieldPosition="0">
        <references count="2">
          <reference field="3" count="1" defaultSubtotal="1">
            <x v="9"/>
          </reference>
          <reference field="4" count="1" selected="0">
            <x v="2"/>
          </reference>
        </references>
      </pivotArea>
    </format>
    <format dxfId="36">
      <pivotArea dataOnly="0" labelOnly="1" outline="0" fieldPosition="0">
        <references count="2">
          <reference field="3" count="1" defaultSubtotal="1">
            <x v="10"/>
          </reference>
          <reference field="4" count="1" selected="0">
            <x v="2"/>
          </reference>
        </references>
      </pivotArea>
    </format>
    <format dxfId="35">
      <pivotArea dataOnly="0" labelOnly="1" outline="0" fieldPosition="0">
        <references count="2">
          <reference field="3" count="1" defaultSubtotal="1">
            <x v="11"/>
          </reference>
          <reference field="4" count="1" selected="0">
            <x v="2"/>
          </reference>
        </references>
      </pivotArea>
    </format>
    <format dxfId="34">
      <pivotArea dataOnly="0" labelOnly="1" outline="0" fieldPosition="0">
        <references count="2">
          <reference field="3" count="1" defaultSubtotal="1">
            <x v="13"/>
          </reference>
          <reference field="4" count="1" selected="0">
            <x v="2"/>
          </reference>
        </references>
      </pivotArea>
    </format>
    <format dxfId="33">
      <pivotArea dataOnly="0" labelOnly="1" outline="0" fieldPosition="0">
        <references count="2">
          <reference field="3" count="1" defaultSubtotal="1">
            <x v="14"/>
          </reference>
          <reference field="4" count="1" selected="0">
            <x v="2"/>
          </reference>
        </references>
      </pivotArea>
    </format>
    <format dxfId="32">
      <pivotArea dataOnly="0" labelOnly="1" outline="0" fieldPosition="0">
        <references count="2">
          <reference field="3" count="1" defaultSubtotal="1">
            <x v="17"/>
          </reference>
          <reference field="4" count="1" selected="0">
            <x v="2"/>
          </reference>
        </references>
      </pivotArea>
    </format>
    <format dxfId="31">
      <pivotArea dataOnly="0" labelOnly="1" outline="0" fieldPosition="0">
        <references count="2">
          <reference field="3" count="1" defaultSubtotal="1">
            <x v="18"/>
          </reference>
          <reference field="4" count="1" selected="0">
            <x v="2"/>
          </reference>
        </references>
      </pivotArea>
    </format>
    <format dxfId="30">
      <pivotArea dataOnly="0" labelOnly="1" outline="0" fieldPosition="0">
        <references count="2">
          <reference field="3" count="1" defaultSubtotal="1">
            <x v="5"/>
          </reference>
          <reference field="4" count="1" selected="0">
            <x v="3"/>
          </reference>
        </references>
      </pivotArea>
    </format>
    <format dxfId="29">
      <pivotArea dataOnly="0" labelOnly="1" outline="0" fieldPosition="0">
        <references count="2">
          <reference field="3" count="1" defaultSubtotal="1">
            <x v="12"/>
          </reference>
          <reference field="4" count="1" selected="0">
            <x v="3"/>
          </reference>
        </references>
      </pivotArea>
    </format>
    <format dxfId="28">
      <pivotArea dataOnly="0" labelOnly="1" outline="0" fieldPosition="0">
        <references count="2">
          <reference field="3" count="1" defaultSubtotal="1">
            <x v="16"/>
          </reference>
          <reference field="4" count="1" selected="0">
            <x v="3"/>
          </reference>
        </references>
      </pivotArea>
    </format>
    <format dxfId="27">
      <pivotArea dataOnly="0" labelOnly="1" outline="0" fieldPosition="0">
        <references count="1">
          <reference field="5" count="0"/>
        </references>
      </pivotArea>
    </format>
    <format dxfId="26">
      <pivotArea outline="0" fieldPosition="0">
        <references count="1">
          <reference field="4294967294" count="1">
            <x v="3"/>
          </reference>
        </references>
      </pivotArea>
    </format>
    <format dxfId="25">
      <pivotArea dataOnly="0" labelOnly="1" outline="0" fieldPosition="0">
        <references count="1">
          <reference field="4294967294" count="1">
            <x v="3"/>
          </reference>
        </references>
      </pivotArea>
    </format>
    <format dxfId="24">
      <pivotArea outline="0" fieldPosition="0">
        <references count="1">
          <reference field="4294967294" count="1">
            <x v="0"/>
          </reference>
        </references>
      </pivotArea>
    </format>
    <format dxfId="23">
      <pivotArea outline="0" fieldPosition="0">
        <references count="1">
          <reference field="4294967294" count="1">
            <x v="1"/>
          </reference>
        </references>
      </pivotArea>
    </format>
  </formats>
  <pivotTableStyleInfo name="PivotStyleMedium1" showRowHeaders="1" showColHeaders="1" showRowStripes="0" showColStripes="0" showLastColumn="1"/>
</pivotTableDefinition>
</file>

<file path=xl/pivotTables/pivotTable5.xml><?xml version="1.0" encoding="utf-8"?>
<pivotTableDefinition xmlns="http://schemas.openxmlformats.org/spreadsheetml/2006/main" name="Pivottabell3" cacheId="3" applyNumberFormats="0" applyBorderFormats="0" applyFontFormats="0" applyPatternFormats="0" applyAlignmentFormats="0" applyWidthHeightFormats="1" dataCaption="Data" updatedVersion="6" minRefreshableVersion="3" asteriskTotals="1" showMemberPropertyTips="0" useAutoFormatting="1" itemPrintTitles="1" createdVersion="3" indent="0" compact="0" compactData="0" gridDropZones="1">
  <location ref="A3:K117" firstHeaderRow="1" firstDataRow="2" firstDataCol="5"/>
  <pivotFields count="20">
    <pivotField axis="axisRow" compact="0" outline="0" subtotalTop="0" showAll="0" includeNewItemsInFilter="1" defaultSubtotal="0">
      <items count="121">
        <item m="1" x="104"/>
        <item x="8"/>
        <item x="9"/>
        <item m="1" x="94"/>
        <item m="1" x="120"/>
        <item m="1" x="75"/>
        <item m="1" x="82"/>
        <item m="1" x="85"/>
        <item m="1" x="89"/>
        <item m="1" x="105"/>
        <item m="1" x="77"/>
        <item x="22"/>
        <item m="1" x="84"/>
        <item m="1" x="86"/>
        <item x="59"/>
        <item x="60"/>
        <item x="61"/>
        <item x="67"/>
        <item x="68"/>
        <item x="69"/>
        <item x="4"/>
        <item x="13"/>
        <item x="14"/>
        <item x="23"/>
        <item m="1" x="113"/>
        <item m="1" x="93"/>
        <item m="1" x="81"/>
        <item m="1" x="118"/>
        <item m="1" x="73"/>
        <item m="1" x="74"/>
        <item m="1" x="76"/>
        <item m="1" x="79"/>
        <item m="1" x="101"/>
        <item x="10"/>
        <item m="1" x="92"/>
        <item m="1" x="96"/>
        <item m="1" x="87"/>
        <item m="1" x="91"/>
        <item m="1" x="98"/>
        <item m="1" x="102"/>
        <item m="1" x="110"/>
        <item x="70"/>
        <item x="25"/>
        <item m="1" x="116"/>
        <item m="1" x="111"/>
        <item m="1" x="109"/>
        <item m="1" x="97"/>
        <item m="1" x="119"/>
        <item m="1" x="72"/>
        <item m="1" x="100"/>
        <item m="1" x="103"/>
        <item m="1" x="106"/>
        <item m="1" x="112"/>
        <item m="1" x="115"/>
        <item m="1" x="80"/>
        <item m="1" x="108"/>
        <item x="26"/>
        <item x="11"/>
        <item x="12"/>
        <item m="1" x="88"/>
        <item x="27"/>
        <item x="28"/>
        <item m="1" x="90"/>
        <item x="24"/>
        <item m="1" x="114"/>
        <item x="57"/>
        <item x="62"/>
        <item x="17"/>
        <item x="18"/>
        <item x="19"/>
        <item m="1" x="78"/>
        <item x="29"/>
        <item m="1" x="83"/>
        <item x="0"/>
        <item x="2"/>
        <item x="15"/>
        <item m="1" x="95"/>
        <item x="20"/>
        <item x="31"/>
        <item x="32"/>
        <item x="33"/>
        <item x="34"/>
        <item x="35"/>
        <item x="36"/>
        <item x="38"/>
        <item x="39"/>
        <item x="41"/>
        <item x="43"/>
        <item x="44"/>
        <item x="58"/>
        <item x="71"/>
        <item x="37"/>
        <item x="40"/>
        <item x="45"/>
        <item x="16"/>
        <item x="42"/>
        <item x="46"/>
        <item x="47"/>
        <item x="48"/>
        <item m="1" x="99"/>
        <item m="1" x="107"/>
        <item x="5"/>
        <item x="3"/>
        <item x="53"/>
        <item x="54"/>
        <item x="52"/>
        <item x="55"/>
        <item x="49"/>
        <item x="30"/>
        <item m="1" x="117"/>
        <item x="6"/>
        <item x="7"/>
        <item x="50"/>
        <item x="51"/>
        <item x="63"/>
        <item x="64"/>
        <item x="65"/>
        <item x="21"/>
        <item x="1"/>
        <item x="66"/>
        <item x="56"/>
      </items>
    </pivotField>
    <pivotField axis="axisRow" compact="0" outline="0" subtotalTop="0" showAll="0" includeNewItemsInFilter="1" defaultSubtotal="0">
      <items count="114">
        <item x="14"/>
        <item x="13"/>
        <item m="1" x="98"/>
        <item m="1" x="113"/>
        <item m="1" x="110"/>
        <item m="1" x="85"/>
        <item x="8"/>
        <item x="22"/>
        <item x="4"/>
        <item m="1" x="96"/>
        <item x="9"/>
        <item m="1" x="88"/>
        <item m="1" x="78"/>
        <item m="1" x="91"/>
        <item m="1" x="72"/>
        <item m="1" x="93"/>
        <item m="1" x="84"/>
        <item m="1" x="83"/>
        <item m="1" x="81"/>
        <item m="1" x="80"/>
        <item x="57"/>
        <item x="59"/>
        <item x="60"/>
        <item x="61"/>
        <item x="67"/>
        <item x="68"/>
        <item x="69"/>
        <item x="66"/>
        <item m="1" x="99"/>
        <item m="1" x="108"/>
        <item m="1" x="104"/>
        <item x="11"/>
        <item x="12"/>
        <item m="1" x="79"/>
        <item m="1" x="87"/>
        <item x="7"/>
        <item x="10"/>
        <item m="1" x="103"/>
        <item m="1" x="109"/>
        <item x="23"/>
        <item x="25"/>
        <item m="1" x="106"/>
        <item m="1" x="101"/>
        <item m="1" x="89"/>
        <item m="1" x="75"/>
        <item m="1" x="82"/>
        <item m="1" x="107"/>
        <item m="1" x="94"/>
        <item m="1" x="73"/>
        <item m="1" x="111"/>
        <item x="53"/>
        <item x="54"/>
        <item m="1" x="112"/>
        <item m="1" x="105"/>
        <item x="26"/>
        <item m="1" x="102"/>
        <item x="71"/>
        <item x="70"/>
        <item x="27"/>
        <item x="28"/>
        <item m="1" x="100"/>
        <item m="1" x="76"/>
        <item x="24"/>
        <item m="1" x="86"/>
        <item x="62"/>
        <item x="29"/>
        <item x="20"/>
        <item x="17"/>
        <item x="18"/>
        <item x="19"/>
        <item m="1" x="92"/>
        <item m="1" x="77"/>
        <item x="50"/>
        <item x="55"/>
        <item x="0"/>
        <item x="2"/>
        <item x="15"/>
        <item m="1" x="90"/>
        <item x="31"/>
        <item x="32"/>
        <item x="33"/>
        <item x="34"/>
        <item x="35"/>
        <item x="36"/>
        <item x="38"/>
        <item x="39"/>
        <item x="41"/>
        <item x="43"/>
        <item x="44"/>
        <item x="58"/>
        <item x="37"/>
        <item x="40"/>
        <item x="45"/>
        <item x="16"/>
        <item x="42"/>
        <item m="1" x="97"/>
        <item x="46"/>
        <item x="47"/>
        <item x="48"/>
        <item x="5"/>
        <item x="6"/>
        <item x="3"/>
        <item x="52"/>
        <item x="49"/>
        <item x="30"/>
        <item m="1" x="74"/>
        <item x="51"/>
        <item x="63"/>
        <item x="64"/>
        <item x="65"/>
        <item x="21"/>
        <item m="1" x="95"/>
        <item x="1"/>
        <item x="56"/>
      </items>
    </pivotField>
    <pivotField compact="0" outline="0" showAll="0" defaultSubtotal="0"/>
    <pivotField axis="axisRow" compact="0" outline="0" subtotalTop="0" showAll="0" includeNewItemsInFilter="1" defaultSubtotal="0">
      <items count="21">
        <item x="2"/>
        <item x="13"/>
        <item x="3"/>
        <item m="1" x="20"/>
        <item x="8"/>
        <item x="12"/>
        <item x="16"/>
        <item x="4"/>
        <item x="17"/>
        <item x="0"/>
        <item x="18"/>
        <item x="9"/>
        <item x="7"/>
        <item x="10"/>
        <item m="1" x="19"/>
        <item x="5"/>
        <item x="6"/>
        <item x="15"/>
        <item x="1"/>
        <item x="14"/>
        <item x="11"/>
      </items>
    </pivotField>
    <pivotField compact="0" outline="0" subtotalTop="0" multipleItemSelectionAllowed="1" showAll="0" includeNewItemsInFilter="1"/>
    <pivotField compact="0" outline="0" showAll="0" defaultSubtotal="0"/>
    <pivotField axis="axisRow" compact="0" outline="0" subtotalTop="0" showAll="0" includeNewItemsInFilter="1" sortType="ascending">
      <items count="10">
        <item x="4"/>
        <item x="1"/>
        <item x="0"/>
        <item x="2"/>
        <item x="6"/>
        <item x="7"/>
        <item x="3"/>
        <item m="1" x="8"/>
        <item x="5"/>
        <item t="default"/>
      </items>
    </pivotField>
    <pivotField axis="axisRow" compact="0" outline="0" subtotalTop="0" showAll="0" includeNewItemsInFilter="1" defaultSubtotal="0">
      <items count="11">
        <item x="0"/>
        <item x="1"/>
        <item x="4"/>
        <item x="2"/>
        <item x="7"/>
        <item x="5"/>
        <item m="1" x="9"/>
        <item x="6"/>
        <item m="1" x="8"/>
        <item m="1" x="10"/>
        <item x="3"/>
      </items>
    </pivotField>
    <pivotField compact="0" outline="0" subtotalTop="0" showAll="0" includeNewItemsInFilter="1"/>
    <pivotField compact="0" outline="0" subtotalTop="0" showAll="0" includeNewItemsInFilter="1"/>
    <pivotField dataField="1" compact="0" numFmtId="168" outline="0" subtotalTop="0" showAll="0" includeNewItemsInFilter="1"/>
    <pivotField compact="0" outline="0" subtotalTop="0" showAll="0" includeNewItemsInFilter="1"/>
    <pivotField dataField="1" compact="0" numFmtId="168" outline="0" subtotalTop="0" showAll="0" includeNewItemsInFilter="1"/>
    <pivotField compact="0" outline="0" subtotalTop="0" showAll="0" includeNewItemsInFilter="1"/>
    <pivotField compact="0" outline="0" subtotalTop="0" showAll="0" includeNewItemsInFilter="1"/>
    <pivotField compact="0" outline="0" showAll="0" defaultSubtotal="0"/>
    <pivotField name="Kursintäkt2" dataField="1" compact="0" outline="0" showAll="0" defaultSubtotal="0"/>
    <pivotField dataField="1" compact="0" outline="0" subtotalTop="0" showAll="0" includeNewItemsInFilter="1"/>
    <pivotField dataField="1" compact="0" outline="0" showAll="0" defaultSubtotal="0"/>
    <pivotField dataField="1" compact="0" numFmtId="168" outline="0" subtotalTop="0" showAll="0" includeNewItemsInFilter="1"/>
  </pivotFields>
  <rowFields count="5">
    <field x="6"/>
    <field x="7"/>
    <field x="0"/>
    <field x="1"/>
    <field x="3"/>
  </rowFields>
  <rowItems count="113">
    <i>
      <x/>
      <x v="2"/>
      <x v="17"/>
      <x v="24"/>
      <x v="4"/>
    </i>
    <i r="2">
      <x v="18"/>
      <x v="25"/>
      <x v="4"/>
    </i>
    <i r="2">
      <x v="19"/>
      <x v="26"/>
      <x v="4"/>
    </i>
    <i r="2">
      <x v="21"/>
      <x v="1"/>
      <x v="12"/>
    </i>
    <i r="2">
      <x v="22"/>
      <x/>
      <x v="12"/>
    </i>
    <i r="2">
      <x v="75"/>
      <x v="76"/>
      <x v="18"/>
    </i>
    <i r="2">
      <x v="89"/>
      <x v="89"/>
      <x v="4"/>
    </i>
    <i r="2">
      <x v="94"/>
      <x v="93"/>
      <x v="18"/>
    </i>
    <i r="2">
      <x v="111"/>
      <x v="35"/>
      <x v="12"/>
    </i>
    <i t="default">
      <x/>
    </i>
    <i>
      <x v="1"/>
      <x v="1"/>
      <x v="1"/>
      <x v="6"/>
      <x v="4"/>
    </i>
    <i r="2">
      <x v="2"/>
      <x v="10"/>
      <x v="11"/>
    </i>
    <i r="4">
      <x v="13"/>
    </i>
    <i r="2">
      <x v="33"/>
      <x v="36"/>
      <x v="9"/>
    </i>
    <i r="4">
      <x v="20"/>
    </i>
    <i r="2">
      <x v="57"/>
      <x v="31"/>
      <x v="9"/>
    </i>
    <i r="4">
      <x v="13"/>
    </i>
    <i r="2">
      <x v="58"/>
      <x v="32"/>
      <x v="4"/>
    </i>
    <i r="2">
      <x v="118"/>
      <x v="112"/>
      <x/>
    </i>
    <i t="default">
      <x v="1"/>
    </i>
    <i>
      <x v="2"/>
      <x/>
      <x v="73"/>
      <x v="74"/>
      <x v="9"/>
    </i>
    <i r="4">
      <x v="18"/>
    </i>
    <i t="default">
      <x v="2"/>
    </i>
    <i>
      <x v="3"/>
      <x v="3"/>
      <x v="20"/>
      <x v="8"/>
      <x v="2"/>
    </i>
    <i r="2">
      <x v="23"/>
      <x v="39"/>
      <x v="18"/>
    </i>
    <i r="2">
      <x v="60"/>
      <x v="58"/>
      <x v="19"/>
    </i>
    <i r="2">
      <x v="61"/>
      <x v="59"/>
      <x v="11"/>
    </i>
    <i r="2">
      <x v="65"/>
      <x v="20"/>
      <x v="18"/>
    </i>
    <i r="2">
      <x v="74"/>
      <x v="75"/>
      <x v="2"/>
    </i>
    <i r="4">
      <x v="7"/>
    </i>
    <i r="2">
      <x v="83"/>
      <x v="83"/>
      <x v="11"/>
    </i>
    <i r="4">
      <x v="18"/>
    </i>
    <i r="2">
      <x v="84"/>
      <x v="84"/>
      <x v="11"/>
    </i>
    <i r="4">
      <x v="18"/>
    </i>
    <i r="2">
      <x v="85"/>
      <x v="85"/>
      <x v="11"/>
    </i>
    <i r="4">
      <x v="12"/>
    </i>
    <i r="2">
      <x v="86"/>
      <x v="86"/>
      <x v="18"/>
    </i>
    <i r="2">
      <x v="91"/>
      <x v="90"/>
      <x v="11"/>
    </i>
    <i r="4">
      <x v="18"/>
    </i>
    <i r="2">
      <x v="92"/>
      <x v="91"/>
      <x v="11"/>
    </i>
    <i r="4">
      <x v="12"/>
    </i>
    <i r="2">
      <x v="102"/>
      <x v="101"/>
      <x v="15"/>
    </i>
    <i r="2">
      <x v="108"/>
      <x v="104"/>
      <x v="18"/>
    </i>
    <i r="2">
      <x v="114"/>
      <x v="107"/>
      <x v="6"/>
    </i>
    <i r="4">
      <x v="11"/>
    </i>
    <i r="2">
      <x v="115"/>
      <x v="108"/>
      <x v="11"/>
    </i>
    <i r="4">
      <x v="18"/>
    </i>
    <i r="2">
      <x v="119"/>
      <x v="27"/>
      <x v="11"/>
    </i>
    <i t="default">
      <x v="3"/>
    </i>
    <i>
      <x v="4"/>
      <x v="7"/>
      <x v="11"/>
      <x v="7"/>
      <x v="1"/>
    </i>
    <i r="2">
      <x v="41"/>
      <x v="57"/>
      <x v="9"/>
    </i>
    <i r="4">
      <x v="17"/>
    </i>
    <i r="2">
      <x v="42"/>
      <x v="40"/>
      <x v="9"/>
    </i>
    <i r="2">
      <x v="56"/>
      <x v="54"/>
      <x v="19"/>
    </i>
    <i r="2">
      <x v="63"/>
      <x v="62"/>
      <x v="9"/>
    </i>
    <i r="2">
      <x v="71"/>
      <x v="65"/>
      <x v="9"/>
    </i>
    <i r="2">
      <x v="79"/>
      <x v="79"/>
      <x v="17"/>
    </i>
    <i r="2">
      <x v="80"/>
      <x v="80"/>
      <x v="9"/>
    </i>
    <i r="2">
      <x v="81"/>
      <x v="81"/>
      <x v="9"/>
    </i>
    <i r="4">
      <x v="11"/>
    </i>
    <i r="2">
      <x v="82"/>
      <x v="82"/>
      <x v="9"/>
    </i>
    <i r="4">
      <x v="11"/>
    </i>
    <i r="2">
      <x v="90"/>
      <x v="56"/>
      <x v="9"/>
    </i>
    <i r="2">
      <x v="95"/>
      <x v="94"/>
      <x v="9"/>
    </i>
    <i r="2">
      <x v="107"/>
      <x v="103"/>
      <x v="9"/>
    </i>
    <i r="4">
      <x v="12"/>
    </i>
    <i r="2">
      <x v="112"/>
      <x v="72"/>
      <x v="9"/>
    </i>
    <i r="2">
      <x v="113"/>
      <x v="106"/>
      <x v="9"/>
    </i>
    <i r="2">
      <x v="116"/>
      <x v="109"/>
      <x v="9"/>
    </i>
    <i t="default">
      <x v="4"/>
    </i>
    <i>
      <x v="5"/>
      <x v="4"/>
      <x v="14"/>
      <x v="21"/>
      <x/>
    </i>
    <i r="4">
      <x v="8"/>
    </i>
    <i r="4">
      <x v="9"/>
    </i>
    <i r="2">
      <x v="15"/>
      <x v="22"/>
      <x v="9"/>
    </i>
    <i r="4">
      <x v="10"/>
    </i>
    <i r="2">
      <x v="16"/>
      <x v="23"/>
      <x/>
    </i>
    <i r="4">
      <x v="8"/>
    </i>
    <i r="4">
      <x v="9"/>
    </i>
    <i r="2">
      <x v="66"/>
      <x v="64"/>
      <x v="19"/>
    </i>
    <i t="default">
      <x v="5"/>
    </i>
    <i>
      <x v="6"/>
      <x v="10"/>
      <x v="101"/>
      <x v="99"/>
      <x v="16"/>
    </i>
    <i r="2">
      <x v="110"/>
      <x v="100"/>
      <x v="16"/>
    </i>
    <i t="default">
      <x v="6"/>
    </i>
    <i>
      <x v="8"/>
      <x v="5"/>
      <x v="67"/>
      <x v="67"/>
      <x v="5"/>
    </i>
    <i r="2">
      <x v="68"/>
      <x v="68"/>
      <x v="5"/>
    </i>
    <i r="2">
      <x v="69"/>
      <x v="69"/>
      <x v="5"/>
    </i>
    <i r="2">
      <x v="77"/>
      <x v="66"/>
      <x v="18"/>
    </i>
    <i r="2">
      <x v="78"/>
      <x v="78"/>
      <x v="9"/>
    </i>
    <i r="4">
      <x v="18"/>
    </i>
    <i r="2">
      <x v="87"/>
      <x v="87"/>
      <x v="9"/>
    </i>
    <i r="4">
      <x v="18"/>
    </i>
    <i r="4">
      <x v="19"/>
    </i>
    <i r="2">
      <x v="88"/>
      <x v="88"/>
      <x v="18"/>
    </i>
    <i r="4">
      <x v="19"/>
    </i>
    <i r="2">
      <x v="93"/>
      <x v="92"/>
      <x v="9"/>
    </i>
    <i r="4">
      <x v="18"/>
    </i>
    <i r="4">
      <x v="19"/>
    </i>
    <i r="2">
      <x v="96"/>
      <x v="96"/>
      <x v="1"/>
    </i>
    <i r="4">
      <x v="9"/>
    </i>
    <i r="4">
      <x v="18"/>
    </i>
    <i r="2">
      <x v="97"/>
      <x v="97"/>
      <x v="6"/>
    </i>
    <i r="4">
      <x v="9"/>
    </i>
    <i r="2">
      <x v="98"/>
      <x v="98"/>
      <x v="6"/>
    </i>
    <i r="2">
      <x v="103"/>
      <x v="50"/>
      <x v="6"/>
    </i>
    <i r="2">
      <x v="104"/>
      <x v="51"/>
      <x v="6"/>
    </i>
    <i r="2">
      <x v="105"/>
      <x v="102"/>
      <x v="1"/>
    </i>
    <i r="4">
      <x v="6"/>
    </i>
    <i r="2">
      <x v="106"/>
      <x v="73"/>
      <x v="1"/>
    </i>
    <i r="4">
      <x v="6"/>
    </i>
    <i r="2">
      <x v="117"/>
      <x v="110"/>
      <x v="18"/>
    </i>
    <i r="2">
      <x v="120"/>
      <x v="113"/>
      <x v="6"/>
    </i>
    <i t="default">
      <x v="8"/>
    </i>
    <i t="grand">
      <x/>
    </i>
  </rowItems>
  <colFields count="1">
    <field x="-2"/>
  </colFields>
  <colItems count="6">
    <i>
      <x/>
    </i>
    <i i="1">
      <x v="1"/>
    </i>
    <i i="2">
      <x v="2"/>
    </i>
    <i i="3">
      <x v="3"/>
    </i>
    <i i="4">
      <x v="4"/>
    </i>
    <i i="5">
      <x v="5"/>
    </i>
  </colItems>
  <dataFields count="6">
    <dataField name=" Kursintäkt" fld="16" baseField="0" baseItem="0" numFmtId="171"/>
    <dataField name="Kurs-ansvar" fld="17" baseField="0" baseItem="0" numFmtId="171"/>
    <dataField name=" Kursintäkt efter avdrag" fld="18" baseField="0" baseItem="0" numFmtId="171"/>
    <dataField name="Summa av Lokalintäkt" fld="19" baseField="3" baseItem="4" numFmtId="171"/>
    <dataField name="HST" fld="10" baseField="0" baseItem="0" numFmtId="172"/>
    <dataField name="HPR" fld="12" baseField="0" baseItem="0" numFmtId="172"/>
  </dataFields>
  <formats count="13">
    <format dxfId="22">
      <pivotArea type="all" dataOnly="0" outline="0" fieldPosition="0"/>
    </format>
    <format dxfId="21">
      <pivotArea type="all" dataOnly="0" outline="0" fieldPosition="0"/>
    </format>
    <format dxfId="20">
      <pivotArea field="0" type="button" dataOnly="0" labelOnly="1" outline="0" axis="axisRow" fieldPosition="2"/>
    </format>
    <format dxfId="19">
      <pivotArea field="6" type="button" dataOnly="0" labelOnly="1" outline="0" axis="axisRow" fieldPosition="0"/>
    </format>
    <format dxfId="18">
      <pivotArea field="7" type="button" dataOnly="0" labelOnly="1" outline="0" axis="axisRow" fieldPosition="1"/>
    </format>
    <format dxfId="17">
      <pivotArea field="3" type="button" dataOnly="0" labelOnly="1" outline="0" axis="axisRow" fieldPosition="4"/>
    </format>
    <format dxfId="16">
      <pivotArea dataOnly="0" labelOnly="1" outline="0" fieldPosition="0">
        <references count="1">
          <reference field="4294967294" count="0"/>
        </references>
      </pivotArea>
    </format>
    <format dxfId="15">
      <pivotArea outline="0" fieldPosition="0">
        <references count="1">
          <reference field="4294967294" count="1">
            <x v="1"/>
          </reference>
        </references>
      </pivotArea>
    </format>
    <format dxfId="14">
      <pivotArea outline="0" fieldPosition="0">
        <references count="1">
          <reference field="4294967294" count="1">
            <x v="4"/>
          </reference>
        </references>
      </pivotArea>
    </format>
    <format dxfId="13">
      <pivotArea outline="0" fieldPosition="0">
        <references count="1">
          <reference field="4294967294" count="1">
            <x v="5"/>
          </reference>
        </references>
      </pivotArea>
    </format>
    <format dxfId="12">
      <pivotArea outline="0" fieldPosition="0">
        <references count="1">
          <reference field="4294967294" count="1">
            <x v="0"/>
          </reference>
        </references>
      </pivotArea>
    </format>
    <format dxfId="11">
      <pivotArea outline="0" fieldPosition="0">
        <references count="1">
          <reference field="4294967294" count="1">
            <x v="2"/>
          </reference>
        </references>
      </pivotArea>
    </format>
    <format dxfId="10">
      <pivotArea outline="0" fieldPosition="0">
        <references count="1">
          <reference field="4294967294" count="1">
            <x v="3"/>
          </reference>
        </references>
      </pivotArea>
    </format>
  </formats>
  <pivotTableStyleInfo name="PivotStyleMedium1" showRowHeaders="1" showColHeaders="1" showRowStripes="0" showColStripes="0" showLastColumn="1"/>
</pivotTableDefinition>
</file>

<file path=xl/pivotTables/pivotTable6.xml><?xml version="1.0" encoding="utf-8"?>
<pivotTableDefinition xmlns="http://schemas.openxmlformats.org/spreadsheetml/2006/main" name="Pivottabell1" cacheId="1" applyNumberFormats="0" applyBorderFormats="0" applyFontFormats="0" applyPatternFormats="0" applyAlignmentFormats="0" applyWidthHeightFormats="1" dataCaption="Värden" updatedVersion="6" minRefreshableVersion="3" useAutoFormatting="1" itemPrintTitles="1" createdVersion="5" indent="0" compact="0" compactData="0" multipleFieldFilters="0">
  <location ref="A3:J91" firstHeaderRow="0" firstDataRow="1" firstDataCol="6" rowPageCount="1" colPageCount="1"/>
  <pivotFields count="66">
    <pivotField axis="axisRow" compact="0" outline="0" showAll="0" defaultSubtotal="0">
      <items count="435">
        <item x="2"/>
        <item x="4"/>
        <item x="8"/>
        <item x="9"/>
        <item x="13"/>
        <item x="16"/>
        <item x="17"/>
        <item x="21"/>
        <item x="22"/>
        <item m="1" x="405"/>
        <item x="30"/>
        <item m="1" x="419"/>
        <item m="1" x="413"/>
        <item x="32"/>
        <item x="37"/>
        <item x="38"/>
        <item x="40"/>
        <item x="41"/>
        <item x="42"/>
        <item x="51"/>
        <item x="52"/>
        <item x="53"/>
        <item x="55"/>
        <item x="56"/>
        <item x="57"/>
        <item x="60"/>
        <item x="61"/>
        <item x="62"/>
        <item x="64"/>
        <item m="1" x="411"/>
        <item x="83"/>
        <item m="1" x="416"/>
        <item x="90"/>
        <item x="92"/>
        <item x="93"/>
        <item x="98"/>
        <item x="99"/>
        <item x="100"/>
        <item x="105"/>
        <item x="106"/>
        <item x="107"/>
        <item x="108"/>
        <item x="110"/>
        <item x="114"/>
        <item x="115"/>
        <item x="125"/>
        <item x="133"/>
        <item x="134"/>
        <item x="135"/>
        <item x="136"/>
        <item x="137"/>
        <item x="138"/>
        <item x="139"/>
        <item x="140"/>
        <item x="141"/>
        <item x="142"/>
        <item x="143"/>
        <item x="144"/>
        <item x="145"/>
        <item x="146"/>
        <item x="147"/>
        <item x="160"/>
        <item x="161"/>
        <item x="162"/>
        <item x="163"/>
        <item x="164"/>
        <item x="165"/>
        <item x="166"/>
        <item x="177"/>
        <item m="1" x="401"/>
        <item x="178"/>
        <item m="1" x="421"/>
        <item x="184"/>
        <item x="187"/>
        <item x="194"/>
        <item x="195"/>
        <item x="196"/>
        <item x="201"/>
        <item m="1" x="423"/>
        <item x="202"/>
        <item x="203"/>
        <item x="204"/>
        <item x="206"/>
        <item x="207"/>
        <item x="209"/>
        <item x="210"/>
        <item x="211"/>
        <item x="212"/>
        <item x="213"/>
        <item x="214"/>
        <item x="215"/>
        <item x="220"/>
        <item x="221"/>
        <item x="222"/>
        <item x="223"/>
        <item x="224"/>
        <item x="225"/>
        <item x="226"/>
        <item x="227"/>
        <item x="228"/>
        <item x="230"/>
        <item x="231"/>
        <item x="232"/>
        <item x="233"/>
        <item x="234"/>
        <item x="235"/>
        <item x="236"/>
        <item x="237"/>
        <item x="238"/>
        <item x="239"/>
        <item x="240"/>
        <item x="241"/>
        <item x="242"/>
        <item x="243"/>
        <item x="244"/>
        <item x="245"/>
        <item x="246"/>
        <item x="247"/>
        <item x="248"/>
        <item x="249"/>
        <item x="250"/>
        <item x="251"/>
        <item x="260"/>
        <item x="261"/>
        <item x="262"/>
        <item x="263"/>
        <item x="264"/>
        <item x="265"/>
        <item x="267"/>
        <item x="268"/>
        <item x="269"/>
        <item x="291"/>
        <item x="292"/>
        <item x="293"/>
        <item x="300"/>
        <item x="301"/>
        <item x="302"/>
        <item x="305"/>
        <item x="306"/>
        <item x="314"/>
        <item x="315"/>
        <item x="316"/>
        <item x="317"/>
        <item x="318"/>
        <item x="339"/>
        <item x="340"/>
        <item x="341"/>
        <item x="342"/>
        <item x="343"/>
        <item x="344"/>
        <item x="345"/>
        <item x="346"/>
        <item x="347"/>
        <item x="348"/>
        <item x="349"/>
        <item x="362"/>
        <item x="363"/>
        <item x="364"/>
        <item x="365"/>
        <item x="366"/>
        <item x="367"/>
        <item x="368"/>
        <item x="369"/>
        <item x="370"/>
        <item x="371"/>
        <item x="372"/>
        <item x="373"/>
        <item x="374"/>
        <item x="375"/>
        <item x="376"/>
        <item x="380"/>
        <item m="1" x="406"/>
        <item x="393"/>
        <item x="394"/>
        <item x="395"/>
        <item x="14"/>
        <item x="15"/>
        <item x="23"/>
        <item x="109"/>
        <item x="190"/>
        <item x="191"/>
        <item x="266"/>
        <item x="294"/>
        <item x="270"/>
        <item x="27"/>
        <item x="91"/>
        <item x="95"/>
        <item x="117"/>
        <item x="118"/>
        <item x="148"/>
        <item x="149"/>
        <item x="150"/>
        <item x="199"/>
        <item x="271"/>
        <item x="272"/>
        <item x="273"/>
        <item x="390"/>
        <item x="276"/>
        <item x="277"/>
        <item x="275"/>
        <item x="43"/>
        <item x="279"/>
        <item x="303"/>
        <item x="350"/>
        <item x="351"/>
        <item x="396"/>
        <item x="156"/>
        <item x="278"/>
        <item x="44"/>
        <item x="45"/>
        <item x="229"/>
        <item x="10"/>
        <item x="12"/>
        <item m="1" x="425"/>
        <item x="28"/>
        <item x="33"/>
        <item x="34"/>
        <item x="35"/>
        <item m="1" x="432"/>
        <item m="1" x="412"/>
        <item x="94"/>
        <item x="96"/>
        <item x="101"/>
        <item x="102"/>
        <item x="119"/>
        <item x="120"/>
        <item x="132"/>
        <item x="151"/>
        <item x="152"/>
        <item x="153"/>
        <item x="154"/>
        <item x="157"/>
        <item x="159"/>
        <item x="170"/>
        <item x="171"/>
        <item x="172"/>
        <item x="281"/>
        <item x="282"/>
        <item x="295"/>
        <item x="296"/>
        <item x="328"/>
        <item x="329"/>
        <item x="330"/>
        <item x="46"/>
        <item x="47"/>
        <item x="48"/>
        <item x="85"/>
        <item x="36"/>
        <item x="39"/>
        <item m="1" x="424"/>
        <item m="1" x="426"/>
        <item x="122"/>
        <item x="123"/>
        <item x="124"/>
        <item x="155"/>
        <item x="158"/>
        <item x="167"/>
        <item x="168"/>
        <item x="169"/>
        <item x="173"/>
        <item x="192"/>
        <item x="193"/>
        <item x="308"/>
        <item x="352"/>
        <item x="353"/>
        <item x="354"/>
        <item x="355"/>
        <item x="356"/>
        <item x="357"/>
        <item x="358"/>
        <item m="1" x="428"/>
        <item x="86"/>
        <item x="65"/>
        <item x="54"/>
        <item m="1" x="417"/>
        <item x="50"/>
        <item x="175"/>
        <item x="176"/>
        <item x="179"/>
        <item x="180"/>
        <item x="174"/>
        <item x="385"/>
        <item x="379"/>
        <item x="381"/>
        <item x="378"/>
        <item x="386"/>
        <item x="387"/>
        <item x="388"/>
        <item x="382"/>
        <item x="322"/>
        <item x="319"/>
        <item x="320"/>
        <item x="323"/>
        <item x="325"/>
        <item x="321"/>
        <item x="324"/>
        <item x="383"/>
        <item x="391"/>
        <item x="181"/>
        <item x="182"/>
        <item x="183"/>
        <item m="1" x="420"/>
        <item x="58"/>
        <item x="67"/>
        <item m="1" x="402"/>
        <item x="69"/>
        <item m="1" x="418"/>
        <item m="1" x="407"/>
        <item m="1" x="398"/>
        <item m="1" x="409"/>
        <item x="63"/>
        <item x="59"/>
        <item x="66"/>
        <item x="68"/>
        <item x="111"/>
        <item x="112"/>
        <item x="198"/>
        <item x="205"/>
        <item x="208"/>
        <item m="1" x="431"/>
        <item m="1" x="433"/>
        <item x="254"/>
        <item x="255"/>
        <item x="256"/>
        <item x="257"/>
        <item x="307"/>
        <item x="309"/>
        <item x="310"/>
        <item m="1" x="414"/>
        <item x="87"/>
        <item x="216"/>
        <item x="217"/>
        <item x="218"/>
        <item x="219"/>
        <item x="252"/>
        <item x="274"/>
        <item x="129"/>
        <item x="130"/>
        <item x="131"/>
        <item m="1" x="399"/>
        <item m="1" x="427"/>
        <item m="1" x="429"/>
        <item x="326"/>
        <item x="197"/>
        <item x="377"/>
        <item x="253"/>
        <item x="327"/>
        <item m="1" x="400"/>
        <item m="1" x="404"/>
        <item m="1" x="408"/>
        <item x="1"/>
        <item m="1" x="422"/>
        <item x="0"/>
        <item x="6"/>
        <item x="5"/>
        <item x="331"/>
        <item x="332"/>
        <item x="333"/>
        <item x="335"/>
        <item x="311"/>
        <item x="80"/>
        <item x="3"/>
        <item x="11"/>
        <item x="71"/>
        <item x="72"/>
        <item x="73"/>
        <item x="74"/>
        <item x="75"/>
        <item x="97"/>
        <item x="103"/>
        <item x="104"/>
        <item x="116"/>
        <item x="121"/>
        <item x="189"/>
        <item x="280"/>
        <item x="297"/>
        <item x="298"/>
        <item x="88"/>
        <item m="1" x="403"/>
        <item x="126"/>
        <item x="336"/>
        <item x="338"/>
        <item x="337"/>
        <item x="287"/>
        <item x="289"/>
        <item x="290"/>
        <item x="312"/>
        <item x="313"/>
        <item x="77"/>
        <item m="1" x="415"/>
        <item x="113"/>
        <item m="1" x="430"/>
        <item m="1" x="434"/>
        <item x="299"/>
        <item x="76"/>
        <item x="79"/>
        <item x="81"/>
        <item m="1" x="410"/>
        <item x="185"/>
        <item x="186"/>
        <item x="283"/>
        <item x="284"/>
        <item x="288"/>
        <item x="334"/>
        <item x="392"/>
        <item x="20"/>
        <item x="29"/>
        <item x="31"/>
        <item x="70"/>
        <item x="78"/>
        <item x="82"/>
        <item x="84"/>
        <item x="258"/>
        <item x="259"/>
        <item x="285"/>
        <item x="286"/>
        <item x="384"/>
        <item x="389"/>
        <item x="359"/>
        <item x="360"/>
        <item x="18"/>
        <item x="19"/>
        <item x="7"/>
        <item x="24"/>
        <item x="25"/>
        <item x="26"/>
        <item x="89"/>
        <item x="188"/>
        <item x="304"/>
        <item x="397"/>
        <item x="49"/>
        <item x="127"/>
        <item x="128"/>
        <item x="200"/>
        <item x="361"/>
      </items>
    </pivotField>
    <pivotField axis="axisRow" compact="0" outline="0" showAll="0" defaultSubtotal="0">
      <items count="410">
        <item x="20"/>
        <item x="144"/>
        <item x="8"/>
        <item m="1" x="399"/>
        <item x="9"/>
        <item x="367"/>
        <item x="87"/>
        <item x="135"/>
        <item x="224"/>
        <item x="255"/>
        <item x="134"/>
        <item x="325"/>
        <item x="208"/>
        <item x="272"/>
        <item x="210"/>
        <item x="241"/>
        <item x="220"/>
        <item x="230"/>
        <item x="246"/>
        <item x="247"/>
        <item x="245"/>
        <item x="369"/>
        <item x="75"/>
        <item x="69"/>
        <item x="70"/>
        <item x="49"/>
        <item x="22"/>
        <item x="36"/>
        <item x="37"/>
        <item x="21"/>
        <item x="129"/>
        <item x="232"/>
        <item x="240"/>
        <item x="29"/>
        <item x="149"/>
        <item x="5"/>
        <item x="6"/>
        <item x="254"/>
        <item x="40"/>
        <item x="39"/>
        <item x="42"/>
        <item x="44"/>
        <item x="43"/>
        <item x="45"/>
        <item x="46"/>
        <item x="38"/>
        <item x="133"/>
        <item x="310"/>
        <item x="51"/>
        <item x="227"/>
        <item x="228"/>
        <item x="197"/>
        <item x="31"/>
        <item x="96"/>
        <item x="286"/>
        <item x="199"/>
        <item x="101"/>
        <item x="121"/>
        <item x="299"/>
        <item x="298"/>
        <item x="55"/>
        <item x="244"/>
        <item x="151"/>
        <item m="1" x="408"/>
        <item x="80"/>
        <item m="1" x="395"/>
        <item x="89"/>
        <item x="90"/>
        <item x="2"/>
        <item x="16"/>
        <item x="221"/>
        <item x="256"/>
        <item x="207"/>
        <item x="4"/>
        <item x="198"/>
        <item x="362"/>
        <item x="223"/>
        <item x="225"/>
        <item x="94"/>
        <item x="217"/>
        <item x="104"/>
        <item x="106"/>
        <item x="364"/>
        <item x="361"/>
        <item x="359"/>
        <item x="360"/>
        <item x="110"/>
        <item x="111"/>
        <item x="11"/>
        <item x="139"/>
        <item x="363"/>
        <item x="260"/>
        <item x="200"/>
        <item x="130"/>
        <item x="132"/>
        <item x="15"/>
        <item x="141"/>
        <item x="211"/>
        <item x="95"/>
        <item x="136"/>
        <item x="219"/>
        <item x="140"/>
        <item x="222"/>
        <item x="137"/>
        <item x="50"/>
        <item x="242"/>
        <item x="62"/>
        <item x="257"/>
        <item x="258"/>
        <item x="261"/>
        <item x="262"/>
        <item x="183"/>
        <item x="156"/>
        <item x="143"/>
        <item x="142"/>
        <item x="159"/>
        <item x="157"/>
        <item x="160"/>
        <item x="158"/>
        <item x="161"/>
        <item x="162"/>
        <item x="190"/>
        <item x="216"/>
        <item x="146"/>
        <item x="88"/>
        <item x="173"/>
        <item x="181"/>
        <item x="174"/>
        <item x="180"/>
        <item x="182"/>
        <item x="3"/>
        <item x="191"/>
        <item x="192"/>
        <item x="284"/>
        <item x="332"/>
        <item x="59"/>
        <item x="60"/>
        <item x="103"/>
        <item x="102"/>
        <item x="311"/>
        <item x="270"/>
        <item x="265"/>
        <item x="203"/>
        <item x="269"/>
        <item x="285"/>
        <item x="307"/>
        <item x="308"/>
        <item x="309"/>
        <item x="131"/>
        <item x="205"/>
        <item x="366"/>
        <item x="206"/>
        <item x="58"/>
        <item x="373"/>
        <item m="1" x="401"/>
        <item x="295"/>
        <item x="294"/>
        <item x="293"/>
        <item x="236"/>
        <item x="234"/>
        <item x="235"/>
        <item x="128"/>
        <item x="328"/>
        <item x="138"/>
        <item x="304"/>
        <item x="168"/>
        <item m="1" x="406"/>
        <item x="355"/>
        <item x="358"/>
        <item x="218"/>
        <item x="335"/>
        <item x="336"/>
        <item x="337"/>
        <item x="338"/>
        <item x="339"/>
        <item x="340"/>
        <item x="334"/>
        <item x="341"/>
        <item x="342"/>
        <item x="365"/>
        <item x="368"/>
        <item x="12"/>
        <item x="386"/>
        <item x="387"/>
        <item x="388"/>
        <item x="229"/>
        <item x="326"/>
        <item x="333"/>
        <item x="231"/>
        <item x="357"/>
        <item x="239"/>
        <item x="233"/>
        <item x="237"/>
        <item x="238"/>
        <item x="324"/>
        <item x="243"/>
        <item x="226"/>
        <item x="356"/>
        <item x="202"/>
        <item x="53"/>
        <item x="54"/>
        <item x="209"/>
        <item x="13"/>
        <item x="14"/>
        <item x="273"/>
        <item x="113"/>
        <item x="91"/>
        <item x="114"/>
        <item x="115"/>
        <item x="92"/>
        <item x="116"/>
        <item x="105"/>
        <item x="186"/>
        <item x="187"/>
        <item x="259"/>
        <item x="287"/>
        <item x="383"/>
        <item x="264"/>
        <item x="71"/>
        <item x="263"/>
        <item x="26"/>
        <item x="145"/>
        <item x="195"/>
        <item x="266"/>
        <item x="268"/>
        <item x="41"/>
        <item x="296"/>
        <item x="343"/>
        <item x="344"/>
        <item x="389"/>
        <item x="152"/>
        <item x="271"/>
        <item x="10"/>
        <item x="17"/>
        <item x="27"/>
        <item x="32"/>
        <item x="33"/>
        <item x="34"/>
        <item x="78"/>
        <item m="1" x="392"/>
        <item m="1" x="394"/>
        <item x="117"/>
        <item x="112"/>
        <item x="93"/>
        <item x="97"/>
        <item x="98"/>
        <item x="147"/>
        <item x="148"/>
        <item x="150"/>
        <item x="153"/>
        <item x="155"/>
        <item x="166"/>
        <item x="274"/>
        <item x="275"/>
        <item x="288"/>
        <item x="289"/>
        <item x="321"/>
        <item x="322"/>
        <item x="323"/>
        <item x="280"/>
        <item x="82"/>
        <item x="35"/>
        <item x="7"/>
        <item m="1" x="403"/>
        <item m="1" x="393"/>
        <item x="122"/>
        <item x="118"/>
        <item x="119"/>
        <item x="120"/>
        <item x="154"/>
        <item x="163"/>
        <item x="164"/>
        <item x="165"/>
        <item x="169"/>
        <item x="188"/>
        <item x="189"/>
        <item x="301"/>
        <item x="345"/>
        <item x="346"/>
        <item x="347"/>
        <item x="348"/>
        <item x="349"/>
        <item x="350"/>
        <item x="351"/>
        <item m="1" x="396"/>
        <item x="83"/>
        <item x="63"/>
        <item x="52"/>
        <item x="68"/>
        <item x="48"/>
        <item x="171"/>
        <item x="172"/>
        <item x="175"/>
        <item x="176"/>
        <item x="170"/>
        <item x="378"/>
        <item x="372"/>
        <item x="374"/>
        <item x="371"/>
        <item x="379"/>
        <item x="380"/>
        <item x="381"/>
        <item x="375"/>
        <item x="315"/>
        <item x="312"/>
        <item x="313"/>
        <item x="316"/>
        <item x="318"/>
        <item x="314"/>
        <item x="317"/>
        <item x="376"/>
        <item x="384"/>
        <item x="177"/>
        <item x="178"/>
        <item x="179"/>
        <item x="76"/>
        <item x="56"/>
        <item x="65"/>
        <item m="1" x="409"/>
        <item x="67"/>
        <item x="79"/>
        <item x="77"/>
        <item m="1" x="405"/>
        <item m="1" x="402"/>
        <item x="61"/>
        <item x="57"/>
        <item x="64"/>
        <item x="66"/>
        <item x="107"/>
        <item x="108"/>
        <item x="194"/>
        <item x="201"/>
        <item x="204"/>
        <item x="252"/>
        <item x="253"/>
        <item x="74"/>
        <item x="250"/>
        <item x="251"/>
        <item x="300"/>
        <item x="302"/>
        <item x="303"/>
        <item x="327"/>
        <item x="84"/>
        <item x="212"/>
        <item x="213"/>
        <item x="214"/>
        <item x="215"/>
        <item x="248"/>
        <item x="267"/>
        <item x="125"/>
        <item x="126"/>
        <item x="127"/>
        <item x="277"/>
        <item m="1" x="404"/>
        <item m="1" x="391"/>
        <item x="319"/>
        <item x="193"/>
        <item x="370"/>
        <item x="249"/>
        <item x="320"/>
        <item m="1" x="397"/>
        <item m="1" x="398"/>
        <item m="1" x="407"/>
        <item x="1"/>
        <item x="276"/>
        <item x="0"/>
        <item x="72"/>
        <item x="73"/>
        <item x="99"/>
        <item x="100"/>
        <item x="167"/>
        <item x="185"/>
        <item x="290"/>
        <item x="291"/>
        <item x="85"/>
        <item x="281"/>
        <item x="329"/>
        <item x="331"/>
        <item x="330"/>
        <item x="282"/>
        <item x="283"/>
        <item x="305"/>
        <item x="306"/>
        <item x="18"/>
        <item x="109"/>
        <item x="30"/>
        <item m="1" x="400"/>
        <item x="292"/>
        <item x="385"/>
        <item x="19"/>
        <item x="28"/>
        <item x="81"/>
        <item x="278"/>
        <item x="279"/>
        <item x="377"/>
        <item x="382"/>
        <item x="352"/>
        <item x="353"/>
        <item x="23"/>
        <item x="24"/>
        <item x="25"/>
        <item x="86"/>
        <item x="184"/>
        <item x="297"/>
        <item x="390"/>
        <item x="47"/>
        <item x="123"/>
        <item x="124"/>
        <item x="196"/>
        <item x="354"/>
      </items>
    </pivotField>
    <pivotField compact="0" outline="0" showAll="0"/>
    <pivotField axis="axisRow" compact="0" outline="0" showAll="0" defaultSubtotal="0">
      <items count="15">
        <item x="0"/>
        <item x="4"/>
        <item x="1"/>
        <item x="7"/>
        <item x="8"/>
        <item x="2"/>
        <item x="3"/>
        <item x="12"/>
        <item x="5"/>
        <item m="1" x="14"/>
        <item x="6"/>
        <item x="13"/>
        <item x="11"/>
        <item x="10"/>
        <item x="9"/>
      </items>
    </pivotField>
    <pivotField compact="0" outline="0" showAll="0"/>
    <pivotField axis="axisRow" compact="0" outline="0" showAll="0" sortType="descending">
      <items count="4">
        <item x="1"/>
        <item x="0"/>
        <item x="2"/>
        <item t="default"/>
      </items>
    </pivotField>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22">
        <item x="4"/>
        <item x="8"/>
        <item x="13"/>
        <item x="14"/>
        <item x="9"/>
        <item x="2"/>
        <item x="0"/>
        <item x="11"/>
        <item x="3"/>
        <item x="10"/>
        <item x="15"/>
        <item x="12"/>
        <item x="19"/>
        <item x="1"/>
        <item x="20"/>
        <item x="6"/>
        <item x="16"/>
        <item x="7"/>
        <item x="17"/>
        <item x="18"/>
        <item x="5"/>
        <item t="default"/>
      </items>
    </pivotField>
    <pivotField compact="0" outline="0" showAll="0"/>
    <pivotField compact="0" outline="0" showAll="0"/>
    <pivotField dataField="1" compact="0" outline="0" showAll="0"/>
    <pivotField dataField="1" compact="0" numFmtId="2" outline="0" showAll="0"/>
    <pivotField compact="0" numFmtId="9" outline="0" showAll="0"/>
    <pivotField dataField="1" compact="0" numFmtId="2" outline="0" showAll="0"/>
    <pivotField compact="0" outline="0" showAll="0"/>
    <pivotField axis="axisPage" compact="0" outline="0" multipleItemSelectionAllowed="1" showAll="0">
      <items count="20">
        <item h="1" x="3"/>
        <item h="1" x="11"/>
        <item h="1" m="1" x="18"/>
        <item h="1" x="6"/>
        <item h="1" x="2"/>
        <item h="1" x="12"/>
        <item h="1" x="8"/>
        <item h="1" x="10"/>
        <item h="1" x="7"/>
        <item h="1" x="14"/>
        <item h="1" x="15"/>
        <item h="1" x="9"/>
        <item x="0"/>
        <item h="1" x="16"/>
        <item h="1" x="5"/>
        <item h="1" x="1"/>
        <item h="1" m="1" x="17"/>
        <item h="1" x="4"/>
        <item h="1" x="13"/>
        <item t="default"/>
      </items>
    </pivotField>
    <pivotField compact="0" outline="0" showAll="0"/>
    <pivotField axis="axisRow" compact="0" outline="0" showAll="0" defaultSubtotal="0">
      <items count="15">
        <item x="0"/>
        <item x="7"/>
        <item x="8"/>
        <item x="2"/>
        <item x="3"/>
        <item x="12"/>
        <item x="6"/>
        <item x="5"/>
        <item x="11"/>
        <item x="13"/>
        <item x="10"/>
        <item x="9"/>
        <item x="1"/>
        <item x="4"/>
        <item m="1" x="14"/>
      </items>
    </pivotField>
    <pivotField compact="0" numFmtId="3" outline="0" showAll="0"/>
    <pivotField compact="0" numFmtId="3" outline="0" showAll="0"/>
    <pivotField compact="0" numFmtId="3" outline="0" showAll="0"/>
    <pivotField compact="0" numFmtId="3" outline="0" showAll="0"/>
    <pivotField compact="0" numFmtId="3" outline="0" showAll="0"/>
    <pivotField dataField="1" compact="0" numFmtId="3"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67" outline="0" showAll="0"/>
    <pivotField compact="0" outline="0" showAll="0"/>
    <pivotField compact="0" numFmtId="167" outline="0" showAll="0"/>
    <pivotField compact="0" outline="0" showAll="0"/>
    <pivotField compact="0" outline="0" showAll="0"/>
    <pivotField compact="0" outline="0" showAll="0"/>
    <pivotField compact="0" numFmtId="167" outline="0" showAll="0"/>
    <pivotField compact="0" numFmtId="2" outline="0" showAll="0"/>
    <pivotField compact="0" numFmtId="167" outline="0" showAll="0"/>
    <pivotField compact="0" outline="0" showAll="0"/>
    <pivotField compact="0" numFmtId="167" outline="0" showAll="0"/>
    <pivotField compact="0" outline="0" showAll="0"/>
    <pivotField compact="0" numFmtId="167" outline="0" showAll="0"/>
    <pivotField compact="0" outline="0" showAll="0"/>
    <pivotField compact="0" numFmtId="167" outline="0" showAll="0"/>
    <pivotField compact="0" outline="0" showAll="0"/>
    <pivotField compact="0" numFmtId="167" outline="0" showAll="0"/>
    <pivotField compact="0" outline="0" showAll="0"/>
    <pivotField compact="0" outline="0" showAll="0"/>
    <pivotField compact="0" numFmtId="167" outline="0" showAll="0"/>
    <pivotField compact="0" outline="0" showAll="0"/>
    <pivotField compact="0" numFmtId="167" outline="0" showAll="0"/>
  </pivotFields>
  <rowFields count="6">
    <field x="5"/>
    <field x="3"/>
    <field x="22"/>
    <field x="0"/>
    <field x="1"/>
    <field x="12"/>
  </rowFields>
  <rowItems count="88">
    <i>
      <x/>
      <x/>
      <x/>
      <x v="41"/>
      <x v="80"/>
      <x v="17"/>
    </i>
    <i r="3">
      <x v="109"/>
      <x v="160"/>
      <x v="4"/>
    </i>
    <i r="3">
      <x v="178"/>
      <x v="211"/>
      <x v="17"/>
    </i>
    <i r="3">
      <x v="330"/>
      <x v="343"/>
      <x v="6"/>
    </i>
    <i r="3">
      <x v="331"/>
      <x v="344"/>
      <x v="6"/>
    </i>
    <i r="3">
      <x v="332"/>
      <x v="345"/>
      <x v="6"/>
    </i>
    <i r="3">
      <x v="355"/>
      <x v="194"/>
      <x v="15"/>
    </i>
    <i r="3">
      <x v="356"/>
      <x v="11"/>
      <x v="13"/>
    </i>
    <i r="3">
      <x v="357"/>
      <x v="186"/>
      <x v="13"/>
    </i>
    <i r="3">
      <x v="401"/>
      <x v="352"/>
      <x v="6"/>
    </i>
    <i r="1">
      <x v="1"/>
      <x v="13"/>
      <x v="38"/>
      <x v="56"/>
      <x v="6"/>
    </i>
    <i r="5">
      <x v="15"/>
    </i>
    <i r="3">
      <x v="94"/>
      <x v="100"/>
      <x v="15"/>
    </i>
    <i r="3">
      <x v="97"/>
      <x v="102"/>
      <x v="15"/>
    </i>
    <i r="1">
      <x v="2"/>
      <x v="12"/>
      <x v="38"/>
      <x v="56"/>
      <x v="15"/>
    </i>
    <i r="3">
      <x v="41"/>
      <x v="80"/>
      <x v="17"/>
    </i>
    <i r="3">
      <x v="178"/>
      <x v="211"/>
      <x v="17"/>
    </i>
    <i r="1">
      <x v="3"/>
      <x v="1"/>
      <x v="90"/>
      <x v="97"/>
      <x v="6"/>
    </i>
    <i r="1">
      <x v="4"/>
      <x v="2"/>
      <x v="111"/>
      <x v="192"/>
      <x v="7"/>
    </i>
    <i r="1">
      <x v="5"/>
      <x v="3"/>
      <x v="84"/>
      <x v="149"/>
      <x v="13"/>
    </i>
    <i r="3">
      <x v="109"/>
      <x v="160"/>
      <x v="4"/>
    </i>
    <i r="3">
      <x v="112"/>
      <x v="193"/>
      <x v="7"/>
    </i>
    <i r="1">
      <x v="6"/>
      <x v="4"/>
      <x v="109"/>
      <x v="160"/>
      <x v="4"/>
    </i>
    <i r="3">
      <x v="112"/>
      <x v="193"/>
      <x v="7"/>
    </i>
    <i r="1">
      <x v="7"/>
      <x v="5"/>
      <x v="103"/>
      <x v="185"/>
      <x v="8"/>
    </i>
    <i r="3">
      <x v="114"/>
      <x v="32"/>
      <x v="6"/>
    </i>
    <i r="1">
      <x v="8"/>
      <x v="7"/>
      <x v="131"/>
      <x v="133"/>
      <x v="9"/>
    </i>
    <i r="1">
      <x v="10"/>
      <x v="6"/>
      <x v="131"/>
      <x v="133"/>
      <x v="9"/>
    </i>
    <i r="1">
      <x v="11"/>
      <x v="9"/>
      <x v="355"/>
      <x v="194"/>
      <x v="15"/>
    </i>
    <i r="1">
      <x v="12"/>
      <x v="8"/>
      <x v="356"/>
      <x v="11"/>
      <x v="13"/>
    </i>
    <i r="3">
      <x v="357"/>
      <x v="186"/>
      <x v="13"/>
    </i>
    <i r="1">
      <x v="13"/>
      <x v="10"/>
      <x v="163"/>
      <x v="90"/>
      <x v="6"/>
    </i>
    <i r="3">
      <x v="167"/>
      <x v="5"/>
      <x v="6"/>
    </i>
    <i r="1">
      <x v="14"/>
      <x v="11"/>
      <x v="100"/>
      <x v="196"/>
      <x v="13"/>
    </i>
    <i r="3">
      <x v="131"/>
      <x v="133"/>
      <x v="9"/>
    </i>
    <i t="default">
      <x/>
    </i>
    <i>
      <x v="1"/>
      <x/>
      <x/>
      <x v="352"/>
      <x v="365"/>
      <x v="6"/>
    </i>
    <i r="3">
      <x v="400"/>
      <x v="364"/>
      <x v="6"/>
    </i>
    <i t="default">
      <x v="1"/>
    </i>
    <i>
      <x v="2"/>
      <x/>
      <x/>
      <x v="39"/>
      <x v="138"/>
      <x v="13"/>
    </i>
    <i r="3">
      <x v="40"/>
      <x v="137"/>
      <x v="13"/>
    </i>
    <i r="3">
      <x v="42"/>
      <x v="81"/>
      <x v="17"/>
    </i>
    <i r="3">
      <x v="110"/>
      <x v="158"/>
      <x v="4"/>
    </i>
    <i r="3">
      <x v="241"/>
      <x v="257"/>
      <x v="6"/>
    </i>
    <i r="3">
      <x v="246"/>
      <x v="260"/>
      <x v="6"/>
    </i>
    <i r="3">
      <x v="330"/>
      <x v="343"/>
      <x v="6"/>
    </i>
    <i r="3">
      <x v="331"/>
      <x v="344"/>
      <x v="6"/>
    </i>
    <i r="3">
      <x v="332"/>
      <x v="345"/>
      <x v="6"/>
    </i>
    <i r="3">
      <x v="333"/>
      <x v="346"/>
      <x v="6"/>
    </i>
    <i r="1">
      <x v="1"/>
      <x v="13"/>
      <x v="38"/>
      <x v="56"/>
      <x v="6"/>
    </i>
    <i r="3">
      <x v="110"/>
      <x v="158"/>
      <x v="4"/>
    </i>
    <i r="3">
      <x v="113"/>
      <x v="190"/>
      <x v="7"/>
    </i>
    <i r="1">
      <x v="2"/>
      <x v="12"/>
      <x v="38"/>
      <x v="56"/>
      <x v="6"/>
    </i>
    <i r="3">
      <x v="42"/>
      <x v="81"/>
      <x v="17"/>
    </i>
    <i r="3">
      <x v="88"/>
      <x v="201"/>
      <x v="5"/>
    </i>
    <i r="3">
      <x v="89"/>
      <x v="14"/>
      <x/>
    </i>
    <i r="3">
      <x v="90"/>
      <x v="97"/>
      <x v="6"/>
    </i>
    <i r="3">
      <x v="94"/>
      <x v="100"/>
      <x v="15"/>
    </i>
    <i r="3">
      <x v="97"/>
      <x v="102"/>
      <x v="15"/>
    </i>
    <i r="3">
      <x v="110"/>
      <x v="158"/>
      <x v="4"/>
    </i>
    <i r="3">
      <x v="113"/>
      <x v="190"/>
      <x v="7"/>
    </i>
    <i r="3">
      <x v="236"/>
      <x v="252"/>
      <x v="5"/>
    </i>
    <i r="3">
      <x v="237"/>
      <x v="253"/>
      <x v="5"/>
    </i>
    <i r="1">
      <x v="3"/>
      <x v="1"/>
      <x v="90"/>
      <x v="97"/>
      <x v="6"/>
    </i>
    <i r="1">
      <x v="4"/>
      <x v="2"/>
      <x v="39"/>
      <x v="138"/>
      <x v="13"/>
    </i>
    <i r="3">
      <x v="40"/>
      <x v="137"/>
      <x v="13"/>
    </i>
    <i r="3">
      <x v="90"/>
      <x v="97"/>
      <x v="6"/>
    </i>
    <i r="3">
      <x v="109"/>
      <x v="160"/>
      <x v="4"/>
    </i>
    <i r="3">
      <x v="122"/>
      <x v="106"/>
      <x v="1"/>
    </i>
    <i r="1">
      <x v="5"/>
      <x v="3"/>
      <x v="90"/>
      <x v="97"/>
      <x v="6"/>
    </i>
    <i r="1">
      <x v="6"/>
      <x v="4"/>
      <x v="90"/>
      <x v="97"/>
      <x v="6"/>
    </i>
    <i r="1">
      <x v="8"/>
      <x v="7"/>
      <x v="103"/>
      <x v="185"/>
      <x v="8"/>
    </i>
    <i r="3">
      <x v="114"/>
      <x v="32"/>
      <x v="6"/>
    </i>
    <i r="1">
      <x v="10"/>
      <x v="6"/>
      <x v="103"/>
      <x v="185"/>
      <x v="8"/>
    </i>
    <i r="3">
      <x v="114"/>
      <x v="32"/>
      <x v="6"/>
    </i>
    <i r="1">
      <x v="11"/>
      <x v="9"/>
      <x v="240"/>
      <x v="256"/>
      <x v="6"/>
    </i>
    <i r="3">
      <x v="241"/>
      <x v="257"/>
      <x v="6"/>
    </i>
    <i r="3">
      <x v="380"/>
      <x v="376"/>
      <x v="6"/>
    </i>
    <i r="3">
      <x v="381"/>
      <x v="377"/>
      <x v="13"/>
    </i>
    <i r="1">
      <x v="12"/>
      <x v="8"/>
      <x v="240"/>
      <x v="256"/>
      <x v="6"/>
    </i>
    <i r="3">
      <x v="241"/>
      <x v="257"/>
      <x v="6"/>
    </i>
    <i r="3">
      <x v="380"/>
      <x v="376"/>
      <x v="6"/>
    </i>
    <i r="3">
      <x v="381"/>
      <x v="377"/>
      <x v="13"/>
    </i>
    <i r="3">
      <x v="382"/>
      <x v="378"/>
      <x v="13"/>
    </i>
    <i r="1">
      <x v="14"/>
      <x v="11"/>
      <x v="81"/>
      <x v="92"/>
      <x v="13"/>
    </i>
    <i r="3">
      <x v="100"/>
      <x v="196"/>
      <x v="13"/>
    </i>
    <i t="default">
      <x v="2"/>
    </i>
    <i t="grand">
      <x/>
    </i>
  </rowItems>
  <colFields count="1">
    <field x="-2"/>
  </colFields>
  <colItems count="4">
    <i>
      <x/>
    </i>
    <i i="1">
      <x v="1"/>
    </i>
    <i i="2">
      <x v="2"/>
    </i>
    <i i="3">
      <x v="3"/>
    </i>
  </colItems>
  <pageFields count="1">
    <pageField fld="20" hier="-1"/>
  </pageFields>
  <dataFields count="4">
    <dataField name="Summa av Ant" fld="15" baseField="0" baseItem="0"/>
    <dataField name="Summa av HST" fld="16" baseField="12" baseItem="24" numFmtId="174"/>
    <dataField name="Summa av HPR" fld="18" baseField="12" baseItem="24" numFmtId="174"/>
    <dataField name="Summa av Totala intäkter" fld="28" baseField="12" baseItem="20" numFmtId="3"/>
  </dataFields>
  <formats count="9">
    <format dxfId="9">
      <pivotArea field="5" type="button" dataOnly="0" labelOnly="1" outline="0" axis="axisRow" fieldPosition="0"/>
    </format>
    <format dxfId="8">
      <pivotArea field="3" type="button" dataOnly="0" labelOnly="1" outline="0" axis="axisRow" fieldPosition="1"/>
    </format>
    <format dxfId="7">
      <pivotArea field="22" type="button" dataOnly="0" labelOnly="1" outline="0" axis="axisRow" fieldPosition="2"/>
    </format>
    <format dxfId="6">
      <pivotArea field="0" type="button" dataOnly="0" labelOnly="1" outline="0" axis="axisRow" fieldPosition="3"/>
    </format>
    <format dxfId="5">
      <pivotArea field="1" type="button" dataOnly="0" labelOnly="1" outline="0" axis="axisRow" fieldPosition="4"/>
    </format>
    <format dxfId="4">
      <pivotArea field="12" type="button" dataOnly="0" labelOnly="1" outline="0" axis="axisRow" fieldPosition="5"/>
    </format>
    <format dxfId="3">
      <pivotArea dataOnly="0" labelOnly="1" outline="0" fieldPosition="0">
        <references count="1">
          <reference field="4294967294" count="3">
            <x v="0"/>
            <x v="1"/>
            <x v="2"/>
          </reference>
        </references>
      </pivotArea>
    </format>
    <format dxfId="2">
      <pivotArea outline="0" fieldPosition="0">
        <references count="1">
          <reference field="4294967294" count="1">
            <x v="3"/>
          </reference>
        </references>
      </pivotArea>
    </format>
    <format dxfId="1">
      <pivotArea dataOnly="0" labelOnly="1" outline="0" fieldPosition="0">
        <references count="1">
          <reference field="4294967294" count="1">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ell1" cacheId="1" applyNumberFormats="0" applyBorderFormats="0" applyFontFormats="0" applyPatternFormats="0" applyAlignmentFormats="0" applyWidthHeightFormats="1" dataCaption="Data" updatedVersion="6" minRefreshableVersion="3" showMemberPropertyTips="0" useAutoFormatting="1" itemPrintTitles="1" createdVersion="3" indent="0" compact="0" compactData="0" gridDropZones="1">
  <location ref="A4:D404" firstHeaderRow="1" firstDataRow="2" firstDataCol="1"/>
  <pivotFields count="66">
    <pivotField axis="axisRow" compact="0" outline="0" subtotalTop="0" showAll="0" includeNewItemsInFilter="1" sortType="ascending" defaultSubtotal="0">
      <items count="435">
        <item x="0"/>
        <item x="1"/>
        <item x="2"/>
        <item x="3"/>
        <item x="4"/>
        <item x="5"/>
        <item x="6"/>
        <item x="7"/>
        <item x="8"/>
        <item x="9"/>
        <item x="10"/>
        <item x="11"/>
        <item x="12"/>
        <item x="13"/>
        <item x="14"/>
        <item x="15"/>
        <item m="1" x="415"/>
        <item x="16"/>
        <item x="17"/>
        <item m="1" x="425"/>
        <item x="18"/>
        <item x="19"/>
        <item x="20"/>
        <item x="21"/>
        <item x="22"/>
        <item x="23"/>
        <item x="24"/>
        <item x="25"/>
        <item m="1" x="405"/>
        <item x="26"/>
        <item x="27"/>
        <item x="28"/>
        <item x="29"/>
        <item x="30"/>
        <item x="31"/>
        <item m="1" x="419"/>
        <item m="1" x="413"/>
        <item x="32"/>
        <item x="33"/>
        <item x="34"/>
        <item x="35"/>
        <item x="36"/>
        <item x="37"/>
        <item x="38"/>
        <item x="39"/>
        <item x="40"/>
        <item x="41"/>
        <item x="42"/>
        <item x="43"/>
        <item x="44"/>
        <item x="45"/>
        <item x="46"/>
        <item x="47"/>
        <item x="48"/>
        <item x="49"/>
        <item x="50"/>
        <item x="51"/>
        <item x="52"/>
        <item x="53"/>
        <item x="54"/>
        <item m="1" x="417"/>
        <item x="55"/>
        <item x="56"/>
        <item x="57"/>
        <item m="1" x="420"/>
        <item x="58"/>
        <item x="59"/>
        <item x="60"/>
        <item x="61"/>
        <item m="1" x="409"/>
        <item x="62"/>
        <item x="63"/>
        <item x="64"/>
        <item x="65"/>
        <item x="66"/>
        <item x="67"/>
        <item m="1" x="402"/>
        <item x="68"/>
        <item x="69"/>
        <item x="70"/>
        <item x="71"/>
        <item x="72"/>
        <item x="73"/>
        <item x="74"/>
        <item x="75"/>
        <item x="76"/>
        <item x="77"/>
        <item x="78"/>
        <item x="79"/>
        <item x="80"/>
        <item x="81"/>
        <item x="82"/>
        <item m="1" x="432"/>
        <item m="1" x="411"/>
        <item x="83"/>
        <item m="1" x="416"/>
        <item x="84"/>
        <item m="1" x="418"/>
        <item m="1" x="407"/>
        <item m="1" x="398"/>
        <item x="85"/>
        <item m="1" x="399"/>
        <item x="86"/>
        <item x="87"/>
        <item x="88"/>
        <item m="1" x="414"/>
        <item m="1" x="403"/>
        <item x="89"/>
        <item x="90"/>
        <item x="91"/>
        <item m="1" x="424"/>
        <item x="92"/>
        <item x="93"/>
        <item m="1" x="412"/>
        <item x="94"/>
        <item x="95"/>
        <item x="96"/>
        <item x="97"/>
        <item x="98"/>
        <item x="99"/>
        <item x="100"/>
        <item x="101"/>
        <item x="102"/>
        <item x="103"/>
        <item x="104"/>
        <item x="105"/>
        <item x="106"/>
        <item x="107"/>
        <item x="108"/>
        <item x="109"/>
        <item x="110"/>
        <item x="111"/>
        <item x="112"/>
        <item x="113"/>
        <item m="1" x="426"/>
        <item x="114"/>
        <item x="115"/>
        <item x="116"/>
        <item x="117"/>
        <item x="118"/>
        <item x="119"/>
        <item x="120"/>
        <item x="121"/>
        <item m="1" x="410"/>
        <item x="122"/>
        <item x="123"/>
        <item x="124"/>
        <item x="125"/>
        <item x="126"/>
        <item x="127"/>
        <item x="128"/>
        <item x="129"/>
        <item x="130"/>
        <item x="131"/>
        <item x="132"/>
        <item x="133"/>
        <item x="134"/>
        <item x="135"/>
        <item x="136"/>
        <item x="137"/>
        <item x="138"/>
        <item x="139"/>
        <item x="140"/>
        <item x="141"/>
        <item x="142"/>
        <item x="143"/>
        <item m="1" x="430"/>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m="1" x="401"/>
        <item x="178"/>
        <item x="179"/>
        <item x="180"/>
        <item x="181"/>
        <item x="182"/>
        <item x="183"/>
        <item m="1" x="421"/>
        <item x="184"/>
        <item x="185"/>
        <item x="186"/>
        <item x="187"/>
        <item x="188"/>
        <item x="189"/>
        <item x="190"/>
        <item x="191"/>
        <item x="192"/>
        <item x="193"/>
        <item x="194"/>
        <item x="195"/>
        <item x="196"/>
        <item x="197"/>
        <item x="198"/>
        <item x="199"/>
        <item x="200"/>
        <item x="201"/>
        <item m="1" x="423"/>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m="1" x="427"/>
        <item m="1" x="429"/>
        <item m="1" x="431"/>
        <item m="1" x="433"/>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m="1" x="434"/>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m="1" x="422"/>
        <item m="1" x="400"/>
        <item m="1" x="404"/>
        <item m="1" x="408"/>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m="1" x="406"/>
        <item x="381"/>
        <item x="382"/>
        <item x="383"/>
        <item x="384"/>
        <item x="385"/>
        <item x="386"/>
        <item x="387"/>
        <item x="388"/>
        <item x="389"/>
        <item x="390"/>
        <item x="391"/>
        <item x="392"/>
        <item x="393"/>
        <item x="394"/>
        <item x="395"/>
        <item m="1" x="428"/>
        <item x="396"/>
        <item x="397"/>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dataField="1"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defaultSubtotal="0"/>
    <pivotField compact="0" outline="0" subtotalTop="0" showAll="0" includeNewItemsInFilter="1"/>
    <pivotField compact="0" outline="0" subtotalTop="0" multipleItemSelectionAllowed="1"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1">
    <field x="0"/>
  </rowFields>
  <rowItems count="399">
    <i>
      <x/>
    </i>
    <i>
      <x v="1"/>
    </i>
    <i>
      <x v="2"/>
    </i>
    <i>
      <x v="3"/>
    </i>
    <i>
      <x v="4"/>
    </i>
    <i>
      <x v="5"/>
    </i>
    <i>
      <x v="6"/>
    </i>
    <i>
      <x v="7"/>
    </i>
    <i>
      <x v="8"/>
    </i>
    <i>
      <x v="9"/>
    </i>
    <i>
      <x v="10"/>
    </i>
    <i>
      <x v="11"/>
    </i>
    <i>
      <x v="12"/>
    </i>
    <i>
      <x v="13"/>
    </i>
    <i>
      <x v="14"/>
    </i>
    <i>
      <x v="15"/>
    </i>
    <i>
      <x v="17"/>
    </i>
    <i>
      <x v="18"/>
    </i>
    <i>
      <x v="20"/>
    </i>
    <i>
      <x v="21"/>
    </i>
    <i>
      <x v="22"/>
    </i>
    <i>
      <x v="23"/>
    </i>
    <i>
      <x v="24"/>
    </i>
    <i>
      <x v="25"/>
    </i>
    <i>
      <x v="26"/>
    </i>
    <i>
      <x v="27"/>
    </i>
    <i>
      <x v="29"/>
    </i>
    <i>
      <x v="30"/>
    </i>
    <i>
      <x v="31"/>
    </i>
    <i>
      <x v="32"/>
    </i>
    <i>
      <x v="33"/>
    </i>
    <i>
      <x v="34"/>
    </i>
    <i>
      <x v="37"/>
    </i>
    <i>
      <x v="38"/>
    </i>
    <i>
      <x v="39"/>
    </i>
    <i>
      <x v="40"/>
    </i>
    <i>
      <x v="41"/>
    </i>
    <i>
      <x v="42"/>
    </i>
    <i>
      <x v="43"/>
    </i>
    <i>
      <x v="44"/>
    </i>
    <i>
      <x v="45"/>
    </i>
    <i>
      <x v="46"/>
    </i>
    <i>
      <x v="47"/>
    </i>
    <i>
      <x v="48"/>
    </i>
    <i>
      <x v="49"/>
    </i>
    <i>
      <x v="50"/>
    </i>
    <i>
      <x v="51"/>
    </i>
    <i>
      <x v="52"/>
    </i>
    <i>
      <x v="53"/>
    </i>
    <i>
      <x v="54"/>
    </i>
    <i>
      <x v="55"/>
    </i>
    <i>
      <x v="56"/>
    </i>
    <i>
      <x v="57"/>
    </i>
    <i>
      <x v="58"/>
    </i>
    <i>
      <x v="59"/>
    </i>
    <i>
      <x v="61"/>
    </i>
    <i>
      <x v="62"/>
    </i>
    <i>
      <x v="63"/>
    </i>
    <i>
      <x v="65"/>
    </i>
    <i>
      <x v="66"/>
    </i>
    <i>
      <x v="67"/>
    </i>
    <i>
      <x v="68"/>
    </i>
    <i>
      <x v="70"/>
    </i>
    <i>
      <x v="71"/>
    </i>
    <i>
      <x v="72"/>
    </i>
    <i>
      <x v="73"/>
    </i>
    <i>
      <x v="74"/>
    </i>
    <i>
      <x v="75"/>
    </i>
    <i>
      <x v="77"/>
    </i>
    <i>
      <x v="78"/>
    </i>
    <i>
      <x v="79"/>
    </i>
    <i>
      <x v="80"/>
    </i>
    <i>
      <x v="81"/>
    </i>
    <i>
      <x v="82"/>
    </i>
    <i>
      <x v="83"/>
    </i>
    <i>
      <x v="84"/>
    </i>
    <i>
      <x v="85"/>
    </i>
    <i>
      <x v="86"/>
    </i>
    <i>
      <x v="87"/>
    </i>
    <i>
      <x v="88"/>
    </i>
    <i>
      <x v="89"/>
    </i>
    <i>
      <x v="90"/>
    </i>
    <i>
      <x v="91"/>
    </i>
    <i>
      <x v="94"/>
    </i>
    <i>
      <x v="96"/>
    </i>
    <i>
      <x v="100"/>
    </i>
    <i>
      <x v="102"/>
    </i>
    <i>
      <x v="103"/>
    </i>
    <i>
      <x v="104"/>
    </i>
    <i>
      <x v="107"/>
    </i>
    <i>
      <x v="108"/>
    </i>
    <i>
      <x v="109"/>
    </i>
    <i>
      <x v="111"/>
    </i>
    <i>
      <x v="112"/>
    </i>
    <i>
      <x v="114"/>
    </i>
    <i>
      <x v="115"/>
    </i>
    <i>
      <x v="116"/>
    </i>
    <i>
      <x v="117"/>
    </i>
    <i>
      <x v="118"/>
    </i>
    <i>
      <x v="119"/>
    </i>
    <i>
      <x v="120"/>
    </i>
    <i>
      <x v="121"/>
    </i>
    <i>
      <x v="122"/>
    </i>
    <i>
      <x v="123"/>
    </i>
    <i>
      <x v="124"/>
    </i>
    <i>
      <x v="125"/>
    </i>
    <i>
      <x v="126"/>
    </i>
    <i>
      <x v="127"/>
    </i>
    <i>
      <x v="128"/>
    </i>
    <i>
      <x v="129"/>
    </i>
    <i>
      <x v="130"/>
    </i>
    <i>
      <x v="131"/>
    </i>
    <i>
      <x v="132"/>
    </i>
    <i>
      <x v="133"/>
    </i>
    <i>
      <x v="135"/>
    </i>
    <i>
      <x v="136"/>
    </i>
    <i>
      <x v="137"/>
    </i>
    <i>
      <x v="138"/>
    </i>
    <i>
      <x v="139"/>
    </i>
    <i>
      <x v="140"/>
    </i>
    <i>
      <x v="141"/>
    </i>
    <i>
      <x v="142"/>
    </i>
    <i>
      <x v="144"/>
    </i>
    <i>
      <x v="145"/>
    </i>
    <i>
      <x v="146"/>
    </i>
    <i>
      <x v="147"/>
    </i>
    <i>
      <x v="148"/>
    </i>
    <i>
      <x v="149"/>
    </i>
    <i>
      <x v="150"/>
    </i>
    <i>
      <x v="151"/>
    </i>
    <i>
      <x v="152"/>
    </i>
    <i>
      <x v="153"/>
    </i>
    <i>
      <x v="154"/>
    </i>
    <i>
      <x v="155"/>
    </i>
    <i>
      <x v="156"/>
    </i>
    <i>
      <x v="157"/>
    </i>
    <i>
      <x v="158"/>
    </i>
    <i>
      <x v="159"/>
    </i>
    <i>
      <x v="160"/>
    </i>
    <i>
      <x v="161"/>
    </i>
    <i>
      <x v="162"/>
    </i>
    <i>
      <x v="163"/>
    </i>
    <i>
      <x v="164"/>
    </i>
    <i>
      <x v="165"/>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2"/>
    </i>
    <i>
      <x v="203"/>
    </i>
    <i>
      <x v="204"/>
    </i>
    <i>
      <x v="205"/>
    </i>
    <i>
      <x v="206"/>
    </i>
    <i>
      <x v="207"/>
    </i>
    <i>
      <x v="209"/>
    </i>
    <i>
      <x v="210"/>
    </i>
    <i>
      <x v="211"/>
    </i>
    <i>
      <x v="212"/>
    </i>
    <i>
      <x v="213"/>
    </i>
    <i>
      <x v="214"/>
    </i>
    <i>
      <x v="215"/>
    </i>
    <i>
      <x v="216"/>
    </i>
    <i>
      <x v="217"/>
    </i>
    <i>
      <x v="218"/>
    </i>
    <i>
      <x v="219"/>
    </i>
    <i>
      <x v="220"/>
    </i>
    <i>
      <x v="221"/>
    </i>
    <i>
      <x v="222"/>
    </i>
    <i>
      <x v="223"/>
    </i>
    <i>
      <x v="224"/>
    </i>
    <i>
      <x v="225"/>
    </i>
    <i>
      <x v="226"/>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7"/>
    </i>
    <i>
      <x v="418"/>
    </i>
    <i>
      <x v="419"/>
    </i>
    <i>
      <x v="420"/>
    </i>
    <i>
      <x v="421"/>
    </i>
    <i>
      <x v="422"/>
    </i>
    <i>
      <x v="423"/>
    </i>
    <i>
      <x v="424"/>
    </i>
    <i>
      <x v="425"/>
    </i>
    <i>
      <x v="426"/>
    </i>
    <i>
      <x v="427"/>
    </i>
    <i>
      <x v="428"/>
    </i>
    <i>
      <x v="429"/>
    </i>
    <i>
      <x v="430"/>
    </i>
    <i>
      <x v="431"/>
    </i>
    <i>
      <x v="433"/>
    </i>
    <i>
      <x v="434"/>
    </i>
    <i t="grand">
      <x/>
    </i>
  </rowItems>
  <colFields count="1">
    <field x="-2"/>
  </colFields>
  <colItems count="3">
    <i>
      <x/>
    </i>
    <i i="1">
      <x v="1"/>
    </i>
    <i i="2">
      <x v="2"/>
    </i>
  </colItems>
  <dataFields count="3">
    <dataField name=" HST" fld="16" baseField="0" baseItem="342" numFmtId="2"/>
    <dataField name=" HPR" fld="18" baseField="0" baseItem="342" numFmtId="2"/>
    <dataField name="Summa av Totala intäkter" fld="28" baseField="0" baseItem="89" numFmtId="3"/>
  </dataFields>
  <pivotTableStyleInfo showRowHeaders="1" showColHeaders="1" showRowStripes="0" showColStripes="0" showLastColumn="1"/>
</pivotTableDefinition>
</file>

<file path=xl/pivotTables/pivotTable8.xml><?xml version="1.0" encoding="utf-8"?>
<pivotTableDefinition xmlns="http://schemas.openxmlformats.org/spreadsheetml/2006/main" name="Pivottabell1" cacheId="0" applyNumberFormats="0" applyBorderFormats="0" applyFontFormats="0" applyPatternFormats="0" applyAlignmentFormats="0" applyWidthHeightFormats="1" dataCaption="Värden" updatedVersion="6" minRefreshableVersion="3" useAutoFormatting="1" itemPrintTitles="1" createdVersion="4" indent="0" compact="0" compactData="0" multipleFieldFilters="0">
  <location ref="A3:E136" firstHeaderRow="1" firstDataRow="1" firstDataCol="5"/>
  <pivotFields count="20">
    <pivotField axis="axisRow" compact="0" outline="0" showAll="0" sortType="ascending" defaultSubtotal="0">
      <items count="122">
        <item x="0"/>
        <item m="1" x="108"/>
        <item m="1" x="114"/>
        <item m="1" x="119"/>
        <item x="1"/>
        <item x="2"/>
        <item x="3"/>
        <item x="4"/>
        <item x="5"/>
        <item x="6"/>
        <item x="7"/>
        <item x="8"/>
        <item x="9"/>
        <item x="10"/>
        <item x="11"/>
        <item x="12"/>
        <item x="13"/>
        <item x="14"/>
        <item x="15"/>
        <item x="16"/>
        <item m="1" x="103"/>
        <item x="17"/>
        <item m="1" x="106"/>
        <item x="18"/>
        <item x="19"/>
        <item x="20"/>
        <item m="1" x="121"/>
        <item m="1" x="94"/>
        <item x="21"/>
        <item m="1" x="105"/>
        <item x="22"/>
        <item x="23"/>
        <item x="24"/>
        <item x="25"/>
        <item x="26"/>
        <item x="27"/>
        <item x="28"/>
        <item x="29"/>
        <item x="30"/>
        <item x="31"/>
        <item x="32"/>
        <item m="1" x="112"/>
        <item m="1" x="96"/>
        <item x="33"/>
        <item m="1" x="101"/>
        <item x="34"/>
        <item x="35"/>
        <item m="1" x="116"/>
        <item x="36"/>
        <item x="37"/>
        <item x="38"/>
        <item x="39"/>
        <item x="40"/>
        <item x="41"/>
        <item x="42"/>
        <item m="1" x="91"/>
        <item m="1" x="107"/>
        <item m="1" x="109"/>
        <item m="1" x="110"/>
        <item m="1" x="113"/>
        <item m="1" x="117"/>
        <item m="1" x="118"/>
        <item m="1" x="115"/>
        <item m="1" x="99"/>
        <item x="43"/>
        <item x="44"/>
        <item x="45"/>
        <item m="1" x="102"/>
        <item m="1" x="97"/>
        <item x="46"/>
        <item x="47"/>
        <item x="48"/>
        <item x="49"/>
        <item x="50"/>
        <item x="51"/>
        <item x="52"/>
        <item x="53"/>
        <item x="54"/>
        <item x="55"/>
        <item x="56"/>
        <item x="57"/>
        <item x="58"/>
        <item x="59"/>
        <item x="60"/>
        <item x="61"/>
        <item x="62"/>
        <item x="63"/>
        <item x="64"/>
        <item x="65"/>
        <item x="66"/>
        <item x="67"/>
        <item x="68"/>
        <item x="69"/>
        <item x="70"/>
        <item x="71"/>
        <item x="72"/>
        <item x="73"/>
        <item x="74"/>
        <item x="75"/>
        <item m="1" x="100"/>
        <item m="1" x="120"/>
        <item m="1" x="92"/>
        <item m="1" x="93"/>
        <item m="1" x="95"/>
        <item m="1" x="98"/>
        <item x="76"/>
        <item x="77"/>
        <item x="78"/>
        <item x="79"/>
        <item x="80"/>
        <item m="1" x="111"/>
        <item x="81"/>
        <item x="82"/>
        <item x="83"/>
        <item x="84"/>
        <item x="85"/>
        <item x="86"/>
        <item x="87"/>
        <item m="1" x="104"/>
        <item x="88"/>
        <item x="89"/>
        <item x="90"/>
      </items>
    </pivotField>
    <pivotField axis="axisRow" compact="0" outline="0" showAll="0" sortType="ascending" defaultSubtotal="0">
      <items count="115">
        <item x="17"/>
        <item x="16"/>
        <item x="71"/>
        <item m="1" x="104"/>
        <item x="59"/>
        <item x="45"/>
        <item m="1" x="114"/>
        <item m="1" x="110"/>
        <item x="48"/>
        <item x="27"/>
        <item m="1" x="108"/>
        <item x="35"/>
        <item x="33"/>
        <item x="61"/>
        <item x="62"/>
        <item x="60"/>
        <item x="87"/>
        <item x="11"/>
        <item x="50"/>
        <item x="58"/>
        <item m="1" x="102"/>
        <item m="1" x="112"/>
        <item x="15"/>
        <item m="1" x="113"/>
        <item x="74"/>
        <item x="42"/>
        <item x="7"/>
        <item m="1" x="105"/>
        <item x="68"/>
        <item x="32"/>
        <item x="2"/>
        <item x="1"/>
        <item x="3"/>
        <item x="4"/>
        <item x="6"/>
        <item x="5"/>
        <item x="79"/>
        <item x="8"/>
        <item x="9"/>
        <item x="19"/>
        <item x="41"/>
        <item m="1" x="107"/>
        <item x="63"/>
        <item x="25"/>
        <item x="34"/>
        <item x="12"/>
        <item m="1" x="98"/>
        <item m="1" x="93"/>
        <item m="1" x="94"/>
        <item m="1" x="100"/>
        <item m="1" x="89"/>
        <item m="1" x="101"/>
        <item m="1" x="106"/>
        <item m="1" x="97"/>
        <item x="14"/>
        <item x="44"/>
        <item x="26"/>
        <item x="28"/>
        <item x="29"/>
        <item x="39"/>
        <item x="64"/>
        <item x="65"/>
        <item x="38"/>
        <item m="1" x="99"/>
        <item x="21"/>
        <item x="20"/>
        <item x="22"/>
        <item x="23"/>
        <item m="1" x="95"/>
        <item m="1" x="111"/>
        <item x="24"/>
        <item x="80"/>
        <item x="73"/>
        <item x="78"/>
        <item x="70"/>
        <item x="67"/>
        <item x="30"/>
        <item x="37"/>
        <item x="69"/>
        <item x="31"/>
        <item x="75"/>
        <item x="76"/>
        <item x="77"/>
        <item x="66"/>
        <item x="13"/>
        <item x="86"/>
        <item x="0"/>
        <item x="81"/>
        <item x="54"/>
        <item x="52"/>
        <item x="53"/>
        <item x="10"/>
        <item x="72"/>
        <item x="18"/>
        <item x="83"/>
        <item x="84"/>
        <item x="85"/>
        <item m="1" x="90"/>
        <item x="49"/>
        <item x="57"/>
        <item x="51"/>
        <item x="55"/>
        <item x="56"/>
        <item x="82"/>
        <item m="1" x="109"/>
        <item x="40"/>
        <item x="46"/>
        <item m="1" x="96"/>
        <item x="47"/>
        <item m="1" x="91"/>
        <item x="36"/>
        <item m="1" x="92"/>
        <item x="43"/>
        <item m="1" x="103"/>
        <item x="88"/>
      </items>
    </pivotField>
    <pivotField compact="0" outline="0" showAll="0"/>
    <pivotField axis="axisRow" compact="0" outline="0" showAll="0" defaultSubtotal="0">
      <items count="22">
        <item x="2"/>
        <item x="5"/>
        <item x="14"/>
        <item m="1" x="21"/>
        <item x="3"/>
        <item x="16"/>
        <item x="8"/>
        <item x="12"/>
        <item x="9"/>
        <item x="13"/>
        <item x="4"/>
        <item x="18"/>
        <item x="7"/>
        <item x="0"/>
        <item x="19"/>
        <item x="10"/>
        <item x="6"/>
        <item x="17"/>
        <item x="1"/>
        <item x="15"/>
        <item x="20"/>
        <item x="11"/>
      </items>
    </pivotField>
    <pivotField compact="0" outline="0" showAll="0"/>
    <pivotField axis="axisRow" compact="0" numFmtId="10" outline="0" showAll="0">
      <items count="37">
        <item x="5"/>
        <item x="14"/>
        <item x="2"/>
        <item x="0"/>
        <item x="1"/>
        <item m="1" x="32"/>
        <item x="24"/>
        <item x="10"/>
        <item x="4"/>
        <item m="1" x="35"/>
        <item x="8"/>
        <item x="15"/>
        <item x="9"/>
        <item x="30"/>
        <item x="13"/>
        <item m="1" x="34"/>
        <item x="16"/>
        <item x="6"/>
        <item x="29"/>
        <item x="7"/>
        <item x="11"/>
        <item x="12"/>
        <item x="3"/>
        <item x="17"/>
        <item x="18"/>
        <item x="21"/>
        <item x="22"/>
        <item x="23"/>
        <item m="1" x="33"/>
        <item x="31"/>
        <item x="19"/>
        <item x="20"/>
        <item x="25"/>
        <item x="26"/>
        <item x="27"/>
        <item x="28"/>
        <item t="default"/>
      </items>
    </pivotField>
    <pivotField compact="0" outline="0" showAll="0"/>
    <pivotField axis="axisRow" compact="0" outline="0" showAll="0" defaultSubtotal="0">
      <items count="12">
        <item x="1"/>
        <item x="4"/>
        <item x="5"/>
        <item x="2"/>
        <item x="7"/>
        <item m="1" x="10"/>
        <item x="6"/>
        <item x="0"/>
        <item x="8"/>
        <item m="1" x="9"/>
        <item m="1" x="11"/>
        <item x="3"/>
      </items>
    </pivotField>
    <pivotField compact="0" outline="0" showAll="0"/>
    <pivotField compact="0" numFmtId="166" outline="0" showAll="0"/>
    <pivotField compact="0" numFmtId="166" outline="0" showAll="0"/>
    <pivotField compact="0" numFmtId="166" outline="0" showAll="0"/>
    <pivotField compact="0" numFmtId="166" outline="0" showAll="0"/>
    <pivotField compact="0" numFmtId="168" outline="0" showAll="0"/>
    <pivotField compact="0" numFmtId="168" outline="0" showAll="0"/>
    <pivotField compact="0" numFmtId="168" outline="0" showAll="0"/>
    <pivotField compact="0" numFmtId="168" outline="0" showAll="0"/>
    <pivotField compact="0" numFmtId="168" outline="0" showAll="0"/>
    <pivotField compact="0" numFmtId="168" outline="0" showAll="0"/>
    <pivotField compact="0" numFmtId="168" outline="0" showAll="0"/>
  </pivotFields>
  <rowFields count="5">
    <field x="0"/>
    <field x="1"/>
    <field x="7"/>
    <field x="3"/>
    <field x="5"/>
  </rowFields>
  <rowItems count="133">
    <i>
      <x/>
      <x v="86"/>
      <x v="7"/>
      <x v="13"/>
      <x v="3"/>
    </i>
    <i r="3">
      <x v="18"/>
      <x v="3"/>
    </i>
    <i>
      <x v="4"/>
      <x v="31"/>
      <x/>
      <x/>
      <x v="4"/>
    </i>
    <i>
      <x v="5"/>
      <x v="30"/>
      <x/>
      <x/>
      <x v="4"/>
    </i>
    <i>
      <x v="6"/>
      <x v="32"/>
      <x v="3"/>
      <x v="4"/>
      <x v="4"/>
    </i>
    <i r="3">
      <x v="10"/>
      <x v="2"/>
    </i>
    <i>
      <x v="7"/>
      <x v="33"/>
      <x v="3"/>
      <x v="1"/>
      <x v="22"/>
    </i>
    <i>
      <x v="8"/>
      <x v="35"/>
      <x v="3"/>
      <x v="1"/>
      <x v="22"/>
    </i>
    <i>
      <x v="9"/>
      <x v="34"/>
      <x v="3"/>
      <x v="4"/>
      <x v="4"/>
    </i>
    <i>
      <x v="10"/>
      <x v="26"/>
      <x v="11"/>
      <x v="16"/>
      <x v="8"/>
    </i>
    <i>
      <x v="11"/>
      <x v="37"/>
      <x v="11"/>
      <x v="16"/>
      <x v="8"/>
    </i>
    <i>
      <x v="12"/>
      <x v="38"/>
      <x v="11"/>
      <x v="16"/>
      <x v="8"/>
    </i>
    <i>
      <x v="13"/>
      <x v="91"/>
      <x v="1"/>
      <x v="12"/>
      <x v="8"/>
    </i>
    <i>
      <x v="14"/>
      <x v="91"/>
      <x v="1"/>
      <x v="12"/>
      <x v="8"/>
    </i>
    <i>
      <x v="15"/>
      <x v="17"/>
      <x/>
      <x v="6"/>
      <x v="8"/>
    </i>
    <i>
      <x v="16"/>
      <x v="45"/>
      <x/>
      <x v="8"/>
      <x v="3"/>
    </i>
    <i r="3">
      <x v="15"/>
      <x/>
    </i>
    <i>
      <x v="17"/>
      <x v="84"/>
      <x/>
      <x v="13"/>
      <x v="8"/>
    </i>
    <i r="3">
      <x v="21"/>
      <x v="22"/>
    </i>
    <i>
      <x v="18"/>
      <x v="54"/>
      <x/>
      <x v="13"/>
      <x v="17"/>
    </i>
    <i r="3">
      <x v="15"/>
      <x v="3"/>
    </i>
    <i>
      <x v="19"/>
      <x v="22"/>
      <x/>
      <x v="6"/>
      <x v="19"/>
    </i>
    <i>
      <x v="21"/>
      <x v="1"/>
      <x v="1"/>
      <x v="12"/>
      <x v="10"/>
    </i>
    <i>
      <x v="23"/>
      <x/>
      <x v="1"/>
      <x v="12"/>
      <x v="10"/>
    </i>
    <i>
      <x v="24"/>
      <x v="93"/>
      <x v="1"/>
      <x v="18"/>
      <x v="3"/>
    </i>
    <i>
      <x v="25"/>
      <x v="39"/>
      <x v="1"/>
      <x v="18"/>
      <x v="10"/>
    </i>
    <i>
      <x v="28"/>
      <x v="65"/>
      <x v="2"/>
      <x v="7"/>
      <x v="10"/>
    </i>
    <i>
      <x v="30"/>
      <x v="64"/>
      <x v="2"/>
      <x v="7"/>
      <x v="10"/>
    </i>
    <i>
      <x v="31"/>
      <x v="66"/>
      <x v="2"/>
      <x v="7"/>
      <x v="10"/>
    </i>
    <i>
      <x v="32"/>
      <x v="67"/>
      <x v="2"/>
      <x v="18"/>
      <x v="12"/>
    </i>
    <i>
      <x v="33"/>
      <x v="70"/>
      <x v="2"/>
      <x v="18"/>
      <x v="3"/>
    </i>
    <i>
      <x v="34"/>
      <x v="43"/>
      <x v="6"/>
      <x v="13"/>
      <x v="7"/>
    </i>
    <i>
      <x v="35"/>
      <x v="56"/>
      <x v="6"/>
      <x v="2"/>
      <x v="21"/>
    </i>
    <i r="3">
      <x v="9"/>
      <x v="3"/>
    </i>
    <i r="3">
      <x v="12"/>
      <x v="20"/>
    </i>
    <i r="3">
      <x v="13"/>
      <x v="21"/>
    </i>
    <i>
      <x v="36"/>
      <x v="9"/>
      <x v="6"/>
      <x v="13"/>
      <x v="8"/>
    </i>
    <i>
      <x v="37"/>
      <x v="57"/>
      <x v="6"/>
      <x v="12"/>
      <x v="19"/>
    </i>
    <i r="3">
      <x v="13"/>
      <x v="2"/>
    </i>
    <i>
      <x v="38"/>
      <x v="58"/>
      <x v="6"/>
      <x v="2"/>
      <x v="14"/>
    </i>
    <i r="3">
      <x v="13"/>
      <x v="1"/>
    </i>
    <i>
      <x v="39"/>
      <x v="76"/>
      <x v="6"/>
      <x v="13"/>
      <x v="19"/>
    </i>
    <i>
      <x v="40"/>
      <x v="79"/>
      <x v="6"/>
      <x v="13"/>
      <x v="19"/>
    </i>
    <i>
      <x v="43"/>
      <x v="29"/>
      <x v="6"/>
      <x v="2"/>
      <x v="7"/>
    </i>
    <i>
      <x v="45"/>
      <x v="12"/>
      <x v="6"/>
      <x v="13"/>
      <x v="10"/>
    </i>
    <i>
      <x v="46"/>
      <x v="44"/>
      <x v="3"/>
      <x v="18"/>
      <x v="7"/>
    </i>
    <i>
      <x v="48"/>
      <x v="11"/>
      <x v="2"/>
      <x v="13"/>
      <x v="11"/>
    </i>
    <i r="3">
      <x v="18"/>
      <x v="11"/>
    </i>
    <i>
      <x v="49"/>
      <x v="110"/>
      <x v="6"/>
      <x v="13"/>
      <x v="7"/>
    </i>
    <i>
      <x v="50"/>
      <x v="77"/>
      <x v="6"/>
      <x v="13"/>
      <x v="7"/>
    </i>
    <i>
      <x v="51"/>
      <x v="62"/>
      <x v="2"/>
      <x v="9"/>
      <x v="16"/>
    </i>
    <i r="3">
      <x v="13"/>
      <x v="17"/>
    </i>
    <i>
      <x v="52"/>
      <x v="59"/>
      <x v="2"/>
      <x v="9"/>
      <x v="23"/>
    </i>
    <i>
      <x v="53"/>
      <x v="105"/>
      <x v="3"/>
      <x v="18"/>
      <x v="8"/>
    </i>
    <i>
      <x v="54"/>
      <x v="40"/>
      <x v="2"/>
      <x v="2"/>
      <x v="12"/>
    </i>
    <i r="3">
      <x v="13"/>
      <x v="3"/>
    </i>
    <i r="3">
      <x v="18"/>
      <x v="3"/>
    </i>
    <i>
      <x v="64"/>
      <x v="25"/>
      <x v="6"/>
      <x v="19"/>
      <x v="4"/>
    </i>
    <i>
      <x v="65"/>
      <x v="112"/>
      <x v="3"/>
      <x v="19"/>
      <x v="4"/>
    </i>
    <i>
      <x v="66"/>
      <x v="55"/>
      <x v="3"/>
      <x v="8"/>
      <x v="7"/>
    </i>
    <i>
      <x v="69"/>
      <x v="5"/>
      <x v="6"/>
      <x v="13"/>
      <x v="3"/>
    </i>
    <i>
      <x v="70"/>
      <x v="106"/>
      <x v="3"/>
      <x v="18"/>
      <x v="8"/>
    </i>
    <i>
      <x v="71"/>
      <x v="108"/>
      <x v="2"/>
      <x v="5"/>
      <x v="10"/>
    </i>
    <i>
      <x v="72"/>
      <x v="8"/>
      <x v="2"/>
      <x v="13"/>
      <x v="12"/>
    </i>
    <i r="3">
      <x v="18"/>
      <x v="12"/>
    </i>
    <i>
      <x v="73"/>
      <x v="98"/>
      <x v="6"/>
      <x v="17"/>
      <x v="3"/>
    </i>
    <i>
      <x v="74"/>
      <x v="18"/>
      <x v="6"/>
      <x v="13"/>
      <x v="12"/>
    </i>
    <i>
      <x v="75"/>
      <x v="100"/>
      <x v="6"/>
      <x v="8"/>
      <x v="4"/>
    </i>
    <i r="3">
      <x v="13"/>
      <x v="24"/>
    </i>
    <i>
      <x v="76"/>
      <x v="89"/>
      <x v="6"/>
      <x v="8"/>
      <x v="31"/>
    </i>
    <i r="3">
      <x v="13"/>
      <x v="30"/>
    </i>
    <i>
      <x v="77"/>
      <x v="90"/>
      <x v="3"/>
      <x v="8"/>
      <x v="1"/>
    </i>
    <i r="3">
      <x v="18"/>
      <x v="7"/>
    </i>
    <i>
      <x v="78"/>
      <x v="88"/>
      <x v="3"/>
      <x v="8"/>
      <x v="1"/>
    </i>
    <i r="3">
      <x v="18"/>
      <x v="7"/>
    </i>
    <i>
      <x v="79"/>
      <x v="101"/>
      <x v="3"/>
      <x v="8"/>
      <x v="4"/>
    </i>
    <i r="3">
      <x v="18"/>
      <x v="25"/>
    </i>
    <i>
      <x v="80"/>
      <x v="102"/>
      <x v="3"/>
      <x v="8"/>
      <x v="4"/>
    </i>
    <i r="3">
      <x v="12"/>
      <x v="25"/>
    </i>
    <i>
      <x v="81"/>
      <x v="99"/>
      <x v="3"/>
      <x v="8"/>
      <x v="4"/>
    </i>
    <i r="3">
      <x v="12"/>
      <x v="24"/>
    </i>
    <i>
      <x v="82"/>
      <x v="19"/>
      <x v="3"/>
      <x v="18"/>
      <x v="12"/>
    </i>
    <i>
      <x v="83"/>
      <x v="4"/>
      <x v="6"/>
      <x v="13"/>
      <x v="3"/>
    </i>
    <i>
      <x v="84"/>
      <x v="15"/>
      <x v="2"/>
      <x v="13"/>
      <x v="26"/>
    </i>
    <i r="3">
      <x v="18"/>
      <x v="26"/>
    </i>
    <i r="3">
      <x v="19"/>
      <x v="27"/>
    </i>
    <i>
      <x v="85"/>
      <x v="13"/>
      <x v="2"/>
      <x v="18"/>
      <x v="6"/>
    </i>
    <i r="3">
      <x v="19"/>
      <x v="1"/>
    </i>
    <i>
      <x v="86"/>
      <x v="14"/>
      <x v="2"/>
      <x v="13"/>
      <x v="26"/>
    </i>
    <i r="3">
      <x v="18"/>
      <x v="26"/>
    </i>
    <i r="3">
      <x v="19"/>
      <x v="27"/>
    </i>
    <i>
      <x v="87"/>
      <x v="42"/>
      <x v="2"/>
      <x v="2"/>
      <x v="12"/>
    </i>
    <i r="3">
      <x v="13"/>
      <x v="3"/>
    </i>
    <i r="3">
      <x v="18"/>
      <x v="3"/>
    </i>
    <i>
      <x v="88"/>
      <x v="60"/>
      <x v="2"/>
      <x v="9"/>
      <x v="16"/>
    </i>
    <i r="3">
      <x v="13"/>
      <x v="17"/>
    </i>
    <i>
      <x v="89"/>
      <x v="61"/>
      <x v="2"/>
      <x v="9"/>
      <x v="7"/>
    </i>
    <i>
      <x v="90"/>
      <x v="83"/>
      <x v="6"/>
      <x v="12"/>
      <x v="17"/>
    </i>
    <i r="3">
      <x v="13"/>
      <x v="6"/>
    </i>
    <i>
      <x v="91"/>
      <x v="76"/>
      <x v="6"/>
      <x v="13"/>
      <x v="19"/>
    </i>
    <i>
      <x v="92"/>
      <x v="75"/>
      <x v="6"/>
      <x v="13"/>
      <x v="19"/>
    </i>
    <i>
      <x v="93"/>
      <x v="28"/>
      <x v="2"/>
      <x v="2"/>
      <x v="22"/>
    </i>
    <i r="3">
      <x v="9"/>
      <x v="30"/>
    </i>
    <i>
      <x v="94"/>
      <x v="78"/>
      <x v="2"/>
      <x v="9"/>
      <x v="7"/>
    </i>
    <i>
      <x v="95"/>
      <x v="74"/>
      <x v="2"/>
      <x v="9"/>
      <x v="7"/>
    </i>
    <i>
      <x v="96"/>
      <x v="2"/>
      <x v="2"/>
      <x v="2"/>
      <x v="10"/>
    </i>
    <i r="3">
      <x v="9"/>
      <x v="10"/>
    </i>
    <i>
      <x v="97"/>
      <x v="92"/>
      <x v="2"/>
      <x v="9"/>
      <x v="19"/>
    </i>
    <i>
      <x v="98"/>
      <x v="72"/>
      <x v="3"/>
      <x v="18"/>
      <x v="7"/>
    </i>
    <i>
      <x v="105"/>
      <x v="24"/>
      <x v="1"/>
      <x v="6"/>
      <x v="8"/>
    </i>
    <i>
      <x v="106"/>
      <x v="80"/>
      <x v="4"/>
      <x/>
      <x v="32"/>
    </i>
    <i r="3">
      <x v="11"/>
      <x v="33"/>
    </i>
    <i r="3">
      <x v="13"/>
      <x v="3"/>
    </i>
    <i>
      <x v="107"/>
      <x v="81"/>
      <x v="4"/>
      <x v="13"/>
      <x v="3"/>
    </i>
    <i r="3">
      <x v="14"/>
      <x v="7"/>
    </i>
    <i>
      <x v="108"/>
      <x v="82"/>
      <x v="4"/>
      <x/>
      <x v="34"/>
    </i>
    <i r="3">
      <x v="11"/>
      <x v="35"/>
    </i>
    <i r="3">
      <x v="13"/>
      <x/>
    </i>
    <i>
      <x v="109"/>
      <x v="73"/>
      <x v="4"/>
      <x v="19"/>
      <x v="8"/>
    </i>
    <i>
      <x v="111"/>
      <x v="36"/>
      <x v="3"/>
      <x v="8"/>
      <x v="3"/>
    </i>
    <i r="3">
      <x v="9"/>
      <x v="3"/>
    </i>
    <i>
      <x v="112"/>
      <x v="71"/>
      <x v="3"/>
      <x v="8"/>
      <x v="12"/>
    </i>
    <i r="3">
      <x v="18"/>
      <x v="12"/>
    </i>
    <i>
      <x v="113"/>
      <x v="87"/>
      <x v="6"/>
      <x v="13"/>
      <x v="10"/>
    </i>
    <i>
      <x v="114"/>
      <x v="103"/>
      <x v="3"/>
      <x v="8"/>
      <x v="8"/>
    </i>
    <i>
      <x v="115"/>
      <x v="94"/>
      <x v="1"/>
      <x v="6"/>
      <x v="8"/>
    </i>
    <i>
      <x v="116"/>
      <x v="95"/>
      <x v="1"/>
      <x v="6"/>
      <x v="8"/>
    </i>
    <i>
      <x v="117"/>
      <x v="96"/>
      <x v="1"/>
      <x v="6"/>
      <x v="8"/>
    </i>
    <i>
      <x v="119"/>
      <x v="85"/>
      <x v="6"/>
      <x v="13"/>
      <x v="6"/>
    </i>
    <i r="3">
      <x v="17"/>
      <x v="18"/>
    </i>
    <i>
      <x v="120"/>
      <x v="16"/>
      <x v="6"/>
      <x v="13"/>
      <x v="13"/>
    </i>
    <i>
      <x v="121"/>
      <x v="114"/>
      <x v="8"/>
      <x v="20"/>
      <x v="29"/>
    </i>
    <i t="grand">
      <x/>
    </i>
  </rowItems>
  <colItems count="1">
    <i/>
  </colItems>
  <pivotTableStyleInfo name="PivotStyleLight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ell1" cacheId="0" applyNumberFormats="0" applyBorderFormats="0" applyFontFormats="0" applyPatternFormats="0" applyAlignmentFormats="0" applyWidthHeightFormats="1" dataCaption="Värden" updatedVersion="6" minRefreshableVersion="3" useAutoFormatting="1" itemPrintTitles="1" createdVersion="4" indent="0" compact="0" compactData="0" multipleFieldFilters="0">
  <location ref="A3:E133" firstHeaderRow="1" firstDataRow="1" firstDataCol="5"/>
  <pivotFields count="20">
    <pivotField axis="axisRow" compact="0" outline="0" showAll="0" defaultSubtotal="0">
      <items count="122">
        <item x="5"/>
        <item x="6"/>
        <item x="12"/>
        <item x="13"/>
        <item m="1" x="121"/>
        <item m="1" x="94"/>
        <item x="26"/>
        <item x="27"/>
        <item x="29"/>
        <item m="1" x="112"/>
        <item m="1" x="96"/>
        <item x="33"/>
        <item m="1" x="101"/>
        <item x="34"/>
        <item x="77"/>
        <item x="78"/>
        <item x="79"/>
        <item m="1" x="111"/>
        <item x="85"/>
        <item x="86"/>
        <item x="87"/>
        <item x="17"/>
        <item x="18"/>
        <item x="35"/>
        <item x="36"/>
        <item m="1" x="100"/>
        <item m="1" x="120"/>
        <item m="1" x="92"/>
        <item m="1" x="93"/>
        <item m="1" x="95"/>
        <item m="1" x="98"/>
        <item x="10"/>
        <item x="14"/>
        <item m="1" x="103"/>
        <item m="1" x="106"/>
        <item x="28"/>
        <item x="30"/>
        <item x="31"/>
        <item x="32"/>
        <item m="1" x="116"/>
        <item x="38"/>
        <item x="7"/>
        <item x="40"/>
        <item x="39"/>
        <item m="1" x="107"/>
        <item x="42"/>
        <item m="1" x="91"/>
        <item m="1" x="109"/>
        <item m="1" x="110"/>
        <item m="1" x="113"/>
        <item m="1" x="117"/>
        <item m="1" x="118"/>
        <item m="1" x="99"/>
        <item m="1" x="115"/>
        <item m="1" x="104"/>
        <item x="88"/>
        <item x="43"/>
        <item x="15"/>
        <item x="16"/>
        <item x="1"/>
        <item x="44"/>
        <item x="45"/>
        <item m="1" x="102"/>
        <item x="37"/>
        <item x="41"/>
        <item x="75"/>
        <item x="80"/>
        <item x="21"/>
        <item x="22"/>
        <item x="23"/>
        <item m="1" x="97"/>
        <item x="46"/>
        <item x="48"/>
        <item x="0"/>
        <item x="3"/>
        <item x="19"/>
        <item m="1" x="105"/>
        <item x="24"/>
        <item x="49"/>
        <item x="50"/>
        <item x="51"/>
        <item x="52"/>
        <item x="53"/>
        <item x="54"/>
        <item x="56"/>
        <item x="57"/>
        <item x="59"/>
        <item x="61"/>
        <item x="62"/>
        <item x="76"/>
        <item x="89"/>
        <item x="90"/>
        <item x="55"/>
        <item x="58"/>
        <item x="63"/>
        <item x="20"/>
        <item x="60"/>
        <item x="64"/>
        <item x="65"/>
        <item x="66"/>
        <item m="1" x="108"/>
        <item m="1" x="114"/>
        <item x="4"/>
        <item x="8"/>
        <item x="67"/>
        <item x="70"/>
        <item x="71"/>
        <item x="72"/>
        <item x="73"/>
        <item x="47"/>
        <item m="1" x="119"/>
        <item x="9"/>
        <item x="11"/>
        <item x="68"/>
        <item x="69"/>
        <item x="81"/>
        <item x="82"/>
        <item x="83"/>
        <item x="25"/>
        <item x="2"/>
        <item x="84"/>
        <item x="74"/>
      </items>
    </pivotField>
    <pivotField axis="axisRow" compact="0" outline="0" showAll="0" sortType="ascending" defaultSubtotal="0">
      <items count="115">
        <item x="17"/>
        <item x="16"/>
        <item x="71"/>
        <item m="1" x="104"/>
        <item x="59"/>
        <item x="45"/>
        <item m="1" x="114"/>
        <item m="1" x="110"/>
        <item x="48"/>
        <item x="27"/>
        <item m="1" x="108"/>
        <item x="35"/>
        <item x="33"/>
        <item x="61"/>
        <item x="62"/>
        <item x="60"/>
        <item x="87"/>
        <item x="11"/>
        <item x="50"/>
        <item x="58"/>
        <item m="1" x="102"/>
        <item m="1" x="112"/>
        <item x="15"/>
        <item m="1" x="113"/>
        <item x="74"/>
        <item x="42"/>
        <item x="7"/>
        <item m="1" x="105"/>
        <item x="68"/>
        <item x="32"/>
        <item x="2"/>
        <item x="1"/>
        <item x="3"/>
        <item x="4"/>
        <item x="6"/>
        <item x="5"/>
        <item x="79"/>
        <item x="8"/>
        <item x="9"/>
        <item x="19"/>
        <item x="41"/>
        <item m="1" x="107"/>
        <item x="63"/>
        <item x="25"/>
        <item x="34"/>
        <item x="12"/>
        <item m="1" x="98"/>
        <item m="1" x="93"/>
        <item m="1" x="94"/>
        <item m="1" x="100"/>
        <item m="1" x="89"/>
        <item m="1" x="101"/>
        <item m="1" x="106"/>
        <item m="1" x="97"/>
        <item x="14"/>
        <item x="44"/>
        <item x="26"/>
        <item x="28"/>
        <item x="29"/>
        <item x="39"/>
        <item x="64"/>
        <item x="65"/>
        <item x="38"/>
        <item m="1" x="99"/>
        <item x="21"/>
        <item x="20"/>
        <item x="22"/>
        <item x="23"/>
        <item m="1" x="95"/>
        <item m="1" x="111"/>
        <item x="24"/>
        <item x="80"/>
        <item x="73"/>
        <item x="78"/>
        <item x="70"/>
        <item x="67"/>
        <item x="30"/>
        <item x="37"/>
        <item x="69"/>
        <item x="31"/>
        <item x="75"/>
        <item x="76"/>
        <item x="77"/>
        <item x="66"/>
        <item x="13"/>
        <item x="86"/>
        <item x="0"/>
        <item x="81"/>
        <item x="54"/>
        <item x="52"/>
        <item x="53"/>
        <item x="10"/>
        <item x="72"/>
        <item x="18"/>
        <item x="83"/>
        <item x="84"/>
        <item x="85"/>
        <item m="1" x="90"/>
        <item x="49"/>
        <item x="57"/>
        <item x="51"/>
        <item x="55"/>
        <item x="56"/>
        <item x="82"/>
        <item m="1" x="109"/>
        <item x="40"/>
        <item x="46"/>
        <item m="1" x="96"/>
        <item x="47"/>
        <item m="1" x="91"/>
        <item x="36"/>
        <item m="1" x="92"/>
        <item x="43"/>
        <item m="1" x="103"/>
        <item x="88"/>
      </items>
    </pivotField>
    <pivotField compact="0" outline="0" showAll="0"/>
    <pivotField axis="axisRow" compact="0" outline="0" showAll="0" defaultSubtotal="0">
      <items count="22">
        <item x="2"/>
        <item x="5"/>
        <item x="14"/>
        <item m="1" x="21"/>
        <item x="3"/>
        <item x="16"/>
        <item x="8"/>
        <item x="12"/>
        <item x="9"/>
        <item x="13"/>
        <item x="4"/>
        <item x="18"/>
        <item x="7"/>
        <item x="0"/>
        <item x="19"/>
        <item x="10"/>
        <item x="6"/>
        <item x="17"/>
        <item x="1"/>
        <item x="15"/>
        <item x="20"/>
        <item x="11"/>
      </items>
    </pivotField>
    <pivotField compact="0" outline="0" showAll="0"/>
    <pivotField axis="axisRow" compact="0" numFmtId="173" outline="0" showAll="0">
      <items count="37">
        <item x="5"/>
        <item x="14"/>
        <item x="2"/>
        <item x="0"/>
        <item x="1"/>
        <item m="1" x="32"/>
        <item x="24"/>
        <item x="10"/>
        <item x="4"/>
        <item m="1" x="35"/>
        <item x="8"/>
        <item x="15"/>
        <item x="9"/>
        <item x="30"/>
        <item x="13"/>
        <item m="1" x="34"/>
        <item x="16"/>
        <item x="6"/>
        <item x="29"/>
        <item x="7"/>
        <item x="11"/>
        <item x="12"/>
        <item x="3"/>
        <item x="17"/>
        <item x="18"/>
        <item x="21"/>
        <item x="22"/>
        <item x="23"/>
        <item m="1" x="33"/>
        <item x="31"/>
        <item x="19"/>
        <item x="20"/>
        <item x="25"/>
        <item x="26"/>
        <item x="27"/>
        <item x="28"/>
        <item t="default"/>
      </items>
    </pivotField>
    <pivotField compact="0" outline="0" showAll="0"/>
    <pivotField axis="axisRow" compact="0" outline="0" showAll="0" defaultSubtotal="0">
      <items count="12">
        <item sd="0" x="1"/>
        <item x="4"/>
        <item x="5"/>
        <item x="2"/>
        <item x="7"/>
        <item m="1" x="10"/>
        <item x="6"/>
        <item x="0"/>
        <item x="8"/>
        <item m="1" x="9"/>
        <item m="1" x="11"/>
        <item x="3"/>
      </items>
    </pivotField>
    <pivotField compact="0" outline="0" showAll="0"/>
    <pivotField compact="0" numFmtId="166" outline="0" showAll="0"/>
    <pivotField compact="0" numFmtId="166" outline="0" showAll="0"/>
    <pivotField compact="0" numFmtId="166" outline="0" showAll="0"/>
    <pivotField compact="0" numFmtId="166" outline="0" showAll="0"/>
    <pivotField compact="0" numFmtId="168" outline="0" showAll="0"/>
    <pivotField compact="0" numFmtId="168" outline="0" showAll="0"/>
    <pivotField compact="0" numFmtId="168" outline="0" showAll="0"/>
    <pivotField compact="0" numFmtId="168" outline="0" showAll="0"/>
    <pivotField compact="0" numFmtId="168" outline="0" showAll="0"/>
    <pivotField compact="0" numFmtId="168" outline="0" showAll="0"/>
    <pivotField compact="0" numFmtId="168" outline="0" showAll="0"/>
  </pivotFields>
  <rowFields count="5">
    <field x="1"/>
    <field x="0"/>
    <field x="7"/>
    <field x="3"/>
    <field x="5"/>
  </rowFields>
  <rowItems count="130">
    <i>
      <x/>
      <x v="22"/>
      <x v="1"/>
      <x v="12"/>
      <x v="10"/>
    </i>
    <i>
      <x v="1"/>
      <x v="21"/>
      <x v="1"/>
      <x v="12"/>
      <x v="10"/>
    </i>
    <i>
      <x v="2"/>
      <x v="108"/>
      <x v="2"/>
      <x v="2"/>
      <x v="10"/>
    </i>
    <i r="3">
      <x v="9"/>
      <x v="10"/>
    </i>
    <i>
      <x v="4"/>
      <x v="96"/>
      <x v="6"/>
      <x v="13"/>
      <x v="3"/>
    </i>
    <i>
      <x v="5"/>
      <x v="71"/>
      <x v="6"/>
      <x v="13"/>
      <x v="3"/>
    </i>
    <i>
      <x v="8"/>
      <x v="78"/>
      <x v="2"/>
      <x v="13"/>
      <x v="12"/>
    </i>
    <i r="3">
      <x v="18"/>
      <x v="12"/>
    </i>
    <i>
      <x v="9"/>
      <x v="35"/>
      <x v="6"/>
      <x v="13"/>
      <x v="8"/>
    </i>
    <i>
      <x v="11"/>
      <x v="24"/>
      <x v="2"/>
      <x v="13"/>
      <x v="11"/>
    </i>
    <i r="3">
      <x v="18"/>
      <x v="11"/>
    </i>
    <i>
      <x v="12"/>
      <x v="13"/>
      <x v="6"/>
      <x v="13"/>
      <x v="10"/>
    </i>
    <i>
      <x v="13"/>
      <x v="88"/>
      <x v="2"/>
      <x v="18"/>
      <x v="6"/>
    </i>
    <i r="3">
      <x v="19"/>
      <x v="1"/>
    </i>
    <i>
      <x v="14"/>
      <x v="94"/>
      <x v="2"/>
      <x v="13"/>
      <x v="26"/>
    </i>
    <i r="3">
      <x v="18"/>
      <x v="26"/>
    </i>
    <i r="3">
      <x v="19"/>
      <x v="27"/>
    </i>
    <i>
      <x v="15"/>
      <x v="87"/>
      <x v="2"/>
      <x v="13"/>
      <x v="26"/>
    </i>
    <i r="3">
      <x v="18"/>
      <x v="26"/>
    </i>
    <i r="3">
      <x v="19"/>
      <x v="27"/>
    </i>
    <i>
      <x v="16"/>
      <x v="90"/>
      <x v="6"/>
      <x v="13"/>
      <x v="13"/>
    </i>
    <i>
      <x v="17"/>
      <x v="2"/>
      <x/>
    </i>
    <i>
      <x v="18"/>
      <x v="80"/>
      <x v="6"/>
      <x v="13"/>
      <x v="12"/>
    </i>
    <i>
      <x v="19"/>
      <x v="86"/>
      <x v="3"/>
      <x v="18"/>
      <x v="12"/>
    </i>
    <i>
      <x v="22"/>
      <x v="58"/>
      <x/>
    </i>
    <i>
      <x v="24"/>
      <x v="89"/>
      <x v="1"/>
      <x v="6"/>
      <x v="8"/>
    </i>
    <i>
      <x v="25"/>
      <x v="56"/>
      <x v="6"/>
      <x v="19"/>
      <x v="4"/>
    </i>
    <i>
      <x v="26"/>
      <x v="41"/>
      <x v="11"/>
      <x v="16"/>
      <x v="8"/>
    </i>
    <i>
      <x v="28"/>
      <x v="105"/>
      <x v="2"/>
      <x v="2"/>
      <x v="22"/>
    </i>
    <i r="3">
      <x v="9"/>
      <x v="30"/>
    </i>
    <i>
      <x v="29"/>
      <x v="11"/>
      <x v="6"/>
      <x v="2"/>
      <x v="7"/>
    </i>
    <i>
      <x v="30"/>
      <x v="119"/>
      <x/>
    </i>
    <i>
      <x v="31"/>
      <x v="59"/>
      <x/>
    </i>
    <i>
      <x v="32"/>
      <x v="74"/>
      <x v="3"/>
      <x v="4"/>
      <x v="4"/>
    </i>
    <i r="3">
      <x v="10"/>
      <x v="2"/>
    </i>
    <i>
      <x v="33"/>
      <x v="102"/>
      <x v="3"/>
      <x v="1"/>
      <x v="22"/>
    </i>
    <i>
      <x v="34"/>
      <x v="1"/>
      <x v="3"/>
      <x v="4"/>
      <x v="4"/>
    </i>
    <i>
      <x v="35"/>
      <x/>
      <x v="3"/>
      <x v="1"/>
      <x v="22"/>
    </i>
    <i>
      <x v="36"/>
      <x v="115"/>
      <x v="3"/>
      <x v="8"/>
      <x v="3"/>
    </i>
    <i r="3">
      <x v="9"/>
      <x v="3"/>
    </i>
    <i>
      <x v="37"/>
      <x v="103"/>
      <x v="11"/>
      <x v="16"/>
      <x v="8"/>
    </i>
    <i>
      <x v="38"/>
      <x v="111"/>
      <x v="11"/>
      <x v="16"/>
      <x v="8"/>
    </i>
    <i>
      <x v="39"/>
      <x v="95"/>
      <x v="1"/>
      <x v="18"/>
      <x v="10"/>
    </i>
    <i>
      <x v="40"/>
      <x v="45"/>
      <x v="2"/>
      <x v="2"/>
      <x v="12"/>
    </i>
    <i r="3">
      <x v="13"/>
      <x v="3"/>
    </i>
    <i r="3">
      <x v="18"/>
      <x v="3"/>
    </i>
    <i>
      <x v="42"/>
      <x v="97"/>
      <x v="2"/>
      <x v="2"/>
      <x v="12"/>
    </i>
    <i r="3">
      <x v="13"/>
      <x v="3"/>
    </i>
    <i r="3">
      <x v="18"/>
      <x v="3"/>
    </i>
    <i>
      <x v="43"/>
      <x v="6"/>
      <x v="6"/>
      <x v="13"/>
      <x v="7"/>
    </i>
    <i>
      <x v="44"/>
      <x v="23"/>
      <x v="3"/>
      <x v="18"/>
      <x v="7"/>
    </i>
    <i>
      <x v="45"/>
      <x v="3"/>
      <x/>
    </i>
    <i>
      <x v="54"/>
      <x v="57"/>
      <x/>
    </i>
    <i>
      <x v="55"/>
      <x v="61"/>
      <x v="3"/>
      <x v="8"/>
      <x v="7"/>
    </i>
    <i>
      <x v="56"/>
      <x v="7"/>
      <x v="6"/>
      <x v="2"/>
      <x v="21"/>
    </i>
    <i r="3">
      <x v="9"/>
      <x v="3"/>
    </i>
    <i r="3">
      <x v="12"/>
      <x v="20"/>
    </i>
    <i r="3">
      <x v="13"/>
      <x v="21"/>
    </i>
    <i>
      <x v="57"/>
      <x v="8"/>
      <x v="6"/>
      <x v="12"/>
      <x v="19"/>
    </i>
    <i r="3">
      <x v="13"/>
      <x v="2"/>
    </i>
    <i>
      <x v="58"/>
      <x v="36"/>
      <x v="6"/>
      <x v="2"/>
      <x v="14"/>
    </i>
    <i r="3">
      <x v="13"/>
      <x v="1"/>
    </i>
    <i>
      <x v="59"/>
      <x v="42"/>
      <x v="2"/>
      <x v="9"/>
      <x v="23"/>
    </i>
    <i>
      <x v="60"/>
      <x v="98"/>
      <x v="2"/>
      <x v="9"/>
      <x v="16"/>
    </i>
    <i r="3">
      <x v="13"/>
      <x v="17"/>
    </i>
    <i>
      <x v="61"/>
      <x v="99"/>
      <x v="2"/>
      <x v="9"/>
      <x v="7"/>
    </i>
    <i>
      <x v="62"/>
      <x v="43"/>
      <x v="2"/>
      <x v="9"/>
      <x v="16"/>
    </i>
    <i r="3">
      <x v="13"/>
      <x v="17"/>
    </i>
    <i>
      <x v="64"/>
      <x v="68"/>
      <x v="2"/>
      <x v="7"/>
      <x v="10"/>
    </i>
    <i>
      <x v="65"/>
      <x v="67"/>
      <x v="2"/>
      <x v="7"/>
      <x v="10"/>
    </i>
    <i>
      <x v="66"/>
      <x v="69"/>
      <x v="2"/>
      <x v="7"/>
      <x v="10"/>
    </i>
    <i>
      <x v="67"/>
      <x v="77"/>
      <x v="2"/>
      <x v="18"/>
      <x v="12"/>
    </i>
    <i>
      <x v="70"/>
      <x v="118"/>
      <x v="2"/>
      <x v="18"/>
      <x v="3"/>
    </i>
    <i>
      <x v="71"/>
      <x v="116"/>
      <x v="3"/>
      <x v="8"/>
      <x v="12"/>
    </i>
    <i r="3">
      <x v="18"/>
      <x v="12"/>
    </i>
    <i>
      <x v="72"/>
      <x v="65"/>
      <x v="3"/>
      <x v="18"/>
      <x v="7"/>
    </i>
    <i>
      <x v="73"/>
      <x v="66"/>
      <x v="4"/>
      <x v="19"/>
      <x v="8"/>
    </i>
    <i>
      <x v="74"/>
      <x v="107"/>
      <x v="2"/>
      <x v="9"/>
      <x v="7"/>
    </i>
    <i>
      <x v="75"/>
      <x v="114"/>
      <x v="6"/>
      <x v="13"/>
      <x v="19"/>
    </i>
    <i>
      <x v="76"/>
      <x v="37"/>
      <x v="6"/>
      <x v="13"/>
      <x v="19"/>
    </i>
    <i r="1">
      <x v="113"/>
      <x v="6"/>
      <x v="13"/>
      <x v="19"/>
    </i>
    <i>
      <x v="77"/>
      <x v="40"/>
      <x v="6"/>
      <x v="13"/>
      <x v="7"/>
    </i>
    <i>
      <x v="78"/>
      <x v="106"/>
      <x v="2"/>
      <x v="9"/>
      <x v="7"/>
    </i>
    <i>
      <x v="79"/>
      <x v="38"/>
      <x v="6"/>
      <x v="13"/>
      <x v="19"/>
    </i>
    <i>
      <x v="80"/>
      <x v="14"/>
      <x v="4"/>
      <x/>
      <x v="32"/>
    </i>
    <i r="3">
      <x v="11"/>
      <x v="33"/>
    </i>
    <i r="3">
      <x v="13"/>
      <x v="3"/>
    </i>
    <i>
      <x v="81"/>
      <x v="15"/>
      <x v="4"/>
      <x v="13"/>
      <x v="3"/>
    </i>
    <i r="3">
      <x v="14"/>
      <x v="7"/>
    </i>
    <i>
      <x v="82"/>
      <x v="16"/>
      <x v="4"/>
      <x/>
      <x v="34"/>
    </i>
    <i r="3">
      <x v="11"/>
      <x v="35"/>
    </i>
    <i r="3">
      <x v="13"/>
      <x/>
    </i>
    <i>
      <x v="83"/>
      <x v="104"/>
      <x v="6"/>
      <x v="12"/>
      <x v="17"/>
    </i>
    <i r="3">
      <x v="13"/>
      <x v="6"/>
    </i>
    <i>
      <x v="84"/>
      <x v="32"/>
      <x/>
    </i>
    <i>
      <x v="85"/>
      <x v="55"/>
      <x v="6"/>
      <x v="13"/>
      <x v="6"/>
    </i>
    <i r="3">
      <x v="17"/>
      <x v="18"/>
    </i>
    <i>
      <x v="86"/>
      <x v="73"/>
      <x v="7"/>
      <x v="13"/>
      <x v="3"/>
    </i>
    <i r="3">
      <x v="18"/>
      <x v="3"/>
    </i>
    <i>
      <x v="87"/>
      <x v="117"/>
      <x v="6"/>
      <x v="13"/>
      <x v="10"/>
    </i>
    <i>
      <x v="88"/>
      <x v="92"/>
      <x v="3"/>
      <x v="8"/>
      <x v="1"/>
    </i>
    <i r="3">
      <x v="18"/>
      <x v="7"/>
    </i>
    <i>
      <x v="89"/>
      <x v="82"/>
      <x v="6"/>
      <x v="8"/>
      <x v="31"/>
    </i>
    <i r="3">
      <x v="13"/>
      <x v="30"/>
    </i>
    <i>
      <x v="90"/>
      <x v="83"/>
      <x v="3"/>
      <x v="8"/>
      <x v="1"/>
    </i>
    <i r="3">
      <x v="18"/>
      <x v="7"/>
    </i>
    <i>
      <x v="91"/>
      <x v="31"/>
      <x v="1"/>
      <x v="12"/>
      <x v="8"/>
    </i>
    <i r="1">
      <x v="112"/>
      <x v="1"/>
      <x v="12"/>
      <x v="8"/>
    </i>
    <i>
      <x v="92"/>
      <x v="121"/>
      <x v="2"/>
      <x v="9"/>
      <x v="19"/>
    </i>
    <i>
      <x v="93"/>
      <x v="75"/>
      <x v="1"/>
      <x v="18"/>
      <x v="3"/>
    </i>
    <i>
      <x v="94"/>
      <x v="18"/>
      <x v="1"/>
      <x v="6"/>
      <x v="8"/>
    </i>
    <i>
      <x v="95"/>
      <x v="19"/>
      <x v="1"/>
      <x v="6"/>
      <x v="8"/>
    </i>
    <i>
      <x v="96"/>
      <x v="20"/>
      <x v="1"/>
      <x v="6"/>
      <x v="8"/>
    </i>
    <i>
      <x v="98"/>
      <x v="79"/>
      <x v="6"/>
      <x v="17"/>
      <x v="3"/>
    </i>
    <i>
      <x v="99"/>
      <x v="93"/>
      <x v="3"/>
      <x v="8"/>
      <x v="4"/>
    </i>
    <i r="3">
      <x v="12"/>
      <x v="24"/>
    </i>
    <i>
      <x v="100"/>
      <x v="81"/>
      <x v="6"/>
      <x v="8"/>
      <x v="4"/>
    </i>
    <i r="3">
      <x v="13"/>
      <x v="24"/>
    </i>
    <i>
      <x v="101"/>
      <x v="84"/>
      <x v="3"/>
      <x v="8"/>
      <x v="4"/>
    </i>
    <i r="3">
      <x v="18"/>
      <x v="25"/>
    </i>
    <i>
      <x v="102"/>
      <x v="85"/>
      <x v="3"/>
      <x v="8"/>
      <x v="4"/>
    </i>
    <i r="3">
      <x v="12"/>
      <x v="25"/>
    </i>
    <i>
      <x v="103"/>
      <x v="120"/>
      <x v="3"/>
      <x v="8"/>
      <x v="8"/>
    </i>
    <i>
      <x v="105"/>
      <x v="64"/>
      <x v="3"/>
      <x v="18"/>
      <x v="8"/>
    </i>
    <i>
      <x v="106"/>
      <x v="109"/>
      <x v="3"/>
      <x v="18"/>
      <x v="8"/>
    </i>
    <i>
      <x v="108"/>
      <x v="72"/>
      <x v="2"/>
      <x v="5"/>
      <x v="10"/>
    </i>
    <i>
      <x v="110"/>
      <x v="63"/>
      <x v="6"/>
      <x v="13"/>
      <x v="7"/>
    </i>
    <i>
      <x v="112"/>
      <x v="60"/>
      <x v="3"/>
      <x v="19"/>
      <x v="4"/>
    </i>
    <i>
      <x v="114"/>
      <x v="91"/>
      <x v="8"/>
      <x v="20"/>
      <x v="29"/>
    </i>
    <i t="grand">
      <x/>
    </i>
  </rowItems>
  <colItems count="1">
    <i/>
  </colItems>
  <pivotTableStyleInfo name="PivotStyleLight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birgitta.wilhelmsson@umu.se" TargetMode="External"/><Relationship Id="rId1" Type="http://schemas.openxmlformats.org/officeDocument/2006/relationships/hyperlink" Target="mailto:agnetha.simm@umu.se"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4.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5.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6.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ivotTable" Target="../pivotTables/pivotTable7.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ivotTable" Target="../pivotTables/pivotTable8.xm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ivotTable" Target="../pivotTables/pivotTable9.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tabColor rgb="FF7030A0"/>
    <pageSetUpPr fitToPage="1"/>
  </sheetPr>
  <dimension ref="A2:A23"/>
  <sheetViews>
    <sheetView tabSelected="1" zoomScaleNormal="100" workbookViewId="0"/>
  </sheetViews>
  <sheetFormatPr defaultColWidth="8.85546875" defaultRowHeight="15" x14ac:dyDescent="0.25"/>
  <cols>
    <col min="1" max="1" width="124.42578125" customWidth="1"/>
  </cols>
  <sheetData>
    <row r="2" spans="1:1" s="33" customFormat="1" ht="18.75" x14ac:dyDescent="0.3">
      <c r="A2" s="271" t="s">
        <v>2324</v>
      </c>
    </row>
    <row r="3" spans="1:1" s="33" customFormat="1" ht="18.75" x14ac:dyDescent="0.3">
      <c r="A3" s="271"/>
    </row>
    <row r="4" spans="1:1" ht="18.75" x14ac:dyDescent="0.25">
      <c r="A4" s="270" t="s">
        <v>2245</v>
      </c>
    </row>
    <row r="5" spans="1:1" ht="117" customHeight="1" x14ac:dyDescent="0.25">
      <c r="A5" s="270" t="s">
        <v>2325</v>
      </c>
    </row>
    <row r="6" spans="1:1" ht="43.5" customHeight="1" x14ac:dyDescent="0.25">
      <c r="A6" s="270" t="s">
        <v>974</v>
      </c>
    </row>
    <row r="7" spans="1:1" ht="59.25" customHeight="1" x14ac:dyDescent="0.25">
      <c r="A7" s="270" t="s">
        <v>2246</v>
      </c>
    </row>
    <row r="8" spans="1:1" ht="59.25" customHeight="1" x14ac:dyDescent="0.25">
      <c r="A8" s="270" t="s">
        <v>1924</v>
      </c>
    </row>
    <row r="9" spans="1:1" ht="97.5" customHeight="1" x14ac:dyDescent="0.25">
      <c r="A9" s="327" t="s">
        <v>1744</v>
      </c>
    </row>
    <row r="10" spans="1:1" ht="71.25" customHeight="1" x14ac:dyDescent="0.25">
      <c r="A10" s="270" t="s">
        <v>1837</v>
      </c>
    </row>
    <row r="11" spans="1:1" ht="65.25" customHeight="1" x14ac:dyDescent="0.25">
      <c r="A11" s="270" t="s">
        <v>922</v>
      </c>
    </row>
    <row r="12" spans="1:1" ht="56.25" customHeight="1" x14ac:dyDescent="0.25">
      <c r="A12" s="270" t="s">
        <v>1369</v>
      </c>
    </row>
    <row r="13" spans="1:1" ht="51" customHeight="1" x14ac:dyDescent="0.25">
      <c r="A13" s="270" t="s">
        <v>1923</v>
      </c>
    </row>
    <row r="14" spans="1:1" ht="15" customHeight="1" x14ac:dyDescent="0.25">
      <c r="A14" s="270"/>
    </row>
    <row r="15" spans="1:1" x14ac:dyDescent="0.25">
      <c r="A15" s="274" t="s">
        <v>1106</v>
      </c>
    </row>
    <row r="16" spans="1:1" x14ac:dyDescent="0.25">
      <c r="A16" s="273" t="s">
        <v>938</v>
      </c>
    </row>
    <row r="17" spans="1:1" x14ac:dyDescent="0.25">
      <c r="A17" s="273"/>
    </row>
    <row r="18" spans="1:1" x14ac:dyDescent="0.25">
      <c r="A18" s="272"/>
    </row>
    <row r="19" spans="1:1" ht="32.25" customHeight="1" x14ac:dyDescent="0.25">
      <c r="A19" s="270" t="s">
        <v>1785</v>
      </c>
    </row>
    <row r="20" spans="1:1" x14ac:dyDescent="0.25">
      <c r="A20" s="283" t="s">
        <v>1745</v>
      </c>
    </row>
    <row r="23" spans="1:1" ht="18.75" x14ac:dyDescent="0.25">
      <c r="A23" s="270"/>
    </row>
  </sheetData>
  <sheetProtection sheet="1" objects="1" scenarios="1"/>
  <hyperlinks>
    <hyperlink ref="A16" r:id="rId1"/>
    <hyperlink ref="A20" r:id="rId2"/>
  </hyperlinks>
  <pageMargins left="0.70866141732283472" right="0.70866141732283472" top="0.74803149606299213" bottom="0.74803149606299213" header="0.31496062992125984" footer="0.31496062992125984"/>
  <pageSetup paperSize="9" scale="71"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tabColor indexed="12"/>
    <pageSetUpPr fitToPage="1"/>
  </sheetPr>
  <dimension ref="A1:M291"/>
  <sheetViews>
    <sheetView workbookViewId="0">
      <selection activeCell="D1" sqref="D1"/>
    </sheetView>
  </sheetViews>
  <sheetFormatPr defaultColWidth="10.42578125" defaultRowHeight="15" x14ac:dyDescent="0.25"/>
  <cols>
    <col min="1" max="1" width="12.42578125" style="1" bestFit="1" customWidth="1"/>
    <col min="2" max="2" width="9.5703125" customWidth="1"/>
    <col min="3" max="3" width="36.85546875" style="29" customWidth="1"/>
    <col min="4" max="4" width="14" customWidth="1"/>
    <col min="5" max="5" width="68.42578125" customWidth="1"/>
    <col min="6" max="6" width="28" customWidth="1"/>
    <col min="7" max="7" width="10" customWidth="1"/>
    <col min="8" max="8" width="6.140625" customWidth="1"/>
    <col min="9" max="9" width="9.85546875" customWidth="1"/>
    <col min="10" max="10" width="10.7109375" customWidth="1"/>
    <col min="11" max="11" width="10.28515625" customWidth="1"/>
    <col min="12" max="12" width="11.42578125" bestFit="1" customWidth="1"/>
  </cols>
  <sheetData>
    <row r="1" spans="1:13" ht="15.75" x14ac:dyDescent="0.25">
      <c r="A1" s="372" t="s">
        <v>9</v>
      </c>
      <c r="B1" s="372"/>
      <c r="C1" s="372"/>
      <c r="D1" s="372"/>
      <c r="E1" s="372"/>
    </row>
    <row r="2" spans="1:13" x14ac:dyDescent="0.25">
      <c r="A2" s="517"/>
      <c r="B2" s="517"/>
      <c r="C2" s="517"/>
      <c r="D2" s="517"/>
      <c r="E2" s="517"/>
      <c r="F2" s="517"/>
      <c r="G2" s="517"/>
      <c r="H2" s="63" t="s">
        <v>4</v>
      </c>
    </row>
    <row r="3" spans="1:13" s="68" customFormat="1" ht="45" x14ac:dyDescent="0.25">
      <c r="A3" s="158" t="s">
        <v>78</v>
      </c>
      <c r="B3" s="63" t="s">
        <v>399</v>
      </c>
      <c r="C3" s="518" t="s">
        <v>326</v>
      </c>
      <c r="D3" s="518" t="s">
        <v>59</v>
      </c>
      <c r="E3" s="518" t="s">
        <v>158</v>
      </c>
      <c r="F3" s="518" t="s">
        <v>2</v>
      </c>
      <c r="G3" s="158" t="s">
        <v>10</v>
      </c>
      <c r="H3" s="516" t="s">
        <v>449</v>
      </c>
      <c r="I3" s="516" t="s">
        <v>419</v>
      </c>
      <c r="J3" s="516" t="s">
        <v>458</v>
      </c>
      <c r="K3" s="516" t="s">
        <v>919</v>
      </c>
      <c r="L3" s="29"/>
      <c r="M3" s="29"/>
    </row>
    <row r="4" spans="1:13" x14ac:dyDescent="0.25">
      <c r="A4" t="s">
        <v>72</v>
      </c>
      <c r="B4">
        <v>1620</v>
      </c>
      <c r="C4" s="517" t="s">
        <v>176</v>
      </c>
      <c r="D4" t="s">
        <v>1753</v>
      </c>
      <c r="E4" t="s">
        <v>1761</v>
      </c>
      <c r="F4" t="s">
        <v>461</v>
      </c>
      <c r="G4" s="293">
        <v>0.35555555555555557</v>
      </c>
      <c r="H4" s="321">
        <v>5.3333333333333339</v>
      </c>
      <c r="I4" s="321">
        <v>4.5333333333333332</v>
      </c>
      <c r="J4" s="34">
        <v>221077.61600000001</v>
      </c>
      <c r="K4" s="34">
        <v>18133.333333333336</v>
      </c>
    </row>
    <row r="5" spans="1:13" ht="18" customHeight="1" x14ac:dyDescent="0.25">
      <c r="A5"/>
      <c r="C5" s="517"/>
      <c r="D5" t="s">
        <v>1752</v>
      </c>
      <c r="E5" t="s">
        <v>1760</v>
      </c>
      <c r="F5" t="s">
        <v>461</v>
      </c>
      <c r="G5" s="293">
        <v>0.4</v>
      </c>
      <c r="H5" s="321">
        <v>3.75</v>
      </c>
      <c r="I5" s="321">
        <v>3.1875</v>
      </c>
      <c r="J5" s="34">
        <v>155445.19875000001</v>
      </c>
      <c r="K5" s="34">
        <v>12750</v>
      </c>
    </row>
    <row r="6" spans="1:13" ht="18" customHeight="1" x14ac:dyDescent="0.25">
      <c r="A6"/>
      <c r="C6" s="517"/>
      <c r="D6" t="s">
        <v>1887</v>
      </c>
      <c r="E6" t="s">
        <v>1220</v>
      </c>
      <c r="F6" t="s">
        <v>461</v>
      </c>
      <c r="G6" s="293">
        <v>0.4</v>
      </c>
      <c r="H6" s="321">
        <v>1.35</v>
      </c>
      <c r="I6" s="321">
        <v>1.1475</v>
      </c>
      <c r="J6" s="34">
        <v>60400.975050000001</v>
      </c>
      <c r="K6" s="34">
        <v>7830.0000000000009</v>
      </c>
    </row>
    <row r="7" spans="1:13" ht="18" customHeight="1" x14ac:dyDescent="0.25">
      <c r="A7"/>
      <c r="C7" s="517"/>
      <c r="D7" t="s">
        <v>1888</v>
      </c>
      <c r="E7" t="s">
        <v>1221</v>
      </c>
      <c r="F7" t="s">
        <v>461</v>
      </c>
      <c r="G7" s="293">
        <v>0.4</v>
      </c>
      <c r="H7" s="321">
        <v>2.35</v>
      </c>
      <c r="I7" s="321">
        <v>1.9974999999999998</v>
      </c>
      <c r="J7" s="34">
        <v>105142.43805</v>
      </c>
      <c r="K7" s="34">
        <v>13630</v>
      </c>
    </row>
    <row r="8" spans="1:13" ht="18" customHeight="1" x14ac:dyDescent="0.25">
      <c r="A8"/>
      <c r="C8" s="517"/>
      <c r="D8" t="s">
        <v>1889</v>
      </c>
      <c r="E8" t="s">
        <v>1890</v>
      </c>
      <c r="F8" t="s">
        <v>461</v>
      </c>
      <c r="G8" s="293">
        <v>0.41666666666666669</v>
      </c>
      <c r="H8" s="321">
        <v>4.791666666666667</v>
      </c>
      <c r="I8" s="321">
        <v>4.072916666666667</v>
      </c>
      <c r="J8" s="34">
        <v>214386.176875</v>
      </c>
      <c r="K8" s="34">
        <v>27791.666666666668</v>
      </c>
    </row>
    <row r="9" spans="1:13" ht="18" customHeight="1" x14ac:dyDescent="0.25">
      <c r="A9"/>
      <c r="C9" s="517"/>
      <c r="D9" t="s">
        <v>1891</v>
      </c>
      <c r="E9" t="s">
        <v>1294</v>
      </c>
      <c r="F9" t="s">
        <v>461</v>
      </c>
      <c r="G9" s="293">
        <v>0.33333333333333331</v>
      </c>
      <c r="H9" s="321">
        <v>0.89749999999999996</v>
      </c>
      <c r="I9" s="321">
        <v>0.76287499999999997</v>
      </c>
      <c r="J9" s="34">
        <v>37203.217567499996</v>
      </c>
      <c r="K9" s="34">
        <v>3051.5</v>
      </c>
    </row>
    <row r="10" spans="1:13" ht="18" customHeight="1" x14ac:dyDescent="0.25">
      <c r="A10"/>
      <c r="C10" s="517"/>
      <c r="D10" t="s">
        <v>1944</v>
      </c>
      <c r="E10" t="s">
        <v>1945</v>
      </c>
      <c r="F10" t="s">
        <v>192</v>
      </c>
      <c r="G10" s="293">
        <v>0.2</v>
      </c>
      <c r="H10" s="321">
        <v>2.125</v>
      </c>
      <c r="I10" s="321">
        <v>1.8062500000000001</v>
      </c>
      <c r="J10" s="34">
        <v>62868.563812499997</v>
      </c>
      <c r="K10" s="34">
        <v>12325</v>
      </c>
    </row>
    <row r="11" spans="1:13" ht="18" customHeight="1" x14ac:dyDescent="0.25">
      <c r="A11"/>
      <c r="C11" s="517"/>
      <c r="D11" t="s">
        <v>2146</v>
      </c>
      <c r="E11" t="s">
        <v>2147</v>
      </c>
      <c r="F11" t="s">
        <v>461</v>
      </c>
      <c r="G11" s="293">
        <v>0.46666666666666667</v>
      </c>
      <c r="H11" s="321">
        <v>2.2749999999999999</v>
      </c>
      <c r="I11" s="321">
        <v>1.9337499999999999</v>
      </c>
      <c r="J11" s="34">
        <v>103794.67507499999</v>
      </c>
      <c r="K11" s="34">
        <v>49595</v>
      </c>
    </row>
    <row r="12" spans="1:13" ht="18" customHeight="1" x14ac:dyDescent="0.25">
      <c r="A12"/>
      <c r="B12" t="s">
        <v>855</v>
      </c>
      <c r="C12"/>
      <c r="H12" s="321">
        <v>22.872499999999999</v>
      </c>
      <c r="I12" s="321">
        <v>19.441624999999998</v>
      </c>
      <c r="J12" s="34">
        <v>960318.86118000001</v>
      </c>
      <c r="K12" s="34">
        <v>145106.5</v>
      </c>
    </row>
    <row r="13" spans="1:13" ht="18" customHeight="1" x14ac:dyDescent="0.25">
      <c r="A13"/>
      <c r="B13">
        <v>1640</v>
      </c>
      <c r="C13" s="517" t="s">
        <v>173</v>
      </c>
      <c r="D13" t="s">
        <v>470</v>
      </c>
      <c r="E13" t="s">
        <v>473</v>
      </c>
      <c r="F13" t="s">
        <v>172</v>
      </c>
      <c r="G13" s="293">
        <v>0.5</v>
      </c>
      <c r="H13" s="321">
        <v>6.5249999999999995</v>
      </c>
      <c r="I13" s="321">
        <v>5.5462499999999997</v>
      </c>
      <c r="J13" s="34">
        <v>291938.04607499996</v>
      </c>
      <c r="K13" s="34">
        <v>37845</v>
      </c>
    </row>
    <row r="14" spans="1:13" x14ac:dyDescent="0.25">
      <c r="A14"/>
      <c r="C14" s="517"/>
      <c r="D14" t="s">
        <v>516</v>
      </c>
      <c r="E14" t="s">
        <v>535</v>
      </c>
      <c r="F14" t="s">
        <v>176</v>
      </c>
      <c r="G14" s="293">
        <v>0.5</v>
      </c>
      <c r="H14" s="321">
        <v>6.75</v>
      </c>
      <c r="I14" s="321">
        <v>5.7374999999999998</v>
      </c>
      <c r="J14" s="34">
        <v>199700.14387499998</v>
      </c>
      <c r="K14" s="34">
        <v>39150</v>
      </c>
    </row>
    <row r="15" spans="1:13" x14ac:dyDescent="0.25">
      <c r="A15"/>
      <c r="C15" s="517"/>
      <c r="D15" t="s">
        <v>521</v>
      </c>
      <c r="E15" t="s">
        <v>536</v>
      </c>
      <c r="F15" t="s">
        <v>176</v>
      </c>
      <c r="G15" s="293">
        <v>0.5</v>
      </c>
      <c r="H15" s="321">
        <v>6.5</v>
      </c>
      <c r="I15" s="321">
        <v>5.5250000000000004</v>
      </c>
      <c r="J15" s="34">
        <v>192303.84225000002</v>
      </c>
      <c r="K15" s="34">
        <v>37700</v>
      </c>
    </row>
    <row r="16" spans="1:13" x14ac:dyDescent="0.25">
      <c r="A16"/>
      <c r="C16" s="517"/>
      <c r="D16" t="s">
        <v>606</v>
      </c>
      <c r="E16" t="s">
        <v>624</v>
      </c>
      <c r="F16" t="s">
        <v>176</v>
      </c>
      <c r="G16" s="293">
        <v>0.5</v>
      </c>
      <c r="H16" s="321">
        <v>3.5</v>
      </c>
      <c r="I16" s="321">
        <v>2.9750000000000001</v>
      </c>
      <c r="J16" s="34">
        <v>103548.22275</v>
      </c>
      <c r="K16" s="34">
        <v>20300</v>
      </c>
    </row>
    <row r="17" spans="1:11" x14ac:dyDescent="0.25">
      <c r="A17"/>
      <c r="C17" s="517"/>
      <c r="D17" t="s">
        <v>1154</v>
      </c>
      <c r="E17" t="s">
        <v>1139</v>
      </c>
      <c r="F17" t="s">
        <v>172</v>
      </c>
      <c r="G17" s="293">
        <v>0.46666666666666667</v>
      </c>
      <c r="H17" s="321">
        <v>18.740750000000002</v>
      </c>
      <c r="I17" s="321">
        <v>15.929637499999997</v>
      </c>
      <c r="J17" s="34">
        <v>838488.57271724998</v>
      </c>
      <c r="K17" s="34">
        <v>108696.35</v>
      </c>
    </row>
    <row r="18" spans="1:11" ht="18" customHeight="1" x14ac:dyDescent="0.25">
      <c r="A18"/>
      <c r="C18" s="517"/>
      <c r="D18" t="s">
        <v>1274</v>
      </c>
      <c r="E18" t="s">
        <v>1283</v>
      </c>
      <c r="F18" t="s">
        <v>176</v>
      </c>
      <c r="G18" s="293">
        <v>0.5</v>
      </c>
      <c r="H18" s="321">
        <v>3</v>
      </c>
      <c r="I18" s="321">
        <v>2.5499999999999998</v>
      </c>
      <c r="J18" s="34">
        <v>88755.619500000001</v>
      </c>
      <c r="K18" s="34">
        <v>17400</v>
      </c>
    </row>
    <row r="19" spans="1:11" ht="18" customHeight="1" x14ac:dyDescent="0.25">
      <c r="A19"/>
      <c r="B19" t="s">
        <v>1366</v>
      </c>
      <c r="C19"/>
      <c r="H19" s="321">
        <v>45.015749999999997</v>
      </c>
      <c r="I19" s="321">
        <v>38.263387499999993</v>
      </c>
      <c r="J19" s="34">
        <v>1714734.4471672499</v>
      </c>
      <c r="K19" s="34">
        <v>261091.35</v>
      </c>
    </row>
    <row r="20" spans="1:11" ht="18" customHeight="1" x14ac:dyDescent="0.25">
      <c r="A20"/>
      <c r="B20">
        <v>1650</v>
      </c>
      <c r="C20" s="517" t="s">
        <v>11</v>
      </c>
      <c r="D20" t="s">
        <v>506</v>
      </c>
      <c r="E20" t="s">
        <v>555</v>
      </c>
      <c r="F20" t="s">
        <v>1130</v>
      </c>
      <c r="G20" s="293">
        <v>0.4</v>
      </c>
      <c r="H20" s="321">
        <v>1.25</v>
      </c>
      <c r="I20" s="321">
        <v>1.0625</v>
      </c>
      <c r="J20" s="34">
        <v>36981.508125</v>
      </c>
      <c r="K20" s="34">
        <v>7250</v>
      </c>
    </row>
    <row r="21" spans="1:11" ht="18" customHeight="1" x14ac:dyDescent="0.25">
      <c r="A21"/>
      <c r="C21" s="517"/>
      <c r="D21" t="s">
        <v>1765</v>
      </c>
      <c r="E21" t="s">
        <v>1766</v>
      </c>
      <c r="F21" t="s">
        <v>461</v>
      </c>
      <c r="G21" s="293">
        <v>0.26666666666666666</v>
      </c>
      <c r="H21" s="321">
        <v>1.6666666666666667</v>
      </c>
      <c r="I21" s="321">
        <v>1.4166666666666667</v>
      </c>
      <c r="J21" s="34">
        <v>74569.10500000001</v>
      </c>
      <c r="K21" s="34">
        <v>9666.6666666666679</v>
      </c>
    </row>
    <row r="22" spans="1:11" ht="18" customHeight="1" x14ac:dyDescent="0.25">
      <c r="A22"/>
      <c r="C22" s="517"/>
      <c r="D22" t="s">
        <v>1889</v>
      </c>
      <c r="E22" t="s">
        <v>1890</v>
      </c>
      <c r="F22" t="s">
        <v>461</v>
      </c>
      <c r="G22" s="293">
        <v>0.16666666666666666</v>
      </c>
      <c r="H22" s="321">
        <v>1.9166666666666665</v>
      </c>
      <c r="I22" s="321">
        <v>1.6291666666666667</v>
      </c>
      <c r="J22" s="34">
        <v>85754.470750000008</v>
      </c>
      <c r="K22" s="34">
        <v>11116.666666666666</v>
      </c>
    </row>
    <row r="23" spans="1:11" x14ac:dyDescent="0.25">
      <c r="A23"/>
      <c r="C23" s="517"/>
      <c r="D23" t="s">
        <v>1891</v>
      </c>
      <c r="E23" t="s">
        <v>1294</v>
      </c>
      <c r="F23" t="s">
        <v>461</v>
      </c>
      <c r="G23" s="293">
        <v>0.33333333333333331</v>
      </c>
      <c r="H23" s="321">
        <v>0.89749999999999996</v>
      </c>
      <c r="I23" s="321">
        <v>0.76287499999999997</v>
      </c>
      <c r="J23" s="34">
        <v>37203.217567499996</v>
      </c>
      <c r="K23" s="34">
        <v>3051.5</v>
      </c>
    </row>
    <row r="24" spans="1:11" x14ac:dyDescent="0.25">
      <c r="A24"/>
      <c r="B24" t="s">
        <v>1367</v>
      </c>
      <c r="C24"/>
      <c r="H24" s="321">
        <v>5.7308333333333339</v>
      </c>
      <c r="I24" s="321">
        <v>4.8712083333333336</v>
      </c>
      <c r="J24" s="34">
        <v>234508.3014425</v>
      </c>
      <c r="K24" s="34">
        <v>31084.833333333336</v>
      </c>
    </row>
    <row r="25" spans="1:11" ht="18" customHeight="1" x14ac:dyDescent="0.25">
      <c r="A25" s="293" t="s">
        <v>782</v>
      </c>
      <c r="B25" s="293"/>
      <c r="C25" s="293"/>
      <c r="D25" s="293"/>
      <c r="E25" s="293"/>
      <c r="F25" s="293"/>
      <c r="G25" s="293"/>
      <c r="H25" s="321">
        <v>73.619083333333336</v>
      </c>
      <c r="I25" s="321">
        <v>62.576220833333331</v>
      </c>
      <c r="J25" s="34">
        <v>2909561.6097897501</v>
      </c>
      <c r="K25" s="34">
        <v>437282.68333333335</v>
      </c>
    </row>
    <row r="26" spans="1:11" ht="18" customHeight="1" x14ac:dyDescent="0.25">
      <c r="A26" t="s">
        <v>74</v>
      </c>
      <c r="B26">
        <v>3306</v>
      </c>
      <c r="C26" s="517" t="s">
        <v>242</v>
      </c>
      <c r="D26" t="s">
        <v>586</v>
      </c>
      <c r="E26" t="s">
        <v>678</v>
      </c>
      <c r="F26" t="s">
        <v>192</v>
      </c>
      <c r="G26" s="293">
        <v>0.25</v>
      </c>
      <c r="H26" s="321">
        <v>3.75</v>
      </c>
      <c r="I26" s="321">
        <v>3.15625</v>
      </c>
      <c r="J26" s="34">
        <v>249656.37843750001</v>
      </c>
      <c r="K26" s="34">
        <v>129375</v>
      </c>
    </row>
    <row r="27" spans="1:11" ht="18" customHeight="1" x14ac:dyDescent="0.25">
      <c r="A27"/>
      <c r="C27" s="517"/>
      <c r="D27" t="s">
        <v>1586</v>
      </c>
      <c r="E27" t="s">
        <v>1607</v>
      </c>
      <c r="F27" t="s">
        <v>192</v>
      </c>
      <c r="G27" s="293">
        <v>0.25</v>
      </c>
      <c r="H27" s="321">
        <v>3.625</v>
      </c>
      <c r="I27" s="321">
        <v>3.0562499999999999</v>
      </c>
      <c r="J27" s="34">
        <v>241487.30493749998</v>
      </c>
      <c r="K27" s="34">
        <v>125062.5</v>
      </c>
    </row>
    <row r="28" spans="1:11" ht="18" customHeight="1" x14ac:dyDescent="0.25">
      <c r="A28"/>
      <c r="B28" t="s">
        <v>1693</v>
      </c>
      <c r="C28"/>
      <c r="H28" s="321">
        <v>7.375</v>
      </c>
      <c r="I28" s="321">
        <v>6.2125000000000004</v>
      </c>
      <c r="J28" s="34">
        <v>491143.68337500002</v>
      </c>
      <c r="K28" s="34">
        <v>254437.5</v>
      </c>
    </row>
    <row r="29" spans="1:11" ht="18" customHeight="1" x14ac:dyDescent="0.25">
      <c r="A29"/>
      <c r="B29">
        <v>3850</v>
      </c>
      <c r="C29" s="517" t="s">
        <v>822</v>
      </c>
      <c r="D29" t="s">
        <v>1822</v>
      </c>
      <c r="E29" t="s">
        <v>1832</v>
      </c>
      <c r="F29" t="s">
        <v>192</v>
      </c>
      <c r="G29" s="293">
        <v>0.16666666666666666</v>
      </c>
      <c r="H29" s="321">
        <v>1.8333333333333333</v>
      </c>
      <c r="I29" s="321">
        <v>1.5458333333333334</v>
      </c>
      <c r="J29" s="34">
        <v>122135.72587499999</v>
      </c>
      <c r="K29" s="34">
        <v>63250</v>
      </c>
    </row>
    <row r="30" spans="1:11" ht="18" customHeight="1" x14ac:dyDescent="0.25">
      <c r="A30"/>
      <c r="B30" t="s">
        <v>2222</v>
      </c>
      <c r="C30"/>
      <c r="H30" s="321">
        <v>1.8333333333333333</v>
      </c>
      <c r="I30" s="321">
        <v>1.5458333333333334</v>
      </c>
      <c r="J30" s="34">
        <v>122135.72587499999</v>
      </c>
      <c r="K30" s="34">
        <v>63250</v>
      </c>
    </row>
    <row r="31" spans="1:11" ht="18" customHeight="1" x14ac:dyDescent="0.25">
      <c r="A31" s="293" t="s">
        <v>1694</v>
      </c>
      <c r="B31" s="293"/>
      <c r="C31" s="293"/>
      <c r="D31" s="293"/>
      <c r="E31" s="293"/>
      <c r="F31" s="293"/>
      <c r="G31" s="293"/>
      <c r="H31" s="321">
        <v>9.2083333333333339</v>
      </c>
      <c r="I31" s="321">
        <v>7.7583333333333337</v>
      </c>
      <c r="J31" s="34">
        <v>613279.40925000003</v>
      </c>
      <c r="K31" s="34">
        <v>317687.5</v>
      </c>
    </row>
    <row r="32" spans="1:11" x14ac:dyDescent="0.25">
      <c r="A32" t="s">
        <v>73</v>
      </c>
      <c r="B32">
        <v>2180</v>
      </c>
      <c r="C32" s="517" t="s">
        <v>192</v>
      </c>
      <c r="D32" t="s">
        <v>512</v>
      </c>
      <c r="E32" t="s">
        <v>558</v>
      </c>
      <c r="F32" t="s">
        <v>198</v>
      </c>
      <c r="G32" s="293">
        <v>0.2</v>
      </c>
      <c r="H32" s="321">
        <v>2.2000000000000002</v>
      </c>
      <c r="I32" s="321">
        <v>1.87</v>
      </c>
      <c r="J32" s="34">
        <v>65087.454300000012</v>
      </c>
      <c r="K32" s="34">
        <v>12760.000000000002</v>
      </c>
    </row>
    <row r="33" spans="1:11" x14ac:dyDescent="0.25">
      <c r="A33"/>
      <c r="C33" s="517"/>
      <c r="D33" t="s">
        <v>513</v>
      </c>
      <c r="E33" t="s">
        <v>559</v>
      </c>
      <c r="F33" t="s">
        <v>198</v>
      </c>
      <c r="G33" s="293">
        <v>0.2</v>
      </c>
      <c r="H33" s="321">
        <v>2.1</v>
      </c>
      <c r="I33" s="321">
        <v>1.7849999999999999</v>
      </c>
      <c r="J33" s="34">
        <v>62128.933649999992</v>
      </c>
      <c r="K33" s="34">
        <v>12180</v>
      </c>
    </row>
    <row r="34" spans="1:11" ht="18" customHeight="1" x14ac:dyDescent="0.25">
      <c r="A34"/>
      <c r="C34" s="517"/>
      <c r="D34" t="s">
        <v>603</v>
      </c>
      <c r="E34" t="s">
        <v>618</v>
      </c>
      <c r="F34" t="s">
        <v>198</v>
      </c>
      <c r="G34" s="293">
        <v>0.05</v>
      </c>
      <c r="H34" s="321">
        <v>0.32500000000000001</v>
      </c>
      <c r="I34" s="321">
        <v>0.27625000000000005</v>
      </c>
      <c r="J34" s="34">
        <v>9615.1921125000026</v>
      </c>
      <c r="K34" s="34">
        <v>1885</v>
      </c>
    </row>
    <row r="35" spans="1:11" x14ac:dyDescent="0.25">
      <c r="A35"/>
      <c r="C35" s="517"/>
      <c r="D35" t="s">
        <v>873</v>
      </c>
      <c r="E35" t="s">
        <v>1181</v>
      </c>
      <c r="F35" t="s">
        <v>172</v>
      </c>
      <c r="G35" s="293">
        <v>0.5</v>
      </c>
      <c r="H35" s="321">
        <v>3.5</v>
      </c>
      <c r="I35" s="321">
        <v>2.9749999999999996</v>
      </c>
      <c r="J35" s="34">
        <v>103548.22274999999</v>
      </c>
      <c r="K35" s="34">
        <v>20300</v>
      </c>
    </row>
    <row r="36" spans="1:11" x14ac:dyDescent="0.25">
      <c r="A36"/>
      <c r="C36" s="517"/>
      <c r="D36" t="s">
        <v>944</v>
      </c>
      <c r="E36" t="s">
        <v>753</v>
      </c>
      <c r="F36" t="s">
        <v>1130</v>
      </c>
      <c r="G36" s="293">
        <v>0.3</v>
      </c>
      <c r="H36" s="321">
        <v>1.5179999999999998</v>
      </c>
      <c r="I36" s="321">
        <v>1.2902999999999998</v>
      </c>
      <c r="J36" s="34">
        <v>44910.343466999992</v>
      </c>
      <c r="K36" s="34">
        <v>8804.4</v>
      </c>
    </row>
    <row r="37" spans="1:11" ht="18" customHeight="1" x14ac:dyDescent="0.25">
      <c r="A37"/>
      <c r="C37" s="517"/>
      <c r="D37" t="s">
        <v>921</v>
      </c>
      <c r="E37" t="s">
        <v>1258</v>
      </c>
      <c r="F37" t="s">
        <v>1130</v>
      </c>
      <c r="G37" s="293">
        <v>0.4</v>
      </c>
      <c r="H37" s="321">
        <v>0.76666666666666661</v>
      </c>
      <c r="I37" s="321">
        <v>0.65166666666666662</v>
      </c>
      <c r="J37" s="34">
        <v>34301.7883</v>
      </c>
      <c r="K37" s="34">
        <v>4446.6666666666661</v>
      </c>
    </row>
    <row r="38" spans="1:11" ht="18" customHeight="1" x14ac:dyDescent="0.25">
      <c r="A38"/>
      <c r="C38" s="517"/>
      <c r="D38" t="s">
        <v>1152</v>
      </c>
      <c r="E38" t="s">
        <v>1138</v>
      </c>
      <c r="F38" t="s">
        <v>172</v>
      </c>
      <c r="G38" s="293">
        <v>0.13333333333333333</v>
      </c>
      <c r="H38" s="321">
        <v>5.3953333333333333</v>
      </c>
      <c r="I38" s="321">
        <v>4.5860333333333321</v>
      </c>
      <c r="J38" s="34">
        <v>241395.10670599996</v>
      </c>
      <c r="K38" s="34">
        <v>31292.933333333334</v>
      </c>
    </row>
    <row r="39" spans="1:11" x14ac:dyDescent="0.25">
      <c r="A39"/>
      <c r="C39" s="517"/>
      <c r="D39" t="s">
        <v>920</v>
      </c>
      <c r="E39" t="s">
        <v>1257</v>
      </c>
      <c r="F39" t="s">
        <v>1130</v>
      </c>
      <c r="G39" s="293">
        <v>0.4</v>
      </c>
      <c r="H39" s="321">
        <v>1.7333333333333336</v>
      </c>
      <c r="I39" s="321">
        <v>1.4733333333333334</v>
      </c>
      <c r="J39" s="34">
        <v>77551.869200000001</v>
      </c>
      <c r="K39" s="34">
        <v>10053.333333333336</v>
      </c>
    </row>
    <row r="40" spans="1:11" x14ac:dyDescent="0.25">
      <c r="A40"/>
      <c r="C40" s="517"/>
      <c r="D40" t="s">
        <v>1443</v>
      </c>
      <c r="E40" t="s">
        <v>1423</v>
      </c>
      <c r="F40" t="s">
        <v>1130</v>
      </c>
      <c r="G40" s="293">
        <v>0.2</v>
      </c>
      <c r="H40" s="321">
        <v>3.3000000000000003</v>
      </c>
      <c r="I40" s="321">
        <v>2.8050000000000002</v>
      </c>
      <c r="J40" s="34">
        <v>97631.181450000018</v>
      </c>
      <c r="K40" s="34">
        <v>19140</v>
      </c>
    </row>
    <row r="41" spans="1:11" x14ac:dyDescent="0.25">
      <c r="A41"/>
      <c r="C41" s="517"/>
      <c r="D41" t="s">
        <v>1568</v>
      </c>
      <c r="E41" t="s">
        <v>1606</v>
      </c>
      <c r="F41" t="s">
        <v>11</v>
      </c>
      <c r="G41" s="293">
        <v>0.2</v>
      </c>
      <c r="H41" s="321">
        <v>2.0750000000000002</v>
      </c>
      <c r="I41" s="321">
        <v>1.7637499999999999</v>
      </c>
      <c r="J41" s="34">
        <v>74745.199724999999</v>
      </c>
      <c r="K41" s="34">
        <v>35897.5</v>
      </c>
    </row>
    <row r="42" spans="1:11" x14ac:dyDescent="0.25">
      <c r="A42"/>
      <c r="C42" s="517"/>
      <c r="D42" t="s">
        <v>1538</v>
      </c>
      <c r="E42" t="s">
        <v>1553</v>
      </c>
      <c r="F42" t="s">
        <v>461</v>
      </c>
      <c r="G42" s="293">
        <v>0.26666666666666666</v>
      </c>
      <c r="H42" s="321">
        <v>1.9</v>
      </c>
      <c r="I42" s="321">
        <v>1.6149999999999998</v>
      </c>
      <c r="J42" s="34">
        <v>85008.779699999999</v>
      </c>
      <c r="K42" s="34">
        <v>11020</v>
      </c>
    </row>
    <row r="43" spans="1:11" x14ac:dyDescent="0.25">
      <c r="A43"/>
      <c r="C43" s="517"/>
      <c r="D43" t="s">
        <v>1624</v>
      </c>
      <c r="E43" t="s">
        <v>1625</v>
      </c>
      <c r="F43" t="s">
        <v>1130</v>
      </c>
      <c r="G43" s="293">
        <v>0.26666666666666666</v>
      </c>
      <c r="H43" s="321">
        <v>1.8666666666666667</v>
      </c>
      <c r="I43" s="321">
        <v>1.5866666666666667</v>
      </c>
      <c r="J43" s="34">
        <v>83517.397599999997</v>
      </c>
      <c r="K43" s="34">
        <v>10826.666666666666</v>
      </c>
    </row>
    <row r="44" spans="1:11" x14ac:dyDescent="0.25">
      <c r="A44"/>
      <c r="C44" s="517"/>
      <c r="D44" t="s">
        <v>1570</v>
      </c>
      <c r="E44" t="s">
        <v>1615</v>
      </c>
      <c r="F44" t="s">
        <v>1130</v>
      </c>
      <c r="G44" s="293">
        <v>0.125</v>
      </c>
      <c r="H44" s="321">
        <v>1.2999999999999998</v>
      </c>
      <c r="I44" s="321">
        <v>1.1049999999999998</v>
      </c>
      <c r="J44" s="34">
        <v>58163.90189999999</v>
      </c>
      <c r="K44" s="34">
        <v>7539.9999999999991</v>
      </c>
    </row>
    <row r="45" spans="1:11" x14ac:dyDescent="0.25">
      <c r="A45"/>
      <c r="C45" s="517"/>
      <c r="D45" t="s">
        <v>1567</v>
      </c>
      <c r="E45" t="s">
        <v>1614</v>
      </c>
      <c r="F45" t="s">
        <v>1130</v>
      </c>
      <c r="G45" s="293">
        <v>0.41666666666666669</v>
      </c>
      <c r="H45" s="321">
        <v>3.2500000000000004</v>
      </c>
      <c r="I45" s="321">
        <v>2.7625000000000002</v>
      </c>
      <c r="J45" s="34">
        <v>145409.75475000002</v>
      </c>
      <c r="K45" s="34">
        <v>18850.000000000004</v>
      </c>
    </row>
    <row r="46" spans="1:11" x14ac:dyDescent="0.25">
      <c r="A46"/>
      <c r="C46" s="517"/>
      <c r="D46" t="s">
        <v>1578</v>
      </c>
      <c r="E46" t="s">
        <v>1618</v>
      </c>
      <c r="F46" t="s">
        <v>461</v>
      </c>
      <c r="G46" s="293">
        <v>0.22727272727272727</v>
      </c>
      <c r="H46" s="321">
        <v>3.3749999999999996</v>
      </c>
      <c r="I46" s="321">
        <v>2.8687499999999995</v>
      </c>
      <c r="J46" s="34">
        <v>151002.43762499996</v>
      </c>
      <c r="K46" s="34">
        <v>19574.999999999996</v>
      </c>
    </row>
    <row r="47" spans="1:11" x14ac:dyDescent="0.25">
      <c r="A47"/>
      <c r="C47" s="517"/>
      <c r="D47" t="s">
        <v>1620</v>
      </c>
      <c r="E47" t="s">
        <v>1196</v>
      </c>
      <c r="F47" t="s">
        <v>1130</v>
      </c>
      <c r="G47" s="293">
        <v>0.6</v>
      </c>
      <c r="H47" s="321">
        <v>4.4212499999999997</v>
      </c>
      <c r="I47" s="321">
        <v>3.7580624999999999</v>
      </c>
      <c r="J47" s="34">
        <v>130803.59423812499</v>
      </c>
      <c r="K47" s="34">
        <v>25643.249999999996</v>
      </c>
    </row>
    <row r="48" spans="1:11" x14ac:dyDescent="0.25">
      <c r="A48"/>
      <c r="C48" s="517"/>
      <c r="D48" t="s">
        <v>1706</v>
      </c>
      <c r="E48" t="s">
        <v>1707</v>
      </c>
      <c r="F48" t="s">
        <v>461</v>
      </c>
      <c r="G48" s="293">
        <v>0.22727272727272727</v>
      </c>
      <c r="H48" s="321">
        <v>4.25</v>
      </c>
      <c r="I48" s="321">
        <v>3.6125000000000003</v>
      </c>
      <c r="J48" s="34">
        <v>190151.21774999998</v>
      </c>
      <c r="K48" s="34">
        <v>24650</v>
      </c>
    </row>
    <row r="49" spans="1:11" x14ac:dyDescent="0.25">
      <c r="A49"/>
      <c r="C49" s="517"/>
      <c r="D49" t="s">
        <v>1572</v>
      </c>
      <c r="E49" t="s">
        <v>1429</v>
      </c>
      <c r="F49" t="s">
        <v>1130</v>
      </c>
      <c r="G49" s="293">
        <v>0.2</v>
      </c>
      <c r="H49" s="321">
        <v>1.3</v>
      </c>
      <c r="I49" s="321">
        <v>1.1050000000000002</v>
      </c>
      <c r="J49" s="34">
        <v>38460.76845000001</v>
      </c>
      <c r="K49" s="34">
        <v>7540</v>
      </c>
    </row>
    <row r="50" spans="1:11" x14ac:dyDescent="0.25">
      <c r="A50"/>
      <c r="C50" s="517"/>
      <c r="D50" t="s">
        <v>1765</v>
      </c>
      <c r="E50" t="s">
        <v>1766</v>
      </c>
      <c r="F50" t="s">
        <v>461</v>
      </c>
      <c r="G50" s="293">
        <v>0.2</v>
      </c>
      <c r="H50" s="321">
        <v>1.25</v>
      </c>
      <c r="I50" s="321">
        <v>1.0625</v>
      </c>
      <c r="J50" s="34">
        <v>55926.828750000001</v>
      </c>
      <c r="K50" s="34">
        <v>7250</v>
      </c>
    </row>
    <row r="51" spans="1:11" x14ac:dyDescent="0.25">
      <c r="A51"/>
      <c r="C51" s="517"/>
      <c r="D51" t="s">
        <v>1753</v>
      </c>
      <c r="E51" t="s">
        <v>1761</v>
      </c>
      <c r="F51" t="s">
        <v>461</v>
      </c>
      <c r="G51" s="293">
        <v>0.13333333333333333</v>
      </c>
      <c r="H51" s="321">
        <v>2</v>
      </c>
      <c r="I51" s="321">
        <v>1.6999999999999997</v>
      </c>
      <c r="J51" s="34">
        <v>82904.105999999985</v>
      </c>
      <c r="K51" s="34">
        <v>6800</v>
      </c>
    </row>
    <row r="52" spans="1:11" x14ac:dyDescent="0.25">
      <c r="A52"/>
      <c r="C52" s="517"/>
      <c r="D52" t="s">
        <v>1865</v>
      </c>
      <c r="E52" t="s">
        <v>1427</v>
      </c>
      <c r="F52" t="s">
        <v>1130</v>
      </c>
      <c r="G52" s="293">
        <v>0.3</v>
      </c>
      <c r="H52" s="321">
        <v>6.45</v>
      </c>
      <c r="I52" s="321">
        <v>5.482499999999999</v>
      </c>
      <c r="J52" s="34">
        <v>190824.58192499998</v>
      </c>
      <c r="K52" s="34">
        <v>37410</v>
      </c>
    </row>
    <row r="53" spans="1:11" x14ac:dyDescent="0.25">
      <c r="A53"/>
      <c r="C53" s="517"/>
      <c r="D53" t="s">
        <v>1866</v>
      </c>
      <c r="E53" t="s">
        <v>1495</v>
      </c>
      <c r="F53" t="s">
        <v>1130</v>
      </c>
      <c r="G53" s="293">
        <v>0.46666666666666667</v>
      </c>
      <c r="H53" s="321">
        <v>5.0750000000000002</v>
      </c>
      <c r="I53" s="321">
        <v>4.3137499999999998</v>
      </c>
      <c r="J53" s="34">
        <v>227062.92472499999</v>
      </c>
      <c r="K53" s="34">
        <v>29435</v>
      </c>
    </row>
    <row r="54" spans="1:11" x14ac:dyDescent="0.25">
      <c r="A54"/>
      <c r="C54" s="517"/>
      <c r="D54" t="s">
        <v>1867</v>
      </c>
      <c r="E54" t="s">
        <v>1878</v>
      </c>
      <c r="F54" t="s">
        <v>1130</v>
      </c>
      <c r="G54" s="293">
        <v>0.46666666666666667</v>
      </c>
      <c r="H54" s="321">
        <v>1.2833333333333334</v>
      </c>
      <c r="I54" s="321">
        <v>1.0908333333333333</v>
      </c>
      <c r="J54" s="34">
        <v>57418.210850000003</v>
      </c>
      <c r="K54" s="34">
        <v>7443.3333333333339</v>
      </c>
    </row>
    <row r="55" spans="1:11" x14ac:dyDescent="0.25">
      <c r="A55"/>
      <c r="C55" s="517"/>
      <c r="D55" t="s">
        <v>1946</v>
      </c>
      <c r="E55" t="s">
        <v>1949</v>
      </c>
      <c r="F55" t="s">
        <v>1130</v>
      </c>
      <c r="G55" s="293">
        <v>0.33333333333333331</v>
      </c>
      <c r="H55" s="321">
        <v>6.8583333333333325</v>
      </c>
      <c r="I55" s="321">
        <v>5.8295833333333329</v>
      </c>
      <c r="J55" s="34">
        <v>399714.27582249994</v>
      </c>
      <c r="K55" s="34">
        <v>39778.333333333328</v>
      </c>
    </row>
    <row r="56" spans="1:11" x14ac:dyDescent="0.25">
      <c r="A56"/>
      <c r="B56" t="s">
        <v>789</v>
      </c>
      <c r="C56"/>
      <c r="H56" s="321">
        <v>67.492916666666659</v>
      </c>
      <c r="I56" s="321">
        <v>57.368979166666655</v>
      </c>
      <c r="J56" s="34">
        <v>2707284.0717461249</v>
      </c>
      <c r="K56" s="34">
        <v>410521.41666666663</v>
      </c>
    </row>
    <row r="57" spans="1:11" x14ac:dyDescent="0.25">
      <c r="A57"/>
      <c r="B57">
        <v>2193</v>
      </c>
      <c r="C57" s="517" t="s">
        <v>1130</v>
      </c>
      <c r="D57" t="s">
        <v>835</v>
      </c>
      <c r="E57" t="s">
        <v>1202</v>
      </c>
      <c r="F57" t="s">
        <v>192</v>
      </c>
      <c r="G57" s="293">
        <v>0.4</v>
      </c>
      <c r="H57" s="321">
        <v>4.5</v>
      </c>
      <c r="I57" s="321">
        <v>3.8250000000000002</v>
      </c>
      <c r="J57" s="34">
        <v>201336.58350000001</v>
      </c>
      <c r="K57" s="34">
        <v>26100</v>
      </c>
    </row>
    <row r="58" spans="1:11" x14ac:dyDescent="0.25">
      <c r="A58"/>
      <c r="C58" s="517"/>
      <c r="D58" t="s">
        <v>600</v>
      </c>
      <c r="E58" t="s">
        <v>726</v>
      </c>
      <c r="F58" t="s">
        <v>192</v>
      </c>
      <c r="G58" s="293">
        <v>0.4</v>
      </c>
      <c r="H58" s="321">
        <v>4.4000000000000004</v>
      </c>
      <c r="I58" s="321">
        <v>3.7399999999999993</v>
      </c>
      <c r="J58" s="34">
        <v>196862.43719999999</v>
      </c>
      <c r="K58" s="34">
        <v>25520.000000000004</v>
      </c>
    </row>
    <row r="59" spans="1:11" x14ac:dyDescent="0.25">
      <c r="A59"/>
      <c r="C59" s="517"/>
      <c r="D59" t="s">
        <v>1568</v>
      </c>
      <c r="E59" t="s">
        <v>1606</v>
      </c>
      <c r="F59" t="s">
        <v>11</v>
      </c>
      <c r="G59" s="293">
        <v>0.2</v>
      </c>
      <c r="H59" s="321">
        <v>2.0750000000000002</v>
      </c>
      <c r="I59" s="321">
        <v>1.7637499999999999</v>
      </c>
      <c r="J59" s="34">
        <v>74745.199724999999</v>
      </c>
      <c r="K59" s="34">
        <v>35897.5</v>
      </c>
    </row>
    <row r="60" spans="1:11" x14ac:dyDescent="0.25">
      <c r="A60"/>
      <c r="C60" s="517"/>
      <c r="D60" t="s">
        <v>1565</v>
      </c>
      <c r="E60" t="s">
        <v>1599</v>
      </c>
      <c r="F60" t="s">
        <v>176</v>
      </c>
      <c r="G60" s="293">
        <v>0.2</v>
      </c>
      <c r="H60" s="321">
        <v>4.3500000000000005</v>
      </c>
      <c r="I60" s="321">
        <v>3.6975000000000002</v>
      </c>
      <c r="J60" s="34">
        <v>128695.64827500001</v>
      </c>
      <c r="K60" s="34">
        <v>25230.000000000004</v>
      </c>
    </row>
    <row r="61" spans="1:11" x14ac:dyDescent="0.25">
      <c r="A61"/>
      <c r="C61" s="517"/>
      <c r="D61" t="s">
        <v>1566</v>
      </c>
      <c r="E61" t="s">
        <v>1425</v>
      </c>
      <c r="F61" t="s">
        <v>461</v>
      </c>
      <c r="G61" s="293">
        <v>0.26666666666666666</v>
      </c>
      <c r="H61" s="321">
        <v>2.8333333333333335</v>
      </c>
      <c r="I61" s="321">
        <v>2.4083333333333332</v>
      </c>
      <c r="J61" s="34">
        <v>129268.09350000002</v>
      </c>
      <c r="K61" s="34">
        <v>61766.666666666672</v>
      </c>
    </row>
    <row r="62" spans="1:11" x14ac:dyDescent="0.25">
      <c r="A62"/>
      <c r="C62" s="517"/>
      <c r="D62" t="s">
        <v>1538</v>
      </c>
      <c r="E62" t="s">
        <v>1553</v>
      </c>
      <c r="F62" t="s">
        <v>461</v>
      </c>
      <c r="G62" s="293">
        <v>0.26666666666666666</v>
      </c>
      <c r="H62" s="321">
        <v>1.9</v>
      </c>
      <c r="I62" s="321">
        <v>1.6149999999999998</v>
      </c>
      <c r="J62" s="34">
        <v>85008.779699999999</v>
      </c>
      <c r="K62" s="34">
        <v>11020</v>
      </c>
    </row>
    <row r="63" spans="1:11" x14ac:dyDescent="0.25">
      <c r="A63"/>
      <c r="C63" s="517"/>
      <c r="D63" t="s">
        <v>1559</v>
      </c>
      <c r="E63" t="s">
        <v>1560</v>
      </c>
      <c r="F63" t="s">
        <v>192</v>
      </c>
      <c r="G63" s="293">
        <v>0.4</v>
      </c>
      <c r="H63" s="321">
        <v>2.833333333333333</v>
      </c>
      <c r="I63" s="321">
        <v>2.4033333333333333</v>
      </c>
      <c r="J63" s="34">
        <v>126633.62359999998</v>
      </c>
      <c r="K63" s="34">
        <v>16433.333333333332</v>
      </c>
    </row>
    <row r="64" spans="1:11" x14ac:dyDescent="0.25">
      <c r="A64"/>
      <c r="C64" s="517"/>
      <c r="D64" t="s">
        <v>1576</v>
      </c>
      <c r="E64" t="s">
        <v>1616</v>
      </c>
      <c r="F64" t="s">
        <v>192</v>
      </c>
      <c r="G64" s="293">
        <v>0.375</v>
      </c>
      <c r="H64" s="321">
        <v>0.75</v>
      </c>
      <c r="I64" s="321">
        <v>0.63749999999999996</v>
      </c>
      <c r="J64" s="34">
        <v>33556.097249999999</v>
      </c>
      <c r="K64" s="34">
        <v>4350</v>
      </c>
    </row>
    <row r="65" spans="1:11" x14ac:dyDescent="0.25">
      <c r="A65"/>
      <c r="C65" s="517"/>
      <c r="D65" t="s">
        <v>1626</v>
      </c>
      <c r="E65" t="s">
        <v>1627</v>
      </c>
      <c r="F65" t="s">
        <v>192</v>
      </c>
      <c r="G65" s="293">
        <v>0.26666666666666666</v>
      </c>
      <c r="H65" s="321">
        <v>1.8666666666666667</v>
      </c>
      <c r="I65" s="321">
        <v>1.5866666666666667</v>
      </c>
      <c r="J65" s="34">
        <v>83517.397599999997</v>
      </c>
      <c r="K65" s="34">
        <v>10826.666666666666</v>
      </c>
    </row>
    <row r="66" spans="1:11" x14ac:dyDescent="0.25">
      <c r="A66"/>
      <c r="C66" s="517"/>
      <c r="D66" t="s">
        <v>1578</v>
      </c>
      <c r="E66" t="s">
        <v>1618</v>
      </c>
      <c r="F66" t="s">
        <v>461</v>
      </c>
      <c r="G66" s="293">
        <v>0.22727272727272727</v>
      </c>
      <c r="H66" s="321">
        <v>3.3749999999999996</v>
      </c>
      <c r="I66" s="321">
        <v>2.8687499999999995</v>
      </c>
      <c r="J66" s="34">
        <v>151002.43762499996</v>
      </c>
      <c r="K66" s="34">
        <v>19574.999999999996</v>
      </c>
    </row>
    <row r="67" spans="1:11" x14ac:dyDescent="0.25">
      <c r="A67"/>
      <c r="C67" s="517"/>
      <c r="D67" t="s">
        <v>1569</v>
      </c>
      <c r="E67" t="s">
        <v>1619</v>
      </c>
      <c r="F67" t="s">
        <v>461</v>
      </c>
      <c r="G67" s="293">
        <v>0.3</v>
      </c>
      <c r="H67" s="321">
        <v>3.37</v>
      </c>
      <c r="I67" s="321">
        <v>2.8644999999999996</v>
      </c>
      <c r="J67" s="34">
        <v>150778.73030999998</v>
      </c>
      <c r="K67" s="34">
        <v>19546</v>
      </c>
    </row>
    <row r="68" spans="1:11" x14ac:dyDescent="0.25">
      <c r="A68"/>
      <c r="C68" s="517"/>
      <c r="D68" t="s">
        <v>1657</v>
      </c>
      <c r="E68" t="s">
        <v>1678</v>
      </c>
      <c r="F68" t="s">
        <v>192</v>
      </c>
      <c r="G68" s="293">
        <v>0.4</v>
      </c>
      <c r="H68" s="321">
        <v>3.6333333333333346</v>
      </c>
      <c r="I68" s="321">
        <v>3.0800000000000005</v>
      </c>
      <c r="J68" s="34">
        <v>162337.55740000002</v>
      </c>
      <c r="K68" s="34">
        <v>21073.333333333339</v>
      </c>
    </row>
    <row r="69" spans="1:11" x14ac:dyDescent="0.25">
      <c r="A69"/>
      <c r="C69" s="517"/>
      <c r="D69" t="s">
        <v>1706</v>
      </c>
      <c r="E69" t="s">
        <v>1707</v>
      </c>
      <c r="F69" t="s">
        <v>461</v>
      </c>
      <c r="G69" s="293">
        <v>0.22727272727272727</v>
      </c>
      <c r="H69" s="321">
        <v>4.25</v>
      </c>
      <c r="I69" s="321">
        <v>3.6125000000000003</v>
      </c>
      <c r="J69" s="34">
        <v>190151.21774999998</v>
      </c>
      <c r="K69" s="34">
        <v>24650</v>
      </c>
    </row>
    <row r="70" spans="1:11" x14ac:dyDescent="0.25">
      <c r="A70"/>
      <c r="C70" s="517"/>
      <c r="D70" t="s">
        <v>1681</v>
      </c>
      <c r="E70" t="s">
        <v>1682</v>
      </c>
      <c r="F70" t="s">
        <v>176</v>
      </c>
      <c r="G70" s="293">
        <v>0.33333333333333331</v>
      </c>
      <c r="H70" s="321">
        <v>1.0416666666666665</v>
      </c>
      <c r="I70" s="321">
        <v>0.88541666666666663</v>
      </c>
      <c r="J70" s="34">
        <v>30817.923437499994</v>
      </c>
      <c r="K70" s="34">
        <v>6041.6666666666661</v>
      </c>
    </row>
    <row r="71" spans="1:11" x14ac:dyDescent="0.25">
      <c r="A71"/>
      <c r="C71" s="517"/>
      <c r="D71" t="s">
        <v>1765</v>
      </c>
      <c r="E71" t="s">
        <v>1766</v>
      </c>
      <c r="F71" t="s">
        <v>461</v>
      </c>
      <c r="G71" s="293">
        <v>0.2</v>
      </c>
      <c r="H71" s="321">
        <v>1.25</v>
      </c>
      <c r="I71" s="321">
        <v>1.0625</v>
      </c>
      <c r="J71" s="34">
        <v>55926.828750000001</v>
      </c>
      <c r="K71" s="34">
        <v>7250</v>
      </c>
    </row>
    <row r="72" spans="1:11" x14ac:dyDescent="0.25">
      <c r="A72"/>
      <c r="C72" s="517"/>
      <c r="D72" t="s">
        <v>1481</v>
      </c>
      <c r="E72" t="s">
        <v>1480</v>
      </c>
      <c r="F72" t="s">
        <v>192</v>
      </c>
      <c r="G72" s="293">
        <v>0.5</v>
      </c>
      <c r="H72" s="321">
        <v>4.875</v>
      </c>
      <c r="I72" s="321">
        <v>4.1437499999999998</v>
      </c>
      <c r="J72" s="34">
        <v>202078.75837499998</v>
      </c>
      <c r="K72" s="34">
        <v>16575</v>
      </c>
    </row>
    <row r="73" spans="1:11" x14ac:dyDescent="0.25">
      <c r="A73"/>
      <c r="C73" s="517"/>
      <c r="D73" t="s">
        <v>1947</v>
      </c>
      <c r="E73" t="s">
        <v>1948</v>
      </c>
      <c r="F73" t="s">
        <v>192</v>
      </c>
      <c r="G73" s="293">
        <v>0.26666666666666666</v>
      </c>
      <c r="H73" s="321">
        <v>3.0533333333333332</v>
      </c>
      <c r="I73" s="321">
        <v>2.5786666666666669</v>
      </c>
      <c r="J73" s="34">
        <v>90089.015680000011</v>
      </c>
      <c r="K73" s="34">
        <v>17709.333333333332</v>
      </c>
    </row>
    <row r="74" spans="1:11" x14ac:dyDescent="0.25">
      <c r="A74"/>
      <c r="C74" s="517"/>
      <c r="D74" t="s">
        <v>1864</v>
      </c>
      <c r="E74" t="s">
        <v>1877</v>
      </c>
      <c r="F74" t="s">
        <v>461</v>
      </c>
      <c r="G74" s="293">
        <v>0.2</v>
      </c>
      <c r="H74" s="321">
        <v>2.75</v>
      </c>
      <c r="I74" s="321">
        <v>2.3374999999999999</v>
      </c>
      <c r="J74" s="34">
        <v>125466.09074999999</v>
      </c>
      <c r="K74" s="34">
        <v>59950</v>
      </c>
    </row>
    <row r="75" spans="1:11" x14ac:dyDescent="0.25">
      <c r="A75"/>
      <c r="B75" t="s">
        <v>857</v>
      </c>
      <c r="C75"/>
      <c r="H75" s="321">
        <v>53.106666666666662</v>
      </c>
      <c r="I75" s="321">
        <v>45.110666666666653</v>
      </c>
      <c r="J75" s="34">
        <v>2218272.4204274998</v>
      </c>
      <c r="K75" s="34">
        <v>409514.5</v>
      </c>
    </row>
    <row r="76" spans="1:11" x14ac:dyDescent="0.25">
      <c r="A76"/>
      <c r="B76">
        <v>2200</v>
      </c>
      <c r="C76" s="517" t="s">
        <v>194</v>
      </c>
      <c r="D76" t="s">
        <v>471</v>
      </c>
      <c r="E76" t="s">
        <v>474</v>
      </c>
      <c r="F76" t="s">
        <v>172</v>
      </c>
      <c r="G76" s="293">
        <v>0.2</v>
      </c>
      <c r="H76" s="321">
        <v>3.2333333333333329</v>
      </c>
      <c r="I76" s="321">
        <v>2.7483333333333331</v>
      </c>
      <c r="J76" s="34">
        <v>144664.0637</v>
      </c>
      <c r="K76" s="34">
        <v>18753.333333333332</v>
      </c>
    </row>
    <row r="77" spans="1:11" x14ac:dyDescent="0.25">
      <c r="A77"/>
      <c r="C77" s="517"/>
      <c r="D77" t="s">
        <v>1285</v>
      </c>
      <c r="E77" t="s">
        <v>1291</v>
      </c>
      <c r="F77" t="s">
        <v>192</v>
      </c>
      <c r="G77" s="293">
        <v>0.4</v>
      </c>
      <c r="H77" s="321">
        <v>16.372499999999999</v>
      </c>
      <c r="I77" s="321">
        <v>13.916624999999996</v>
      </c>
      <c r="J77" s="34">
        <v>732529.60296749987</v>
      </c>
      <c r="K77" s="34">
        <v>94960.499999999985</v>
      </c>
    </row>
    <row r="78" spans="1:11" x14ac:dyDescent="0.25">
      <c r="A78"/>
      <c r="C78" s="517"/>
      <c r="D78" t="s">
        <v>1570</v>
      </c>
      <c r="E78" t="s">
        <v>1615</v>
      </c>
      <c r="F78" t="s">
        <v>1130</v>
      </c>
      <c r="G78" s="293">
        <v>0.25</v>
      </c>
      <c r="H78" s="321">
        <v>2.5999999999999996</v>
      </c>
      <c r="I78" s="321">
        <v>2.2099999999999995</v>
      </c>
      <c r="J78" s="34">
        <v>116327.80379999998</v>
      </c>
      <c r="K78" s="34">
        <v>15079.999999999998</v>
      </c>
    </row>
    <row r="79" spans="1:11" x14ac:dyDescent="0.25">
      <c r="A79"/>
      <c r="C79" s="517"/>
      <c r="D79" t="s">
        <v>1567</v>
      </c>
      <c r="E79" t="s">
        <v>1614</v>
      </c>
      <c r="F79" t="s">
        <v>1130</v>
      </c>
      <c r="G79" s="293">
        <v>8.3333333333333329E-2</v>
      </c>
      <c r="H79" s="321">
        <v>0.65</v>
      </c>
      <c r="I79" s="321">
        <v>0.55249999999999999</v>
      </c>
      <c r="J79" s="34">
        <v>29081.950950000002</v>
      </c>
      <c r="K79" s="34">
        <v>3770</v>
      </c>
    </row>
    <row r="80" spans="1:11" x14ac:dyDescent="0.25">
      <c r="A80"/>
      <c r="C80" s="517"/>
      <c r="D80" t="s">
        <v>1559</v>
      </c>
      <c r="E80" t="s">
        <v>1560</v>
      </c>
      <c r="F80" t="s">
        <v>192</v>
      </c>
      <c r="G80" s="293">
        <v>0.1</v>
      </c>
      <c r="H80" s="321">
        <v>0.70833333333333326</v>
      </c>
      <c r="I80" s="321">
        <v>0.60083333333333333</v>
      </c>
      <c r="J80" s="34">
        <v>31658.405899999994</v>
      </c>
      <c r="K80" s="34">
        <v>4108.333333333333</v>
      </c>
    </row>
    <row r="81" spans="1:11" x14ac:dyDescent="0.25">
      <c r="A81"/>
      <c r="C81" s="517"/>
      <c r="D81" t="s">
        <v>1576</v>
      </c>
      <c r="E81" t="s">
        <v>1616</v>
      </c>
      <c r="F81" t="s">
        <v>192</v>
      </c>
      <c r="G81" s="293">
        <v>0.25</v>
      </c>
      <c r="H81" s="321">
        <v>0.5</v>
      </c>
      <c r="I81" s="321">
        <v>0.42499999999999999</v>
      </c>
      <c r="J81" s="34">
        <v>22370.731499999998</v>
      </c>
      <c r="K81" s="34">
        <v>2900</v>
      </c>
    </row>
    <row r="82" spans="1:11" x14ac:dyDescent="0.25">
      <c r="A82"/>
      <c r="C82" s="517"/>
      <c r="D82" t="s">
        <v>1577</v>
      </c>
      <c r="E82" t="s">
        <v>1617</v>
      </c>
      <c r="F82" t="s">
        <v>192</v>
      </c>
      <c r="G82" s="293">
        <v>0.25</v>
      </c>
      <c r="H82" s="321">
        <v>2.3666666666666671</v>
      </c>
      <c r="I82" s="321">
        <v>2.0116666666666667</v>
      </c>
      <c r="J82" s="34">
        <v>105888.12910000001</v>
      </c>
      <c r="K82" s="34">
        <v>13726.66666666667</v>
      </c>
    </row>
    <row r="83" spans="1:11" x14ac:dyDescent="0.25">
      <c r="A83"/>
      <c r="C83" s="517"/>
      <c r="D83" t="s">
        <v>1657</v>
      </c>
      <c r="E83" t="s">
        <v>1678</v>
      </c>
      <c r="F83" t="s">
        <v>192</v>
      </c>
      <c r="G83" s="293">
        <v>0.1</v>
      </c>
      <c r="H83" s="321">
        <v>0.90833333333333366</v>
      </c>
      <c r="I83" s="321">
        <v>0.77000000000000013</v>
      </c>
      <c r="J83" s="34">
        <v>40584.389350000005</v>
      </c>
      <c r="K83" s="34">
        <v>5268.3333333333348</v>
      </c>
    </row>
    <row r="84" spans="1:11" x14ac:dyDescent="0.25">
      <c r="A84"/>
      <c r="C84" s="517"/>
      <c r="D84" t="s">
        <v>1689</v>
      </c>
      <c r="E84" t="s">
        <v>1690</v>
      </c>
      <c r="F84" t="s">
        <v>192</v>
      </c>
      <c r="G84" s="293">
        <v>0.25</v>
      </c>
      <c r="H84" s="321">
        <v>3.4000000000000004</v>
      </c>
      <c r="I84" s="321">
        <v>2.8899999999999997</v>
      </c>
      <c r="J84" s="34">
        <v>152120.9742</v>
      </c>
      <c r="K84" s="34">
        <v>19720.000000000004</v>
      </c>
    </row>
    <row r="85" spans="1:11" x14ac:dyDescent="0.25">
      <c r="A85"/>
      <c r="C85" s="517"/>
      <c r="D85" t="s">
        <v>1944</v>
      </c>
      <c r="E85" t="s">
        <v>1945</v>
      </c>
      <c r="F85" t="s">
        <v>192</v>
      </c>
      <c r="G85" s="293">
        <v>0.2</v>
      </c>
      <c r="H85" s="321">
        <v>2.125</v>
      </c>
      <c r="I85" s="321">
        <v>1.8062500000000001</v>
      </c>
      <c r="J85" s="34">
        <v>62868.563812499997</v>
      </c>
      <c r="K85" s="34">
        <v>12325</v>
      </c>
    </row>
    <row r="86" spans="1:11" x14ac:dyDescent="0.25">
      <c r="A86"/>
      <c r="C86" s="517"/>
      <c r="D86" t="s">
        <v>1947</v>
      </c>
      <c r="E86" t="s">
        <v>1948</v>
      </c>
      <c r="F86" t="s">
        <v>192</v>
      </c>
      <c r="G86" s="293">
        <v>0.26666666666666666</v>
      </c>
      <c r="H86" s="321">
        <v>3.0533333333333332</v>
      </c>
      <c r="I86" s="321">
        <v>2.5786666666666669</v>
      </c>
      <c r="J86" s="34">
        <v>90089.015680000011</v>
      </c>
      <c r="K86" s="34">
        <v>17709.333333333332</v>
      </c>
    </row>
    <row r="87" spans="1:11" x14ac:dyDescent="0.25">
      <c r="A87"/>
      <c r="C87" s="517"/>
      <c r="D87" t="s">
        <v>2100</v>
      </c>
      <c r="E87" t="s">
        <v>442</v>
      </c>
      <c r="F87" t="s">
        <v>192</v>
      </c>
      <c r="G87" s="293">
        <v>0.5</v>
      </c>
      <c r="H87" s="321">
        <v>7.5</v>
      </c>
      <c r="I87" s="321">
        <v>6.3656249999999996</v>
      </c>
      <c r="J87" s="34">
        <v>221751.52790624998</v>
      </c>
      <c r="K87" s="34">
        <v>43500</v>
      </c>
    </row>
    <row r="88" spans="1:11" x14ac:dyDescent="0.25">
      <c r="A88"/>
      <c r="B88" t="s">
        <v>1695</v>
      </c>
      <c r="C88"/>
      <c r="H88" s="321">
        <v>43.417499999999997</v>
      </c>
      <c r="I88" s="321">
        <v>36.875499999999995</v>
      </c>
      <c r="J88" s="34">
        <v>1749935.15886625</v>
      </c>
      <c r="K88" s="34">
        <v>251821.5</v>
      </c>
    </row>
    <row r="89" spans="1:11" x14ac:dyDescent="0.25">
      <c r="A89"/>
      <c r="B89">
        <v>2220</v>
      </c>
      <c r="C89" s="517" t="s">
        <v>195</v>
      </c>
      <c r="D89" t="s">
        <v>513</v>
      </c>
      <c r="E89" t="s">
        <v>559</v>
      </c>
      <c r="F89" t="s">
        <v>198</v>
      </c>
      <c r="G89" s="293">
        <v>0.4</v>
      </c>
      <c r="H89" s="321">
        <v>4.2</v>
      </c>
      <c r="I89" s="321">
        <v>3.57</v>
      </c>
      <c r="J89" s="34">
        <v>124257.86729999998</v>
      </c>
      <c r="K89" s="34">
        <v>24360</v>
      </c>
    </row>
    <row r="90" spans="1:11" x14ac:dyDescent="0.25">
      <c r="A90"/>
      <c r="B90" t="s">
        <v>1696</v>
      </c>
      <c r="C90"/>
      <c r="H90" s="321">
        <v>4.2</v>
      </c>
      <c r="I90" s="321">
        <v>3.57</v>
      </c>
      <c r="J90" s="34">
        <v>124257.86729999998</v>
      </c>
      <c r="K90" s="34">
        <v>24360</v>
      </c>
    </row>
    <row r="91" spans="1:11" x14ac:dyDescent="0.25">
      <c r="A91"/>
      <c r="B91">
        <v>2271</v>
      </c>
      <c r="C91" s="517" t="s">
        <v>196</v>
      </c>
      <c r="D91" t="s">
        <v>512</v>
      </c>
      <c r="E91" t="s">
        <v>558</v>
      </c>
      <c r="F91" t="s">
        <v>198</v>
      </c>
      <c r="G91" s="293">
        <v>0.24000000000000002</v>
      </c>
      <c r="H91" s="321">
        <v>2.64</v>
      </c>
      <c r="I91" s="321">
        <v>2.2440000000000002</v>
      </c>
      <c r="J91" s="34">
        <v>78104.945160000003</v>
      </c>
      <c r="K91" s="34">
        <v>15312</v>
      </c>
    </row>
    <row r="92" spans="1:11" x14ac:dyDescent="0.25">
      <c r="A92"/>
      <c r="C92" s="517"/>
      <c r="D92" t="s">
        <v>603</v>
      </c>
      <c r="E92" t="s">
        <v>618</v>
      </c>
      <c r="F92" t="s">
        <v>198</v>
      </c>
      <c r="G92" s="293">
        <v>0.26999999999999996</v>
      </c>
      <c r="H92" s="321">
        <v>1.7549999999999997</v>
      </c>
      <c r="I92" s="321">
        <v>1.4917499999999999</v>
      </c>
      <c r="J92" s="34">
        <v>51922.037407499993</v>
      </c>
      <c r="K92" s="34">
        <v>10178.999999999998</v>
      </c>
    </row>
    <row r="93" spans="1:11" x14ac:dyDescent="0.25">
      <c r="A93"/>
      <c r="B93" t="s">
        <v>1697</v>
      </c>
      <c r="C93"/>
      <c r="H93" s="321">
        <v>4.3949999999999996</v>
      </c>
      <c r="I93" s="321">
        <v>3.7357500000000003</v>
      </c>
      <c r="J93" s="34">
        <v>130026.9825675</v>
      </c>
      <c r="K93" s="34">
        <v>25491</v>
      </c>
    </row>
    <row r="94" spans="1:11" x14ac:dyDescent="0.25">
      <c r="A94"/>
      <c r="B94">
        <v>2272</v>
      </c>
      <c r="C94" s="517" t="s">
        <v>200</v>
      </c>
      <c r="D94" t="s">
        <v>471</v>
      </c>
      <c r="E94" t="s">
        <v>474</v>
      </c>
      <c r="F94" t="s">
        <v>172</v>
      </c>
      <c r="G94" s="293">
        <v>0.05</v>
      </c>
      <c r="H94" s="321">
        <v>0.80833333333333324</v>
      </c>
      <c r="I94" s="321">
        <v>0.68708333333333327</v>
      </c>
      <c r="J94" s="34">
        <v>36166.015925</v>
      </c>
      <c r="K94" s="34">
        <v>4688.333333333333</v>
      </c>
    </row>
    <row r="95" spans="1:11" x14ac:dyDescent="0.25">
      <c r="A95"/>
      <c r="C95" s="517"/>
      <c r="D95" t="s">
        <v>1152</v>
      </c>
      <c r="E95" t="s">
        <v>1138</v>
      </c>
      <c r="F95" t="s">
        <v>172</v>
      </c>
      <c r="G95" s="293">
        <v>0.2</v>
      </c>
      <c r="H95" s="321">
        <v>8.0930000000000017</v>
      </c>
      <c r="I95" s="321">
        <v>6.8790499999999986</v>
      </c>
      <c r="J95" s="34">
        <v>362092.66005900002</v>
      </c>
      <c r="K95" s="34">
        <v>46939.400000000009</v>
      </c>
    </row>
    <row r="96" spans="1:11" x14ac:dyDescent="0.25">
      <c r="A96"/>
      <c r="B96" t="s">
        <v>1698</v>
      </c>
      <c r="C96"/>
      <c r="H96" s="321">
        <v>8.9013333333333353</v>
      </c>
      <c r="I96" s="321">
        <v>7.5661333333333314</v>
      </c>
      <c r="J96" s="34">
        <v>398258.67598400003</v>
      </c>
      <c r="K96" s="34">
        <v>51627.733333333344</v>
      </c>
    </row>
    <row r="97" spans="1:11" x14ac:dyDescent="0.25">
      <c r="A97"/>
      <c r="B97">
        <v>2300</v>
      </c>
      <c r="C97" s="517" t="s">
        <v>197</v>
      </c>
      <c r="D97" t="s">
        <v>1150</v>
      </c>
      <c r="E97" t="s">
        <v>1227</v>
      </c>
      <c r="F97" t="s">
        <v>1130</v>
      </c>
      <c r="G97" s="293">
        <v>0.25</v>
      </c>
      <c r="H97" s="321">
        <v>2</v>
      </c>
      <c r="I97" s="321">
        <v>1.7</v>
      </c>
      <c r="J97" s="34">
        <v>89482.925999999992</v>
      </c>
      <c r="K97" s="34">
        <v>11600</v>
      </c>
    </row>
    <row r="98" spans="1:11" x14ac:dyDescent="0.25">
      <c r="A98"/>
      <c r="C98" s="517"/>
      <c r="D98" t="s">
        <v>1287</v>
      </c>
      <c r="E98" t="s">
        <v>1292</v>
      </c>
      <c r="F98" t="s">
        <v>192</v>
      </c>
      <c r="G98" s="293">
        <v>0.25</v>
      </c>
      <c r="H98" s="321">
        <v>3.8500000000000005</v>
      </c>
      <c r="I98" s="321">
        <v>3.2725000000000004</v>
      </c>
      <c r="J98" s="34">
        <v>172254.63255000004</v>
      </c>
      <c r="K98" s="34">
        <v>22330.000000000004</v>
      </c>
    </row>
    <row r="99" spans="1:11" x14ac:dyDescent="0.25">
      <c r="A99"/>
      <c r="C99" s="517"/>
      <c r="D99" t="s">
        <v>1052</v>
      </c>
      <c r="E99" t="s">
        <v>1219</v>
      </c>
      <c r="F99" t="s">
        <v>198</v>
      </c>
      <c r="G99" s="293">
        <v>0.5</v>
      </c>
      <c r="H99" s="321">
        <v>4.125</v>
      </c>
      <c r="I99" s="321">
        <v>3.5062500000000001</v>
      </c>
      <c r="J99" s="34">
        <v>184558.53487500001</v>
      </c>
      <c r="K99" s="34">
        <v>23925</v>
      </c>
    </row>
    <row r="100" spans="1:11" x14ac:dyDescent="0.25">
      <c r="A100"/>
      <c r="C100" s="517"/>
      <c r="D100" t="s">
        <v>1578</v>
      </c>
      <c r="E100" t="s">
        <v>1618</v>
      </c>
      <c r="F100" t="s">
        <v>461</v>
      </c>
      <c r="G100" s="293">
        <v>9.0909090909090912E-2</v>
      </c>
      <c r="H100" s="321">
        <v>1.3499999999999999</v>
      </c>
      <c r="I100" s="321">
        <v>1.1475</v>
      </c>
      <c r="J100" s="34">
        <v>60400.975049999994</v>
      </c>
      <c r="K100" s="34">
        <v>7829.9999999999991</v>
      </c>
    </row>
    <row r="101" spans="1:11" x14ac:dyDescent="0.25">
      <c r="A101"/>
      <c r="C101" s="517"/>
      <c r="D101" t="s">
        <v>1569</v>
      </c>
      <c r="E101" t="s">
        <v>1619</v>
      </c>
      <c r="F101" t="s">
        <v>461</v>
      </c>
      <c r="G101" s="293">
        <v>0.1</v>
      </c>
      <c r="H101" s="321">
        <v>1.1233333333333335</v>
      </c>
      <c r="I101" s="321">
        <v>0.9548333333333332</v>
      </c>
      <c r="J101" s="34">
        <v>50259.57677</v>
      </c>
      <c r="K101" s="34">
        <v>6515.3333333333348</v>
      </c>
    </row>
    <row r="102" spans="1:11" x14ac:dyDescent="0.25">
      <c r="A102"/>
      <c r="C102" s="517"/>
      <c r="D102" t="s">
        <v>1706</v>
      </c>
      <c r="E102" t="s">
        <v>1707</v>
      </c>
      <c r="F102" t="s">
        <v>461</v>
      </c>
      <c r="G102" s="293">
        <v>9.0909090909090912E-2</v>
      </c>
      <c r="H102" s="321">
        <v>1.7</v>
      </c>
      <c r="I102" s="321">
        <v>1.4450000000000001</v>
      </c>
      <c r="J102" s="34">
        <v>76060.487099999998</v>
      </c>
      <c r="K102" s="34">
        <v>9860</v>
      </c>
    </row>
    <row r="103" spans="1:11" x14ac:dyDescent="0.25">
      <c r="A103"/>
      <c r="B103" t="s">
        <v>1699</v>
      </c>
      <c r="C103"/>
      <c r="H103" s="321">
        <v>14.148333333333333</v>
      </c>
      <c r="I103" s="321">
        <v>12.026083333333332</v>
      </c>
      <c r="J103" s="34">
        <v>633017.13234500005</v>
      </c>
      <c r="K103" s="34">
        <v>82060.333333333328</v>
      </c>
    </row>
    <row r="104" spans="1:11" x14ac:dyDescent="0.25">
      <c r="A104"/>
      <c r="B104">
        <v>2340</v>
      </c>
      <c r="C104" s="517" t="s">
        <v>198</v>
      </c>
      <c r="D104" t="s">
        <v>944</v>
      </c>
      <c r="E104" t="s">
        <v>753</v>
      </c>
      <c r="F104" t="s">
        <v>1130</v>
      </c>
      <c r="G104" s="293">
        <v>0.7</v>
      </c>
      <c r="H104" s="321">
        <v>3.5419999999999994</v>
      </c>
      <c r="I104" s="321">
        <v>3.0106999999999995</v>
      </c>
      <c r="J104" s="34">
        <v>104790.80142299998</v>
      </c>
      <c r="K104" s="34">
        <v>20543.599999999995</v>
      </c>
    </row>
    <row r="105" spans="1:11" x14ac:dyDescent="0.25">
      <c r="A105"/>
      <c r="C105" s="517"/>
      <c r="D105" t="s">
        <v>1621</v>
      </c>
      <c r="E105" t="s">
        <v>1622</v>
      </c>
      <c r="F105" t="s">
        <v>1130</v>
      </c>
      <c r="G105" s="293">
        <v>0.2</v>
      </c>
      <c r="H105" s="321">
        <v>1.4000000000000001</v>
      </c>
      <c r="I105" s="321">
        <v>1.1900000000000002</v>
      </c>
      <c r="J105" s="34">
        <v>62638.048200000005</v>
      </c>
      <c r="K105" s="34">
        <v>8120.0000000000009</v>
      </c>
    </row>
    <row r="106" spans="1:11" x14ac:dyDescent="0.25">
      <c r="A106"/>
      <c r="B106" t="s">
        <v>858</v>
      </c>
      <c r="C106"/>
      <c r="H106" s="321">
        <v>4.9419999999999993</v>
      </c>
      <c r="I106" s="321">
        <v>4.2006999999999994</v>
      </c>
      <c r="J106" s="34">
        <v>167428.84962299999</v>
      </c>
      <c r="K106" s="34">
        <v>28663.599999999995</v>
      </c>
    </row>
    <row r="107" spans="1:11" x14ac:dyDescent="0.25">
      <c r="A107"/>
      <c r="B107">
        <v>2360</v>
      </c>
      <c r="C107" s="517" t="s">
        <v>199</v>
      </c>
      <c r="D107" t="s">
        <v>512</v>
      </c>
      <c r="E107" t="s">
        <v>558</v>
      </c>
      <c r="F107" t="s">
        <v>198</v>
      </c>
      <c r="G107" s="293">
        <v>0.16</v>
      </c>
      <c r="H107" s="321">
        <v>1.76</v>
      </c>
      <c r="I107" s="321">
        <v>1.496</v>
      </c>
      <c r="J107" s="34">
        <v>52069.96344</v>
      </c>
      <c r="K107" s="34">
        <v>10208</v>
      </c>
    </row>
    <row r="108" spans="1:11" x14ac:dyDescent="0.25">
      <c r="A108"/>
      <c r="C108" s="517"/>
      <c r="D108" t="s">
        <v>603</v>
      </c>
      <c r="E108" t="s">
        <v>618</v>
      </c>
      <c r="F108" t="s">
        <v>198</v>
      </c>
      <c r="G108" s="293">
        <v>0.18000000000000002</v>
      </c>
      <c r="H108" s="321">
        <v>1.1700000000000002</v>
      </c>
      <c r="I108" s="321">
        <v>0.99450000000000016</v>
      </c>
      <c r="J108" s="34">
        <v>34614.691605000007</v>
      </c>
      <c r="K108" s="34">
        <v>6786.0000000000009</v>
      </c>
    </row>
    <row r="109" spans="1:11" x14ac:dyDescent="0.25">
      <c r="A109"/>
      <c r="C109" s="517"/>
      <c r="D109" t="s">
        <v>2112</v>
      </c>
      <c r="E109" t="s">
        <v>2129</v>
      </c>
      <c r="F109" t="s">
        <v>172</v>
      </c>
      <c r="G109" s="293">
        <v>0.25</v>
      </c>
      <c r="H109" s="321">
        <v>3</v>
      </c>
      <c r="I109" s="321">
        <v>2.5499999999999998</v>
      </c>
      <c r="J109" s="34">
        <v>88755.619500000001</v>
      </c>
      <c r="K109" s="34">
        <v>17400</v>
      </c>
    </row>
    <row r="110" spans="1:11" x14ac:dyDescent="0.25">
      <c r="A110"/>
      <c r="B110" t="s">
        <v>1700</v>
      </c>
      <c r="C110"/>
      <c r="H110" s="321">
        <v>5.93</v>
      </c>
      <c r="I110" s="321">
        <v>5.0404999999999998</v>
      </c>
      <c r="J110" s="34">
        <v>175440.27454499999</v>
      </c>
      <c r="K110" s="34">
        <v>34394</v>
      </c>
    </row>
    <row r="111" spans="1:11" x14ac:dyDescent="0.25">
      <c r="A111"/>
      <c r="B111">
        <v>2500</v>
      </c>
      <c r="C111" s="517" t="s">
        <v>2169</v>
      </c>
      <c r="D111" t="s">
        <v>873</v>
      </c>
      <c r="E111" t="s">
        <v>1181</v>
      </c>
      <c r="F111" t="s">
        <v>172</v>
      </c>
      <c r="G111" s="293">
        <v>0.16666666666666666</v>
      </c>
      <c r="H111" s="321">
        <v>1.1666666666666665</v>
      </c>
      <c r="I111" s="321">
        <v>0.99166666666666647</v>
      </c>
      <c r="J111" s="34">
        <v>34516.074249999991</v>
      </c>
      <c r="K111" s="34">
        <v>6766.6666666666661</v>
      </c>
    </row>
    <row r="112" spans="1:11" x14ac:dyDescent="0.25">
      <c r="A112"/>
      <c r="B112" t="s">
        <v>918</v>
      </c>
      <c r="C112"/>
      <c r="H112" s="321">
        <v>1.1666666666666665</v>
      </c>
      <c r="I112" s="321">
        <v>0.99166666666666647</v>
      </c>
      <c r="J112" s="34">
        <v>34516.074249999991</v>
      </c>
      <c r="K112" s="34">
        <v>6766.6666666666661</v>
      </c>
    </row>
    <row r="113" spans="1:11" x14ac:dyDescent="0.25">
      <c r="A113"/>
      <c r="B113">
        <v>2750</v>
      </c>
      <c r="C113" s="517" t="s">
        <v>205</v>
      </c>
      <c r="D113" t="s">
        <v>1586</v>
      </c>
      <c r="E113" t="s">
        <v>1607</v>
      </c>
      <c r="F113" t="s">
        <v>192</v>
      </c>
      <c r="G113" s="293">
        <v>0.15</v>
      </c>
      <c r="H113" s="321">
        <v>2.1749999999999998</v>
      </c>
      <c r="I113" s="321">
        <v>1.8337499999999998</v>
      </c>
      <c r="J113" s="34">
        <v>144892.38296249998</v>
      </c>
      <c r="K113" s="34">
        <v>75037.5</v>
      </c>
    </row>
    <row r="114" spans="1:11" x14ac:dyDescent="0.25">
      <c r="A114"/>
      <c r="B114" t="s">
        <v>1701</v>
      </c>
      <c r="C114"/>
      <c r="H114" s="321">
        <v>2.1749999999999998</v>
      </c>
      <c r="I114" s="321">
        <v>1.8337499999999998</v>
      </c>
      <c r="J114" s="34">
        <v>144892.38296249998</v>
      </c>
      <c r="K114" s="34">
        <v>75037.5</v>
      </c>
    </row>
    <row r="115" spans="1:11" x14ac:dyDescent="0.25">
      <c r="A115" s="293" t="s">
        <v>1702</v>
      </c>
      <c r="B115" s="293"/>
      <c r="C115" s="293"/>
      <c r="D115" s="293"/>
      <c r="E115" s="293"/>
      <c r="F115" s="293"/>
      <c r="G115" s="293"/>
      <c r="H115" s="321">
        <v>209.87541666666661</v>
      </c>
      <c r="I115" s="321">
        <v>178.31972916666663</v>
      </c>
      <c r="J115" s="34">
        <v>8483329.8906168751</v>
      </c>
      <c r="K115" s="34">
        <v>1400258.25</v>
      </c>
    </row>
    <row r="116" spans="1:11" x14ac:dyDescent="0.25">
      <c r="A116" t="s">
        <v>75</v>
      </c>
      <c r="B116">
        <v>5100</v>
      </c>
      <c r="C116" s="517" t="s">
        <v>164</v>
      </c>
      <c r="D116" t="s">
        <v>1859</v>
      </c>
      <c r="E116" t="s">
        <v>1814</v>
      </c>
      <c r="F116" t="s">
        <v>2169</v>
      </c>
      <c r="G116" s="293">
        <v>0.5</v>
      </c>
      <c r="H116" s="321">
        <v>0.375</v>
      </c>
      <c r="I116" s="321">
        <v>0.31874999999999998</v>
      </c>
      <c r="J116" s="34">
        <v>11094.4524375</v>
      </c>
      <c r="K116" s="34">
        <v>2175</v>
      </c>
    </row>
    <row r="117" spans="1:11" x14ac:dyDescent="0.25">
      <c r="A117"/>
      <c r="C117" s="517"/>
      <c r="D117" t="s">
        <v>1956</v>
      </c>
      <c r="E117" t="s">
        <v>1818</v>
      </c>
      <c r="F117" t="s">
        <v>2169</v>
      </c>
      <c r="G117" s="293">
        <v>0.5</v>
      </c>
      <c r="H117" s="321">
        <v>0.4375</v>
      </c>
      <c r="I117" s="321">
        <v>0.37187500000000001</v>
      </c>
      <c r="J117" s="34">
        <v>14697.7744921875</v>
      </c>
      <c r="K117" s="34">
        <v>4287.5</v>
      </c>
    </row>
    <row r="118" spans="1:11" x14ac:dyDescent="0.25">
      <c r="A118"/>
      <c r="B118" t="s">
        <v>1703</v>
      </c>
      <c r="C118"/>
      <c r="H118" s="321">
        <v>0.8125</v>
      </c>
      <c r="I118" s="321">
        <v>0.69062500000000004</v>
      </c>
      <c r="J118" s="34">
        <v>25792.226929687502</v>
      </c>
      <c r="K118" s="34">
        <v>6462.5</v>
      </c>
    </row>
    <row r="119" spans="1:11" x14ac:dyDescent="0.25">
      <c r="A119"/>
      <c r="B119">
        <v>5730</v>
      </c>
      <c r="C119" s="517" t="s">
        <v>166</v>
      </c>
      <c r="D119" t="s">
        <v>1459</v>
      </c>
      <c r="E119" t="s">
        <v>1460</v>
      </c>
      <c r="F119" t="s">
        <v>461</v>
      </c>
      <c r="G119" s="293">
        <v>0.33333333333333331</v>
      </c>
      <c r="H119" s="321">
        <v>1.5</v>
      </c>
      <c r="I119" s="321">
        <v>1.2749999999999999</v>
      </c>
      <c r="J119" s="34">
        <v>68436.049499999994</v>
      </c>
      <c r="K119" s="34">
        <v>32700</v>
      </c>
    </row>
    <row r="120" spans="1:11" x14ac:dyDescent="0.25">
      <c r="A120"/>
      <c r="C120" s="517"/>
      <c r="D120" t="s">
        <v>1463</v>
      </c>
      <c r="E120" t="s">
        <v>1464</v>
      </c>
      <c r="F120" t="s">
        <v>461</v>
      </c>
      <c r="G120" s="293">
        <v>0.33333333333333331</v>
      </c>
      <c r="H120" s="321">
        <v>0.875</v>
      </c>
      <c r="I120" s="321">
        <v>0.74374999999999991</v>
      </c>
      <c r="J120" s="34">
        <v>39921.028874999996</v>
      </c>
      <c r="K120" s="34">
        <v>19075</v>
      </c>
    </row>
    <row r="121" spans="1:11" x14ac:dyDescent="0.25">
      <c r="A121"/>
      <c r="C121" s="517"/>
      <c r="D121" t="s">
        <v>1465</v>
      </c>
      <c r="E121" t="s">
        <v>1466</v>
      </c>
      <c r="F121" t="s">
        <v>461</v>
      </c>
      <c r="G121" s="293">
        <v>0.33333333333333331</v>
      </c>
      <c r="H121" s="321">
        <v>1.1666666666666665</v>
      </c>
      <c r="I121" s="321">
        <v>0.9916666666666667</v>
      </c>
      <c r="J121" s="34">
        <v>53228.038499999995</v>
      </c>
      <c r="K121" s="34">
        <v>25433.333333333328</v>
      </c>
    </row>
    <row r="122" spans="1:11" x14ac:dyDescent="0.25">
      <c r="A122"/>
      <c r="B122" t="s">
        <v>1704</v>
      </c>
      <c r="C122"/>
      <c r="H122" s="321">
        <v>3.5416666666666665</v>
      </c>
      <c r="I122" s="321">
        <v>3.0104166666666665</v>
      </c>
      <c r="J122" s="34">
        <v>161585.11687499998</v>
      </c>
      <c r="K122" s="34">
        <v>77208.333333333328</v>
      </c>
    </row>
    <row r="123" spans="1:11" x14ac:dyDescent="0.25">
      <c r="A123"/>
      <c r="B123">
        <v>5740</v>
      </c>
      <c r="C123" s="517" t="s">
        <v>461</v>
      </c>
      <c r="D123" t="s">
        <v>828</v>
      </c>
      <c r="E123" t="s">
        <v>621</v>
      </c>
      <c r="F123" t="s">
        <v>176</v>
      </c>
      <c r="G123" s="293">
        <v>0.33333333333333331</v>
      </c>
      <c r="H123" s="321">
        <v>0.96666666666666679</v>
      </c>
      <c r="I123" s="321">
        <v>0.82166666666666677</v>
      </c>
      <c r="J123" s="34">
        <v>40070.317900000009</v>
      </c>
      <c r="K123" s="34">
        <v>3286.666666666667</v>
      </c>
    </row>
    <row r="124" spans="1:11" x14ac:dyDescent="0.25">
      <c r="A124"/>
      <c r="C124" s="517"/>
      <c r="D124" t="s">
        <v>827</v>
      </c>
      <c r="E124" t="s">
        <v>620</v>
      </c>
      <c r="F124" t="s">
        <v>176</v>
      </c>
      <c r="G124" s="293">
        <v>0.33333333333333331</v>
      </c>
      <c r="H124" s="321">
        <v>0.96666666666666679</v>
      </c>
      <c r="I124" s="321">
        <v>0.82166666666666677</v>
      </c>
      <c r="J124" s="34">
        <v>40070.317900000009</v>
      </c>
      <c r="K124" s="34">
        <v>3286.666666666667</v>
      </c>
    </row>
    <row r="125" spans="1:11" x14ac:dyDescent="0.25">
      <c r="A125"/>
      <c r="C125" s="517"/>
      <c r="D125" t="s">
        <v>1577</v>
      </c>
      <c r="E125" t="s">
        <v>1617</v>
      </c>
      <c r="F125" t="s">
        <v>192</v>
      </c>
      <c r="G125" s="293">
        <v>0.375</v>
      </c>
      <c r="H125" s="321">
        <v>3.5500000000000007</v>
      </c>
      <c r="I125" s="321">
        <v>3.0175000000000001</v>
      </c>
      <c r="J125" s="34">
        <v>158832.19365000003</v>
      </c>
      <c r="K125" s="34">
        <v>20590.000000000004</v>
      </c>
    </row>
    <row r="126" spans="1:11" x14ac:dyDescent="0.25">
      <c r="A126"/>
      <c r="C126" s="517"/>
      <c r="D126" t="s">
        <v>1689</v>
      </c>
      <c r="E126" t="s">
        <v>1690</v>
      </c>
      <c r="F126" t="s">
        <v>192</v>
      </c>
      <c r="G126" s="293">
        <v>0.125</v>
      </c>
      <c r="H126" s="321">
        <v>1.7000000000000002</v>
      </c>
      <c r="I126" s="321">
        <v>1.4449999999999998</v>
      </c>
      <c r="J126" s="34">
        <v>76060.487099999998</v>
      </c>
      <c r="K126" s="34">
        <v>9860.0000000000018</v>
      </c>
    </row>
    <row r="127" spans="1:11" x14ac:dyDescent="0.25">
      <c r="A127"/>
      <c r="C127" s="517"/>
      <c r="D127" t="s">
        <v>1865</v>
      </c>
      <c r="E127" t="s">
        <v>1427</v>
      </c>
      <c r="F127" t="s">
        <v>1130</v>
      </c>
      <c r="G127" s="293">
        <v>0.13333333333333333</v>
      </c>
      <c r="H127" s="321">
        <v>2.8666666666666667</v>
      </c>
      <c r="I127" s="321">
        <v>2.4366666666666665</v>
      </c>
      <c r="J127" s="34">
        <v>84810.925300000003</v>
      </c>
      <c r="K127" s="34">
        <v>16626.666666666668</v>
      </c>
    </row>
    <row r="128" spans="1:11" x14ac:dyDescent="0.25">
      <c r="A128"/>
      <c r="C128" s="517"/>
      <c r="D128" t="s">
        <v>1972</v>
      </c>
      <c r="E128" t="s">
        <v>1180</v>
      </c>
      <c r="F128" t="s">
        <v>176</v>
      </c>
      <c r="G128" s="293">
        <v>0.5</v>
      </c>
      <c r="H128" s="321">
        <v>4.5</v>
      </c>
      <c r="I128" s="321">
        <v>3.8249999999999997</v>
      </c>
      <c r="J128" s="34">
        <v>133133.42925000002</v>
      </c>
      <c r="K128" s="34">
        <v>26100</v>
      </c>
    </row>
    <row r="129" spans="1:11" x14ac:dyDescent="0.25">
      <c r="A129"/>
      <c r="B129" t="s">
        <v>859</v>
      </c>
      <c r="C129"/>
      <c r="H129" s="321">
        <v>14.55</v>
      </c>
      <c r="I129" s="321">
        <v>12.3675</v>
      </c>
      <c r="J129" s="34">
        <v>532977.67110000004</v>
      </c>
      <c r="K129" s="34">
        <v>79750</v>
      </c>
    </row>
    <row r="130" spans="1:11" x14ac:dyDescent="0.25">
      <c r="A130" s="293" t="s">
        <v>1705</v>
      </c>
      <c r="B130" s="293"/>
      <c r="C130" s="293"/>
      <c r="D130" s="293"/>
      <c r="E130" s="293"/>
      <c r="F130" s="293"/>
      <c r="G130" s="293"/>
      <c r="H130" s="321">
        <v>18.904166666666669</v>
      </c>
      <c r="I130" s="321">
        <v>16.068541666666665</v>
      </c>
      <c r="J130" s="34">
        <v>720355.01490468765</v>
      </c>
      <c r="K130" s="34">
        <v>163420.83333333334</v>
      </c>
    </row>
    <row r="131" spans="1:11" x14ac:dyDescent="0.25">
      <c r="A131" s="519" t="s">
        <v>781</v>
      </c>
      <c r="B131" s="519"/>
      <c r="C131" s="519"/>
      <c r="D131" s="519"/>
      <c r="E131" s="519"/>
      <c r="F131" s="519"/>
      <c r="G131" s="519"/>
      <c r="H131" s="321">
        <v>311.60699999999997</v>
      </c>
      <c r="I131" s="321">
        <v>264.722825</v>
      </c>
      <c r="J131" s="34">
        <v>12726525.924561312</v>
      </c>
      <c r="K131" s="34">
        <v>2318649.2666666657</v>
      </c>
    </row>
    <row r="132" spans="1:11" x14ac:dyDescent="0.25">
      <c r="A132"/>
      <c r="C132"/>
    </row>
    <row r="133" spans="1:11" x14ac:dyDescent="0.25">
      <c r="A133"/>
      <c r="C133"/>
    </row>
    <row r="134" spans="1:11" x14ac:dyDescent="0.25">
      <c r="A134"/>
      <c r="C134"/>
    </row>
    <row r="135" spans="1:11" x14ac:dyDescent="0.25">
      <c r="A135"/>
      <c r="C135"/>
    </row>
    <row r="136" spans="1:11" x14ac:dyDescent="0.25">
      <c r="A136"/>
      <c r="C136"/>
    </row>
    <row r="137" spans="1:11" x14ac:dyDescent="0.25">
      <c r="A137"/>
      <c r="C137"/>
    </row>
    <row r="138" spans="1:11" x14ac:dyDescent="0.25">
      <c r="A138"/>
      <c r="C138"/>
    </row>
    <row r="139" spans="1:11" x14ac:dyDescent="0.25">
      <c r="A139"/>
      <c r="C139"/>
    </row>
    <row r="140" spans="1:11" x14ac:dyDescent="0.25">
      <c r="A140"/>
      <c r="C140"/>
    </row>
    <row r="141" spans="1:11" x14ac:dyDescent="0.25">
      <c r="A141"/>
      <c r="C141"/>
    </row>
    <row r="142" spans="1:11" x14ac:dyDescent="0.25">
      <c r="A142"/>
      <c r="C142"/>
    </row>
    <row r="143" spans="1:11" x14ac:dyDescent="0.25">
      <c r="A143"/>
      <c r="C143"/>
    </row>
    <row r="144" spans="1:11" x14ac:dyDescent="0.25">
      <c r="A144"/>
      <c r="C144"/>
    </row>
    <row r="145" spans="1:3" x14ac:dyDescent="0.25">
      <c r="A145"/>
      <c r="C145"/>
    </row>
    <row r="146" spans="1:3" x14ac:dyDescent="0.25">
      <c r="A146"/>
      <c r="C146"/>
    </row>
    <row r="147" spans="1:3" x14ac:dyDescent="0.25">
      <c r="A147"/>
      <c r="C147"/>
    </row>
    <row r="148" spans="1:3" x14ac:dyDescent="0.25">
      <c r="A148"/>
      <c r="C148"/>
    </row>
    <row r="149" spans="1:3" x14ac:dyDescent="0.25">
      <c r="A149"/>
      <c r="C149"/>
    </row>
    <row r="150" spans="1:3" x14ac:dyDescent="0.25">
      <c r="A150"/>
      <c r="C150"/>
    </row>
    <row r="151" spans="1:3" x14ac:dyDescent="0.25">
      <c r="A151"/>
      <c r="C151"/>
    </row>
    <row r="152" spans="1:3" x14ac:dyDescent="0.25">
      <c r="A152"/>
      <c r="C152"/>
    </row>
    <row r="153" spans="1:3" x14ac:dyDescent="0.25">
      <c r="A153"/>
      <c r="C153"/>
    </row>
    <row r="154" spans="1:3" x14ac:dyDescent="0.25">
      <c r="A154"/>
      <c r="C154"/>
    </row>
    <row r="155" spans="1:3" x14ac:dyDescent="0.25">
      <c r="A155"/>
      <c r="C155"/>
    </row>
    <row r="156" spans="1:3" x14ac:dyDescent="0.25">
      <c r="A156"/>
      <c r="C156"/>
    </row>
    <row r="157" spans="1:3" x14ac:dyDescent="0.25">
      <c r="A157"/>
      <c r="C157"/>
    </row>
    <row r="158" spans="1:3" x14ac:dyDescent="0.25">
      <c r="A158"/>
      <c r="C158"/>
    </row>
    <row r="159" spans="1:3" x14ac:dyDescent="0.25">
      <c r="A159"/>
      <c r="C159"/>
    </row>
    <row r="160" spans="1:3" x14ac:dyDescent="0.25">
      <c r="A160"/>
      <c r="C160"/>
    </row>
    <row r="161" spans="1:3" x14ac:dyDescent="0.25">
      <c r="A161"/>
      <c r="C161"/>
    </row>
    <row r="162" spans="1:3" x14ac:dyDescent="0.25">
      <c r="A162"/>
      <c r="C162"/>
    </row>
    <row r="163" spans="1:3" x14ac:dyDescent="0.25">
      <c r="A163"/>
      <c r="C163"/>
    </row>
    <row r="164" spans="1:3" x14ac:dyDescent="0.25">
      <c r="A164"/>
      <c r="C164"/>
    </row>
    <row r="165" spans="1:3" x14ac:dyDescent="0.25">
      <c r="A165"/>
      <c r="C165"/>
    </row>
    <row r="166" spans="1:3" x14ac:dyDescent="0.25">
      <c r="A166"/>
      <c r="C166"/>
    </row>
    <row r="167" spans="1:3" x14ac:dyDescent="0.25">
      <c r="A167"/>
      <c r="C167"/>
    </row>
    <row r="168" spans="1:3" x14ac:dyDescent="0.25">
      <c r="A168"/>
      <c r="C168"/>
    </row>
    <row r="169" spans="1:3" x14ac:dyDescent="0.25">
      <c r="A169"/>
      <c r="C169"/>
    </row>
    <row r="170" spans="1:3" x14ac:dyDescent="0.25">
      <c r="A170"/>
      <c r="C170"/>
    </row>
    <row r="171" spans="1:3" x14ac:dyDescent="0.25">
      <c r="A171"/>
      <c r="C171"/>
    </row>
    <row r="172" spans="1:3" x14ac:dyDescent="0.25">
      <c r="A172"/>
      <c r="C172"/>
    </row>
    <row r="173" spans="1:3" x14ac:dyDescent="0.25">
      <c r="A173"/>
      <c r="C173"/>
    </row>
    <row r="174" spans="1:3" x14ac:dyDescent="0.25">
      <c r="A174"/>
      <c r="C174"/>
    </row>
    <row r="175" spans="1:3" x14ac:dyDescent="0.25">
      <c r="A175"/>
      <c r="C175"/>
    </row>
    <row r="176" spans="1:3" x14ac:dyDescent="0.25">
      <c r="A176"/>
      <c r="C176"/>
    </row>
    <row r="177" spans="1:3" x14ac:dyDescent="0.25">
      <c r="A177"/>
      <c r="C177"/>
    </row>
    <row r="178" spans="1:3" x14ac:dyDescent="0.25">
      <c r="A178"/>
      <c r="C178"/>
    </row>
    <row r="179" spans="1:3" x14ac:dyDescent="0.25">
      <c r="A179"/>
      <c r="C179"/>
    </row>
    <row r="180" spans="1:3" x14ac:dyDescent="0.25">
      <c r="A180"/>
      <c r="C180"/>
    </row>
    <row r="181" spans="1:3" x14ac:dyDescent="0.25">
      <c r="A181"/>
      <c r="C181"/>
    </row>
    <row r="182" spans="1:3" x14ac:dyDescent="0.25">
      <c r="A182"/>
      <c r="C182"/>
    </row>
    <row r="183" spans="1:3" x14ac:dyDescent="0.25">
      <c r="A183"/>
      <c r="C183"/>
    </row>
    <row r="184" spans="1:3" x14ac:dyDescent="0.25">
      <c r="A184"/>
      <c r="C184"/>
    </row>
    <row r="185" spans="1:3" x14ac:dyDescent="0.25">
      <c r="A185"/>
      <c r="C185"/>
    </row>
    <row r="186" spans="1:3" x14ac:dyDescent="0.25">
      <c r="A186"/>
      <c r="C186"/>
    </row>
    <row r="187" spans="1:3" x14ac:dyDescent="0.25">
      <c r="A187"/>
      <c r="C187"/>
    </row>
    <row r="188" spans="1:3" x14ac:dyDescent="0.25">
      <c r="A188"/>
      <c r="C188"/>
    </row>
    <row r="189" spans="1:3" x14ac:dyDescent="0.25">
      <c r="A189"/>
      <c r="C189"/>
    </row>
    <row r="190" spans="1:3" x14ac:dyDescent="0.25">
      <c r="A190"/>
      <c r="C190"/>
    </row>
    <row r="191" spans="1:3" x14ac:dyDescent="0.25">
      <c r="A191"/>
      <c r="C191"/>
    </row>
    <row r="192" spans="1:3" x14ac:dyDescent="0.25">
      <c r="A192"/>
      <c r="C192"/>
    </row>
    <row r="193" spans="1:3" x14ac:dyDescent="0.25">
      <c r="A193"/>
      <c r="C193"/>
    </row>
    <row r="194" spans="1:3" x14ac:dyDescent="0.25">
      <c r="A194"/>
      <c r="C194"/>
    </row>
    <row r="195" spans="1:3" x14ac:dyDescent="0.25">
      <c r="A195"/>
      <c r="C195"/>
    </row>
    <row r="196" spans="1:3" x14ac:dyDescent="0.25">
      <c r="A196"/>
      <c r="C196"/>
    </row>
    <row r="197" spans="1:3" x14ac:dyDescent="0.25">
      <c r="A197"/>
      <c r="C197"/>
    </row>
    <row r="198" spans="1:3" x14ac:dyDescent="0.25">
      <c r="A198"/>
      <c r="C198"/>
    </row>
    <row r="199" spans="1:3" x14ac:dyDescent="0.25">
      <c r="A199"/>
      <c r="C199"/>
    </row>
    <row r="200" spans="1:3" x14ac:dyDescent="0.25">
      <c r="A200"/>
      <c r="C200"/>
    </row>
    <row r="201" spans="1:3" x14ac:dyDescent="0.25">
      <c r="A201"/>
      <c r="C201"/>
    </row>
    <row r="202" spans="1:3" x14ac:dyDescent="0.25">
      <c r="A202"/>
      <c r="C202"/>
    </row>
    <row r="203" spans="1:3" x14ac:dyDescent="0.25">
      <c r="A203"/>
      <c r="C203"/>
    </row>
    <row r="204" spans="1:3" x14ac:dyDescent="0.25">
      <c r="A204"/>
      <c r="C204"/>
    </row>
    <row r="205" spans="1:3" x14ac:dyDescent="0.25">
      <c r="A205"/>
      <c r="C205"/>
    </row>
    <row r="206" spans="1:3" x14ac:dyDescent="0.25">
      <c r="A206"/>
      <c r="C206"/>
    </row>
    <row r="207" spans="1:3" x14ac:dyDescent="0.25">
      <c r="A207"/>
      <c r="C207"/>
    </row>
    <row r="208" spans="1:3" x14ac:dyDescent="0.25">
      <c r="A208"/>
      <c r="C208"/>
    </row>
    <row r="209" spans="1:3" x14ac:dyDescent="0.25">
      <c r="A209"/>
      <c r="C209"/>
    </row>
    <row r="210" spans="1:3" x14ac:dyDescent="0.25">
      <c r="A210"/>
      <c r="C210"/>
    </row>
    <row r="211" spans="1:3" x14ac:dyDescent="0.25">
      <c r="A211"/>
      <c r="C211"/>
    </row>
    <row r="212" spans="1:3" x14ac:dyDescent="0.25">
      <c r="A212"/>
      <c r="C212"/>
    </row>
    <row r="213" spans="1:3" x14ac:dyDescent="0.25">
      <c r="A213"/>
      <c r="C213"/>
    </row>
    <row r="214" spans="1:3" x14ac:dyDescent="0.25">
      <c r="A214"/>
      <c r="C214"/>
    </row>
    <row r="215" spans="1:3" x14ac:dyDescent="0.25">
      <c r="A215"/>
      <c r="C215"/>
    </row>
    <row r="216" spans="1:3" x14ac:dyDescent="0.25">
      <c r="A216"/>
      <c r="C216"/>
    </row>
    <row r="217" spans="1:3" x14ac:dyDescent="0.25">
      <c r="A217"/>
      <c r="C217"/>
    </row>
    <row r="218" spans="1:3" x14ac:dyDescent="0.25">
      <c r="A218"/>
      <c r="C218"/>
    </row>
    <row r="219" spans="1:3" x14ac:dyDescent="0.25">
      <c r="A219"/>
      <c r="C219"/>
    </row>
    <row r="220" spans="1:3" x14ac:dyDescent="0.25">
      <c r="A220"/>
      <c r="C220"/>
    </row>
    <row r="221" spans="1:3" x14ac:dyDescent="0.25">
      <c r="A221"/>
      <c r="C221"/>
    </row>
    <row r="222" spans="1:3" x14ac:dyDescent="0.25">
      <c r="A222"/>
      <c r="C222"/>
    </row>
    <row r="223" spans="1:3" x14ac:dyDescent="0.25">
      <c r="A223"/>
      <c r="C223"/>
    </row>
    <row r="224" spans="1:3" x14ac:dyDescent="0.25">
      <c r="A224"/>
      <c r="C224"/>
    </row>
    <row r="225" spans="1:3" x14ac:dyDescent="0.25">
      <c r="A225"/>
      <c r="C225"/>
    </row>
    <row r="226" spans="1:3" x14ac:dyDescent="0.25">
      <c r="A226"/>
      <c r="C226"/>
    </row>
    <row r="227" spans="1:3" x14ac:dyDescent="0.25">
      <c r="A227"/>
      <c r="C227"/>
    </row>
    <row r="228" spans="1:3" x14ac:dyDescent="0.25">
      <c r="A228"/>
      <c r="C228"/>
    </row>
    <row r="229" spans="1:3" x14ac:dyDescent="0.25">
      <c r="A229"/>
      <c r="C229"/>
    </row>
    <row r="230" spans="1:3" x14ac:dyDescent="0.25">
      <c r="A230"/>
      <c r="C230"/>
    </row>
    <row r="231" spans="1:3" x14ac:dyDescent="0.25">
      <c r="A231"/>
      <c r="C231"/>
    </row>
    <row r="232" spans="1:3" x14ac:dyDescent="0.25">
      <c r="A232"/>
      <c r="C232"/>
    </row>
    <row r="233" spans="1:3" x14ac:dyDescent="0.25">
      <c r="A233"/>
      <c r="C233"/>
    </row>
    <row r="234" spans="1:3" x14ac:dyDescent="0.25">
      <c r="A234"/>
      <c r="C234"/>
    </row>
    <row r="235" spans="1:3" x14ac:dyDescent="0.25">
      <c r="A235"/>
      <c r="C235"/>
    </row>
    <row r="236" spans="1:3" x14ac:dyDescent="0.25">
      <c r="A236"/>
      <c r="C236"/>
    </row>
    <row r="237" spans="1:3" x14ac:dyDescent="0.25">
      <c r="A237"/>
      <c r="C237"/>
    </row>
    <row r="238" spans="1:3" x14ac:dyDescent="0.25">
      <c r="A238"/>
      <c r="C238"/>
    </row>
    <row r="239" spans="1:3" x14ac:dyDescent="0.25">
      <c r="A239"/>
      <c r="C239"/>
    </row>
    <row r="240" spans="1:3" x14ac:dyDescent="0.25">
      <c r="A240"/>
      <c r="C240"/>
    </row>
    <row r="241" spans="1:3" x14ac:dyDescent="0.25">
      <c r="A241"/>
      <c r="C241"/>
    </row>
    <row r="242" spans="1:3" x14ac:dyDescent="0.25">
      <c r="A242"/>
      <c r="C242"/>
    </row>
    <row r="243" spans="1:3" x14ac:dyDescent="0.25">
      <c r="A243"/>
      <c r="C243"/>
    </row>
    <row r="244" spans="1:3" x14ac:dyDescent="0.25">
      <c r="A244"/>
      <c r="C244"/>
    </row>
    <row r="245" spans="1:3" x14ac:dyDescent="0.25">
      <c r="A245"/>
      <c r="C245"/>
    </row>
    <row r="246" spans="1:3" x14ac:dyDescent="0.25">
      <c r="A246"/>
      <c r="C246"/>
    </row>
    <row r="247" spans="1:3" x14ac:dyDescent="0.25">
      <c r="A247"/>
      <c r="C247"/>
    </row>
    <row r="248" spans="1:3" x14ac:dyDescent="0.25">
      <c r="A248"/>
      <c r="C248"/>
    </row>
    <row r="249" spans="1:3" x14ac:dyDescent="0.25">
      <c r="A249"/>
      <c r="C249"/>
    </row>
    <row r="250" spans="1:3" x14ac:dyDescent="0.25">
      <c r="A250"/>
      <c r="C250"/>
    </row>
    <row r="251" spans="1:3" x14ac:dyDescent="0.25">
      <c r="A251"/>
      <c r="C251"/>
    </row>
    <row r="252" spans="1:3" x14ac:dyDescent="0.25">
      <c r="A252"/>
      <c r="C252"/>
    </row>
    <row r="253" spans="1:3" x14ac:dyDescent="0.25">
      <c r="A253"/>
      <c r="C253"/>
    </row>
    <row r="254" spans="1:3" x14ac:dyDescent="0.25">
      <c r="A254"/>
      <c r="C254"/>
    </row>
    <row r="255" spans="1:3" x14ac:dyDescent="0.25">
      <c r="A255"/>
      <c r="C255"/>
    </row>
    <row r="256" spans="1:3" x14ac:dyDescent="0.25">
      <c r="A256"/>
      <c r="C256"/>
    </row>
    <row r="257" spans="1:3" x14ac:dyDescent="0.25">
      <c r="A257"/>
      <c r="C257"/>
    </row>
    <row r="258" spans="1:3" x14ac:dyDescent="0.25">
      <c r="A258"/>
      <c r="C258"/>
    </row>
    <row r="259" spans="1:3" x14ac:dyDescent="0.25">
      <c r="A259"/>
      <c r="C259"/>
    </row>
    <row r="260" spans="1:3" x14ac:dyDescent="0.25">
      <c r="A260"/>
      <c r="C260"/>
    </row>
    <row r="261" spans="1:3" x14ac:dyDescent="0.25">
      <c r="A261"/>
      <c r="C261"/>
    </row>
    <row r="262" spans="1:3" x14ac:dyDescent="0.25">
      <c r="A262"/>
      <c r="C262"/>
    </row>
    <row r="263" spans="1:3" x14ac:dyDescent="0.25">
      <c r="A263"/>
      <c r="C263"/>
    </row>
    <row r="264" spans="1:3" x14ac:dyDescent="0.25">
      <c r="A264"/>
      <c r="C264"/>
    </row>
    <row r="265" spans="1:3" x14ac:dyDescent="0.25">
      <c r="A265"/>
      <c r="C265"/>
    </row>
    <row r="266" spans="1:3" x14ac:dyDescent="0.25">
      <c r="A266"/>
      <c r="C266"/>
    </row>
    <row r="267" spans="1:3" x14ac:dyDescent="0.25">
      <c r="A267"/>
      <c r="C267"/>
    </row>
    <row r="268" spans="1:3" x14ac:dyDescent="0.25">
      <c r="A268"/>
      <c r="C268"/>
    </row>
    <row r="269" spans="1:3" x14ac:dyDescent="0.25">
      <c r="A269"/>
      <c r="C269"/>
    </row>
    <row r="270" spans="1:3" x14ac:dyDescent="0.25">
      <c r="A270"/>
      <c r="C270"/>
    </row>
    <row r="271" spans="1:3" x14ac:dyDescent="0.25">
      <c r="A271"/>
      <c r="C271"/>
    </row>
    <row r="272" spans="1:3" x14ac:dyDescent="0.25">
      <c r="A272"/>
      <c r="C272"/>
    </row>
    <row r="273" spans="1:3" x14ac:dyDescent="0.25">
      <c r="A273"/>
      <c r="C273"/>
    </row>
    <row r="274" spans="1:3" x14ac:dyDescent="0.25">
      <c r="A274"/>
      <c r="C274"/>
    </row>
    <row r="275" spans="1:3" x14ac:dyDescent="0.25">
      <c r="A275"/>
      <c r="C275"/>
    </row>
    <row r="276" spans="1:3" x14ac:dyDescent="0.25">
      <c r="A276"/>
      <c r="C276"/>
    </row>
    <row r="277" spans="1:3" x14ac:dyDescent="0.25">
      <c r="A277"/>
      <c r="C277"/>
    </row>
    <row r="278" spans="1:3" x14ac:dyDescent="0.25">
      <c r="A278"/>
      <c r="C278"/>
    </row>
    <row r="279" spans="1:3" x14ac:dyDescent="0.25">
      <c r="A279"/>
      <c r="C279"/>
    </row>
    <row r="280" spans="1:3" x14ac:dyDescent="0.25">
      <c r="A280"/>
      <c r="C280"/>
    </row>
    <row r="281" spans="1:3" x14ac:dyDescent="0.25">
      <c r="A281"/>
      <c r="C281"/>
    </row>
    <row r="282" spans="1:3" x14ac:dyDescent="0.25">
      <c r="A282"/>
      <c r="C282"/>
    </row>
    <row r="283" spans="1:3" x14ac:dyDescent="0.25">
      <c r="A283"/>
      <c r="C283"/>
    </row>
    <row r="284" spans="1:3" x14ac:dyDescent="0.25">
      <c r="A284"/>
      <c r="C284"/>
    </row>
    <row r="285" spans="1:3" x14ac:dyDescent="0.25">
      <c r="A285"/>
      <c r="C285"/>
    </row>
    <row r="286" spans="1:3" x14ac:dyDescent="0.25">
      <c r="A286"/>
      <c r="C286"/>
    </row>
    <row r="287" spans="1:3" x14ac:dyDescent="0.25">
      <c r="A287"/>
      <c r="C287"/>
    </row>
    <row r="288" spans="1:3" x14ac:dyDescent="0.25">
      <c r="A288"/>
      <c r="C288"/>
    </row>
    <row r="289" spans="1:3" x14ac:dyDescent="0.25">
      <c r="A289"/>
      <c r="C289"/>
    </row>
    <row r="290" spans="1:3" x14ac:dyDescent="0.25">
      <c r="A290"/>
      <c r="C290"/>
    </row>
    <row r="291" spans="1:3" x14ac:dyDescent="0.25">
      <c r="A291"/>
      <c r="C291"/>
    </row>
  </sheetData>
  <sheetProtection sheet="1" objects="1" scenarios="1"/>
  <phoneticPr fontId="41" type="noConversion"/>
  <printOptions horizontalCentered="1"/>
  <pageMargins left="0.31496062992125984" right="0.31496062992125984" top="0.94488188976377963" bottom="0.55118110236220474" header="0.31496062992125984" footer="0.31496062992125984"/>
  <pageSetup paperSize="9" scale="66" orientation="landscape" r:id="rId2"/>
  <headerFooter>
    <oddHeader>&amp;R&amp;F</oddHeader>
    <oddFooter>Sida &amp;P av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tabColor indexed="12"/>
    <pageSetUpPr fitToPage="1"/>
  </sheetPr>
  <dimension ref="A1:DM326"/>
  <sheetViews>
    <sheetView workbookViewId="0">
      <selection activeCell="C1" sqref="C1"/>
    </sheetView>
  </sheetViews>
  <sheetFormatPr defaultColWidth="8.85546875" defaultRowHeight="15" x14ac:dyDescent="0.25"/>
  <cols>
    <col min="1" max="1" width="11.42578125" style="25" customWidth="1"/>
    <col min="2" max="2" width="33.5703125" style="25" customWidth="1"/>
    <col min="3" max="3" width="15.140625" style="25" customWidth="1"/>
    <col min="4" max="4" width="69.5703125" style="25" customWidth="1"/>
    <col min="5" max="5" width="29.28515625" style="25" customWidth="1"/>
    <col min="6" max="6" width="10.7109375" style="25" customWidth="1"/>
    <col min="7" max="7" width="8.5703125" style="25" customWidth="1"/>
    <col min="8" max="8" width="10.7109375" style="25" customWidth="1"/>
    <col min="9" max="9" width="10.28515625" style="25" customWidth="1"/>
    <col min="10" max="11" width="6.7109375" style="25" customWidth="1"/>
    <col min="12" max="12" width="17" style="25" customWidth="1"/>
    <col min="13" max="21" width="29.42578125" style="25" bestFit="1" customWidth="1"/>
    <col min="22" max="22" width="29.42578125" style="25" customWidth="1"/>
    <col min="23" max="111" width="29.42578125" style="25" bestFit="1" customWidth="1"/>
    <col min="112" max="112" width="16" style="25" bestFit="1" customWidth="1"/>
    <col min="113" max="113" width="22.85546875" style="25" bestFit="1" customWidth="1"/>
    <col min="114" max="114" width="25.42578125" style="25" bestFit="1" customWidth="1"/>
    <col min="115" max="115" width="10.42578125" style="25" bestFit="1" customWidth="1"/>
    <col min="116" max="116" width="10.5703125" style="25" bestFit="1" customWidth="1"/>
    <col min="117" max="117" width="25.5703125" style="25" bestFit="1" customWidth="1"/>
    <col min="118" max="16384" width="8.85546875" style="25"/>
  </cols>
  <sheetData>
    <row r="1" spans="1:117" x14ac:dyDescent="0.25">
      <c r="A1"/>
      <c r="B1"/>
    </row>
    <row r="2" spans="1:117" s="27" customFormat="1" ht="15" customHeight="1" x14ac:dyDescent="0.2">
      <c r="A2" s="535" t="s">
        <v>1688</v>
      </c>
      <c r="B2" s="535"/>
      <c r="D2" s="535"/>
      <c r="E2" s="535"/>
    </row>
    <row r="3" spans="1:117" x14ac:dyDescent="0.25">
      <c r="A3" s="520"/>
      <c r="B3" s="521"/>
      <c r="C3" s="521"/>
      <c r="D3" s="521"/>
      <c r="E3" s="521"/>
      <c r="F3" s="522" t="s">
        <v>4</v>
      </c>
      <c r="G3" s="521"/>
      <c r="H3" s="521"/>
      <c r="I3" s="521"/>
      <c r="J3" s="521"/>
      <c r="K3" s="52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row>
    <row r="4" spans="1:117" s="28" customFormat="1" ht="45" x14ac:dyDescent="0.25">
      <c r="A4" s="511" t="s">
        <v>327</v>
      </c>
      <c r="B4" s="510" t="s">
        <v>2</v>
      </c>
      <c r="C4" s="510" t="s">
        <v>59</v>
      </c>
      <c r="D4" s="504" t="s">
        <v>158</v>
      </c>
      <c r="E4" s="510" t="s">
        <v>326</v>
      </c>
      <c r="F4" s="512" t="s">
        <v>448</v>
      </c>
      <c r="G4" s="512" t="s">
        <v>376</v>
      </c>
      <c r="H4" s="512" t="s">
        <v>458</v>
      </c>
      <c r="I4" s="512" t="s">
        <v>919</v>
      </c>
      <c r="J4" s="512" t="s">
        <v>61</v>
      </c>
      <c r="K4" s="513" t="s">
        <v>62</v>
      </c>
      <c r="L4"/>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c r="DK4" s="29"/>
      <c r="DL4" s="29"/>
      <c r="DM4" s="29"/>
    </row>
    <row r="5" spans="1:117" x14ac:dyDescent="0.25">
      <c r="A5" s="506">
        <v>1620</v>
      </c>
      <c r="B5" s="505" t="s">
        <v>176</v>
      </c>
      <c r="C5" s="505" t="s">
        <v>516</v>
      </c>
      <c r="D5" s="505" t="s">
        <v>535</v>
      </c>
      <c r="E5" s="505" t="s">
        <v>173</v>
      </c>
      <c r="F5" s="507">
        <v>214731.33749999999</v>
      </c>
      <c r="G5" s="507">
        <v>-15031.193625000002</v>
      </c>
      <c r="H5" s="507">
        <v>199700.14387499998</v>
      </c>
      <c r="I5" s="507">
        <v>39150</v>
      </c>
      <c r="J5" s="508">
        <v>6.75</v>
      </c>
      <c r="K5" s="509">
        <v>5.7374999999999998</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row>
    <row r="6" spans="1:117" x14ac:dyDescent="0.25">
      <c r="A6" s="506"/>
      <c r="B6" s="505"/>
      <c r="C6" s="505" t="s">
        <v>521</v>
      </c>
      <c r="D6" s="505" t="s">
        <v>536</v>
      </c>
      <c r="E6" s="505" t="s">
        <v>173</v>
      </c>
      <c r="F6" s="507">
        <v>206778.32500000001</v>
      </c>
      <c r="G6" s="507">
        <v>-14474.482750000003</v>
      </c>
      <c r="H6" s="507">
        <v>192303.84225000002</v>
      </c>
      <c r="I6" s="507">
        <v>37700</v>
      </c>
      <c r="J6" s="508">
        <v>6.5</v>
      </c>
      <c r="K6" s="509">
        <v>5.5250000000000004</v>
      </c>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row>
    <row r="7" spans="1:117" x14ac:dyDescent="0.25">
      <c r="A7" s="506"/>
      <c r="B7" s="505"/>
      <c r="C7" s="505" t="s">
        <v>606</v>
      </c>
      <c r="D7" s="505" t="s">
        <v>624</v>
      </c>
      <c r="E7" s="505" t="s">
        <v>173</v>
      </c>
      <c r="F7" s="507">
        <v>111342.175</v>
      </c>
      <c r="G7" s="507">
        <v>-7793.9522500000012</v>
      </c>
      <c r="H7" s="507">
        <v>103548.22275</v>
      </c>
      <c r="I7" s="507">
        <v>20300</v>
      </c>
      <c r="J7" s="508">
        <v>3.5</v>
      </c>
      <c r="K7" s="509">
        <v>2.9750000000000001</v>
      </c>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row>
    <row r="8" spans="1:117" x14ac:dyDescent="0.25">
      <c r="A8" s="506"/>
      <c r="B8" s="505"/>
      <c r="C8" s="505" t="s">
        <v>828</v>
      </c>
      <c r="D8" s="505" t="s">
        <v>621</v>
      </c>
      <c r="E8" s="505" t="s">
        <v>461</v>
      </c>
      <c r="F8" s="507">
        <v>43086.363333333342</v>
      </c>
      <c r="G8" s="507">
        <v>-3016.0454333333341</v>
      </c>
      <c r="H8" s="507">
        <v>40070.317900000009</v>
      </c>
      <c r="I8" s="507">
        <v>3286.666666666667</v>
      </c>
      <c r="J8" s="508">
        <v>0.96666666666666679</v>
      </c>
      <c r="K8" s="509">
        <v>0.82166666666666677</v>
      </c>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row>
    <row r="9" spans="1:117" x14ac:dyDescent="0.25">
      <c r="A9" s="506"/>
      <c r="B9" s="505"/>
      <c r="C9" s="505" t="s">
        <v>827</v>
      </c>
      <c r="D9" s="505" t="s">
        <v>620</v>
      </c>
      <c r="E9" s="505" t="s">
        <v>461</v>
      </c>
      <c r="F9" s="507">
        <v>43086.363333333342</v>
      </c>
      <c r="G9" s="507">
        <v>-3016.0454333333341</v>
      </c>
      <c r="H9" s="507">
        <v>40070.317900000009</v>
      </c>
      <c r="I9" s="507">
        <v>3286.666666666667</v>
      </c>
      <c r="J9" s="508">
        <v>0.96666666666666679</v>
      </c>
      <c r="K9" s="509">
        <v>0.82166666666666677</v>
      </c>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row>
    <row r="10" spans="1:117" x14ac:dyDescent="0.25">
      <c r="A10" s="506"/>
      <c r="B10" s="505"/>
      <c r="C10" s="505" t="s">
        <v>1565</v>
      </c>
      <c r="D10" s="505" t="s">
        <v>1599</v>
      </c>
      <c r="E10" s="505" t="s">
        <v>1130</v>
      </c>
      <c r="F10" s="507">
        <v>138382.41750000001</v>
      </c>
      <c r="G10" s="507">
        <v>-9686.7692250000018</v>
      </c>
      <c r="H10" s="507">
        <v>128695.64827500001</v>
      </c>
      <c r="I10" s="507">
        <v>25230.000000000004</v>
      </c>
      <c r="J10" s="508">
        <v>4.3500000000000005</v>
      </c>
      <c r="K10" s="509">
        <v>3.6975000000000002</v>
      </c>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row>
    <row r="11" spans="1:117" x14ac:dyDescent="0.25">
      <c r="A11" s="506"/>
      <c r="B11" s="505"/>
      <c r="C11" s="505" t="s">
        <v>1274</v>
      </c>
      <c r="D11" s="505" t="s">
        <v>1283</v>
      </c>
      <c r="E11" s="505" t="s">
        <v>173</v>
      </c>
      <c r="F11" s="507">
        <v>95436.15</v>
      </c>
      <c r="G11" s="507">
        <v>-6680.5304999999998</v>
      </c>
      <c r="H11" s="507">
        <v>88755.619500000001</v>
      </c>
      <c r="I11" s="507">
        <v>17400</v>
      </c>
      <c r="J11" s="508">
        <v>3</v>
      </c>
      <c r="K11" s="509">
        <v>2.5499999999999998</v>
      </c>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row>
    <row r="12" spans="1:117" x14ac:dyDescent="0.25">
      <c r="A12" s="506"/>
      <c r="B12" s="505"/>
      <c r="C12" s="505" t="s">
        <v>1681</v>
      </c>
      <c r="D12" s="505" t="s">
        <v>1682</v>
      </c>
      <c r="E12" s="505" t="s">
        <v>1130</v>
      </c>
      <c r="F12" s="507">
        <v>33137.552083333328</v>
      </c>
      <c r="G12" s="507">
        <v>-2319.6286458333334</v>
      </c>
      <c r="H12" s="507">
        <v>30817.923437499994</v>
      </c>
      <c r="I12" s="507">
        <v>6041.6666666666661</v>
      </c>
      <c r="J12" s="508">
        <v>1.0416666666666665</v>
      </c>
      <c r="K12" s="509">
        <v>0.88541666666666663</v>
      </c>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row>
    <row r="13" spans="1:117" x14ac:dyDescent="0.25">
      <c r="A13" s="506"/>
      <c r="B13" s="505"/>
      <c r="C13" s="505" t="s">
        <v>1972</v>
      </c>
      <c r="D13" s="505" t="s">
        <v>1180</v>
      </c>
      <c r="E13" s="505" t="s">
        <v>461</v>
      </c>
      <c r="F13" s="507">
        <v>143154.22500000001</v>
      </c>
      <c r="G13" s="507">
        <v>-10020.795750000001</v>
      </c>
      <c r="H13" s="507">
        <v>133133.42925000002</v>
      </c>
      <c r="I13" s="507">
        <v>26100</v>
      </c>
      <c r="J13" s="508">
        <v>4.5</v>
      </c>
      <c r="K13" s="509">
        <v>3.8249999999999997</v>
      </c>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row>
    <row r="14" spans="1:117" x14ac:dyDescent="0.25">
      <c r="A14" s="506" t="s">
        <v>855</v>
      </c>
      <c r="B14" s="505"/>
      <c r="C14" s="505"/>
      <c r="D14" s="505"/>
      <c r="E14" s="505"/>
      <c r="F14" s="507">
        <v>1029134.9087500001</v>
      </c>
      <c r="G14" s="507">
        <v>-72039.443612500007</v>
      </c>
      <c r="H14" s="507">
        <v>957095.4651375002</v>
      </c>
      <c r="I14" s="507">
        <v>178495</v>
      </c>
      <c r="J14" s="508">
        <v>31.575000000000006</v>
      </c>
      <c r="K14" s="509">
        <v>26.838750000000001</v>
      </c>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row>
    <row r="15" spans="1:117" x14ac:dyDescent="0.25">
      <c r="A15" s="506">
        <v>1630</v>
      </c>
      <c r="B15" s="505" t="s">
        <v>172</v>
      </c>
      <c r="C15" s="505" t="s">
        <v>470</v>
      </c>
      <c r="D15" s="505" t="s">
        <v>473</v>
      </c>
      <c r="E15" s="505" t="s">
        <v>173</v>
      </c>
      <c r="F15" s="507">
        <v>313911.87749999994</v>
      </c>
      <c r="G15" s="507">
        <v>-21973.831424999997</v>
      </c>
      <c r="H15" s="507">
        <v>291938.04607499996</v>
      </c>
      <c r="I15" s="507">
        <v>37845</v>
      </c>
      <c r="J15" s="508">
        <v>6.5249999999999995</v>
      </c>
      <c r="K15" s="509">
        <v>5.5462499999999997</v>
      </c>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row>
    <row r="16" spans="1:117" x14ac:dyDescent="0.25">
      <c r="A16" s="506"/>
      <c r="B16" s="505"/>
      <c r="C16" s="505" t="s">
        <v>471</v>
      </c>
      <c r="D16" s="505" t="s">
        <v>474</v>
      </c>
      <c r="E16" s="505" t="s">
        <v>194</v>
      </c>
      <c r="F16" s="507">
        <v>155552.75666666665</v>
      </c>
      <c r="G16" s="507">
        <v>-10888.692966666667</v>
      </c>
      <c r="H16" s="507">
        <v>144664.0637</v>
      </c>
      <c r="I16" s="507">
        <v>18753.333333333332</v>
      </c>
      <c r="J16" s="508">
        <v>3.2333333333333329</v>
      </c>
      <c r="K16" s="509">
        <v>2.7483333333333331</v>
      </c>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row>
    <row r="17" spans="1:117" x14ac:dyDescent="0.25">
      <c r="A17" s="506"/>
      <c r="B17" s="505"/>
      <c r="C17" s="505"/>
      <c r="D17" s="505"/>
      <c r="E17" s="505" t="s">
        <v>200</v>
      </c>
      <c r="F17" s="507">
        <v>38888.189166666663</v>
      </c>
      <c r="G17" s="507">
        <v>-2722.1732416666669</v>
      </c>
      <c r="H17" s="507">
        <v>36166.015925</v>
      </c>
      <c r="I17" s="507">
        <v>4688.333333333333</v>
      </c>
      <c r="J17" s="508">
        <v>0.80833333333333324</v>
      </c>
      <c r="K17" s="509">
        <v>0.68708333333333327</v>
      </c>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row>
    <row r="18" spans="1:117" x14ac:dyDescent="0.25">
      <c r="A18" s="506"/>
      <c r="B18" s="505"/>
      <c r="C18" s="505" t="s">
        <v>873</v>
      </c>
      <c r="D18" s="505" t="s">
        <v>1181</v>
      </c>
      <c r="E18" s="505" t="s">
        <v>192</v>
      </c>
      <c r="F18" s="507">
        <v>111342.17499999999</v>
      </c>
      <c r="G18" s="507">
        <v>-7793.9522500000003</v>
      </c>
      <c r="H18" s="507">
        <v>103548.22274999999</v>
      </c>
      <c r="I18" s="507">
        <v>20300</v>
      </c>
      <c r="J18" s="508">
        <v>3.5</v>
      </c>
      <c r="K18" s="509">
        <v>2.9749999999999996</v>
      </c>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row>
    <row r="19" spans="1:117" x14ac:dyDescent="0.25">
      <c r="A19" s="506"/>
      <c r="B19" s="505"/>
      <c r="C19" s="505"/>
      <c r="D19" s="505"/>
      <c r="E19" s="505" t="s">
        <v>2169</v>
      </c>
      <c r="F19" s="507">
        <v>37114.058333333327</v>
      </c>
      <c r="G19" s="507">
        <v>-2597.9840833333333</v>
      </c>
      <c r="H19" s="507">
        <v>34516.074249999991</v>
      </c>
      <c r="I19" s="507">
        <v>6766.6666666666661</v>
      </c>
      <c r="J19" s="508">
        <v>1.1666666666666665</v>
      </c>
      <c r="K19" s="509">
        <v>0.99166666666666647</v>
      </c>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row>
    <row r="20" spans="1:117" x14ac:dyDescent="0.25">
      <c r="A20" s="506"/>
      <c r="B20" s="505"/>
      <c r="C20" s="505" t="s">
        <v>1152</v>
      </c>
      <c r="D20" s="505" t="s">
        <v>1138</v>
      </c>
      <c r="E20" s="505" t="s">
        <v>192</v>
      </c>
      <c r="F20" s="507">
        <v>259564.63086666662</v>
      </c>
      <c r="G20" s="507">
        <v>-18169.524160666664</v>
      </c>
      <c r="H20" s="507">
        <v>241395.10670599996</v>
      </c>
      <c r="I20" s="507">
        <v>31292.933333333334</v>
      </c>
      <c r="J20" s="508">
        <v>5.3953333333333333</v>
      </c>
      <c r="K20" s="509">
        <v>4.5860333333333321</v>
      </c>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row>
    <row r="21" spans="1:117" x14ac:dyDescent="0.25">
      <c r="A21" s="506"/>
      <c r="B21" s="505"/>
      <c r="C21" s="505"/>
      <c r="D21" s="505"/>
      <c r="E21" s="505" t="s">
        <v>200</v>
      </c>
      <c r="F21" s="507">
        <v>389346.94630000001</v>
      </c>
      <c r="G21" s="507">
        <v>-27254.286241000002</v>
      </c>
      <c r="H21" s="507">
        <v>362092.66005900002</v>
      </c>
      <c r="I21" s="507">
        <v>46939.400000000009</v>
      </c>
      <c r="J21" s="508">
        <v>8.0930000000000017</v>
      </c>
      <c r="K21" s="509">
        <v>6.8790499999999986</v>
      </c>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row>
    <row r="22" spans="1:117" x14ac:dyDescent="0.25">
      <c r="A22" s="506"/>
      <c r="B22" s="505"/>
      <c r="C22" s="505" t="s">
        <v>1154</v>
      </c>
      <c r="D22" s="505" t="s">
        <v>1139</v>
      </c>
      <c r="E22" s="505" t="s">
        <v>173</v>
      </c>
      <c r="F22" s="507">
        <v>901600.61582499999</v>
      </c>
      <c r="G22" s="507">
        <v>-63112.043107750003</v>
      </c>
      <c r="H22" s="507">
        <v>838488.57271724998</v>
      </c>
      <c r="I22" s="507">
        <v>108696.35</v>
      </c>
      <c r="J22" s="508">
        <v>18.740750000000002</v>
      </c>
      <c r="K22" s="509">
        <v>15.929637499999997</v>
      </c>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row>
    <row r="23" spans="1:117" x14ac:dyDescent="0.25">
      <c r="A23" s="506"/>
      <c r="B23" s="505"/>
      <c r="C23" s="505" t="s">
        <v>2112</v>
      </c>
      <c r="D23" s="505" t="s">
        <v>2129</v>
      </c>
      <c r="E23" s="505" t="s">
        <v>199</v>
      </c>
      <c r="F23" s="507">
        <v>95436.15</v>
      </c>
      <c r="G23" s="507">
        <v>-6680.5304999999998</v>
      </c>
      <c r="H23" s="507">
        <v>88755.619500000001</v>
      </c>
      <c r="I23" s="507">
        <v>17400</v>
      </c>
      <c r="J23" s="508">
        <v>3</v>
      </c>
      <c r="K23" s="509">
        <v>2.5499999999999998</v>
      </c>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row>
    <row r="24" spans="1:117" x14ac:dyDescent="0.25">
      <c r="A24" s="506" t="s">
        <v>856</v>
      </c>
      <c r="B24" s="505"/>
      <c r="C24" s="505"/>
      <c r="D24" s="505"/>
      <c r="E24" s="505"/>
      <c r="F24" s="507">
        <v>2302757.399658333</v>
      </c>
      <c r="G24" s="507">
        <v>-161193.01797608333</v>
      </c>
      <c r="H24" s="507">
        <v>2141564.3816822497</v>
      </c>
      <c r="I24" s="507">
        <v>292682.01666666672</v>
      </c>
      <c r="J24" s="508">
        <v>50.46241666666667</v>
      </c>
      <c r="K24" s="509">
        <v>42.893054166666658</v>
      </c>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row>
    <row r="25" spans="1:117" x14ac:dyDescent="0.25">
      <c r="A25" s="506">
        <v>1650</v>
      </c>
      <c r="B25" s="505" t="s">
        <v>11</v>
      </c>
      <c r="C25" s="505" t="s">
        <v>1568</v>
      </c>
      <c r="D25" s="505" t="s">
        <v>1606</v>
      </c>
      <c r="E25" s="505" t="s">
        <v>192</v>
      </c>
      <c r="F25" s="507">
        <v>80371.182499999995</v>
      </c>
      <c r="G25" s="507">
        <v>-5625.9827750000004</v>
      </c>
      <c r="H25" s="507">
        <v>74745.199724999999</v>
      </c>
      <c r="I25" s="507">
        <v>35897.5</v>
      </c>
      <c r="J25" s="508">
        <v>2.0750000000000002</v>
      </c>
      <c r="K25" s="509">
        <v>1.7637499999999999</v>
      </c>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row>
    <row r="26" spans="1:117" x14ac:dyDescent="0.25">
      <c r="A26" s="506"/>
      <c r="B26" s="505"/>
      <c r="C26" s="505"/>
      <c r="D26" s="505"/>
      <c r="E26" s="505" t="s">
        <v>1130</v>
      </c>
      <c r="F26" s="507">
        <v>80371.182499999995</v>
      </c>
      <c r="G26" s="507">
        <v>-5625.9827750000004</v>
      </c>
      <c r="H26" s="507">
        <v>74745.199724999999</v>
      </c>
      <c r="I26" s="507">
        <v>35897.5</v>
      </c>
      <c r="J26" s="508">
        <v>2.0750000000000002</v>
      </c>
      <c r="K26" s="509">
        <v>1.7637499999999999</v>
      </c>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row>
    <row r="27" spans="1:117" x14ac:dyDescent="0.25">
      <c r="A27" s="506" t="s">
        <v>1367</v>
      </c>
      <c r="B27" s="505"/>
      <c r="C27" s="505"/>
      <c r="D27" s="505"/>
      <c r="E27" s="505"/>
      <c r="F27" s="507">
        <v>160742.36499999999</v>
      </c>
      <c r="G27" s="507">
        <v>-11251.965550000001</v>
      </c>
      <c r="H27" s="507">
        <v>149490.39945</v>
      </c>
      <c r="I27" s="507">
        <v>71795</v>
      </c>
      <c r="J27" s="508">
        <v>4.1500000000000004</v>
      </c>
      <c r="K27" s="509">
        <v>3.5274999999999999</v>
      </c>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row>
    <row r="28" spans="1:117" x14ac:dyDescent="0.25">
      <c r="A28" s="506">
        <v>2180</v>
      </c>
      <c r="B28" s="505" t="s">
        <v>192</v>
      </c>
      <c r="C28" s="505" t="s">
        <v>586</v>
      </c>
      <c r="D28" s="505" t="s">
        <v>678</v>
      </c>
      <c r="E28" s="505" t="s">
        <v>242</v>
      </c>
      <c r="F28" s="507">
        <v>268447.71875</v>
      </c>
      <c r="G28" s="507">
        <v>-18791.3403125</v>
      </c>
      <c r="H28" s="507">
        <v>249656.37843750001</v>
      </c>
      <c r="I28" s="507">
        <v>129375</v>
      </c>
      <c r="J28" s="508">
        <v>3.75</v>
      </c>
      <c r="K28" s="509">
        <v>3.15625</v>
      </c>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row>
    <row r="29" spans="1:117" x14ac:dyDescent="0.25">
      <c r="A29" s="506"/>
      <c r="B29" s="505"/>
      <c r="C29" s="505" t="s">
        <v>835</v>
      </c>
      <c r="D29" s="505" t="s">
        <v>1202</v>
      </c>
      <c r="E29" s="505" t="s">
        <v>1130</v>
      </c>
      <c r="F29" s="507">
        <v>216490.95</v>
      </c>
      <c r="G29" s="507">
        <v>-15154.366500000002</v>
      </c>
      <c r="H29" s="507">
        <v>201336.58350000001</v>
      </c>
      <c r="I29" s="507">
        <v>26100</v>
      </c>
      <c r="J29" s="508">
        <v>4.5</v>
      </c>
      <c r="K29" s="509">
        <v>3.8250000000000002</v>
      </c>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row>
    <row r="30" spans="1:117" x14ac:dyDescent="0.25">
      <c r="A30" s="506"/>
      <c r="B30" s="505"/>
      <c r="C30" s="505" t="s">
        <v>1287</v>
      </c>
      <c r="D30" s="505" t="s">
        <v>1292</v>
      </c>
      <c r="E30" s="505" t="s">
        <v>197</v>
      </c>
      <c r="F30" s="507">
        <v>185220.03500000003</v>
      </c>
      <c r="G30" s="507">
        <v>-12965.402450000003</v>
      </c>
      <c r="H30" s="507">
        <v>172254.63255000004</v>
      </c>
      <c r="I30" s="507">
        <v>22330.000000000004</v>
      </c>
      <c r="J30" s="508">
        <v>3.8500000000000005</v>
      </c>
      <c r="K30" s="509">
        <v>3.2725000000000004</v>
      </c>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row>
    <row r="31" spans="1:117" x14ac:dyDescent="0.25">
      <c r="A31" s="506"/>
      <c r="B31" s="505"/>
      <c r="C31" s="505" t="s">
        <v>1285</v>
      </c>
      <c r="D31" s="505" t="s">
        <v>1291</v>
      </c>
      <c r="E31" s="505" t="s">
        <v>194</v>
      </c>
      <c r="F31" s="507">
        <v>787666.23974999983</v>
      </c>
      <c r="G31" s="507">
        <v>-55136.636782499991</v>
      </c>
      <c r="H31" s="507">
        <v>732529.60296749987</v>
      </c>
      <c r="I31" s="507">
        <v>94960.499999999985</v>
      </c>
      <c r="J31" s="508">
        <v>16.372499999999999</v>
      </c>
      <c r="K31" s="509">
        <v>13.916624999999996</v>
      </c>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row>
    <row r="32" spans="1:117" x14ac:dyDescent="0.25">
      <c r="A32" s="506"/>
      <c r="B32" s="505"/>
      <c r="C32" s="505" t="s">
        <v>600</v>
      </c>
      <c r="D32" s="505" t="s">
        <v>726</v>
      </c>
      <c r="E32" s="505" t="s">
        <v>1130</v>
      </c>
      <c r="F32" s="507">
        <v>211680.03999999998</v>
      </c>
      <c r="G32" s="507">
        <v>-14817.602800000001</v>
      </c>
      <c r="H32" s="507">
        <v>196862.43719999999</v>
      </c>
      <c r="I32" s="507">
        <v>25520.000000000004</v>
      </c>
      <c r="J32" s="508">
        <v>4.4000000000000004</v>
      </c>
      <c r="K32" s="509">
        <v>3.7399999999999993</v>
      </c>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row>
    <row r="33" spans="1:117" x14ac:dyDescent="0.25">
      <c r="A33" s="506"/>
      <c r="B33" s="505"/>
      <c r="C33" s="505" t="s">
        <v>1586</v>
      </c>
      <c r="D33" s="505" t="s">
        <v>1607</v>
      </c>
      <c r="E33" s="505" t="s">
        <v>242</v>
      </c>
      <c r="F33" s="507">
        <v>259663.76874999999</v>
      </c>
      <c r="G33" s="507">
        <v>-18176.463812500002</v>
      </c>
      <c r="H33" s="507">
        <v>241487.30493749998</v>
      </c>
      <c r="I33" s="507">
        <v>125062.5</v>
      </c>
      <c r="J33" s="508">
        <v>3.625</v>
      </c>
      <c r="K33" s="509">
        <v>3.0562499999999999</v>
      </c>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row>
    <row r="34" spans="1:117" x14ac:dyDescent="0.25">
      <c r="A34" s="506"/>
      <c r="B34" s="505"/>
      <c r="C34" s="505"/>
      <c r="D34" s="505"/>
      <c r="E34" s="505" t="s">
        <v>205</v>
      </c>
      <c r="F34" s="507">
        <v>155798.26124999998</v>
      </c>
      <c r="G34" s="507">
        <v>-10905.8782875</v>
      </c>
      <c r="H34" s="507">
        <v>144892.38296249998</v>
      </c>
      <c r="I34" s="507">
        <v>75037.5</v>
      </c>
      <c r="J34" s="508">
        <v>2.1749999999999998</v>
      </c>
      <c r="K34" s="509">
        <v>1.8337499999999998</v>
      </c>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row>
    <row r="35" spans="1:117" x14ac:dyDescent="0.25">
      <c r="A35" s="506"/>
      <c r="B35" s="505"/>
      <c r="C35" s="505" t="s">
        <v>1559</v>
      </c>
      <c r="D35" s="505" t="s">
        <v>1560</v>
      </c>
      <c r="E35" s="505" t="s">
        <v>194</v>
      </c>
      <c r="F35" s="507">
        <v>34041.296666666662</v>
      </c>
      <c r="G35" s="507">
        <v>-2382.8907666666664</v>
      </c>
      <c r="H35" s="507">
        <v>31658.405899999994</v>
      </c>
      <c r="I35" s="507">
        <v>4108.333333333333</v>
      </c>
      <c r="J35" s="508">
        <v>0.70833333333333326</v>
      </c>
      <c r="K35" s="509">
        <v>0.60083333333333333</v>
      </c>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row>
    <row r="36" spans="1:117" x14ac:dyDescent="0.25">
      <c r="A36" s="506"/>
      <c r="B36" s="505"/>
      <c r="C36" s="505"/>
      <c r="D36" s="505"/>
      <c r="E36" s="505" t="s">
        <v>1130</v>
      </c>
      <c r="F36" s="507">
        <v>136165.18666666665</v>
      </c>
      <c r="G36" s="507">
        <v>-9531.5630666666657</v>
      </c>
      <c r="H36" s="507">
        <v>126633.62359999998</v>
      </c>
      <c r="I36" s="507">
        <v>16433.333333333332</v>
      </c>
      <c r="J36" s="508">
        <v>2.833333333333333</v>
      </c>
      <c r="K36" s="509">
        <v>2.4033333333333333</v>
      </c>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row>
    <row r="37" spans="1:117" x14ac:dyDescent="0.25">
      <c r="A37" s="506"/>
      <c r="B37" s="505"/>
      <c r="C37" s="505" t="s">
        <v>1576</v>
      </c>
      <c r="D37" s="505" t="s">
        <v>1616</v>
      </c>
      <c r="E37" s="505" t="s">
        <v>194</v>
      </c>
      <c r="F37" s="507">
        <v>24054.55</v>
      </c>
      <c r="G37" s="507">
        <v>-1683.8185000000001</v>
      </c>
      <c r="H37" s="507">
        <v>22370.731499999998</v>
      </c>
      <c r="I37" s="507">
        <v>2900</v>
      </c>
      <c r="J37" s="508">
        <v>0.5</v>
      </c>
      <c r="K37" s="509">
        <v>0.42499999999999999</v>
      </c>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row>
    <row r="38" spans="1:117" x14ac:dyDescent="0.25">
      <c r="A38" s="506"/>
      <c r="B38" s="505"/>
      <c r="C38" s="505"/>
      <c r="D38" s="505"/>
      <c r="E38" s="505" t="s">
        <v>1130</v>
      </c>
      <c r="F38" s="507">
        <v>36081.824999999997</v>
      </c>
      <c r="G38" s="507">
        <v>-2525.72775</v>
      </c>
      <c r="H38" s="507">
        <v>33556.097249999999</v>
      </c>
      <c r="I38" s="507">
        <v>4350</v>
      </c>
      <c r="J38" s="508">
        <v>0.75</v>
      </c>
      <c r="K38" s="509">
        <v>0.63749999999999996</v>
      </c>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row>
    <row r="39" spans="1:117" x14ac:dyDescent="0.25">
      <c r="A39" s="506"/>
      <c r="B39" s="505"/>
      <c r="C39" s="505" t="s">
        <v>1577</v>
      </c>
      <c r="D39" s="505" t="s">
        <v>1617</v>
      </c>
      <c r="E39" s="505" t="s">
        <v>194</v>
      </c>
      <c r="F39" s="507">
        <v>113858.20333333334</v>
      </c>
      <c r="G39" s="507">
        <v>-7970.0742333333346</v>
      </c>
      <c r="H39" s="507">
        <v>105888.12910000001</v>
      </c>
      <c r="I39" s="507">
        <v>13726.66666666667</v>
      </c>
      <c r="J39" s="508">
        <v>2.3666666666666671</v>
      </c>
      <c r="K39" s="509">
        <v>2.0116666666666667</v>
      </c>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row>
    <row r="40" spans="1:117" x14ac:dyDescent="0.25">
      <c r="A40" s="506"/>
      <c r="B40" s="505"/>
      <c r="C40" s="505"/>
      <c r="D40" s="505"/>
      <c r="E40" s="505" t="s">
        <v>461</v>
      </c>
      <c r="F40" s="507">
        <v>170787.30500000002</v>
      </c>
      <c r="G40" s="507">
        <v>-11955.111350000003</v>
      </c>
      <c r="H40" s="507">
        <v>158832.19365000003</v>
      </c>
      <c r="I40" s="507">
        <v>20590.000000000004</v>
      </c>
      <c r="J40" s="508">
        <v>3.5500000000000007</v>
      </c>
      <c r="K40" s="509">
        <v>3.0175000000000001</v>
      </c>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row>
    <row r="41" spans="1:117" x14ac:dyDescent="0.25">
      <c r="A41" s="506"/>
      <c r="B41" s="505"/>
      <c r="C41" s="505" t="s">
        <v>1626</v>
      </c>
      <c r="D41" s="505" t="s">
        <v>1627</v>
      </c>
      <c r="E41" s="505" t="s">
        <v>1130</v>
      </c>
      <c r="F41" s="507">
        <v>89803.653333333335</v>
      </c>
      <c r="G41" s="507">
        <v>-6286.2557333333343</v>
      </c>
      <c r="H41" s="507">
        <v>83517.397599999997</v>
      </c>
      <c r="I41" s="507">
        <v>10826.666666666666</v>
      </c>
      <c r="J41" s="508">
        <v>1.8666666666666667</v>
      </c>
      <c r="K41" s="509">
        <v>1.5866666666666667</v>
      </c>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row>
    <row r="42" spans="1:117" x14ac:dyDescent="0.25">
      <c r="A42" s="506"/>
      <c r="B42" s="505"/>
      <c r="C42" s="505" t="s">
        <v>1657</v>
      </c>
      <c r="D42" s="505" t="s">
        <v>1678</v>
      </c>
      <c r="E42" s="505" t="s">
        <v>194</v>
      </c>
      <c r="F42" s="507">
        <v>43639.128333333341</v>
      </c>
      <c r="G42" s="507">
        <v>-3054.7389833333341</v>
      </c>
      <c r="H42" s="507">
        <v>40584.389350000005</v>
      </c>
      <c r="I42" s="507">
        <v>5268.3333333333348</v>
      </c>
      <c r="J42" s="508">
        <v>0.90833333333333366</v>
      </c>
      <c r="K42" s="509">
        <v>0.77000000000000013</v>
      </c>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row>
    <row r="43" spans="1:117" x14ac:dyDescent="0.25">
      <c r="A43" s="506"/>
      <c r="B43" s="505"/>
      <c r="C43" s="505"/>
      <c r="D43" s="505"/>
      <c r="E43" s="505" t="s">
        <v>1130</v>
      </c>
      <c r="F43" s="507">
        <v>174556.51333333337</v>
      </c>
      <c r="G43" s="507">
        <v>-12218.955933333336</v>
      </c>
      <c r="H43" s="507">
        <v>162337.55740000002</v>
      </c>
      <c r="I43" s="507">
        <v>21073.333333333339</v>
      </c>
      <c r="J43" s="508">
        <v>3.6333333333333346</v>
      </c>
      <c r="K43" s="509">
        <v>3.0800000000000005</v>
      </c>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row>
    <row r="44" spans="1:117" x14ac:dyDescent="0.25">
      <c r="A44" s="506"/>
      <c r="B44" s="505"/>
      <c r="C44" s="505" t="s">
        <v>1689</v>
      </c>
      <c r="D44" s="505" t="s">
        <v>1690</v>
      </c>
      <c r="E44" s="505" t="s">
        <v>194</v>
      </c>
      <c r="F44" s="507">
        <v>163570.94</v>
      </c>
      <c r="G44" s="507">
        <v>-11449.965800000002</v>
      </c>
      <c r="H44" s="507">
        <v>152120.9742</v>
      </c>
      <c r="I44" s="507">
        <v>19720.000000000004</v>
      </c>
      <c r="J44" s="508">
        <v>3.4000000000000004</v>
      </c>
      <c r="K44" s="509">
        <v>2.8899999999999997</v>
      </c>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row>
    <row r="45" spans="1:117" x14ac:dyDescent="0.25">
      <c r="A45" s="506"/>
      <c r="B45" s="505"/>
      <c r="C45" s="505"/>
      <c r="D45" s="505"/>
      <c r="E45" s="505" t="s">
        <v>461</v>
      </c>
      <c r="F45" s="507">
        <v>81785.47</v>
      </c>
      <c r="G45" s="507">
        <v>-5724.9829000000009</v>
      </c>
      <c r="H45" s="507">
        <v>76060.487099999998</v>
      </c>
      <c r="I45" s="507">
        <v>9860.0000000000018</v>
      </c>
      <c r="J45" s="508">
        <v>1.7000000000000002</v>
      </c>
      <c r="K45" s="509">
        <v>1.4449999999999998</v>
      </c>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row>
    <row r="46" spans="1:117" x14ac:dyDescent="0.25">
      <c r="A46" s="506"/>
      <c r="B46" s="505"/>
      <c r="C46" s="505" t="s">
        <v>1822</v>
      </c>
      <c r="D46" s="505" t="s">
        <v>1832</v>
      </c>
      <c r="E46" s="505" t="s">
        <v>822</v>
      </c>
      <c r="F46" s="507">
        <v>131328.73749999999</v>
      </c>
      <c r="G46" s="507">
        <v>-9193.0116249999992</v>
      </c>
      <c r="H46" s="507">
        <v>122135.72587499999</v>
      </c>
      <c r="I46" s="507">
        <v>63250</v>
      </c>
      <c r="J46" s="508">
        <v>1.8333333333333333</v>
      </c>
      <c r="K46" s="509">
        <v>1.5458333333333334</v>
      </c>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row>
    <row r="47" spans="1:117" x14ac:dyDescent="0.25">
      <c r="A47" s="506"/>
      <c r="B47" s="505"/>
      <c r="C47" s="505" t="s">
        <v>1481</v>
      </c>
      <c r="D47" s="505" t="s">
        <v>1480</v>
      </c>
      <c r="E47" s="505" t="s">
        <v>1130</v>
      </c>
      <c r="F47" s="507">
        <v>217288.98749999999</v>
      </c>
      <c r="G47" s="507">
        <v>-15210.229125</v>
      </c>
      <c r="H47" s="507">
        <v>202078.75837499998</v>
      </c>
      <c r="I47" s="507">
        <v>16575</v>
      </c>
      <c r="J47" s="508">
        <v>4.875</v>
      </c>
      <c r="K47" s="509">
        <v>4.1437499999999998</v>
      </c>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row>
    <row r="48" spans="1:117" x14ac:dyDescent="0.25">
      <c r="A48" s="506"/>
      <c r="B48" s="505"/>
      <c r="C48" s="505" t="s">
        <v>1944</v>
      </c>
      <c r="D48" s="505" t="s">
        <v>1945</v>
      </c>
      <c r="E48" s="505" t="s">
        <v>176</v>
      </c>
      <c r="F48" s="507">
        <v>67600.606249999997</v>
      </c>
      <c r="G48" s="507">
        <v>-4732.0424375000002</v>
      </c>
      <c r="H48" s="507">
        <v>62868.563812499997</v>
      </c>
      <c r="I48" s="507">
        <v>12325</v>
      </c>
      <c r="J48" s="508">
        <v>2.125</v>
      </c>
      <c r="K48" s="509">
        <v>1.8062500000000001</v>
      </c>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row>
    <row r="49" spans="1:117" x14ac:dyDescent="0.25">
      <c r="A49" s="506"/>
      <c r="B49" s="505"/>
      <c r="C49" s="505"/>
      <c r="D49" s="505"/>
      <c r="E49" s="505" t="s">
        <v>194</v>
      </c>
      <c r="F49" s="507">
        <v>67600.606249999997</v>
      </c>
      <c r="G49" s="507">
        <v>-4732.0424375000002</v>
      </c>
      <c r="H49" s="507">
        <v>62868.563812499997</v>
      </c>
      <c r="I49" s="507">
        <v>12325</v>
      </c>
      <c r="J49" s="508">
        <v>2.125</v>
      </c>
      <c r="K49" s="509">
        <v>1.8062500000000001</v>
      </c>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row>
    <row r="50" spans="1:117" x14ac:dyDescent="0.25">
      <c r="A50" s="506"/>
      <c r="B50" s="505"/>
      <c r="C50" s="505" t="s">
        <v>1947</v>
      </c>
      <c r="D50" s="505" t="s">
        <v>1948</v>
      </c>
      <c r="E50" s="505" t="s">
        <v>194</v>
      </c>
      <c r="F50" s="507">
        <v>96869.909333333344</v>
      </c>
      <c r="G50" s="507">
        <v>-6780.8936533333344</v>
      </c>
      <c r="H50" s="507">
        <v>90089.015680000011</v>
      </c>
      <c r="I50" s="507">
        <v>17709.333333333332</v>
      </c>
      <c r="J50" s="508">
        <v>3.0533333333333332</v>
      </c>
      <c r="K50" s="509">
        <v>2.5786666666666669</v>
      </c>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row>
    <row r="51" spans="1:117" x14ac:dyDescent="0.25">
      <c r="A51" s="506"/>
      <c r="B51" s="505"/>
      <c r="C51" s="505"/>
      <c r="D51" s="505"/>
      <c r="E51" s="505" t="s">
        <v>1130</v>
      </c>
      <c r="F51" s="507">
        <v>96869.909333333344</v>
      </c>
      <c r="G51" s="507">
        <v>-6780.8936533333344</v>
      </c>
      <c r="H51" s="507">
        <v>90089.015680000011</v>
      </c>
      <c r="I51" s="507">
        <v>17709.333333333332</v>
      </c>
      <c r="J51" s="508">
        <v>3.0533333333333332</v>
      </c>
      <c r="K51" s="509">
        <v>2.5786666666666669</v>
      </c>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row>
    <row r="52" spans="1:117" x14ac:dyDescent="0.25">
      <c r="A52" s="506"/>
      <c r="B52" s="505"/>
      <c r="C52" s="505" t="s">
        <v>2100</v>
      </c>
      <c r="D52" s="505" t="s">
        <v>442</v>
      </c>
      <c r="E52" s="505" t="s">
        <v>194</v>
      </c>
      <c r="F52" s="507">
        <v>238442.50312499999</v>
      </c>
      <c r="G52" s="507">
        <v>-16690.975218750002</v>
      </c>
      <c r="H52" s="507">
        <v>221751.52790624998</v>
      </c>
      <c r="I52" s="507">
        <v>43500</v>
      </c>
      <c r="J52" s="508">
        <v>7.5</v>
      </c>
      <c r="K52" s="509">
        <v>6.3656249999999996</v>
      </c>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row>
    <row r="53" spans="1:117" x14ac:dyDescent="0.25">
      <c r="A53" s="506" t="s">
        <v>789</v>
      </c>
      <c r="B53" s="505"/>
      <c r="C53" s="505"/>
      <c r="D53" s="505"/>
      <c r="E53" s="505"/>
      <c r="F53" s="507">
        <v>4069312.3444583332</v>
      </c>
      <c r="G53" s="507">
        <v>-284851.86411208339</v>
      </c>
      <c r="H53" s="507">
        <v>3784460.4803462503</v>
      </c>
      <c r="I53" s="507">
        <v>810635.83333333337</v>
      </c>
      <c r="J53" s="508">
        <v>85.454166666666666</v>
      </c>
      <c r="K53" s="509">
        <v>72.492916666666659</v>
      </c>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row>
    <row r="54" spans="1:117" x14ac:dyDescent="0.25">
      <c r="A54" s="506">
        <v>2193</v>
      </c>
      <c r="B54" s="505" t="s">
        <v>1130</v>
      </c>
      <c r="C54" s="505" t="s">
        <v>506</v>
      </c>
      <c r="D54" s="505" t="s">
        <v>555</v>
      </c>
      <c r="E54" s="505" t="s">
        <v>11</v>
      </c>
      <c r="F54" s="507">
        <v>39765.0625</v>
      </c>
      <c r="G54" s="507">
        <v>-2783.5543750000002</v>
      </c>
      <c r="H54" s="507">
        <v>36981.508125</v>
      </c>
      <c r="I54" s="507">
        <v>7250</v>
      </c>
      <c r="J54" s="508">
        <v>1.25</v>
      </c>
      <c r="K54" s="509">
        <v>1.0625</v>
      </c>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row>
    <row r="55" spans="1:117" x14ac:dyDescent="0.25">
      <c r="A55" s="506"/>
      <c r="B55" s="505"/>
      <c r="C55" s="505" t="s">
        <v>944</v>
      </c>
      <c r="D55" s="505" t="s">
        <v>753</v>
      </c>
      <c r="E55" s="505" t="s">
        <v>192</v>
      </c>
      <c r="F55" s="507">
        <v>48290.691899999991</v>
      </c>
      <c r="G55" s="507">
        <v>-3380.3484329999997</v>
      </c>
      <c r="H55" s="507">
        <v>44910.343466999992</v>
      </c>
      <c r="I55" s="507">
        <v>8804.4</v>
      </c>
      <c r="J55" s="508">
        <v>1.5179999999999998</v>
      </c>
      <c r="K55" s="509">
        <v>1.2902999999999998</v>
      </c>
      <c r="L55"/>
    </row>
    <row r="56" spans="1:117" x14ac:dyDescent="0.25">
      <c r="A56" s="506"/>
      <c r="B56" s="505"/>
      <c r="C56" s="505"/>
      <c r="D56" s="505"/>
      <c r="E56" s="505" t="s">
        <v>198</v>
      </c>
      <c r="F56" s="507">
        <v>112678.28109999998</v>
      </c>
      <c r="G56" s="507">
        <v>-7887.4796769999994</v>
      </c>
      <c r="H56" s="507">
        <v>104790.80142299998</v>
      </c>
      <c r="I56" s="507">
        <v>20543.599999999995</v>
      </c>
      <c r="J56" s="508">
        <v>3.5419999999999994</v>
      </c>
      <c r="K56" s="509">
        <v>3.0106999999999995</v>
      </c>
      <c r="L56"/>
    </row>
    <row r="57" spans="1:117" x14ac:dyDescent="0.25">
      <c r="A57" s="506"/>
      <c r="B57" s="505"/>
      <c r="C57" s="505" t="s">
        <v>921</v>
      </c>
      <c r="D57" s="505" t="s">
        <v>1258</v>
      </c>
      <c r="E57" s="505" t="s">
        <v>192</v>
      </c>
      <c r="F57" s="507">
        <v>36883.643333333333</v>
      </c>
      <c r="G57" s="507">
        <v>-2581.8550333333337</v>
      </c>
      <c r="H57" s="507">
        <v>34301.7883</v>
      </c>
      <c r="I57" s="507">
        <v>4446.6666666666661</v>
      </c>
      <c r="J57" s="508">
        <v>0.76666666666666661</v>
      </c>
      <c r="K57" s="509">
        <v>0.65166666666666662</v>
      </c>
      <c r="L57"/>
    </row>
    <row r="58" spans="1:117" x14ac:dyDescent="0.25">
      <c r="A58" s="506"/>
      <c r="B58" s="505"/>
      <c r="C58" s="505" t="s">
        <v>1150</v>
      </c>
      <c r="D58" s="505" t="s">
        <v>1227</v>
      </c>
      <c r="E58" s="505" t="s">
        <v>197</v>
      </c>
      <c r="F58" s="507">
        <v>96218.2</v>
      </c>
      <c r="G58" s="507">
        <v>-6735.2740000000003</v>
      </c>
      <c r="H58" s="507">
        <v>89482.925999999992</v>
      </c>
      <c r="I58" s="507">
        <v>11600</v>
      </c>
      <c r="J58" s="508">
        <v>2</v>
      </c>
      <c r="K58" s="509">
        <v>1.7</v>
      </c>
      <c r="L58"/>
    </row>
    <row r="59" spans="1:117" x14ac:dyDescent="0.25">
      <c r="A59" s="506"/>
      <c r="B59" s="505"/>
      <c r="C59" s="505" t="s">
        <v>920</v>
      </c>
      <c r="D59" s="505" t="s">
        <v>1257</v>
      </c>
      <c r="E59" s="505" t="s">
        <v>192</v>
      </c>
      <c r="F59" s="507">
        <v>83389.106666666674</v>
      </c>
      <c r="G59" s="507">
        <v>-5837.2374666666674</v>
      </c>
      <c r="H59" s="507">
        <v>77551.869200000001</v>
      </c>
      <c r="I59" s="507">
        <v>10053.333333333336</v>
      </c>
      <c r="J59" s="508">
        <v>1.7333333333333336</v>
      </c>
      <c r="K59" s="509">
        <v>1.4733333333333334</v>
      </c>
      <c r="L59"/>
    </row>
    <row r="60" spans="1:117" x14ac:dyDescent="0.25">
      <c r="A60" s="506"/>
      <c r="B60" s="505"/>
      <c r="C60" s="505" t="s">
        <v>1443</v>
      </c>
      <c r="D60" s="505" t="s">
        <v>1423</v>
      </c>
      <c r="E60" s="505" t="s">
        <v>192</v>
      </c>
      <c r="F60" s="507">
        <v>104979.76500000001</v>
      </c>
      <c r="G60" s="507">
        <v>-7348.5835500000021</v>
      </c>
      <c r="H60" s="507">
        <v>97631.181450000018</v>
      </c>
      <c r="I60" s="507">
        <v>19140</v>
      </c>
      <c r="J60" s="508">
        <v>3.3000000000000003</v>
      </c>
      <c r="K60" s="509">
        <v>2.8050000000000002</v>
      </c>
      <c r="L60"/>
    </row>
    <row r="61" spans="1:117" x14ac:dyDescent="0.25">
      <c r="A61" s="506"/>
      <c r="B61" s="505"/>
      <c r="C61" s="505" t="s">
        <v>1621</v>
      </c>
      <c r="D61" s="505" t="s">
        <v>1622</v>
      </c>
      <c r="E61" s="505" t="s">
        <v>198</v>
      </c>
      <c r="F61" s="507">
        <v>67352.740000000005</v>
      </c>
      <c r="G61" s="507">
        <v>-4714.6918000000005</v>
      </c>
      <c r="H61" s="507">
        <v>62638.048200000005</v>
      </c>
      <c r="I61" s="507">
        <v>8120.0000000000009</v>
      </c>
      <c r="J61" s="508">
        <v>1.4000000000000001</v>
      </c>
      <c r="K61" s="509">
        <v>1.1900000000000002</v>
      </c>
      <c r="L61"/>
    </row>
    <row r="62" spans="1:117" x14ac:dyDescent="0.25">
      <c r="A62" s="506"/>
      <c r="B62" s="505"/>
      <c r="C62" s="505" t="s">
        <v>1624</v>
      </c>
      <c r="D62" s="505" t="s">
        <v>1625</v>
      </c>
      <c r="E62" s="505" t="s">
        <v>192</v>
      </c>
      <c r="F62" s="507">
        <v>89803.653333333335</v>
      </c>
      <c r="G62" s="507">
        <v>-6286.2557333333343</v>
      </c>
      <c r="H62" s="507">
        <v>83517.397599999997</v>
      </c>
      <c r="I62" s="507">
        <v>10826.666666666666</v>
      </c>
      <c r="J62" s="508">
        <v>1.8666666666666667</v>
      </c>
      <c r="K62" s="509">
        <v>1.5866666666666667</v>
      </c>
      <c r="L62"/>
    </row>
    <row r="63" spans="1:117" x14ac:dyDescent="0.25">
      <c r="A63" s="506"/>
      <c r="B63" s="505"/>
      <c r="C63" s="505" t="s">
        <v>1570</v>
      </c>
      <c r="D63" s="505" t="s">
        <v>1615</v>
      </c>
      <c r="E63" s="505" t="s">
        <v>192</v>
      </c>
      <c r="F63" s="507">
        <v>62541.829999999987</v>
      </c>
      <c r="G63" s="507">
        <v>-4377.9280999999992</v>
      </c>
      <c r="H63" s="507">
        <v>58163.90189999999</v>
      </c>
      <c r="I63" s="507">
        <v>7539.9999999999991</v>
      </c>
      <c r="J63" s="508">
        <v>1.2999999999999998</v>
      </c>
      <c r="K63" s="509">
        <v>1.1049999999999998</v>
      </c>
      <c r="L63"/>
    </row>
    <row r="64" spans="1:117" x14ac:dyDescent="0.25">
      <c r="A64" s="506"/>
      <c r="B64" s="505"/>
      <c r="C64" s="505"/>
      <c r="D64" s="505"/>
      <c r="E64" s="505" t="s">
        <v>194</v>
      </c>
      <c r="F64" s="507">
        <v>125083.65999999997</v>
      </c>
      <c r="G64" s="507">
        <v>-8755.8561999999984</v>
      </c>
      <c r="H64" s="507">
        <v>116327.80379999998</v>
      </c>
      <c r="I64" s="507">
        <v>15079.999999999998</v>
      </c>
      <c r="J64" s="508">
        <v>2.5999999999999996</v>
      </c>
      <c r="K64" s="509">
        <v>2.2099999999999995</v>
      </c>
      <c r="L64"/>
    </row>
    <row r="65" spans="1:12" x14ac:dyDescent="0.25">
      <c r="A65" s="506"/>
      <c r="B65" s="505"/>
      <c r="C65" s="505" t="s">
        <v>1567</v>
      </c>
      <c r="D65" s="505" t="s">
        <v>1614</v>
      </c>
      <c r="E65" s="505" t="s">
        <v>192</v>
      </c>
      <c r="F65" s="507">
        <v>156354.57500000001</v>
      </c>
      <c r="G65" s="507">
        <v>-10944.820250000002</v>
      </c>
      <c r="H65" s="507">
        <v>145409.75475000002</v>
      </c>
      <c r="I65" s="507">
        <v>18850.000000000004</v>
      </c>
      <c r="J65" s="508">
        <v>3.2500000000000004</v>
      </c>
      <c r="K65" s="509">
        <v>2.7625000000000002</v>
      </c>
      <c r="L65"/>
    </row>
    <row r="66" spans="1:12" x14ac:dyDescent="0.25">
      <c r="A66" s="506"/>
      <c r="B66" s="505"/>
      <c r="C66" s="505"/>
      <c r="D66" s="505"/>
      <c r="E66" s="505" t="s">
        <v>194</v>
      </c>
      <c r="F66" s="507">
        <v>31270.915000000001</v>
      </c>
      <c r="G66" s="507">
        <v>-2188.96405</v>
      </c>
      <c r="H66" s="507">
        <v>29081.950950000002</v>
      </c>
      <c r="I66" s="507">
        <v>3770</v>
      </c>
      <c r="J66" s="508">
        <v>0.65</v>
      </c>
      <c r="K66" s="509">
        <v>0.55249999999999999</v>
      </c>
      <c r="L66"/>
    </row>
    <row r="67" spans="1:12" x14ac:dyDescent="0.25">
      <c r="A67" s="506"/>
      <c r="B67" s="505"/>
      <c r="C67" s="505" t="s">
        <v>1620</v>
      </c>
      <c r="D67" s="505" t="s">
        <v>1196</v>
      </c>
      <c r="E67" s="505" t="s">
        <v>192</v>
      </c>
      <c r="F67" s="507">
        <v>140649.02606249999</v>
      </c>
      <c r="G67" s="507">
        <v>-9845.4318243750004</v>
      </c>
      <c r="H67" s="507">
        <v>130803.59423812499</v>
      </c>
      <c r="I67" s="507">
        <v>25643.249999999996</v>
      </c>
      <c r="J67" s="508">
        <v>4.4212499999999997</v>
      </c>
      <c r="K67" s="509">
        <v>3.7580624999999999</v>
      </c>
      <c r="L67"/>
    </row>
    <row r="68" spans="1:12" x14ac:dyDescent="0.25">
      <c r="A68" s="506"/>
      <c r="B68" s="505"/>
      <c r="C68" s="505" t="s">
        <v>1572</v>
      </c>
      <c r="D68" s="505" t="s">
        <v>1429</v>
      </c>
      <c r="E68" s="505" t="s">
        <v>192</v>
      </c>
      <c r="F68" s="507">
        <v>41355.665000000008</v>
      </c>
      <c r="G68" s="507">
        <v>-2894.8965500000008</v>
      </c>
      <c r="H68" s="507">
        <v>38460.76845000001</v>
      </c>
      <c r="I68" s="507">
        <v>7540</v>
      </c>
      <c r="J68" s="508">
        <v>1.3</v>
      </c>
      <c r="K68" s="509">
        <v>1.1050000000000002</v>
      </c>
      <c r="L68"/>
    </row>
    <row r="69" spans="1:12" x14ac:dyDescent="0.25">
      <c r="A69" s="506"/>
      <c r="B69" s="505"/>
      <c r="C69" s="505" t="s">
        <v>1865</v>
      </c>
      <c r="D69" s="505" t="s">
        <v>1427</v>
      </c>
      <c r="E69" s="505" t="s">
        <v>192</v>
      </c>
      <c r="F69" s="507">
        <v>205187.72249999997</v>
      </c>
      <c r="G69" s="507">
        <v>-14363.140574999999</v>
      </c>
      <c r="H69" s="507">
        <v>190824.58192499998</v>
      </c>
      <c r="I69" s="507">
        <v>37410</v>
      </c>
      <c r="J69" s="508">
        <v>6.45</v>
      </c>
      <c r="K69" s="509">
        <v>5.482499999999999</v>
      </c>
      <c r="L69"/>
    </row>
    <row r="70" spans="1:12" x14ac:dyDescent="0.25">
      <c r="A70" s="506"/>
      <c r="B70" s="505"/>
      <c r="C70" s="505"/>
      <c r="D70" s="505"/>
      <c r="E70" s="505" t="s">
        <v>461</v>
      </c>
      <c r="F70" s="507">
        <v>91194.543333333335</v>
      </c>
      <c r="G70" s="507">
        <v>-6383.6180333333341</v>
      </c>
      <c r="H70" s="507">
        <v>84810.925300000003</v>
      </c>
      <c r="I70" s="507">
        <v>16626.666666666668</v>
      </c>
      <c r="J70" s="508">
        <v>2.8666666666666667</v>
      </c>
      <c r="K70" s="509">
        <v>2.4366666666666665</v>
      </c>
      <c r="L70"/>
    </row>
    <row r="71" spans="1:12" x14ac:dyDescent="0.25">
      <c r="A71" s="506"/>
      <c r="B71" s="505"/>
      <c r="C71" s="505" t="s">
        <v>1866</v>
      </c>
      <c r="D71" s="505" t="s">
        <v>1495</v>
      </c>
      <c r="E71" s="505" t="s">
        <v>192</v>
      </c>
      <c r="F71" s="507">
        <v>244153.6825</v>
      </c>
      <c r="G71" s="507">
        <v>-17090.757775000002</v>
      </c>
      <c r="H71" s="507">
        <v>227062.92472499999</v>
      </c>
      <c r="I71" s="507">
        <v>29435</v>
      </c>
      <c r="J71" s="508">
        <v>5.0750000000000002</v>
      </c>
      <c r="K71" s="509">
        <v>4.3137499999999998</v>
      </c>
      <c r="L71"/>
    </row>
    <row r="72" spans="1:12" x14ac:dyDescent="0.25">
      <c r="A72" s="506"/>
      <c r="B72" s="505"/>
      <c r="C72" s="505" t="s">
        <v>1867</v>
      </c>
      <c r="D72" s="505" t="s">
        <v>1878</v>
      </c>
      <c r="E72" s="505" t="s">
        <v>192</v>
      </c>
      <c r="F72" s="507">
        <v>61740.011666666673</v>
      </c>
      <c r="G72" s="507">
        <v>-4321.8008166666677</v>
      </c>
      <c r="H72" s="507">
        <v>57418.210850000003</v>
      </c>
      <c r="I72" s="507">
        <v>7443.3333333333339</v>
      </c>
      <c r="J72" s="508">
        <v>1.2833333333333334</v>
      </c>
      <c r="K72" s="509">
        <v>1.0908333333333333</v>
      </c>
      <c r="L72"/>
    </row>
    <row r="73" spans="1:12" x14ac:dyDescent="0.25">
      <c r="A73" s="506"/>
      <c r="B73" s="505"/>
      <c r="C73" s="505" t="s">
        <v>1946</v>
      </c>
      <c r="D73" s="505" t="s">
        <v>1949</v>
      </c>
      <c r="E73" s="505" t="s">
        <v>192</v>
      </c>
      <c r="F73" s="507">
        <v>429800.29658333329</v>
      </c>
      <c r="G73" s="507">
        <v>-30086.020760833333</v>
      </c>
      <c r="H73" s="507">
        <v>399714.27582249994</v>
      </c>
      <c r="I73" s="507">
        <v>39778.333333333328</v>
      </c>
      <c r="J73" s="508">
        <v>6.8583333333333325</v>
      </c>
      <c r="K73" s="509">
        <v>5.8295833333333329</v>
      </c>
      <c r="L73"/>
    </row>
    <row r="74" spans="1:12" x14ac:dyDescent="0.25">
      <c r="A74" s="506" t="s">
        <v>857</v>
      </c>
      <c r="B74" s="505"/>
      <c r="C74" s="505"/>
      <c r="D74" s="505"/>
      <c r="E74" s="505"/>
      <c r="F74" s="507">
        <v>2268693.0714791669</v>
      </c>
      <c r="G74" s="507">
        <v>-158808.51500354169</v>
      </c>
      <c r="H74" s="507">
        <v>2109884.5564756249</v>
      </c>
      <c r="I74" s="507">
        <v>309901.25</v>
      </c>
      <c r="J74" s="508">
        <v>53.431249999999999</v>
      </c>
      <c r="K74" s="509">
        <v>45.416562499999998</v>
      </c>
      <c r="L74"/>
    </row>
    <row r="75" spans="1:12" x14ac:dyDescent="0.25">
      <c r="A75" s="506">
        <v>2340</v>
      </c>
      <c r="B75" s="505" t="s">
        <v>198</v>
      </c>
      <c r="C75" s="505" t="s">
        <v>512</v>
      </c>
      <c r="D75" s="505" t="s">
        <v>558</v>
      </c>
      <c r="E75" s="505" t="s">
        <v>199</v>
      </c>
      <c r="F75" s="507">
        <v>55989.207999999999</v>
      </c>
      <c r="G75" s="507">
        <v>-3919.2445600000001</v>
      </c>
      <c r="H75" s="507">
        <v>52069.96344</v>
      </c>
      <c r="I75" s="507">
        <v>10208</v>
      </c>
      <c r="J75" s="508">
        <v>1.76</v>
      </c>
      <c r="K75" s="509">
        <v>1.496</v>
      </c>
      <c r="L75"/>
    </row>
    <row r="76" spans="1:12" x14ac:dyDescent="0.25">
      <c r="A76" s="506"/>
      <c r="B76" s="505"/>
      <c r="C76" s="505"/>
      <c r="D76" s="505"/>
      <c r="E76" s="505" t="s">
        <v>196</v>
      </c>
      <c r="F76" s="507">
        <v>83983.812000000005</v>
      </c>
      <c r="G76" s="507">
        <v>-5878.8668400000006</v>
      </c>
      <c r="H76" s="507">
        <v>78104.945160000003</v>
      </c>
      <c r="I76" s="507">
        <v>15312</v>
      </c>
      <c r="J76" s="508">
        <v>2.64</v>
      </c>
      <c r="K76" s="509">
        <v>2.2440000000000002</v>
      </c>
      <c r="L76"/>
    </row>
    <row r="77" spans="1:12" x14ac:dyDescent="0.25">
      <c r="A77" s="506"/>
      <c r="B77" s="505"/>
      <c r="C77" s="505"/>
      <c r="D77" s="505"/>
      <c r="E77" s="505" t="s">
        <v>192</v>
      </c>
      <c r="F77" s="507">
        <v>69986.510000000009</v>
      </c>
      <c r="G77" s="507">
        <v>-4899.0557000000008</v>
      </c>
      <c r="H77" s="507">
        <v>65087.454300000012</v>
      </c>
      <c r="I77" s="507">
        <v>12760.000000000002</v>
      </c>
      <c r="J77" s="508">
        <v>2.2000000000000002</v>
      </c>
      <c r="K77" s="509">
        <v>1.87</v>
      </c>
      <c r="L77"/>
    </row>
    <row r="78" spans="1:12" x14ac:dyDescent="0.25">
      <c r="A78" s="506"/>
      <c r="B78" s="505"/>
      <c r="C78" s="505" t="s">
        <v>513</v>
      </c>
      <c r="D78" s="505" t="s">
        <v>559</v>
      </c>
      <c r="E78" s="505" t="s">
        <v>192</v>
      </c>
      <c r="F78" s="507">
        <v>66805.304999999993</v>
      </c>
      <c r="G78" s="507">
        <v>-4676.3713500000003</v>
      </c>
      <c r="H78" s="507">
        <v>62128.933649999992</v>
      </c>
      <c r="I78" s="507">
        <v>12180</v>
      </c>
      <c r="J78" s="508">
        <v>2.1</v>
      </c>
      <c r="K78" s="509">
        <v>1.7849999999999999</v>
      </c>
      <c r="L78"/>
    </row>
    <row r="79" spans="1:12" x14ac:dyDescent="0.25">
      <c r="A79" s="506"/>
      <c r="B79" s="505"/>
      <c r="C79" s="505"/>
      <c r="D79" s="505"/>
      <c r="E79" s="505" t="s">
        <v>195</v>
      </c>
      <c r="F79" s="507">
        <v>133610.60999999999</v>
      </c>
      <c r="G79" s="507">
        <v>-9352.7427000000007</v>
      </c>
      <c r="H79" s="507">
        <v>124257.86729999998</v>
      </c>
      <c r="I79" s="507">
        <v>24360</v>
      </c>
      <c r="J79" s="508">
        <v>4.2</v>
      </c>
      <c r="K79" s="509">
        <v>3.57</v>
      </c>
      <c r="L79"/>
    </row>
    <row r="80" spans="1:12" x14ac:dyDescent="0.25">
      <c r="A80" s="506"/>
      <c r="B80" s="505"/>
      <c r="C80" s="505" t="s">
        <v>603</v>
      </c>
      <c r="D80" s="505" t="s">
        <v>618</v>
      </c>
      <c r="E80" s="505" t="s">
        <v>199</v>
      </c>
      <c r="F80" s="507">
        <v>37220.098500000007</v>
      </c>
      <c r="G80" s="507">
        <v>-2605.406895000001</v>
      </c>
      <c r="H80" s="507">
        <v>34614.691605000007</v>
      </c>
      <c r="I80" s="507">
        <v>6786.0000000000009</v>
      </c>
      <c r="J80" s="508">
        <v>1.1700000000000002</v>
      </c>
      <c r="K80" s="509">
        <v>0.99450000000000016</v>
      </c>
      <c r="L80"/>
    </row>
    <row r="81" spans="1:12" x14ac:dyDescent="0.25">
      <c r="A81" s="506"/>
      <c r="B81" s="505"/>
      <c r="C81" s="505"/>
      <c r="D81" s="505"/>
      <c r="E81" s="505" t="s">
        <v>196</v>
      </c>
      <c r="F81" s="507">
        <v>55830.147749999989</v>
      </c>
      <c r="G81" s="507">
        <v>-3908.1103424999997</v>
      </c>
      <c r="H81" s="507">
        <v>51922.037407499993</v>
      </c>
      <c r="I81" s="507">
        <v>10178.999999999998</v>
      </c>
      <c r="J81" s="508">
        <v>1.7549999999999997</v>
      </c>
      <c r="K81" s="509">
        <v>1.4917499999999999</v>
      </c>
      <c r="L81"/>
    </row>
    <row r="82" spans="1:12" x14ac:dyDescent="0.25">
      <c r="A82" s="506"/>
      <c r="B82" s="505"/>
      <c r="C82" s="505"/>
      <c r="D82" s="505"/>
      <c r="E82" s="505" t="s">
        <v>192</v>
      </c>
      <c r="F82" s="507">
        <v>10338.916250000002</v>
      </c>
      <c r="G82" s="507">
        <v>-723.72413750000021</v>
      </c>
      <c r="H82" s="507">
        <v>9615.1921125000026</v>
      </c>
      <c r="I82" s="507">
        <v>1885</v>
      </c>
      <c r="J82" s="508">
        <v>0.32500000000000001</v>
      </c>
      <c r="K82" s="509">
        <v>0.27625000000000005</v>
      </c>
      <c r="L82"/>
    </row>
    <row r="83" spans="1:12" x14ac:dyDescent="0.25">
      <c r="A83" s="506"/>
      <c r="B83" s="505"/>
      <c r="C83" s="505" t="s">
        <v>1052</v>
      </c>
      <c r="D83" s="505" t="s">
        <v>1219</v>
      </c>
      <c r="E83" s="505" t="s">
        <v>197</v>
      </c>
      <c r="F83" s="507">
        <v>198450.03750000001</v>
      </c>
      <c r="G83" s="507">
        <v>-13891.502625000001</v>
      </c>
      <c r="H83" s="507">
        <v>184558.53487500001</v>
      </c>
      <c r="I83" s="507">
        <v>23925</v>
      </c>
      <c r="J83" s="508">
        <v>4.125</v>
      </c>
      <c r="K83" s="509">
        <v>3.5062500000000001</v>
      </c>
      <c r="L83"/>
    </row>
    <row r="84" spans="1:12" x14ac:dyDescent="0.25">
      <c r="A84" s="506" t="s">
        <v>858</v>
      </c>
      <c r="B84" s="505"/>
      <c r="C84" s="505"/>
      <c r="D84" s="505"/>
      <c r="E84" s="505"/>
      <c r="F84" s="507">
        <v>712214.64500000002</v>
      </c>
      <c r="G84" s="507">
        <v>-49855.025150000001</v>
      </c>
      <c r="H84" s="507">
        <v>662359.61985000002</v>
      </c>
      <c r="I84" s="507">
        <v>117595</v>
      </c>
      <c r="J84" s="508">
        <v>20.275000000000002</v>
      </c>
      <c r="K84" s="509">
        <v>17.233750000000001</v>
      </c>
      <c r="L84"/>
    </row>
    <row r="85" spans="1:12" x14ac:dyDescent="0.25">
      <c r="A85" s="506">
        <v>2500</v>
      </c>
      <c r="B85" s="505" t="s">
        <v>2169</v>
      </c>
      <c r="C85" s="505" t="s">
        <v>1859</v>
      </c>
      <c r="D85" s="505" t="s">
        <v>1814</v>
      </c>
      <c r="E85" s="505" t="s">
        <v>164</v>
      </c>
      <c r="F85" s="507">
        <v>11929.518749999999</v>
      </c>
      <c r="G85" s="507">
        <v>-835.06631249999998</v>
      </c>
      <c r="H85" s="507">
        <v>11094.4524375</v>
      </c>
      <c r="I85" s="507">
        <v>2175</v>
      </c>
      <c r="J85" s="508">
        <v>0.375</v>
      </c>
      <c r="K85" s="509">
        <v>0.31874999999999998</v>
      </c>
      <c r="L85"/>
    </row>
    <row r="86" spans="1:12" x14ac:dyDescent="0.25">
      <c r="A86" s="506"/>
      <c r="B86" s="505"/>
      <c r="C86" s="505" t="s">
        <v>1956</v>
      </c>
      <c r="D86" s="505" t="s">
        <v>1818</v>
      </c>
      <c r="E86" s="505" t="s">
        <v>164</v>
      </c>
      <c r="F86" s="507">
        <v>15804.05859375</v>
      </c>
      <c r="G86" s="507">
        <v>-1106.2841015625002</v>
      </c>
      <c r="H86" s="507">
        <v>14697.7744921875</v>
      </c>
      <c r="I86" s="507">
        <v>4287.5</v>
      </c>
      <c r="J86" s="508">
        <v>0.4375</v>
      </c>
      <c r="K86" s="509">
        <v>0.37187500000000001</v>
      </c>
      <c r="L86"/>
    </row>
    <row r="87" spans="1:12" x14ac:dyDescent="0.25">
      <c r="A87" s="506" t="s">
        <v>918</v>
      </c>
      <c r="B87" s="505"/>
      <c r="C87" s="505"/>
      <c r="D87" s="505"/>
      <c r="E87" s="505"/>
      <c r="F87" s="507">
        <v>27733.577343749999</v>
      </c>
      <c r="G87" s="507">
        <v>-1941.3504140625</v>
      </c>
      <c r="H87" s="507">
        <v>25792.226929687502</v>
      </c>
      <c r="I87" s="507">
        <v>6462.5</v>
      </c>
      <c r="J87" s="508">
        <v>0.8125</v>
      </c>
      <c r="K87" s="509">
        <v>0.69062500000000004</v>
      </c>
      <c r="L87"/>
    </row>
    <row r="88" spans="1:12" x14ac:dyDescent="0.25">
      <c r="A88" s="506">
        <v>5740</v>
      </c>
      <c r="B88" s="505" t="s">
        <v>461</v>
      </c>
      <c r="C88" s="505" t="s">
        <v>1459</v>
      </c>
      <c r="D88" s="505" t="s">
        <v>1460</v>
      </c>
      <c r="E88" s="505" t="s">
        <v>166</v>
      </c>
      <c r="F88" s="507">
        <v>73587.149999999994</v>
      </c>
      <c r="G88" s="507">
        <v>-5151.1005000000005</v>
      </c>
      <c r="H88" s="507">
        <v>68436.049499999994</v>
      </c>
      <c r="I88" s="507">
        <v>32700</v>
      </c>
      <c r="J88" s="508">
        <v>1.5</v>
      </c>
      <c r="K88" s="509">
        <v>1.2749999999999999</v>
      </c>
      <c r="L88"/>
    </row>
    <row r="89" spans="1:12" x14ac:dyDescent="0.25">
      <c r="A89" s="506"/>
      <c r="B89" s="505"/>
      <c r="C89" s="505" t="s">
        <v>1463</v>
      </c>
      <c r="D89" s="505" t="s">
        <v>1464</v>
      </c>
      <c r="E89" s="505" t="s">
        <v>166</v>
      </c>
      <c r="F89" s="507">
        <v>42925.837499999994</v>
      </c>
      <c r="G89" s="507">
        <v>-3004.8086249999997</v>
      </c>
      <c r="H89" s="507">
        <v>39921.028874999996</v>
      </c>
      <c r="I89" s="507">
        <v>19075</v>
      </c>
      <c r="J89" s="508">
        <v>0.875</v>
      </c>
      <c r="K89" s="509">
        <v>0.74374999999999991</v>
      </c>
      <c r="L89"/>
    </row>
    <row r="90" spans="1:12" x14ac:dyDescent="0.25">
      <c r="A90" s="506"/>
      <c r="B90" s="505"/>
      <c r="C90" s="505" t="s">
        <v>1465</v>
      </c>
      <c r="D90" s="505" t="s">
        <v>1466</v>
      </c>
      <c r="E90" s="505" t="s">
        <v>166</v>
      </c>
      <c r="F90" s="507">
        <v>57234.45</v>
      </c>
      <c r="G90" s="507">
        <v>-4006.4115000000002</v>
      </c>
      <c r="H90" s="507">
        <v>53228.038499999995</v>
      </c>
      <c r="I90" s="507">
        <v>25433.333333333328</v>
      </c>
      <c r="J90" s="508">
        <v>1.1666666666666665</v>
      </c>
      <c r="K90" s="509">
        <v>0.9916666666666667</v>
      </c>
      <c r="L90"/>
    </row>
    <row r="91" spans="1:12" x14ac:dyDescent="0.25">
      <c r="A91" s="506"/>
      <c r="B91" s="505"/>
      <c r="C91" s="505" t="s">
        <v>1566</v>
      </c>
      <c r="D91" s="505" t="s">
        <v>1425</v>
      </c>
      <c r="E91" s="505" t="s">
        <v>1130</v>
      </c>
      <c r="F91" s="507">
        <v>138997.95000000001</v>
      </c>
      <c r="G91" s="507">
        <v>-9729.8565000000017</v>
      </c>
      <c r="H91" s="507">
        <v>129268.09350000002</v>
      </c>
      <c r="I91" s="507">
        <v>61766.666666666672</v>
      </c>
      <c r="J91" s="508">
        <v>2.8333333333333335</v>
      </c>
      <c r="K91" s="509">
        <v>2.4083333333333332</v>
      </c>
      <c r="L91"/>
    </row>
    <row r="92" spans="1:12" x14ac:dyDescent="0.25">
      <c r="A92" s="506"/>
      <c r="B92" s="505"/>
      <c r="C92" s="505" t="s">
        <v>1538</v>
      </c>
      <c r="D92" s="505" t="s">
        <v>1553</v>
      </c>
      <c r="E92" s="505" t="s">
        <v>192</v>
      </c>
      <c r="F92" s="507">
        <v>91407.29</v>
      </c>
      <c r="G92" s="507">
        <v>-6398.5102999999999</v>
      </c>
      <c r="H92" s="507">
        <v>85008.779699999999</v>
      </c>
      <c r="I92" s="507">
        <v>11020</v>
      </c>
      <c r="J92" s="508">
        <v>1.9</v>
      </c>
      <c r="K92" s="509">
        <v>1.6149999999999998</v>
      </c>
      <c r="L92"/>
    </row>
    <row r="93" spans="1:12" x14ac:dyDescent="0.25">
      <c r="A93" s="506"/>
      <c r="B93" s="505"/>
      <c r="C93" s="505"/>
      <c r="D93" s="505"/>
      <c r="E93" s="505" t="s">
        <v>1130</v>
      </c>
      <c r="F93" s="507">
        <v>91407.29</v>
      </c>
      <c r="G93" s="507">
        <v>-6398.5102999999999</v>
      </c>
      <c r="H93" s="507">
        <v>85008.779699999999</v>
      </c>
      <c r="I93" s="507">
        <v>11020</v>
      </c>
      <c r="J93" s="508">
        <v>1.9</v>
      </c>
      <c r="K93" s="509">
        <v>1.6149999999999998</v>
      </c>
      <c r="L93"/>
    </row>
    <row r="94" spans="1:12" x14ac:dyDescent="0.25">
      <c r="A94" s="506"/>
      <c r="B94" s="505"/>
      <c r="C94" s="505" t="s">
        <v>1578</v>
      </c>
      <c r="D94" s="505" t="s">
        <v>1618</v>
      </c>
      <c r="E94" s="505" t="s">
        <v>192</v>
      </c>
      <c r="F94" s="507">
        <v>162368.21249999997</v>
      </c>
      <c r="G94" s="507">
        <v>-11365.774874999999</v>
      </c>
      <c r="H94" s="507">
        <v>151002.43762499996</v>
      </c>
      <c r="I94" s="507">
        <v>19574.999999999996</v>
      </c>
      <c r="J94" s="508">
        <v>3.3749999999999996</v>
      </c>
      <c r="K94" s="509">
        <v>2.8687499999999995</v>
      </c>
      <c r="L94"/>
    </row>
    <row r="95" spans="1:12" x14ac:dyDescent="0.25">
      <c r="A95" s="506"/>
      <c r="B95" s="505"/>
      <c r="C95" s="505"/>
      <c r="D95" s="505"/>
      <c r="E95" s="505" t="s">
        <v>1130</v>
      </c>
      <c r="F95" s="507">
        <v>162368.21249999997</v>
      </c>
      <c r="G95" s="507">
        <v>-11365.774874999999</v>
      </c>
      <c r="H95" s="507">
        <v>151002.43762499996</v>
      </c>
      <c r="I95" s="507">
        <v>19574.999999999996</v>
      </c>
      <c r="J95" s="508">
        <v>3.3749999999999996</v>
      </c>
      <c r="K95" s="509">
        <v>2.8687499999999995</v>
      </c>
      <c r="L95"/>
    </row>
    <row r="96" spans="1:12" x14ac:dyDescent="0.25">
      <c r="A96" s="506"/>
      <c r="B96" s="505"/>
      <c r="C96" s="505"/>
      <c r="D96" s="505"/>
      <c r="E96" s="505" t="s">
        <v>197</v>
      </c>
      <c r="F96" s="507">
        <v>64947.284999999996</v>
      </c>
      <c r="G96" s="507">
        <v>-4546.3099499999998</v>
      </c>
      <c r="H96" s="507">
        <v>60400.975049999994</v>
      </c>
      <c r="I96" s="507">
        <v>7829.9999999999991</v>
      </c>
      <c r="J96" s="508">
        <v>1.3499999999999999</v>
      </c>
      <c r="K96" s="509">
        <v>1.1475</v>
      </c>
      <c r="L96"/>
    </row>
    <row r="97" spans="1:12" x14ac:dyDescent="0.25">
      <c r="A97" s="506"/>
      <c r="B97" s="505"/>
      <c r="C97" s="505" t="s">
        <v>1569</v>
      </c>
      <c r="D97" s="505" t="s">
        <v>1619</v>
      </c>
      <c r="E97" s="505" t="s">
        <v>1130</v>
      </c>
      <c r="F97" s="507">
        <v>162127.66699999999</v>
      </c>
      <c r="G97" s="507">
        <v>-11348.93669</v>
      </c>
      <c r="H97" s="507">
        <v>150778.73030999998</v>
      </c>
      <c r="I97" s="507">
        <v>19546</v>
      </c>
      <c r="J97" s="508">
        <v>3.37</v>
      </c>
      <c r="K97" s="509">
        <v>2.8644999999999996</v>
      </c>
      <c r="L97"/>
    </row>
    <row r="98" spans="1:12" x14ac:dyDescent="0.25">
      <c r="A98" s="506"/>
      <c r="B98" s="505"/>
      <c r="C98" s="505"/>
      <c r="D98" s="505"/>
      <c r="E98" s="505" t="s">
        <v>197</v>
      </c>
      <c r="F98" s="507">
        <v>54042.555666666667</v>
      </c>
      <c r="G98" s="507">
        <v>-3782.978896666667</v>
      </c>
      <c r="H98" s="507">
        <v>50259.57677</v>
      </c>
      <c r="I98" s="507">
        <v>6515.3333333333348</v>
      </c>
      <c r="J98" s="508">
        <v>1.1233333333333335</v>
      </c>
      <c r="K98" s="509">
        <v>0.9548333333333332</v>
      </c>
      <c r="L98"/>
    </row>
    <row r="99" spans="1:12" x14ac:dyDescent="0.25">
      <c r="A99" s="506"/>
      <c r="B99" s="505"/>
      <c r="C99" s="505" t="s">
        <v>1706</v>
      </c>
      <c r="D99" s="505" t="s">
        <v>1707</v>
      </c>
      <c r="E99" s="505" t="s">
        <v>192</v>
      </c>
      <c r="F99" s="507">
        <v>204463.67499999999</v>
      </c>
      <c r="G99" s="507">
        <v>-14312.457250000001</v>
      </c>
      <c r="H99" s="507">
        <v>190151.21774999998</v>
      </c>
      <c r="I99" s="507">
        <v>24650</v>
      </c>
      <c r="J99" s="508">
        <v>4.25</v>
      </c>
      <c r="K99" s="509">
        <v>3.6125000000000003</v>
      </c>
      <c r="L99"/>
    </row>
    <row r="100" spans="1:12" x14ac:dyDescent="0.25">
      <c r="A100" s="506"/>
      <c r="B100" s="505"/>
      <c r="C100" s="505"/>
      <c r="D100" s="505"/>
      <c r="E100" s="505" t="s">
        <v>1130</v>
      </c>
      <c r="F100" s="507">
        <v>204463.67499999999</v>
      </c>
      <c r="G100" s="507">
        <v>-14312.457250000001</v>
      </c>
      <c r="H100" s="507">
        <v>190151.21774999998</v>
      </c>
      <c r="I100" s="507">
        <v>24650</v>
      </c>
      <c r="J100" s="508">
        <v>4.25</v>
      </c>
      <c r="K100" s="509">
        <v>3.6125000000000003</v>
      </c>
      <c r="L100"/>
    </row>
    <row r="101" spans="1:12" x14ac:dyDescent="0.25">
      <c r="A101" s="506"/>
      <c r="B101" s="505"/>
      <c r="C101" s="505"/>
      <c r="D101" s="505"/>
      <c r="E101" s="505" t="s">
        <v>197</v>
      </c>
      <c r="F101" s="507">
        <v>81785.47</v>
      </c>
      <c r="G101" s="507">
        <v>-5724.9829000000009</v>
      </c>
      <c r="H101" s="507">
        <v>76060.487099999998</v>
      </c>
      <c r="I101" s="507">
        <v>9860</v>
      </c>
      <c r="J101" s="508">
        <v>1.7</v>
      </c>
      <c r="K101" s="509">
        <v>1.4450000000000001</v>
      </c>
      <c r="L101"/>
    </row>
    <row r="102" spans="1:12" x14ac:dyDescent="0.25">
      <c r="A102" s="506"/>
      <c r="B102" s="505"/>
      <c r="C102" s="505" t="s">
        <v>1765</v>
      </c>
      <c r="D102" s="505" t="s">
        <v>1766</v>
      </c>
      <c r="E102" s="505" t="s">
        <v>11</v>
      </c>
      <c r="F102" s="507">
        <v>80181.833333333343</v>
      </c>
      <c r="G102" s="507">
        <v>-5612.7283333333344</v>
      </c>
      <c r="H102" s="507">
        <v>74569.10500000001</v>
      </c>
      <c r="I102" s="507">
        <v>9666.6666666666679</v>
      </c>
      <c r="J102" s="508">
        <v>1.6666666666666667</v>
      </c>
      <c r="K102" s="509">
        <v>1.4166666666666667</v>
      </c>
      <c r="L102"/>
    </row>
    <row r="103" spans="1:12" x14ac:dyDescent="0.25">
      <c r="A103" s="506"/>
      <c r="B103" s="505"/>
      <c r="C103" s="505"/>
      <c r="D103" s="505"/>
      <c r="E103" s="505" t="s">
        <v>192</v>
      </c>
      <c r="F103" s="507">
        <v>60136.375</v>
      </c>
      <c r="G103" s="507">
        <v>-4209.5462500000003</v>
      </c>
      <c r="H103" s="507">
        <v>55926.828750000001</v>
      </c>
      <c r="I103" s="507">
        <v>7250</v>
      </c>
      <c r="J103" s="508">
        <v>1.25</v>
      </c>
      <c r="K103" s="509">
        <v>1.0625</v>
      </c>
      <c r="L103"/>
    </row>
    <row r="104" spans="1:12" x14ac:dyDescent="0.25">
      <c r="A104" s="506"/>
      <c r="B104" s="505"/>
      <c r="C104" s="505"/>
      <c r="D104" s="505"/>
      <c r="E104" s="505" t="s">
        <v>1130</v>
      </c>
      <c r="F104" s="507">
        <v>60136.375</v>
      </c>
      <c r="G104" s="507">
        <v>-4209.5462500000003</v>
      </c>
      <c r="H104" s="507">
        <v>55926.828750000001</v>
      </c>
      <c r="I104" s="507">
        <v>7250</v>
      </c>
      <c r="J104" s="508">
        <v>1.25</v>
      </c>
      <c r="K104" s="509">
        <v>1.0625</v>
      </c>
      <c r="L104"/>
    </row>
    <row r="105" spans="1:12" x14ac:dyDescent="0.25">
      <c r="A105" s="506"/>
      <c r="B105" s="505"/>
      <c r="C105" s="505" t="s">
        <v>1753</v>
      </c>
      <c r="D105" s="505" t="s">
        <v>1761</v>
      </c>
      <c r="E105" s="505" t="s">
        <v>176</v>
      </c>
      <c r="F105" s="507">
        <v>237717.86666666667</v>
      </c>
      <c r="G105" s="507">
        <v>-16640.250666666667</v>
      </c>
      <c r="H105" s="507">
        <v>221077.61600000001</v>
      </c>
      <c r="I105" s="507">
        <v>18133.333333333336</v>
      </c>
      <c r="J105" s="508">
        <v>5.3333333333333339</v>
      </c>
      <c r="K105" s="509">
        <v>4.5333333333333332</v>
      </c>
      <c r="L105"/>
    </row>
    <row r="106" spans="1:12" x14ac:dyDescent="0.25">
      <c r="A106" s="506"/>
      <c r="B106" s="505"/>
      <c r="C106" s="505"/>
      <c r="D106" s="505"/>
      <c r="E106" s="505" t="s">
        <v>192</v>
      </c>
      <c r="F106" s="507">
        <v>89144.199999999983</v>
      </c>
      <c r="G106" s="507">
        <v>-6240.0939999999991</v>
      </c>
      <c r="H106" s="507">
        <v>82904.105999999985</v>
      </c>
      <c r="I106" s="507">
        <v>6800</v>
      </c>
      <c r="J106" s="508">
        <v>2</v>
      </c>
      <c r="K106" s="509">
        <v>1.6999999999999997</v>
      </c>
      <c r="L106"/>
    </row>
    <row r="107" spans="1:12" x14ac:dyDescent="0.25">
      <c r="A107" s="506"/>
      <c r="B107" s="505"/>
      <c r="C107" s="505" t="s">
        <v>1752</v>
      </c>
      <c r="D107" s="505" t="s">
        <v>1760</v>
      </c>
      <c r="E107" s="505" t="s">
        <v>176</v>
      </c>
      <c r="F107" s="507">
        <v>167145.375</v>
      </c>
      <c r="G107" s="507">
        <v>-11700.17625</v>
      </c>
      <c r="H107" s="507">
        <v>155445.19875000001</v>
      </c>
      <c r="I107" s="507">
        <v>12750</v>
      </c>
      <c r="J107" s="508">
        <v>3.75</v>
      </c>
      <c r="K107" s="509">
        <v>3.1875</v>
      </c>
      <c r="L107"/>
    </row>
    <row r="108" spans="1:12" x14ac:dyDescent="0.25">
      <c r="A108" s="506"/>
      <c r="B108" s="505"/>
      <c r="C108" s="505" t="s">
        <v>1887</v>
      </c>
      <c r="D108" s="505" t="s">
        <v>1220</v>
      </c>
      <c r="E108" s="505" t="s">
        <v>176</v>
      </c>
      <c r="F108" s="507">
        <v>64947.285000000003</v>
      </c>
      <c r="G108" s="507">
        <v>-4546.3099500000008</v>
      </c>
      <c r="H108" s="507">
        <v>60400.975050000001</v>
      </c>
      <c r="I108" s="507">
        <v>7830.0000000000009</v>
      </c>
      <c r="J108" s="508">
        <v>1.35</v>
      </c>
      <c r="K108" s="509">
        <v>1.1475</v>
      </c>
      <c r="L108"/>
    </row>
    <row r="109" spans="1:12" x14ac:dyDescent="0.25">
      <c r="A109" s="506"/>
      <c r="B109" s="505"/>
      <c r="C109" s="505" t="s">
        <v>1888</v>
      </c>
      <c r="D109" s="505" t="s">
        <v>1221</v>
      </c>
      <c r="E109" s="505" t="s">
        <v>176</v>
      </c>
      <c r="F109" s="507">
        <v>113056.38499999999</v>
      </c>
      <c r="G109" s="507">
        <v>-7913.9469500000005</v>
      </c>
      <c r="H109" s="507">
        <v>105142.43805</v>
      </c>
      <c r="I109" s="507">
        <v>13630</v>
      </c>
      <c r="J109" s="508">
        <v>2.35</v>
      </c>
      <c r="K109" s="509">
        <v>1.9974999999999998</v>
      </c>
      <c r="L109"/>
    </row>
    <row r="110" spans="1:12" x14ac:dyDescent="0.25">
      <c r="A110" s="506"/>
      <c r="B110" s="505"/>
      <c r="C110" s="505" t="s">
        <v>1889</v>
      </c>
      <c r="D110" s="505" t="s">
        <v>1890</v>
      </c>
      <c r="E110" s="505" t="s">
        <v>11</v>
      </c>
      <c r="F110" s="507">
        <v>92209.108333333337</v>
      </c>
      <c r="G110" s="507">
        <v>-6454.6375833333341</v>
      </c>
      <c r="H110" s="507">
        <v>85754.470750000008</v>
      </c>
      <c r="I110" s="507">
        <v>11116.666666666666</v>
      </c>
      <c r="J110" s="508">
        <v>1.9166666666666665</v>
      </c>
      <c r="K110" s="509">
        <v>1.6291666666666667</v>
      </c>
      <c r="L110"/>
    </row>
    <row r="111" spans="1:12" x14ac:dyDescent="0.25">
      <c r="A111" s="506"/>
      <c r="B111" s="505"/>
      <c r="C111" s="505"/>
      <c r="D111" s="505"/>
      <c r="E111" s="505" t="s">
        <v>176</v>
      </c>
      <c r="F111" s="507">
        <v>230522.77083333334</v>
      </c>
      <c r="G111" s="507">
        <v>-16136.593958333335</v>
      </c>
      <c r="H111" s="507">
        <v>214386.176875</v>
      </c>
      <c r="I111" s="507">
        <v>27791.666666666668</v>
      </c>
      <c r="J111" s="508">
        <v>4.791666666666667</v>
      </c>
      <c r="K111" s="509">
        <v>4.072916666666667</v>
      </c>
      <c r="L111"/>
    </row>
    <row r="112" spans="1:12" x14ac:dyDescent="0.25">
      <c r="A112" s="506"/>
      <c r="B112" s="505"/>
      <c r="C112" s="505" t="s">
        <v>1891</v>
      </c>
      <c r="D112" s="505" t="s">
        <v>1294</v>
      </c>
      <c r="E112" s="505" t="s">
        <v>11</v>
      </c>
      <c r="F112" s="507">
        <v>40003.459749999995</v>
      </c>
      <c r="G112" s="507">
        <v>-2800.2421824999997</v>
      </c>
      <c r="H112" s="507">
        <v>37203.217567499996</v>
      </c>
      <c r="I112" s="507">
        <v>3051.5</v>
      </c>
      <c r="J112" s="508">
        <v>0.89749999999999996</v>
      </c>
      <c r="K112" s="509">
        <v>0.76287499999999997</v>
      </c>
      <c r="L112"/>
    </row>
    <row r="113" spans="1:12" x14ac:dyDescent="0.25">
      <c r="A113" s="506"/>
      <c r="B113" s="505"/>
      <c r="C113" s="505"/>
      <c r="D113" s="505"/>
      <c r="E113" s="505" t="s">
        <v>176</v>
      </c>
      <c r="F113" s="507">
        <v>40003.459749999995</v>
      </c>
      <c r="G113" s="507">
        <v>-2800.2421824999997</v>
      </c>
      <c r="H113" s="507">
        <v>37203.217567499996</v>
      </c>
      <c r="I113" s="507">
        <v>3051.5</v>
      </c>
      <c r="J113" s="508">
        <v>0.89749999999999996</v>
      </c>
      <c r="K113" s="509">
        <v>0.76287499999999997</v>
      </c>
      <c r="L113"/>
    </row>
    <row r="114" spans="1:12" x14ac:dyDescent="0.25">
      <c r="A114" s="506"/>
      <c r="B114" s="505"/>
      <c r="C114" s="505" t="s">
        <v>1864</v>
      </c>
      <c r="D114" s="505" t="s">
        <v>1877</v>
      </c>
      <c r="E114" s="505" t="s">
        <v>1130</v>
      </c>
      <c r="F114" s="507">
        <v>134909.77499999999</v>
      </c>
      <c r="G114" s="507">
        <v>-9443.6842500000002</v>
      </c>
      <c r="H114" s="507">
        <v>125466.09074999999</v>
      </c>
      <c r="I114" s="507">
        <v>59950</v>
      </c>
      <c r="J114" s="508">
        <v>2.75</v>
      </c>
      <c r="K114" s="509">
        <v>2.3374999999999999</v>
      </c>
      <c r="L114"/>
    </row>
    <row r="115" spans="1:12" x14ac:dyDescent="0.25">
      <c r="A115" s="506"/>
      <c r="B115" s="505"/>
      <c r="C115" s="505" t="s">
        <v>2146</v>
      </c>
      <c r="D115" s="505" t="s">
        <v>2147</v>
      </c>
      <c r="E115" s="505" t="s">
        <v>176</v>
      </c>
      <c r="F115" s="507">
        <v>111607.17749999999</v>
      </c>
      <c r="G115" s="507">
        <v>-7812.5024249999997</v>
      </c>
      <c r="H115" s="507">
        <v>103794.67507499999</v>
      </c>
      <c r="I115" s="507">
        <v>49595</v>
      </c>
      <c r="J115" s="508">
        <v>2.2749999999999999</v>
      </c>
      <c r="K115" s="509">
        <v>1.9337499999999999</v>
      </c>
      <c r="L115"/>
    </row>
    <row r="116" spans="1:12" x14ac:dyDescent="0.25">
      <c r="A116" s="506" t="s">
        <v>859</v>
      </c>
      <c r="B116" s="505"/>
      <c r="C116" s="505"/>
      <c r="D116" s="505"/>
      <c r="E116" s="505"/>
      <c r="F116" s="507">
        <v>3113848.1663333336</v>
      </c>
      <c r="G116" s="507">
        <v>-217969.37164333335</v>
      </c>
      <c r="H116" s="507">
        <v>2895878.7946900004</v>
      </c>
      <c r="I116" s="507">
        <v>531082.66666666674</v>
      </c>
      <c r="J116" s="508">
        <v>65.446666666666673</v>
      </c>
      <c r="K116" s="509">
        <v>55.629666666666679</v>
      </c>
      <c r="L116"/>
    </row>
    <row r="117" spans="1:12" x14ac:dyDescent="0.25">
      <c r="A117" s="524" t="s">
        <v>781</v>
      </c>
      <c r="B117" s="525"/>
      <c r="C117" s="525"/>
      <c r="D117" s="525"/>
      <c r="E117" s="525"/>
      <c r="F117" s="526">
        <v>13684436.478022916</v>
      </c>
      <c r="G117" s="526">
        <v>-957910.55346160382</v>
      </c>
      <c r="H117" s="526">
        <v>12726525.924561309</v>
      </c>
      <c r="I117" s="526">
        <v>2318649.2666666661</v>
      </c>
      <c r="J117" s="527">
        <v>311.60700000000003</v>
      </c>
      <c r="K117" s="528">
        <v>264.72282499999994</v>
      </c>
      <c r="L117"/>
    </row>
    <row r="118" spans="1:12" x14ac:dyDescent="0.25">
      <c r="A118"/>
      <c r="B118"/>
      <c r="C118"/>
      <c r="D118"/>
      <c r="E118"/>
      <c r="F118"/>
      <c r="G118"/>
      <c r="H118"/>
      <c r="I118"/>
      <c r="J118"/>
      <c r="K118"/>
      <c r="L118"/>
    </row>
    <row r="119" spans="1:12" x14ac:dyDescent="0.25">
      <c r="A119"/>
      <c r="B119"/>
      <c r="C119"/>
      <c r="D119"/>
      <c r="E119"/>
      <c r="F119"/>
      <c r="G119"/>
      <c r="H119"/>
      <c r="I119"/>
      <c r="J119"/>
      <c r="K119"/>
      <c r="L119"/>
    </row>
    <row r="120" spans="1:12" x14ac:dyDescent="0.25">
      <c r="A120"/>
      <c r="B120"/>
      <c r="C120"/>
      <c r="D120"/>
      <c r="E120"/>
      <c r="F120"/>
      <c r="G120"/>
      <c r="H120"/>
      <c r="I120"/>
      <c r="J120"/>
      <c r="K120"/>
      <c r="L120"/>
    </row>
    <row r="121" spans="1:12" x14ac:dyDescent="0.25">
      <c r="A121"/>
      <c r="B121"/>
      <c r="C121"/>
      <c r="D121"/>
      <c r="E121"/>
      <c r="F121"/>
      <c r="G121"/>
      <c r="H121"/>
      <c r="I121"/>
      <c r="J121"/>
      <c r="K121"/>
      <c r="L121"/>
    </row>
    <row r="122" spans="1:12" x14ac:dyDescent="0.25">
      <c r="A122"/>
      <c r="B122"/>
      <c r="C122"/>
      <c r="D122"/>
      <c r="E122"/>
      <c r="F122"/>
      <c r="G122"/>
      <c r="H122"/>
      <c r="I122"/>
      <c r="J122"/>
      <c r="K122"/>
      <c r="L122"/>
    </row>
    <row r="123" spans="1:12" x14ac:dyDescent="0.25">
      <c r="A123"/>
      <c r="B123"/>
      <c r="C123"/>
      <c r="D123"/>
      <c r="E123"/>
      <c r="F123"/>
      <c r="G123"/>
      <c r="H123"/>
      <c r="I123"/>
      <c r="J123"/>
      <c r="K123"/>
      <c r="L123"/>
    </row>
    <row r="124" spans="1:12" x14ac:dyDescent="0.25">
      <c r="A124"/>
      <c r="B124"/>
      <c r="C124"/>
      <c r="D124"/>
      <c r="E124"/>
      <c r="F124"/>
      <c r="G124"/>
      <c r="H124"/>
      <c r="I124"/>
      <c r="J124"/>
      <c r="K124"/>
      <c r="L124"/>
    </row>
    <row r="125" spans="1:12" x14ac:dyDescent="0.25">
      <c r="A125"/>
      <c r="B125"/>
      <c r="C125"/>
      <c r="D125"/>
      <c r="E125"/>
      <c r="F125"/>
      <c r="G125"/>
      <c r="H125"/>
      <c r="I125"/>
      <c r="J125"/>
      <c r="K125"/>
      <c r="L125"/>
    </row>
    <row r="126" spans="1:12" x14ac:dyDescent="0.25">
      <c r="A126"/>
      <c r="B126"/>
      <c r="C126"/>
      <c r="D126"/>
      <c r="E126"/>
      <c r="F126"/>
      <c r="G126"/>
      <c r="H126"/>
      <c r="I126"/>
      <c r="J126"/>
      <c r="K126"/>
      <c r="L126"/>
    </row>
    <row r="127" spans="1:12" x14ac:dyDescent="0.25">
      <c r="A127"/>
      <c r="B127"/>
      <c r="C127"/>
      <c r="D127"/>
      <c r="E127"/>
      <c r="F127"/>
      <c r="G127"/>
      <c r="H127"/>
      <c r="I127"/>
      <c r="J127"/>
      <c r="K127"/>
      <c r="L127"/>
    </row>
    <row r="128" spans="1:12" x14ac:dyDescent="0.25">
      <c r="A128"/>
      <c r="B128"/>
      <c r="C128"/>
      <c r="D128"/>
      <c r="E128"/>
      <c r="F128"/>
      <c r="G128"/>
      <c r="H128"/>
      <c r="I128"/>
      <c r="J128"/>
      <c r="K128"/>
      <c r="L128"/>
    </row>
    <row r="129" spans="1:12" x14ac:dyDescent="0.25">
      <c r="A129"/>
      <c r="B129"/>
      <c r="C129"/>
      <c r="D129"/>
      <c r="E129"/>
      <c r="F129"/>
      <c r="G129"/>
      <c r="H129"/>
      <c r="I129"/>
      <c r="J129"/>
      <c r="K129"/>
      <c r="L129"/>
    </row>
    <row r="130" spans="1:12" x14ac:dyDescent="0.25">
      <c r="A130"/>
      <c r="B130"/>
      <c r="C130"/>
      <c r="D130"/>
      <c r="E130"/>
      <c r="F130"/>
      <c r="G130"/>
      <c r="H130"/>
      <c r="I130"/>
      <c r="J130"/>
      <c r="K130"/>
      <c r="L130"/>
    </row>
    <row r="131" spans="1:12" x14ac:dyDescent="0.25">
      <c r="A131"/>
      <c r="B131"/>
      <c r="C131"/>
      <c r="D131"/>
      <c r="E131"/>
      <c r="F131"/>
      <c r="G131"/>
      <c r="H131"/>
      <c r="I131"/>
      <c r="J131"/>
      <c r="K131"/>
      <c r="L131"/>
    </row>
    <row r="132" spans="1:12" x14ac:dyDescent="0.25">
      <c r="A132"/>
      <c r="B132"/>
      <c r="C132"/>
      <c r="D132"/>
      <c r="E132"/>
      <c r="F132"/>
      <c r="G132"/>
      <c r="H132"/>
      <c r="I132"/>
      <c r="J132"/>
      <c r="K132"/>
      <c r="L132"/>
    </row>
    <row r="133" spans="1:12" x14ac:dyDescent="0.25">
      <c r="A133"/>
      <c r="B133"/>
      <c r="C133"/>
      <c r="D133"/>
      <c r="E133"/>
      <c r="F133"/>
      <c r="G133"/>
      <c r="H133"/>
      <c r="I133"/>
      <c r="J133"/>
      <c r="K133"/>
      <c r="L133"/>
    </row>
    <row r="134" spans="1:12" x14ac:dyDescent="0.25">
      <c r="A134"/>
      <c r="B134"/>
      <c r="C134"/>
      <c r="D134"/>
      <c r="E134"/>
      <c r="F134"/>
      <c r="G134"/>
      <c r="H134"/>
      <c r="I134"/>
      <c r="J134"/>
      <c r="K134"/>
      <c r="L134"/>
    </row>
    <row r="135" spans="1:12" x14ac:dyDescent="0.25">
      <c r="A135"/>
      <c r="B135"/>
      <c r="C135"/>
      <c r="D135"/>
      <c r="E135"/>
      <c r="F135"/>
      <c r="G135"/>
      <c r="H135"/>
      <c r="I135"/>
      <c r="J135"/>
      <c r="K135"/>
      <c r="L135"/>
    </row>
    <row r="136" spans="1:12" x14ac:dyDescent="0.25">
      <c r="A136"/>
      <c r="B136"/>
      <c r="C136"/>
      <c r="D136"/>
      <c r="E136"/>
      <c r="F136"/>
      <c r="G136"/>
      <c r="H136"/>
      <c r="I136"/>
      <c r="J136"/>
      <c r="K136"/>
      <c r="L136"/>
    </row>
    <row r="137" spans="1:12" x14ac:dyDescent="0.25">
      <c r="A137"/>
      <c r="B137"/>
      <c r="C137"/>
      <c r="D137"/>
      <c r="E137"/>
      <c r="F137"/>
      <c r="G137"/>
      <c r="H137"/>
      <c r="I137"/>
      <c r="J137"/>
      <c r="K137"/>
      <c r="L137"/>
    </row>
    <row r="138" spans="1:12" x14ac:dyDescent="0.25">
      <c r="A138"/>
      <c r="B138"/>
      <c r="C138"/>
      <c r="D138"/>
      <c r="E138"/>
      <c r="F138"/>
      <c r="G138"/>
      <c r="H138"/>
      <c r="I138"/>
      <c r="J138"/>
      <c r="K138"/>
      <c r="L138"/>
    </row>
    <row r="139" spans="1:12" x14ac:dyDescent="0.25">
      <c r="A139"/>
      <c r="B139"/>
      <c r="C139"/>
      <c r="D139"/>
      <c r="E139"/>
      <c r="F139"/>
      <c r="G139"/>
      <c r="H139"/>
      <c r="I139"/>
      <c r="J139"/>
      <c r="K139"/>
      <c r="L139"/>
    </row>
    <row r="140" spans="1:12" x14ac:dyDescent="0.25">
      <c r="A140"/>
      <c r="B140"/>
      <c r="C140"/>
      <c r="D140"/>
      <c r="E140"/>
      <c r="F140"/>
      <c r="G140"/>
      <c r="H140"/>
      <c r="I140"/>
      <c r="J140"/>
      <c r="K140"/>
      <c r="L140"/>
    </row>
    <row r="141" spans="1:12" x14ac:dyDescent="0.25">
      <c r="A141"/>
      <c r="B141"/>
      <c r="C141"/>
      <c r="D141"/>
      <c r="E141"/>
      <c r="F141"/>
      <c r="G141"/>
      <c r="H141"/>
      <c r="I141"/>
      <c r="J141"/>
      <c r="K141"/>
      <c r="L141"/>
    </row>
    <row r="142" spans="1:12" x14ac:dyDescent="0.25">
      <c r="A142"/>
      <c r="B142"/>
      <c r="C142"/>
      <c r="D142"/>
      <c r="E142"/>
      <c r="F142"/>
      <c r="G142"/>
      <c r="H142"/>
      <c r="I142"/>
      <c r="J142"/>
      <c r="K142"/>
      <c r="L142"/>
    </row>
    <row r="143" spans="1:12" x14ac:dyDescent="0.25">
      <c r="A143"/>
      <c r="B143"/>
      <c r="C143"/>
      <c r="D143"/>
      <c r="E143"/>
      <c r="F143"/>
      <c r="G143"/>
      <c r="H143"/>
      <c r="I143"/>
      <c r="J143"/>
      <c r="K143"/>
      <c r="L143"/>
    </row>
    <row r="144" spans="1:12" x14ac:dyDescent="0.25">
      <c r="A144"/>
      <c r="B144"/>
      <c r="C144"/>
      <c r="D144"/>
      <c r="E144"/>
      <c r="F144"/>
      <c r="G144"/>
      <c r="H144"/>
      <c r="I144"/>
      <c r="J144"/>
      <c r="K144"/>
      <c r="L144"/>
    </row>
    <row r="145" spans="1:12" x14ac:dyDescent="0.25">
      <c r="A145"/>
      <c r="B145"/>
      <c r="C145"/>
      <c r="D145"/>
      <c r="E145"/>
      <c r="F145"/>
      <c r="G145"/>
      <c r="H145"/>
      <c r="I145"/>
      <c r="J145"/>
      <c r="K145"/>
      <c r="L145"/>
    </row>
    <row r="146" spans="1:12" x14ac:dyDescent="0.25">
      <c r="A146"/>
      <c r="B146"/>
      <c r="C146"/>
      <c r="D146"/>
      <c r="E146"/>
      <c r="F146"/>
      <c r="G146"/>
      <c r="H146"/>
      <c r="I146"/>
      <c r="J146"/>
      <c r="K146"/>
      <c r="L146"/>
    </row>
    <row r="147" spans="1:12" x14ac:dyDescent="0.25">
      <c r="A147"/>
      <c r="B147"/>
      <c r="C147"/>
      <c r="D147"/>
      <c r="E147"/>
      <c r="F147"/>
      <c r="G147"/>
      <c r="H147"/>
      <c r="I147"/>
      <c r="J147"/>
      <c r="K147"/>
      <c r="L147"/>
    </row>
    <row r="148" spans="1:12" x14ac:dyDescent="0.25">
      <c r="A148"/>
      <c r="B148"/>
      <c r="C148"/>
      <c r="D148"/>
      <c r="E148"/>
      <c r="F148"/>
      <c r="G148"/>
      <c r="H148"/>
      <c r="I148"/>
      <c r="J148"/>
      <c r="K148"/>
      <c r="L148"/>
    </row>
    <row r="149" spans="1:12" x14ac:dyDescent="0.25">
      <c r="A149"/>
      <c r="B149"/>
      <c r="C149"/>
      <c r="D149"/>
      <c r="E149"/>
      <c r="F149"/>
      <c r="G149"/>
      <c r="H149"/>
      <c r="I149"/>
      <c r="J149"/>
      <c r="K149"/>
      <c r="L149"/>
    </row>
    <row r="150" spans="1:12" x14ac:dyDescent="0.25">
      <c r="A150"/>
      <c r="B150"/>
      <c r="C150"/>
      <c r="D150"/>
      <c r="E150"/>
      <c r="F150"/>
      <c r="G150"/>
      <c r="H150"/>
      <c r="I150"/>
      <c r="J150"/>
      <c r="K150"/>
      <c r="L150"/>
    </row>
    <row r="151" spans="1:12" x14ac:dyDescent="0.25">
      <c r="A151"/>
      <c r="B151"/>
      <c r="C151"/>
      <c r="D151"/>
      <c r="E151"/>
      <c r="F151"/>
      <c r="G151"/>
      <c r="H151"/>
      <c r="I151"/>
      <c r="J151"/>
      <c r="K151"/>
      <c r="L151"/>
    </row>
    <row r="152" spans="1:12" x14ac:dyDescent="0.25">
      <c r="A152"/>
      <c r="B152"/>
      <c r="C152"/>
      <c r="D152"/>
      <c r="E152"/>
      <c r="F152"/>
      <c r="G152"/>
      <c r="H152"/>
      <c r="I152"/>
      <c r="J152"/>
      <c r="K152"/>
      <c r="L152"/>
    </row>
    <row r="153" spans="1:12" x14ac:dyDescent="0.25">
      <c r="A153"/>
      <c r="B153"/>
      <c r="C153"/>
      <c r="D153"/>
      <c r="E153"/>
      <c r="F153"/>
      <c r="G153"/>
      <c r="H153"/>
      <c r="I153"/>
      <c r="J153"/>
      <c r="K153"/>
      <c r="L153"/>
    </row>
    <row r="154" spans="1:12" x14ac:dyDescent="0.25">
      <c r="A154"/>
      <c r="B154"/>
      <c r="C154"/>
      <c r="D154"/>
      <c r="E154"/>
      <c r="F154"/>
      <c r="G154"/>
      <c r="H154"/>
      <c r="I154"/>
      <c r="J154"/>
      <c r="K154"/>
      <c r="L154"/>
    </row>
    <row r="155" spans="1:12" x14ac:dyDescent="0.25">
      <c r="A155"/>
      <c r="B155"/>
      <c r="C155"/>
      <c r="D155"/>
      <c r="E155"/>
      <c r="F155"/>
      <c r="G155"/>
      <c r="H155"/>
      <c r="I155"/>
      <c r="J155"/>
      <c r="K155"/>
      <c r="L155"/>
    </row>
    <row r="156" spans="1:12" x14ac:dyDescent="0.25">
      <c r="A156"/>
      <c r="B156"/>
      <c r="C156"/>
      <c r="D156"/>
      <c r="E156"/>
      <c r="F156"/>
      <c r="G156"/>
      <c r="H156"/>
      <c r="I156"/>
      <c r="J156"/>
      <c r="K156"/>
      <c r="L156"/>
    </row>
    <row r="157" spans="1:12" x14ac:dyDescent="0.25">
      <c r="A157"/>
      <c r="B157"/>
      <c r="C157"/>
      <c r="D157"/>
      <c r="E157"/>
      <c r="F157"/>
      <c r="G157"/>
      <c r="H157"/>
      <c r="I157"/>
      <c r="J157"/>
      <c r="K157"/>
      <c r="L157"/>
    </row>
    <row r="158" spans="1:12" x14ac:dyDescent="0.25">
      <c r="A158"/>
      <c r="B158"/>
      <c r="C158"/>
      <c r="D158"/>
      <c r="E158"/>
      <c r="F158"/>
      <c r="G158"/>
      <c r="H158"/>
      <c r="I158"/>
      <c r="J158"/>
      <c r="K158"/>
      <c r="L158"/>
    </row>
    <row r="159" spans="1:12" x14ac:dyDescent="0.25">
      <c r="A159"/>
      <c r="B159"/>
      <c r="C159"/>
      <c r="D159"/>
      <c r="E159"/>
      <c r="F159"/>
      <c r="G159"/>
      <c r="H159"/>
      <c r="I159"/>
      <c r="J159"/>
      <c r="K159"/>
      <c r="L159"/>
    </row>
    <row r="160" spans="1:12" x14ac:dyDescent="0.25">
      <c r="A160"/>
      <c r="B160"/>
      <c r="C160"/>
      <c r="D160"/>
      <c r="E160"/>
      <c r="F160"/>
      <c r="G160"/>
      <c r="H160"/>
      <c r="I160"/>
      <c r="J160"/>
      <c r="K160"/>
      <c r="L160"/>
    </row>
    <row r="161" spans="1:12" x14ac:dyDescent="0.25">
      <c r="A161"/>
      <c r="B161"/>
      <c r="C161"/>
      <c r="D161"/>
      <c r="E161"/>
      <c r="F161"/>
      <c r="G161"/>
      <c r="H161"/>
      <c r="I161"/>
      <c r="J161"/>
      <c r="K161"/>
      <c r="L161"/>
    </row>
    <row r="162" spans="1:12" x14ac:dyDescent="0.25">
      <c r="A162"/>
      <c r="B162"/>
      <c r="C162"/>
      <c r="D162"/>
      <c r="E162"/>
      <c r="F162"/>
      <c r="G162"/>
      <c r="H162"/>
      <c r="I162"/>
      <c r="J162"/>
      <c r="K162"/>
      <c r="L162"/>
    </row>
    <row r="163" spans="1:12" x14ac:dyDescent="0.25">
      <c r="A163"/>
      <c r="B163"/>
      <c r="C163"/>
      <c r="D163"/>
      <c r="E163"/>
      <c r="F163"/>
      <c r="G163"/>
      <c r="H163"/>
      <c r="I163"/>
      <c r="J163"/>
      <c r="K163"/>
      <c r="L163"/>
    </row>
    <row r="164" spans="1:12" x14ac:dyDescent="0.25">
      <c r="A164"/>
      <c r="B164"/>
      <c r="C164"/>
      <c r="D164"/>
      <c r="E164"/>
      <c r="F164"/>
      <c r="G164"/>
      <c r="H164"/>
      <c r="I164"/>
      <c r="J164"/>
      <c r="K164"/>
      <c r="L164"/>
    </row>
    <row r="165" spans="1:12" x14ac:dyDescent="0.25">
      <c r="A165"/>
      <c r="B165"/>
      <c r="C165"/>
      <c r="D165"/>
      <c r="E165"/>
      <c r="F165"/>
      <c r="G165"/>
      <c r="H165"/>
      <c r="I165"/>
      <c r="J165"/>
      <c r="K165"/>
      <c r="L165"/>
    </row>
    <row r="166" spans="1:12" x14ac:dyDescent="0.25">
      <c r="A166"/>
      <c r="B166"/>
      <c r="C166"/>
      <c r="D166"/>
      <c r="E166"/>
      <c r="F166"/>
      <c r="G166"/>
      <c r="H166"/>
      <c r="I166"/>
      <c r="J166"/>
      <c r="K166"/>
      <c r="L166"/>
    </row>
    <row r="167" spans="1:12" x14ac:dyDescent="0.25">
      <c r="A167"/>
      <c r="B167"/>
      <c r="C167"/>
      <c r="D167"/>
      <c r="E167"/>
      <c r="F167"/>
      <c r="G167"/>
      <c r="H167"/>
      <c r="I167"/>
      <c r="J167"/>
      <c r="K167"/>
      <c r="L167"/>
    </row>
    <row r="168" spans="1:12" x14ac:dyDescent="0.25">
      <c r="A168"/>
      <c r="B168"/>
      <c r="C168"/>
      <c r="D168"/>
      <c r="E168"/>
      <c r="F168"/>
      <c r="G168"/>
      <c r="H168"/>
      <c r="I168"/>
      <c r="J168"/>
      <c r="K168"/>
      <c r="L168"/>
    </row>
    <row r="169" spans="1:12" x14ac:dyDescent="0.25">
      <c r="A169"/>
      <c r="B169"/>
      <c r="C169"/>
      <c r="D169"/>
      <c r="E169"/>
      <c r="F169"/>
      <c r="G169"/>
      <c r="H169"/>
      <c r="I169"/>
      <c r="J169"/>
      <c r="K169"/>
      <c r="L169"/>
    </row>
    <row r="170" spans="1:12" x14ac:dyDescent="0.25">
      <c r="A170"/>
      <c r="B170"/>
      <c r="C170"/>
      <c r="D170"/>
      <c r="E170"/>
      <c r="F170"/>
      <c r="G170"/>
      <c r="H170"/>
      <c r="I170"/>
      <c r="J170"/>
      <c r="K170"/>
      <c r="L170"/>
    </row>
    <row r="171" spans="1:12" x14ac:dyDescent="0.25">
      <c r="A171"/>
      <c r="B171"/>
      <c r="C171"/>
      <c r="D171"/>
      <c r="E171"/>
      <c r="F171"/>
      <c r="G171"/>
      <c r="H171"/>
      <c r="I171"/>
      <c r="J171"/>
      <c r="K171"/>
      <c r="L171"/>
    </row>
    <row r="172" spans="1:12" x14ac:dyDescent="0.25">
      <c r="A172"/>
      <c r="B172"/>
      <c r="C172"/>
      <c r="D172"/>
      <c r="E172"/>
      <c r="F172"/>
      <c r="G172"/>
      <c r="H172"/>
      <c r="I172"/>
      <c r="J172"/>
      <c r="K172"/>
      <c r="L172"/>
    </row>
    <row r="173" spans="1:12" x14ac:dyDescent="0.25">
      <c r="A173"/>
      <c r="B173"/>
      <c r="C173"/>
      <c r="D173"/>
      <c r="E173"/>
      <c r="F173"/>
      <c r="G173"/>
      <c r="H173"/>
      <c r="I173"/>
      <c r="J173"/>
      <c r="K173"/>
      <c r="L173"/>
    </row>
    <row r="174" spans="1:12" x14ac:dyDescent="0.25">
      <c r="A174"/>
      <c r="B174"/>
      <c r="C174"/>
      <c r="D174"/>
      <c r="E174"/>
      <c r="F174"/>
      <c r="G174"/>
      <c r="H174"/>
      <c r="I174"/>
      <c r="J174"/>
      <c r="K174"/>
      <c r="L174"/>
    </row>
    <row r="175" spans="1:12" x14ac:dyDescent="0.25">
      <c r="A175"/>
      <c r="B175"/>
      <c r="C175"/>
      <c r="D175"/>
      <c r="E175"/>
      <c r="F175"/>
      <c r="G175"/>
      <c r="H175"/>
      <c r="I175"/>
      <c r="J175"/>
      <c r="K175"/>
      <c r="L175"/>
    </row>
    <row r="176" spans="1:12" x14ac:dyDescent="0.25">
      <c r="A176"/>
      <c r="B176"/>
      <c r="C176"/>
      <c r="D176"/>
      <c r="E176"/>
      <c r="F176"/>
      <c r="G176"/>
      <c r="H176"/>
      <c r="I176"/>
      <c r="J176"/>
      <c r="K176"/>
      <c r="L176"/>
    </row>
    <row r="177" spans="1:12" x14ac:dyDescent="0.25">
      <c r="A177"/>
      <c r="B177"/>
      <c r="C177"/>
      <c r="D177"/>
      <c r="E177"/>
      <c r="F177"/>
      <c r="G177"/>
      <c r="H177"/>
      <c r="I177"/>
      <c r="J177"/>
      <c r="K177"/>
      <c r="L177"/>
    </row>
    <row r="178" spans="1:12" x14ac:dyDescent="0.25">
      <c r="A178"/>
      <c r="B178"/>
      <c r="C178"/>
      <c r="D178"/>
      <c r="E178"/>
      <c r="F178"/>
      <c r="G178"/>
      <c r="H178"/>
      <c r="I178"/>
      <c r="J178"/>
      <c r="K178"/>
      <c r="L178"/>
    </row>
    <row r="179" spans="1:12" x14ac:dyDescent="0.25">
      <c r="A179"/>
      <c r="B179"/>
      <c r="C179"/>
      <c r="D179"/>
      <c r="E179"/>
      <c r="F179"/>
      <c r="G179"/>
      <c r="H179"/>
      <c r="I179"/>
      <c r="J179"/>
      <c r="K179"/>
      <c r="L179"/>
    </row>
    <row r="180" spans="1:12" x14ac:dyDescent="0.25">
      <c r="A180"/>
      <c r="B180"/>
      <c r="C180"/>
      <c r="D180"/>
      <c r="E180"/>
      <c r="F180"/>
      <c r="G180"/>
      <c r="H180"/>
      <c r="I180"/>
      <c r="J180"/>
      <c r="K180"/>
      <c r="L180"/>
    </row>
    <row r="181" spans="1:12" x14ac:dyDescent="0.25">
      <c r="A181"/>
      <c r="B181"/>
      <c r="C181"/>
      <c r="D181"/>
      <c r="E181"/>
      <c r="F181"/>
      <c r="G181"/>
      <c r="H181"/>
      <c r="I181"/>
      <c r="J181"/>
      <c r="K181"/>
      <c r="L181"/>
    </row>
    <row r="182" spans="1:12" x14ac:dyDescent="0.25">
      <c r="A182"/>
      <c r="B182"/>
      <c r="C182"/>
      <c r="D182"/>
      <c r="E182"/>
      <c r="F182"/>
      <c r="G182"/>
      <c r="H182"/>
      <c r="I182"/>
      <c r="J182"/>
      <c r="K182"/>
      <c r="L182"/>
    </row>
    <row r="183" spans="1:12" x14ac:dyDescent="0.25">
      <c r="A183"/>
      <c r="B183"/>
      <c r="C183"/>
      <c r="D183"/>
      <c r="E183"/>
      <c r="F183"/>
      <c r="G183"/>
      <c r="H183"/>
      <c r="I183"/>
      <c r="J183"/>
      <c r="K183"/>
      <c r="L183"/>
    </row>
    <row r="184" spans="1:12" x14ac:dyDescent="0.25">
      <c r="A184"/>
      <c r="B184"/>
      <c r="C184"/>
      <c r="D184"/>
      <c r="E184"/>
      <c r="F184"/>
      <c r="G184"/>
      <c r="H184"/>
      <c r="I184"/>
      <c r="J184"/>
      <c r="K184"/>
      <c r="L184"/>
    </row>
    <row r="185" spans="1:12" x14ac:dyDescent="0.25">
      <c r="A185"/>
      <c r="B185"/>
      <c r="C185"/>
      <c r="D185"/>
      <c r="E185"/>
      <c r="F185"/>
      <c r="G185"/>
      <c r="H185"/>
      <c r="I185"/>
      <c r="J185"/>
      <c r="K185"/>
      <c r="L185"/>
    </row>
    <row r="186" spans="1:12" x14ac:dyDescent="0.25">
      <c r="A186"/>
      <c r="B186"/>
      <c r="C186"/>
      <c r="D186"/>
      <c r="E186"/>
      <c r="F186"/>
      <c r="G186"/>
      <c r="H186"/>
      <c r="I186"/>
      <c r="J186"/>
      <c r="K186"/>
      <c r="L186"/>
    </row>
    <row r="187" spans="1:12" x14ac:dyDescent="0.25">
      <c r="A187"/>
      <c r="B187"/>
      <c r="C187"/>
      <c r="D187"/>
      <c r="E187"/>
      <c r="F187"/>
      <c r="G187"/>
      <c r="H187"/>
      <c r="I187"/>
      <c r="J187"/>
      <c r="K187"/>
      <c r="L187"/>
    </row>
    <row r="188" spans="1:12" x14ac:dyDescent="0.25">
      <c r="A188"/>
      <c r="B188"/>
      <c r="C188"/>
      <c r="D188"/>
      <c r="E188"/>
      <c r="F188"/>
      <c r="G188"/>
      <c r="H188"/>
      <c r="I188"/>
      <c r="J188"/>
      <c r="K188"/>
      <c r="L188"/>
    </row>
    <row r="189" spans="1:12" x14ac:dyDescent="0.25">
      <c r="A189"/>
      <c r="B189"/>
      <c r="C189"/>
      <c r="D189"/>
      <c r="E189"/>
      <c r="F189"/>
      <c r="G189"/>
      <c r="H189"/>
      <c r="I189"/>
      <c r="J189"/>
      <c r="K189"/>
      <c r="L189"/>
    </row>
    <row r="190" spans="1:12" x14ac:dyDescent="0.25">
      <c r="A190"/>
      <c r="B190"/>
      <c r="C190"/>
      <c r="D190"/>
      <c r="E190"/>
      <c r="F190"/>
      <c r="G190"/>
      <c r="H190"/>
      <c r="I190"/>
      <c r="J190"/>
      <c r="K190"/>
      <c r="L190"/>
    </row>
    <row r="191" spans="1:12" x14ac:dyDescent="0.25">
      <c r="A191"/>
      <c r="B191"/>
      <c r="C191"/>
      <c r="D191"/>
      <c r="E191"/>
      <c r="F191"/>
      <c r="G191"/>
      <c r="H191"/>
      <c r="I191"/>
      <c r="J191"/>
      <c r="K191"/>
      <c r="L191"/>
    </row>
    <row r="192" spans="1:12" x14ac:dyDescent="0.25">
      <c r="A192"/>
      <c r="B192"/>
      <c r="C192"/>
      <c r="D192"/>
      <c r="E192"/>
      <c r="F192"/>
      <c r="G192"/>
      <c r="H192"/>
      <c r="I192"/>
      <c r="J192"/>
      <c r="K192"/>
      <c r="L192"/>
    </row>
    <row r="193" spans="1:12" x14ac:dyDescent="0.25">
      <c r="A193"/>
      <c r="B193"/>
      <c r="C193"/>
      <c r="D193"/>
      <c r="E193"/>
      <c r="F193"/>
      <c r="G193"/>
      <c r="H193"/>
      <c r="I193"/>
      <c r="J193"/>
      <c r="K193"/>
      <c r="L193"/>
    </row>
    <row r="194" spans="1:12" x14ac:dyDescent="0.25">
      <c r="A194"/>
      <c r="B194"/>
      <c r="C194"/>
      <c r="D194"/>
      <c r="E194"/>
      <c r="F194"/>
      <c r="G194"/>
      <c r="H194"/>
      <c r="I194"/>
      <c r="J194"/>
      <c r="K194"/>
      <c r="L194"/>
    </row>
    <row r="195" spans="1:12" x14ac:dyDescent="0.25">
      <c r="A195"/>
      <c r="B195"/>
      <c r="C195"/>
      <c r="D195"/>
      <c r="E195"/>
      <c r="F195"/>
      <c r="G195"/>
      <c r="H195"/>
      <c r="I195"/>
      <c r="J195"/>
      <c r="K195"/>
      <c r="L195"/>
    </row>
    <row r="196" spans="1:12" x14ac:dyDescent="0.25">
      <c r="A196"/>
      <c r="B196"/>
      <c r="C196"/>
      <c r="D196"/>
      <c r="E196"/>
      <c r="F196"/>
      <c r="G196"/>
      <c r="H196"/>
      <c r="I196"/>
      <c r="J196"/>
      <c r="K196"/>
      <c r="L196"/>
    </row>
    <row r="197" spans="1:12" x14ac:dyDescent="0.25">
      <c r="A197"/>
      <c r="B197"/>
      <c r="C197"/>
      <c r="D197"/>
      <c r="E197"/>
      <c r="F197"/>
      <c r="G197"/>
      <c r="H197"/>
      <c r="I197"/>
      <c r="J197"/>
      <c r="K197"/>
      <c r="L197"/>
    </row>
    <row r="198" spans="1:12" x14ac:dyDescent="0.25">
      <c r="A198"/>
      <c r="B198"/>
      <c r="C198"/>
      <c r="D198"/>
      <c r="E198"/>
      <c r="F198"/>
      <c r="G198"/>
      <c r="H198"/>
      <c r="I198"/>
      <c r="J198"/>
      <c r="K198"/>
      <c r="L198"/>
    </row>
    <row r="199" spans="1:12" x14ac:dyDescent="0.25">
      <c r="A199"/>
      <c r="B199"/>
      <c r="C199"/>
      <c r="D199"/>
      <c r="E199"/>
      <c r="F199"/>
      <c r="G199"/>
      <c r="H199"/>
      <c r="I199"/>
      <c r="J199"/>
      <c r="K199"/>
      <c r="L199"/>
    </row>
    <row r="200" spans="1:12" x14ac:dyDescent="0.25">
      <c r="A200"/>
      <c r="B200"/>
      <c r="C200"/>
      <c r="D200"/>
      <c r="E200"/>
      <c r="F200"/>
      <c r="G200"/>
      <c r="H200"/>
      <c r="I200"/>
      <c r="J200"/>
      <c r="K200"/>
      <c r="L200"/>
    </row>
    <row r="201" spans="1:12" x14ac:dyDescent="0.25">
      <c r="A201"/>
      <c r="B201"/>
      <c r="C201"/>
      <c r="D201"/>
      <c r="E201"/>
      <c r="F201"/>
      <c r="G201"/>
      <c r="H201"/>
      <c r="I201"/>
      <c r="J201"/>
      <c r="K201"/>
      <c r="L201"/>
    </row>
    <row r="202" spans="1:12" x14ac:dyDescent="0.25">
      <c r="A202"/>
      <c r="B202"/>
      <c r="C202"/>
      <c r="D202"/>
      <c r="E202"/>
      <c r="F202"/>
      <c r="G202"/>
      <c r="H202"/>
      <c r="I202"/>
      <c r="J202"/>
      <c r="K202"/>
      <c r="L202"/>
    </row>
    <row r="203" spans="1:12" x14ac:dyDescent="0.25">
      <c r="A203"/>
      <c r="B203"/>
      <c r="C203"/>
      <c r="D203"/>
      <c r="E203"/>
      <c r="F203"/>
      <c r="G203"/>
      <c r="H203"/>
      <c r="I203"/>
      <c r="J203"/>
      <c r="K203"/>
      <c r="L203"/>
    </row>
    <row r="204" spans="1:12" x14ac:dyDescent="0.25">
      <c r="A204"/>
      <c r="B204"/>
      <c r="C204"/>
      <c r="D204"/>
      <c r="E204"/>
      <c r="F204"/>
      <c r="G204"/>
      <c r="H204"/>
      <c r="I204"/>
      <c r="J204"/>
      <c r="K204"/>
      <c r="L204"/>
    </row>
    <row r="205" spans="1:12" x14ac:dyDescent="0.25">
      <c r="A205"/>
      <c r="B205"/>
      <c r="C205"/>
      <c r="D205"/>
      <c r="E205"/>
      <c r="F205"/>
      <c r="G205"/>
      <c r="H205"/>
      <c r="I205"/>
      <c r="J205"/>
      <c r="K205"/>
      <c r="L205"/>
    </row>
    <row r="206" spans="1:12" x14ac:dyDescent="0.25">
      <c r="A206"/>
      <c r="B206"/>
      <c r="C206"/>
      <c r="D206"/>
      <c r="E206"/>
      <c r="F206"/>
      <c r="G206"/>
      <c r="H206"/>
      <c r="I206"/>
      <c r="J206"/>
      <c r="K206"/>
      <c r="L206"/>
    </row>
    <row r="207" spans="1:12" x14ac:dyDescent="0.25">
      <c r="A207"/>
      <c r="B207"/>
      <c r="C207"/>
      <c r="D207"/>
      <c r="E207"/>
      <c r="F207"/>
      <c r="G207"/>
      <c r="H207"/>
      <c r="I207"/>
      <c r="J207"/>
      <c r="K207"/>
      <c r="L207"/>
    </row>
    <row r="208" spans="1:12" x14ac:dyDescent="0.25">
      <c r="A208"/>
      <c r="B208"/>
      <c r="C208"/>
      <c r="D208"/>
      <c r="E208"/>
      <c r="F208"/>
      <c r="G208"/>
      <c r="H208"/>
      <c r="I208"/>
      <c r="J208"/>
      <c r="K208"/>
      <c r="L208"/>
    </row>
    <row r="209" spans="1:12" x14ac:dyDescent="0.25">
      <c r="A209"/>
      <c r="B209"/>
      <c r="C209"/>
      <c r="D209"/>
      <c r="E209"/>
      <c r="F209"/>
      <c r="G209"/>
      <c r="H209"/>
      <c r="I209"/>
      <c r="J209"/>
      <c r="K209"/>
      <c r="L209"/>
    </row>
    <row r="210" spans="1:12" x14ac:dyDescent="0.25">
      <c r="A210"/>
      <c r="B210"/>
      <c r="C210"/>
      <c r="D210"/>
      <c r="E210"/>
      <c r="F210"/>
      <c r="G210"/>
      <c r="H210"/>
      <c r="I210"/>
      <c r="J210"/>
      <c r="K210"/>
      <c r="L210"/>
    </row>
    <row r="211" spans="1:12" x14ac:dyDescent="0.25">
      <c r="A211"/>
      <c r="B211"/>
      <c r="C211"/>
      <c r="D211"/>
      <c r="E211"/>
      <c r="F211"/>
      <c r="G211"/>
      <c r="H211"/>
      <c r="I211"/>
      <c r="J211"/>
      <c r="K211"/>
      <c r="L211"/>
    </row>
    <row r="212" spans="1:12" x14ac:dyDescent="0.25">
      <c r="A212"/>
      <c r="B212"/>
      <c r="C212"/>
      <c r="D212"/>
      <c r="E212"/>
      <c r="F212"/>
      <c r="G212"/>
      <c r="H212"/>
      <c r="I212"/>
      <c r="J212"/>
      <c r="K212"/>
      <c r="L212"/>
    </row>
    <row r="213" spans="1:12" x14ac:dyDescent="0.25">
      <c r="A213"/>
      <c r="B213"/>
      <c r="C213"/>
      <c r="D213"/>
      <c r="E213"/>
      <c r="F213"/>
      <c r="G213"/>
      <c r="H213"/>
      <c r="I213"/>
      <c r="J213"/>
      <c r="K213"/>
      <c r="L213"/>
    </row>
    <row r="214" spans="1:12" x14ac:dyDescent="0.25">
      <c r="A214"/>
      <c r="B214"/>
      <c r="C214"/>
      <c r="D214"/>
      <c r="E214"/>
      <c r="F214"/>
      <c r="G214"/>
      <c r="H214"/>
      <c r="I214"/>
      <c r="J214"/>
      <c r="K214"/>
      <c r="L214"/>
    </row>
    <row r="215" spans="1:12" x14ac:dyDescent="0.25">
      <c r="A215"/>
      <c r="B215"/>
      <c r="C215"/>
      <c r="D215"/>
      <c r="E215"/>
      <c r="F215"/>
      <c r="G215"/>
      <c r="H215"/>
      <c r="I215"/>
      <c r="J215"/>
      <c r="K215"/>
      <c r="L215"/>
    </row>
    <row r="216" spans="1:12" x14ac:dyDescent="0.25">
      <c r="A216"/>
      <c r="B216"/>
      <c r="C216"/>
      <c r="D216"/>
      <c r="E216"/>
      <c r="F216"/>
      <c r="G216"/>
      <c r="H216"/>
      <c r="I216"/>
      <c r="J216"/>
      <c r="K216"/>
      <c r="L216"/>
    </row>
    <row r="217" spans="1:12" x14ac:dyDescent="0.25">
      <c r="A217"/>
      <c r="B217"/>
      <c r="C217"/>
      <c r="D217"/>
      <c r="E217"/>
      <c r="F217"/>
      <c r="G217"/>
      <c r="H217"/>
      <c r="I217"/>
      <c r="J217"/>
      <c r="K217"/>
      <c r="L217"/>
    </row>
    <row r="218" spans="1:12" x14ac:dyDescent="0.25">
      <c r="A218"/>
      <c r="B218"/>
      <c r="C218"/>
      <c r="D218"/>
      <c r="E218"/>
      <c r="F218"/>
      <c r="G218"/>
      <c r="H218"/>
      <c r="I218"/>
      <c r="J218"/>
      <c r="K218"/>
      <c r="L218"/>
    </row>
    <row r="219" spans="1:12" x14ac:dyDescent="0.25">
      <c r="A219"/>
      <c r="B219"/>
      <c r="C219"/>
      <c r="D219"/>
      <c r="E219"/>
      <c r="F219"/>
      <c r="G219"/>
      <c r="H219"/>
      <c r="I219"/>
      <c r="J219"/>
      <c r="K219"/>
      <c r="L219"/>
    </row>
    <row r="220" spans="1:12" x14ac:dyDescent="0.25">
      <c r="A220"/>
      <c r="B220"/>
      <c r="C220"/>
      <c r="D220"/>
      <c r="E220"/>
      <c r="F220"/>
      <c r="G220"/>
      <c r="H220"/>
      <c r="I220"/>
      <c r="J220"/>
      <c r="K220"/>
      <c r="L220"/>
    </row>
    <row r="221" spans="1:12" x14ac:dyDescent="0.25">
      <c r="A221"/>
      <c r="B221"/>
      <c r="C221"/>
      <c r="D221"/>
      <c r="E221"/>
      <c r="F221"/>
      <c r="G221"/>
      <c r="H221"/>
      <c r="I221"/>
      <c r="J221"/>
      <c r="K221"/>
      <c r="L221"/>
    </row>
    <row r="222" spans="1:12" x14ac:dyDescent="0.25">
      <c r="A222"/>
      <c r="B222"/>
      <c r="C222"/>
      <c r="D222"/>
      <c r="E222"/>
      <c r="F222"/>
      <c r="G222"/>
      <c r="H222"/>
      <c r="I222"/>
      <c r="J222"/>
      <c r="K222"/>
      <c r="L222"/>
    </row>
    <row r="223" spans="1:12" x14ac:dyDescent="0.25">
      <c r="A223"/>
      <c r="B223"/>
      <c r="C223"/>
      <c r="D223"/>
      <c r="E223"/>
      <c r="F223"/>
      <c r="G223"/>
      <c r="H223"/>
      <c r="I223"/>
      <c r="J223"/>
      <c r="K223"/>
      <c r="L223"/>
    </row>
    <row r="224" spans="1:12" x14ac:dyDescent="0.25">
      <c r="A224"/>
      <c r="B224"/>
      <c r="C224"/>
      <c r="D224"/>
      <c r="E224"/>
      <c r="F224"/>
      <c r="G224"/>
      <c r="H224"/>
      <c r="I224"/>
      <c r="J224"/>
      <c r="K224"/>
      <c r="L224"/>
    </row>
    <row r="225" spans="1:12" x14ac:dyDescent="0.25">
      <c r="A225"/>
      <c r="B225"/>
      <c r="C225"/>
      <c r="D225"/>
      <c r="E225"/>
      <c r="F225"/>
      <c r="G225"/>
      <c r="H225"/>
      <c r="I225"/>
      <c r="J225"/>
      <c r="K225"/>
      <c r="L225"/>
    </row>
    <row r="226" spans="1:12" x14ac:dyDescent="0.25">
      <c r="A226"/>
      <c r="B226"/>
      <c r="C226"/>
      <c r="D226"/>
      <c r="E226"/>
      <c r="F226"/>
      <c r="G226"/>
      <c r="H226"/>
      <c r="I226"/>
      <c r="J226"/>
      <c r="K226"/>
      <c r="L226"/>
    </row>
    <row r="227" spans="1:12" x14ac:dyDescent="0.25">
      <c r="A227"/>
      <c r="B227"/>
      <c r="C227"/>
      <c r="D227"/>
      <c r="E227"/>
      <c r="F227"/>
      <c r="G227"/>
      <c r="H227"/>
      <c r="I227"/>
      <c r="J227"/>
      <c r="K227"/>
      <c r="L227"/>
    </row>
    <row r="228" spans="1:12" x14ac:dyDescent="0.25">
      <c r="A228"/>
      <c r="B228"/>
      <c r="C228"/>
      <c r="D228"/>
      <c r="E228"/>
      <c r="F228"/>
      <c r="G228"/>
      <c r="H228"/>
      <c r="I228"/>
      <c r="J228"/>
      <c r="K228"/>
      <c r="L228"/>
    </row>
    <row r="229" spans="1:12" x14ac:dyDescent="0.25">
      <c r="A229"/>
      <c r="B229"/>
      <c r="C229"/>
      <c r="D229"/>
      <c r="E229"/>
      <c r="F229"/>
      <c r="G229"/>
      <c r="H229"/>
      <c r="I229"/>
      <c r="J229"/>
      <c r="K229"/>
      <c r="L229"/>
    </row>
    <row r="230" spans="1:12" x14ac:dyDescent="0.25">
      <c r="A230"/>
      <c r="B230"/>
      <c r="C230"/>
      <c r="D230"/>
      <c r="E230"/>
      <c r="F230"/>
      <c r="G230"/>
      <c r="H230"/>
      <c r="I230"/>
      <c r="J230"/>
      <c r="K230"/>
      <c r="L230"/>
    </row>
    <row r="231" spans="1:12" x14ac:dyDescent="0.25">
      <c r="A231"/>
      <c r="B231"/>
      <c r="C231"/>
      <c r="D231"/>
      <c r="E231"/>
      <c r="F231"/>
      <c r="G231"/>
      <c r="H231"/>
      <c r="I231"/>
      <c r="J231"/>
      <c r="K231"/>
      <c r="L231"/>
    </row>
    <row r="232" spans="1:12" x14ac:dyDescent="0.25">
      <c r="A232"/>
      <c r="B232"/>
      <c r="C232"/>
      <c r="D232"/>
      <c r="E232"/>
      <c r="F232"/>
      <c r="G232"/>
      <c r="H232"/>
      <c r="I232"/>
      <c r="J232"/>
      <c r="K232"/>
      <c r="L232"/>
    </row>
    <row r="233" spans="1:12" x14ac:dyDescent="0.25">
      <c r="A233"/>
      <c r="B233"/>
      <c r="C233"/>
      <c r="D233"/>
      <c r="E233"/>
      <c r="F233"/>
      <c r="G233"/>
      <c r="H233"/>
      <c r="I233"/>
      <c r="J233"/>
      <c r="K233"/>
      <c r="L233"/>
    </row>
    <row r="234" spans="1:12" x14ac:dyDescent="0.25">
      <c r="A234"/>
      <c r="B234"/>
      <c r="C234"/>
      <c r="D234"/>
      <c r="E234"/>
      <c r="F234"/>
      <c r="G234"/>
      <c r="H234"/>
      <c r="I234"/>
      <c r="J234"/>
      <c r="K234"/>
      <c r="L234"/>
    </row>
    <row r="235" spans="1:12" x14ac:dyDescent="0.25">
      <c r="A235"/>
      <c r="B235"/>
      <c r="C235"/>
      <c r="D235"/>
      <c r="E235"/>
      <c r="F235"/>
      <c r="G235"/>
      <c r="H235"/>
      <c r="I235"/>
      <c r="J235"/>
      <c r="K235"/>
      <c r="L235"/>
    </row>
    <row r="236" spans="1:12" x14ac:dyDescent="0.25">
      <c r="A236"/>
      <c r="B236"/>
      <c r="C236"/>
      <c r="D236"/>
      <c r="E236"/>
      <c r="F236"/>
      <c r="G236"/>
      <c r="H236"/>
      <c r="I236"/>
      <c r="J236"/>
      <c r="K236"/>
      <c r="L236"/>
    </row>
    <row r="237" spans="1:12" x14ac:dyDescent="0.25">
      <c r="A237"/>
      <c r="B237"/>
      <c r="C237"/>
      <c r="D237"/>
      <c r="E237"/>
      <c r="F237"/>
      <c r="G237"/>
      <c r="H237"/>
      <c r="I237"/>
      <c r="J237"/>
      <c r="K237"/>
      <c r="L237"/>
    </row>
    <row r="238" spans="1:12" x14ac:dyDescent="0.25">
      <c r="A238"/>
      <c r="B238"/>
      <c r="C238"/>
      <c r="D238"/>
      <c r="E238"/>
      <c r="F238"/>
      <c r="G238"/>
      <c r="H238"/>
      <c r="I238"/>
      <c r="J238"/>
      <c r="K238"/>
      <c r="L238"/>
    </row>
    <row r="239" spans="1:12" x14ac:dyDescent="0.25">
      <c r="A239"/>
      <c r="B239"/>
      <c r="C239"/>
      <c r="D239"/>
      <c r="E239"/>
      <c r="F239"/>
      <c r="G239"/>
      <c r="H239"/>
      <c r="I239"/>
      <c r="J239"/>
      <c r="K239"/>
      <c r="L239"/>
    </row>
    <row r="240" spans="1:12" x14ac:dyDescent="0.25">
      <c r="A240"/>
      <c r="B240"/>
      <c r="C240"/>
      <c r="D240"/>
      <c r="E240"/>
      <c r="F240"/>
      <c r="G240"/>
      <c r="H240"/>
      <c r="I240"/>
      <c r="J240"/>
      <c r="K240"/>
      <c r="L240"/>
    </row>
    <row r="241" spans="1:12" x14ac:dyDescent="0.25">
      <c r="A241"/>
      <c r="B241"/>
      <c r="C241"/>
      <c r="D241"/>
      <c r="E241"/>
      <c r="F241"/>
      <c r="G241"/>
      <c r="H241"/>
      <c r="I241"/>
      <c r="J241"/>
      <c r="K241"/>
      <c r="L241"/>
    </row>
    <row r="242" spans="1:12" x14ac:dyDescent="0.25">
      <c r="A242"/>
      <c r="B242"/>
      <c r="C242"/>
      <c r="D242"/>
      <c r="E242"/>
      <c r="F242"/>
      <c r="G242"/>
      <c r="H242"/>
      <c r="I242"/>
      <c r="J242"/>
      <c r="K242"/>
      <c r="L242"/>
    </row>
    <row r="243" spans="1:12" x14ac:dyDescent="0.25">
      <c r="A243"/>
      <c r="B243"/>
      <c r="C243"/>
      <c r="D243"/>
      <c r="E243"/>
      <c r="F243"/>
      <c r="G243"/>
      <c r="H243"/>
      <c r="I243"/>
      <c r="J243"/>
      <c r="K243"/>
      <c r="L243"/>
    </row>
    <row r="244" spans="1:12" x14ac:dyDescent="0.25">
      <c r="A244"/>
      <c r="B244"/>
      <c r="C244"/>
      <c r="D244"/>
      <c r="E244"/>
      <c r="F244"/>
      <c r="G244"/>
      <c r="H244"/>
      <c r="I244"/>
      <c r="J244"/>
      <c r="K244"/>
      <c r="L244"/>
    </row>
    <row r="245" spans="1:12" x14ac:dyDescent="0.25">
      <c r="A245"/>
      <c r="B245"/>
      <c r="C245"/>
      <c r="D245"/>
      <c r="E245"/>
      <c r="F245"/>
      <c r="G245"/>
      <c r="H245"/>
      <c r="I245"/>
      <c r="J245"/>
      <c r="K245"/>
      <c r="L245"/>
    </row>
    <row r="246" spans="1:12" x14ac:dyDescent="0.25">
      <c r="A246"/>
      <c r="B246"/>
      <c r="C246"/>
      <c r="D246"/>
      <c r="E246"/>
      <c r="F246"/>
      <c r="G246"/>
      <c r="H246"/>
      <c r="I246"/>
      <c r="J246"/>
      <c r="K246"/>
      <c r="L246"/>
    </row>
    <row r="247" spans="1:12" x14ac:dyDescent="0.25">
      <c r="A247"/>
      <c r="B247"/>
      <c r="C247"/>
      <c r="D247"/>
      <c r="E247"/>
      <c r="F247"/>
      <c r="G247"/>
      <c r="H247"/>
      <c r="I247"/>
      <c r="J247"/>
      <c r="K247"/>
      <c r="L247"/>
    </row>
    <row r="248" spans="1:12" x14ac:dyDescent="0.25">
      <c r="A248"/>
      <c r="B248"/>
      <c r="C248"/>
      <c r="D248"/>
      <c r="E248"/>
      <c r="F248"/>
      <c r="G248"/>
      <c r="H248"/>
      <c r="I248"/>
      <c r="J248"/>
      <c r="K248"/>
      <c r="L248"/>
    </row>
    <row r="249" spans="1:12" x14ac:dyDescent="0.25">
      <c r="A249"/>
      <c r="B249"/>
      <c r="C249"/>
      <c r="D249"/>
      <c r="E249"/>
      <c r="F249"/>
      <c r="G249"/>
      <c r="H249"/>
      <c r="I249"/>
      <c r="J249"/>
      <c r="K249"/>
      <c r="L249"/>
    </row>
    <row r="250" spans="1:12" x14ac:dyDescent="0.25">
      <c r="A250"/>
      <c r="B250"/>
      <c r="C250"/>
      <c r="D250"/>
      <c r="E250"/>
      <c r="F250"/>
      <c r="G250"/>
      <c r="H250"/>
      <c r="I250"/>
      <c r="J250"/>
      <c r="K250"/>
      <c r="L250"/>
    </row>
    <row r="251" spans="1:12" x14ac:dyDescent="0.25">
      <c r="A251"/>
      <c r="B251"/>
      <c r="C251"/>
      <c r="D251"/>
      <c r="E251"/>
      <c r="F251"/>
      <c r="G251"/>
      <c r="H251"/>
      <c r="I251"/>
      <c r="J251"/>
      <c r="K251"/>
      <c r="L251"/>
    </row>
    <row r="252" spans="1:12" x14ac:dyDescent="0.25">
      <c r="A252"/>
      <c r="B252"/>
      <c r="C252"/>
      <c r="D252"/>
      <c r="E252"/>
      <c r="F252"/>
      <c r="G252"/>
      <c r="H252"/>
      <c r="I252"/>
      <c r="J252"/>
      <c r="K252"/>
      <c r="L252"/>
    </row>
    <row r="253" spans="1:12" x14ac:dyDescent="0.25">
      <c r="A253"/>
      <c r="B253"/>
      <c r="C253"/>
      <c r="D253"/>
      <c r="E253"/>
      <c r="F253"/>
      <c r="G253"/>
      <c r="H253"/>
      <c r="I253"/>
      <c r="J253"/>
      <c r="K253"/>
      <c r="L253"/>
    </row>
    <row r="254" spans="1:12" x14ac:dyDescent="0.25">
      <c r="A254"/>
      <c r="B254"/>
      <c r="C254"/>
      <c r="D254"/>
      <c r="E254"/>
      <c r="F254"/>
      <c r="G254"/>
      <c r="H254"/>
      <c r="I254"/>
      <c r="J254"/>
      <c r="K254"/>
      <c r="L254"/>
    </row>
    <row r="255" spans="1:12" x14ac:dyDescent="0.25">
      <c r="A255"/>
      <c r="B255"/>
      <c r="C255"/>
      <c r="D255"/>
      <c r="E255"/>
      <c r="F255"/>
      <c r="G255"/>
      <c r="H255"/>
      <c r="I255"/>
      <c r="J255"/>
      <c r="K255"/>
      <c r="L255"/>
    </row>
    <row r="256" spans="1:12" x14ac:dyDescent="0.25">
      <c r="A256"/>
      <c r="B256"/>
      <c r="C256"/>
      <c r="D256"/>
      <c r="E256"/>
      <c r="F256"/>
      <c r="G256"/>
      <c r="H256"/>
      <c r="I256"/>
      <c r="J256"/>
      <c r="K256"/>
      <c r="L256"/>
    </row>
    <row r="257" spans="1:12" x14ac:dyDescent="0.25">
      <c r="A257"/>
      <c r="B257"/>
      <c r="C257"/>
      <c r="D257"/>
      <c r="E257"/>
      <c r="F257"/>
      <c r="G257"/>
      <c r="H257"/>
      <c r="I257"/>
      <c r="J257"/>
      <c r="K257"/>
      <c r="L257"/>
    </row>
    <row r="258" spans="1:12" x14ac:dyDescent="0.25">
      <c r="A258"/>
      <c r="B258"/>
      <c r="C258"/>
      <c r="D258"/>
      <c r="E258"/>
      <c r="F258"/>
      <c r="G258"/>
      <c r="H258"/>
      <c r="I258"/>
      <c r="J258"/>
      <c r="K258"/>
      <c r="L258"/>
    </row>
    <row r="259" spans="1:12" x14ac:dyDescent="0.25">
      <c r="A259"/>
      <c r="B259"/>
      <c r="C259"/>
      <c r="D259"/>
      <c r="E259"/>
      <c r="F259"/>
      <c r="G259"/>
      <c r="H259"/>
      <c r="I259"/>
      <c r="J259"/>
      <c r="K259"/>
      <c r="L259"/>
    </row>
    <row r="260" spans="1:12" x14ac:dyDescent="0.25">
      <c r="A260"/>
      <c r="B260"/>
      <c r="C260"/>
      <c r="D260"/>
      <c r="E260"/>
      <c r="F260"/>
      <c r="G260"/>
      <c r="H260"/>
      <c r="I260"/>
      <c r="J260"/>
      <c r="K260"/>
      <c r="L260"/>
    </row>
    <row r="261" spans="1:12" x14ac:dyDescent="0.25">
      <c r="A261"/>
      <c r="B261"/>
      <c r="C261"/>
      <c r="D261"/>
      <c r="E261"/>
      <c r="F261"/>
      <c r="G261"/>
      <c r="H261"/>
      <c r="I261"/>
      <c r="J261"/>
      <c r="K261"/>
      <c r="L261"/>
    </row>
    <row r="262" spans="1:12" x14ac:dyDescent="0.25">
      <c r="A262"/>
      <c r="B262"/>
      <c r="C262"/>
      <c r="D262"/>
      <c r="E262"/>
      <c r="F262"/>
      <c r="G262"/>
      <c r="H262"/>
      <c r="I262"/>
      <c r="J262"/>
      <c r="K262"/>
      <c r="L262"/>
    </row>
    <row r="263" spans="1:12" x14ac:dyDescent="0.25">
      <c r="A263"/>
      <c r="B263"/>
      <c r="C263"/>
      <c r="D263"/>
      <c r="E263"/>
      <c r="F263"/>
      <c r="G263"/>
      <c r="H263"/>
      <c r="I263"/>
      <c r="J263"/>
      <c r="K263"/>
      <c r="L263"/>
    </row>
    <row r="264" spans="1:12" x14ac:dyDescent="0.25">
      <c r="A264"/>
      <c r="B264"/>
      <c r="C264"/>
      <c r="D264"/>
      <c r="E264"/>
      <c r="F264"/>
      <c r="G264"/>
      <c r="H264"/>
      <c r="I264"/>
      <c r="J264"/>
      <c r="K264"/>
      <c r="L264"/>
    </row>
    <row r="265" spans="1:12" x14ac:dyDescent="0.25">
      <c r="A265"/>
      <c r="B265"/>
      <c r="C265"/>
      <c r="D265"/>
      <c r="E265"/>
      <c r="F265"/>
      <c r="G265"/>
      <c r="H265"/>
      <c r="I265"/>
      <c r="J265"/>
      <c r="K265"/>
      <c r="L265"/>
    </row>
    <row r="266" spans="1:12" x14ac:dyDescent="0.25">
      <c r="A266"/>
      <c r="B266"/>
      <c r="C266"/>
      <c r="D266"/>
      <c r="E266"/>
      <c r="F266"/>
      <c r="G266"/>
      <c r="H266"/>
      <c r="I266"/>
      <c r="J266"/>
      <c r="K266"/>
      <c r="L266"/>
    </row>
    <row r="267" spans="1:12" x14ac:dyDescent="0.25">
      <c r="A267"/>
      <c r="B267"/>
      <c r="C267"/>
      <c r="D267"/>
      <c r="E267"/>
      <c r="F267"/>
      <c r="G267"/>
      <c r="H267"/>
      <c r="I267"/>
      <c r="J267"/>
      <c r="K267"/>
      <c r="L267"/>
    </row>
    <row r="268" spans="1:12" x14ac:dyDescent="0.25">
      <c r="A268"/>
      <c r="B268"/>
      <c r="C268"/>
      <c r="D268"/>
      <c r="E268"/>
      <c r="F268"/>
      <c r="G268"/>
      <c r="H268"/>
      <c r="I268"/>
      <c r="J268"/>
      <c r="K268"/>
      <c r="L268"/>
    </row>
    <row r="269" spans="1:12" x14ac:dyDescent="0.25">
      <c r="A269"/>
      <c r="B269"/>
      <c r="C269"/>
      <c r="D269"/>
      <c r="E269"/>
      <c r="F269"/>
      <c r="G269"/>
      <c r="H269"/>
      <c r="I269"/>
      <c r="J269"/>
      <c r="K269"/>
      <c r="L269"/>
    </row>
    <row r="270" spans="1:12" x14ac:dyDescent="0.25">
      <c r="A270"/>
      <c r="B270"/>
      <c r="C270"/>
      <c r="D270"/>
      <c r="E270"/>
      <c r="F270"/>
      <c r="G270"/>
      <c r="H270"/>
      <c r="I270"/>
      <c r="J270"/>
      <c r="K270"/>
      <c r="L270"/>
    </row>
    <row r="271" spans="1:12" x14ac:dyDescent="0.25">
      <c r="A271"/>
      <c r="B271"/>
      <c r="C271"/>
      <c r="D271"/>
      <c r="E271"/>
      <c r="F271"/>
      <c r="G271"/>
      <c r="H271"/>
      <c r="I271"/>
      <c r="J271"/>
      <c r="K271"/>
      <c r="L271"/>
    </row>
    <row r="272" spans="1:12" x14ac:dyDescent="0.25">
      <c r="A272"/>
      <c r="B272"/>
      <c r="C272"/>
      <c r="D272"/>
      <c r="E272"/>
      <c r="F272"/>
      <c r="G272"/>
      <c r="H272"/>
      <c r="I272"/>
      <c r="J272"/>
      <c r="K272"/>
      <c r="L272"/>
    </row>
    <row r="273" spans="1:12" x14ac:dyDescent="0.25">
      <c r="A273"/>
      <c r="B273"/>
      <c r="C273"/>
      <c r="D273"/>
      <c r="E273"/>
      <c r="F273"/>
      <c r="G273"/>
      <c r="H273"/>
      <c r="I273"/>
      <c r="J273"/>
      <c r="K273"/>
      <c r="L273"/>
    </row>
    <row r="274" spans="1:12" x14ac:dyDescent="0.25">
      <c r="A274"/>
      <c r="B274"/>
      <c r="C274"/>
      <c r="D274"/>
      <c r="E274"/>
      <c r="F274"/>
      <c r="G274"/>
      <c r="H274"/>
      <c r="I274"/>
      <c r="J274"/>
      <c r="K274"/>
    </row>
    <row r="275" spans="1:12" x14ac:dyDescent="0.25">
      <c r="A275"/>
      <c r="B275"/>
      <c r="C275"/>
      <c r="D275"/>
      <c r="E275"/>
      <c r="F275"/>
      <c r="G275"/>
      <c r="H275"/>
      <c r="I275"/>
      <c r="J275"/>
      <c r="K275"/>
    </row>
    <row r="276" spans="1:12" x14ac:dyDescent="0.25">
      <c r="A276"/>
      <c r="B276"/>
      <c r="C276"/>
      <c r="D276"/>
      <c r="E276"/>
      <c r="F276"/>
      <c r="G276"/>
      <c r="H276"/>
      <c r="I276"/>
      <c r="J276"/>
      <c r="K276"/>
    </row>
    <row r="277" spans="1:12" x14ac:dyDescent="0.25">
      <c r="A277"/>
      <c r="B277"/>
      <c r="C277"/>
      <c r="D277"/>
      <c r="E277"/>
      <c r="F277"/>
      <c r="G277"/>
      <c r="H277"/>
      <c r="I277"/>
      <c r="J277"/>
      <c r="K277"/>
    </row>
    <row r="278" spans="1:12" x14ac:dyDescent="0.25">
      <c r="A278"/>
      <c r="B278"/>
      <c r="C278"/>
      <c r="D278"/>
      <c r="E278"/>
      <c r="F278"/>
      <c r="G278"/>
      <c r="H278"/>
      <c r="I278"/>
      <c r="J278"/>
      <c r="K278"/>
    </row>
    <row r="279" spans="1:12" x14ac:dyDescent="0.25">
      <c r="A279"/>
      <c r="B279"/>
      <c r="C279"/>
      <c r="D279"/>
      <c r="E279"/>
      <c r="F279"/>
      <c r="G279"/>
      <c r="H279"/>
      <c r="I279"/>
      <c r="J279"/>
      <c r="K279"/>
    </row>
    <row r="280" spans="1:12" x14ac:dyDescent="0.25">
      <c r="A280"/>
      <c r="B280"/>
      <c r="C280"/>
      <c r="D280"/>
      <c r="E280"/>
      <c r="F280"/>
      <c r="G280"/>
      <c r="H280"/>
      <c r="I280"/>
      <c r="J280"/>
      <c r="K280"/>
    </row>
    <row r="281" spans="1:12" x14ac:dyDescent="0.25">
      <c r="A281"/>
      <c r="B281"/>
      <c r="C281"/>
      <c r="D281"/>
      <c r="E281"/>
      <c r="F281"/>
      <c r="G281"/>
      <c r="H281"/>
      <c r="I281"/>
      <c r="J281"/>
      <c r="K281"/>
    </row>
    <row r="282" spans="1:12" x14ac:dyDescent="0.25">
      <c r="A282"/>
      <c r="B282"/>
      <c r="C282"/>
      <c r="D282"/>
      <c r="E282"/>
      <c r="F282"/>
      <c r="G282"/>
      <c r="H282"/>
      <c r="I282"/>
      <c r="J282"/>
      <c r="K282"/>
    </row>
    <row r="283" spans="1:12" x14ac:dyDescent="0.25">
      <c r="A283"/>
      <c r="B283"/>
      <c r="C283"/>
      <c r="D283"/>
      <c r="E283"/>
      <c r="F283"/>
      <c r="G283"/>
      <c r="H283"/>
      <c r="I283"/>
      <c r="J283"/>
      <c r="K283"/>
    </row>
    <row r="284" spans="1:12" x14ac:dyDescent="0.25">
      <c r="A284"/>
      <c r="B284"/>
      <c r="C284"/>
      <c r="D284"/>
      <c r="E284"/>
      <c r="F284"/>
      <c r="G284"/>
      <c r="H284"/>
      <c r="I284"/>
      <c r="J284"/>
      <c r="K284"/>
    </row>
    <row r="285" spans="1:12" x14ac:dyDescent="0.25">
      <c r="A285"/>
      <c r="B285"/>
      <c r="C285"/>
      <c r="D285"/>
      <c r="E285"/>
      <c r="F285"/>
      <c r="G285"/>
      <c r="H285"/>
      <c r="I285"/>
      <c r="J285"/>
      <c r="K285"/>
    </row>
    <row r="286" spans="1:12" x14ac:dyDescent="0.25">
      <c r="A286"/>
      <c r="B286"/>
      <c r="C286"/>
      <c r="D286"/>
      <c r="E286"/>
      <c r="F286"/>
      <c r="G286"/>
      <c r="H286"/>
      <c r="I286"/>
      <c r="J286"/>
      <c r="K286"/>
    </row>
    <row r="287" spans="1:12" x14ac:dyDescent="0.25">
      <c r="A287"/>
      <c r="B287"/>
      <c r="C287"/>
      <c r="D287"/>
      <c r="E287"/>
      <c r="F287"/>
      <c r="G287"/>
      <c r="H287"/>
      <c r="I287"/>
      <c r="J287"/>
      <c r="K287"/>
    </row>
    <row r="288" spans="1:12" x14ac:dyDescent="0.25">
      <c r="A288"/>
      <c r="B288"/>
      <c r="C288"/>
      <c r="D288"/>
      <c r="E288"/>
      <c r="F288"/>
      <c r="G288"/>
      <c r="H288"/>
      <c r="I288"/>
      <c r="J288"/>
      <c r="K288"/>
    </row>
    <row r="289" spans="1:11" x14ac:dyDescent="0.25">
      <c r="A289"/>
      <c r="B289"/>
      <c r="C289"/>
      <c r="D289"/>
      <c r="E289"/>
      <c r="F289"/>
      <c r="G289"/>
      <c r="H289"/>
      <c r="I289"/>
      <c r="J289"/>
      <c r="K289"/>
    </row>
    <row r="290" spans="1:11" x14ac:dyDescent="0.25">
      <c r="A290"/>
      <c r="B290"/>
      <c r="C290"/>
      <c r="D290"/>
      <c r="E290"/>
      <c r="F290"/>
      <c r="G290"/>
      <c r="H290"/>
      <c r="I290"/>
      <c r="J290"/>
      <c r="K290"/>
    </row>
    <row r="291" spans="1:11" x14ac:dyDescent="0.25">
      <c r="A291"/>
      <c r="B291"/>
      <c r="C291"/>
      <c r="D291"/>
      <c r="E291"/>
      <c r="F291"/>
      <c r="G291"/>
      <c r="H291"/>
      <c r="I291"/>
      <c r="J291"/>
      <c r="K291"/>
    </row>
    <row r="292" spans="1:11" x14ac:dyDescent="0.25">
      <c r="A292"/>
      <c r="B292"/>
      <c r="C292"/>
      <c r="D292"/>
      <c r="E292"/>
      <c r="F292"/>
      <c r="G292"/>
      <c r="H292"/>
      <c r="I292"/>
      <c r="J292"/>
      <c r="K292"/>
    </row>
    <row r="293" spans="1:11" x14ac:dyDescent="0.25">
      <c r="A293"/>
      <c r="B293"/>
      <c r="C293"/>
      <c r="D293"/>
      <c r="E293"/>
      <c r="F293"/>
      <c r="G293"/>
      <c r="H293"/>
      <c r="I293"/>
      <c r="J293"/>
      <c r="K293"/>
    </row>
    <row r="294" spans="1:11" x14ac:dyDescent="0.25">
      <c r="A294"/>
      <c r="B294"/>
      <c r="C294"/>
      <c r="D294"/>
      <c r="E294"/>
      <c r="F294"/>
      <c r="G294"/>
      <c r="H294"/>
      <c r="I294"/>
      <c r="J294"/>
      <c r="K294"/>
    </row>
    <row r="295" spans="1:11" x14ac:dyDescent="0.25">
      <c r="A295"/>
      <c r="B295"/>
      <c r="C295"/>
      <c r="D295"/>
      <c r="E295"/>
      <c r="F295"/>
      <c r="G295"/>
      <c r="H295"/>
      <c r="I295"/>
      <c r="J295"/>
      <c r="K295"/>
    </row>
    <row r="296" spans="1:11" x14ac:dyDescent="0.25">
      <c r="A296"/>
      <c r="B296"/>
      <c r="C296"/>
      <c r="D296"/>
      <c r="E296"/>
      <c r="F296"/>
      <c r="G296"/>
      <c r="H296"/>
      <c r="I296"/>
      <c r="J296"/>
      <c r="K296"/>
    </row>
    <row r="297" spans="1:11" x14ac:dyDescent="0.25">
      <c r="A297"/>
      <c r="B297"/>
      <c r="C297"/>
      <c r="D297"/>
      <c r="E297"/>
      <c r="F297"/>
      <c r="G297"/>
      <c r="H297"/>
      <c r="I297"/>
      <c r="J297"/>
      <c r="K297"/>
    </row>
    <row r="298" spans="1:11" x14ac:dyDescent="0.25">
      <c r="A298"/>
      <c r="B298"/>
      <c r="C298"/>
      <c r="D298"/>
      <c r="E298"/>
      <c r="F298"/>
      <c r="G298"/>
      <c r="H298"/>
      <c r="I298"/>
      <c r="J298"/>
      <c r="K298"/>
    </row>
    <row r="299" spans="1:11" x14ac:dyDescent="0.25">
      <c r="A299"/>
      <c r="B299"/>
      <c r="C299"/>
      <c r="D299"/>
      <c r="E299"/>
      <c r="F299"/>
      <c r="G299"/>
      <c r="H299"/>
      <c r="I299"/>
      <c r="J299"/>
      <c r="K299"/>
    </row>
    <row r="300" spans="1:11" x14ac:dyDescent="0.25">
      <c r="A300"/>
      <c r="B300"/>
      <c r="C300"/>
      <c r="D300"/>
      <c r="E300"/>
      <c r="F300"/>
      <c r="G300"/>
      <c r="H300"/>
      <c r="I300"/>
      <c r="J300"/>
      <c r="K300"/>
    </row>
    <row r="301" spans="1:11" x14ac:dyDescent="0.25">
      <c r="A301"/>
      <c r="B301"/>
      <c r="C301"/>
      <c r="D301"/>
      <c r="E301"/>
      <c r="F301"/>
      <c r="G301"/>
      <c r="H301"/>
      <c r="I301"/>
      <c r="J301"/>
      <c r="K301"/>
    </row>
    <row r="302" spans="1:11" x14ac:dyDescent="0.25">
      <c r="A302"/>
      <c r="B302"/>
      <c r="C302"/>
      <c r="D302"/>
      <c r="E302"/>
      <c r="F302"/>
      <c r="G302"/>
      <c r="H302"/>
      <c r="I302"/>
      <c r="J302"/>
      <c r="K302"/>
    </row>
    <row r="303" spans="1:11" x14ac:dyDescent="0.25">
      <c r="A303"/>
      <c r="B303"/>
      <c r="C303"/>
      <c r="D303"/>
      <c r="E303"/>
      <c r="F303"/>
      <c r="G303"/>
      <c r="H303"/>
      <c r="I303"/>
      <c r="J303"/>
      <c r="K303"/>
    </row>
    <row r="304" spans="1:11" x14ac:dyDescent="0.25">
      <c r="A304"/>
      <c r="B304"/>
      <c r="C304"/>
      <c r="D304"/>
      <c r="E304"/>
      <c r="F304"/>
      <c r="G304"/>
      <c r="H304"/>
      <c r="I304"/>
      <c r="J304"/>
      <c r="K304"/>
    </row>
    <row r="305" spans="1:11" x14ac:dyDescent="0.25">
      <c r="A305"/>
      <c r="B305"/>
      <c r="C305"/>
      <c r="D305"/>
      <c r="E305"/>
      <c r="F305"/>
      <c r="G305"/>
      <c r="H305"/>
      <c r="I305"/>
      <c r="J305"/>
      <c r="K305"/>
    </row>
    <row r="306" spans="1:11" x14ac:dyDescent="0.25">
      <c r="A306"/>
      <c r="B306"/>
      <c r="C306"/>
      <c r="D306"/>
      <c r="E306"/>
      <c r="F306"/>
      <c r="G306"/>
      <c r="H306"/>
      <c r="I306"/>
      <c r="J306"/>
      <c r="K306"/>
    </row>
    <row r="307" spans="1:11" x14ac:dyDescent="0.25">
      <c r="A307"/>
      <c r="B307"/>
      <c r="C307"/>
      <c r="D307"/>
      <c r="E307"/>
      <c r="F307"/>
      <c r="G307"/>
      <c r="H307"/>
      <c r="I307"/>
      <c r="J307"/>
      <c r="K307"/>
    </row>
    <row r="308" spans="1:11" x14ac:dyDescent="0.25">
      <c r="A308"/>
      <c r="B308"/>
      <c r="C308"/>
      <c r="D308"/>
      <c r="E308"/>
      <c r="F308"/>
      <c r="G308"/>
      <c r="H308"/>
      <c r="I308"/>
      <c r="J308"/>
      <c r="K308"/>
    </row>
    <row r="309" spans="1:11" x14ac:dyDescent="0.25">
      <c r="A309"/>
      <c r="B309"/>
      <c r="C309"/>
      <c r="D309"/>
      <c r="E309"/>
      <c r="F309"/>
      <c r="G309"/>
      <c r="H309"/>
      <c r="I309"/>
      <c r="J309"/>
      <c r="K309"/>
    </row>
    <row r="310" spans="1:11" x14ac:dyDescent="0.25">
      <c r="A310"/>
      <c r="B310"/>
      <c r="C310"/>
      <c r="D310"/>
      <c r="E310"/>
      <c r="F310"/>
      <c r="G310"/>
      <c r="H310"/>
      <c r="I310"/>
      <c r="J310"/>
      <c r="K310"/>
    </row>
    <row r="311" spans="1:11" x14ac:dyDescent="0.25">
      <c r="A311"/>
      <c r="B311"/>
      <c r="C311"/>
      <c r="D311"/>
      <c r="E311"/>
      <c r="F311"/>
      <c r="G311"/>
      <c r="H311"/>
      <c r="I311"/>
      <c r="J311"/>
      <c r="K311"/>
    </row>
    <row r="312" spans="1:11" x14ac:dyDescent="0.25">
      <c r="A312"/>
      <c r="B312"/>
      <c r="C312"/>
      <c r="D312"/>
      <c r="E312"/>
      <c r="F312"/>
      <c r="G312"/>
      <c r="H312"/>
      <c r="I312"/>
      <c r="J312"/>
      <c r="K312"/>
    </row>
    <row r="313" spans="1:11" x14ac:dyDescent="0.25">
      <c r="A313"/>
      <c r="B313"/>
      <c r="C313"/>
      <c r="D313"/>
      <c r="E313"/>
      <c r="F313"/>
      <c r="G313"/>
      <c r="H313"/>
      <c r="I313"/>
      <c r="J313"/>
      <c r="K313"/>
    </row>
    <row r="314" spans="1:11" x14ac:dyDescent="0.25">
      <c r="A314"/>
      <c r="B314"/>
      <c r="C314"/>
      <c r="D314"/>
      <c r="E314"/>
      <c r="F314"/>
      <c r="G314"/>
      <c r="H314"/>
      <c r="I314"/>
      <c r="J314"/>
      <c r="K314"/>
    </row>
    <row r="315" spans="1:11" x14ac:dyDescent="0.25">
      <c r="A315"/>
      <c r="B315"/>
      <c r="C315"/>
      <c r="D315"/>
      <c r="E315"/>
      <c r="F315"/>
      <c r="G315"/>
      <c r="H315"/>
      <c r="I315"/>
      <c r="J315"/>
      <c r="K315"/>
    </row>
    <row r="316" spans="1:11" x14ac:dyDescent="0.25">
      <c r="A316"/>
      <c r="B316"/>
      <c r="C316"/>
      <c r="D316"/>
      <c r="E316"/>
      <c r="F316"/>
      <c r="G316"/>
      <c r="H316"/>
      <c r="I316"/>
      <c r="J316"/>
      <c r="K316"/>
    </row>
    <row r="317" spans="1:11" x14ac:dyDescent="0.25">
      <c r="A317"/>
      <c r="B317"/>
      <c r="C317"/>
      <c r="D317"/>
      <c r="E317"/>
      <c r="F317"/>
      <c r="G317"/>
      <c r="H317"/>
      <c r="I317"/>
      <c r="J317"/>
      <c r="K317"/>
    </row>
    <row r="318" spans="1:11" x14ac:dyDescent="0.25">
      <c r="A318"/>
      <c r="B318"/>
      <c r="C318"/>
      <c r="D318"/>
      <c r="E318"/>
      <c r="F318"/>
      <c r="G318"/>
      <c r="H318"/>
      <c r="I318"/>
      <c r="J318"/>
      <c r="K318"/>
    </row>
    <row r="319" spans="1:11" x14ac:dyDescent="0.25">
      <c r="A319"/>
      <c r="B319"/>
      <c r="C319"/>
      <c r="D319"/>
      <c r="E319"/>
      <c r="F319"/>
      <c r="G319"/>
      <c r="H319"/>
      <c r="I319"/>
      <c r="J319"/>
      <c r="K319"/>
    </row>
    <row r="320" spans="1:11" x14ac:dyDescent="0.25">
      <c r="A320"/>
      <c r="B320"/>
      <c r="C320"/>
      <c r="D320"/>
      <c r="E320"/>
      <c r="F320"/>
      <c r="G320"/>
      <c r="H320"/>
      <c r="I320"/>
      <c r="J320"/>
      <c r="K320"/>
    </row>
    <row r="321" spans="1:11" x14ac:dyDescent="0.25">
      <c r="A321"/>
      <c r="B321"/>
      <c r="C321"/>
      <c r="D321"/>
      <c r="E321"/>
      <c r="F321"/>
      <c r="G321"/>
      <c r="H321"/>
      <c r="I321"/>
      <c r="J321"/>
      <c r="K321"/>
    </row>
    <row r="322" spans="1:11" x14ac:dyDescent="0.25">
      <c r="A322"/>
      <c r="B322"/>
      <c r="C322"/>
      <c r="D322"/>
      <c r="E322"/>
      <c r="F322"/>
      <c r="G322"/>
      <c r="H322"/>
      <c r="I322"/>
      <c r="J322"/>
      <c r="K322"/>
    </row>
    <row r="323" spans="1:11" x14ac:dyDescent="0.25">
      <c r="A323"/>
      <c r="B323"/>
      <c r="C323"/>
      <c r="D323"/>
      <c r="E323"/>
      <c r="F323"/>
      <c r="G323"/>
      <c r="H323"/>
      <c r="I323"/>
      <c r="J323"/>
      <c r="K323"/>
    </row>
    <row r="324" spans="1:11" x14ac:dyDescent="0.25">
      <c r="A324"/>
      <c r="B324"/>
      <c r="C324"/>
      <c r="D324"/>
      <c r="E324"/>
      <c r="F324"/>
      <c r="G324"/>
      <c r="H324"/>
      <c r="I324"/>
      <c r="J324"/>
      <c r="K324"/>
    </row>
    <row r="325" spans="1:11" x14ac:dyDescent="0.25">
      <c r="A325"/>
      <c r="B325"/>
      <c r="C325"/>
      <c r="D325"/>
      <c r="E325"/>
      <c r="F325"/>
      <c r="G325"/>
      <c r="H325"/>
      <c r="I325"/>
      <c r="J325"/>
      <c r="K325"/>
    </row>
    <row r="326" spans="1:11" x14ac:dyDescent="0.25">
      <c r="A326"/>
      <c r="B326"/>
      <c r="C326"/>
      <c r="D326"/>
      <c r="E326"/>
      <c r="F326"/>
      <c r="G326"/>
      <c r="H326"/>
      <c r="I326"/>
      <c r="J326"/>
      <c r="K326"/>
    </row>
  </sheetData>
  <sheetProtection sheet="1" objects="1" scenarios="1"/>
  <mergeCells count="2">
    <mergeCell ref="D2:E2"/>
    <mergeCell ref="A2:B2"/>
  </mergeCells>
  <phoneticPr fontId="41" type="noConversion"/>
  <printOptions horizontalCentered="1" gridLines="1"/>
  <pageMargins left="0.31496062992125984" right="0.31496062992125984" top="0.94488188976377963" bottom="0.35433070866141736" header="0.31496062992125984" footer="0.11811023622047245"/>
  <pageSetup paperSize="9" scale="30" orientation="landscape" r:id="rId2"/>
  <headerFooter>
    <oddHeader>&amp;R&amp;F</oddHeader>
    <oddFooter>Sida &amp;P av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1"/>
  <sheetViews>
    <sheetView workbookViewId="0">
      <selection activeCell="E34" sqref="E4:E38 E40:E41 E43:E89"/>
      <pivotSelection pane="bottomRight" showHeader="1" dimension="4" activeRow="33" activeCol="4" click="1" r:id="rId1">
        <pivotArea dataOnly="0" labelOnly="1" outline="0" fieldPosition="0">
          <references count="1">
            <reference field="1" count="0"/>
          </references>
        </pivotArea>
      </pivotSelection>
    </sheetView>
  </sheetViews>
  <sheetFormatPr defaultRowHeight="15" x14ac:dyDescent="0.25"/>
  <cols>
    <col min="1" max="1" width="19.5703125" customWidth="1"/>
    <col min="2" max="2" width="20.42578125" customWidth="1"/>
    <col min="3" max="3" width="41.42578125" customWidth="1"/>
    <col min="4" max="4" width="16.140625" customWidth="1"/>
    <col min="5" max="5" width="51" customWidth="1"/>
    <col min="6" max="6" width="9" customWidth="1"/>
    <col min="7" max="7" width="9" bestFit="1" customWidth="1"/>
    <col min="8" max="9" width="10.42578125" customWidth="1"/>
    <col min="10" max="10" width="15" bestFit="1" customWidth="1"/>
    <col min="11" max="11" width="15.5703125" bestFit="1" customWidth="1"/>
    <col min="12" max="13" width="15.5703125" customWidth="1"/>
    <col min="14" max="14" width="15.5703125" bestFit="1" customWidth="1"/>
    <col min="15" max="15" width="20.85546875" bestFit="1" customWidth="1"/>
    <col min="16" max="16" width="21.85546875" bestFit="1" customWidth="1"/>
    <col min="17" max="17" width="22.140625" bestFit="1" customWidth="1"/>
  </cols>
  <sheetData>
    <row r="1" spans="1:10" x14ac:dyDescent="0.25">
      <c r="A1" s="63" t="s">
        <v>2</v>
      </c>
      <c r="B1" t="s">
        <v>192</v>
      </c>
    </row>
    <row r="3" spans="1:10" ht="30" customHeight="1" x14ac:dyDescent="0.25">
      <c r="A3" s="158" t="s">
        <v>106</v>
      </c>
      <c r="B3" s="158" t="s">
        <v>105</v>
      </c>
      <c r="C3" s="158" t="s">
        <v>361</v>
      </c>
      <c r="D3" s="158" t="s">
        <v>59</v>
      </c>
      <c r="E3" s="158" t="s">
        <v>110</v>
      </c>
      <c r="F3" s="158" t="s">
        <v>111</v>
      </c>
      <c r="G3" s="516" t="s">
        <v>1153</v>
      </c>
      <c r="H3" s="516" t="s">
        <v>1078</v>
      </c>
      <c r="I3" s="516" t="s">
        <v>1391</v>
      </c>
      <c r="J3" s="516" t="s">
        <v>860</v>
      </c>
    </row>
    <row r="4" spans="1:10" x14ac:dyDescent="0.25">
      <c r="A4" t="s">
        <v>1930</v>
      </c>
      <c r="B4" t="s">
        <v>117</v>
      </c>
      <c r="C4" t="s">
        <v>124</v>
      </c>
      <c r="D4" t="s">
        <v>1586</v>
      </c>
      <c r="E4" t="s">
        <v>1607</v>
      </c>
      <c r="F4">
        <v>30</v>
      </c>
      <c r="G4" s="38">
        <v>4</v>
      </c>
      <c r="H4" s="373">
        <v>2</v>
      </c>
      <c r="I4" s="373">
        <v>1.6</v>
      </c>
      <c r="J4" s="15">
        <v>209543.2</v>
      </c>
    </row>
    <row r="5" spans="1:10" x14ac:dyDescent="0.25">
      <c r="D5" t="s">
        <v>1559</v>
      </c>
      <c r="E5" t="s">
        <v>1560</v>
      </c>
      <c r="F5">
        <v>5</v>
      </c>
      <c r="G5" s="38">
        <v>3</v>
      </c>
      <c r="H5" s="373">
        <v>0.25</v>
      </c>
      <c r="I5" s="373">
        <v>0.2</v>
      </c>
      <c r="J5" s="15">
        <v>13117.45</v>
      </c>
    </row>
    <row r="6" spans="1:10" x14ac:dyDescent="0.25">
      <c r="D6" t="s">
        <v>1822</v>
      </c>
      <c r="E6" t="s">
        <v>1832</v>
      </c>
      <c r="F6">
        <v>30</v>
      </c>
      <c r="G6" s="38">
        <v>3</v>
      </c>
      <c r="H6" s="373">
        <v>1.5</v>
      </c>
      <c r="I6" s="373">
        <v>1.2000000000000002</v>
      </c>
      <c r="J6" s="15">
        <v>157157.40000000002</v>
      </c>
    </row>
    <row r="7" spans="1:10" x14ac:dyDescent="0.25">
      <c r="D7" t="s">
        <v>1370</v>
      </c>
      <c r="E7" t="s">
        <v>725</v>
      </c>
      <c r="F7">
        <v>7.5</v>
      </c>
      <c r="G7" s="38">
        <v>10</v>
      </c>
      <c r="H7" s="373">
        <v>1.25</v>
      </c>
      <c r="I7" s="373">
        <v>1</v>
      </c>
      <c r="J7" s="15">
        <v>55828.649999999994</v>
      </c>
    </row>
    <row r="8" spans="1:10" x14ac:dyDescent="0.25">
      <c r="D8" t="s">
        <v>1372</v>
      </c>
      <c r="E8" t="s">
        <v>1374</v>
      </c>
      <c r="F8">
        <v>7.5</v>
      </c>
      <c r="G8" s="38">
        <v>16</v>
      </c>
      <c r="H8" s="373">
        <v>2</v>
      </c>
      <c r="I8" s="373">
        <v>1.6</v>
      </c>
      <c r="J8" s="15">
        <v>73646.8</v>
      </c>
    </row>
    <row r="9" spans="1:10" x14ac:dyDescent="0.25">
      <c r="D9" t="s">
        <v>1371</v>
      </c>
      <c r="E9" t="s">
        <v>1375</v>
      </c>
      <c r="F9">
        <v>7.5</v>
      </c>
      <c r="G9" s="38">
        <v>28</v>
      </c>
      <c r="H9" s="373">
        <v>3.5</v>
      </c>
      <c r="I9" s="373">
        <v>2.8</v>
      </c>
      <c r="J9" s="15">
        <v>128881.9</v>
      </c>
    </row>
    <row r="10" spans="1:10" x14ac:dyDescent="0.25">
      <c r="D10" t="s">
        <v>2100</v>
      </c>
      <c r="E10" t="s">
        <v>442</v>
      </c>
      <c r="F10">
        <v>22.5</v>
      </c>
      <c r="G10" s="38">
        <v>1</v>
      </c>
      <c r="H10" s="373">
        <v>0.375</v>
      </c>
      <c r="I10" s="373">
        <v>0.30000000000000004</v>
      </c>
      <c r="J10" s="15">
        <v>13808.775000000001</v>
      </c>
    </row>
    <row r="11" spans="1:10" x14ac:dyDescent="0.25">
      <c r="D11" t="s">
        <v>2102</v>
      </c>
      <c r="E11" t="s">
        <v>1289</v>
      </c>
      <c r="F11">
        <v>15</v>
      </c>
      <c r="G11" s="38">
        <v>0</v>
      </c>
      <c r="H11" s="373">
        <v>0</v>
      </c>
      <c r="I11" s="373">
        <v>0</v>
      </c>
      <c r="J11" s="15">
        <v>0</v>
      </c>
    </row>
    <row r="12" spans="1:10" x14ac:dyDescent="0.25">
      <c r="D12" t="s">
        <v>2101</v>
      </c>
      <c r="E12" t="s">
        <v>1290</v>
      </c>
      <c r="F12">
        <v>15</v>
      </c>
      <c r="G12" s="38">
        <v>0</v>
      </c>
      <c r="H12" s="373">
        <v>0</v>
      </c>
      <c r="I12" s="373">
        <v>0</v>
      </c>
      <c r="J12" s="15">
        <v>0</v>
      </c>
    </row>
    <row r="13" spans="1:10" x14ac:dyDescent="0.25">
      <c r="D13" t="s">
        <v>2184</v>
      </c>
      <c r="E13" t="s">
        <v>2092</v>
      </c>
      <c r="F13">
        <v>7.5</v>
      </c>
      <c r="G13" s="38">
        <v>1</v>
      </c>
      <c r="H13" s="373">
        <v>0.125</v>
      </c>
      <c r="I13" s="373">
        <v>0.1</v>
      </c>
      <c r="J13" s="15">
        <v>4602.9250000000002</v>
      </c>
    </row>
    <row r="14" spans="1:10" x14ac:dyDescent="0.25">
      <c r="B14" t="s">
        <v>482</v>
      </c>
      <c r="C14" t="s">
        <v>929</v>
      </c>
      <c r="D14" t="s">
        <v>1557</v>
      </c>
      <c r="E14" t="s">
        <v>1558</v>
      </c>
      <c r="F14">
        <v>7.5</v>
      </c>
      <c r="G14" s="38">
        <v>1</v>
      </c>
      <c r="H14" s="373">
        <v>0.125</v>
      </c>
      <c r="I14" s="373">
        <v>0.10625</v>
      </c>
      <c r="J14" s="15">
        <v>4701.5062500000004</v>
      </c>
    </row>
    <row r="15" spans="1:10" x14ac:dyDescent="0.25">
      <c r="F15">
        <v>22.5</v>
      </c>
      <c r="G15" s="38">
        <v>2</v>
      </c>
      <c r="H15" s="373">
        <v>0.75</v>
      </c>
      <c r="I15" s="373">
        <v>0.63749999999999996</v>
      </c>
      <c r="J15" s="15">
        <v>28209.037499999999</v>
      </c>
    </row>
    <row r="16" spans="1:10" x14ac:dyDescent="0.25">
      <c r="D16" t="s">
        <v>1439</v>
      </c>
      <c r="E16" t="s">
        <v>1440</v>
      </c>
      <c r="F16">
        <v>22.5</v>
      </c>
      <c r="G16" s="38">
        <v>1</v>
      </c>
      <c r="H16" s="373">
        <v>0.375</v>
      </c>
      <c r="I16" s="373">
        <v>0.31874999999999998</v>
      </c>
      <c r="J16" s="15">
        <v>17989.537499999999</v>
      </c>
    </row>
    <row r="17" spans="2:10" x14ac:dyDescent="0.25">
      <c r="D17" t="s">
        <v>1514</v>
      </c>
      <c r="E17" t="s">
        <v>1523</v>
      </c>
      <c r="F17">
        <v>22.5</v>
      </c>
      <c r="G17" s="38">
        <v>1</v>
      </c>
      <c r="H17" s="373">
        <v>0.375</v>
      </c>
      <c r="I17" s="373">
        <v>0.31874999999999998</v>
      </c>
      <c r="J17" s="15">
        <v>17989.537499999999</v>
      </c>
    </row>
    <row r="18" spans="2:10" x14ac:dyDescent="0.25">
      <c r="B18" t="s">
        <v>483</v>
      </c>
      <c r="C18" t="s">
        <v>1368</v>
      </c>
      <c r="D18" t="s">
        <v>1557</v>
      </c>
      <c r="E18" t="s">
        <v>1558</v>
      </c>
      <c r="F18">
        <v>22.5</v>
      </c>
      <c r="G18" s="38">
        <v>14</v>
      </c>
      <c r="H18" s="373">
        <v>5.25</v>
      </c>
      <c r="I18" s="373">
        <v>4.4624999999999995</v>
      </c>
      <c r="J18" s="15">
        <v>197463.26249999995</v>
      </c>
    </row>
    <row r="19" spans="2:10" x14ac:dyDescent="0.25">
      <c r="D19" t="s">
        <v>1586</v>
      </c>
      <c r="E19" t="s">
        <v>1607</v>
      </c>
      <c r="F19">
        <v>30</v>
      </c>
      <c r="G19" s="38">
        <v>25</v>
      </c>
      <c r="H19" s="373">
        <v>12.5</v>
      </c>
      <c r="I19" s="373">
        <v>10.625000000000002</v>
      </c>
      <c r="J19" s="15">
        <v>1329361.8750000002</v>
      </c>
    </row>
    <row r="20" spans="2:10" x14ac:dyDescent="0.25">
      <c r="D20" t="s">
        <v>1822</v>
      </c>
      <c r="E20" t="s">
        <v>1832</v>
      </c>
      <c r="F20">
        <v>30</v>
      </c>
      <c r="G20" s="38">
        <v>19</v>
      </c>
      <c r="H20" s="373">
        <v>9.5</v>
      </c>
      <c r="I20" s="373">
        <v>8.0749999999999993</v>
      </c>
      <c r="J20" s="15">
        <v>1010315.0249999999</v>
      </c>
    </row>
    <row r="21" spans="2:10" x14ac:dyDescent="0.25">
      <c r="B21" t="s">
        <v>484</v>
      </c>
      <c r="C21" t="s">
        <v>926</v>
      </c>
      <c r="D21" t="s">
        <v>1285</v>
      </c>
      <c r="E21" t="s">
        <v>1291</v>
      </c>
      <c r="F21">
        <v>7.5</v>
      </c>
      <c r="G21" s="38">
        <v>21</v>
      </c>
      <c r="H21" s="373">
        <v>2.625</v>
      </c>
      <c r="I21" s="373">
        <v>2.2312499999999997</v>
      </c>
      <c r="J21" s="15">
        <v>141511.38749999998</v>
      </c>
    </row>
    <row r="22" spans="2:10" x14ac:dyDescent="0.25">
      <c r="B22" t="s">
        <v>485</v>
      </c>
      <c r="C22" t="s">
        <v>925</v>
      </c>
      <c r="D22" t="s">
        <v>1576</v>
      </c>
      <c r="E22" t="s">
        <v>1616</v>
      </c>
      <c r="F22">
        <v>8</v>
      </c>
      <c r="G22" s="38">
        <v>15</v>
      </c>
      <c r="H22" s="373">
        <v>2</v>
      </c>
      <c r="I22" s="373">
        <v>1.7</v>
      </c>
      <c r="J22" s="15">
        <v>107818.2</v>
      </c>
    </row>
    <row r="23" spans="2:10" x14ac:dyDescent="0.25">
      <c r="B23" t="s">
        <v>486</v>
      </c>
      <c r="C23" t="s">
        <v>927</v>
      </c>
      <c r="D23" t="s">
        <v>1114</v>
      </c>
      <c r="E23" t="s">
        <v>1208</v>
      </c>
      <c r="F23">
        <v>15</v>
      </c>
      <c r="G23" s="38">
        <v>38</v>
      </c>
      <c r="H23" s="373">
        <v>9.5</v>
      </c>
      <c r="I23" s="373">
        <v>8.0749999999999993</v>
      </c>
      <c r="J23" s="15">
        <v>357314.47499999998</v>
      </c>
    </row>
    <row r="24" spans="2:10" x14ac:dyDescent="0.25">
      <c r="D24" t="s">
        <v>1559</v>
      </c>
      <c r="E24" t="s">
        <v>1560</v>
      </c>
      <c r="F24">
        <v>5</v>
      </c>
      <c r="G24" s="38">
        <v>34</v>
      </c>
      <c r="H24" s="373">
        <v>2.8333333333333335</v>
      </c>
      <c r="I24" s="373">
        <v>2.4083333333333332</v>
      </c>
      <c r="J24" s="15">
        <v>152742.44999999998</v>
      </c>
    </row>
    <row r="25" spans="2:10" x14ac:dyDescent="0.25">
      <c r="D25" t="s">
        <v>1577</v>
      </c>
      <c r="E25" t="s">
        <v>1617</v>
      </c>
      <c r="F25">
        <v>8</v>
      </c>
      <c r="G25" s="38">
        <v>37</v>
      </c>
      <c r="H25" s="373">
        <v>4.9333333333333336</v>
      </c>
      <c r="I25" s="373">
        <v>4.1933333333333334</v>
      </c>
      <c r="J25" s="15">
        <v>265951.56</v>
      </c>
    </row>
    <row r="26" spans="2:10" x14ac:dyDescent="0.25">
      <c r="B26" t="s">
        <v>524</v>
      </c>
      <c r="C26" t="s">
        <v>928</v>
      </c>
      <c r="D26" t="s">
        <v>1559</v>
      </c>
      <c r="E26" t="s">
        <v>1560</v>
      </c>
      <c r="F26">
        <v>5</v>
      </c>
      <c r="G26" s="38">
        <v>34</v>
      </c>
      <c r="H26" s="373">
        <v>2.8333333333333335</v>
      </c>
      <c r="I26" s="373">
        <v>2.4083333333333332</v>
      </c>
      <c r="J26" s="15">
        <v>152742.44999999995</v>
      </c>
    </row>
    <row r="27" spans="2:10" x14ac:dyDescent="0.25">
      <c r="D27" t="s">
        <v>1577</v>
      </c>
      <c r="E27" t="s">
        <v>1617</v>
      </c>
      <c r="F27">
        <v>8</v>
      </c>
      <c r="G27" s="38">
        <v>34</v>
      </c>
      <c r="H27" s="373">
        <v>4.5333333333333341</v>
      </c>
      <c r="I27" s="373">
        <v>3.8533333333333331</v>
      </c>
      <c r="J27" s="15">
        <v>244387.91999999998</v>
      </c>
    </row>
    <row r="28" spans="2:10" x14ac:dyDescent="0.25">
      <c r="B28" t="s">
        <v>1632</v>
      </c>
      <c r="C28" t="s">
        <v>1651</v>
      </c>
      <c r="D28" t="s">
        <v>1474</v>
      </c>
      <c r="E28" t="s">
        <v>1475</v>
      </c>
      <c r="F28">
        <v>9</v>
      </c>
      <c r="G28" s="38">
        <v>14</v>
      </c>
      <c r="H28" s="373">
        <v>2.1</v>
      </c>
      <c r="I28" s="373">
        <v>1.7849999999999999</v>
      </c>
      <c r="J28" s="15">
        <v>111089.60099999998</v>
      </c>
    </row>
    <row r="29" spans="2:10" x14ac:dyDescent="0.25">
      <c r="D29" t="s">
        <v>1626</v>
      </c>
      <c r="E29" t="s">
        <v>1627</v>
      </c>
      <c r="F29">
        <v>7.5</v>
      </c>
      <c r="G29" s="38">
        <v>14</v>
      </c>
      <c r="H29" s="373">
        <v>1.75</v>
      </c>
      <c r="I29" s="373">
        <v>1.4875</v>
      </c>
      <c r="J29" s="15">
        <v>94340.925000000003</v>
      </c>
    </row>
    <row r="30" spans="2:10" x14ac:dyDescent="0.25">
      <c r="B30" t="s">
        <v>629</v>
      </c>
      <c r="C30" t="s">
        <v>932</v>
      </c>
      <c r="D30" t="s">
        <v>600</v>
      </c>
      <c r="E30" t="s">
        <v>726</v>
      </c>
      <c r="F30">
        <v>10</v>
      </c>
      <c r="G30" s="38">
        <v>15</v>
      </c>
      <c r="H30" s="373">
        <v>2.5</v>
      </c>
      <c r="I30" s="373">
        <v>2.125</v>
      </c>
      <c r="J30" s="15">
        <v>134772.75</v>
      </c>
    </row>
    <row r="31" spans="2:10" x14ac:dyDescent="0.25">
      <c r="B31" t="s">
        <v>630</v>
      </c>
      <c r="C31" t="s">
        <v>933</v>
      </c>
      <c r="D31" t="s">
        <v>600</v>
      </c>
      <c r="E31" t="s">
        <v>726</v>
      </c>
      <c r="F31">
        <v>10</v>
      </c>
      <c r="G31" s="38">
        <v>7</v>
      </c>
      <c r="H31" s="373">
        <v>1.1666666666666665</v>
      </c>
      <c r="I31" s="373">
        <v>0.99166666666666647</v>
      </c>
      <c r="J31" s="15">
        <v>62893.94999999999</v>
      </c>
    </row>
    <row r="32" spans="2:10" x14ac:dyDescent="0.25">
      <c r="B32" t="s">
        <v>120</v>
      </c>
      <c r="C32" t="s">
        <v>934</v>
      </c>
      <c r="D32" t="s">
        <v>2100</v>
      </c>
      <c r="E32" t="s">
        <v>442</v>
      </c>
      <c r="F32">
        <v>22.5</v>
      </c>
      <c r="G32" s="38">
        <v>39</v>
      </c>
      <c r="H32" s="373">
        <v>14.625</v>
      </c>
      <c r="I32" s="373">
        <v>12.431249999999999</v>
      </c>
      <c r="J32" s="15">
        <v>550076.23125000007</v>
      </c>
    </row>
    <row r="33" spans="1:10" x14ac:dyDescent="0.25">
      <c r="B33" t="s">
        <v>115</v>
      </c>
      <c r="C33" t="s">
        <v>935</v>
      </c>
      <c r="D33" t="s">
        <v>2102</v>
      </c>
      <c r="E33" t="s">
        <v>1289</v>
      </c>
      <c r="F33">
        <v>15</v>
      </c>
      <c r="G33" s="38">
        <v>3</v>
      </c>
      <c r="H33" s="373">
        <v>0.75</v>
      </c>
      <c r="I33" s="373">
        <v>0.63749999999999996</v>
      </c>
      <c r="J33" s="15">
        <v>28209.037499999999</v>
      </c>
    </row>
    <row r="34" spans="1:10" x14ac:dyDescent="0.25">
      <c r="D34" t="s">
        <v>2101</v>
      </c>
      <c r="E34" t="s">
        <v>1290</v>
      </c>
      <c r="F34">
        <v>15</v>
      </c>
      <c r="G34" s="38">
        <v>3</v>
      </c>
      <c r="H34" s="373">
        <v>0.75</v>
      </c>
      <c r="I34" s="373">
        <v>0.63749999999999996</v>
      </c>
      <c r="J34" s="15">
        <v>28209.037499999999</v>
      </c>
    </row>
    <row r="35" spans="1:10" x14ac:dyDescent="0.25">
      <c r="B35" t="s">
        <v>85</v>
      </c>
      <c r="C35" t="s">
        <v>363</v>
      </c>
      <c r="D35" t="s">
        <v>900</v>
      </c>
      <c r="E35" t="s">
        <v>1247</v>
      </c>
      <c r="F35">
        <v>7.5</v>
      </c>
      <c r="G35" s="38">
        <v>43</v>
      </c>
      <c r="H35" s="373">
        <v>5.375</v>
      </c>
      <c r="I35" s="373">
        <v>4.5687499999999996</v>
      </c>
      <c r="J35" s="15">
        <v>202164.76874999999</v>
      </c>
    </row>
    <row r="36" spans="1:10" x14ac:dyDescent="0.25">
      <c r="D36" t="s">
        <v>987</v>
      </c>
      <c r="E36" t="s">
        <v>746</v>
      </c>
      <c r="F36">
        <v>7.5</v>
      </c>
      <c r="G36" s="38">
        <v>31</v>
      </c>
      <c r="H36" s="373">
        <v>3.875</v>
      </c>
      <c r="I36" s="373">
        <v>3.2937500000000002</v>
      </c>
      <c r="J36" s="15">
        <v>145746.69375000001</v>
      </c>
    </row>
    <row r="37" spans="1:10" x14ac:dyDescent="0.25">
      <c r="B37" t="s">
        <v>627</v>
      </c>
      <c r="C37" t="s">
        <v>931</v>
      </c>
      <c r="D37" t="s">
        <v>1481</v>
      </c>
      <c r="E37" t="s">
        <v>1480</v>
      </c>
      <c r="F37">
        <v>15</v>
      </c>
      <c r="G37" s="38">
        <v>12</v>
      </c>
      <c r="H37" s="373">
        <v>3</v>
      </c>
      <c r="I37" s="373">
        <v>2.5499999999999998</v>
      </c>
      <c r="J37" s="15">
        <v>143916.29999999999</v>
      </c>
    </row>
    <row r="38" spans="1:10" x14ac:dyDescent="0.25">
      <c r="D38" t="s">
        <v>600</v>
      </c>
      <c r="E38" t="s">
        <v>726</v>
      </c>
      <c r="F38">
        <v>10</v>
      </c>
      <c r="G38" s="38">
        <v>44</v>
      </c>
      <c r="H38" s="373">
        <v>7.333333333333333</v>
      </c>
      <c r="I38" s="373">
        <v>6.2333333333333325</v>
      </c>
      <c r="J38" s="15">
        <v>395333.39999999997</v>
      </c>
    </row>
    <row r="39" spans="1:10" x14ac:dyDescent="0.25">
      <c r="A39" t="s">
        <v>2040</v>
      </c>
      <c r="G39" s="38">
        <v>567</v>
      </c>
      <c r="H39" s="373">
        <v>112.35833333333332</v>
      </c>
      <c r="I39" s="373">
        <v>94.954583333333332</v>
      </c>
      <c r="J39" s="15">
        <v>6581838.0184999993</v>
      </c>
    </row>
    <row r="40" spans="1:10" x14ac:dyDescent="0.25">
      <c r="A40" t="s">
        <v>2093</v>
      </c>
      <c r="B40" t="s">
        <v>117</v>
      </c>
      <c r="C40" t="s">
        <v>124</v>
      </c>
      <c r="D40" t="s">
        <v>2064</v>
      </c>
      <c r="E40" t="s">
        <v>2075</v>
      </c>
      <c r="F40">
        <v>7.5</v>
      </c>
      <c r="G40" s="38">
        <v>0</v>
      </c>
      <c r="H40" s="373">
        <v>0</v>
      </c>
      <c r="I40" s="373">
        <v>0</v>
      </c>
      <c r="J40" s="15">
        <v>0</v>
      </c>
    </row>
    <row r="41" spans="1:10" x14ac:dyDescent="0.25">
      <c r="D41" t="s">
        <v>2190</v>
      </c>
      <c r="E41" t="s">
        <v>2071</v>
      </c>
      <c r="F41">
        <v>7.5</v>
      </c>
      <c r="G41" s="38">
        <v>22</v>
      </c>
      <c r="H41" s="373">
        <v>2.75</v>
      </c>
      <c r="I41" s="373">
        <v>2.2000000000000002</v>
      </c>
      <c r="J41" s="15">
        <v>101264.35</v>
      </c>
    </row>
    <row r="42" spans="1:10" x14ac:dyDescent="0.25">
      <c r="A42" t="s">
        <v>2172</v>
      </c>
      <c r="G42" s="38">
        <v>22</v>
      </c>
      <c r="H42" s="373">
        <v>2.75</v>
      </c>
      <c r="I42" s="373">
        <v>2.2000000000000002</v>
      </c>
      <c r="J42" s="15">
        <v>101264.35</v>
      </c>
    </row>
    <row r="43" spans="1:10" x14ac:dyDescent="0.25">
      <c r="A43" t="s">
        <v>1931</v>
      </c>
      <c r="B43" t="s">
        <v>117</v>
      </c>
      <c r="C43" t="s">
        <v>124</v>
      </c>
      <c r="D43" t="s">
        <v>1482</v>
      </c>
      <c r="E43" t="s">
        <v>1436</v>
      </c>
      <c r="F43">
        <v>15</v>
      </c>
      <c r="G43" s="38">
        <v>5</v>
      </c>
      <c r="H43" s="373">
        <v>1.25</v>
      </c>
      <c r="I43" s="373">
        <v>1</v>
      </c>
      <c r="J43" s="15">
        <v>68358.5</v>
      </c>
    </row>
    <row r="44" spans="1:10" x14ac:dyDescent="0.25">
      <c r="D44" t="s">
        <v>1472</v>
      </c>
      <c r="E44" t="s">
        <v>1433</v>
      </c>
      <c r="F44">
        <v>15</v>
      </c>
      <c r="G44" s="38">
        <v>5</v>
      </c>
      <c r="H44" s="373">
        <v>1.25</v>
      </c>
      <c r="I44" s="373">
        <v>1</v>
      </c>
      <c r="J44" s="15">
        <v>68358.5</v>
      </c>
    </row>
    <row r="45" spans="1:10" x14ac:dyDescent="0.25">
      <c r="D45" t="s">
        <v>586</v>
      </c>
      <c r="E45" t="s">
        <v>678</v>
      </c>
      <c r="F45">
        <v>30</v>
      </c>
      <c r="G45" s="38">
        <v>5</v>
      </c>
      <c r="H45" s="373">
        <v>2.5</v>
      </c>
      <c r="I45" s="373">
        <v>2</v>
      </c>
      <c r="J45" s="15">
        <v>261929</v>
      </c>
    </row>
    <row r="46" spans="1:10" x14ac:dyDescent="0.25">
      <c r="D46" t="s">
        <v>1657</v>
      </c>
      <c r="E46" t="s">
        <v>1678</v>
      </c>
      <c r="F46">
        <v>5</v>
      </c>
      <c r="G46" s="38">
        <v>5</v>
      </c>
      <c r="H46" s="373">
        <v>0.41666666666666663</v>
      </c>
      <c r="I46" s="373">
        <v>0.33333333333333331</v>
      </c>
      <c r="J46" s="15">
        <v>21862.416666666668</v>
      </c>
    </row>
    <row r="47" spans="1:10" x14ac:dyDescent="0.25">
      <c r="D47" t="s">
        <v>1947</v>
      </c>
      <c r="E47" t="s">
        <v>1948</v>
      </c>
      <c r="F47">
        <v>7.5</v>
      </c>
      <c r="G47" s="38">
        <v>10</v>
      </c>
      <c r="H47" s="373">
        <v>1.25</v>
      </c>
      <c r="I47" s="373">
        <v>1</v>
      </c>
      <c r="J47" s="15">
        <v>46029.25</v>
      </c>
    </row>
    <row r="48" spans="1:10" x14ac:dyDescent="0.25">
      <c r="D48" t="s">
        <v>1845</v>
      </c>
      <c r="E48" t="s">
        <v>1846</v>
      </c>
      <c r="F48">
        <v>7.5</v>
      </c>
      <c r="G48" s="38">
        <v>5</v>
      </c>
      <c r="H48" s="373">
        <v>0.625</v>
      </c>
      <c r="I48" s="373">
        <v>0.5</v>
      </c>
      <c r="J48" s="15">
        <v>23014.625</v>
      </c>
    </row>
    <row r="49" spans="2:10" x14ac:dyDescent="0.25">
      <c r="D49" t="s">
        <v>1370</v>
      </c>
      <c r="E49" t="s">
        <v>725</v>
      </c>
      <c r="F49">
        <v>7.5</v>
      </c>
      <c r="G49" s="38">
        <v>25</v>
      </c>
      <c r="H49" s="373">
        <v>3.125</v>
      </c>
      <c r="I49" s="373">
        <v>2.5</v>
      </c>
      <c r="J49" s="15">
        <v>139571.625</v>
      </c>
    </row>
    <row r="50" spans="2:10" x14ac:dyDescent="0.25">
      <c r="D50" t="s">
        <v>1372</v>
      </c>
      <c r="E50" t="s">
        <v>1374</v>
      </c>
      <c r="F50">
        <v>7.5</v>
      </c>
      <c r="G50" s="38">
        <v>30</v>
      </c>
      <c r="H50" s="373">
        <v>3.75</v>
      </c>
      <c r="I50" s="373">
        <v>3</v>
      </c>
      <c r="J50" s="15">
        <v>138087.75</v>
      </c>
    </row>
    <row r="51" spans="2:10" x14ac:dyDescent="0.25">
      <c r="D51" t="s">
        <v>1371</v>
      </c>
      <c r="E51" t="s">
        <v>1375</v>
      </c>
      <c r="F51">
        <v>7.5</v>
      </c>
      <c r="G51" s="38">
        <v>30</v>
      </c>
      <c r="H51" s="373">
        <v>3.75</v>
      </c>
      <c r="I51" s="373">
        <v>3</v>
      </c>
      <c r="J51" s="15">
        <v>138087.75</v>
      </c>
    </row>
    <row r="52" spans="2:10" x14ac:dyDescent="0.25">
      <c r="D52" t="s">
        <v>1373</v>
      </c>
      <c r="E52" t="s">
        <v>1376</v>
      </c>
      <c r="F52">
        <v>7.5</v>
      </c>
      <c r="G52" s="38">
        <v>15</v>
      </c>
      <c r="H52" s="373">
        <v>1.875</v>
      </c>
      <c r="I52" s="373">
        <v>1.5</v>
      </c>
      <c r="J52" s="15">
        <v>69043.875</v>
      </c>
    </row>
    <row r="53" spans="2:10" x14ac:dyDescent="0.25">
      <c r="B53" t="s">
        <v>482</v>
      </c>
      <c r="C53" t="s">
        <v>929</v>
      </c>
      <c r="D53" t="s">
        <v>1557</v>
      </c>
      <c r="E53" t="s">
        <v>1558</v>
      </c>
      <c r="F53">
        <v>7.5</v>
      </c>
      <c r="G53" s="38">
        <v>1</v>
      </c>
      <c r="H53" s="373">
        <v>0.125</v>
      </c>
      <c r="I53" s="373">
        <v>0.10625</v>
      </c>
      <c r="J53" s="15">
        <v>4701.5062500000004</v>
      </c>
    </row>
    <row r="54" spans="2:10" x14ac:dyDescent="0.25">
      <c r="D54" t="s">
        <v>1657</v>
      </c>
      <c r="E54" t="s">
        <v>1678</v>
      </c>
      <c r="F54">
        <v>5</v>
      </c>
      <c r="G54" s="38">
        <v>4</v>
      </c>
      <c r="H54" s="373">
        <v>0.33333333333333331</v>
      </c>
      <c r="I54" s="373">
        <v>0.28333333333333333</v>
      </c>
      <c r="J54" s="15">
        <v>17969.699999999997</v>
      </c>
    </row>
    <row r="55" spans="2:10" x14ac:dyDescent="0.25">
      <c r="D55" t="s">
        <v>1689</v>
      </c>
      <c r="E55" t="s">
        <v>1690</v>
      </c>
      <c r="F55">
        <v>8</v>
      </c>
      <c r="G55" s="38">
        <v>4</v>
      </c>
      <c r="H55" s="373">
        <v>0.53333333333333333</v>
      </c>
      <c r="I55" s="373">
        <v>0.45333333333333331</v>
      </c>
      <c r="J55" s="15">
        <v>28751.519999999997</v>
      </c>
    </row>
    <row r="56" spans="2:10" x14ac:dyDescent="0.25">
      <c r="B56" t="s">
        <v>483</v>
      </c>
      <c r="C56" t="s">
        <v>1368</v>
      </c>
      <c r="D56" t="s">
        <v>1557</v>
      </c>
      <c r="E56" t="s">
        <v>1558</v>
      </c>
      <c r="F56">
        <v>7.5</v>
      </c>
      <c r="G56" s="38">
        <v>11</v>
      </c>
      <c r="H56" s="373">
        <v>1.375</v>
      </c>
      <c r="I56" s="373">
        <v>1.16875</v>
      </c>
      <c r="J56" s="15">
        <v>51716.568749999999</v>
      </c>
    </row>
    <row r="57" spans="2:10" x14ac:dyDescent="0.25">
      <c r="D57" t="s">
        <v>586</v>
      </c>
      <c r="E57" t="s">
        <v>678</v>
      </c>
      <c r="F57">
        <v>30</v>
      </c>
      <c r="G57" s="38">
        <v>25</v>
      </c>
      <c r="H57" s="373">
        <v>12.5</v>
      </c>
      <c r="I57" s="373">
        <v>10.625000000000002</v>
      </c>
      <c r="J57" s="15">
        <v>1329361.8750000002</v>
      </c>
    </row>
    <row r="58" spans="2:10" x14ac:dyDescent="0.25">
      <c r="D58" t="s">
        <v>1287</v>
      </c>
      <c r="E58" t="s">
        <v>1292</v>
      </c>
      <c r="F58">
        <v>6</v>
      </c>
      <c r="G58" s="38">
        <v>154</v>
      </c>
      <c r="H58" s="373">
        <v>15.4</v>
      </c>
      <c r="I58" s="373">
        <v>13.090000000000003</v>
      </c>
      <c r="J58" s="15">
        <v>830200.14000000025</v>
      </c>
    </row>
    <row r="59" spans="2:10" x14ac:dyDescent="0.25">
      <c r="D59" t="s">
        <v>1288</v>
      </c>
      <c r="E59" t="s">
        <v>1293</v>
      </c>
      <c r="F59">
        <v>1.5</v>
      </c>
      <c r="G59" s="38">
        <v>155</v>
      </c>
      <c r="H59" s="373">
        <v>3.875</v>
      </c>
      <c r="I59" s="373">
        <v>3.2937500000000011</v>
      </c>
      <c r="J59" s="15">
        <v>185891.88749999995</v>
      </c>
    </row>
    <row r="60" spans="2:10" x14ac:dyDescent="0.25">
      <c r="D60" t="s">
        <v>1285</v>
      </c>
      <c r="E60" t="s">
        <v>1291</v>
      </c>
      <c r="F60">
        <v>7.5</v>
      </c>
      <c r="G60" s="38">
        <v>149</v>
      </c>
      <c r="H60" s="373">
        <v>18.625</v>
      </c>
      <c r="I60" s="373">
        <v>15.831249999999997</v>
      </c>
      <c r="J60" s="15">
        <v>1004056.9875</v>
      </c>
    </row>
    <row r="61" spans="2:10" x14ac:dyDescent="0.25">
      <c r="D61" t="s">
        <v>1439</v>
      </c>
      <c r="E61" t="s">
        <v>1440</v>
      </c>
      <c r="F61">
        <v>22.5</v>
      </c>
      <c r="G61" s="38">
        <v>14</v>
      </c>
      <c r="H61" s="373">
        <v>5.25</v>
      </c>
      <c r="I61" s="373">
        <v>4.4624999999999995</v>
      </c>
      <c r="J61" s="15">
        <v>251853.52499999999</v>
      </c>
    </row>
    <row r="62" spans="2:10" x14ac:dyDescent="0.25">
      <c r="D62" t="s">
        <v>1514</v>
      </c>
      <c r="E62" t="s">
        <v>1523</v>
      </c>
      <c r="F62">
        <v>22.5</v>
      </c>
      <c r="G62" s="38">
        <v>4</v>
      </c>
      <c r="H62" s="373">
        <v>1.5</v>
      </c>
      <c r="I62" s="373">
        <v>1.2749999999999999</v>
      </c>
      <c r="J62" s="15">
        <v>71958.149999999994</v>
      </c>
    </row>
    <row r="63" spans="2:10" x14ac:dyDescent="0.25">
      <c r="D63" t="s">
        <v>1657</v>
      </c>
      <c r="E63" t="s">
        <v>1678</v>
      </c>
      <c r="F63">
        <v>5</v>
      </c>
      <c r="G63" s="38">
        <v>100</v>
      </c>
      <c r="H63" s="373">
        <v>8.3333333333333321</v>
      </c>
      <c r="I63" s="373">
        <v>7.0833333333333357</v>
      </c>
      <c r="J63" s="15">
        <v>449242.49999999994</v>
      </c>
    </row>
    <row r="64" spans="2:10" x14ac:dyDescent="0.25">
      <c r="D64" t="s">
        <v>1689</v>
      </c>
      <c r="E64" t="s">
        <v>1690</v>
      </c>
      <c r="F64">
        <v>8</v>
      </c>
      <c r="G64" s="38">
        <v>98</v>
      </c>
      <c r="H64" s="373">
        <v>13.066666666666666</v>
      </c>
      <c r="I64" s="373">
        <v>11.106666666666666</v>
      </c>
      <c r="J64" s="15">
        <v>704412.24</v>
      </c>
    </row>
    <row r="65" spans="2:10" x14ac:dyDescent="0.25">
      <c r="D65" t="s">
        <v>2013</v>
      </c>
      <c r="E65" t="s">
        <v>2025</v>
      </c>
      <c r="F65">
        <v>6</v>
      </c>
      <c r="G65" s="38">
        <v>17</v>
      </c>
      <c r="H65" s="373">
        <v>1.7000000000000002</v>
      </c>
      <c r="I65" s="373">
        <v>1.4450000000000001</v>
      </c>
      <c r="J65" s="15">
        <v>81552.570000000007</v>
      </c>
    </row>
    <row r="66" spans="2:10" x14ac:dyDescent="0.25">
      <c r="D66" t="s">
        <v>2014</v>
      </c>
      <c r="E66" t="s">
        <v>2026</v>
      </c>
      <c r="F66">
        <v>6</v>
      </c>
      <c r="G66" s="38">
        <v>8</v>
      </c>
      <c r="H66" s="373">
        <v>0.8</v>
      </c>
      <c r="I66" s="373">
        <v>0.68</v>
      </c>
      <c r="J66" s="15">
        <v>38377.68</v>
      </c>
    </row>
    <row r="67" spans="2:10" x14ac:dyDescent="0.25">
      <c r="B67" t="s">
        <v>484</v>
      </c>
      <c r="C67" t="s">
        <v>926</v>
      </c>
      <c r="D67" t="s">
        <v>1285</v>
      </c>
      <c r="E67" t="s">
        <v>1291</v>
      </c>
      <c r="F67">
        <v>7.5</v>
      </c>
      <c r="G67" s="38">
        <v>51.3</v>
      </c>
      <c r="H67" s="373">
        <v>6.4124999999999996</v>
      </c>
      <c r="I67" s="373">
        <v>5.4506249999999996</v>
      </c>
      <c r="J67" s="15">
        <v>345692.10375000001</v>
      </c>
    </row>
    <row r="68" spans="2:10" x14ac:dyDescent="0.25">
      <c r="B68" t="s">
        <v>485</v>
      </c>
      <c r="C68" t="s">
        <v>925</v>
      </c>
      <c r="D68" t="s">
        <v>1482</v>
      </c>
      <c r="E68" t="s">
        <v>1436</v>
      </c>
      <c r="F68">
        <v>15</v>
      </c>
      <c r="G68" s="38">
        <v>9</v>
      </c>
      <c r="H68" s="373">
        <v>2.25</v>
      </c>
      <c r="I68" s="373">
        <v>1.9124999999999999</v>
      </c>
      <c r="J68" s="15">
        <v>126074.47499999999</v>
      </c>
    </row>
    <row r="69" spans="2:10" x14ac:dyDescent="0.25">
      <c r="D69" t="s">
        <v>1472</v>
      </c>
      <c r="E69" t="s">
        <v>1433</v>
      </c>
      <c r="F69">
        <v>15</v>
      </c>
      <c r="G69" s="38">
        <v>18</v>
      </c>
      <c r="H69" s="373">
        <v>4.5</v>
      </c>
      <c r="I69" s="373">
        <v>3.8249999999999997</v>
      </c>
      <c r="J69" s="15">
        <v>252148.95</v>
      </c>
    </row>
    <row r="70" spans="2:10" x14ac:dyDescent="0.25">
      <c r="D70" t="s">
        <v>1285</v>
      </c>
      <c r="E70" t="s">
        <v>1291</v>
      </c>
      <c r="F70">
        <v>7.5</v>
      </c>
      <c r="G70" s="38">
        <v>22.5</v>
      </c>
      <c r="H70" s="373">
        <v>2.8125</v>
      </c>
      <c r="I70" s="373">
        <v>2.390625</v>
      </c>
      <c r="J70" s="15">
        <v>151619.34375</v>
      </c>
    </row>
    <row r="71" spans="2:10" x14ac:dyDescent="0.25">
      <c r="D71" t="s">
        <v>1559</v>
      </c>
      <c r="E71" t="s">
        <v>1560</v>
      </c>
      <c r="F71">
        <v>5</v>
      </c>
      <c r="G71" s="38">
        <v>14</v>
      </c>
      <c r="H71" s="373">
        <v>1.1666666666666665</v>
      </c>
      <c r="I71" s="373">
        <v>0.99166666666666647</v>
      </c>
      <c r="J71" s="15">
        <v>62893.94999999999</v>
      </c>
    </row>
    <row r="72" spans="2:10" x14ac:dyDescent="0.25">
      <c r="D72" t="s">
        <v>1730</v>
      </c>
      <c r="E72" t="s">
        <v>1731</v>
      </c>
      <c r="F72">
        <v>2.5</v>
      </c>
      <c r="G72" s="38">
        <v>11</v>
      </c>
      <c r="H72" s="373">
        <v>0.45833333333333331</v>
      </c>
      <c r="I72" s="373">
        <v>0.38958333333333328</v>
      </c>
      <c r="J72" s="15">
        <v>21987.212499999998</v>
      </c>
    </row>
    <row r="73" spans="2:10" x14ac:dyDescent="0.25">
      <c r="B73" t="s">
        <v>486</v>
      </c>
      <c r="C73" t="s">
        <v>927</v>
      </c>
      <c r="D73" t="s">
        <v>1285</v>
      </c>
      <c r="E73" t="s">
        <v>1291</v>
      </c>
      <c r="F73">
        <v>7.5</v>
      </c>
      <c r="G73" s="38">
        <v>51.45</v>
      </c>
      <c r="H73" s="373">
        <v>6.4312500000000004</v>
      </c>
      <c r="I73" s="373">
        <v>5.4665625000000011</v>
      </c>
      <c r="J73" s="15">
        <v>346702.89937500004</v>
      </c>
    </row>
    <row r="74" spans="2:10" x14ac:dyDescent="0.25">
      <c r="B74" t="s">
        <v>524</v>
      </c>
      <c r="C74" t="s">
        <v>928</v>
      </c>
      <c r="D74" t="s">
        <v>1285</v>
      </c>
      <c r="E74" t="s">
        <v>1291</v>
      </c>
      <c r="F74">
        <v>7.5</v>
      </c>
      <c r="G74" s="38">
        <v>32.200000000000003</v>
      </c>
      <c r="H74" s="373">
        <v>4.0250000000000004</v>
      </c>
      <c r="I74" s="373">
        <v>3.4212500000000001</v>
      </c>
      <c r="J74" s="15">
        <v>216984.1275</v>
      </c>
    </row>
    <row r="75" spans="2:10" x14ac:dyDescent="0.25">
      <c r="B75" t="s">
        <v>629</v>
      </c>
      <c r="C75" t="s">
        <v>932</v>
      </c>
      <c r="D75" t="s">
        <v>1474</v>
      </c>
      <c r="E75" t="s">
        <v>1475</v>
      </c>
      <c r="F75">
        <v>9</v>
      </c>
      <c r="G75" s="38">
        <v>17</v>
      </c>
      <c r="H75" s="373">
        <v>2.5499999999999998</v>
      </c>
      <c r="I75" s="373">
        <v>2.1675</v>
      </c>
      <c r="J75" s="15">
        <v>134894.51549999998</v>
      </c>
    </row>
    <row r="76" spans="2:10" x14ac:dyDescent="0.25">
      <c r="D76" t="s">
        <v>1626</v>
      </c>
      <c r="E76" t="s">
        <v>1627</v>
      </c>
      <c r="F76">
        <v>7.5</v>
      </c>
      <c r="G76" s="38">
        <v>17</v>
      </c>
      <c r="H76" s="373">
        <v>2.125</v>
      </c>
      <c r="I76" s="373">
        <v>1.8062499999999999</v>
      </c>
      <c r="J76" s="15">
        <v>114556.83749999999</v>
      </c>
    </row>
    <row r="77" spans="2:10" x14ac:dyDescent="0.25">
      <c r="B77" t="s">
        <v>630</v>
      </c>
      <c r="C77" t="s">
        <v>933</v>
      </c>
      <c r="D77" t="s">
        <v>1474</v>
      </c>
      <c r="E77" t="s">
        <v>1475</v>
      </c>
      <c r="F77">
        <v>9</v>
      </c>
      <c r="G77" s="38">
        <v>25</v>
      </c>
      <c r="H77" s="373">
        <v>3.7499999999999996</v>
      </c>
      <c r="I77" s="373">
        <v>3.1874999999999996</v>
      </c>
      <c r="J77" s="15">
        <v>198374.28749999998</v>
      </c>
    </row>
    <row r="78" spans="2:10" x14ac:dyDescent="0.25">
      <c r="D78" t="s">
        <v>1626</v>
      </c>
      <c r="E78" t="s">
        <v>1627</v>
      </c>
      <c r="F78">
        <v>7.5</v>
      </c>
      <c r="G78" s="38">
        <v>25</v>
      </c>
      <c r="H78" s="373">
        <v>3.125</v>
      </c>
      <c r="I78" s="373">
        <v>2.65625</v>
      </c>
      <c r="J78" s="15">
        <v>168465.9375</v>
      </c>
    </row>
    <row r="79" spans="2:10" x14ac:dyDescent="0.25">
      <c r="B79" t="s">
        <v>120</v>
      </c>
      <c r="C79" t="s">
        <v>934</v>
      </c>
      <c r="D79" t="s">
        <v>1944</v>
      </c>
      <c r="E79" t="s">
        <v>1945</v>
      </c>
      <c r="F79">
        <v>7.5</v>
      </c>
      <c r="G79" s="38">
        <v>34</v>
      </c>
      <c r="H79" s="373">
        <v>4.25</v>
      </c>
      <c r="I79" s="373">
        <v>3.6124999999999998</v>
      </c>
      <c r="J79" s="15">
        <v>159851.21249999999</v>
      </c>
    </row>
    <row r="80" spans="2:10" x14ac:dyDescent="0.25">
      <c r="D80" t="s">
        <v>1947</v>
      </c>
      <c r="E80" t="s">
        <v>1948</v>
      </c>
      <c r="F80">
        <v>7.5</v>
      </c>
      <c r="G80" s="38">
        <v>30.6</v>
      </c>
      <c r="H80" s="373">
        <v>3.8250000000000002</v>
      </c>
      <c r="I80" s="373">
        <v>3.2512500000000002</v>
      </c>
      <c r="J80" s="15">
        <v>143866.09125</v>
      </c>
    </row>
    <row r="81" spans="1:10" x14ac:dyDescent="0.25">
      <c r="D81" t="s">
        <v>2135</v>
      </c>
      <c r="E81" t="s">
        <v>2136</v>
      </c>
      <c r="F81">
        <v>7.5</v>
      </c>
      <c r="G81" s="38">
        <v>33</v>
      </c>
      <c r="H81" s="373">
        <v>4.125</v>
      </c>
      <c r="I81" s="373">
        <v>3.5062500000000001</v>
      </c>
      <c r="J81" s="15">
        <v>155149.70624999999</v>
      </c>
    </row>
    <row r="82" spans="1:10" x14ac:dyDescent="0.25">
      <c r="D82" t="s">
        <v>2137</v>
      </c>
      <c r="E82" t="s">
        <v>2138</v>
      </c>
      <c r="F82">
        <v>15</v>
      </c>
      <c r="G82" s="38">
        <v>37</v>
      </c>
      <c r="H82" s="373">
        <v>9.25</v>
      </c>
      <c r="I82" s="373">
        <v>7.8624999999999998</v>
      </c>
      <c r="J82" s="15">
        <v>347911.46250000002</v>
      </c>
    </row>
    <row r="83" spans="1:10" x14ac:dyDescent="0.25">
      <c r="B83" t="s">
        <v>115</v>
      </c>
      <c r="C83" t="s">
        <v>935</v>
      </c>
      <c r="D83" t="s">
        <v>1944</v>
      </c>
      <c r="E83" t="s">
        <v>1945</v>
      </c>
      <c r="F83">
        <v>7.5</v>
      </c>
      <c r="G83" s="38">
        <v>51</v>
      </c>
      <c r="H83" s="373">
        <v>6.375</v>
      </c>
      <c r="I83" s="373">
        <v>5.4187500000000002</v>
      </c>
      <c r="J83" s="15">
        <v>239776.81875000001</v>
      </c>
    </row>
    <row r="84" spans="1:10" x14ac:dyDescent="0.25">
      <c r="D84" t="s">
        <v>1947</v>
      </c>
      <c r="E84" t="s">
        <v>1948</v>
      </c>
      <c r="F84">
        <v>7.5</v>
      </c>
      <c r="G84" s="38">
        <v>51</v>
      </c>
      <c r="H84" s="373">
        <v>6.375</v>
      </c>
      <c r="I84" s="373">
        <v>5.4187500000000011</v>
      </c>
      <c r="J84" s="15">
        <v>239776.81875000003</v>
      </c>
    </row>
    <row r="85" spans="1:10" x14ac:dyDescent="0.25">
      <c r="D85" t="s">
        <v>2135</v>
      </c>
      <c r="E85" t="s">
        <v>2136</v>
      </c>
      <c r="F85">
        <v>7.5</v>
      </c>
      <c r="G85" s="38">
        <v>27</v>
      </c>
      <c r="H85" s="373">
        <v>3.375</v>
      </c>
      <c r="I85" s="373">
        <v>2.8687499999999999</v>
      </c>
      <c r="J85" s="15">
        <v>126940.66875000001</v>
      </c>
    </row>
    <row r="86" spans="1:10" x14ac:dyDescent="0.25">
      <c r="D86" t="s">
        <v>2137</v>
      </c>
      <c r="E86" t="s">
        <v>2138</v>
      </c>
      <c r="F86">
        <v>15</v>
      </c>
      <c r="G86" s="38">
        <v>1</v>
      </c>
      <c r="H86" s="373">
        <v>0.25</v>
      </c>
      <c r="I86" s="373">
        <v>0.21249999999999999</v>
      </c>
      <c r="J86" s="15">
        <v>9403.0125000000007</v>
      </c>
    </row>
    <row r="87" spans="1:10" x14ac:dyDescent="0.25">
      <c r="D87" t="s">
        <v>2139</v>
      </c>
      <c r="E87" t="s">
        <v>1454</v>
      </c>
      <c r="F87">
        <v>15</v>
      </c>
      <c r="G87" s="38">
        <v>3</v>
      </c>
      <c r="H87" s="373">
        <v>0.75</v>
      </c>
      <c r="I87" s="373">
        <v>0.63749999999999996</v>
      </c>
      <c r="J87" s="15">
        <v>28209.037499999999</v>
      </c>
    </row>
    <row r="88" spans="1:10" x14ac:dyDescent="0.25">
      <c r="B88" t="s">
        <v>627</v>
      </c>
      <c r="C88" t="s">
        <v>931</v>
      </c>
      <c r="D88" t="s">
        <v>835</v>
      </c>
      <c r="E88" t="s">
        <v>1202</v>
      </c>
      <c r="F88">
        <v>15</v>
      </c>
      <c r="G88" s="38">
        <v>45</v>
      </c>
      <c r="H88" s="373">
        <v>11.25</v>
      </c>
      <c r="I88" s="373">
        <v>9.5625</v>
      </c>
      <c r="J88" s="15">
        <v>606477.375</v>
      </c>
    </row>
    <row r="89" spans="1:10" x14ac:dyDescent="0.25">
      <c r="D89" t="s">
        <v>1481</v>
      </c>
      <c r="E89" t="s">
        <v>1480</v>
      </c>
      <c r="F89">
        <v>15</v>
      </c>
      <c r="G89" s="38">
        <v>27</v>
      </c>
      <c r="H89" s="373">
        <v>6.75</v>
      </c>
      <c r="I89" s="373">
        <v>5.7374999999999998</v>
      </c>
      <c r="J89" s="15">
        <v>323811.67499999999</v>
      </c>
    </row>
    <row r="90" spans="1:10" x14ac:dyDescent="0.25">
      <c r="A90" t="s">
        <v>2041</v>
      </c>
      <c r="G90" s="38">
        <v>1512.05</v>
      </c>
      <c r="H90" s="373">
        <v>199.38958333333332</v>
      </c>
      <c r="I90" s="373">
        <v>168.49156250000001</v>
      </c>
      <c r="J90" s="15">
        <v>10545958.660291668</v>
      </c>
    </row>
    <row r="91" spans="1:10" x14ac:dyDescent="0.25">
      <c r="A91" t="s">
        <v>781</v>
      </c>
      <c r="G91" s="38">
        <v>2101.0500000000002</v>
      </c>
      <c r="H91" s="373">
        <v>314.49791666666664</v>
      </c>
      <c r="I91" s="373">
        <v>265.64614583333332</v>
      </c>
      <c r="J91" s="15">
        <v>17229061.028791666</v>
      </c>
    </row>
  </sheetData>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C8EEF"/>
    <pageSetUpPr fitToPage="1"/>
  </sheetPr>
  <dimension ref="A1:BP1884"/>
  <sheetViews>
    <sheetView zoomScale="110" zoomScaleNormal="110" zoomScalePageLayoutView="110" workbookViewId="0">
      <pane ySplit="1" topLeftCell="A2" activePane="bottomLeft" state="frozen"/>
      <selection pane="bottomLeft" activeCell="A4" sqref="A4"/>
    </sheetView>
  </sheetViews>
  <sheetFormatPr defaultColWidth="8.85546875" defaultRowHeight="15" x14ac:dyDescent="0.25"/>
  <cols>
    <col min="1" max="1" width="13.5703125" style="31" customWidth="1"/>
    <col min="2" max="2" width="69" style="59" customWidth="1"/>
    <col min="3" max="3" width="7.5703125" style="31" customWidth="1"/>
    <col min="4" max="4" width="11.7109375" style="31" customWidth="1"/>
    <col min="5" max="5" width="9.140625" style="31" customWidth="1"/>
    <col min="6" max="6" width="9.42578125" style="31" customWidth="1"/>
    <col min="7" max="7" width="25.140625" style="31" customWidth="1"/>
    <col min="8" max="8" width="7.42578125" style="31" customWidth="1"/>
    <col min="9" max="9" width="9" style="31" customWidth="1"/>
    <col min="10" max="10" width="11" style="31" customWidth="1"/>
    <col min="11" max="11" width="9.140625" style="31" customWidth="1"/>
    <col min="12" max="12" width="8.42578125" style="31" customWidth="1"/>
    <col min="13" max="13" width="5.85546875" style="31" customWidth="1"/>
    <col min="14" max="15" width="8.42578125" style="31" customWidth="1"/>
    <col min="16" max="16" width="6.42578125" style="31" customWidth="1"/>
    <col min="17" max="17" width="8.42578125" style="41" customWidth="1"/>
    <col min="18" max="18" width="8" style="31" customWidth="1"/>
    <col min="19" max="19" width="6.5703125" style="45" customWidth="1"/>
    <col min="20" max="20" width="12.42578125" style="31" customWidth="1"/>
    <col min="21" max="21" width="24" style="31" customWidth="1"/>
    <col min="22" max="22" width="11.42578125" style="31" customWidth="1"/>
    <col min="23" max="23" width="32.42578125" style="31" customWidth="1"/>
    <col min="24" max="27" width="11.42578125" style="42" customWidth="1"/>
    <col min="28" max="28" width="12" style="42" customWidth="1"/>
    <col min="29" max="29" width="11.42578125" style="42" customWidth="1"/>
    <col min="30" max="41" width="11.42578125" style="31" customWidth="1"/>
    <col min="42" max="42" width="28.140625" style="31" customWidth="1"/>
    <col min="43" max="43" width="32.140625" style="31" customWidth="1"/>
    <col min="44" max="44" width="9.42578125" style="31" customWidth="1"/>
    <col min="45" max="45" width="8.85546875" style="31" customWidth="1"/>
    <col min="46" max="46" width="7.5703125" style="31" customWidth="1"/>
    <col min="47" max="47" width="8" style="31" customWidth="1"/>
    <col min="48" max="48" width="7.140625" style="31" customWidth="1"/>
    <col min="49" max="50" width="7.5703125" style="31" customWidth="1"/>
    <col min="51" max="51" width="7.85546875" style="31" customWidth="1"/>
    <col min="52" max="52" width="10.85546875" style="31" customWidth="1"/>
    <col min="53" max="53" width="10.42578125" style="31" customWidth="1"/>
    <col min="54" max="54" width="7.85546875" style="31" customWidth="1"/>
    <col min="55" max="55" width="8.42578125" style="31" customWidth="1"/>
    <col min="56" max="56" width="7.5703125" style="31" customWidth="1"/>
    <col min="57" max="57" width="7.42578125" style="31" customWidth="1"/>
    <col min="58" max="58" width="7" style="31" customWidth="1"/>
    <col min="59" max="60" width="7.5703125" style="31" customWidth="1"/>
    <col min="61" max="62" width="8.85546875" style="31"/>
    <col min="63" max="63" width="8" style="31" customWidth="1"/>
    <col min="64" max="64" width="8.140625" style="31" customWidth="1"/>
    <col min="65" max="65" width="7.85546875" style="31" customWidth="1"/>
    <col min="66" max="66" width="8.140625" style="31" customWidth="1"/>
    <col min="67" max="16384" width="8.85546875" style="31"/>
  </cols>
  <sheetData>
    <row r="1" spans="1:66" s="96" customFormat="1" ht="54.75" customHeight="1" x14ac:dyDescent="0.25">
      <c r="A1" s="94" t="s">
        <v>59</v>
      </c>
      <c r="B1" s="380" t="s">
        <v>110</v>
      </c>
      <c r="C1" s="95" t="s">
        <v>437</v>
      </c>
      <c r="D1" s="168" t="s">
        <v>105</v>
      </c>
      <c r="E1" s="168" t="s">
        <v>1590</v>
      </c>
      <c r="F1" s="168" t="s">
        <v>106</v>
      </c>
      <c r="G1" s="169" t="s">
        <v>398</v>
      </c>
      <c r="H1" s="170" t="s">
        <v>107</v>
      </c>
      <c r="I1" s="168" t="s">
        <v>108</v>
      </c>
      <c r="J1" s="168" t="s">
        <v>438</v>
      </c>
      <c r="K1" s="168" t="s">
        <v>439</v>
      </c>
      <c r="L1" s="171" t="s">
        <v>109</v>
      </c>
      <c r="M1" s="169" t="s">
        <v>111</v>
      </c>
      <c r="N1" s="336" t="s">
        <v>1629</v>
      </c>
      <c r="O1" s="336" t="s">
        <v>1630</v>
      </c>
      <c r="P1" s="172" t="s">
        <v>112</v>
      </c>
      <c r="Q1" s="173" t="s">
        <v>61</v>
      </c>
      <c r="R1" s="174" t="s">
        <v>113</v>
      </c>
      <c r="S1" s="175" t="s">
        <v>62</v>
      </c>
      <c r="T1" s="176" t="s">
        <v>60</v>
      </c>
      <c r="U1" s="176" t="s">
        <v>2</v>
      </c>
      <c r="V1" s="176" t="s">
        <v>71</v>
      </c>
      <c r="W1" s="168" t="s">
        <v>361</v>
      </c>
      <c r="X1" s="177" t="s">
        <v>69</v>
      </c>
      <c r="Y1" s="177" t="s">
        <v>70</v>
      </c>
      <c r="Z1" s="177" t="s">
        <v>77</v>
      </c>
      <c r="AA1" s="177" t="s">
        <v>337</v>
      </c>
      <c r="AB1" s="177" t="s">
        <v>149</v>
      </c>
      <c r="AC1" s="177" t="s">
        <v>444</v>
      </c>
      <c r="AD1" s="178" t="s">
        <v>130</v>
      </c>
      <c r="AE1" s="178" t="s">
        <v>131</v>
      </c>
      <c r="AF1" s="178" t="s">
        <v>132</v>
      </c>
      <c r="AG1" s="178" t="s">
        <v>133</v>
      </c>
      <c r="AH1" s="178" t="s">
        <v>134</v>
      </c>
      <c r="AI1" s="178" t="s">
        <v>135</v>
      </c>
      <c r="AJ1" s="178" t="s">
        <v>136</v>
      </c>
      <c r="AK1" s="178" t="s">
        <v>126</v>
      </c>
      <c r="AL1" s="178" t="s">
        <v>783</v>
      </c>
      <c r="AM1" s="178" t="s">
        <v>342</v>
      </c>
      <c r="AN1" s="178" t="s">
        <v>137</v>
      </c>
      <c r="AO1" s="178" t="s">
        <v>322</v>
      </c>
      <c r="AP1" s="179" t="s">
        <v>440</v>
      </c>
      <c r="AQ1" s="96" t="s">
        <v>433</v>
      </c>
      <c r="AR1" s="178" t="s">
        <v>790</v>
      </c>
      <c r="AS1" s="178" t="s">
        <v>791</v>
      </c>
      <c r="AT1" s="178" t="s">
        <v>793</v>
      </c>
      <c r="AU1" s="178" t="s">
        <v>792</v>
      </c>
      <c r="AV1" s="178" t="s">
        <v>795</v>
      </c>
      <c r="AW1" s="178" t="s">
        <v>794</v>
      </c>
      <c r="AX1" s="178" t="s">
        <v>797</v>
      </c>
      <c r="AY1" s="178" t="s">
        <v>796</v>
      </c>
      <c r="AZ1" s="178" t="s">
        <v>799</v>
      </c>
      <c r="BA1" s="178" t="s">
        <v>798</v>
      </c>
      <c r="BB1" s="178" t="s">
        <v>800</v>
      </c>
      <c r="BC1" s="178" t="s">
        <v>801</v>
      </c>
      <c r="BD1" s="178" t="s">
        <v>802</v>
      </c>
      <c r="BE1" s="178" t="s">
        <v>803</v>
      </c>
      <c r="BF1" s="178" t="s">
        <v>804</v>
      </c>
      <c r="BG1" s="178" t="s">
        <v>805</v>
      </c>
      <c r="BH1" s="178" t="s">
        <v>806</v>
      </c>
      <c r="BI1" s="178" t="s">
        <v>807</v>
      </c>
      <c r="BJ1" s="178" t="s">
        <v>808</v>
      </c>
      <c r="BK1" s="178" t="s">
        <v>809</v>
      </c>
      <c r="BL1" s="178" t="s">
        <v>810</v>
      </c>
      <c r="BM1" s="178" t="s">
        <v>811</v>
      </c>
      <c r="BN1" s="178" t="s">
        <v>812</v>
      </c>
    </row>
    <row r="2" spans="1:66" x14ac:dyDescent="0.25">
      <c r="A2" s="258" t="s">
        <v>2064</v>
      </c>
      <c r="B2" s="186" t="str">
        <f>VLOOKUP(A2,kurspris!$A$1:$B$877,2,FALSE)</f>
        <v>Anpassad fysisk aktivitet med inriktning mot rörelsehinder</v>
      </c>
      <c r="C2" s="37"/>
      <c r="D2" t="s">
        <v>117</v>
      </c>
      <c r="E2"/>
      <c r="F2" s="59" t="s">
        <v>2093</v>
      </c>
      <c r="G2" t="s">
        <v>2065</v>
      </c>
      <c r="H2"/>
      <c r="I2" s="18" t="s">
        <v>1634</v>
      </c>
      <c r="J2" s="159"/>
      <c r="K2" s="159"/>
      <c r="L2">
        <v>50</v>
      </c>
      <c r="M2">
        <v>7.5</v>
      </c>
      <c r="P2" s="295">
        <v>0</v>
      </c>
      <c r="Q2" s="232">
        <f t="shared" ref="Q2:Q65" si="0">(M2/60)*P2</f>
        <v>0</v>
      </c>
      <c r="R2" s="40">
        <v>0.8</v>
      </c>
      <c r="S2" s="334">
        <f t="shared" ref="S2:S65" si="1">Q2*R2</f>
        <v>0</v>
      </c>
      <c r="T2" s="31">
        <f>VLOOKUP(A2,'Ansvar kurs'!$A$1:$C$1010,2,FALSE)</f>
        <v>2180</v>
      </c>
      <c r="U2" s="31" t="str">
        <f>VLOOKUP(T2,Orgenheter!$A$1:$C$165,2,FALSE)</f>
        <v xml:space="preserve">Pedagogik                     </v>
      </c>
      <c r="V2" s="31" t="str">
        <f>VLOOKUP(T2,Orgenheter!$A$1:$C$165,3,FALSE)</f>
        <v>Sam</v>
      </c>
      <c r="W2" s="37" t="str">
        <f>VLOOKUP(D2,Program!$A$1:$B$34,2,FALSE)</f>
        <v>Fristående och övriga kurser</v>
      </c>
      <c r="X2" s="42">
        <f>VLOOKUP(A2,kurspris!$A$1:$Q$798,15,FALSE)</f>
        <v>31719.5</v>
      </c>
      <c r="Y2" s="42">
        <f>VLOOKUP(A2,kurspris!$A$1:$Q$798,16,FALSE)</f>
        <v>23660</v>
      </c>
      <c r="Z2" s="42">
        <f t="shared" ref="Z2:Z65" si="2">X2*Q2+S2*Y2</f>
        <v>0</v>
      </c>
      <c r="AA2" s="42">
        <f>VLOOKUP(A2,kurspris!$A$1:$Q$798,17,FALSE)</f>
        <v>20150</v>
      </c>
      <c r="AB2" s="42">
        <f t="shared" ref="AB2:AB65" si="3">AA2*Q2</f>
        <v>0</v>
      </c>
      <c r="AC2" s="42">
        <f t="shared" ref="AC2:AC65" si="4">Z2+AB2</f>
        <v>0</v>
      </c>
      <c r="AD2" s="31">
        <f>VLOOKUP($A2,kurspris!$A$1:$Q$835,3,FALSE)</f>
        <v>0</v>
      </c>
      <c r="AE2" s="31">
        <f>VLOOKUP($A2,kurspris!$A$1:$Q$835,4,FALSE)</f>
        <v>0</v>
      </c>
      <c r="AF2" s="31">
        <f>VLOOKUP($A2,kurspris!$A$1:$Q$835,5,FALSE)</f>
        <v>0.5</v>
      </c>
      <c r="AG2" s="31">
        <f>VLOOKUP($A2,kurspris!$A$1:$Q$835,6,FALSE)</f>
        <v>0</v>
      </c>
      <c r="AH2" s="31">
        <f>VLOOKUP($A2,kurspris!$A$1:$Q$835,7,FALSE)</f>
        <v>0</v>
      </c>
      <c r="AI2" s="31">
        <f>VLOOKUP($A2,kurspris!$A$1:$Q$835,8,FALSE)</f>
        <v>0</v>
      </c>
      <c r="AJ2" s="31">
        <f>VLOOKUP($A2,kurspris!$A$1:$Q$835,9,FALSE)</f>
        <v>0.5</v>
      </c>
      <c r="AK2" s="31">
        <f>VLOOKUP($A2,kurspris!$A$1:$Q$835,10,FALSE)</f>
        <v>0</v>
      </c>
      <c r="AL2" s="31">
        <f>VLOOKUP($A2,kurspris!$A$1:$Q$835,11,FALSE)</f>
        <v>0</v>
      </c>
      <c r="AM2" s="31">
        <f>VLOOKUP($A2,kurspris!$A$1:$Q$835,12,FALSE)</f>
        <v>0</v>
      </c>
      <c r="AN2" s="31">
        <f>VLOOKUP($A2,kurspris!$A$1:$Q$835,13,FALSE)</f>
        <v>0</v>
      </c>
      <c r="AO2" s="31">
        <f>VLOOKUP($A2,kurspris!$A$1:$Q$835,14,FALSE)</f>
        <v>0</v>
      </c>
      <c r="AP2" s="39" t="s">
        <v>2095</v>
      </c>
      <c r="AQ2" t="s">
        <v>2156</v>
      </c>
      <c r="AR2" s="31">
        <f t="shared" ref="AR2:AR65" si="5">$Q2*AD2</f>
        <v>0</v>
      </c>
      <c r="AS2" s="255">
        <f t="shared" ref="AS2:AS65" si="6">$S2*AD2</f>
        <v>0</v>
      </c>
      <c r="AT2" s="31">
        <f t="shared" ref="AT2:AT65" si="7">$Q2*AE2</f>
        <v>0</v>
      </c>
      <c r="AU2" s="255">
        <f t="shared" ref="AU2:AU65" si="8">$S2*AE2</f>
        <v>0</v>
      </c>
      <c r="AV2" s="31">
        <f t="shared" ref="AV2:AV65" si="9">$Q2*AF2</f>
        <v>0</v>
      </c>
      <c r="AW2" s="31">
        <f t="shared" ref="AW2:AW65" si="10">$S2*AF2</f>
        <v>0</v>
      </c>
      <c r="AX2" s="31">
        <f t="shared" ref="AX2:AX65" si="11">$Q2*AG2</f>
        <v>0</v>
      </c>
      <c r="AY2" s="255">
        <f t="shared" ref="AY2:AY65" si="12">$S2*AG2</f>
        <v>0</v>
      </c>
      <c r="AZ2" s="232">
        <f t="shared" ref="AZ2:AZ65" si="13">$Q2*AH2</f>
        <v>0</v>
      </c>
      <c r="BA2" s="255">
        <f t="shared" ref="BA2:BA65" si="14">$S2*AH2</f>
        <v>0</v>
      </c>
      <c r="BB2" s="31">
        <f t="shared" ref="BB2:BB65" si="15">$Q2*AI2</f>
        <v>0</v>
      </c>
      <c r="BC2" s="255">
        <f t="shared" ref="BC2:BC65" si="16">$S2*AI2</f>
        <v>0</v>
      </c>
      <c r="BD2" s="31">
        <f t="shared" ref="BD2:BD65" si="17">$Q2*AJ2</f>
        <v>0</v>
      </c>
      <c r="BE2" s="255">
        <f t="shared" ref="BE2:BE65" si="18">$S2*AJ2</f>
        <v>0</v>
      </c>
      <c r="BF2" s="31">
        <f t="shared" ref="BF2:BF65" si="19">$Q2*AK2</f>
        <v>0</v>
      </c>
      <c r="BG2" s="255">
        <f t="shared" ref="BG2:BG65" si="20">$S2*AK2</f>
        <v>0</v>
      </c>
      <c r="BH2" s="31">
        <f t="shared" ref="BH2:BH65" si="21">$Q2*AL2</f>
        <v>0</v>
      </c>
      <c r="BI2" s="255">
        <f t="shared" ref="BI2:BI65" si="22">$S2*AL2</f>
        <v>0</v>
      </c>
      <c r="BJ2" s="31">
        <f t="shared" ref="BJ2:BJ65" si="23">$Q2*AM2</f>
        <v>0</v>
      </c>
      <c r="BK2" s="31">
        <f t="shared" ref="BK2:BK65" si="24">$Q2*AN2</f>
        <v>0</v>
      </c>
      <c r="BL2" s="255">
        <f t="shared" ref="BL2:BL65" si="25">$S2*AN2</f>
        <v>0</v>
      </c>
      <c r="BM2" s="31">
        <f t="shared" ref="BM2:BM65" si="26">$Q2*AO2</f>
        <v>0</v>
      </c>
      <c r="BN2" s="255">
        <f t="shared" ref="BN2:BN65" si="27">$S2*AO2</f>
        <v>0</v>
      </c>
    </row>
    <row r="3" spans="1:66" x14ac:dyDescent="0.25">
      <c r="A3" s="258" t="s">
        <v>908</v>
      </c>
      <c r="B3" s="186" t="str">
        <f>VLOOKUP(A3,kurspris!$A$1:$B$877,2,FALSE)</f>
        <v>Digital kompetens och lärande I</v>
      </c>
      <c r="C3" s="37"/>
      <c r="D3" t="s">
        <v>117</v>
      </c>
      <c r="E3"/>
      <c r="F3" s="59" t="s">
        <v>2093</v>
      </c>
      <c r="G3" t="s">
        <v>2065</v>
      </c>
      <c r="H3"/>
      <c r="I3" s="18" t="s">
        <v>2066</v>
      </c>
      <c r="J3" s="159"/>
      <c r="K3" s="159"/>
      <c r="L3">
        <v>50</v>
      </c>
      <c r="M3">
        <v>7.5</v>
      </c>
      <c r="P3">
        <v>0</v>
      </c>
      <c r="Q3" s="232">
        <f t="shared" si="0"/>
        <v>0</v>
      </c>
      <c r="R3" s="40">
        <v>0.8</v>
      </c>
      <c r="S3" s="334">
        <f t="shared" si="1"/>
        <v>0</v>
      </c>
      <c r="T3" s="31">
        <f>VLOOKUP(A3,'Ansvar kurs'!$A$1:$C$1010,2,FALSE)</f>
        <v>2193</v>
      </c>
      <c r="U3" s="31" t="str">
        <f>VLOOKUP(T3,Orgenheter!$A$1:$C$165,2,FALSE)</f>
        <v xml:space="preserve">TUV </v>
      </c>
      <c r="V3" s="31" t="str">
        <f>VLOOKUP(T3,Orgenheter!$A$1:$C$165,3,FALSE)</f>
        <v>Sam</v>
      </c>
      <c r="W3" s="37" t="str">
        <f>VLOOKUP(D3,Program!$A$1:$B$34,2,FALSE)</f>
        <v>Fristående och övriga kurser</v>
      </c>
      <c r="X3" s="42">
        <f>VLOOKUP(A3,kurspris!$A$1:$Q$798,15,FALSE)</f>
        <v>19473</v>
      </c>
      <c r="Y3" s="42">
        <f>VLOOKUP(A3,kurspris!$A$1:$Q$798,16,FALSE)</f>
        <v>34806</v>
      </c>
      <c r="Z3" s="42">
        <f t="shared" si="2"/>
        <v>0</v>
      </c>
      <c r="AA3" s="42">
        <f>VLOOKUP(A3,kurspris!$A$1:$Q$798,17,FALSE)</f>
        <v>21800</v>
      </c>
      <c r="AB3" s="42">
        <f t="shared" si="3"/>
        <v>0</v>
      </c>
      <c r="AC3" s="42">
        <f t="shared" si="4"/>
        <v>0</v>
      </c>
      <c r="AD3" s="31">
        <f>VLOOKUP($A3,kurspris!$A$1:$Q$835,3,FALSE)</f>
        <v>0</v>
      </c>
      <c r="AE3" s="31">
        <f>VLOOKUP($A3,kurspris!$A$1:$Q$835,4,FALSE)</f>
        <v>0</v>
      </c>
      <c r="AF3" s="31">
        <f>VLOOKUP($A3,kurspris!$A$1:$Q$835,5,FALSE)</f>
        <v>0</v>
      </c>
      <c r="AG3" s="31">
        <f>VLOOKUP($A3,kurspris!$A$1:$Q$835,6,FALSE)</f>
        <v>0</v>
      </c>
      <c r="AH3" s="31">
        <f>VLOOKUP($A3,kurspris!$A$1:$Q$835,7,FALSE)</f>
        <v>0</v>
      </c>
      <c r="AI3" s="31">
        <f>VLOOKUP($A3,kurspris!$A$1:$Q$835,8,FALSE)</f>
        <v>1</v>
      </c>
      <c r="AJ3" s="31">
        <f>VLOOKUP($A3,kurspris!$A$1:$Q$835,9,FALSE)</f>
        <v>0</v>
      </c>
      <c r="AK3" s="31">
        <f>VLOOKUP($A3,kurspris!$A$1:$Q$835,10,FALSE)</f>
        <v>0</v>
      </c>
      <c r="AL3" s="31">
        <f>VLOOKUP($A3,kurspris!$A$1:$Q$835,11,FALSE)</f>
        <v>0</v>
      </c>
      <c r="AM3" s="31">
        <f>VLOOKUP($A3,kurspris!$A$1:$Q$835,12,FALSE)</f>
        <v>0</v>
      </c>
      <c r="AN3" s="31">
        <f>VLOOKUP($A3,kurspris!$A$1:$Q$835,13,FALSE)</f>
        <v>0</v>
      </c>
      <c r="AO3" s="31">
        <f>VLOOKUP($A3,kurspris!$A$1:$Q$835,14,FALSE)</f>
        <v>0</v>
      </c>
      <c r="AP3" s="39" t="s">
        <v>2250</v>
      </c>
      <c r="AQ3" t="s">
        <v>2251</v>
      </c>
      <c r="AR3" s="31">
        <f t="shared" si="5"/>
        <v>0</v>
      </c>
      <c r="AS3" s="255">
        <f t="shared" si="6"/>
        <v>0</v>
      </c>
      <c r="AT3" s="31">
        <f t="shared" si="7"/>
        <v>0</v>
      </c>
      <c r="AU3" s="255">
        <f t="shared" si="8"/>
        <v>0</v>
      </c>
      <c r="AV3" s="31">
        <f t="shared" si="9"/>
        <v>0</v>
      </c>
      <c r="AW3" s="31">
        <f t="shared" si="10"/>
        <v>0</v>
      </c>
      <c r="AX3" s="31">
        <f t="shared" si="11"/>
        <v>0</v>
      </c>
      <c r="AY3" s="255">
        <f t="shared" si="12"/>
        <v>0</v>
      </c>
      <c r="AZ3" s="232">
        <f t="shared" si="13"/>
        <v>0</v>
      </c>
      <c r="BA3" s="255">
        <f t="shared" si="14"/>
        <v>0</v>
      </c>
      <c r="BB3" s="31">
        <f t="shared" si="15"/>
        <v>0</v>
      </c>
      <c r="BC3" s="255">
        <f t="shared" si="16"/>
        <v>0</v>
      </c>
      <c r="BD3" s="31">
        <f t="shared" si="17"/>
        <v>0</v>
      </c>
      <c r="BE3" s="255">
        <f t="shared" si="18"/>
        <v>0</v>
      </c>
      <c r="BF3" s="31">
        <f t="shared" si="19"/>
        <v>0</v>
      </c>
      <c r="BG3" s="255">
        <f t="shared" si="20"/>
        <v>0</v>
      </c>
      <c r="BH3" s="31">
        <f t="shared" si="21"/>
        <v>0</v>
      </c>
      <c r="BI3" s="255">
        <f t="shared" si="22"/>
        <v>0</v>
      </c>
      <c r="BJ3" s="31">
        <f t="shared" si="23"/>
        <v>0</v>
      </c>
      <c r="BK3" s="31">
        <f t="shared" si="24"/>
        <v>0</v>
      </c>
      <c r="BL3" s="255">
        <f t="shared" si="25"/>
        <v>0</v>
      </c>
      <c r="BM3" s="31">
        <f t="shared" si="26"/>
        <v>0</v>
      </c>
      <c r="BN3" s="255">
        <f t="shared" si="27"/>
        <v>0</v>
      </c>
    </row>
    <row r="4" spans="1:66" x14ac:dyDescent="0.25">
      <c r="A4" t="s">
        <v>1018</v>
      </c>
      <c r="B4" s="186" t="str">
        <f>VLOOKUP(A4,kurspris!$A$1:$B$877,2,FALSE)</f>
        <v>Fysiologi och cellbiologi</v>
      </c>
      <c r="C4"/>
      <c r="D4" t="s">
        <v>483</v>
      </c>
      <c r="E4" t="s">
        <v>1976</v>
      </c>
      <c r="F4" s="59" t="s">
        <v>1930</v>
      </c>
      <c r="G4" t="s">
        <v>1980</v>
      </c>
      <c r="H4" t="s">
        <v>1910</v>
      </c>
      <c r="I4"/>
      <c r="J4" t="s">
        <v>771</v>
      </c>
      <c r="K4"/>
      <c r="L4">
        <v>100</v>
      </c>
      <c r="M4">
        <v>15</v>
      </c>
      <c r="N4"/>
      <c r="O4"/>
      <c r="P4" s="31">
        <v>1</v>
      </c>
      <c r="Q4" s="232">
        <f t="shared" si="0"/>
        <v>0.25</v>
      </c>
      <c r="R4" s="40">
        <v>0.85</v>
      </c>
      <c r="S4" s="334">
        <f t="shared" si="1"/>
        <v>0.21249999999999999</v>
      </c>
      <c r="T4" s="31">
        <f>VLOOKUP(A4,'Ansvar kurs'!$A$1:$C$1010,2,FALSE)</f>
        <v>5160</v>
      </c>
      <c r="U4" s="31" t="str">
        <f>VLOOKUP(T4,Orgenheter!$A$1:$C$165,2,FALSE)</f>
        <v xml:space="preserve">Inst för Fysiologisk botanik  </v>
      </c>
      <c r="V4" s="31" t="str">
        <f>VLOOKUP(T4,Orgenheter!$A$1:$C$165,3,FALSE)</f>
        <v>TekNat</v>
      </c>
      <c r="W4" s="37" t="str">
        <f>VLOOKUP(D4,Program!$A$1:$B$34,2,FALSE)</f>
        <v>Ämneslärarprogrammet - Gy</v>
      </c>
      <c r="X4" s="42">
        <f>VLOOKUP(A4,kurspris!$A$1:$Q$798,15,FALSE)</f>
        <v>19473</v>
      </c>
      <c r="Y4" s="42">
        <f>VLOOKUP(A4,kurspris!$A$1:$Q$798,16,FALSE)</f>
        <v>34806</v>
      </c>
      <c r="Z4" s="42">
        <f t="shared" si="2"/>
        <v>12264.525</v>
      </c>
      <c r="AA4" s="42">
        <f>VLOOKUP(A4,kurspris!$A$1:$Q$798,17,FALSE)</f>
        <v>21800</v>
      </c>
      <c r="AB4" s="42">
        <f t="shared" si="3"/>
        <v>5450</v>
      </c>
      <c r="AC4" s="42">
        <f t="shared" si="4"/>
        <v>17714.525000000001</v>
      </c>
      <c r="AD4" s="31">
        <f>VLOOKUP($A4,kurspris!$A$1:$Q$835,3,FALSE)</f>
        <v>0</v>
      </c>
      <c r="AE4" s="31">
        <f>VLOOKUP($A4,kurspris!$A$1:$Q$835,4,FALSE)</f>
        <v>0</v>
      </c>
      <c r="AF4" s="31">
        <f>VLOOKUP($A4,kurspris!$A$1:$Q$835,5,FALSE)</f>
        <v>0</v>
      </c>
      <c r="AG4" s="31">
        <f>VLOOKUP($A4,kurspris!$A$1:$Q$835,6,FALSE)</f>
        <v>0</v>
      </c>
      <c r="AH4" s="31">
        <f>VLOOKUP($A4,kurspris!$A$1:$Q$835,7,FALSE)</f>
        <v>0</v>
      </c>
      <c r="AI4" s="31">
        <f>VLOOKUP($A4,kurspris!$A$1:$Q$835,8,FALSE)</f>
        <v>1</v>
      </c>
      <c r="AJ4" s="31">
        <f>VLOOKUP($A4,kurspris!$A$1:$Q$835,9,FALSE)</f>
        <v>0</v>
      </c>
      <c r="AK4" s="31">
        <f>VLOOKUP($A4,kurspris!$A$1:$Q$835,10,FALSE)</f>
        <v>0</v>
      </c>
      <c r="AL4" s="31">
        <f>VLOOKUP($A4,kurspris!$A$1:$Q$835,11,FALSE)</f>
        <v>0</v>
      </c>
      <c r="AM4" s="31">
        <f>VLOOKUP($A4,kurspris!$A$1:$Q$835,12,FALSE)</f>
        <v>0</v>
      </c>
      <c r="AN4" s="31">
        <f>VLOOKUP($A4,kurspris!$A$1:$Q$835,13,FALSE)</f>
        <v>0</v>
      </c>
      <c r="AO4" s="31">
        <f>VLOOKUP($A4,kurspris!$A$1:$Q$835,14,FALSE)</f>
        <v>0</v>
      </c>
      <c r="AP4" s="39" t="s">
        <v>2232</v>
      </c>
      <c r="AQ4"/>
      <c r="AR4" s="31">
        <f t="shared" si="5"/>
        <v>0</v>
      </c>
      <c r="AS4" s="255">
        <f t="shared" si="6"/>
        <v>0</v>
      </c>
      <c r="AT4" s="31">
        <f t="shared" si="7"/>
        <v>0</v>
      </c>
      <c r="AU4" s="255">
        <f t="shared" si="8"/>
        <v>0</v>
      </c>
      <c r="AV4" s="31">
        <f t="shared" si="9"/>
        <v>0</v>
      </c>
      <c r="AW4" s="31">
        <f t="shared" si="10"/>
        <v>0</v>
      </c>
      <c r="AX4" s="31">
        <f t="shared" si="11"/>
        <v>0</v>
      </c>
      <c r="AY4" s="255">
        <f t="shared" si="12"/>
        <v>0</v>
      </c>
      <c r="AZ4" s="232">
        <f t="shared" si="13"/>
        <v>0</v>
      </c>
      <c r="BA4" s="255">
        <f t="shared" si="14"/>
        <v>0</v>
      </c>
      <c r="BB4" s="31">
        <f t="shared" si="15"/>
        <v>0.25</v>
      </c>
      <c r="BC4" s="255">
        <f t="shared" si="16"/>
        <v>0.21249999999999999</v>
      </c>
      <c r="BD4" s="31">
        <f t="shared" si="17"/>
        <v>0</v>
      </c>
      <c r="BE4" s="255">
        <f t="shared" si="18"/>
        <v>0</v>
      </c>
      <c r="BF4" s="31">
        <f t="shared" si="19"/>
        <v>0</v>
      </c>
      <c r="BG4" s="255">
        <f t="shared" si="20"/>
        <v>0</v>
      </c>
      <c r="BH4" s="31">
        <f t="shared" si="21"/>
        <v>0</v>
      </c>
      <c r="BI4" s="255">
        <f t="shared" si="22"/>
        <v>0</v>
      </c>
      <c r="BJ4" s="31">
        <f t="shared" si="23"/>
        <v>0</v>
      </c>
      <c r="BK4" s="31">
        <f t="shared" si="24"/>
        <v>0</v>
      </c>
      <c r="BL4" s="255">
        <f t="shared" si="25"/>
        <v>0</v>
      </c>
      <c r="BM4" s="31">
        <f t="shared" si="26"/>
        <v>0</v>
      </c>
      <c r="BN4" s="255">
        <f t="shared" si="27"/>
        <v>0</v>
      </c>
    </row>
    <row r="5" spans="1:66" x14ac:dyDescent="0.25">
      <c r="A5" t="s">
        <v>1018</v>
      </c>
      <c r="B5" s="186" t="str">
        <f>VLOOKUP(A5,kurspris!$A$1:$B$877,2,FALSE)</f>
        <v>Fysiologi och cellbiologi</v>
      </c>
      <c r="C5"/>
      <c r="D5" t="s">
        <v>483</v>
      </c>
      <c r="E5" t="s">
        <v>1976</v>
      </c>
      <c r="F5" s="59" t="s">
        <v>1930</v>
      </c>
      <c r="G5" t="s">
        <v>1980</v>
      </c>
      <c r="H5" t="s">
        <v>1910</v>
      </c>
      <c r="I5"/>
      <c r="J5" t="s">
        <v>774</v>
      </c>
      <c r="K5"/>
      <c r="L5">
        <v>100</v>
      </c>
      <c r="M5">
        <v>15</v>
      </c>
      <c r="N5"/>
      <c r="O5"/>
      <c r="P5" s="31">
        <v>2</v>
      </c>
      <c r="Q5" s="232">
        <f t="shared" si="0"/>
        <v>0.5</v>
      </c>
      <c r="R5" s="40">
        <v>0.85</v>
      </c>
      <c r="S5" s="334">
        <f t="shared" si="1"/>
        <v>0.42499999999999999</v>
      </c>
      <c r="T5" s="31">
        <f>VLOOKUP(A5,'Ansvar kurs'!$A$1:$C$1010,2,FALSE)</f>
        <v>5160</v>
      </c>
      <c r="U5" s="31" t="str">
        <f>VLOOKUP(T5,Orgenheter!$A$1:$C$165,2,FALSE)</f>
        <v xml:space="preserve">Inst för Fysiologisk botanik  </v>
      </c>
      <c r="V5" s="31" t="str">
        <f>VLOOKUP(T5,Orgenheter!$A$1:$C$165,3,FALSE)</f>
        <v>TekNat</v>
      </c>
      <c r="W5" s="37" t="str">
        <f>VLOOKUP(D5,Program!$A$1:$B$34,2,FALSE)</f>
        <v>Ämneslärarprogrammet - Gy</v>
      </c>
      <c r="X5" s="42">
        <f>VLOOKUP(A5,kurspris!$A$1:$Q$798,15,FALSE)</f>
        <v>19473</v>
      </c>
      <c r="Y5" s="42">
        <f>VLOOKUP(A5,kurspris!$A$1:$Q$798,16,FALSE)</f>
        <v>34806</v>
      </c>
      <c r="Z5" s="42">
        <f t="shared" si="2"/>
        <v>24529.05</v>
      </c>
      <c r="AA5" s="42">
        <f>VLOOKUP(A5,kurspris!$A$1:$Q$798,17,FALSE)</f>
        <v>21800</v>
      </c>
      <c r="AB5" s="42">
        <f t="shared" si="3"/>
        <v>10900</v>
      </c>
      <c r="AC5" s="42">
        <f t="shared" si="4"/>
        <v>35429.050000000003</v>
      </c>
      <c r="AD5" s="31">
        <f>VLOOKUP($A5,kurspris!$A$1:$Q$835,3,FALSE)</f>
        <v>0</v>
      </c>
      <c r="AE5" s="31">
        <f>VLOOKUP($A5,kurspris!$A$1:$Q$835,4,FALSE)</f>
        <v>0</v>
      </c>
      <c r="AF5" s="31">
        <f>VLOOKUP($A5,kurspris!$A$1:$Q$835,5,FALSE)</f>
        <v>0</v>
      </c>
      <c r="AG5" s="31">
        <f>VLOOKUP($A5,kurspris!$A$1:$Q$835,6,FALSE)</f>
        <v>0</v>
      </c>
      <c r="AH5" s="31">
        <f>VLOOKUP($A5,kurspris!$A$1:$Q$835,7,FALSE)</f>
        <v>0</v>
      </c>
      <c r="AI5" s="31">
        <f>VLOOKUP($A5,kurspris!$A$1:$Q$835,8,FALSE)</f>
        <v>1</v>
      </c>
      <c r="AJ5" s="31">
        <f>VLOOKUP($A5,kurspris!$A$1:$Q$835,9,FALSE)</f>
        <v>0</v>
      </c>
      <c r="AK5" s="31">
        <f>VLOOKUP($A5,kurspris!$A$1:$Q$835,10,FALSE)</f>
        <v>0</v>
      </c>
      <c r="AL5" s="31">
        <f>VLOOKUP($A5,kurspris!$A$1:$Q$835,11,FALSE)</f>
        <v>0</v>
      </c>
      <c r="AM5" s="31">
        <f>VLOOKUP($A5,kurspris!$A$1:$Q$835,12,FALSE)</f>
        <v>0</v>
      </c>
      <c r="AN5" s="31">
        <f>VLOOKUP($A5,kurspris!$A$1:$Q$835,13,FALSE)</f>
        <v>0</v>
      </c>
      <c r="AO5" s="31">
        <f>VLOOKUP($A5,kurspris!$A$1:$Q$835,14,FALSE)</f>
        <v>0</v>
      </c>
      <c r="AP5" s="39" t="s">
        <v>2232</v>
      </c>
      <c r="AQ5"/>
      <c r="AR5" s="31">
        <f t="shared" si="5"/>
        <v>0</v>
      </c>
      <c r="AS5" s="255">
        <f t="shared" si="6"/>
        <v>0</v>
      </c>
      <c r="AT5" s="31">
        <f t="shared" si="7"/>
        <v>0</v>
      </c>
      <c r="AU5" s="255">
        <f t="shared" si="8"/>
        <v>0</v>
      </c>
      <c r="AV5" s="31">
        <f t="shared" si="9"/>
        <v>0</v>
      </c>
      <c r="AW5" s="31">
        <f t="shared" si="10"/>
        <v>0</v>
      </c>
      <c r="AX5" s="31">
        <f t="shared" si="11"/>
        <v>0</v>
      </c>
      <c r="AY5" s="255">
        <f t="shared" si="12"/>
        <v>0</v>
      </c>
      <c r="AZ5" s="232">
        <f t="shared" si="13"/>
        <v>0</v>
      </c>
      <c r="BA5" s="255">
        <f t="shared" si="14"/>
        <v>0</v>
      </c>
      <c r="BB5" s="31">
        <f t="shared" si="15"/>
        <v>0.5</v>
      </c>
      <c r="BC5" s="255">
        <f t="shared" si="16"/>
        <v>0.42499999999999999</v>
      </c>
      <c r="BD5" s="31">
        <f t="shared" si="17"/>
        <v>0</v>
      </c>
      <c r="BE5" s="255">
        <f t="shared" si="18"/>
        <v>0</v>
      </c>
      <c r="BF5" s="31">
        <f t="shared" si="19"/>
        <v>0</v>
      </c>
      <c r="BG5" s="255">
        <f t="shared" si="20"/>
        <v>0</v>
      </c>
      <c r="BH5" s="31">
        <f t="shared" si="21"/>
        <v>0</v>
      </c>
      <c r="BI5" s="255">
        <f t="shared" si="22"/>
        <v>0</v>
      </c>
      <c r="BJ5" s="31">
        <f t="shared" si="23"/>
        <v>0</v>
      </c>
      <c r="BK5" s="31">
        <f t="shared" si="24"/>
        <v>0</v>
      </c>
      <c r="BL5" s="255">
        <f t="shared" si="25"/>
        <v>0</v>
      </c>
      <c r="BM5" s="31">
        <f t="shared" si="26"/>
        <v>0</v>
      </c>
      <c r="BN5" s="255">
        <f t="shared" si="27"/>
        <v>0</v>
      </c>
    </row>
    <row r="6" spans="1:66" x14ac:dyDescent="0.25">
      <c r="A6" t="s">
        <v>1018</v>
      </c>
      <c r="B6" s="186" t="str">
        <f>VLOOKUP(A6,kurspris!$A$1:$B$877,2,FALSE)</f>
        <v>Fysiologi och cellbiologi</v>
      </c>
      <c r="C6"/>
      <c r="D6" t="s">
        <v>483</v>
      </c>
      <c r="E6" t="s">
        <v>1976</v>
      </c>
      <c r="F6" s="59" t="s">
        <v>1930</v>
      </c>
      <c r="G6" t="s">
        <v>1980</v>
      </c>
      <c r="H6" t="s">
        <v>1910</v>
      </c>
      <c r="I6"/>
      <c r="J6" t="s">
        <v>775</v>
      </c>
      <c r="K6"/>
      <c r="L6">
        <v>100</v>
      </c>
      <c r="M6">
        <v>15</v>
      </c>
      <c r="N6"/>
      <c r="O6"/>
      <c r="P6" s="31">
        <v>1</v>
      </c>
      <c r="Q6" s="232">
        <f t="shared" si="0"/>
        <v>0.25</v>
      </c>
      <c r="R6" s="40">
        <v>0.85</v>
      </c>
      <c r="S6" s="334">
        <f t="shared" si="1"/>
        <v>0.21249999999999999</v>
      </c>
      <c r="T6" s="31">
        <f>VLOOKUP(A6,'Ansvar kurs'!$A$1:$C$1010,2,FALSE)</f>
        <v>5160</v>
      </c>
      <c r="U6" s="31" t="str">
        <f>VLOOKUP(T6,Orgenheter!$A$1:$C$165,2,FALSE)</f>
        <v xml:space="preserve">Inst för Fysiologisk botanik  </v>
      </c>
      <c r="V6" s="31" t="str">
        <f>VLOOKUP(T6,Orgenheter!$A$1:$C$165,3,FALSE)</f>
        <v>TekNat</v>
      </c>
      <c r="W6" s="37" t="str">
        <f>VLOOKUP(D6,Program!$A$1:$B$34,2,FALSE)</f>
        <v>Ämneslärarprogrammet - Gy</v>
      </c>
      <c r="X6" s="42">
        <f>VLOOKUP(A6,kurspris!$A$1:$Q$798,15,FALSE)</f>
        <v>19473</v>
      </c>
      <c r="Y6" s="42">
        <f>VLOOKUP(A6,kurspris!$A$1:$Q$798,16,FALSE)</f>
        <v>34806</v>
      </c>
      <c r="Z6" s="42">
        <f t="shared" si="2"/>
        <v>12264.525</v>
      </c>
      <c r="AA6" s="42">
        <f>VLOOKUP(A6,kurspris!$A$1:$Q$798,17,FALSE)</f>
        <v>21800</v>
      </c>
      <c r="AB6" s="42">
        <f t="shared" si="3"/>
        <v>5450</v>
      </c>
      <c r="AC6" s="42">
        <f t="shared" si="4"/>
        <v>17714.525000000001</v>
      </c>
      <c r="AD6" s="31">
        <f>VLOOKUP($A6,kurspris!$A$1:$Q$835,3,FALSE)</f>
        <v>0</v>
      </c>
      <c r="AE6" s="31">
        <f>VLOOKUP($A6,kurspris!$A$1:$Q$835,4,FALSE)</f>
        <v>0</v>
      </c>
      <c r="AF6" s="31">
        <f>VLOOKUP($A6,kurspris!$A$1:$Q$835,5,FALSE)</f>
        <v>0</v>
      </c>
      <c r="AG6" s="31">
        <f>VLOOKUP($A6,kurspris!$A$1:$Q$835,6,FALSE)</f>
        <v>0</v>
      </c>
      <c r="AH6" s="31">
        <f>VLOOKUP($A6,kurspris!$A$1:$Q$835,7,FALSE)</f>
        <v>0</v>
      </c>
      <c r="AI6" s="31">
        <f>VLOOKUP($A6,kurspris!$A$1:$Q$835,8,FALSE)</f>
        <v>1</v>
      </c>
      <c r="AJ6" s="31">
        <f>VLOOKUP($A6,kurspris!$A$1:$Q$835,9,FALSE)</f>
        <v>0</v>
      </c>
      <c r="AK6" s="31">
        <f>VLOOKUP($A6,kurspris!$A$1:$Q$835,10,FALSE)</f>
        <v>0</v>
      </c>
      <c r="AL6" s="31">
        <f>VLOOKUP($A6,kurspris!$A$1:$Q$835,11,FALSE)</f>
        <v>0</v>
      </c>
      <c r="AM6" s="31">
        <f>VLOOKUP($A6,kurspris!$A$1:$Q$835,12,FALSE)</f>
        <v>0</v>
      </c>
      <c r="AN6" s="31">
        <f>VLOOKUP($A6,kurspris!$A$1:$Q$835,13,FALSE)</f>
        <v>0</v>
      </c>
      <c r="AO6" s="31">
        <f>VLOOKUP($A6,kurspris!$A$1:$Q$835,14,FALSE)</f>
        <v>0</v>
      </c>
      <c r="AP6" s="39" t="s">
        <v>2232</v>
      </c>
      <c r="AQ6"/>
      <c r="AR6" s="31">
        <f t="shared" si="5"/>
        <v>0</v>
      </c>
      <c r="AS6" s="255">
        <f t="shared" si="6"/>
        <v>0</v>
      </c>
      <c r="AT6" s="31">
        <f t="shared" si="7"/>
        <v>0</v>
      </c>
      <c r="AU6" s="255">
        <f t="shared" si="8"/>
        <v>0</v>
      </c>
      <c r="AV6" s="31">
        <f t="shared" si="9"/>
        <v>0</v>
      </c>
      <c r="AW6" s="31">
        <f t="shared" si="10"/>
        <v>0</v>
      </c>
      <c r="AX6" s="31">
        <f t="shared" si="11"/>
        <v>0</v>
      </c>
      <c r="AY6" s="255">
        <f t="shared" si="12"/>
        <v>0</v>
      </c>
      <c r="AZ6" s="232">
        <f t="shared" si="13"/>
        <v>0</v>
      </c>
      <c r="BA6" s="255">
        <f t="shared" si="14"/>
        <v>0</v>
      </c>
      <c r="BB6" s="31">
        <f t="shared" si="15"/>
        <v>0.25</v>
      </c>
      <c r="BC6" s="255">
        <f t="shared" si="16"/>
        <v>0.21249999999999999</v>
      </c>
      <c r="BD6" s="31">
        <f t="shared" si="17"/>
        <v>0</v>
      </c>
      <c r="BE6" s="255">
        <f t="shared" si="18"/>
        <v>0</v>
      </c>
      <c r="BF6" s="31">
        <f t="shared" si="19"/>
        <v>0</v>
      </c>
      <c r="BG6" s="255">
        <f t="shared" si="20"/>
        <v>0</v>
      </c>
      <c r="BH6" s="31">
        <f t="shared" si="21"/>
        <v>0</v>
      </c>
      <c r="BI6" s="255">
        <f t="shared" si="22"/>
        <v>0</v>
      </c>
      <c r="BJ6" s="31">
        <f t="shared" si="23"/>
        <v>0</v>
      </c>
      <c r="BK6" s="31">
        <f t="shared" si="24"/>
        <v>0</v>
      </c>
      <c r="BL6" s="255">
        <f t="shared" si="25"/>
        <v>0</v>
      </c>
      <c r="BM6" s="31">
        <f t="shared" si="26"/>
        <v>0</v>
      </c>
      <c r="BN6" s="255">
        <f t="shared" si="27"/>
        <v>0</v>
      </c>
    </row>
    <row r="7" spans="1:66" x14ac:dyDescent="0.25">
      <c r="A7" t="s">
        <v>1018</v>
      </c>
      <c r="B7" s="186" t="str">
        <f>VLOOKUP(A7,kurspris!$A$1:$B$877,2,FALSE)</f>
        <v>Fysiologi och cellbiologi</v>
      </c>
      <c r="C7"/>
      <c r="D7" t="s">
        <v>483</v>
      </c>
      <c r="E7" t="s">
        <v>1976</v>
      </c>
      <c r="F7" s="59" t="s">
        <v>1930</v>
      </c>
      <c r="G7" t="s">
        <v>1980</v>
      </c>
      <c r="H7" t="s">
        <v>1910</v>
      </c>
      <c r="I7"/>
      <c r="J7" t="s">
        <v>778</v>
      </c>
      <c r="K7"/>
      <c r="L7">
        <v>100</v>
      </c>
      <c r="M7">
        <v>15</v>
      </c>
      <c r="N7"/>
      <c r="O7"/>
      <c r="P7" s="31">
        <v>1</v>
      </c>
      <c r="Q7" s="232">
        <f t="shared" si="0"/>
        <v>0.25</v>
      </c>
      <c r="R7" s="40">
        <v>0.85</v>
      </c>
      <c r="S7" s="334">
        <f t="shared" si="1"/>
        <v>0.21249999999999999</v>
      </c>
      <c r="T7" s="31">
        <f>VLOOKUP(A7,'Ansvar kurs'!$A$1:$C$1010,2,FALSE)</f>
        <v>5160</v>
      </c>
      <c r="U7" s="31" t="str">
        <f>VLOOKUP(T7,Orgenheter!$A$1:$C$165,2,FALSE)</f>
        <v xml:space="preserve">Inst för Fysiologisk botanik  </v>
      </c>
      <c r="V7" s="31" t="str">
        <f>VLOOKUP(T7,Orgenheter!$A$1:$C$165,3,FALSE)</f>
        <v>TekNat</v>
      </c>
      <c r="W7" s="37" t="str">
        <f>VLOOKUP(D7,Program!$A$1:$B$34,2,FALSE)</f>
        <v>Ämneslärarprogrammet - Gy</v>
      </c>
      <c r="X7" s="42">
        <f>VLOOKUP(A7,kurspris!$A$1:$Q$798,15,FALSE)</f>
        <v>19473</v>
      </c>
      <c r="Y7" s="42">
        <f>VLOOKUP(A7,kurspris!$A$1:$Q$798,16,FALSE)</f>
        <v>34806</v>
      </c>
      <c r="Z7" s="42">
        <f t="shared" si="2"/>
        <v>12264.525</v>
      </c>
      <c r="AA7" s="42">
        <f>VLOOKUP(A7,kurspris!$A$1:$Q$798,17,FALSE)</f>
        <v>21800</v>
      </c>
      <c r="AB7" s="42">
        <f t="shared" si="3"/>
        <v>5450</v>
      </c>
      <c r="AC7" s="42">
        <f t="shared" si="4"/>
        <v>17714.525000000001</v>
      </c>
      <c r="AD7" s="31">
        <f>VLOOKUP($A7,kurspris!$A$1:$Q$835,3,FALSE)</f>
        <v>0</v>
      </c>
      <c r="AE7" s="31">
        <f>VLOOKUP($A7,kurspris!$A$1:$Q$835,4,FALSE)</f>
        <v>0</v>
      </c>
      <c r="AF7" s="31">
        <f>VLOOKUP($A7,kurspris!$A$1:$Q$835,5,FALSE)</f>
        <v>0</v>
      </c>
      <c r="AG7" s="31">
        <f>VLOOKUP($A7,kurspris!$A$1:$Q$835,6,FALSE)</f>
        <v>0</v>
      </c>
      <c r="AH7" s="31">
        <f>VLOOKUP($A7,kurspris!$A$1:$Q$835,7,FALSE)</f>
        <v>0</v>
      </c>
      <c r="AI7" s="31">
        <f>VLOOKUP($A7,kurspris!$A$1:$Q$835,8,FALSE)</f>
        <v>1</v>
      </c>
      <c r="AJ7" s="31">
        <f>VLOOKUP($A7,kurspris!$A$1:$Q$835,9,FALSE)</f>
        <v>0</v>
      </c>
      <c r="AK7" s="31">
        <f>VLOOKUP($A7,kurspris!$A$1:$Q$835,10,FALSE)</f>
        <v>0</v>
      </c>
      <c r="AL7" s="31">
        <f>VLOOKUP($A7,kurspris!$A$1:$Q$835,11,FALSE)</f>
        <v>0</v>
      </c>
      <c r="AM7" s="31">
        <f>VLOOKUP($A7,kurspris!$A$1:$Q$835,12,FALSE)</f>
        <v>0</v>
      </c>
      <c r="AN7" s="31">
        <f>VLOOKUP($A7,kurspris!$A$1:$Q$835,13,FALSE)</f>
        <v>0</v>
      </c>
      <c r="AO7" s="31">
        <f>VLOOKUP($A7,kurspris!$A$1:$Q$835,14,FALSE)</f>
        <v>0</v>
      </c>
      <c r="AP7" s="39" t="s">
        <v>2232</v>
      </c>
      <c r="AQ7"/>
      <c r="AR7" s="31">
        <f t="shared" si="5"/>
        <v>0</v>
      </c>
      <c r="AS7" s="255">
        <f t="shared" si="6"/>
        <v>0</v>
      </c>
      <c r="AT7" s="31">
        <f t="shared" si="7"/>
        <v>0</v>
      </c>
      <c r="AU7" s="255">
        <f t="shared" si="8"/>
        <v>0</v>
      </c>
      <c r="AV7" s="31">
        <f t="shared" si="9"/>
        <v>0</v>
      </c>
      <c r="AW7" s="31">
        <f t="shared" si="10"/>
        <v>0</v>
      </c>
      <c r="AX7" s="31">
        <f t="shared" si="11"/>
        <v>0</v>
      </c>
      <c r="AY7" s="255">
        <f t="shared" si="12"/>
        <v>0</v>
      </c>
      <c r="AZ7" s="232">
        <f t="shared" si="13"/>
        <v>0</v>
      </c>
      <c r="BA7" s="255">
        <f t="shared" si="14"/>
        <v>0</v>
      </c>
      <c r="BB7" s="31">
        <f t="shared" si="15"/>
        <v>0.25</v>
      </c>
      <c r="BC7" s="255">
        <f t="shared" si="16"/>
        <v>0.21249999999999999</v>
      </c>
      <c r="BD7" s="31">
        <f t="shared" si="17"/>
        <v>0</v>
      </c>
      <c r="BE7" s="255">
        <f t="shared" si="18"/>
        <v>0</v>
      </c>
      <c r="BF7" s="31">
        <f t="shared" si="19"/>
        <v>0</v>
      </c>
      <c r="BG7" s="255">
        <f t="shared" si="20"/>
        <v>0</v>
      </c>
      <c r="BH7" s="31">
        <f t="shared" si="21"/>
        <v>0</v>
      </c>
      <c r="BI7" s="255">
        <f t="shared" si="22"/>
        <v>0</v>
      </c>
      <c r="BJ7" s="31">
        <f t="shared" si="23"/>
        <v>0</v>
      </c>
      <c r="BK7" s="31">
        <f t="shared" si="24"/>
        <v>0</v>
      </c>
      <c r="BL7" s="255">
        <f t="shared" si="25"/>
        <v>0</v>
      </c>
      <c r="BM7" s="31">
        <f t="shared" si="26"/>
        <v>0</v>
      </c>
      <c r="BN7" s="255">
        <f t="shared" si="27"/>
        <v>0</v>
      </c>
    </row>
    <row r="8" spans="1:66" x14ac:dyDescent="0.25">
      <c r="A8" t="s">
        <v>1018</v>
      </c>
      <c r="B8" s="186" t="str">
        <f>VLOOKUP(A8,kurspris!$A$1:$B$877,2,FALSE)</f>
        <v>Fysiologi och cellbiologi</v>
      </c>
      <c r="C8"/>
      <c r="D8" t="s">
        <v>483</v>
      </c>
      <c r="E8" t="s">
        <v>1973</v>
      </c>
      <c r="F8" s="59" t="s">
        <v>1930</v>
      </c>
      <c r="G8" t="s">
        <v>1980</v>
      </c>
      <c r="H8" t="s">
        <v>1910</v>
      </c>
      <c r="I8"/>
      <c r="J8" t="s">
        <v>1952</v>
      </c>
      <c r="K8"/>
      <c r="L8">
        <v>100</v>
      </c>
      <c r="M8">
        <v>15</v>
      </c>
      <c r="N8"/>
      <c r="O8"/>
      <c r="P8" s="31">
        <v>1</v>
      </c>
      <c r="Q8" s="232">
        <f t="shared" si="0"/>
        <v>0.25</v>
      </c>
      <c r="R8" s="40">
        <v>0.85</v>
      </c>
      <c r="S8" s="334">
        <f t="shared" si="1"/>
        <v>0.21249999999999999</v>
      </c>
      <c r="T8" s="31">
        <f>VLOOKUP(A8,'Ansvar kurs'!$A$1:$C$1010,2,FALSE)</f>
        <v>5160</v>
      </c>
      <c r="U8" s="31" t="str">
        <f>VLOOKUP(T8,Orgenheter!$A$1:$C$165,2,FALSE)</f>
        <v xml:space="preserve">Inst för Fysiologisk botanik  </v>
      </c>
      <c r="V8" s="31" t="str">
        <f>VLOOKUP(T8,Orgenheter!$A$1:$C$165,3,FALSE)</f>
        <v>TekNat</v>
      </c>
      <c r="W8" s="37" t="str">
        <f>VLOOKUP(D8,Program!$A$1:$B$34,2,FALSE)</f>
        <v>Ämneslärarprogrammet - Gy</v>
      </c>
      <c r="X8" s="42">
        <f>VLOOKUP(A8,kurspris!$A$1:$Q$798,15,FALSE)</f>
        <v>19473</v>
      </c>
      <c r="Y8" s="42">
        <f>VLOOKUP(A8,kurspris!$A$1:$Q$798,16,FALSE)</f>
        <v>34806</v>
      </c>
      <c r="Z8" s="42">
        <f t="shared" si="2"/>
        <v>12264.525</v>
      </c>
      <c r="AA8" s="42">
        <f>VLOOKUP(A8,kurspris!$A$1:$Q$798,17,FALSE)</f>
        <v>21800</v>
      </c>
      <c r="AB8" s="42">
        <f t="shared" si="3"/>
        <v>5450</v>
      </c>
      <c r="AC8" s="42">
        <f t="shared" si="4"/>
        <v>17714.525000000001</v>
      </c>
      <c r="AD8" s="31">
        <f>VLOOKUP($A8,kurspris!$A$1:$Q$835,3,FALSE)</f>
        <v>0</v>
      </c>
      <c r="AE8" s="31">
        <f>VLOOKUP($A8,kurspris!$A$1:$Q$835,4,FALSE)</f>
        <v>0</v>
      </c>
      <c r="AF8" s="31">
        <f>VLOOKUP($A8,kurspris!$A$1:$Q$835,5,FALSE)</f>
        <v>0</v>
      </c>
      <c r="AG8" s="31">
        <f>VLOOKUP($A8,kurspris!$A$1:$Q$835,6,FALSE)</f>
        <v>0</v>
      </c>
      <c r="AH8" s="31">
        <f>VLOOKUP($A8,kurspris!$A$1:$Q$835,7,FALSE)</f>
        <v>0</v>
      </c>
      <c r="AI8" s="31">
        <f>VLOOKUP($A8,kurspris!$A$1:$Q$835,8,FALSE)</f>
        <v>1</v>
      </c>
      <c r="AJ8" s="31">
        <f>VLOOKUP($A8,kurspris!$A$1:$Q$835,9,FALSE)</f>
        <v>0</v>
      </c>
      <c r="AK8" s="31">
        <f>VLOOKUP($A8,kurspris!$A$1:$Q$835,10,FALSE)</f>
        <v>0</v>
      </c>
      <c r="AL8" s="31">
        <f>VLOOKUP($A8,kurspris!$A$1:$Q$835,11,FALSE)</f>
        <v>0</v>
      </c>
      <c r="AM8" s="31">
        <f>VLOOKUP($A8,kurspris!$A$1:$Q$835,12,FALSE)</f>
        <v>0</v>
      </c>
      <c r="AN8" s="31">
        <f>VLOOKUP($A8,kurspris!$A$1:$Q$835,13,FALSE)</f>
        <v>0</v>
      </c>
      <c r="AO8" s="31">
        <f>VLOOKUP($A8,kurspris!$A$1:$Q$835,14,FALSE)</f>
        <v>0</v>
      </c>
      <c r="AP8" s="39" t="s">
        <v>2232</v>
      </c>
      <c r="AQ8"/>
      <c r="AR8" s="31">
        <f t="shared" si="5"/>
        <v>0</v>
      </c>
      <c r="AS8" s="255">
        <f t="shared" si="6"/>
        <v>0</v>
      </c>
      <c r="AT8" s="31">
        <f t="shared" si="7"/>
        <v>0</v>
      </c>
      <c r="AU8" s="255">
        <f t="shared" si="8"/>
        <v>0</v>
      </c>
      <c r="AV8" s="31">
        <f t="shared" si="9"/>
        <v>0</v>
      </c>
      <c r="AW8" s="31">
        <f t="shared" si="10"/>
        <v>0</v>
      </c>
      <c r="AX8" s="31">
        <f t="shared" si="11"/>
        <v>0</v>
      </c>
      <c r="AY8" s="255">
        <f t="shared" si="12"/>
        <v>0</v>
      </c>
      <c r="AZ8" s="232">
        <f t="shared" si="13"/>
        <v>0</v>
      </c>
      <c r="BA8" s="255">
        <f t="shared" si="14"/>
        <v>0</v>
      </c>
      <c r="BB8" s="31">
        <f t="shared" si="15"/>
        <v>0.25</v>
      </c>
      <c r="BC8" s="255">
        <f t="shared" si="16"/>
        <v>0.21249999999999999</v>
      </c>
      <c r="BD8" s="31">
        <f t="shared" si="17"/>
        <v>0</v>
      </c>
      <c r="BE8" s="255">
        <f t="shared" si="18"/>
        <v>0</v>
      </c>
      <c r="BF8" s="31">
        <f t="shared" si="19"/>
        <v>0</v>
      </c>
      <c r="BG8" s="255">
        <f t="shared" si="20"/>
        <v>0</v>
      </c>
      <c r="BH8" s="31">
        <f t="shared" si="21"/>
        <v>0</v>
      </c>
      <c r="BI8" s="255">
        <f t="shared" si="22"/>
        <v>0</v>
      </c>
      <c r="BJ8" s="31">
        <f t="shared" si="23"/>
        <v>0</v>
      </c>
      <c r="BK8" s="31">
        <f t="shared" si="24"/>
        <v>0</v>
      </c>
      <c r="BL8" s="255">
        <f t="shared" si="25"/>
        <v>0</v>
      </c>
      <c r="BM8" s="31">
        <f t="shared" si="26"/>
        <v>0</v>
      </c>
      <c r="BN8" s="255">
        <f t="shared" si="27"/>
        <v>0</v>
      </c>
    </row>
    <row r="9" spans="1:66" x14ac:dyDescent="0.25">
      <c r="A9" t="s">
        <v>1018</v>
      </c>
      <c r="B9" s="186" t="str">
        <f>VLOOKUP(A9,kurspris!$A$1:$B$877,2,FALSE)</f>
        <v>Fysiologi och cellbiologi</v>
      </c>
      <c r="C9"/>
      <c r="D9" t="s">
        <v>483</v>
      </c>
      <c r="E9" t="s">
        <v>1973</v>
      </c>
      <c r="F9" s="59" t="s">
        <v>1930</v>
      </c>
      <c r="G9" t="s">
        <v>1980</v>
      </c>
      <c r="H9" t="s">
        <v>1910</v>
      </c>
      <c r="I9"/>
      <c r="J9" t="s">
        <v>774</v>
      </c>
      <c r="K9"/>
      <c r="L9">
        <v>100</v>
      </c>
      <c r="M9">
        <v>15</v>
      </c>
      <c r="N9"/>
      <c r="O9"/>
      <c r="P9" s="31">
        <v>1</v>
      </c>
      <c r="Q9" s="232">
        <f t="shared" si="0"/>
        <v>0.25</v>
      </c>
      <c r="R9" s="40">
        <v>0.85</v>
      </c>
      <c r="S9" s="334">
        <f t="shared" si="1"/>
        <v>0.21249999999999999</v>
      </c>
      <c r="T9" s="31">
        <f>VLOOKUP(A9,'Ansvar kurs'!$A$1:$C$1010,2,FALSE)</f>
        <v>5160</v>
      </c>
      <c r="U9" s="31" t="str">
        <f>VLOOKUP(T9,Orgenheter!$A$1:$C$165,2,FALSE)</f>
        <v xml:space="preserve">Inst för Fysiologisk botanik  </v>
      </c>
      <c r="V9" s="31" t="str">
        <f>VLOOKUP(T9,Orgenheter!$A$1:$C$165,3,FALSE)</f>
        <v>TekNat</v>
      </c>
      <c r="W9" s="37" t="str">
        <f>VLOOKUP(D9,Program!$A$1:$B$34,2,FALSE)</f>
        <v>Ämneslärarprogrammet - Gy</v>
      </c>
      <c r="X9" s="42">
        <f>VLOOKUP(A9,kurspris!$A$1:$Q$798,15,FALSE)</f>
        <v>19473</v>
      </c>
      <c r="Y9" s="42">
        <f>VLOOKUP(A9,kurspris!$A$1:$Q$798,16,FALSE)</f>
        <v>34806</v>
      </c>
      <c r="Z9" s="42">
        <f t="shared" si="2"/>
        <v>12264.525</v>
      </c>
      <c r="AA9" s="42">
        <f>VLOOKUP(A9,kurspris!$A$1:$Q$798,17,FALSE)</f>
        <v>21800</v>
      </c>
      <c r="AB9" s="42">
        <f t="shared" si="3"/>
        <v>5450</v>
      </c>
      <c r="AC9" s="42">
        <f t="shared" si="4"/>
        <v>17714.525000000001</v>
      </c>
      <c r="AD9" s="31">
        <f>VLOOKUP($A9,kurspris!$A$1:$Q$835,3,FALSE)</f>
        <v>0</v>
      </c>
      <c r="AE9" s="31">
        <f>VLOOKUP($A9,kurspris!$A$1:$Q$835,4,FALSE)</f>
        <v>0</v>
      </c>
      <c r="AF9" s="31">
        <f>VLOOKUP($A9,kurspris!$A$1:$Q$835,5,FALSE)</f>
        <v>0</v>
      </c>
      <c r="AG9" s="31">
        <f>VLOOKUP($A9,kurspris!$A$1:$Q$835,6,FALSE)</f>
        <v>0</v>
      </c>
      <c r="AH9" s="31">
        <f>VLOOKUP($A9,kurspris!$A$1:$Q$835,7,FALSE)</f>
        <v>0</v>
      </c>
      <c r="AI9" s="31">
        <f>VLOOKUP($A9,kurspris!$A$1:$Q$835,8,FALSE)</f>
        <v>1</v>
      </c>
      <c r="AJ9" s="31">
        <f>VLOOKUP($A9,kurspris!$A$1:$Q$835,9,FALSE)</f>
        <v>0</v>
      </c>
      <c r="AK9" s="31">
        <f>VLOOKUP($A9,kurspris!$A$1:$Q$835,10,FALSE)</f>
        <v>0</v>
      </c>
      <c r="AL9" s="31">
        <f>VLOOKUP($A9,kurspris!$A$1:$Q$835,11,FALSE)</f>
        <v>0</v>
      </c>
      <c r="AM9" s="31">
        <f>VLOOKUP($A9,kurspris!$A$1:$Q$835,12,FALSE)</f>
        <v>0</v>
      </c>
      <c r="AN9" s="31">
        <f>VLOOKUP($A9,kurspris!$A$1:$Q$835,13,FALSE)</f>
        <v>0</v>
      </c>
      <c r="AO9" s="31">
        <f>VLOOKUP($A9,kurspris!$A$1:$Q$835,14,FALSE)</f>
        <v>0</v>
      </c>
      <c r="AP9" s="39" t="s">
        <v>2232</v>
      </c>
      <c r="AQ9"/>
      <c r="AR9" s="31">
        <f t="shared" si="5"/>
        <v>0</v>
      </c>
      <c r="AS9" s="255">
        <f t="shared" si="6"/>
        <v>0</v>
      </c>
      <c r="AT9" s="31">
        <f t="shared" si="7"/>
        <v>0</v>
      </c>
      <c r="AU9" s="255">
        <f t="shared" si="8"/>
        <v>0</v>
      </c>
      <c r="AV9" s="31">
        <f t="shared" si="9"/>
        <v>0</v>
      </c>
      <c r="AW9" s="31">
        <f t="shared" si="10"/>
        <v>0</v>
      </c>
      <c r="AX9" s="31">
        <f t="shared" si="11"/>
        <v>0</v>
      </c>
      <c r="AY9" s="255">
        <f t="shared" si="12"/>
        <v>0</v>
      </c>
      <c r="AZ9" s="232">
        <f t="shared" si="13"/>
        <v>0</v>
      </c>
      <c r="BA9" s="255">
        <f t="shared" si="14"/>
        <v>0</v>
      </c>
      <c r="BB9" s="31">
        <f t="shared" si="15"/>
        <v>0.25</v>
      </c>
      <c r="BC9" s="255">
        <f t="shared" si="16"/>
        <v>0.21249999999999999</v>
      </c>
      <c r="BD9" s="31">
        <f t="shared" si="17"/>
        <v>0</v>
      </c>
      <c r="BE9" s="255">
        <f t="shared" si="18"/>
        <v>0</v>
      </c>
      <c r="BF9" s="31">
        <f t="shared" si="19"/>
        <v>0</v>
      </c>
      <c r="BG9" s="255">
        <f t="shared" si="20"/>
        <v>0</v>
      </c>
      <c r="BH9" s="31">
        <f t="shared" si="21"/>
        <v>0</v>
      </c>
      <c r="BI9" s="255">
        <f t="shared" si="22"/>
        <v>0</v>
      </c>
      <c r="BJ9" s="31">
        <f t="shared" si="23"/>
        <v>0</v>
      </c>
      <c r="BK9" s="31">
        <f t="shared" si="24"/>
        <v>0</v>
      </c>
      <c r="BL9" s="255">
        <f t="shared" si="25"/>
        <v>0</v>
      </c>
      <c r="BM9" s="31">
        <f t="shared" si="26"/>
        <v>0</v>
      </c>
      <c r="BN9" s="255">
        <f t="shared" si="27"/>
        <v>0</v>
      </c>
    </row>
    <row r="10" spans="1:66" x14ac:dyDescent="0.25">
      <c r="A10" t="s">
        <v>1018</v>
      </c>
      <c r="B10" s="186" t="str">
        <f>VLOOKUP(A10,kurspris!$A$1:$B$877,2,FALSE)</f>
        <v>Fysiologi och cellbiologi</v>
      </c>
      <c r="C10"/>
      <c r="D10" t="s">
        <v>483</v>
      </c>
      <c r="E10" t="s">
        <v>1609</v>
      </c>
      <c r="F10" s="59" t="s">
        <v>1930</v>
      </c>
      <c r="G10" t="s">
        <v>1980</v>
      </c>
      <c r="H10" t="s">
        <v>1910</v>
      </c>
      <c r="I10"/>
      <c r="J10" t="s">
        <v>1591</v>
      </c>
      <c r="K10"/>
      <c r="L10">
        <v>100</v>
      </c>
      <c r="M10">
        <v>15</v>
      </c>
      <c r="N10"/>
      <c r="O10"/>
      <c r="P10" s="31">
        <v>1</v>
      </c>
      <c r="Q10" s="232">
        <f t="shared" si="0"/>
        <v>0.25</v>
      </c>
      <c r="R10" s="40">
        <v>0.85</v>
      </c>
      <c r="S10" s="334">
        <f t="shared" si="1"/>
        <v>0.21249999999999999</v>
      </c>
      <c r="T10" s="31">
        <f>VLOOKUP(A10,'Ansvar kurs'!$A$1:$C$1010,2,FALSE)</f>
        <v>5160</v>
      </c>
      <c r="U10" s="31" t="str">
        <f>VLOOKUP(T10,Orgenheter!$A$1:$C$165,2,FALSE)</f>
        <v xml:space="preserve">Inst för Fysiologisk botanik  </v>
      </c>
      <c r="V10" s="31" t="str">
        <f>VLOOKUP(T10,Orgenheter!$A$1:$C$165,3,FALSE)</f>
        <v>TekNat</v>
      </c>
      <c r="W10" s="37" t="str">
        <f>VLOOKUP(D10,Program!$A$1:$B$34,2,FALSE)</f>
        <v>Ämneslärarprogrammet - Gy</v>
      </c>
      <c r="X10" s="42">
        <f>VLOOKUP(A10,kurspris!$A$1:$Q$798,15,FALSE)</f>
        <v>19473</v>
      </c>
      <c r="Y10" s="42">
        <f>VLOOKUP(A10,kurspris!$A$1:$Q$798,16,FALSE)</f>
        <v>34806</v>
      </c>
      <c r="Z10" s="42">
        <f t="shared" si="2"/>
        <v>12264.525</v>
      </c>
      <c r="AA10" s="42">
        <f>VLOOKUP(A10,kurspris!$A$1:$Q$798,17,FALSE)</f>
        <v>21800</v>
      </c>
      <c r="AB10" s="42">
        <f t="shared" si="3"/>
        <v>5450</v>
      </c>
      <c r="AC10" s="42">
        <f t="shared" si="4"/>
        <v>17714.525000000001</v>
      </c>
      <c r="AD10" s="31">
        <f>VLOOKUP($A10,kurspris!$A$1:$Q$835,3,FALSE)</f>
        <v>0</v>
      </c>
      <c r="AE10" s="31">
        <f>VLOOKUP($A10,kurspris!$A$1:$Q$835,4,FALSE)</f>
        <v>0</v>
      </c>
      <c r="AF10" s="31">
        <f>VLOOKUP($A10,kurspris!$A$1:$Q$835,5,FALSE)</f>
        <v>0</v>
      </c>
      <c r="AG10" s="31">
        <f>VLOOKUP($A10,kurspris!$A$1:$Q$835,6,FALSE)</f>
        <v>0</v>
      </c>
      <c r="AH10" s="31">
        <f>VLOOKUP($A10,kurspris!$A$1:$Q$835,7,FALSE)</f>
        <v>0</v>
      </c>
      <c r="AI10" s="31">
        <f>VLOOKUP($A10,kurspris!$A$1:$Q$835,8,FALSE)</f>
        <v>1</v>
      </c>
      <c r="AJ10" s="31">
        <f>VLOOKUP($A10,kurspris!$A$1:$Q$835,9,FALSE)</f>
        <v>0</v>
      </c>
      <c r="AK10" s="31">
        <f>VLOOKUP($A10,kurspris!$A$1:$Q$835,10,FALSE)</f>
        <v>0</v>
      </c>
      <c r="AL10" s="31">
        <f>VLOOKUP($A10,kurspris!$A$1:$Q$835,11,FALSE)</f>
        <v>0</v>
      </c>
      <c r="AM10" s="31">
        <f>VLOOKUP($A10,kurspris!$A$1:$Q$835,12,FALSE)</f>
        <v>0</v>
      </c>
      <c r="AN10" s="31">
        <f>VLOOKUP($A10,kurspris!$A$1:$Q$835,13,FALSE)</f>
        <v>0</v>
      </c>
      <c r="AO10" s="31">
        <f>VLOOKUP($A10,kurspris!$A$1:$Q$835,14,FALSE)</f>
        <v>0</v>
      </c>
      <c r="AP10" s="39" t="s">
        <v>2232</v>
      </c>
      <c r="AQ10"/>
      <c r="AR10" s="31">
        <f t="shared" si="5"/>
        <v>0</v>
      </c>
      <c r="AS10" s="255">
        <f t="shared" si="6"/>
        <v>0</v>
      </c>
      <c r="AT10" s="31">
        <f t="shared" si="7"/>
        <v>0</v>
      </c>
      <c r="AU10" s="255">
        <f t="shared" si="8"/>
        <v>0</v>
      </c>
      <c r="AV10" s="31">
        <f t="shared" si="9"/>
        <v>0</v>
      </c>
      <c r="AW10" s="31">
        <f t="shared" si="10"/>
        <v>0</v>
      </c>
      <c r="AX10" s="31">
        <f t="shared" si="11"/>
        <v>0</v>
      </c>
      <c r="AY10" s="255">
        <f t="shared" si="12"/>
        <v>0</v>
      </c>
      <c r="AZ10" s="232">
        <f t="shared" si="13"/>
        <v>0</v>
      </c>
      <c r="BA10" s="255">
        <f t="shared" si="14"/>
        <v>0</v>
      </c>
      <c r="BB10" s="31">
        <f t="shared" si="15"/>
        <v>0.25</v>
      </c>
      <c r="BC10" s="255">
        <f t="shared" si="16"/>
        <v>0.21249999999999999</v>
      </c>
      <c r="BD10" s="31">
        <f t="shared" si="17"/>
        <v>0</v>
      </c>
      <c r="BE10" s="255">
        <f t="shared" si="18"/>
        <v>0</v>
      </c>
      <c r="BF10" s="31">
        <f t="shared" si="19"/>
        <v>0</v>
      </c>
      <c r="BG10" s="255">
        <f t="shared" si="20"/>
        <v>0</v>
      </c>
      <c r="BH10" s="31">
        <f t="shared" si="21"/>
        <v>0</v>
      </c>
      <c r="BI10" s="255">
        <f t="shared" si="22"/>
        <v>0</v>
      </c>
      <c r="BJ10" s="31">
        <f t="shared" si="23"/>
        <v>0</v>
      </c>
      <c r="BK10" s="31">
        <f t="shared" si="24"/>
        <v>0</v>
      </c>
      <c r="BL10" s="255">
        <f t="shared" si="25"/>
        <v>0</v>
      </c>
      <c r="BM10" s="31">
        <f t="shared" si="26"/>
        <v>0</v>
      </c>
      <c r="BN10" s="255">
        <f t="shared" si="27"/>
        <v>0</v>
      </c>
    </row>
    <row r="11" spans="1:66" x14ac:dyDescent="0.25">
      <c r="A11" t="s">
        <v>1018</v>
      </c>
      <c r="B11" s="186" t="str">
        <f>VLOOKUP(A11,kurspris!$A$1:$B$877,2,FALSE)</f>
        <v>Fysiologi och cellbiologi</v>
      </c>
      <c r="C11"/>
      <c r="D11" t="s">
        <v>483</v>
      </c>
      <c r="E11" t="s">
        <v>1788</v>
      </c>
      <c r="F11" s="59" t="s">
        <v>1930</v>
      </c>
      <c r="G11" t="s">
        <v>1980</v>
      </c>
      <c r="H11" t="s">
        <v>1910</v>
      </c>
      <c r="I11"/>
      <c r="J11" t="s">
        <v>1594</v>
      </c>
      <c r="K11"/>
      <c r="L11">
        <v>100</v>
      </c>
      <c r="M11">
        <v>15</v>
      </c>
      <c r="N11"/>
      <c r="O11"/>
      <c r="P11" s="31">
        <v>1</v>
      </c>
      <c r="Q11" s="232">
        <f t="shared" si="0"/>
        <v>0.25</v>
      </c>
      <c r="R11" s="40">
        <v>0.85</v>
      </c>
      <c r="S11" s="334">
        <f t="shared" si="1"/>
        <v>0.21249999999999999</v>
      </c>
      <c r="T11" s="31">
        <f>VLOOKUP(A11,'Ansvar kurs'!$A$1:$C$1010,2,FALSE)</f>
        <v>5160</v>
      </c>
      <c r="U11" s="31" t="str">
        <f>VLOOKUP(T11,Orgenheter!$A$1:$C$165,2,FALSE)</f>
        <v xml:space="preserve">Inst för Fysiologisk botanik  </v>
      </c>
      <c r="V11" s="31" t="str">
        <f>VLOOKUP(T11,Orgenheter!$A$1:$C$165,3,FALSE)</f>
        <v>TekNat</v>
      </c>
      <c r="W11" s="37" t="str">
        <f>VLOOKUP(D11,Program!$A$1:$B$34,2,FALSE)</f>
        <v>Ämneslärarprogrammet - Gy</v>
      </c>
      <c r="X11" s="42">
        <f>VLOOKUP(A11,kurspris!$A$1:$Q$798,15,FALSE)</f>
        <v>19473</v>
      </c>
      <c r="Y11" s="42">
        <f>VLOOKUP(A11,kurspris!$A$1:$Q$798,16,FALSE)</f>
        <v>34806</v>
      </c>
      <c r="Z11" s="42">
        <f t="shared" si="2"/>
        <v>12264.525</v>
      </c>
      <c r="AA11" s="42">
        <f>VLOOKUP(A11,kurspris!$A$1:$Q$798,17,FALSE)</f>
        <v>21800</v>
      </c>
      <c r="AB11" s="42">
        <f t="shared" si="3"/>
        <v>5450</v>
      </c>
      <c r="AC11" s="42">
        <f t="shared" si="4"/>
        <v>17714.525000000001</v>
      </c>
      <c r="AD11" s="31">
        <f>VLOOKUP($A11,kurspris!$A$1:$Q$835,3,FALSE)</f>
        <v>0</v>
      </c>
      <c r="AE11" s="31">
        <f>VLOOKUP($A11,kurspris!$A$1:$Q$835,4,FALSE)</f>
        <v>0</v>
      </c>
      <c r="AF11" s="31">
        <f>VLOOKUP($A11,kurspris!$A$1:$Q$835,5,FALSE)</f>
        <v>0</v>
      </c>
      <c r="AG11" s="31">
        <f>VLOOKUP($A11,kurspris!$A$1:$Q$835,6,FALSE)</f>
        <v>0</v>
      </c>
      <c r="AH11" s="31">
        <f>VLOOKUP($A11,kurspris!$A$1:$Q$835,7,FALSE)</f>
        <v>0</v>
      </c>
      <c r="AI11" s="31">
        <f>VLOOKUP($A11,kurspris!$A$1:$Q$835,8,FALSE)</f>
        <v>1</v>
      </c>
      <c r="AJ11" s="31">
        <f>VLOOKUP($A11,kurspris!$A$1:$Q$835,9,FALSE)</f>
        <v>0</v>
      </c>
      <c r="AK11" s="31">
        <f>VLOOKUP($A11,kurspris!$A$1:$Q$835,10,FALSE)</f>
        <v>0</v>
      </c>
      <c r="AL11" s="31">
        <f>VLOOKUP($A11,kurspris!$A$1:$Q$835,11,FALSE)</f>
        <v>0</v>
      </c>
      <c r="AM11" s="31">
        <f>VLOOKUP($A11,kurspris!$A$1:$Q$835,12,FALSE)</f>
        <v>0</v>
      </c>
      <c r="AN11" s="31">
        <f>VLOOKUP($A11,kurspris!$A$1:$Q$835,13,FALSE)</f>
        <v>0</v>
      </c>
      <c r="AO11" s="31">
        <f>VLOOKUP($A11,kurspris!$A$1:$Q$835,14,FALSE)</f>
        <v>0</v>
      </c>
      <c r="AP11" s="39" t="s">
        <v>2232</v>
      </c>
      <c r="AQ11"/>
      <c r="AR11" s="31">
        <f t="shared" si="5"/>
        <v>0</v>
      </c>
      <c r="AS11" s="255">
        <f t="shared" si="6"/>
        <v>0</v>
      </c>
      <c r="AT11" s="31">
        <f t="shared" si="7"/>
        <v>0</v>
      </c>
      <c r="AU11" s="255">
        <f t="shared" si="8"/>
        <v>0</v>
      </c>
      <c r="AV11" s="31">
        <f t="shared" si="9"/>
        <v>0</v>
      </c>
      <c r="AW11" s="31">
        <f t="shared" si="10"/>
        <v>0</v>
      </c>
      <c r="AX11" s="31">
        <f t="shared" si="11"/>
        <v>0</v>
      </c>
      <c r="AY11" s="255">
        <f t="shared" si="12"/>
        <v>0</v>
      </c>
      <c r="AZ11" s="232">
        <f t="shared" si="13"/>
        <v>0</v>
      </c>
      <c r="BA11" s="255">
        <f t="shared" si="14"/>
        <v>0</v>
      </c>
      <c r="BB11" s="31">
        <f t="shared" si="15"/>
        <v>0.25</v>
      </c>
      <c r="BC11" s="255">
        <f t="shared" si="16"/>
        <v>0.21249999999999999</v>
      </c>
      <c r="BD11" s="31">
        <f t="shared" si="17"/>
        <v>0</v>
      </c>
      <c r="BE11" s="255">
        <f t="shared" si="18"/>
        <v>0</v>
      </c>
      <c r="BF11" s="31">
        <f t="shared" si="19"/>
        <v>0</v>
      </c>
      <c r="BG11" s="255">
        <f t="shared" si="20"/>
        <v>0</v>
      </c>
      <c r="BH11" s="31">
        <f t="shared" si="21"/>
        <v>0</v>
      </c>
      <c r="BI11" s="255">
        <f t="shared" si="22"/>
        <v>0</v>
      </c>
      <c r="BJ11" s="31">
        <f t="shared" si="23"/>
        <v>0</v>
      </c>
      <c r="BK11" s="31">
        <f t="shared" si="24"/>
        <v>0</v>
      </c>
      <c r="BL11" s="255">
        <f t="shared" si="25"/>
        <v>0</v>
      </c>
      <c r="BM11" s="31">
        <f t="shared" si="26"/>
        <v>0</v>
      </c>
      <c r="BN11" s="255">
        <f t="shared" si="27"/>
        <v>0</v>
      </c>
    </row>
    <row r="12" spans="1:66" x14ac:dyDescent="0.25">
      <c r="A12" s="18" t="s">
        <v>1581</v>
      </c>
      <c r="B12" s="186" t="str">
        <f>VLOOKUP(A12,kurspris!$A$1:$B$877,2,FALSE)</f>
        <v>Naturens mångfald</v>
      </c>
      <c r="C12" s="37"/>
      <c r="D12" s="31" t="s">
        <v>483</v>
      </c>
      <c r="E12" s="31" t="s">
        <v>1976</v>
      </c>
      <c r="F12" s="59" t="s">
        <v>1931</v>
      </c>
      <c r="G12" s="31" t="s">
        <v>2270</v>
      </c>
      <c r="J12" t="s">
        <v>773</v>
      </c>
      <c r="L12" s="31">
        <v>100</v>
      </c>
      <c r="M12" s="31">
        <v>15</v>
      </c>
      <c r="P12" s="31">
        <v>1</v>
      </c>
      <c r="Q12" s="232">
        <f t="shared" si="0"/>
        <v>0.25</v>
      </c>
      <c r="R12" s="40">
        <v>0.85</v>
      </c>
      <c r="S12" s="334">
        <f t="shared" si="1"/>
        <v>0.21249999999999999</v>
      </c>
      <c r="T12" s="31">
        <f>VLOOKUP(A12,'Ansvar kurs'!$A$1:$C$1010,2,FALSE)</f>
        <v>5100</v>
      </c>
      <c r="U12" s="31" t="str">
        <f>VLOOKUP(T12,Orgenheter!$A$1:$C$165,2,FALSE)</f>
        <v>EMG</v>
      </c>
      <c r="V12" s="31" t="str">
        <f>VLOOKUP(T12,Orgenheter!$A$1:$C$165,3,FALSE)</f>
        <v>TekNat</v>
      </c>
      <c r="W12" s="37" t="str">
        <f>VLOOKUP(D12,Program!$A$1:$B$34,2,FALSE)</f>
        <v>Ämneslärarprogrammet - Gy</v>
      </c>
      <c r="X12" s="42">
        <f>VLOOKUP(A12,kurspris!$A$1:$Q$798,15,FALSE)</f>
        <v>19473</v>
      </c>
      <c r="Y12" s="42">
        <f>VLOOKUP(A12,kurspris!$A$1:$Q$798,16,FALSE)</f>
        <v>34806</v>
      </c>
      <c r="Z12" s="42">
        <f t="shared" si="2"/>
        <v>12264.525</v>
      </c>
      <c r="AA12" s="42">
        <f>VLOOKUP(A12,kurspris!$A$1:$Q$798,17,FALSE)</f>
        <v>21800</v>
      </c>
      <c r="AB12" s="42">
        <f t="shared" si="3"/>
        <v>5450</v>
      </c>
      <c r="AC12" s="42">
        <f t="shared" si="4"/>
        <v>17714.525000000001</v>
      </c>
      <c r="AD12" s="31">
        <f>VLOOKUP($A12,kurspris!$A$1:$Q$835,3,FALSE)</f>
        <v>0</v>
      </c>
      <c r="AE12" s="31">
        <f>VLOOKUP($A12,kurspris!$A$1:$Q$835,4,FALSE)</f>
        <v>0</v>
      </c>
      <c r="AF12" s="31">
        <f>VLOOKUP($A12,kurspris!$A$1:$Q$835,5,FALSE)</f>
        <v>0</v>
      </c>
      <c r="AG12" s="31">
        <f>VLOOKUP($A12,kurspris!$A$1:$Q$835,6,FALSE)</f>
        <v>0</v>
      </c>
      <c r="AH12" s="31">
        <f>VLOOKUP($A12,kurspris!$A$1:$Q$835,7,FALSE)</f>
        <v>0</v>
      </c>
      <c r="AI12" s="31">
        <f>VLOOKUP($A12,kurspris!$A$1:$Q$835,8,FALSE)</f>
        <v>1</v>
      </c>
      <c r="AJ12" s="31">
        <f>VLOOKUP($A12,kurspris!$A$1:$Q$835,9,FALSE)</f>
        <v>0</v>
      </c>
      <c r="AK12" s="31">
        <f>VLOOKUP($A12,kurspris!$A$1:$Q$835,10,FALSE)</f>
        <v>0</v>
      </c>
      <c r="AL12" s="31">
        <f>VLOOKUP($A12,kurspris!$A$1:$Q$835,11,FALSE)</f>
        <v>0</v>
      </c>
      <c r="AM12" s="31">
        <f>VLOOKUP($A12,kurspris!$A$1:$Q$835,12,FALSE)</f>
        <v>0</v>
      </c>
      <c r="AN12" s="31">
        <f>VLOOKUP($A12,kurspris!$A$1:$Q$835,13,FALSE)</f>
        <v>0</v>
      </c>
      <c r="AO12" s="31">
        <f>VLOOKUP($A12,kurspris!$A$1:$Q$835,14,FALSE)</f>
        <v>0</v>
      </c>
      <c r="AP12" s="39" t="s">
        <v>2326</v>
      </c>
      <c r="AQ12"/>
      <c r="AR12" s="31">
        <f t="shared" si="5"/>
        <v>0</v>
      </c>
      <c r="AS12" s="255">
        <f t="shared" si="6"/>
        <v>0</v>
      </c>
      <c r="AT12" s="31">
        <f t="shared" si="7"/>
        <v>0</v>
      </c>
      <c r="AU12" s="255">
        <f t="shared" si="8"/>
        <v>0</v>
      </c>
      <c r="AV12" s="31">
        <f t="shared" si="9"/>
        <v>0</v>
      </c>
      <c r="AW12" s="31">
        <f t="shared" si="10"/>
        <v>0</v>
      </c>
      <c r="AX12" s="31">
        <f t="shared" si="11"/>
        <v>0</v>
      </c>
      <c r="AY12" s="255">
        <f t="shared" si="12"/>
        <v>0</v>
      </c>
      <c r="AZ12" s="232">
        <f t="shared" si="13"/>
        <v>0</v>
      </c>
      <c r="BA12" s="255">
        <f t="shared" si="14"/>
        <v>0</v>
      </c>
      <c r="BB12" s="31">
        <f t="shared" si="15"/>
        <v>0.25</v>
      </c>
      <c r="BC12" s="255">
        <f t="shared" si="16"/>
        <v>0.21249999999999999</v>
      </c>
      <c r="BD12" s="31">
        <f t="shared" si="17"/>
        <v>0</v>
      </c>
      <c r="BE12" s="255">
        <f t="shared" si="18"/>
        <v>0</v>
      </c>
      <c r="BF12" s="31">
        <f t="shared" si="19"/>
        <v>0</v>
      </c>
      <c r="BG12" s="255">
        <f t="shared" si="20"/>
        <v>0</v>
      </c>
      <c r="BH12" s="31">
        <f t="shared" si="21"/>
        <v>0</v>
      </c>
      <c r="BI12" s="255">
        <f t="shared" si="22"/>
        <v>0</v>
      </c>
      <c r="BJ12" s="31">
        <f t="shared" si="23"/>
        <v>0</v>
      </c>
      <c r="BK12" s="31">
        <f t="shared" si="24"/>
        <v>0</v>
      </c>
      <c r="BL12" s="255">
        <f t="shared" si="25"/>
        <v>0</v>
      </c>
      <c r="BM12" s="31">
        <f t="shared" si="26"/>
        <v>0</v>
      </c>
      <c r="BN12" s="255">
        <f t="shared" si="27"/>
        <v>0</v>
      </c>
    </row>
    <row r="13" spans="1:66" x14ac:dyDescent="0.25">
      <c r="A13" s="18" t="s">
        <v>1562</v>
      </c>
      <c r="B13" s="186" t="str">
        <f>VLOOKUP(A13,kurspris!$A$1:$B$877,2,FALSE)</f>
        <v>Genetik och evolution</v>
      </c>
      <c r="C13" s="37"/>
      <c r="D13" s="31" t="s">
        <v>483</v>
      </c>
      <c r="E13" s="31" t="s">
        <v>1973</v>
      </c>
      <c r="F13" s="59" t="s">
        <v>1931</v>
      </c>
      <c r="G13" s="31" t="s">
        <v>2271</v>
      </c>
      <c r="J13" t="s">
        <v>1952</v>
      </c>
      <c r="L13" s="31">
        <v>100</v>
      </c>
      <c r="M13" s="31">
        <v>15</v>
      </c>
      <c r="P13" s="31">
        <v>1</v>
      </c>
      <c r="Q13" s="232">
        <f t="shared" si="0"/>
        <v>0.25</v>
      </c>
      <c r="R13" s="40">
        <v>0.85</v>
      </c>
      <c r="S13" s="334">
        <f t="shared" si="1"/>
        <v>0.21249999999999999</v>
      </c>
      <c r="T13" s="31">
        <f>VLOOKUP(A13,'Ansvar kurs'!$A$1:$C$1010,2,FALSE)</f>
        <v>5100</v>
      </c>
      <c r="U13" s="31" t="str">
        <f>VLOOKUP(T13,Orgenheter!$A$1:$C$165,2,FALSE)</f>
        <v>EMG</v>
      </c>
      <c r="V13" s="31" t="str">
        <f>VLOOKUP(T13,Orgenheter!$A$1:$C$165,3,FALSE)</f>
        <v>TekNat</v>
      </c>
      <c r="W13" s="37" t="str">
        <f>VLOOKUP(D13,Program!$A$1:$B$34,2,FALSE)</f>
        <v>Ämneslärarprogrammet - Gy</v>
      </c>
      <c r="X13" s="42">
        <f>VLOOKUP(A13,kurspris!$A$1:$Q$798,15,FALSE)</f>
        <v>19473</v>
      </c>
      <c r="Y13" s="42">
        <f>VLOOKUP(A13,kurspris!$A$1:$Q$798,16,FALSE)</f>
        <v>34806</v>
      </c>
      <c r="Z13" s="42">
        <f t="shared" si="2"/>
        <v>12264.525</v>
      </c>
      <c r="AA13" s="42">
        <f>VLOOKUP(A13,kurspris!$A$1:$Q$798,17,FALSE)</f>
        <v>21800</v>
      </c>
      <c r="AB13" s="42">
        <f t="shared" si="3"/>
        <v>5450</v>
      </c>
      <c r="AC13" s="42">
        <f t="shared" si="4"/>
        <v>17714.525000000001</v>
      </c>
      <c r="AD13" s="31">
        <f>VLOOKUP($A13,kurspris!$A$1:$Q$835,3,FALSE)</f>
        <v>0</v>
      </c>
      <c r="AE13" s="31">
        <f>VLOOKUP($A13,kurspris!$A$1:$Q$835,4,FALSE)</f>
        <v>0</v>
      </c>
      <c r="AF13" s="31">
        <f>VLOOKUP($A13,kurspris!$A$1:$Q$835,5,FALSE)</f>
        <v>0</v>
      </c>
      <c r="AG13" s="31">
        <f>VLOOKUP($A13,kurspris!$A$1:$Q$835,6,FALSE)</f>
        <v>0</v>
      </c>
      <c r="AH13" s="31">
        <f>VLOOKUP($A13,kurspris!$A$1:$Q$835,7,FALSE)</f>
        <v>0</v>
      </c>
      <c r="AI13" s="31">
        <f>VLOOKUP($A13,kurspris!$A$1:$Q$835,8,FALSE)</f>
        <v>0.5</v>
      </c>
      <c r="AJ13" s="31">
        <f>VLOOKUP($A13,kurspris!$A$1:$Q$835,9,FALSE)</f>
        <v>0</v>
      </c>
      <c r="AK13" s="31">
        <f>VLOOKUP($A13,kurspris!$A$1:$Q$835,10,FALSE)</f>
        <v>0.5</v>
      </c>
      <c r="AL13" s="31">
        <f>VLOOKUP($A13,kurspris!$A$1:$Q$835,11,FALSE)</f>
        <v>0</v>
      </c>
      <c r="AM13" s="31">
        <f>VLOOKUP($A13,kurspris!$A$1:$Q$835,12,FALSE)</f>
        <v>0</v>
      </c>
      <c r="AN13" s="31">
        <f>VLOOKUP($A13,kurspris!$A$1:$Q$835,13,FALSE)</f>
        <v>0</v>
      </c>
      <c r="AO13" s="31">
        <f>VLOOKUP($A13,kurspris!$A$1:$Q$835,14,FALSE)</f>
        <v>0</v>
      </c>
      <c r="AP13" s="39" t="s">
        <v>2326</v>
      </c>
      <c r="AQ13"/>
      <c r="AR13" s="31">
        <f t="shared" si="5"/>
        <v>0</v>
      </c>
      <c r="AS13" s="255">
        <f t="shared" si="6"/>
        <v>0</v>
      </c>
      <c r="AT13" s="31">
        <f t="shared" si="7"/>
        <v>0</v>
      </c>
      <c r="AU13" s="255">
        <f t="shared" si="8"/>
        <v>0</v>
      </c>
      <c r="AV13" s="31">
        <f t="shared" si="9"/>
        <v>0</v>
      </c>
      <c r="AW13" s="31">
        <f t="shared" si="10"/>
        <v>0</v>
      </c>
      <c r="AX13" s="31">
        <f t="shared" si="11"/>
        <v>0</v>
      </c>
      <c r="AY13" s="255">
        <f t="shared" si="12"/>
        <v>0</v>
      </c>
      <c r="AZ13" s="232">
        <f t="shared" si="13"/>
        <v>0</v>
      </c>
      <c r="BA13" s="255">
        <f t="shared" si="14"/>
        <v>0</v>
      </c>
      <c r="BB13" s="31">
        <f t="shared" si="15"/>
        <v>0.125</v>
      </c>
      <c r="BC13" s="255">
        <f t="shared" si="16"/>
        <v>0.10625</v>
      </c>
      <c r="BD13" s="31">
        <f t="shared" si="17"/>
        <v>0</v>
      </c>
      <c r="BE13" s="255">
        <f t="shared" si="18"/>
        <v>0</v>
      </c>
      <c r="BF13" s="31">
        <f t="shared" si="19"/>
        <v>0.125</v>
      </c>
      <c r="BG13" s="255">
        <f t="shared" si="20"/>
        <v>0.10625</v>
      </c>
      <c r="BH13" s="31">
        <f t="shared" si="21"/>
        <v>0</v>
      </c>
      <c r="BI13" s="255">
        <f t="shared" si="22"/>
        <v>0</v>
      </c>
      <c r="BJ13" s="31">
        <f t="shared" si="23"/>
        <v>0</v>
      </c>
      <c r="BK13" s="31">
        <f t="shared" si="24"/>
        <v>0</v>
      </c>
      <c r="BL13" s="255">
        <f t="shared" si="25"/>
        <v>0</v>
      </c>
      <c r="BM13" s="31">
        <f t="shared" si="26"/>
        <v>0</v>
      </c>
      <c r="BN13" s="255">
        <f t="shared" si="27"/>
        <v>0</v>
      </c>
    </row>
    <row r="14" spans="1:66" x14ac:dyDescent="0.25">
      <c r="A14" s="18" t="s">
        <v>1562</v>
      </c>
      <c r="B14" s="186" t="str">
        <f>VLOOKUP(A14,kurspris!$A$1:$B$877,2,FALSE)</f>
        <v>Genetik och evolution</v>
      </c>
      <c r="C14" s="37"/>
      <c r="D14" s="31" t="s">
        <v>483</v>
      </c>
      <c r="E14" s="31" t="s">
        <v>1973</v>
      </c>
      <c r="F14" s="59" t="s">
        <v>1931</v>
      </c>
      <c r="G14" s="31" t="s">
        <v>2271</v>
      </c>
      <c r="J14" t="s">
        <v>773</v>
      </c>
      <c r="L14" s="31">
        <v>100</v>
      </c>
      <c r="M14" s="31">
        <v>15</v>
      </c>
      <c r="P14" s="31">
        <v>1</v>
      </c>
      <c r="Q14" s="232">
        <f t="shared" si="0"/>
        <v>0.25</v>
      </c>
      <c r="R14" s="40">
        <v>0.85</v>
      </c>
      <c r="S14" s="334">
        <f t="shared" si="1"/>
        <v>0.21249999999999999</v>
      </c>
      <c r="T14" s="31">
        <f>VLOOKUP(A14,'Ansvar kurs'!$A$1:$C$1010,2,FALSE)</f>
        <v>5100</v>
      </c>
      <c r="U14" s="31" t="str">
        <f>VLOOKUP(T14,Orgenheter!$A$1:$C$165,2,FALSE)</f>
        <v>EMG</v>
      </c>
      <c r="V14" s="31" t="str">
        <f>VLOOKUP(T14,Orgenheter!$A$1:$C$165,3,FALSE)</f>
        <v>TekNat</v>
      </c>
      <c r="W14" s="37" t="str">
        <f>VLOOKUP(D14,Program!$A$1:$B$34,2,FALSE)</f>
        <v>Ämneslärarprogrammet - Gy</v>
      </c>
      <c r="X14" s="42">
        <f>VLOOKUP(A14,kurspris!$A$1:$Q$798,15,FALSE)</f>
        <v>19473</v>
      </c>
      <c r="Y14" s="42">
        <f>VLOOKUP(A14,kurspris!$A$1:$Q$798,16,FALSE)</f>
        <v>34806</v>
      </c>
      <c r="Z14" s="42">
        <f t="shared" si="2"/>
        <v>12264.525</v>
      </c>
      <c r="AA14" s="42">
        <f>VLOOKUP(A14,kurspris!$A$1:$Q$798,17,FALSE)</f>
        <v>21800</v>
      </c>
      <c r="AB14" s="42">
        <f t="shared" si="3"/>
        <v>5450</v>
      </c>
      <c r="AC14" s="42">
        <f t="shared" si="4"/>
        <v>17714.525000000001</v>
      </c>
      <c r="AD14" s="31">
        <f>VLOOKUP($A14,kurspris!$A$1:$Q$835,3,FALSE)</f>
        <v>0</v>
      </c>
      <c r="AE14" s="31">
        <f>VLOOKUP($A14,kurspris!$A$1:$Q$835,4,FALSE)</f>
        <v>0</v>
      </c>
      <c r="AF14" s="31">
        <f>VLOOKUP($A14,kurspris!$A$1:$Q$835,5,FALSE)</f>
        <v>0</v>
      </c>
      <c r="AG14" s="31">
        <f>VLOOKUP($A14,kurspris!$A$1:$Q$835,6,FALSE)</f>
        <v>0</v>
      </c>
      <c r="AH14" s="31">
        <f>VLOOKUP($A14,kurspris!$A$1:$Q$835,7,FALSE)</f>
        <v>0</v>
      </c>
      <c r="AI14" s="31">
        <f>VLOOKUP($A14,kurspris!$A$1:$Q$835,8,FALSE)</f>
        <v>0.5</v>
      </c>
      <c r="AJ14" s="31">
        <f>VLOOKUP($A14,kurspris!$A$1:$Q$835,9,FALSE)</f>
        <v>0</v>
      </c>
      <c r="AK14" s="31">
        <f>VLOOKUP($A14,kurspris!$A$1:$Q$835,10,FALSE)</f>
        <v>0.5</v>
      </c>
      <c r="AL14" s="31">
        <f>VLOOKUP($A14,kurspris!$A$1:$Q$835,11,FALSE)</f>
        <v>0</v>
      </c>
      <c r="AM14" s="31">
        <f>VLOOKUP($A14,kurspris!$A$1:$Q$835,12,FALSE)</f>
        <v>0</v>
      </c>
      <c r="AN14" s="31">
        <f>VLOOKUP($A14,kurspris!$A$1:$Q$835,13,FALSE)</f>
        <v>0</v>
      </c>
      <c r="AO14" s="31">
        <f>VLOOKUP($A14,kurspris!$A$1:$Q$835,14,FALSE)</f>
        <v>0</v>
      </c>
      <c r="AP14" s="39" t="s">
        <v>2326</v>
      </c>
      <c r="AQ14"/>
      <c r="AR14" s="31">
        <f t="shared" si="5"/>
        <v>0</v>
      </c>
      <c r="AS14" s="255">
        <f t="shared" si="6"/>
        <v>0</v>
      </c>
      <c r="AT14" s="31">
        <f t="shared" si="7"/>
        <v>0</v>
      </c>
      <c r="AU14" s="255">
        <f t="shared" si="8"/>
        <v>0</v>
      </c>
      <c r="AV14" s="31">
        <f t="shared" si="9"/>
        <v>0</v>
      </c>
      <c r="AW14" s="31">
        <f t="shared" si="10"/>
        <v>0</v>
      </c>
      <c r="AX14" s="31">
        <f t="shared" si="11"/>
        <v>0</v>
      </c>
      <c r="AY14" s="255">
        <f t="shared" si="12"/>
        <v>0</v>
      </c>
      <c r="AZ14" s="232">
        <f t="shared" si="13"/>
        <v>0</v>
      </c>
      <c r="BA14" s="255">
        <f t="shared" si="14"/>
        <v>0</v>
      </c>
      <c r="BB14" s="31">
        <f t="shared" si="15"/>
        <v>0.125</v>
      </c>
      <c r="BC14" s="255">
        <f t="shared" si="16"/>
        <v>0.10625</v>
      </c>
      <c r="BD14" s="31">
        <f t="shared" si="17"/>
        <v>0</v>
      </c>
      <c r="BE14" s="255">
        <f t="shared" si="18"/>
        <v>0</v>
      </c>
      <c r="BF14" s="31">
        <f t="shared" si="19"/>
        <v>0.125</v>
      </c>
      <c r="BG14" s="255">
        <f t="shared" si="20"/>
        <v>0.10625</v>
      </c>
      <c r="BH14" s="31">
        <f t="shared" si="21"/>
        <v>0</v>
      </c>
      <c r="BI14" s="255">
        <f t="shared" si="22"/>
        <v>0</v>
      </c>
      <c r="BJ14" s="31">
        <f t="shared" si="23"/>
        <v>0</v>
      </c>
      <c r="BK14" s="31">
        <f t="shared" si="24"/>
        <v>0</v>
      </c>
      <c r="BL14" s="255">
        <f t="shared" si="25"/>
        <v>0</v>
      </c>
      <c r="BM14" s="31">
        <f t="shared" si="26"/>
        <v>0</v>
      </c>
      <c r="BN14" s="255">
        <f t="shared" si="27"/>
        <v>0</v>
      </c>
    </row>
    <row r="15" spans="1:66" x14ac:dyDescent="0.25">
      <c r="A15" s="18" t="s">
        <v>1562</v>
      </c>
      <c r="B15" s="186" t="str">
        <f>VLOOKUP(A15,kurspris!$A$1:$B$877,2,FALSE)</f>
        <v>Genetik och evolution</v>
      </c>
      <c r="C15" s="37"/>
      <c r="D15" s="31" t="s">
        <v>483</v>
      </c>
      <c r="E15" s="31" t="s">
        <v>1973</v>
      </c>
      <c r="F15" s="59" t="s">
        <v>1931</v>
      </c>
      <c r="G15" s="31" t="s">
        <v>2271</v>
      </c>
      <c r="J15" t="s">
        <v>774</v>
      </c>
      <c r="L15" s="31">
        <v>100</v>
      </c>
      <c r="M15" s="31">
        <v>15</v>
      </c>
      <c r="P15" s="31">
        <v>1</v>
      </c>
      <c r="Q15" s="232">
        <f t="shared" si="0"/>
        <v>0.25</v>
      </c>
      <c r="R15" s="40">
        <v>0.85</v>
      </c>
      <c r="S15" s="334">
        <f t="shared" si="1"/>
        <v>0.21249999999999999</v>
      </c>
      <c r="T15" s="31">
        <f>VLOOKUP(A15,'Ansvar kurs'!$A$1:$C$1010,2,FALSE)</f>
        <v>5100</v>
      </c>
      <c r="U15" s="31" t="str">
        <f>VLOOKUP(T15,Orgenheter!$A$1:$C$165,2,FALSE)</f>
        <v>EMG</v>
      </c>
      <c r="V15" s="31" t="str">
        <f>VLOOKUP(T15,Orgenheter!$A$1:$C$165,3,FALSE)</f>
        <v>TekNat</v>
      </c>
      <c r="W15" s="37" t="str">
        <f>VLOOKUP(D15,Program!$A$1:$B$34,2,FALSE)</f>
        <v>Ämneslärarprogrammet - Gy</v>
      </c>
      <c r="X15" s="42">
        <f>VLOOKUP(A15,kurspris!$A$1:$Q$798,15,FALSE)</f>
        <v>19473</v>
      </c>
      <c r="Y15" s="42">
        <f>VLOOKUP(A15,kurspris!$A$1:$Q$798,16,FALSE)</f>
        <v>34806</v>
      </c>
      <c r="Z15" s="42">
        <f t="shared" si="2"/>
        <v>12264.525</v>
      </c>
      <c r="AA15" s="42">
        <f>VLOOKUP(A15,kurspris!$A$1:$Q$798,17,FALSE)</f>
        <v>21800</v>
      </c>
      <c r="AB15" s="42">
        <f t="shared" si="3"/>
        <v>5450</v>
      </c>
      <c r="AC15" s="42">
        <f t="shared" si="4"/>
        <v>17714.525000000001</v>
      </c>
      <c r="AD15" s="31">
        <f>VLOOKUP($A15,kurspris!$A$1:$Q$835,3,FALSE)</f>
        <v>0</v>
      </c>
      <c r="AE15" s="31">
        <f>VLOOKUP($A15,kurspris!$A$1:$Q$835,4,FALSE)</f>
        <v>0</v>
      </c>
      <c r="AF15" s="31">
        <f>VLOOKUP($A15,kurspris!$A$1:$Q$835,5,FALSE)</f>
        <v>0</v>
      </c>
      <c r="AG15" s="31">
        <f>VLOOKUP($A15,kurspris!$A$1:$Q$835,6,FALSE)</f>
        <v>0</v>
      </c>
      <c r="AH15" s="31">
        <f>VLOOKUP($A15,kurspris!$A$1:$Q$835,7,FALSE)</f>
        <v>0</v>
      </c>
      <c r="AI15" s="31">
        <f>VLOOKUP($A15,kurspris!$A$1:$Q$835,8,FALSE)</f>
        <v>0.5</v>
      </c>
      <c r="AJ15" s="31">
        <f>VLOOKUP($A15,kurspris!$A$1:$Q$835,9,FALSE)</f>
        <v>0</v>
      </c>
      <c r="AK15" s="31">
        <f>VLOOKUP($A15,kurspris!$A$1:$Q$835,10,FALSE)</f>
        <v>0.5</v>
      </c>
      <c r="AL15" s="31">
        <f>VLOOKUP($A15,kurspris!$A$1:$Q$835,11,FALSE)</f>
        <v>0</v>
      </c>
      <c r="AM15" s="31">
        <f>VLOOKUP($A15,kurspris!$A$1:$Q$835,12,FALSE)</f>
        <v>0</v>
      </c>
      <c r="AN15" s="31">
        <f>VLOOKUP($A15,kurspris!$A$1:$Q$835,13,FALSE)</f>
        <v>0</v>
      </c>
      <c r="AO15" s="31">
        <f>VLOOKUP($A15,kurspris!$A$1:$Q$835,14,FALSE)</f>
        <v>0</v>
      </c>
      <c r="AP15" s="39" t="s">
        <v>2326</v>
      </c>
      <c r="AQ15"/>
      <c r="AR15" s="31">
        <f t="shared" si="5"/>
        <v>0</v>
      </c>
      <c r="AS15" s="255">
        <f t="shared" si="6"/>
        <v>0</v>
      </c>
      <c r="AT15" s="31">
        <f t="shared" si="7"/>
        <v>0</v>
      </c>
      <c r="AU15" s="255">
        <f t="shared" si="8"/>
        <v>0</v>
      </c>
      <c r="AV15" s="31">
        <f t="shared" si="9"/>
        <v>0</v>
      </c>
      <c r="AW15" s="31">
        <f t="shared" si="10"/>
        <v>0</v>
      </c>
      <c r="AX15" s="31">
        <f t="shared" si="11"/>
        <v>0</v>
      </c>
      <c r="AY15" s="255">
        <f t="shared" si="12"/>
        <v>0</v>
      </c>
      <c r="AZ15" s="232">
        <f t="shared" si="13"/>
        <v>0</v>
      </c>
      <c r="BA15" s="255">
        <f t="shared" si="14"/>
        <v>0</v>
      </c>
      <c r="BB15" s="31">
        <f t="shared" si="15"/>
        <v>0.125</v>
      </c>
      <c r="BC15" s="255">
        <f t="shared" si="16"/>
        <v>0.10625</v>
      </c>
      <c r="BD15" s="31">
        <f t="shared" si="17"/>
        <v>0</v>
      </c>
      <c r="BE15" s="255">
        <f t="shared" si="18"/>
        <v>0</v>
      </c>
      <c r="BF15" s="31">
        <f t="shared" si="19"/>
        <v>0.125</v>
      </c>
      <c r="BG15" s="255">
        <f t="shared" si="20"/>
        <v>0.10625</v>
      </c>
      <c r="BH15" s="31">
        <f t="shared" si="21"/>
        <v>0</v>
      </c>
      <c r="BI15" s="255">
        <f t="shared" si="22"/>
        <v>0</v>
      </c>
      <c r="BJ15" s="31">
        <f t="shared" si="23"/>
        <v>0</v>
      </c>
      <c r="BK15" s="31">
        <f t="shared" si="24"/>
        <v>0</v>
      </c>
      <c r="BL15" s="255">
        <f t="shared" si="25"/>
        <v>0</v>
      </c>
      <c r="BM15" s="31">
        <f t="shared" si="26"/>
        <v>0</v>
      </c>
      <c r="BN15" s="255">
        <f t="shared" si="27"/>
        <v>0</v>
      </c>
    </row>
    <row r="16" spans="1:66" x14ac:dyDescent="0.25">
      <c r="A16" s="18" t="s">
        <v>1562</v>
      </c>
      <c r="B16" s="186" t="str">
        <f>VLOOKUP(A16,kurspris!$A$1:$B$877,2,FALSE)</f>
        <v>Genetik och evolution</v>
      </c>
      <c r="C16" s="37"/>
      <c r="D16" s="31" t="s">
        <v>483</v>
      </c>
      <c r="E16" s="31" t="s">
        <v>1609</v>
      </c>
      <c r="F16" s="59" t="s">
        <v>1931</v>
      </c>
      <c r="G16" s="31" t="s">
        <v>2271</v>
      </c>
      <c r="J16" t="s">
        <v>771</v>
      </c>
      <c r="L16" s="31">
        <v>100</v>
      </c>
      <c r="M16" s="31">
        <v>15</v>
      </c>
      <c r="P16" s="31">
        <v>1</v>
      </c>
      <c r="Q16" s="232">
        <f t="shared" si="0"/>
        <v>0.25</v>
      </c>
      <c r="R16" s="40">
        <v>0.85</v>
      </c>
      <c r="S16" s="334">
        <f t="shared" si="1"/>
        <v>0.21249999999999999</v>
      </c>
      <c r="T16" s="31">
        <f>VLOOKUP(A16,'Ansvar kurs'!$A$1:$C$1010,2,FALSE)</f>
        <v>5100</v>
      </c>
      <c r="U16" s="31" t="str">
        <f>VLOOKUP(T16,Orgenheter!$A$1:$C$165,2,FALSE)</f>
        <v>EMG</v>
      </c>
      <c r="V16" s="31" t="str">
        <f>VLOOKUP(T16,Orgenheter!$A$1:$C$165,3,FALSE)</f>
        <v>TekNat</v>
      </c>
      <c r="W16" s="37" t="str">
        <f>VLOOKUP(D16,Program!$A$1:$B$34,2,FALSE)</f>
        <v>Ämneslärarprogrammet - Gy</v>
      </c>
      <c r="X16" s="42">
        <f>VLOOKUP(A16,kurspris!$A$1:$Q$798,15,FALSE)</f>
        <v>19473</v>
      </c>
      <c r="Y16" s="42">
        <f>VLOOKUP(A16,kurspris!$A$1:$Q$798,16,FALSE)</f>
        <v>34806</v>
      </c>
      <c r="Z16" s="42">
        <f t="shared" si="2"/>
        <v>12264.525</v>
      </c>
      <c r="AA16" s="42">
        <f>VLOOKUP(A16,kurspris!$A$1:$Q$798,17,FALSE)</f>
        <v>21800</v>
      </c>
      <c r="AB16" s="42">
        <f t="shared" si="3"/>
        <v>5450</v>
      </c>
      <c r="AC16" s="42">
        <f t="shared" si="4"/>
        <v>17714.525000000001</v>
      </c>
      <c r="AD16" s="31">
        <f>VLOOKUP($A16,kurspris!$A$1:$Q$835,3,FALSE)</f>
        <v>0</v>
      </c>
      <c r="AE16" s="31">
        <f>VLOOKUP($A16,kurspris!$A$1:$Q$835,4,FALSE)</f>
        <v>0</v>
      </c>
      <c r="AF16" s="31">
        <f>VLOOKUP($A16,kurspris!$A$1:$Q$835,5,FALSE)</f>
        <v>0</v>
      </c>
      <c r="AG16" s="31">
        <f>VLOOKUP($A16,kurspris!$A$1:$Q$835,6,FALSE)</f>
        <v>0</v>
      </c>
      <c r="AH16" s="31">
        <f>VLOOKUP($A16,kurspris!$A$1:$Q$835,7,FALSE)</f>
        <v>0</v>
      </c>
      <c r="AI16" s="31">
        <f>VLOOKUP($A16,kurspris!$A$1:$Q$835,8,FALSE)</f>
        <v>0.5</v>
      </c>
      <c r="AJ16" s="31">
        <f>VLOOKUP($A16,kurspris!$A$1:$Q$835,9,FALSE)</f>
        <v>0</v>
      </c>
      <c r="AK16" s="31">
        <f>VLOOKUP($A16,kurspris!$A$1:$Q$835,10,FALSE)</f>
        <v>0.5</v>
      </c>
      <c r="AL16" s="31">
        <f>VLOOKUP($A16,kurspris!$A$1:$Q$835,11,FALSE)</f>
        <v>0</v>
      </c>
      <c r="AM16" s="31">
        <f>VLOOKUP($A16,kurspris!$A$1:$Q$835,12,FALSE)</f>
        <v>0</v>
      </c>
      <c r="AN16" s="31">
        <f>VLOOKUP($A16,kurspris!$A$1:$Q$835,13,FALSE)</f>
        <v>0</v>
      </c>
      <c r="AO16" s="31">
        <f>VLOOKUP($A16,kurspris!$A$1:$Q$835,14,FALSE)</f>
        <v>0</v>
      </c>
      <c r="AP16" s="39" t="s">
        <v>2326</v>
      </c>
      <c r="AQ16"/>
      <c r="AR16" s="31">
        <f t="shared" si="5"/>
        <v>0</v>
      </c>
      <c r="AS16" s="255">
        <f t="shared" si="6"/>
        <v>0</v>
      </c>
      <c r="AT16" s="31">
        <f t="shared" si="7"/>
        <v>0</v>
      </c>
      <c r="AU16" s="255">
        <f t="shared" si="8"/>
        <v>0</v>
      </c>
      <c r="AV16" s="31">
        <f t="shared" si="9"/>
        <v>0</v>
      </c>
      <c r="AW16" s="31">
        <f t="shared" si="10"/>
        <v>0</v>
      </c>
      <c r="AX16" s="31">
        <f t="shared" si="11"/>
        <v>0</v>
      </c>
      <c r="AY16" s="255">
        <f t="shared" si="12"/>
        <v>0</v>
      </c>
      <c r="AZ16" s="232">
        <f t="shared" si="13"/>
        <v>0</v>
      </c>
      <c r="BA16" s="255">
        <f t="shared" si="14"/>
        <v>0</v>
      </c>
      <c r="BB16" s="31">
        <f t="shared" si="15"/>
        <v>0.125</v>
      </c>
      <c r="BC16" s="255">
        <f t="shared" si="16"/>
        <v>0.10625</v>
      </c>
      <c r="BD16" s="31">
        <f t="shared" si="17"/>
        <v>0</v>
      </c>
      <c r="BE16" s="255">
        <f t="shared" si="18"/>
        <v>0</v>
      </c>
      <c r="BF16" s="31">
        <f t="shared" si="19"/>
        <v>0.125</v>
      </c>
      <c r="BG16" s="255">
        <f t="shared" si="20"/>
        <v>0.10625</v>
      </c>
      <c r="BH16" s="31">
        <f t="shared" si="21"/>
        <v>0</v>
      </c>
      <c r="BI16" s="255">
        <f t="shared" si="22"/>
        <v>0</v>
      </c>
      <c r="BJ16" s="31">
        <f t="shared" si="23"/>
        <v>0</v>
      </c>
      <c r="BK16" s="31">
        <f t="shared" si="24"/>
        <v>0</v>
      </c>
      <c r="BL16" s="255">
        <f t="shared" si="25"/>
        <v>0</v>
      </c>
      <c r="BM16" s="31">
        <f t="shared" si="26"/>
        <v>0</v>
      </c>
      <c r="BN16" s="255">
        <f t="shared" si="27"/>
        <v>0</v>
      </c>
    </row>
    <row r="17" spans="1:66" x14ac:dyDescent="0.25">
      <c r="A17" s="18" t="s">
        <v>1562</v>
      </c>
      <c r="B17" s="186" t="str">
        <f>VLOOKUP(A17,kurspris!$A$1:$B$877,2,FALSE)</f>
        <v>Genetik och evolution</v>
      </c>
      <c r="C17" s="37"/>
      <c r="D17" s="31" t="s">
        <v>483</v>
      </c>
      <c r="E17" s="31" t="s">
        <v>1788</v>
      </c>
      <c r="F17" s="59" t="s">
        <v>1931</v>
      </c>
      <c r="G17" s="31" t="s">
        <v>2271</v>
      </c>
      <c r="J17" t="s">
        <v>1591</v>
      </c>
      <c r="L17" s="31">
        <v>100</v>
      </c>
      <c r="M17" s="31">
        <v>15</v>
      </c>
      <c r="P17" s="31">
        <v>5</v>
      </c>
      <c r="Q17" s="232">
        <f t="shared" si="0"/>
        <v>1.25</v>
      </c>
      <c r="R17" s="40">
        <v>0.85</v>
      </c>
      <c r="S17" s="334">
        <f t="shared" si="1"/>
        <v>1.0625</v>
      </c>
      <c r="T17" s="31">
        <f>VLOOKUP(A17,'Ansvar kurs'!$A$1:$C$1010,2,FALSE)</f>
        <v>5100</v>
      </c>
      <c r="U17" s="31" t="str">
        <f>VLOOKUP(T17,Orgenheter!$A$1:$C$165,2,FALSE)</f>
        <v>EMG</v>
      </c>
      <c r="V17" s="31" t="str">
        <f>VLOOKUP(T17,Orgenheter!$A$1:$C$165,3,FALSE)</f>
        <v>TekNat</v>
      </c>
      <c r="W17" s="37" t="str">
        <f>VLOOKUP(D17,Program!$A$1:$B$34,2,FALSE)</f>
        <v>Ämneslärarprogrammet - Gy</v>
      </c>
      <c r="X17" s="42">
        <f>VLOOKUP(A17,kurspris!$A$1:$Q$798,15,FALSE)</f>
        <v>19473</v>
      </c>
      <c r="Y17" s="42">
        <f>VLOOKUP(A17,kurspris!$A$1:$Q$798,16,FALSE)</f>
        <v>34806</v>
      </c>
      <c r="Z17" s="42">
        <f t="shared" si="2"/>
        <v>61322.625</v>
      </c>
      <c r="AA17" s="42">
        <f>VLOOKUP(A17,kurspris!$A$1:$Q$798,17,FALSE)</f>
        <v>21800</v>
      </c>
      <c r="AB17" s="42">
        <f t="shared" si="3"/>
        <v>27250</v>
      </c>
      <c r="AC17" s="42">
        <f t="shared" si="4"/>
        <v>88572.625</v>
      </c>
      <c r="AD17" s="31">
        <f>VLOOKUP($A17,kurspris!$A$1:$Q$835,3,FALSE)</f>
        <v>0</v>
      </c>
      <c r="AE17" s="31">
        <f>VLOOKUP($A17,kurspris!$A$1:$Q$835,4,FALSE)</f>
        <v>0</v>
      </c>
      <c r="AF17" s="31">
        <f>VLOOKUP($A17,kurspris!$A$1:$Q$835,5,FALSE)</f>
        <v>0</v>
      </c>
      <c r="AG17" s="31">
        <f>VLOOKUP($A17,kurspris!$A$1:$Q$835,6,FALSE)</f>
        <v>0</v>
      </c>
      <c r="AH17" s="31">
        <f>VLOOKUP($A17,kurspris!$A$1:$Q$835,7,FALSE)</f>
        <v>0</v>
      </c>
      <c r="AI17" s="31">
        <f>VLOOKUP($A17,kurspris!$A$1:$Q$835,8,FALSE)</f>
        <v>0.5</v>
      </c>
      <c r="AJ17" s="31">
        <f>VLOOKUP($A17,kurspris!$A$1:$Q$835,9,FALSE)</f>
        <v>0</v>
      </c>
      <c r="AK17" s="31">
        <f>VLOOKUP($A17,kurspris!$A$1:$Q$835,10,FALSE)</f>
        <v>0.5</v>
      </c>
      <c r="AL17" s="31">
        <f>VLOOKUP($A17,kurspris!$A$1:$Q$835,11,FALSE)</f>
        <v>0</v>
      </c>
      <c r="AM17" s="31">
        <f>VLOOKUP($A17,kurspris!$A$1:$Q$835,12,FALSE)</f>
        <v>0</v>
      </c>
      <c r="AN17" s="31">
        <f>VLOOKUP($A17,kurspris!$A$1:$Q$835,13,FALSE)</f>
        <v>0</v>
      </c>
      <c r="AO17" s="31">
        <f>VLOOKUP($A17,kurspris!$A$1:$Q$835,14,FALSE)</f>
        <v>0</v>
      </c>
      <c r="AP17" s="39" t="s">
        <v>2326</v>
      </c>
      <c r="AQ17"/>
      <c r="AR17" s="31">
        <f t="shared" si="5"/>
        <v>0</v>
      </c>
      <c r="AS17" s="255">
        <f t="shared" si="6"/>
        <v>0</v>
      </c>
      <c r="AT17" s="31">
        <f t="shared" si="7"/>
        <v>0</v>
      </c>
      <c r="AU17" s="255">
        <f t="shared" si="8"/>
        <v>0</v>
      </c>
      <c r="AV17" s="31">
        <f t="shared" si="9"/>
        <v>0</v>
      </c>
      <c r="AW17" s="31">
        <f t="shared" si="10"/>
        <v>0</v>
      </c>
      <c r="AX17" s="31">
        <f t="shared" si="11"/>
        <v>0</v>
      </c>
      <c r="AY17" s="255">
        <f t="shared" si="12"/>
        <v>0</v>
      </c>
      <c r="AZ17" s="232">
        <f t="shared" si="13"/>
        <v>0</v>
      </c>
      <c r="BA17" s="255">
        <f t="shared" si="14"/>
        <v>0</v>
      </c>
      <c r="BB17" s="31">
        <f t="shared" si="15"/>
        <v>0.625</v>
      </c>
      <c r="BC17" s="255">
        <f t="shared" si="16"/>
        <v>0.53125</v>
      </c>
      <c r="BD17" s="31">
        <f t="shared" si="17"/>
        <v>0</v>
      </c>
      <c r="BE17" s="255">
        <f t="shared" si="18"/>
        <v>0</v>
      </c>
      <c r="BF17" s="31">
        <f t="shared" si="19"/>
        <v>0.625</v>
      </c>
      <c r="BG17" s="255">
        <f t="shared" si="20"/>
        <v>0.53125</v>
      </c>
      <c r="BH17" s="31">
        <f t="shared" si="21"/>
        <v>0</v>
      </c>
      <c r="BI17" s="255">
        <f t="shared" si="22"/>
        <v>0</v>
      </c>
      <c r="BJ17" s="31">
        <f t="shared" si="23"/>
        <v>0</v>
      </c>
      <c r="BK17" s="31">
        <f t="shared" si="24"/>
        <v>0</v>
      </c>
      <c r="BL17" s="255">
        <f t="shared" si="25"/>
        <v>0</v>
      </c>
      <c r="BM17" s="31">
        <f t="shared" si="26"/>
        <v>0</v>
      </c>
      <c r="BN17" s="255">
        <f t="shared" si="27"/>
        <v>0</v>
      </c>
    </row>
    <row r="18" spans="1:66" x14ac:dyDescent="0.25">
      <c r="A18" t="s">
        <v>2099</v>
      </c>
      <c r="B18" s="186" t="str">
        <f>VLOOKUP(A18,kurspris!$A$1:$B$877,2,FALSE)</f>
        <v>Ekologi</v>
      </c>
      <c r="C18"/>
      <c r="D18" t="s">
        <v>483</v>
      </c>
      <c r="E18" t="s">
        <v>1976</v>
      </c>
      <c r="F18" s="59" t="s">
        <v>1930</v>
      </c>
      <c r="G18" t="s">
        <v>1980</v>
      </c>
      <c r="H18" t="s">
        <v>1910</v>
      </c>
      <c r="I18"/>
      <c r="J18" t="s">
        <v>773</v>
      </c>
      <c r="K18"/>
      <c r="L18">
        <v>100</v>
      </c>
      <c r="M18">
        <v>15</v>
      </c>
      <c r="N18"/>
      <c r="O18"/>
      <c r="P18" s="31">
        <v>1</v>
      </c>
      <c r="Q18" s="232">
        <f t="shared" si="0"/>
        <v>0.25</v>
      </c>
      <c r="R18" s="40">
        <v>0.85</v>
      </c>
      <c r="S18" s="334">
        <f t="shared" si="1"/>
        <v>0.21249999999999999</v>
      </c>
      <c r="T18" s="31">
        <f>VLOOKUP(A18,'Ansvar kurs'!$A$1:$C$1010,2,FALSE)</f>
        <v>5100</v>
      </c>
      <c r="U18" s="31" t="str">
        <f>VLOOKUP(T18,Orgenheter!$A$1:$C$165,2,FALSE)</f>
        <v>EMG</v>
      </c>
      <c r="V18" s="31" t="str">
        <f>VLOOKUP(T18,Orgenheter!$A$1:$C$165,3,FALSE)</f>
        <v>TekNat</v>
      </c>
      <c r="W18" s="37" t="str">
        <f>VLOOKUP(D18,Program!$A$1:$B$34,2,FALSE)</f>
        <v>Ämneslärarprogrammet - Gy</v>
      </c>
      <c r="X18" s="42">
        <f>VLOOKUP(A18,kurspris!$A$1:$Q$798,15,FALSE)</f>
        <v>19473</v>
      </c>
      <c r="Y18" s="42">
        <f>VLOOKUP(A18,kurspris!$A$1:$Q$798,16,FALSE)</f>
        <v>34806</v>
      </c>
      <c r="Z18" s="42">
        <f t="shared" si="2"/>
        <v>12264.525</v>
      </c>
      <c r="AA18" s="42">
        <f>VLOOKUP(A18,kurspris!$A$1:$Q$798,17,FALSE)</f>
        <v>21800</v>
      </c>
      <c r="AB18" s="42">
        <f t="shared" si="3"/>
        <v>5450</v>
      </c>
      <c r="AC18" s="42">
        <f t="shared" si="4"/>
        <v>17714.525000000001</v>
      </c>
      <c r="AD18" s="31">
        <f>VLOOKUP($A18,kurspris!$A$1:$Q$835,3,FALSE)</f>
        <v>0</v>
      </c>
      <c r="AE18" s="31">
        <f>VLOOKUP($A18,kurspris!$A$1:$Q$835,4,FALSE)</f>
        <v>0</v>
      </c>
      <c r="AF18" s="31">
        <f>VLOOKUP($A18,kurspris!$A$1:$Q$835,5,FALSE)</f>
        <v>0</v>
      </c>
      <c r="AG18" s="31">
        <f>VLOOKUP($A18,kurspris!$A$1:$Q$835,6,FALSE)</f>
        <v>0</v>
      </c>
      <c r="AH18" s="31">
        <f>VLOOKUP($A18,kurspris!$A$1:$Q$835,7,FALSE)</f>
        <v>0</v>
      </c>
      <c r="AI18" s="31">
        <f>VLOOKUP($A18,kurspris!$A$1:$Q$835,8,FALSE)</f>
        <v>1</v>
      </c>
      <c r="AJ18" s="31">
        <f>VLOOKUP($A18,kurspris!$A$1:$Q$835,9,FALSE)</f>
        <v>0</v>
      </c>
      <c r="AK18" s="31">
        <f>VLOOKUP($A18,kurspris!$A$1:$Q$835,10,FALSE)</f>
        <v>0</v>
      </c>
      <c r="AL18" s="31">
        <f>VLOOKUP($A18,kurspris!$A$1:$Q$835,11,FALSE)</f>
        <v>0</v>
      </c>
      <c r="AM18" s="31">
        <f>VLOOKUP($A18,kurspris!$A$1:$Q$835,12,FALSE)</f>
        <v>0</v>
      </c>
      <c r="AN18" s="31">
        <f>VLOOKUP($A18,kurspris!$A$1:$Q$835,13,FALSE)</f>
        <v>0</v>
      </c>
      <c r="AO18" s="31">
        <f>VLOOKUP($A18,kurspris!$A$1:$Q$835,14,FALSE)</f>
        <v>0</v>
      </c>
      <c r="AP18" s="39" t="s">
        <v>2232</v>
      </c>
      <c r="AQ18"/>
      <c r="AR18" s="31">
        <f t="shared" si="5"/>
        <v>0</v>
      </c>
      <c r="AS18" s="255">
        <f t="shared" si="6"/>
        <v>0</v>
      </c>
      <c r="AT18" s="31">
        <f t="shared" si="7"/>
        <v>0</v>
      </c>
      <c r="AU18" s="255">
        <f t="shared" si="8"/>
        <v>0</v>
      </c>
      <c r="AV18" s="31">
        <f t="shared" si="9"/>
        <v>0</v>
      </c>
      <c r="AW18" s="31">
        <f t="shared" si="10"/>
        <v>0</v>
      </c>
      <c r="AX18" s="31">
        <f t="shared" si="11"/>
        <v>0</v>
      </c>
      <c r="AY18" s="255">
        <f t="shared" si="12"/>
        <v>0</v>
      </c>
      <c r="AZ18" s="232">
        <f t="shared" si="13"/>
        <v>0</v>
      </c>
      <c r="BA18" s="255">
        <f t="shared" si="14"/>
        <v>0</v>
      </c>
      <c r="BB18" s="31">
        <f t="shared" si="15"/>
        <v>0.25</v>
      </c>
      <c r="BC18" s="255">
        <f t="shared" si="16"/>
        <v>0.21249999999999999</v>
      </c>
      <c r="BD18" s="31">
        <f t="shared" si="17"/>
        <v>0</v>
      </c>
      <c r="BE18" s="255">
        <f t="shared" si="18"/>
        <v>0</v>
      </c>
      <c r="BF18" s="31">
        <f t="shared" si="19"/>
        <v>0</v>
      </c>
      <c r="BG18" s="255">
        <f t="shared" si="20"/>
        <v>0</v>
      </c>
      <c r="BH18" s="31">
        <f t="shared" si="21"/>
        <v>0</v>
      </c>
      <c r="BI18" s="255">
        <f t="shared" si="22"/>
        <v>0</v>
      </c>
      <c r="BJ18" s="31">
        <f t="shared" si="23"/>
        <v>0</v>
      </c>
      <c r="BK18" s="31">
        <f t="shared" si="24"/>
        <v>0</v>
      </c>
      <c r="BL18" s="255">
        <f t="shared" si="25"/>
        <v>0</v>
      </c>
      <c r="BM18" s="31">
        <f t="shared" si="26"/>
        <v>0</v>
      </c>
      <c r="BN18" s="255">
        <f t="shared" si="27"/>
        <v>0</v>
      </c>
    </row>
    <row r="19" spans="1:66" x14ac:dyDescent="0.25">
      <c r="A19" t="s">
        <v>2099</v>
      </c>
      <c r="B19" s="186" t="str">
        <f>VLOOKUP(A19,kurspris!$A$1:$B$877,2,FALSE)</f>
        <v>Ekologi</v>
      </c>
      <c r="C19"/>
      <c r="D19" t="s">
        <v>483</v>
      </c>
      <c r="E19" t="s">
        <v>1973</v>
      </c>
      <c r="F19" s="59" t="s">
        <v>1930</v>
      </c>
      <c r="G19" t="s">
        <v>1980</v>
      </c>
      <c r="H19" t="s">
        <v>1910</v>
      </c>
      <c r="I19"/>
      <c r="J19" t="s">
        <v>771</v>
      </c>
      <c r="K19"/>
      <c r="L19">
        <v>100</v>
      </c>
      <c r="M19">
        <v>15</v>
      </c>
      <c r="N19"/>
      <c r="O19"/>
      <c r="P19" s="31">
        <v>1</v>
      </c>
      <c r="Q19" s="232">
        <f t="shared" si="0"/>
        <v>0.25</v>
      </c>
      <c r="R19" s="40">
        <v>0.85</v>
      </c>
      <c r="S19" s="334">
        <f t="shared" si="1"/>
        <v>0.21249999999999999</v>
      </c>
      <c r="T19" s="31">
        <f>VLOOKUP(A19,'Ansvar kurs'!$A$1:$C$1010,2,FALSE)</f>
        <v>5100</v>
      </c>
      <c r="U19" s="31" t="str">
        <f>VLOOKUP(T19,Orgenheter!$A$1:$C$165,2,FALSE)</f>
        <v>EMG</v>
      </c>
      <c r="V19" s="31" t="str">
        <f>VLOOKUP(T19,Orgenheter!$A$1:$C$165,3,FALSE)</f>
        <v>TekNat</v>
      </c>
      <c r="W19" s="37" t="str">
        <f>VLOOKUP(D19,Program!$A$1:$B$34,2,FALSE)</f>
        <v>Ämneslärarprogrammet - Gy</v>
      </c>
      <c r="X19" s="42">
        <f>VLOOKUP(A19,kurspris!$A$1:$Q$798,15,FALSE)</f>
        <v>19473</v>
      </c>
      <c r="Y19" s="42">
        <f>VLOOKUP(A19,kurspris!$A$1:$Q$798,16,FALSE)</f>
        <v>34806</v>
      </c>
      <c r="Z19" s="42">
        <f t="shared" si="2"/>
        <v>12264.525</v>
      </c>
      <c r="AA19" s="42">
        <f>VLOOKUP(A19,kurspris!$A$1:$Q$798,17,FALSE)</f>
        <v>21800</v>
      </c>
      <c r="AB19" s="42">
        <f t="shared" si="3"/>
        <v>5450</v>
      </c>
      <c r="AC19" s="42">
        <f t="shared" si="4"/>
        <v>17714.525000000001</v>
      </c>
      <c r="AD19" s="31">
        <f>VLOOKUP($A19,kurspris!$A$1:$Q$835,3,FALSE)</f>
        <v>0</v>
      </c>
      <c r="AE19" s="31">
        <f>VLOOKUP($A19,kurspris!$A$1:$Q$835,4,FALSE)</f>
        <v>0</v>
      </c>
      <c r="AF19" s="31">
        <f>VLOOKUP($A19,kurspris!$A$1:$Q$835,5,FALSE)</f>
        <v>0</v>
      </c>
      <c r="AG19" s="31">
        <f>VLOOKUP($A19,kurspris!$A$1:$Q$835,6,FALSE)</f>
        <v>0</v>
      </c>
      <c r="AH19" s="31">
        <f>VLOOKUP($A19,kurspris!$A$1:$Q$835,7,FALSE)</f>
        <v>0</v>
      </c>
      <c r="AI19" s="31">
        <f>VLOOKUP($A19,kurspris!$A$1:$Q$835,8,FALSE)</f>
        <v>1</v>
      </c>
      <c r="AJ19" s="31">
        <f>VLOOKUP($A19,kurspris!$A$1:$Q$835,9,FALSE)</f>
        <v>0</v>
      </c>
      <c r="AK19" s="31">
        <f>VLOOKUP($A19,kurspris!$A$1:$Q$835,10,FALSE)</f>
        <v>0</v>
      </c>
      <c r="AL19" s="31">
        <f>VLOOKUP($A19,kurspris!$A$1:$Q$835,11,FALSE)</f>
        <v>0</v>
      </c>
      <c r="AM19" s="31">
        <f>VLOOKUP($A19,kurspris!$A$1:$Q$835,12,FALSE)</f>
        <v>0</v>
      </c>
      <c r="AN19" s="31">
        <f>VLOOKUP($A19,kurspris!$A$1:$Q$835,13,FALSE)</f>
        <v>0</v>
      </c>
      <c r="AO19" s="31">
        <f>VLOOKUP($A19,kurspris!$A$1:$Q$835,14,FALSE)</f>
        <v>0</v>
      </c>
      <c r="AP19" s="39" t="s">
        <v>2232</v>
      </c>
      <c r="AQ19"/>
      <c r="AR19" s="31">
        <f t="shared" si="5"/>
        <v>0</v>
      </c>
      <c r="AS19" s="255">
        <f t="shared" si="6"/>
        <v>0</v>
      </c>
      <c r="AT19" s="31">
        <f t="shared" si="7"/>
        <v>0</v>
      </c>
      <c r="AU19" s="255">
        <f t="shared" si="8"/>
        <v>0</v>
      </c>
      <c r="AV19" s="31">
        <f t="shared" si="9"/>
        <v>0</v>
      </c>
      <c r="AW19" s="31">
        <f t="shared" si="10"/>
        <v>0</v>
      </c>
      <c r="AX19" s="31">
        <f t="shared" si="11"/>
        <v>0</v>
      </c>
      <c r="AY19" s="255">
        <f t="shared" si="12"/>
        <v>0</v>
      </c>
      <c r="AZ19" s="232">
        <f t="shared" si="13"/>
        <v>0</v>
      </c>
      <c r="BA19" s="255">
        <f t="shared" si="14"/>
        <v>0</v>
      </c>
      <c r="BB19" s="31">
        <f t="shared" si="15"/>
        <v>0.25</v>
      </c>
      <c r="BC19" s="255">
        <f t="shared" si="16"/>
        <v>0.21249999999999999</v>
      </c>
      <c r="BD19" s="31">
        <f t="shared" si="17"/>
        <v>0</v>
      </c>
      <c r="BE19" s="255">
        <f t="shared" si="18"/>
        <v>0</v>
      </c>
      <c r="BF19" s="31">
        <f t="shared" si="19"/>
        <v>0</v>
      </c>
      <c r="BG19" s="255">
        <f t="shared" si="20"/>
        <v>0</v>
      </c>
      <c r="BH19" s="31">
        <f t="shared" si="21"/>
        <v>0</v>
      </c>
      <c r="BI19" s="255">
        <f t="shared" si="22"/>
        <v>0</v>
      </c>
      <c r="BJ19" s="31">
        <f t="shared" si="23"/>
        <v>0</v>
      </c>
      <c r="BK19" s="31">
        <f t="shared" si="24"/>
        <v>0</v>
      </c>
      <c r="BL19" s="255">
        <f t="shared" si="25"/>
        <v>0</v>
      </c>
      <c r="BM19" s="31">
        <f t="shared" si="26"/>
        <v>0</v>
      </c>
      <c r="BN19" s="255">
        <f t="shared" si="27"/>
        <v>0</v>
      </c>
    </row>
    <row r="20" spans="1:66" x14ac:dyDescent="0.25">
      <c r="A20" t="s">
        <v>2099</v>
      </c>
      <c r="B20" s="186" t="str">
        <f>VLOOKUP(A20,kurspris!$A$1:$B$877,2,FALSE)</f>
        <v>Ekologi</v>
      </c>
      <c r="C20"/>
      <c r="D20" t="s">
        <v>483</v>
      </c>
      <c r="E20" t="s">
        <v>1973</v>
      </c>
      <c r="F20" s="59" t="s">
        <v>1930</v>
      </c>
      <c r="G20" t="s">
        <v>1980</v>
      </c>
      <c r="H20" t="s">
        <v>1910</v>
      </c>
      <c r="I20"/>
      <c r="J20" t="s">
        <v>773</v>
      </c>
      <c r="K20"/>
      <c r="L20">
        <v>100</v>
      </c>
      <c r="M20">
        <v>15</v>
      </c>
      <c r="N20"/>
      <c r="O20"/>
      <c r="P20" s="31">
        <v>1</v>
      </c>
      <c r="Q20" s="232">
        <f t="shared" si="0"/>
        <v>0.25</v>
      </c>
      <c r="R20" s="40">
        <v>0.85</v>
      </c>
      <c r="S20" s="334">
        <f t="shared" si="1"/>
        <v>0.21249999999999999</v>
      </c>
      <c r="T20" s="31">
        <f>VLOOKUP(A20,'Ansvar kurs'!$A$1:$C$1010,2,FALSE)</f>
        <v>5100</v>
      </c>
      <c r="U20" s="31" t="str">
        <f>VLOOKUP(T20,Orgenheter!$A$1:$C$165,2,FALSE)</f>
        <v>EMG</v>
      </c>
      <c r="V20" s="31" t="str">
        <f>VLOOKUP(T20,Orgenheter!$A$1:$C$165,3,FALSE)</f>
        <v>TekNat</v>
      </c>
      <c r="W20" s="37" t="str">
        <f>VLOOKUP(D20,Program!$A$1:$B$34,2,FALSE)</f>
        <v>Ämneslärarprogrammet - Gy</v>
      </c>
      <c r="X20" s="42">
        <f>VLOOKUP(A20,kurspris!$A$1:$Q$798,15,FALSE)</f>
        <v>19473</v>
      </c>
      <c r="Y20" s="42">
        <f>VLOOKUP(A20,kurspris!$A$1:$Q$798,16,FALSE)</f>
        <v>34806</v>
      </c>
      <c r="Z20" s="42">
        <f t="shared" si="2"/>
        <v>12264.525</v>
      </c>
      <c r="AA20" s="42">
        <f>VLOOKUP(A20,kurspris!$A$1:$Q$798,17,FALSE)</f>
        <v>21800</v>
      </c>
      <c r="AB20" s="42">
        <f t="shared" si="3"/>
        <v>5450</v>
      </c>
      <c r="AC20" s="42">
        <f t="shared" si="4"/>
        <v>17714.525000000001</v>
      </c>
      <c r="AD20" s="31">
        <f>VLOOKUP($A20,kurspris!$A$1:$Q$835,3,FALSE)</f>
        <v>0</v>
      </c>
      <c r="AE20" s="31">
        <f>VLOOKUP($A20,kurspris!$A$1:$Q$835,4,FALSE)</f>
        <v>0</v>
      </c>
      <c r="AF20" s="31">
        <f>VLOOKUP($A20,kurspris!$A$1:$Q$835,5,FALSE)</f>
        <v>0</v>
      </c>
      <c r="AG20" s="31">
        <f>VLOOKUP($A20,kurspris!$A$1:$Q$835,6,FALSE)</f>
        <v>0</v>
      </c>
      <c r="AH20" s="31">
        <f>VLOOKUP($A20,kurspris!$A$1:$Q$835,7,FALSE)</f>
        <v>0</v>
      </c>
      <c r="AI20" s="31">
        <f>VLOOKUP($A20,kurspris!$A$1:$Q$835,8,FALSE)</f>
        <v>1</v>
      </c>
      <c r="AJ20" s="31">
        <f>VLOOKUP($A20,kurspris!$A$1:$Q$835,9,FALSE)</f>
        <v>0</v>
      </c>
      <c r="AK20" s="31">
        <f>VLOOKUP($A20,kurspris!$A$1:$Q$835,10,FALSE)</f>
        <v>0</v>
      </c>
      <c r="AL20" s="31">
        <f>VLOOKUP($A20,kurspris!$A$1:$Q$835,11,FALSE)</f>
        <v>0</v>
      </c>
      <c r="AM20" s="31">
        <f>VLOOKUP($A20,kurspris!$A$1:$Q$835,12,FALSE)</f>
        <v>0</v>
      </c>
      <c r="AN20" s="31">
        <f>VLOOKUP($A20,kurspris!$A$1:$Q$835,13,FALSE)</f>
        <v>0</v>
      </c>
      <c r="AO20" s="31">
        <f>VLOOKUP($A20,kurspris!$A$1:$Q$835,14,FALSE)</f>
        <v>0</v>
      </c>
      <c r="AP20" s="39" t="s">
        <v>2232</v>
      </c>
      <c r="AQ20"/>
      <c r="AR20" s="31">
        <f t="shared" si="5"/>
        <v>0</v>
      </c>
      <c r="AS20" s="255">
        <f t="shared" si="6"/>
        <v>0</v>
      </c>
      <c r="AT20" s="31">
        <f t="shared" si="7"/>
        <v>0</v>
      </c>
      <c r="AU20" s="255">
        <f t="shared" si="8"/>
        <v>0</v>
      </c>
      <c r="AV20" s="31">
        <f t="shared" si="9"/>
        <v>0</v>
      </c>
      <c r="AW20" s="31">
        <f t="shared" si="10"/>
        <v>0</v>
      </c>
      <c r="AX20" s="31">
        <f t="shared" si="11"/>
        <v>0</v>
      </c>
      <c r="AY20" s="255">
        <f t="shared" si="12"/>
        <v>0</v>
      </c>
      <c r="AZ20" s="232">
        <f t="shared" si="13"/>
        <v>0</v>
      </c>
      <c r="BA20" s="255">
        <f t="shared" si="14"/>
        <v>0</v>
      </c>
      <c r="BB20" s="31">
        <f t="shared" si="15"/>
        <v>0.25</v>
      </c>
      <c r="BC20" s="255">
        <f t="shared" si="16"/>
        <v>0.21249999999999999</v>
      </c>
      <c r="BD20" s="31">
        <f t="shared" si="17"/>
        <v>0</v>
      </c>
      <c r="BE20" s="255">
        <f t="shared" si="18"/>
        <v>0</v>
      </c>
      <c r="BF20" s="31">
        <f t="shared" si="19"/>
        <v>0</v>
      </c>
      <c r="BG20" s="255">
        <f t="shared" si="20"/>
        <v>0</v>
      </c>
      <c r="BH20" s="31">
        <f t="shared" si="21"/>
        <v>0</v>
      </c>
      <c r="BI20" s="255">
        <f t="shared" si="22"/>
        <v>0</v>
      </c>
      <c r="BJ20" s="31">
        <f t="shared" si="23"/>
        <v>0</v>
      </c>
      <c r="BK20" s="31">
        <f t="shared" si="24"/>
        <v>0</v>
      </c>
      <c r="BL20" s="255">
        <f t="shared" si="25"/>
        <v>0</v>
      </c>
      <c r="BM20" s="31">
        <f t="shared" si="26"/>
        <v>0</v>
      </c>
      <c r="BN20" s="255">
        <f t="shared" si="27"/>
        <v>0</v>
      </c>
    </row>
    <row r="21" spans="1:66" x14ac:dyDescent="0.25">
      <c r="A21" t="s">
        <v>2099</v>
      </c>
      <c r="B21" s="186" t="str">
        <f>VLOOKUP(A21,kurspris!$A$1:$B$877,2,FALSE)</f>
        <v>Ekologi</v>
      </c>
      <c r="C21"/>
      <c r="D21" t="s">
        <v>483</v>
      </c>
      <c r="E21" t="s">
        <v>1973</v>
      </c>
      <c r="F21" s="59" t="s">
        <v>1930</v>
      </c>
      <c r="G21" t="s">
        <v>1980</v>
      </c>
      <c r="H21" t="s">
        <v>1910</v>
      </c>
      <c r="I21"/>
      <c r="J21" t="s">
        <v>774</v>
      </c>
      <c r="K21"/>
      <c r="L21">
        <v>100</v>
      </c>
      <c r="M21">
        <v>15</v>
      </c>
      <c r="N21"/>
      <c r="O21"/>
      <c r="P21" s="31">
        <v>1</v>
      </c>
      <c r="Q21" s="232">
        <f t="shared" si="0"/>
        <v>0.25</v>
      </c>
      <c r="R21" s="40">
        <v>0.85</v>
      </c>
      <c r="S21" s="334">
        <f t="shared" si="1"/>
        <v>0.21249999999999999</v>
      </c>
      <c r="T21" s="31">
        <f>VLOOKUP(A21,'Ansvar kurs'!$A$1:$C$1010,2,FALSE)</f>
        <v>5100</v>
      </c>
      <c r="U21" s="31" t="str">
        <f>VLOOKUP(T21,Orgenheter!$A$1:$C$165,2,FALSE)</f>
        <v>EMG</v>
      </c>
      <c r="V21" s="31" t="str">
        <f>VLOOKUP(T21,Orgenheter!$A$1:$C$165,3,FALSE)</f>
        <v>TekNat</v>
      </c>
      <c r="W21" s="37" t="str">
        <f>VLOOKUP(D21,Program!$A$1:$B$34,2,FALSE)</f>
        <v>Ämneslärarprogrammet - Gy</v>
      </c>
      <c r="X21" s="42">
        <f>VLOOKUP(A21,kurspris!$A$1:$Q$798,15,FALSE)</f>
        <v>19473</v>
      </c>
      <c r="Y21" s="42">
        <f>VLOOKUP(A21,kurspris!$A$1:$Q$798,16,FALSE)</f>
        <v>34806</v>
      </c>
      <c r="Z21" s="42">
        <f t="shared" si="2"/>
        <v>12264.525</v>
      </c>
      <c r="AA21" s="42">
        <f>VLOOKUP(A21,kurspris!$A$1:$Q$798,17,FALSE)</f>
        <v>21800</v>
      </c>
      <c r="AB21" s="42">
        <f t="shared" si="3"/>
        <v>5450</v>
      </c>
      <c r="AC21" s="42">
        <f t="shared" si="4"/>
        <v>17714.525000000001</v>
      </c>
      <c r="AD21" s="31">
        <f>VLOOKUP($A21,kurspris!$A$1:$Q$835,3,FALSE)</f>
        <v>0</v>
      </c>
      <c r="AE21" s="31">
        <f>VLOOKUP($A21,kurspris!$A$1:$Q$835,4,FALSE)</f>
        <v>0</v>
      </c>
      <c r="AF21" s="31">
        <f>VLOOKUP($A21,kurspris!$A$1:$Q$835,5,FALSE)</f>
        <v>0</v>
      </c>
      <c r="AG21" s="31">
        <f>VLOOKUP($A21,kurspris!$A$1:$Q$835,6,FALSE)</f>
        <v>0</v>
      </c>
      <c r="AH21" s="31">
        <f>VLOOKUP($A21,kurspris!$A$1:$Q$835,7,FALSE)</f>
        <v>0</v>
      </c>
      <c r="AI21" s="31">
        <f>VLOOKUP($A21,kurspris!$A$1:$Q$835,8,FALSE)</f>
        <v>1</v>
      </c>
      <c r="AJ21" s="31">
        <f>VLOOKUP($A21,kurspris!$A$1:$Q$835,9,FALSE)</f>
        <v>0</v>
      </c>
      <c r="AK21" s="31">
        <f>VLOOKUP($A21,kurspris!$A$1:$Q$835,10,FALSE)</f>
        <v>0</v>
      </c>
      <c r="AL21" s="31">
        <f>VLOOKUP($A21,kurspris!$A$1:$Q$835,11,FALSE)</f>
        <v>0</v>
      </c>
      <c r="AM21" s="31">
        <f>VLOOKUP($A21,kurspris!$A$1:$Q$835,12,FALSE)</f>
        <v>0</v>
      </c>
      <c r="AN21" s="31">
        <f>VLOOKUP($A21,kurspris!$A$1:$Q$835,13,FALSE)</f>
        <v>0</v>
      </c>
      <c r="AO21" s="31">
        <f>VLOOKUP($A21,kurspris!$A$1:$Q$835,14,FALSE)</f>
        <v>0</v>
      </c>
      <c r="AP21" s="39" t="s">
        <v>2232</v>
      </c>
      <c r="AQ21"/>
      <c r="AR21" s="31">
        <f t="shared" si="5"/>
        <v>0</v>
      </c>
      <c r="AS21" s="255">
        <f t="shared" si="6"/>
        <v>0</v>
      </c>
      <c r="AT21" s="31">
        <f t="shared" si="7"/>
        <v>0</v>
      </c>
      <c r="AU21" s="255">
        <f t="shared" si="8"/>
        <v>0</v>
      </c>
      <c r="AV21" s="31">
        <f t="shared" si="9"/>
        <v>0</v>
      </c>
      <c r="AW21" s="31">
        <f t="shared" si="10"/>
        <v>0</v>
      </c>
      <c r="AX21" s="31">
        <f t="shared" si="11"/>
        <v>0</v>
      </c>
      <c r="AY21" s="255">
        <f t="shared" si="12"/>
        <v>0</v>
      </c>
      <c r="AZ21" s="232">
        <f t="shared" si="13"/>
        <v>0</v>
      </c>
      <c r="BA21" s="255">
        <f t="shared" si="14"/>
        <v>0</v>
      </c>
      <c r="BB21" s="31">
        <f t="shared" si="15"/>
        <v>0.25</v>
      </c>
      <c r="BC21" s="255">
        <f t="shared" si="16"/>
        <v>0.21249999999999999</v>
      </c>
      <c r="BD21" s="31">
        <f t="shared" si="17"/>
        <v>0</v>
      </c>
      <c r="BE21" s="255">
        <f t="shared" si="18"/>
        <v>0</v>
      </c>
      <c r="BF21" s="31">
        <f t="shared" si="19"/>
        <v>0</v>
      </c>
      <c r="BG21" s="255">
        <f t="shared" si="20"/>
        <v>0</v>
      </c>
      <c r="BH21" s="31">
        <f t="shared" si="21"/>
        <v>0</v>
      </c>
      <c r="BI21" s="255">
        <f t="shared" si="22"/>
        <v>0</v>
      </c>
      <c r="BJ21" s="31">
        <f t="shared" si="23"/>
        <v>0</v>
      </c>
      <c r="BK21" s="31">
        <f t="shared" si="24"/>
        <v>0</v>
      </c>
      <c r="BL21" s="255">
        <f t="shared" si="25"/>
        <v>0</v>
      </c>
      <c r="BM21" s="31">
        <f t="shared" si="26"/>
        <v>0</v>
      </c>
      <c r="BN21" s="255">
        <f t="shared" si="27"/>
        <v>0</v>
      </c>
    </row>
    <row r="22" spans="1:66" x14ac:dyDescent="0.25">
      <c r="A22" t="s">
        <v>2099</v>
      </c>
      <c r="B22" s="186" t="str">
        <f>VLOOKUP(A22,kurspris!$A$1:$B$877,2,FALSE)</f>
        <v>Ekologi</v>
      </c>
      <c r="C22"/>
      <c r="D22" t="s">
        <v>483</v>
      </c>
      <c r="E22" t="s">
        <v>1788</v>
      </c>
      <c r="F22" s="59" t="s">
        <v>1930</v>
      </c>
      <c r="G22" t="s">
        <v>1980</v>
      </c>
      <c r="H22" t="s">
        <v>1910</v>
      </c>
      <c r="I22"/>
      <c r="J22" t="s">
        <v>1591</v>
      </c>
      <c r="K22"/>
      <c r="L22">
        <v>100</v>
      </c>
      <c r="M22">
        <v>15</v>
      </c>
      <c r="N22"/>
      <c r="O22"/>
      <c r="P22" s="31">
        <v>6</v>
      </c>
      <c r="Q22" s="232">
        <f t="shared" si="0"/>
        <v>1.5</v>
      </c>
      <c r="R22" s="40">
        <v>0.85</v>
      </c>
      <c r="S22" s="334">
        <f t="shared" si="1"/>
        <v>1.2749999999999999</v>
      </c>
      <c r="T22" s="31">
        <f>VLOOKUP(A22,'Ansvar kurs'!$A$1:$C$1010,2,FALSE)</f>
        <v>5100</v>
      </c>
      <c r="U22" s="31" t="str">
        <f>VLOOKUP(T22,Orgenheter!$A$1:$C$165,2,FALSE)</f>
        <v>EMG</v>
      </c>
      <c r="V22" s="31" t="str">
        <f>VLOOKUP(T22,Orgenheter!$A$1:$C$165,3,FALSE)</f>
        <v>TekNat</v>
      </c>
      <c r="W22" s="37" t="str">
        <f>VLOOKUP(D22,Program!$A$1:$B$34,2,FALSE)</f>
        <v>Ämneslärarprogrammet - Gy</v>
      </c>
      <c r="X22" s="42">
        <f>VLOOKUP(A22,kurspris!$A$1:$Q$798,15,FALSE)</f>
        <v>19473</v>
      </c>
      <c r="Y22" s="42">
        <f>VLOOKUP(A22,kurspris!$A$1:$Q$798,16,FALSE)</f>
        <v>34806</v>
      </c>
      <c r="Z22" s="42">
        <f t="shared" si="2"/>
        <v>73587.149999999994</v>
      </c>
      <c r="AA22" s="42">
        <f>VLOOKUP(A22,kurspris!$A$1:$Q$798,17,FALSE)</f>
        <v>21800</v>
      </c>
      <c r="AB22" s="42">
        <f t="shared" si="3"/>
        <v>32700</v>
      </c>
      <c r="AC22" s="42">
        <f t="shared" si="4"/>
        <v>106287.15</v>
      </c>
      <c r="AD22" s="31">
        <f>VLOOKUP($A22,kurspris!$A$1:$Q$835,3,FALSE)</f>
        <v>0</v>
      </c>
      <c r="AE22" s="31">
        <f>VLOOKUP($A22,kurspris!$A$1:$Q$835,4,FALSE)</f>
        <v>0</v>
      </c>
      <c r="AF22" s="31">
        <f>VLOOKUP($A22,kurspris!$A$1:$Q$835,5,FALSE)</f>
        <v>0</v>
      </c>
      <c r="AG22" s="31">
        <f>VLOOKUP($A22,kurspris!$A$1:$Q$835,6,FALSE)</f>
        <v>0</v>
      </c>
      <c r="AH22" s="31">
        <f>VLOOKUP($A22,kurspris!$A$1:$Q$835,7,FALSE)</f>
        <v>0</v>
      </c>
      <c r="AI22" s="31">
        <f>VLOOKUP($A22,kurspris!$A$1:$Q$835,8,FALSE)</f>
        <v>1</v>
      </c>
      <c r="AJ22" s="31">
        <f>VLOOKUP($A22,kurspris!$A$1:$Q$835,9,FALSE)</f>
        <v>0</v>
      </c>
      <c r="AK22" s="31">
        <f>VLOOKUP($A22,kurspris!$A$1:$Q$835,10,FALSE)</f>
        <v>0</v>
      </c>
      <c r="AL22" s="31">
        <f>VLOOKUP($A22,kurspris!$A$1:$Q$835,11,FALSE)</f>
        <v>0</v>
      </c>
      <c r="AM22" s="31">
        <f>VLOOKUP($A22,kurspris!$A$1:$Q$835,12,FALSE)</f>
        <v>0</v>
      </c>
      <c r="AN22" s="31">
        <f>VLOOKUP($A22,kurspris!$A$1:$Q$835,13,FALSE)</f>
        <v>0</v>
      </c>
      <c r="AO22" s="31">
        <f>VLOOKUP($A22,kurspris!$A$1:$Q$835,14,FALSE)</f>
        <v>0</v>
      </c>
      <c r="AP22" s="39" t="s">
        <v>2232</v>
      </c>
      <c r="AQ22"/>
      <c r="AR22" s="31">
        <f t="shared" si="5"/>
        <v>0</v>
      </c>
      <c r="AS22" s="255">
        <f t="shared" si="6"/>
        <v>0</v>
      </c>
      <c r="AT22" s="31">
        <f t="shared" si="7"/>
        <v>0</v>
      </c>
      <c r="AU22" s="255">
        <f t="shared" si="8"/>
        <v>0</v>
      </c>
      <c r="AV22" s="31">
        <f t="shared" si="9"/>
        <v>0</v>
      </c>
      <c r="AW22" s="31">
        <f t="shared" si="10"/>
        <v>0</v>
      </c>
      <c r="AX22" s="31">
        <f t="shared" si="11"/>
        <v>0</v>
      </c>
      <c r="AY22" s="255">
        <f t="shared" si="12"/>
        <v>0</v>
      </c>
      <c r="AZ22" s="232">
        <f t="shared" si="13"/>
        <v>0</v>
      </c>
      <c r="BA22" s="255">
        <f t="shared" si="14"/>
        <v>0</v>
      </c>
      <c r="BB22" s="31">
        <f t="shared" si="15"/>
        <v>1.5</v>
      </c>
      <c r="BC22" s="255">
        <f t="shared" si="16"/>
        <v>1.2749999999999999</v>
      </c>
      <c r="BD22" s="31">
        <f t="shared" si="17"/>
        <v>0</v>
      </c>
      <c r="BE22" s="255">
        <f t="shared" si="18"/>
        <v>0</v>
      </c>
      <c r="BF22" s="31">
        <f t="shared" si="19"/>
        <v>0</v>
      </c>
      <c r="BG22" s="255">
        <f t="shared" si="20"/>
        <v>0</v>
      </c>
      <c r="BH22" s="31">
        <f t="shared" si="21"/>
        <v>0</v>
      </c>
      <c r="BI22" s="255">
        <f t="shared" si="22"/>
        <v>0</v>
      </c>
      <c r="BJ22" s="31">
        <f t="shared" si="23"/>
        <v>0</v>
      </c>
      <c r="BK22" s="31">
        <f t="shared" si="24"/>
        <v>0</v>
      </c>
      <c r="BL22" s="255">
        <f t="shared" si="25"/>
        <v>0</v>
      </c>
      <c r="BM22" s="31">
        <f t="shared" si="26"/>
        <v>0</v>
      </c>
      <c r="BN22" s="255">
        <f t="shared" si="27"/>
        <v>0</v>
      </c>
    </row>
    <row r="23" spans="1:66" x14ac:dyDescent="0.25">
      <c r="A23" t="s">
        <v>2098</v>
      </c>
      <c r="B23" s="186" t="str">
        <f>VLOOKUP(A23,kurspris!$A$1:$B$877,2,FALSE)</f>
        <v>Ekologi A</v>
      </c>
      <c r="C23"/>
      <c r="D23" t="s">
        <v>483</v>
      </c>
      <c r="E23" t="s">
        <v>1973</v>
      </c>
      <c r="F23" s="59" t="s">
        <v>1930</v>
      </c>
      <c r="G23" t="s">
        <v>1979</v>
      </c>
      <c r="H23" t="s">
        <v>1910</v>
      </c>
      <c r="I23"/>
      <c r="J23" t="s">
        <v>771</v>
      </c>
      <c r="K23"/>
      <c r="L23">
        <v>100</v>
      </c>
      <c r="M23">
        <v>15</v>
      </c>
      <c r="N23"/>
      <c r="O23"/>
      <c r="P23" s="31">
        <v>1</v>
      </c>
      <c r="Q23" s="232">
        <f t="shared" si="0"/>
        <v>0.25</v>
      </c>
      <c r="R23" s="40">
        <v>0.85</v>
      </c>
      <c r="S23" s="334">
        <f t="shared" si="1"/>
        <v>0.21249999999999999</v>
      </c>
      <c r="T23" s="31">
        <f>VLOOKUP(A23,'Ansvar kurs'!$A$1:$C$1010,2,FALSE)</f>
        <v>5100</v>
      </c>
      <c r="U23" s="31" t="str">
        <f>VLOOKUP(T23,Orgenheter!$A$1:$C$165,2,FALSE)</f>
        <v>EMG</v>
      </c>
      <c r="V23" s="31" t="str">
        <f>VLOOKUP(T23,Orgenheter!$A$1:$C$165,3,FALSE)</f>
        <v>TekNat</v>
      </c>
      <c r="W23" s="37" t="str">
        <f>VLOOKUP(D23,Program!$A$1:$B$34,2,FALSE)</f>
        <v>Ämneslärarprogrammet - Gy</v>
      </c>
      <c r="X23" s="42">
        <f>VLOOKUP(A23,kurspris!$A$1:$Q$798,15,FALSE)</f>
        <v>19473</v>
      </c>
      <c r="Y23" s="42">
        <f>VLOOKUP(A23,kurspris!$A$1:$Q$798,16,FALSE)</f>
        <v>34806</v>
      </c>
      <c r="Z23" s="42">
        <f t="shared" si="2"/>
        <v>12264.525</v>
      </c>
      <c r="AA23" s="42">
        <f>VLOOKUP(A23,kurspris!$A$1:$Q$798,17,FALSE)</f>
        <v>21800</v>
      </c>
      <c r="AB23" s="42">
        <f t="shared" si="3"/>
        <v>5450</v>
      </c>
      <c r="AC23" s="42">
        <f t="shared" si="4"/>
        <v>17714.525000000001</v>
      </c>
      <c r="AD23" s="31">
        <f>VLOOKUP($A23,kurspris!$A$1:$Q$835,3,FALSE)</f>
        <v>0</v>
      </c>
      <c r="AE23" s="31">
        <f>VLOOKUP($A23,kurspris!$A$1:$Q$835,4,FALSE)</f>
        <v>0</v>
      </c>
      <c r="AF23" s="31">
        <f>VLOOKUP($A23,kurspris!$A$1:$Q$835,5,FALSE)</f>
        <v>0</v>
      </c>
      <c r="AG23" s="31">
        <f>VLOOKUP($A23,kurspris!$A$1:$Q$835,6,FALSE)</f>
        <v>0</v>
      </c>
      <c r="AH23" s="31">
        <f>VLOOKUP($A23,kurspris!$A$1:$Q$835,7,FALSE)</f>
        <v>0</v>
      </c>
      <c r="AI23" s="31">
        <f>VLOOKUP($A23,kurspris!$A$1:$Q$835,8,FALSE)</f>
        <v>1</v>
      </c>
      <c r="AJ23" s="31">
        <f>VLOOKUP($A23,kurspris!$A$1:$Q$835,9,FALSE)</f>
        <v>0</v>
      </c>
      <c r="AK23" s="31">
        <f>VLOOKUP($A23,kurspris!$A$1:$Q$835,10,FALSE)</f>
        <v>0</v>
      </c>
      <c r="AL23" s="31">
        <f>VLOOKUP($A23,kurspris!$A$1:$Q$835,11,FALSE)</f>
        <v>0</v>
      </c>
      <c r="AM23" s="31">
        <f>VLOOKUP($A23,kurspris!$A$1:$Q$835,12,FALSE)</f>
        <v>0</v>
      </c>
      <c r="AN23" s="31">
        <f>VLOOKUP($A23,kurspris!$A$1:$Q$835,13,FALSE)</f>
        <v>0</v>
      </c>
      <c r="AO23" s="31">
        <f>VLOOKUP($A23,kurspris!$A$1:$Q$835,14,FALSE)</f>
        <v>0</v>
      </c>
      <c r="AP23" s="39" t="s">
        <v>2204</v>
      </c>
      <c r="AQ23"/>
      <c r="AR23" s="31">
        <f t="shared" si="5"/>
        <v>0</v>
      </c>
      <c r="AS23" s="255">
        <f t="shared" si="6"/>
        <v>0</v>
      </c>
      <c r="AT23" s="31">
        <f t="shared" si="7"/>
        <v>0</v>
      </c>
      <c r="AU23" s="255">
        <f t="shared" si="8"/>
        <v>0</v>
      </c>
      <c r="AV23" s="31">
        <f t="shared" si="9"/>
        <v>0</v>
      </c>
      <c r="AW23" s="31">
        <f t="shared" si="10"/>
        <v>0</v>
      </c>
      <c r="AX23" s="31">
        <f t="shared" si="11"/>
        <v>0</v>
      </c>
      <c r="AY23" s="255">
        <f t="shared" si="12"/>
        <v>0</v>
      </c>
      <c r="AZ23" s="232">
        <f t="shared" si="13"/>
        <v>0</v>
      </c>
      <c r="BA23" s="255">
        <f t="shared" si="14"/>
        <v>0</v>
      </c>
      <c r="BB23" s="31">
        <f t="shared" si="15"/>
        <v>0.25</v>
      </c>
      <c r="BC23" s="255">
        <f t="shared" si="16"/>
        <v>0.21249999999999999</v>
      </c>
      <c r="BD23" s="31">
        <f t="shared" si="17"/>
        <v>0</v>
      </c>
      <c r="BE23" s="255">
        <f t="shared" si="18"/>
        <v>0</v>
      </c>
      <c r="BF23" s="31">
        <f t="shared" si="19"/>
        <v>0</v>
      </c>
      <c r="BG23" s="255">
        <f t="shared" si="20"/>
        <v>0</v>
      </c>
      <c r="BH23" s="31">
        <f t="shared" si="21"/>
        <v>0</v>
      </c>
      <c r="BI23" s="255">
        <f t="shared" si="22"/>
        <v>0</v>
      </c>
      <c r="BJ23" s="31">
        <f t="shared" si="23"/>
        <v>0</v>
      </c>
      <c r="BK23" s="31">
        <f t="shared" si="24"/>
        <v>0</v>
      </c>
      <c r="BL23" s="255">
        <f t="shared" si="25"/>
        <v>0</v>
      </c>
      <c r="BM23" s="31">
        <f t="shared" si="26"/>
        <v>0</v>
      </c>
      <c r="BN23" s="255">
        <f t="shared" si="27"/>
        <v>0</v>
      </c>
    </row>
    <row r="24" spans="1:66" x14ac:dyDescent="0.25">
      <c r="A24" t="s">
        <v>2098</v>
      </c>
      <c r="B24" s="186" t="str">
        <f>VLOOKUP(A24,kurspris!$A$1:$B$877,2,FALSE)</f>
        <v>Ekologi A</v>
      </c>
      <c r="C24"/>
      <c r="D24" t="s">
        <v>483</v>
      </c>
      <c r="E24" t="s">
        <v>1973</v>
      </c>
      <c r="F24" s="59" t="s">
        <v>1930</v>
      </c>
      <c r="G24" t="s">
        <v>1979</v>
      </c>
      <c r="H24" t="s">
        <v>1910</v>
      </c>
      <c r="I24"/>
      <c r="J24" t="s">
        <v>773</v>
      </c>
      <c r="K24"/>
      <c r="L24">
        <v>100</v>
      </c>
      <c r="M24">
        <v>15</v>
      </c>
      <c r="N24"/>
      <c r="O24"/>
      <c r="P24" s="31">
        <v>1</v>
      </c>
      <c r="Q24" s="232">
        <f t="shared" si="0"/>
        <v>0.25</v>
      </c>
      <c r="R24" s="40">
        <v>0.85</v>
      </c>
      <c r="S24" s="334">
        <f t="shared" si="1"/>
        <v>0.21249999999999999</v>
      </c>
      <c r="T24" s="31">
        <f>VLOOKUP(A24,'Ansvar kurs'!$A$1:$C$1010,2,FALSE)</f>
        <v>5100</v>
      </c>
      <c r="U24" s="31" t="str">
        <f>VLOOKUP(T24,Orgenheter!$A$1:$C$165,2,FALSE)</f>
        <v>EMG</v>
      </c>
      <c r="V24" s="31" t="str">
        <f>VLOOKUP(T24,Orgenheter!$A$1:$C$165,3,FALSE)</f>
        <v>TekNat</v>
      </c>
      <c r="W24" s="37" t="str">
        <f>VLOOKUP(D24,Program!$A$1:$B$34,2,FALSE)</f>
        <v>Ämneslärarprogrammet - Gy</v>
      </c>
      <c r="X24" s="42">
        <f>VLOOKUP(A24,kurspris!$A$1:$Q$798,15,FALSE)</f>
        <v>19473</v>
      </c>
      <c r="Y24" s="42">
        <f>VLOOKUP(A24,kurspris!$A$1:$Q$798,16,FALSE)</f>
        <v>34806</v>
      </c>
      <c r="Z24" s="42">
        <f t="shared" si="2"/>
        <v>12264.525</v>
      </c>
      <c r="AA24" s="42">
        <f>VLOOKUP(A24,kurspris!$A$1:$Q$798,17,FALSE)</f>
        <v>21800</v>
      </c>
      <c r="AB24" s="42">
        <f t="shared" si="3"/>
        <v>5450</v>
      </c>
      <c r="AC24" s="42">
        <f t="shared" si="4"/>
        <v>17714.525000000001</v>
      </c>
      <c r="AD24" s="31">
        <f>VLOOKUP($A24,kurspris!$A$1:$Q$835,3,FALSE)</f>
        <v>0</v>
      </c>
      <c r="AE24" s="31">
        <f>VLOOKUP($A24,kurspris!$A$1:$Q$835,4,FALSE)</f>
        <v>0</v>
      </c>
      <c r="AF24" s="31">
        <f>VLOOKUP($A24,kurspris!$A$1:$Q$835,5,FALSE)</f>
        <v>0</v>
      </c>
      <c r="AG24" s="31">
        <f>VLOOKUP($A24,kurspris!$A$1:$Q$835,6,FALSE)</f>
        <v>0</v>
      </c>
      <c r="AH24" s="31">
        <f>VLOOKUP($A24,kurspris!$A$1:$Q$835,7,FALSE)</f>
        <v>0</v>
      </c>
      <c r="AI24" s="31">
        <f>VLOOKUP($A24,kurspris!$A$1:$Q$835,8,FALSE)</f>
        <v>1</v>
      </c>
      <c r="AJ24" s="31">
        <f>VLOOKUP($A24,kurspris!$A$1:$Q$835,9,FALSE)</f>
        <v>0</v>
      </c>
      <c r="AK24" s="31">
        <f>VLOOKUP($A24,kurspris!$A$1:$Q$835,10,FALSE)</f>
        <v>0</v>
      </c>
      <c r="AL24" s="31">
        <f>VLOOKUP($A24,kurspris!$A$1:$Q$835,11,FALSE)</f>
        <v>0</v>
      </c>
      <c r="AM24" s="31">
        <f>VLOOKUP($A24,kurspris!$A$1:$Q$835,12,FALSE)</f>
        <v>0</v>
      </c>
      <c r="AN24" s="31">
        <f>VLOOKUP($A24,kurspris!$A$1:$Q$835,13,FALSE)</f>
        <v>0</v>
      </c>
      <c r="AO24" s="31">
        <f>VLOOKUP($A24,kurspris!$A$1:$Q$835,14,FALSE)</f>
        <v>0</v>
      </c>
      <c r="AP24" s="39" t="s">
        <v>2204</v>
      </c>
      <c r="AQ24"/>
      <c r="AR24" s="31">
        <f t="shared" si="5"/>
        <v>0</v>
      </c>
      <c r="AS24" s="255">
        <f t="shared" si="6"/>
        <v>0</v>
      </c>
      <c r="AT24" s="31">
        <f t="shared" si="7"/>
        <v>0</v>
      </c>
      <c r="AU24" s="255">
        <f t="shared" si="8"/>
        <v>0</v>
      </c>
      <c r="AV24" s="31">
        <f t="shared" si="9"/>
        <v>0</v>
      </c>
      <c r="AW24" s="31">
        <f t="shared" si="10"/>
        <v>0</v>
      </c>
      <c r="AX24" s="31">
        <f t="shared" si="11"/>
        <v>0</v>
      </c>
      <c r="AY24" s="255">
        <f t="shared" si="12"/>
        <v>0</v>
      </c>
      <c r="AZ24" s="232">
        <f t="shared" si="13"/>
        <v>0</v>
      </c>
      <c r="BA24" s="255">
        <f t="shared" si="14"/>
        <v>0</v>
      </c>
      <c r="BB24" s="31">
        <f t="shared" si="15"/>
        <v>0.25</v>
      </c>
      <c r="BC24" s="255">
        <f t="shared" si="16"/>
        <v>0.21249999999999999</v>
      </c>
      <c r="BD24" s="31">
        <f t="shared" si="17"/>
        <v>0</v>
      </c>
      <c r="BE24" s="255">
        <f t="shared" si="18"/>
        <v>0</v>
      </c>
      <c r="BF24" s="31">
        <f t="shared" si="19"/>
        <v>0</v>
      </c>
      <c r="BG24" s="255">
        <f t="shared" si="20"/>
        <v>0</v>
      </c>
      <c r="BH24" s="31">
        <f t="shared" si="21"/>
        <v>0</v>
      </c>
      <c r="BI24" s="255">
        <f t="shared" si="22"/>
        <v>0</v>
      </c>
      <c r="BJ24" s="31">
        <f t="shared" si="23"/>
        <v>0</v>
      </c>
      <c r="BK24" s="31">
        <f t="shared" si="24"/>
        <v>0</v>
      </c>
      <c r="BL24" s="255">
        <f t="shared" si="25"/>
        <v>0</v>
      </c>
      <c r="BM24" s="31">
        <f t="shared" si="26"/>
        <v>0</v>
      </c>
      <c r="BN24" s="255">
        <f t="shared" si="27"/>
        <v>0</v>
      </c>
    </row>
    <row r="25" spans="1:66" x14ac:dyDescent="0.25">
      <c r="A25" t="s">
        <v>2098</v>
      </c>
      <c r="B25" s="186" t="str">
        <f>VLOOKUP(A25,kurspris!$A$1:$B$877,2,FALSE)</f>
        <v>Ekologi A</v>
      </c>
      <c r="C25"/>
      <c r="D25" t="s">
        <v>483</v>
      </c>
      <c r="E25" t="s">
        <v>1973</v>
      </c>
      <c r="F25" s="59" t="s">
        <v>1930</v>
      </c>
      <c r="G25" t="s">
        <v>1979</v>
      </c>
      <c r="H25" t="s">
        <v>1910</v>
      </c>
      <c r="I25"/>
      <c r="J25" t="s">
        <v>774</v>
      </c>
      <c r="K25"/>
      <c r="L25">
        <v>100</v>
      </c>
      <c r="M25">
        <v>15</v>
      </c>
      <c r="N25"/>
      <c r="O25"/>
      <c r="P25" s="31">
        <v>2</v>
      </c>
      <c r="Q25" s="232">
        <f t="shared" si="0"/>
        <v>0.5</v>
      </c>
      <c r="R25" s="40">
        <v>0.85</v>
      </c>
      <c r="S25" s="334">
        <f t="shared" si="1"/>
        <v>0.42499999999999999</v>
      </c>
      <c r="T25" s="31">
        <f>VLOOKUP(A25,'Ansvar kurs'!$A$1:$C$1010,2,FALSE)</f>
        <v>5100</v>
      </c>
      <c r="U25" s="31" t="str">
        <f>VLOOKUP(T25,Orgenheter!$A$1:$C$165,2,FALSE)</f>
        <v>EMG</v>
      </c>
      <c r="V25" s="31" t="str">
        <f>VLOOKUP(T25,Orgenheter!$A$1:$C$165,3,FALSE)</f>
        <v>TekNat</v>
      </c>
      <c r="W25" s="37" t="str">
        <f>VLOOKUP(D25,Program!$A$1:$B$34,2,FALSE)</f>
        <v>Ämneslärarprogrammet - Gy</v>
      </c>
      <c r="X25" s="42">
        <f>VLOOKUP(A25,kurspris!$A$1:$Q$798,15,FALSE)</f>
        <v>19473</v>
      </c>
      <c r="Y25" s="42">
        <f>VLOOKUP(A25,kurspris!$A$1:$Q$798,16,FALSE)</f>
        <v>34806</v>
      </c>
      <c r="Z25" s="42">
        <f t="shared" si="2"/>
        <v>24529.05</v>
      </c>
      <c r="AA25" s="42">
        <f>VLOOKUP(A25,kurspris!$A$1:$Q$798,17,FALSE)</f>
        <v>21800</v>
      </c>
      <c r="AB25" s="42">
        <f t="shared" si="3"/>
        <v>10900</v>
      </c>
      <c r="AC25" s="42">
        <f t="shared" si="4"/>
        <v>35429.050000000003</v>
      </c>
      <c r="AD25" s="31">
        <f>VLOOKUP($A25,kurspris!$A$1:$Q$835,3,FALSE)</f>
        <v>0</v>
      </c>
      <c r="AE25" s="31">
        <f>VLOOKUP($A25,kurspris!$A$1:$Q$835,4,FALSE)</f>
        <v>0</v>
      </c>
      <c r="AF25" s="31">
        <f>VLOOKUP($A25,kurspris!$A$1:$Q$835,5,FALSE)</f>
        <v>0</v>
      </c>
      <c r="AG25" s="31">
        <f>VLOOKUP($A25,kurspris!$A$1:$Q$835,6,FALSE)</f>
        <v>0</v>
      </c>
      <c r="AH25" s="31">
        <f>VLOOKUP($A25,kurspris!$A$1:$Q$835,7,FALSE)</f>
        <v>0</v>
      </c>
      <c r="AI25" s="31">
        <f>VLOOKUP($A25,kurspris!$A$1:$Q$835,8,FALSE)</f>
        <v>1</v>
      </c>
      <c r="AJ25" s="31">
        <f>VLOOKUP($A25,kurspris!$A$1:$Q$835,9,FALSE)</f>
        <v>0</v>
      </c>
      <c r="AK25" s="31">
        <f>VLOOKUP($A25,kurspris!$A$1:$Q$835,10,FALSE)</f>
        <v>0</v>
      </c>
      <c r="AL25" s="31">
        <f>VLOOKUP($A25,kurspris!$A$1:$Q$835,11,FALSE)</f>
        <v>0</v>
      </c>
      <c r="AM25" s="31">
        <f>VLOOKUP($A25,kurspris!$A$1:$Q$835,12,FALSE)</f>
        <v>0</v>
      </c>
      <c r="AN25" s="31">
        <f>VLOOKUP($A25,kurspris!$A$1:$Q$835,13,FALSE)</f>
        <v>0</v>
      </c>
      <c r="AO25" s="31">
        <f>VLOOKUP($A25,kurspris!$A$1:$Q$835,14,FALSE)</f>
        <v>0</v>
      </c>
      <c r="AP25" s="39" t="s">
        <v>2204</v>
      </c>
      <c r="AQ25"/>
      <c r="AR25" s="31">
        <f t="shared" si="5"/>
        <v>0</v>
      </c>
      <c r="AS25" s="255">
        <f t="shared" si="6"/>
        <v>0</v>
      </c>
      <c r="AT25" s="31">
        <f t="shared" si="7"/>
        <v>0</v>
      </c>
      <c r="AU25" s="255">
        <f t="shared" si="8"/>
        <v>0</v>
      </c>
      <c r="AV25" s="31">
        <f t="shared" si="9"/>
        <v>0</v>
      </c>
      <c r="AW25" s="31">
        <f t="shared" si="10"/>
        <v>0</v>
      </c>
      <c r="AX25" s="31">
        <f t="shared" si="11"/>
        <v>0</v>
      </c>
      <c r="AY25" s="255">
        <f t="shared" si="12"/>
        <v>0</v>
      </c>
      <c r="AZ25" s="232">
        <f t="shared" si="13"/>
        <v>0</v>
      </c>
      <c r="BA25" s="255">
        <f t="shared" si="14"/>
        <v>0</v>
      </c>
      <c r="BB25" s="31">
        <f t="shared" si="15"/>
        <v>0.5</v>
      </c>
      <c r="BC25" s="255">
        <f t="shared" si="16"/>
        <v>0.42499999999999999</v>
      </c>
      <c r="BD25" s="31">
        <f t="shared" si="17"/>
        <v>0</v>
      </c>
      <c r="BE25" s="255">
        <f t="shared" si="18"/>
        <v>0</v>
      </c>
      <c r="BF25" s="31">
        <f t="shared" si="19"/>
        <v>0</v>
      </c>
      <c r="BG25" s="255">
        <f t="shared" si="20"/>
        <v>0</v>
      </c>
      <c r="BH25" s="31">
        <f t="shared" si="21"/>
        <v>0</v>
      </c>
      <c r="BI25" s="255">
        <f t="shared" si="22"/>
        <v>0</v>
      </c>
      <c r="BJ25" s="31">
        <f t="shared" si="23"/>
        <v>0</v>
      </c>
      <c r="BK25" s="31">
        <f t="shared" si="24"/>
        <v>0</v>
      </c>
      <c r="BL25" s="255">
        <f t="shared" si="25"/>
        <v>0</v>
      </c>
      <c r="BM25" s="31">
        <f t="shared" si="26"/>
        <v>0</v>
      </c>
      <c r="BN25" s="255">
        <f t="shared" si="27"/>
        <v>0</v>
      </c>
    </row>
    <row r="26" spans="1:66" x14ac:dyDescent="0.25">
      <c r="A26" t="s">
        <v>2098</v>
      </c>
      <c r="B26" s="186" t="str">
        <f>VLOOKUP(A26,kurspris!$A$1:$B$877,2,FALSE)</f>
        <v>Ekologi A</v>
      </c>
      <c r="C26"/>
      <c r="D26" t="s">
        <v>483</v>
      </c>
      <c r="E26" t="s">
        <v>1609</v>
      </c>
      <c r="F26" s="59" t="s">
        <v>1930</v>
      </c>
      <c r="G26" t="s">
        <v>1979</v>
      </c>
      <c r="H26" t="s">
        <v>1910</v>
      </c>
      <c r="I26"/>
      <c r="J26" s="463" t="s">
        <v>775</v>
      </c>
      <c r="K26"/>
      <c r="L26">
        <v>100</v>
      </c>
      <c r="M26">
        <v>15</v>
      </c>
      <c r="N26"/>
      <c r="O26"/>
      <c r="P26" s="31">
        <v>1</v>
      </c>
      <c r="Q26" s="232">
        <f t="shared" si="0"/>
        <v>0.25</v>
      </c>
      <c r="R26" s="40">
        <v>0.85</v>
      </c>
      <c r="S26" s="334">
        <f t="shared" si="1"/>
        <v>0.21249999999999999</v>
      </c>
      <c r="T26" s="31">
        <f>VLOOKUP(A26,'Ansvar kurs'!$A$1:$C$1010,2,FALSE)</f>
        <v>5100</v>
      </c>
      <c r="U26" s="31" t="str">
        <f>VLOOKUP(T26,Orgenheter!$A$1:$C$165,2,FALSE)</f>
        <v>EMG</v>
      </c>
      <c r="V26" s="31" t="str">
        <f>VLOOKUP(T26,Orgenheter!$A$1:$C$165,3,FALSE)</f>
        <v>TekNat</v>
      </c>
      <c r="W26" s="37" t="str">
        <f>VLOOKUP(D26,Program!$A$1:$B$34,2,FALSE)</f>
        <v>Ämneslärarprogrammet - Gy</v>
      </c>
      <c r="X26" s="42">
        <f>VLOOKUP(A26,kurspris!$A$1:$Q$798,15,FALSE)</f>
        <v>19473</v>
      </c>
      <c r="Y26" s="42">
        <f>VLOOKUP(A26,kurspris!$A$1:$Q$798,16,FALSE)</f>
        <v>34806</v>
      </c>
      <c r="Z26" s="42">
        <f t="shared" si="2"/>
        <v>12264.525</v>
      </c>
      <c r="AA26" s="42">
        <f>VLOOKUP(A26,kurspris!$A$1:$Q$798,17,FALSE)</f>
        <v>21800</v>
      </c>
      <c r="AB26" s="42">
        <f t="shared" si="3"/>
        <v>5450</v>
      </c>
      <c r="AC26" s="42">
        <f t="shared" si="4"/>
        <v>17714.525000000001</v>
      </c>
      <c r="AD26" s="31">
        <f>VLOOKUP($A26,kurspris!$A$1:$Q$835,3,FALSE)</f>
        <v>0</v>
      </c>
      <c r="AE26" s="31">
        <f>VLOOKUP($A26,kurspris!$A$1:$Q$835,4,FALSE)</f>
        <v>0</v>
      </c>
      <c r="AF26" s="31">
        <f>VLOOKUP($A26,kurspris!$A$1:$Q$835,5,FALSE)</f>
        <v>0</v>
      </c>
      <c r="AG26" s="31">
        <f>VLOOKUP($A26,kurspris!$A$1:$Q$835,6,FALSE)</f>
        <v>0</v>
      </c>
      <c r="AH26" s="31">
        <f>VLOOKUP($A26,kurspris!$A$1:$Q$835,7,FALSE)</f>
        <v>0</v>
      </c>
      <c r="AI26" s="31">
        <f>VLOOKUP($A26,kurspris!$A$1:$Q$835,8,FALSE)</f>
        <v>1</v>
      </c>
      <c r="AJ26" s="31">
        <f>VLOOKUP($A26,kurspris!$A$1:$Q$835,9,FALSE)</f>
        <v>0</v>
      </c>
      <c r="AK26" s="31">
        <f>VLOOKUP($A26,kurspris!$A$1:$Q$835,10,FALSE)</f>
        <v>0</v>
      </c>
      <c r="AL26" s="31">
        <f>VLOOKUP($A26,kurspris!$A$1:$Q$835,11,FALSE)</f>
        <v>0</v>
      </c>
      <c r="AM26" s="31">
        <f>VLOOKUP($A26,kurspris!$A$1:$Q$835,12,FALSE)</f>
        <v>0</v>
      </c>
      <c r="AN26" s="31">
        <f>VLOOKUP($A26,kurspris!$A$1:$Q$835,13,FALSE)</f>
        <v>0</v>
      </c>
      <c r="AO26" s="31">
        <f>VLOOKUP($A26,kurspris!$A$1:$Q$835,14,FALSE)</f>
        <v>0</v>
      </c>
      <c r="AP26" s="39" t="s">
        <v>2204</v>
      </c>
      <c r="AQ26"/>
      <c r="AR26" s="31">
        <f t="shared" si="5"/>
        <v>0</v>
      </c>
      <c r="AS26" s="255">
        <f t="shared" si="6"/>
        <v>0</v>
      </c>
      <c r="AT26" s="31">
        <f t="shared" si="7"/>
        <v>0</v>
      </c>
      <c r="AU26" s="255">
        <f t="shared" si="8"/>
        <v>0</v>
      </c>
      <c r="AV26" s="31">
        <f t="shared" si="9"/>
        <v>0</v>
      </c>
      <c r="AW26" s="31">
        <f t="shared" si="10"/>
        <v>0</v>
      </c>
      <c r="AX26" s="31">
        <f t="shared" si="11"/>
        <v>0</v>
      </c>
      <c r="AY26" s="255">
        <f t="shared" si="12"/>
        <v>0</v>
      </c>
      <c r="AZ26" s="232">
        <f t="shared" si="13"/>
        <v>0</v>
      </c>
      <c r="BA26" s="255">
        <f t="shared" si="14"/>
        <v>0</v>
      </c>
      <c r="BB26" s="31">
        <f t="shared" si="15"/>
        <v>0.25</v>
      </c>
      <c r="BC26" s="255">
        <f t="shared" si="16"/>
        <v>0.21249999999999999</v>
      </c>
      <c r="BD26" s="31">
        <f t="shared" si="17"/>
        <v>0</v>
      </c>
      <c r="BE26" s="255">
        <f t="shared" si="18"/>
        <v>0</v>
      </c>
      <c r="BF26" s="31">
        <f t="shared" si="19"/>
        <v>0</v>
      </c>
      <c r="BG26" s="255">
        <f t="shared" si="20"/>
        <v>0</v>
      </c>
      <c r="BH26" s="31">
        <f t="shared" si="21"/>
        <v>0</v>
      </c>
      <c r="BI26" s="255">
        <f t="shared" si="22"/>
        <v>0</v>
      </c>
      <c r="BJ26" s="31">
        <f t="shared" si="23"/>
        <v>0</v>
      </c>
      <c r="BK26" s="31">
        <f t="shared" si="24"/>
        <v>0</v>
      </c>
      <c r="BL26" s="255">
        <f t="shared" si="25"/>
        <v>0</v>
      </c>
      <c r="BM26" s="31">
        <f t="shared" si="26"/>
        <v>0</v>
      </c>
      <c r="BN26" s="255">
        <f t="shared" si="27"/>
        <v>0</v>
      </c>
    </row>
    <row r="27" spans="1:66" x14ac:dyDescent="0.25">
      <c r="A27" t="s">
        <v>2098</v>
      </c>
      <c r="B27" s="186" t="str">
        <f>VLOOKUP(A27,kurspris!$A$1:$B$877,2,FALSE)</f>
        <v>Ekologi A</v>
      </c>
      <c r="C27"/>
      <c r="D27" t="s">
        <v>483</v>
      </c>
      <c r="E27" t="s">
        <v>1788</v>
      </c>
      <c r="F27" s="59" t="s">
        <v>1930</v>
      </c>
      <c r="G27" t="s">
        <v>1979</v>
      </c>
      <c r="H27" t="s">
        <v>1910</v>
      </c>
      <c r="I27"/>
      <c r="J27" t="s">
        <v>1591</v>
      </c>
      <c r="K27"/>
      <c r="L27">
        <v>100</v>
      </c>
      <c r="M27">
        <v>15</v>
      </c>
      <c r="N27"/>
      <c r="O27"/>
      <c r="P27" s="31">
        <v>6</v>
      </c>
      <c r="Q27" s="232">
        <f t="shared" si="0"/>
        <v>1.5</v>
      </c>
      <c r="R27" s="40">
        <v>0.85</v>
      </c>
      <c r="S27" s="334">
        <f t="shared" si="1"/>
        <v>1.2749999999999999</v>
      </c>
      <c r="T27" s="31">
        <f>VLOOKUP(A27,'Ansvar kurs'!$A$1:$C$1010,2,FALSE)</f>
        <v>5100</v>
      </c>
      <c r="U27" s="31" t="str">
        <f>VLOOKUP(T27,Orgenheter!$A$1:$C$165,2,FALSE)</f>
        <v>EMG</v>
      </c>
      <c r="V27" s="31" t="str">
        <f>VLOOKUP(T27,Orgenheter!$A$1:$C$165,3,FALSE)</f>
        <v>TekNat</v>
      </c>
      <c r="W27" s="37" t="str">
        <f>VLOOKUP(D27,Program!$A$1:$B$34,2,FALSE)</f>
        <v>Ämneslärarprogrammet - Gy</v>
      </c>
      <c r="X27" s="42">
        <f>VLOOKUP(A27,kurspris!$A$1:$Q$798,15,FALSE)</f>
        <v>19473</v>
      </c>
      <c r="Y27" s="42">
        <f>VLOOKUP(A27,kurspris!$A$1:$Q$798,16,FALSE)</f>
        <v>34806</v>
      </c>
      <c r="Z27" s="42">
        <f t="shared" si="2"/>
        <v>73587.149999999994</v>
      </c>
      <c r="AA27" s="42">
        <f>VLOOKUP(A27,kurspris!$A$1:$Q$798,17,FALSE)</f>
        <v>21800</v>
      </c>
      <c r="AB27" s="42">
        <f t="shared" si="3"/>
        <v>32700</v>
      </c>
      <c r="AC27" s="42">
        <f t="shared" si="4"/>
        <v>106287.15</v>
      </c>
      <c r="AD27" s="31">
        <f>VLOOKUP($A27,kurspris!$A$1:$Q$835,3,FALSE)</f>
        <v>0</v>
      </c>
      <c r="AE27" s="31">
        <f>VLOOKUP($A27,kurspris!$A$1:$Q$835,4,FALSE)</f>
        <v>0</v>
      </c>
      <c r="AF27" s="31">
        <f>VLOOKUP($A27,kurspris!$A$1:$Q$835,5,FALSE)</f>
        <v>0</v>
      </c>
      <c r="AG27" s="31">
        <f>VLOOKUP($A27,kurspris!$A$1:$Q$835,6,FALSE)</f>
        <v>0</v>
      </c>
      <c r="AH27" s="31">
        <f>VLOOKUP($A27,kurspris!$A$1:$Q$835,7,FALSE)</f>
        <v>0</v>
      </c>
      <c r="AI27" s="31">
        <f>VLOOKUP($A27,kurspris!$A$1:$Q$835,8,FALSE)</f>
        <v>1</v>
      </c>
      <c r="AJ27" s="31">
        <f>VLOOKUP($A27,kurspris!$A$1:$Q$835,9,FALSE)</f>
        <v>0</v>
      </c>
      <c r="AK27" s="31">
        <f>VLOOKUP($A27,kurspris!$A$1:$Q$835,10,FALSE)</f>
        <v>0</v>
      </c>
      <c r="AL27" s="31">
        <f>VLOOKUP($A27,kurspris!$A$1:$Q$835,11,FALSE)</f>
        <v>0</v>
      </c>
      <c r="AM27" s="31">
        <f>VLOOKUP($A27,kurspris!$A$1:$Q$835,12,FALSE)</f>
        <v>0</v>
      </c>
      <c r="AN27" s="31">
        <f>VLOOKUP($A27,kurspris!$A$1:$Q$835,13,FALSE)</f>
        <v>0</v>
      </c>
      <c r="AO27" s="31">
        <f>VLOOKUP($A27,kurspris!$A$1:$Q$835,14,FALSE)</f>
        <v>0</v>
      </c>
      <c r="AP27" s="39" t="s">
        <v>2204</v>
      </c>
      <c r="AQ27"/>
      <c r="AR27" s="31">
        <f t="shared" si="5"/>
        <v>0</v>
      </c>
      <c r="AS27" s="255">
        <f t="shared" si="6"/>
        <v>0</v>
      </c>
      <c r="AT27" s="31">
        <f t="shared" si="7"/>
        <v>0</v>
      </c>
      <c r="AU27" s="255">
        <f t="shared" si="8"/>
        <v>0</v>
      </c>
      <c r="AV27" s="31">
        <f t="shared" si="9"/>
        <v>0</v>
      </c>
      <c r="AW27" s="31">
        <f t="shared" si="10"/>
        <v>0</v>
      </c>
      <c r="AX27" s="31">
        <f t="shared" si="11"/>
        <v>0</v>
      </c>
      <c r="AY27" s="255">
        <f t="shared" si="12"/>
        <v>0</v>
      </c>
      <c r="AZ27" s="232">
        <f t="shared" si="13"/>
        <v>0</v>
      </c>
      <c r="BA27" s="255">
        <f t="shared" si="14"/>
        <v>0</v>
      </c>
      <c r="BB27" s="31">
        <f t="shared" si="15"/>
        <v>1.5</v>
      </c>
      <c r="BC27" s="255">
        <f t="shared" si="16"/>
        <v>1.2749999999999999</v>
      </c>
      <c r="BD27" s="31">
        <f t="shared" si="17"/>
        <v>0</v>
      </c>
      <c r="BE27" s="255">
        <f t="shared" si="18"/>
        <v>0</v>
      </c>
      <c r="BF27" s="31">
        <f t="shared" si="19"/>
        <v>0</v>
      </c>
      <c r="BG27" s="255">
        <f t="shared" si="20"/>
        <v>0</v>
      </c>
      <c r="BH27" s="31">
        <f t="shared" si="21"/>
        <v>0</v>
      </c>
      <c r="BI27" s="255">
        <f t="shared" si="22"/>
        <v>0</v>
      </c>
      <c r="BJ27" s="31">
        <f t="shared" si="23"/>
        <v>0</v>
      </c>
      <c r="BK27" s="31">
        <f t="shared" si="24"/>
        <v>0</v>
      </c>
      <c r="BL27" s="255">
        <f t="shared" si="25"/>
        <v>0</v>
      </c>
      <c r="BM27" s="31">
        <f t="shared" si="26"/>
        <v>0</v>
      </c>
      <c r="BN27" s="255">
        <f t="shared" si="27"/>
        <v>0</v>
      </c>
    </row>
    <row r="28" spans="1:66" x14ac:dyDescent="0.25">
      <c r="A28" t="s">
        <v>2098</v>
      </c>
      <c r="B28" s="186" t="str">
        <f>VLOOKUP(A28,kurspris!$A$1:$B$877,2,FALSE)</f>
        <v>Ekologi A</v>
      </c>
      <c r="C28"/>
      <c r="D28" t="s">
        <v>483</v>
      </c>
      <c r="E28" t="s">
        <v>1788</v>
      </c>
      <c r="F28" s="59" t="s">
        <v>1930</v>
      </c>
      <c r="G28" t="s">
        <v>1979</v>
      </c>
      <c r="H28" t="s">
        <v>1910</v>
      </c>
      <c r="I28"/>
      <c r="J28" t="s">
        <v>1594</v>
      </c>
      <c r="K28"/>
      <c r="L28">
        <v>100</v>
      </c>
      <c r="M28">
        <v>15</v>
      </c>
      <c r="N28"/>
      <c r="O28"/>
      <c r="P28" s="31">
        <v>1</v>
      </c>
      <c r="Q28" s="232">
        <f t="shared" si="0"/>
        <v>0.25</v>
      </c>
      <c r="R28" s="40">
        <v>0.85</v>
      </c>
      <c r="S28" s="334">
        <f t="shared" si="1"/>
        <v>0.21249999999999999</v>
      </c>
      <c r="T28" s="31">
        <f>VLOOKUP(A28,'Ansvar kurs'!$A$1:$C$1010,2,FALSE)</f>
        <v>5100</v>
      </c>
      <c r="U28" s="31" t="str">
        <f>VLOOKUP(T28,Orgenheter!$A$1:$C$165,2,FALSE)</f>
        <v>EMG</v>
      </c>
      <c r="V28" s="31" t="str">
        <f>VLOOKUP(T28,Orgenheter!$A$1:$C$165,3,FALSE)</f>
        <v>TekNat</v>
      </c>
      <c r="W28" s="37" t="str">
        <f>VLOOKUP(D28,Program!$A$1:$B$34,2,FALSE)</f>
        <v>Ämneslärarprogrammet - Gy</v>
      </c>
      <c r="X28" s="42">
        <f>VLOOKUP(A28,kurspris!$A$1:$Q$798,15,FALSE)</f>
        <v>19473</v>
      </c>
      <c r="Y28" s="42">
        <f>VLOOKUP(A28,kurspris!$A$1:$Q$798,16,FALSE)</f>
        <v>34806</v>
      </c>
      <c r="Z28" s="42">
        <f t="shared" si="2"/>
        <v>12264.525</v>
      </c>
      <c r="AA28" s="42">
        <f>VLOOKUP(A28,kurspris!$A$1:$Q$798,17,FALSE)</f>
        <v>21800</v>
      </c>
      <c r="AB28" s="42">
        <f t="shared" si="3"/>
        <v>5450</v>
      </c>
      <c r="AC28" s="42">
        <f t="shared" si="4"/>
        <v>17714.525000000001</v>
      </c>
      <c r="AD28" s="31">
        <f>VLOOKUP($A28,kurspris!$A$1:$Q$835,3,FALSE)</f>
        <v>0</v>
      </c>
      <c r="AE28" s="31">
        <f>VLOOKUP($A28,kurspris!$A$1:$Q$835,4,FALSE)</f>
        <v>0</v>
      </c>
      <c r="AF28" s="31">
        <f>VLOOKUP($A28,kurspris!$A$1:$Q$835,5,FALSE)</f>
        <v>0</v>
      </c>
      <c r="AG28" s="31">
        <f>VLOOKUP($A28,kurspris!$A$1:$Q$835,6,FALSE)</f>
        <v>0</v>
      </c>
      <c r="AH28" s="31">
        <f>VLOOKUP($A28,kurspris!$A$1:$Q$835,7,FALSE)</f>
        <v>0</v>
      </c>
      <c r="AI28" s="31">
        <f>VLOOKUP($A28,kurspris!$A$1:$Q$835,8,FALSE)</f>
        <v>1</v>
      </c>
      <c r="AJ28" s="31">
        <f>VLOOKUP($A28,kurspris!$A$1:$Q$835,9,FALSE)</f>
        <v>0</v>
      </c>
      <c r="AK28" s="31">
        <f>VLOOKUP($A28,kurspris!$A$1:$Q$835,10,FALSE)</f>
        <v>0</v>
      </c>
      <c r="AL28" s="31">
        <f>VLOOKUP($A28,kurspris!$A$1:$Q$835,11,FALSE)</f>
        <v>0</v>
      </c>
      <c r="AM28" s="31">
        <f>VLOOKUP($A28,kurspris!$A$1:$Q$835,12,FALSE)</f>
        <v>0</v>
      </c>
      <c r="AN28" s="31">
        <f>VLOOKUP($A28,kurspris!$A$1:$Q$835,13,FALSE)</f>
        <v>0</v>
      </c>
      <c r="AO28" s="31">
        <f>VLOOKUP($A28,kurspris!$A$1:$Q$835,14,FALSE)</f>
        <v>0</v>
      </c>
      <c r="AP28" s="39" t="s">
        <v>2204</v>
      </c>
      <c r="AQ28"/>
      <c r="AR28" s="31">
        <f t="shared" si="5"/>
        <v>0</v>
      </c>
      <c r="AS28" s="255">
        <f t="shared" si="6"/>
        <v>0</v>
      </c>
      <c r="AT28" s="31">
        <f t="shared" si="7"/>
        <v>0</v>
      </c>
      <c r="AU28" s="255">
        <f t="shared" si="8"/>
        <v>0</v>
      </c>
      <c r="AV28" s="31">
        <f t="shared" si="9"/>
        <v>0</v>
      </c>
      <c r="AW28" s="31">
        <f t="shared" si="10"/>
        <v>0</v>
      </c>
      <c r="AX28" s="31">
        <f t="shared" si="11"/>
        <v>0</v>
      </c>
      <c r="AY28" s="255">
        <f t="shared" si="12"/>
        <v>0</v>
      </c>
      <c r="AZ28" s="232">
        <f t="shared" si="13"/>
        <v>0</v>
      </c>
      <c r="BA28" s="255">
        <f t="shared" si="14"/>
        <v>0</v>
      </c>
      <c r="BB28" s="31">
        <f t="shared" si="15"/>
        <v>0.25</v>
      </c>
      <c r="BC28" s="255">
        <f t="shared" si="16"/>
        <v>0.21249999999999999</v>
      </c>
      <c r="BD28" s="31">
        <f t="shared" si="17"/>
        <v>0</v>
      </c>
      <c r="BE28" s="255">
        <f t="shared" si="18"/>
        <v>0</v>
      </c>
      <c r="BF28" s="31">
        <f t="shared" si="19"/>
        <v>0</v>
      </c>
      <c r="BG28" s="255">
        <f t="shared" si="20"/>
        <v>0</v>
      </c>
      <c r="BH28" s="31">
        <f t="shared" si="21"/>
        <v>0</v>
      </c>
      <c r="BI28" s="255">
        <f t="shared" si="22"/>
        <v>0</v>
      </c>
      <c r="BJ28" s="31">
        <f t="shared" si="23"/>
        <v>0</v>
      </c>
      <c r="BK28" s="31">
        <f t="shared" si="24"/>
        <v>0</v>
      </c>
      <c r="BL28" s="255">
        <f t="shared" si="25"/>
        <v>0</v>
      </c>
      <c r="BM28" s="31">
        <f t="shared" si="26"/>
        <v>0</v>
      </c>
      <c r="BN28" s="255">
        <f t="shared" si="27"/>
        <v>0</v>
      </c>
    </row>
    <row r="29" spans="1:66" x14ac:dyDescent="0.25">
      <c r="A29" s="18" t="s">
        <v>2237</v>
      </c>
      <c r="B29" s="186" t="str">
        <f>VLOOKUP(A29,kurspris!$A$1:$B$877,2,FALSE)</f>
        <v>Programmeringsteknik med C och Matlab</v>
      </c>
      <c r="C29" s="37"/>
      <c r="D29" s="31" t="s">
        <v>483</v>
      </c>
      <c r="E29" s="31" t="s">
        <v>1788</v>
      </c>
      <c r="F29" s="59" t="s">
        <v>1931</v>
      </c>
      <c r="G29" s="31" t="s">
        <v>2278</v>
      </c>
      <c r="J29" t="s">
        <v>774</v>
      </c>
      <c r="L29" s="31">
        <v>100</v>
      </c>
      <c r="M29" s="31">
        <v>7.5</v>
      </c>
      <c r="P29" s="31">
        <v>1</v>
      </c>
      <c r="Q29" s="232">
        <f t="shared" si="0"/>
        <v>0.125</v>
      </c>
      <c r="R29" s="40">
        <v>0.85</v>
      </c>
      <c r="S29" s="334">
        <f t="shared" si="1"/>
        <v>0.10625</v>
      </c>
      <c r="T29" s="31">
        <f>VLOOKUP(A29,'Ansvar kurs'!$A$1:$C$1010,2,FALSE)</f>
        <v>5700</v>
      </c>
      <c r="U29" s="31" t="str">
        <f>VLOOKUP(T29,Orgenheter!$A$1:$C$165,2,FALSE)</f>
        <v xml:space="preserve">Inst för datavetenskap        </v>
      </c>
      <c r="V29" s="31" t="str">
        <f>VLOOKUP(T29,Orgenheter!$A$1:$C$165,3,FALSE)</f>
        <v>TekNat</v>
      </c>
      <c r="W29" s="37" t="str">
        <f>VLOOKUP(D29,Program!$A$1:$B$34,2,FALSE)</f>
        <v>Ämneslärarprogrammet - Gy</v>
      </c>
      <c r="X29" s="42">
        <f>VLOOKUP(A29,kurspris!$A$1:$Q$798,15,FALSE)</f>
        <v>19473</v>
      </c>
      <c r="Y29" s="42">
        <f>VLOOKUP(A29,kurspris!$A$1:$Q$798,16,FALSE)</f>
        <v>34806</v>
      </c>
      <c r="Z29" s="42">
        <f t="shared" si="2"/>
        <v>6132.2624999999998</v>
      </c>
      <c r="AA29" s="42">
        <f>VLOOKUP(A29,kurspris!$A$1:$Q$798,17,FALSE)</f>
        <v>21800</v>
      </c>
      <c r="AB29" s="42">
        <f t="shared" si="3"/>
        <v>2725</v>
      </c>
      <c r="AC29" s="42">
        <f t="shared" si="4"/>
        <v>8857.2625000000007</v>
      </c>
      <c r="AD29" s="31">
        <f>VLOOKUP($A29,kurspris!$A$1:$Q$835,3,FALSE)</f>
        <v>0</v>
      </c>
      <c r="AE29" s="31">
        <f>VLOOKUP($A29,kurspris!$A$1:$Q$835,4,FALSE)</f>
        <v>0</v>
      </c>
      <c r="AF29" s="31">
        <f>VLOOKUP($A29,kurspris!$A$1:$Q$835,5,FALSE)</f>
        <v>0</v>
      </c>
      <c r="AG29" s="31">
        <f>VLOOKUP($A29,kurspris!$A$1:$Q$835,6,FALSE)</f>
        <v>0</v>
      </c>
      <c r="AH29" s="31">
        <f>VLOOKUP($A29,kurspris!$A$1:$Q$835,7,FALSE)</f>
        <v>0</v>
      </c>
      <c r="AI29" s="31">
        <f>VLOOKUP($A29,kurspris!$A$1:$Q$835,8,FALSE)</f>
        <v>0.5</v>
      </c>
      <c r="AJ29" s="31">
        <f>VLOOKUP($A29,kurspris!$A$1:$Q$835,9,FALSE)</f>
        <v>0</v>
      </c>
      <c r="AK29" s="31">
        <f>VLOOKUP($A29,kurspris!$A$1:$Q$835,10,FALSE)</f>
        <v>0.5</v>
      </c>
      <c r="AL29" s="31">
        <f>VLOOKUP($A29,kurspris!$A$1:$Q$835,11,FALSE)</f>
        <v>0</v>
      </c>
      <c r="AM29" s="31">
        <f>VLOOKUP($A29,kurspris!$A$1:$Q$835,12,FALSE)</f>
        <v>0</v>
      </c>
      <c r="AN29" s="31">
        <f>VLOOKUP($A29,kurspris!$A$1:$Q$835,13,FALSE)</f>
        <v>0</v>
      </c>
      <c r="AO29" s="31">
        <f>VLOOKUP($A29,kurspris!$A$1:$Q$835,14,FALSE)</f>
        <v>0</v>
      </c>
      <c r="AP29" s="39" t="s">
        <v>2326</v>
      </c>
      <c r="AQ29"/>
      <c r="AR29" s="31">
        <f t="shared" si="5"/>
        <v>0</v>
      </c>
      <c r="AS29" s="255">
        <f t="shared" si="6"/>
        <v>0</v>
      </c>
      <c r="AT29" s="31">
        <f t="shared" si="7"/>
        <v>0</v>
      </c>
      <c r="AU29" s="255">
        <f t="shared" si="8"/>
        <v>0</v>
      </c>
      <c r="AV29" s="31">
        <f t="shared" si="9"/>
        <v>0</v>
      </c>
      <c r="AW29" s="31">
        <f t="shared" si="10"/>
        <v>0</v>
      </c>
      <c r="AX29" s="31">
        <f t="shared" si="11"/>
        <v>0</v>
      </c>
      <c r="AY29" s="255">
        <f t="shared" si="12"/>
        <v>0</v>
      </c>
      <c r="AZ29" s="232">
        <f t="shared" si="13"/>
        <v>0</v>
      </c>
      <c r="BA29" s="255">
        <f t="shared" si="14"/>
        <v>0</v>
      </c>
      <c r="BB29" s="31">
        <f t="shared" si="15"/>
        <v>6.25E-2</v>
      </c>
      <c r="BC29" s="255">
        <f t="shared" si="16"/>
        <v>5.3124999999999999E-2</v>
      </c>
      <c r="BD29" s="31">
        <f t="shared" si="17"/>
        <v>0</v>
      </c>
      <c r="BE29" s="255">
        <f t="shared" si="18"/>
        <v>0</v>
      </c>
      <c r="BF29" s="31">
        <f t="shared" si="19"/>
        <v>6.25E-2</v>
      </c>
      <c r="BG29" s="255">
        <f t="shared" si="20"/>
        <v>5.3124999999999999E-2</v>
      </c>
      <c r="BH29" s="31">
        <f t="shared" si="21"/>
        <v>0</v>
      </c>
      <c r="BI29" s="255">
        <f t="shared" si="22"/>
        <v>0</v>
      </c>
      <c r="BJ29" s="31">
        <f t="shared" si="23"/>
        <v>0</v>
      </c>
      <c r="BK29" s="31">
        <f t="shared" si="24"/>
        <v>0</v>
      </c>
      <c r="BL29" s="255">
        <f t="shared" si="25"/>
        <v>0</v>
      </c>
      <c r="BM29" s="31">
        <f t="shared" si="26"/>
        <v>0</v>
      </c>
      <c r="BN29" s="255">
        <f t="shared" si="27"/>
        <v>0</v>
      </c>
    </row>
    <row r="30" spans="1:66" x14ac:dyDescent="0.25">
      <c r="A30" t="s">
        <v>1019</v>
      </c>
      <c r="B30" s="186" t="str">
        <f>VLOOKUP(A30,kurspris!$A$1:$B$877,2,FALSE)</f>
        <v>Analog kretsteknik</v>
      </c>
      <c r="C30"/>
      <c r="D30" t="s">
        <v>483</v>
      </c>
      <c r="E30" t="s">
        <v>1976</v>
      </c>
      <c r="F30" s="59" t="s">
        <v>1930</v>
      </c>
      <c r="G30" t="s">
        <v>1980</v>
      </c>
      <c r="H30" t="s">
        <v>1910</v>
      </c>
      <c r="I30"/>
      <c r="J30" t="s">
        <v>774</v>
      </c>
      <c r="K30"/>
      <c r="L30">
        <v>50</v>
      </c>
      <c r="M30">
        <v>6</v>
      </c>
      <c r="N30"/>
      <c r="O30"/>
      <c r="P30" s="31">
        <v>1</v>
      </c>
      <c r="Q30" s="232">
        <f t="shared" si="0"/>
        <v>0.1</v>
      </c>
      <c r="R30" s="40">
        <v>0.85</v>
      </c>
      <c r="S30" s="334">
        <f t="shared" si="1"/>
        <v>8.5000000000000006E-2</v>
      </c>
      <c r="T30" s="31">
        <f>VLOOKUP(A30,'Ansvar kurs'!$A$1:$C$1010,2,FALSE)</f>
        <v>5410</v>
      </c>
      <c r="U30" s="31" t="str">
        <f>VLOOKUP(T30,Orgenheter!$A$1:$C$165,2,FALSE)</f>
        <v>TFE</v>
      </c>
      <c r="V30" s="31" t="str">
        <f>VLOOKUP(T30,Orgenheter!$A$1:$C$165,3,FALSE)</f>
        <v>TekNat</v>
      </c>
      <c r="W30" s="37" t="str">
        <f>VLOOKUP(D30,Program!$A$1:$B$34,2,FALSE)</f>
        <v>Ämneslärarprogrammet - Gy</v>
      </c>
      <c r="X30" s="42">
        <f>VLOOKUP(A30,kurspris!$A$1:$Q$798,15,FALSE)</f>
        <v>19473</v>
      </c>
      <c r="Y30" s="42">
        <f>VLOOKUP(A30,kurspris!$A$1:$Q$798,16,FALSE)</f>
        <v>34806</v>
      </c>
      <c r="Z30" s="42">
        <f t="shared" si="2"/>
        <v>4905.8100000000004</v>
      </c>
      <c r="AA30" s="42">
        <f>VLOOKUP(A30,kurspris!$A$1:$Q$798,17,FALSE)</f>
        <v>21800</v>
      </c>
      <c r="AB30" s="42">
        <f t="shared" si="3"/>
        <v>2180</v>
      </c>
      <c r="AC30" s="42">
        <f t="shared" si="4"/>
        <v>7085.81</v>
      </c>
      <c r="AD30" s="31">
        <f>VLOOKUP($A30,kurspris!$A$1:$Q$835,3,FALSE)</f>
        <v>0</v>
      </c>
      <c r="AE30" s="31">
        <f>VLOOKUP($A30,kurspris!$A$1:$Q$835,4,FALSE)</f>
        <v>0</v>
      </c>
      <c r="AF30" s="31">
        <f>VLOOKUP($A30,kurspris!$A$1:$Q$835,5,FALSE)</f>
        <v>0</v>
      </c>
      <c r="AG30" s="31">
        <f>VLOOKUP($A30,kurspris!$A$1:$Q$835,6,FALSE)</f>
        <v>0</v>
      </c>
      <c r="AH30" s="31">
        <f>VLOOKUP($A30,kurspris!$A$1:$Q$835,7,FALSE)</f>
        <v>0</v>
      </c>
      <c r="AI30" s="31">
        <f>VLOOKUP($A30,kurspris!$A$1:$Q$835,8,FALSE)</f>
        <v>0</v>
      </c>
      <c r="AJ30" s="31">
        <f>VLOOKUP($A30,kurspris!$A$1:$Q$835,9,FALSE)</f>
        <v>0</v>
      </c>
      <c r="AK30" s="31">
        <f>VLOOKUP($A30,kurspris!$A$1:$Q$835,10,FALSE)</f>
        <v>1</v>
      </c>
      <c r="AL30" s="31">
        <f>VLOOKUP($A30,kurspris!$A$1:$Q$835,11,FALSE)</f>
        <v>0</v>
      </c>
      <c r="AM30" s="31">
        <f>VLOOKUP($A30,kurspris!$A$1:$Q$835,12,FALSE)</f>
        <v>0</v>
      </c>
      <c r="AN30" s="31">
        <f>VLOOKUP($A30,kurspris!$A$1:$Q$835,13,FALSE)</f>
        <v>0</v>
      </c>
      <c r="AO30" s="31">
        <f>VLOOKUP($A30,kurspris!$A$1:$Q$835,14,FALSE)</f>
        <v>0</v>
      </c>
      <c r="AP30" s="39" t="s">
        <v>2232</v>
      </c>
      <c r="AQ30"/>
      <c r="AR30" s="31">
        <f t="shared" si="5"/>
        <v>0</v>
      </c>
      <c r="AS30" s="255">
        <f t="shared" si="6"/>
        <v>0</v>
      </c>
      <c r="AT30" s="31">
        <f t="shared" si="7"/>
        <v>0</v>
      </c>
      <c r="AU30" s="255">
        <f t="shared" si="8"/>
        <v>0</v>
      </c>
      <c r="AV30" s="31">
        <f t="shared" si="9"/>
        <v>0</v>
      </c>
      <c r="AW30" s="31">
        <f t="shared" si="10"/>
        <v>0</v>
      </c>
      <c r="AX30" s="31">
        <f t="shared" si="11"/>
        <v>0</v>
      </c>
      <c r="AY30" s="255">
        <f t="shared" si="12"/>
        <v>0</v>
      </c>
      <c r="AZ30" s="232">
        <f t="shared" si="13"/>
        <v>0</v>
      </c>
      <c r="BA30" s="255">
        <f t="shared" si="14"/>
        <v>0</v>
      </c>
      <c r="BB30" s="31">
        <f t="shared" si="15"/>
        <v>0</v>
      </c>
      <c r="BC30" s="255">
        <f t="shared" si="16"/>
        <v>0</v>
      </c>
      <c r="BD30" s="31">
        <f t="shared" si="17"/>
        <v>0</v>
      </c>
      <c r="BE30" s="255">
        <f t="shared" si="18"/>
        <v>0</v>
      </c>
      <c r="BF30" s="31">
        <f t="shared" si="19"/>
        <v>0.1</v>
      </c>
      <c r="BG30" s="255">
        <f t="shared" si="20"/>
        <v>8.5000000000000006E-2</v>
      </c>
      <c r="BH30" s="31">
        <f t="shared" si="21"/>
        <v>0</v>
      </c>
      <c r="BI30" s="255">
        <f t="shared" si="22"/>
        <v>0</v>
      </c>
      <c r="BJ30" s="31">
        <f t="shared" si="23"/>
        <v>0</v>
      </c>
      <c r="BK30" s="31">
        <f t="shared" si="24"/>
        <v>0</v>
      </c>
      <c r="BL30" s="255">
        <f t="shared" si="25"/>
        <v>0</v>
      </c>
      <c r="BM30" s="31">
        <f t="shared" si="26"/>
        <v>0</v>
      </c>
      <c r="BN30" s="255">
        <f t="shared" si="27"/>
        <v>0</v>
      </c>
    </row>
    <row r="31" spans="1:66" x14ac:dyDescent="0.25">
      <c r="A31" t="s">
        <v>1141</v>
      </c>
      <c r="B31" s="186" t="str">
        <f>VLOOKUP(A31,kurspris!$A$1:$B$877,2,FALSE)</f>
        <v>Analytisk mekanik, 6 hp</v>
      </c>
      <c r="C31"/>
      <c r="D31" t="s">
        <v>483</v>
      </c>
      <c r="E31" t="s">
        <v>1976</v>
      </c>
      <c r="F31" s="59" t="s">
        <v>1930</v>
      </c>
      <c r="G31" t="s">
        <v>1980</v>
      </c>
      <c r="H31" t="s">
        <v>1910</v>
      </c>
      <c r="I31"/>
      <c r="J31" t="s">
        <v>774</v>
      </c>
      <c r="K31"/>
      <c r="L31">
        <v>50</v>
      </c>
      <c r="M31">
        <v>6</v>
      </c>
      <c r="N31"/>
      <c r="O31"/>
      <c r="P31" s="31">
        <v>1</v>
      </c>
      <c r="Q31" s="232">
        <f t="shared" si="0"/>
        <v>0.1</v>
      </c>
      <c r="R31" s="40">
        <v>0.85</v>
      </c>
      <c r="S31" s="334">
        <f t="shared" si="1"/>
        <v>8.5000000000000006E-2</v>
      </c>
      <c r="T31" s="31">
        <f>VLOOKUP(A31,'Ansvar kurs'!$A$1:$C$1010,2,FALSE)</f>
        <v>5400</v>
      </c>
      <c r="U31" s="31" t="str">
        <f>VLOOKUP(T31,Orgenheter!$A$1:$C$165,2,FALSE)</f>
        <v xml:space="preserve">Inst för Fysik                </v>
      </c>
      <c r="V31" s="31" t="str">
        <f>VLOOKUP(T31,Orgenheter!$A$1:$C$165,3,FALSE)</f>
        <v>TekNat</v>
      </c>
      <c r="W31" s="37" t="str">
        <f>VLOOKUP(D31,Program!$A$1:$B$34,2,FALSE)</f>
        <v>Ämneslärarprogrammet - Gy</v>
      </c>
      <c r="X31" s="42">
        <f>VLOOKUP(A31,kurspris!$A$1:$Q$798,15,FALSE)</f>
        <v>19473</v>
      </c>
      <c r="Y31" s="42">
        <f>VLOOKUP(A31,kurspris!$A$1:$Q$798,16,FALSE)</f>
        <v>34806</v>
      </c>
      <c r="Z31" s="42">
        <f t="shared" si="2"/>
        <v>4905.8100000000004</v>
      </c>
      <c r="AA31" s="42">
        <f>VLOOKUP(A31,kurspris!$A$1:$Q$798,17,FALSE)</f>
        <v>21800</v>
      </c>
      <c r="AB31" s="42">
        <f t="shared" si="3"/>
        <v>2180</v>
      </c>
      <c r="AC31" s="42">
        <f t="shared" si="4"/>
        <v>7085.81</v>
      </c>
      <c r="AD31" s="31">
        <f>VLOOKUP($A31,kurspris!$A$1:$Q$835,3,FALSE)</f>
        <v>0</v>
      </c>
      <c r="AE31" s="31">
        <f>VLOOKUP($A31,kurspris!$A$1:$Q$835,4,FALSE)</f>
        <v>0</v>
      </c>
      <c r="AF31" s="31">
        <f>VLOOKUP($A31,kurspris!$A$1:$Q$835,5,FALSE)</f>
        <v>0</v>
      </c>
      <c r="AG31" s="31">
        <f>VLOOKUP($A31,kurspris!$A$1:$Q$835,6,FALSE)</f>
        <v>0</v>
      </c>
      <c r="AH31" s="31">
        <f>VLOOKUP($A31,kurspris!$A$1:$Q$835,7,FALSE)</f>
        <v>0</v>
      </c>
      <c r="AI31" s="31">
        <f>VLOOKUP($A31,kurspris!$A$1:$Q$835,8,FALSE)</f>
        <v>0</v>
      </c>
      <c r="AJ31" s="31">
        <f>VLOOKUP($A31,kurspris!$A$1:$Q$835,9,FALSE)</f>
        <v>0</v>
      </c>
      <c r="AK31" s="31">
        <f>VLOOKUP($A31,kurspris!$A$1:$Q$835,10,FALSE)</f>
        <v>1</v>
      </c>
      <c r="AL31" s="31">
        <f>VLOOKUP($A31,kurspris!$A$1:$Q$835,11,FALSE)</f>
        <v>0</v>
      </c>
      <c r="AM31" s="31">
        <f>VLOOKUP($A31,kurspris!$A$1:$Q$835,12,FALSE)</f>
        <v>0</v>
      </c>
      <c r="AN31" s="31">
        <f>VLOOKUP($A31,kurspris!$A$1:$Q$835,13,FALSE)</f>
        <v>0</v>
      </c>
      <c r="AO31" s="31">
        <f>VLOOKUP($A31,kurspris!$A$1:$Q$835,14,FALSE)</f>
        <v>0</v>
      </c>
      <c r="AP31" s="39" t="s">
        <v>2232</v>
      </c>
      <c r="AQ31"/>
      <c r="AR31" s="31">
        <f t="shared" si="5"/>
        <v>0</v>
      </c>
      <c r="AS31" s="255">
        <f t="shared" si="6"/>
        <v>0</v>
      </c>
      <c r="AT31" s="31">
        <f t="shared" si="7"/>
        <v>0</v>
      </c>
      <c r="AU31" s="255">
        <f t="shared" si="8"/>
        <v>0</v>
      </c>
      <c r="AV31" s="31">
        <f t="shared" si="9"/>
        <v>0</v>
      </c>
      <c r="AW31" s="31">
        <f t="shared" si="10"/>
        <v>0</v>
      </c>
      <c r="AX31" s="31">
        <f t="shared" si="11"/>
        <v>0</v>
      </c>
      <c r="AY31" s="255">
        <f t="shared" si="12"/>
        <v>0</v>
      </c>
      <c r="AZ31" s="232">
        <f t="shared" si="13"/>
        <v>0</v>
      </c>
      <c r="BA31" s="255">
        <f t="shared" si="14"/>
        <v>0</v>
      </c>
      <c r="BB31" s="31">
        <f t="shared" si="15"/>
        <v>0</v>
      </c>
      <c r="BC31" s="255">
        <f t="shared" si="16"/>
        <v>0</v>
      </c>
      <c r="BD31" s="31">
        <f t="shared" si="17"/>
        <v>0</v>
      </c>
      <c r="BE31" s="255">
        <f t="shared" si="18"/>
        <v>0</v>
      </c>
      <c r="BF31" s="31">
        <f t="shared" si="19"/>
        <v>0.1</v>
      </c>
      <c r="BG31" s="255">
        <f t="shared" si="20"/>
        <v>8.5000000000000006E-2</v>
      </c>
      <c r="BH31" s="31">
        <f t="shared" si="21"/>
        <v>0</v>
      </c>
      <c r="BI31" s="255">
        <f t="shared" si="22"/>
        <v>0</v>
      </c>
      <c r="BJ31" s="31">
        <f t="shared" si="23"/>
        <v>0</v>
      </c>
      <c r="BK31" s="31">
        <f t="shared" si="24"/>
        <v>0</v>
      </c>
      <c r="BL31" s="255">
        <f t="shared" si="25"/>
        <v>0</v>
      </c>
      <c r="BM31" s="31">
        <f t="shared" si="26"/>
        <v>0</v>
      </c>
      <c r="BN31" s="255">
        <f t="shared" si="27"/>
        <v>0</v>
      </c>
    </row>
    <row r="32" spans="1:66" x14ac:dyDescent="0.25">
      <c r="A32" t="s">
        <v>348</v>
      </c>
      <c r="B32" s="186" t="str">
        <f>VLOOKUP(A32,kurspris!$A$1:$B$877,2,FALSE)</f>
        <v>Fasta tillståndets fysik C, 7,5 hp</v>
      </c>
      <c r="C32"/>
      <c r="D32" t="s">
        <v>483</v>
      </c>
      <c r="E32" t="s">
        <v>1976</v>
      </c>
      <c r="F32" s="59" t="s">
        <v>1930</v>
      </c>
      <c r="G32" t="s">
        <v>1936</v>
      </c>
      <c r="H32" t="s">
        <v>1910</v>
      </c>
      <c r="I32"/>
      <c r="J32" t="s">
        <v>774</v>
      </c>
      <c r="K32"/>
      <c r="L32">
        <v>100</v>
      </c>
      <c r="M32">
        <v>7.5</v>
      </c>
      <c r="N32"/>
      <c r="O32"/>
      <c r="P32" s="31">
        <v>5</v>
      </c>
      <c r="Q32" s="232">
        <f t="shared" si="0"/>
        <v>0.625</v>
      </c>
      <c r="R32" s="40">
        <v>0.85</v>
      </c>
      <c r="S32" s="334">
        <f t="shared" si="1"/>
        <v>0.53125</v>
      </c>
      <c r="T32" s="31">
        <f>VLOOKUP(A32,'Ansvar kurs'!$A$1:$C$1010,2,FALSE)</f>
        <v>5400</v>
      </c>
      <c r="U32" s="31" t="str">
        <f>VLOOKUP(T32,Orgenheter!$A$1:$C$165,2,FALSE)</f>
        <v xml:space="preserve">Inst för Fysik                </v>
      </c>
      <c r="V32" s="31" t="str">
        <f>VLOOKUP(T32,Orgenheter!$A$1:$C$165,3,FALSE)</f>
        <v>TekNat</v>
      </c>
      <c r="W32" s="37" t="str">
        <f>VLOOKUP(D32,Program!$A$1:$B$34,2,FALSE)</f>
        <v>Ämneslärarprogrammet - Gy</v>
      </c>
      <c r="X32" s="42">
        <f>VLOOKUP(A32,kurspris!$A$1:$Q$798,15,FALSE)</f>
        <v>19473</v>
      </c>
      <c r="Y32" s="42">
        <f>VLOOKUP(A32,kurspris!$A$1:$Q$798,16,FALSE)</f>
        <v>34806</v>
      </c>
      <c r="Z32" s="42">
        <f t="shared" si="2"/>
        <v>30661.3125</v>
      </c>
      <c r="AA32" s="42">
        <f>VLOOKUP(A32,kurspris!$A$1:$Q$798,17,FALSE)</f>
        <v>21800</v>
      </c>
      <c r="AB32" s="42">
        <f t="shared" si="3"/>
        <v>13625</v>
      </c>
      <c r="AC32" s="42">
        <f t="shared" si="4"/>
        <v>44286.3125</v>
      </c>
      <c r="AD32" s="31">
        <f>VLOOKUP($A32,kurspris!$A$1:$Q$835,3,FALSE)</f>
        <v>0</v>
      </c>
      <c r="AE32" s="31">
        <f>VLOOKUP($A32,kurspris!$A$1:$Q$835,4,FALSE)</f>
        <v>0</v>
      </c>
      <c r="AF32" s="31">
        <f>VLOOKUP($A32,kurspris!$A$1:$Q$835,5,FALSE)</f>
        <v>0</v>
      </c>
      <c r="AG32" s="31">
        <f>VLOOKUP($A32,kurspris!$A$1:$Q$835,6,FALSE)</f>
        <v>0</v>
      </c>
      <c r="AH32" s="31">
        <f>VLOOKUP($A32,kurspris!$A$1:$Q$835,7,FALSE)</f>
        <v>0</v>
      </c>
      <c r="AI32" s="31">
        <f>VLOOKUP($A32,kurspris!$A$1:$Q$835,8,FALSE)</f>
        <v>0</v>
      </c>
      <c r="AJ32" s="31">
        <f>VLOOKUP($A32,kurspris!$A$1:$Q$835,9,FALSE)</f>
        <v>0</v>
      </c>
      <c r="AK32" s="31">
        <f>VLOOKUP($A32,kurspris!$A$1:$Q$835,10,FALSE)</f>
        <v>1</v>
      </c>
      <c r="AL32" s="31">
        <f>VLOOKUP($A32,kurspris!$A$1:$Q$835,11,FALSE)</f>
        <v>0</v>
      </c>
      <c r="AM32" s="31">
        <f>VLOOKUP($A32,kurspris!$A$1:$Q$835,12,FALSE)</f>
        <v>0</v>
      </c>
      <c r="AN32" s="31">
        <f>VLOOKUP($A32,kurspris!$A$1:$Q$835,13,FALSE)</f>
        <v>0</v>
      </c>
      <c r="AO32" s="31">
        <f>VLOOKUP($A32,kurspris!$A$1:$Q$835,14,FALSE)</f>
        <v>0</v>
      </c>
      <c r="AP32" s="39" t="s">
        <v>2204</v>
      </c>
      <c r="AQ32"/>
      <c r="AR32" s="31">
        <f t="shared" si="5"/>
        <v>0</v>
      </c>
      <c r="AS32" s="255">
        <f t="shared" si="6"/>
        <v>0</v>
      </c>
      <c r="AT32" s="31">
        <f t="shared" si="7"/>
        <v>0</v>
      </c>
      <c r="AU32" s="255">
        <f t="shared" si="8"/>
        <v>0</v>
      </c>
      <c r="AV32" s="31">
        <f t="shared" si="9"/>
        <v>0</v>
      </c>
      <c r="AW32" s="31">
        <f t="shared" si="10"/>
        <v>0</v>
      </c>
      <c r="AX32" s="31">
        <f t="shared" si="11"/>
        <v>0</v>
      </c>
      <c r="AY32" s="255">
        <f t="shared" si="12"/>
        <v>0</v>
      </c>
      <c r="AZ32" s="232">
        <f t="shared" si="13"/>
        <v>0</v>
      </c>
      <c r="BA32" s="255">
        <f t="shared" si="14"/>
        <v>0</v>
      </c>
      <c r="BB32" s="31">
        <f t="shared" si="15"/>
        <v>0</v>
      </c>
      <c r="BC32" s="255">
        <f t="shared" si="16"/>
        <v>0</v>
      </c>
      <c r="BD32" s="31">
        <f t="shared" si="17"/>
        <v>0</v>
      </c>
      <c r="BE32" s="255">
        <f t="shared" si="18"/>
        <v>0</v>
      </c>
      <c r="BF32" s="31">
        <f t="shared" si="19"/>
        <v>0.625</v>
      </c>
      <c r="BG32" s="255">
        <f t="shared" si="20"/>
        <v>0.53125</v>
      </c>
      <c r="BH32" s="31">
        <f t="shared" si="21"/>
        <v>0</v>
      </c>
      <c r="BI32" s="255">
        <f t="shared" si="22"/>
        <v>0</v>
      </c>
      <c r="BJ32" s="31">
        <f t="shared" si="23"/>
        <v>0</v>
      </c>
      <c r="BK32" s="31">
        <f t="shared" si="24"/>
        <v>0</v>
      </c>
      <c r="BL32" s="255">
        <f t="shared" si="25"/>
        <v>0</v>
      </c>
      <c r="BM32" s="31">
        <f t="shared" si="26"/>
        <v>0</v>
      </c>
      <c r="BN32" s="255">
        <f t="shared" si="27"/>
        <v>0</v>
      </c>
    </row>
    <row r="33" spans="1:66" x14ac:dyDescent="0.25">
      <c r="A33" t="s">
        <v>1513</v>
      </c>
      <c r="B33" s="186" t="str">
        <f>VLOOKUP(A33,kurspris!$A$1:$B$877,2,FALSE)</f>
        <v>Klassisk mekanik A</v>
      </c>
      <c r="C33"/>
      <c r="D33" t="s">
        <v>483</v>
      </c>
      <c r="E33" t="s">
        <v>1609</v>
      </c>
      <c r="F33" s="59" t="s">
        <v>1930</v>
      </c>
      <c r="G33" t="s">
        <v>1980</v>
      </c>
      <c r="H33" t="s">
        <v>1910</v>
      </c>
      <c r="I33"/>
      <c r="J33" t="s">
        <v>774</v>
      </c>
      <c r="K33"/>
      <c r="L33">
        <v>50</v>
      </c>
      <c r="M33">
        <v>7.5</v>
      </c>
      <c r="N33"/>
      <c r="O33"/>
      <c r="P33" s="31">
        <v>2</v>
      </c>
      <c r="Q33" s="232">
        <f t="shared" si="0"/>
        <v>0.25</v>
      </c>
      <c r="R33" s="40">
        <v>0.85</v>
      </c>
      <c r="S33" s="334">
        <f t="shared" si="1"/>
        <v>0.21249999999999999</v>
      </c>
      <c r="T33" s="31">
        <f>VLOOKUP(A33,'Ansvar kurs'!$A$1:$C$1010,2,FALSE)</f>
        <v>5400</v>
      </c>
      <c r="U33" s="31" t="str">
        <f>VLOOKUP(T33,Orgenheter!$A$1:$C$165,2,FALSE)</f>
        <v xml:space="preserve">Inst för Fysik                </v>
      </c>
      <c r="V33" s="31" t="str">
        <f>VLOOKUP(T33,Orgenheter!$A$1:$C$165,3,FALSE)</f>
        <v>TekNat</v>
      </c>
      <c r="W33" s="37" t="str">
        <f>VLOOKUP(D33,Program!$A$1:$B$34,2,FALSE)</f>
        <v>Ämneslärarprogrammet - Gy</v>
      </c>
      <c r="X33" s="42">
        <f>VLOOKUP(A33,kurspris!$A$1:$Q$798,15,FALSE)</f>
        <v>19473</v>
      </c>
      <c r="Y33" s="42">
        <f>VLOOKUP(A33,kurspris!$A$1:$Q$798,16,FALSE)</f>
        <v>34806</v>
      </c>
      <c r="Z33" s="42">
        <f t="shared" si="2"/>
        <v>12264.525</v>
      </c>
      <c r="AA33" s="42">
        <f>VLOOKUP(A33,kurspris!$A$1:$Q$798,17,FALSE)</f>
        <v>21800</v>
      </c>
      <c r="AB33" s="42">
        <f t="shared" si="3"/>
        <v>5450</v>
      </c>
      <c r="AC33" s="42">
        <f t="shared" si="4"/>
        <v>17714.525000000001</v>
      </c>
      <c r="AD33" s="31">
        <f>VLOOKUP($A33,kurspris!$A$1:$Q$835,3,FALSE)</f>
        <v>0</v>
      </c>
      <c r="AE33" s="31">
        <f>VLOOKUP($A33,kurspris!$A$1:$Q$835,4,FALSE)</f>
        <v>0</v>
      </c>
      <c r="AF33" s="31">
        <f>VLOOKUP($A33,kurspris!$A$1:$Q$835,5,FALSE)</f>
        <v>0</v>
      </c>
      <c r="AG33" s="31">
        <f>VLOOKUP($A33,kurspris!$A$1:$Q$835,6,FALSE)</f>
        <v>0</v>
      </c>
      <c r="AH33" s="31">
        <f>VLOOKUP($A33,kurspris!$A$1:$Q$835,7,FALSE)</f>
        <v>0</v>
      </c>
      <c r="AI33" s="31">
        <f>VLOOKUP($A33,kurspris!$A$1:$Q$835,8,FALSE)</f>
        <v>0</v>
      </c>
      <c r="AJ33" s="31">
        <f>VLOOKUP($A33,kurspris!$A$1:$Q$835,9,FALSE)</f>
        <v>0</v>
      </c>
      <c r="AK33" s="31">
        <f>VLOOKUP($A33,kurspris!$A$1:$Q$835,10,FALSE)</f>
        <v>1</v>
      </c>
      <c r="AL33" s="31">
        <f>VLOOKUP($A33,kurspris!$A$1:$Q$835,11,FALSE)</f>
        <v>0</v>
      </c>
      <c r="AM33" s="31">
        <f>VLOOKUP($A33,kurspris!$A$1:$Q$835,12,FALSE)</f>
        <v>0</v>
      </c>
      <c r="AN33" s="31">
        <f>VLOOKUP($A33,kurspris!$A$1:$Q$835,13,FALSE)</f>
        <v>0</v>
      </c>
      <c r="AO33" s="31">
        <f>VLOOKUP($A33,kurspris!$A$1:$Q$835,14,FALSE)</f>
        <v>0</v>
      </c>
      <c r="AP33" s="39" t="s">
        <v>2232</v>
      </c>
      <c r="AQ33"/>
      <c r="AR33" s="31">
        <f t="shared" si="5"/>
        <v>0</v>
      </c>
      <c r="AS33" s="255">
        <f t="shared" si="6"/>
        <v>0</v>
      </c>
      <c r="AT33" s="31">
        <f t="shared" si="7"/>
        <v>0</v>
      </c>
      <c r="AU33" s="255">
        <f t="shared" si="8"/>
        <v>0</v>
      </c>
      <c r="AV33" s="31">
        <f t="shared" si="9"/>
        <v>0</v>
      </c>
      <c r="AW33" s="31">
        <f t="shared" si="10"/>
        <v>0</v>
      </c>
      <c r="AX33" s="31">
        <f t="shared" si="11"/>
        <v>0</v>
      </c>
      <c r="AY33" s="255">
        <f t="shared" si="12"/>
        <v>0</v>
      </c>
      <c r="AZ33" s="232">
        <f t="shared" si="13"/>
        <v>0</v>
      </c>
      <c r="BA33" s="255">
        <f t="shared" si="14"/>
        <v>0</v>
      </c>
      <c r="BB33" s="31">
        <f t="shared" si="15"/>
        <v>0</v>
      </c>
      <c r="BC33" s="255">
        <f t="shared" si="16"/>
        <v>0</v>
      </c>
      <c r="BD33" s="31">
        <f t="shared" si="17"/>
        <v>0</v>
      </c>
      <c r="BE33" s="255">
        <f t="shared" si="18"/>
        <v>0</v>
      </c>
      <c r="BF33" s="31">
        <f t="shared" si="19"/>
        <v>0.25</v>
      </c>
      <c r="BG33" s="255">
        <f t="shared" si="20"/>
        <v>0.21249999999999999</v>
      </c>
      <c r="BH33" s="31">
        <f t="shared" si="21"/>
        <v>0</v>
      </c>
      <c r="BI33" s="255">
        <f t="shared" si="22"/>
        <v>0</v>
      </c>
      <c r="BJ33" s="31">
        <f t="shared" si="23"/>
        <v>0</v>
      </c>
      <c r="BK33" s="31">
        <f t="shared" si="24"/>
        <v>0</v>
      </c>
      <c r="BL33" s="255">
        <f t="shared" si="25"/>
        <v>0</v>
      </c>
      <c r="BM33" s="31">
        <f t="shared" si="26"/>
        <v>0</v>
      </c>
      <c r="BN33" s="255">
        <f t="shared" si="27"/>
        <v>0</v>
      </c>
    </row>
    <row r="34" spans="1:66" x14ac:dyDescent="0.25">
      <c r="A34" t="s">
        <v>954</v>
      </c>
      <c r="B34" s="186" t="str">
        <f>VLOOKUP(A34,kurspris!$A$1:$B$877,2,FALSE)</f>
        <v>Klassisk mekanik A</v>
      </c>
      <c r="C34"/>
      <c r="D34" t="s">
        <v>483</v>
      </c>
      <c r="E34" t="s">
        <v>1973</v>
      </c>
      <c r="F34" s="59" t="s">
        <v>1930</v>
      </c>
      <c r="G34" t="s">
        <v>1980</v>
      </c>
      <c r="H34" t="s">
        <v>1910</v>
      </c>
      <c r="I34"/>
      <c r="J34" t="s">
        <v>774</v>
      </c>
      <c r="K34"/>
      <c r="L34">
        <v>100</v>
      </c>
      <c r="M34">
        <v>9</v>
      </c>
      <c r="N34"/>
      <c r="O34"/>
      <c r="P34" s="31">
        <v>1</v>
      </c>
      <c r="Q34" s="232">
        <f t="shared" si="0"/>
        <v>0.15</v>
      </c>
      <c r="R34" s="40">
        <v>0.85</v>
      </c>
      <c r="S34" s="334">
        <f t="shared" si="1"/>
        <v>0.1275</v>
      </c>
      <c r="T34" s="31">
        <f>VLOOKUP(A34,'Ansvar kurs'!$A$1:$C$1010,2,FALSE)</f>
        <v>5400</v>
      </c>
      <c r="U34" s="31" t="str">
        <f>VLOOKUP(T34,Orgenheter!$A$1:$C$165,2,FALSE)</f>
        <v xml:space="preserve">Inst för Fysik                </v>
      </c>
      <c r="V34" s="31" t="str">
        <f>VLOOKUP(T34,Orgenheter!$A$1:$C$165,3,FALSE)</f>
        <v>TekNat</v>
      </c>
      <c r="W34" s="37" t="str">
        <f>VLOOKUP(D34,Program!$A$1:$B$34,2,FALSE)</f>
        <v>Ämneslärarprogrammet - Gy</v>
      </c>
      <c r="X34" s="42">
        <f>VLOOKUP(A34,kurspris!$A$1:$Q$798,15,FALSE)</f>
        <v>19473</v>
      </c>
      <c r="Y34" s="42">
        <f>VLOOKUP(A34,kurspris!$A$1:$Q$798,16,FALSE)</f>
        <v>34806</v>
      </c>
      <c r="Z34" s="42">
        <f t="shared" si="2"/>
        <v>7358.7150000000001</v>
      </c>
      <c r="AA34" s="42">
        <f>VLOOKUP(A34,kurspris!$A$1:$Q$798,17,FALSE)</f>
        <v>21800</v>
      </c>
      <c r="AB34" s="42">
        <f t="shared" si="3"/>
        <v>3270</v>
      </c>
      <c r="AC34" s="42">
        <f t="shared" si="4"/>
        <v>10628.715</v>
      </c>
      <c r="AD34" s="31">
        <f>VLOOKUP($A34,kurspris!$A$1:$Q$835,3,FALSE)</f>
        <v>0</v>
      </c>
      <c r="AE34" s="31">
        <f>VLOOKUP($A34,kurspris!$A$1:$Q$835,4,FALSE)</f>
        <v>0</v>
      </c>
      <c r="AF34" s="31">
        <f>VLOOKUP($A34,kurspris!$A$1:$Q$835,5,FALSE)</f>
        <v>0</v>
      </c>
      <c r="AG34" s="31">
        <f>VLOOKUP($A34,kurspris!$A$1:$Q$835,6,FALSE)</f>
        <v>0</v>
      </c>
      <c r="AH34" s="31">
        <f>VLOOKUP($A34,kurspris!$A$1:$Q$835,7,FALSE)</f>
        <v>0</v>
      </c>
      <c r="AI34" s="31">
        <f>VLOOKUP($A34,kurspris!$A$1:$Q$835,8,FALSE)</f>
        <v>0</v>
      </c>
      <c r="AJ34" s="31">
        <f>VLOOKUP($A34,kurspris!$A$1:$Q$835,9,FALSE)</f>
        <v>0</v>
      </c>
      <c r="AK34" s="31">
        <f>VLOOKUP($A34,kurspris!$A$1:$Q$835,10,FALSE)</f>
        <v>1</v>
      </c>
      <c r="AL34" s="31">
        <f>VLOOKUP($A34,kurspris!$A$1:$Q$835,11,FALSE)</f>
        <v>0</v>
      </c>
      <c r="AM34" s="31">
        <f>VLOOKUP($A34,kurspris!$A$1:$Q$835,12,FALSE)</f>
        <v>0</v>
      </c>
      <c r="AN34" s="31">
        <f>VLOOKUP($A34,kurspris!$A$1:$Q$835,13,FALSE)</f>
        <v>0</v>
      </c>
      <c r="AO34" s="31">
        <f>VLOOKUP($A34,kurspris!$A$1:$Q$835,14,FALSE)</f>
        <v>0</v>
      </c>
      <c r="AP34" s="39" t="s">
        <v>2232</v>
      </c>
      <c r="AQ34"/>
      <c r="AR34" s="31">
        <f t="shared" si="5"/>
        <v>0</v>
      </c>
      <c r="AS34" s="255">
        <f t="shared" si="6"/>
        <v>0</v>
      </c>
      <c r="AT34" s="31">
        <f t="shared" si="7"/>
        <v>0</v>
      </c>
      <c r="AU34" s="255">
        <f t="shared" si="8"/>
        <v>0</v>
      </c>
      <c r="AV34" s="31">
        <f t="shared" si="9"/>
        <v>0</v>
      </c>
      <c r="AW34" s="31">
        <f t="shared" si="10"/>
        <v>0</v>
      </c>
      <c r="AX34" s="31">
        <f t="shared" si="11"/>
        <v>0</v>
      </c>
      <c r="AY34" s="255">
        <f t="shared" si="12"/>
        <v>0</v>
      </c>
      <c r="AZ34" s="232">
        <f t="shared" si="13"/>
        <v>0</v>
      </c>
      <c r="BA34" s="255">
        <f t="shared" si="14"/>
        <v>0</v>
      </c>
      <c r="BB34" s="31">
        <f t="shared" si="15"/>
        <v>0</v>
      </c>
      <c r="BC34" s="255">
        <f t="shared" si="16"/>
        <v>0</v>
      </c>
      <c r="BD34" s="31">
        <f t="shared" si="17"/>
        <v>0</v>
      </c>
      <c r="BE34" s="255">
        <f t="shared" si="18"/>
        <v>0</v>
      </c>
      <c r="BF34" s="31">
        <f t="shared" si="19"/>
        <v>0.15</v>
      </c>
      <c r="BG34" s="255">
        <f t="shared" si="20"/>
        <v>0.1275</v>
      </c>
      <c r="BH34" s="31">
        <f t="shared" si="21"/>
        <v>0</v>
      </c>
      <c r="BI34" s="255">
        <f t="shared" si="22"/>
        <v>0</v>
      </c>
      <c r="BJ34" s="31">
        <f t="shared" si="23"/>
        <v>0</v>
      </c>
      <c r="BK34" s="31">
        <f t="shared" si="24"/>
        <v>0</v>
      </c>
      <c r="BL34" s="255">
        <f t="shared" si="25"/>
        <v>0</v>
      </c>
      <c r="BM34" s="31">
        <f t="shared" si="26"/>
        <v>0</v>
      </c>
      <c r="BN34" s="255">
        <f t="shared" si="27"/>
        <v>0</v>
      </c>
    </row>
    <row r="35" spans="1:66" x14ac:dyDescent="0.25">
      <c r="A35" s="18" t="s">
        <v>1583</v>
      </c>
      <c r="B35" s="186" t="str">
        <f>VLOOKUP(A35,kurspris!$A$1:$B$877,2,FALSE)</f>
        <v>Termodynamik B</v>
      </c>
      <c r="C35" s="37"/>
      <c r="D35" s="31" t="s">
        <v>483</v>
      </c>
      <c r="E35" s="31" t="s">
        <v>1994</v>
      </c>
      <c r="F35" s="59" t="s">
        <v>1931</v>
      </c>
      <c r="G35" s="31" t="s">
        <v>2271</v>
      </c>
      <c r="J35" t="s">
        <v>774</v>
      </c>
      <c r="L35" s="31">
        <v>50</v>
      </c>
      <c r="M35" s="31">
        <v>6</v>
      </c>
      <c r="P35" s="31">
        <v>1</v>
      </c>
      <c r="Q35" s="232">
        <f t="shared" si="0"/>
        <v>0.1</v>
      </c>
      <c r="R35" s="40">
        <v>0.85</v>
      </c>
      <c r="S35" s="334">
        <f t="shared" si="1"/>
        <v>8.5000000000000006E-2</v>
      </c>
      <c r="T35" s="31">
        <f>VLOOKUP(A35,'Ansvar kurs'!$A$1:$C$1010,2,FALSE)</f>
        <v>5400</v>
      </c>
      <c r="U35" s="31" t="str">
        <f>VLOOKUP(T35,Orgenheter!$A$1:$C$165,2,FALSE)</f>
        <v xml:space="preserve">Inst för Fysik                </v>
      </c>
      <c r="V35" s="31" t="str">
        <f>VLOOKUP(T35,Orgenheter!$A$1:$C$165,3,FALSE)</f>
        <v>TekNat</v>
      </c>
      <c r="W35" s="37" t="str">
        <f>VLOOKUP(D35,Program!$A$1:$B$34,2,FALSE)</f>
        <v>Ämneslärarprogrammet - Gy</v>
      </c>
      <c r="X35" s="42">
        <f>VLOOKUP(A35,kurspris!$A$1:$Q$798,15,FALSE)</f>
        <v>19473</v>
      </c>
      <c r="Y35" s="42">
        <f>VLOOKUP(A35,kurspris!$A$1:$Q$798,16,FALSE)</f>
        <v>34806</v>
      </c>
      <c r="Z35" s="42">
        <f t="shared" si="2"/>
        <v>4905.8100000000004</v>
      </c>
      <c r="AA35" s="42">
        <f>VLOOKUP(A35,kurspris!$A$1:$Q$798,17,FALSE)</f>
        <v>21800</v>
      </c>
      <c r="AB35" s="42">
        <f t="shared" si="3"/>
        <v>2180</v>
      </c>
      <c r="AC35" s="42">
        <f t="shared" si="4"/>
        <v>7085.81</v>
      </c>
      <c r="AD35" s="31">
        <f>VLOOKUP($A35,kurspris!$A$1:$Q$835,3,FALSE)</f>
        <v>0</v>
      </c>
      <c r="AE35" s="31">
        <f>VLOOKUP($A35,kurspris!$A$1:$Q$835,4,FALSE)</f>
        <v>0</v>
      </c>
      <c r="AF35" s="31">
        <f>VLOOKUP($A35,kurspris!$A$1:$Q$835,5,FALSE)</f>
        <v>0</v>
      </c>
      <c r="AG35" s="31">
        <f>VLOOKUP($A35,kurspris!$A$1:$Q$835,6,FALSE)</f>
        <v>0</v>
      </c>
      <c r="AH35" s="31">
        <f>VLOOKUP($A35,kurspris!$A$1:$Q$835,7,FALSE)</f>
        <v>0</v>
      </c>
      <c r="AI35" s="31">
        <f>VLOOKUP($A35,kurspris!$A$1:$Q$835,8,FALSE)</f>
        <v>0</v>
      </c>
      <c r="AJ35" s="31">
        <f>VLOOKUP($A35,kurspris!$A$1:$Q$835,9,FALSE)</f>
        <v>0</v>
      </c>
      <c r="AK35" s="31">
        <f>VLOOKUP($A35,kurspris!$A$1:$Q$835,10,FALSE)</f>
        <v>1</v>
      </c>
      <c r="AL35" s="31">
        <f>VLOOKUP($A35,kurspris!$A$1:$Q$835,11,FALSE)</f>
        <v>0</v>
      </c>
      <c r="AM35" s="31">
        <f>VLOOKUP($A35,kurspris!$A$1:$Q$835,12,FALSE)</f>
        <v>0</v>
      </c>
      <c r="AN35" s="31">
        <f>VLOOKUP($A35,kurspris!$A$1:$Q$835,13,FALSE)</f>
        <v>0</v>
      </c>
      <c r="AO35" s="31">
        <f>VLOOKUP($A35,kurspris!$A$1:$Q$835,14,FALSE)</f>
        <v>0</v>
      </c>
      <c r="AP35" s="39" t="s">
        <v>2326</v>
      </c>
      <c r="AQ35"/>
      <c r="AR35" s="31">
        <f t="shared" si="5"/>
        <v>0</v>
      </c>
      <c r="AS35" s="255">
        <f t="shared" si="6"/>
        <v>0</v>
      </c>
      <c r="AT35" s="31">
        <f t="shared" si="7"/>
        <v>0</v>
      </c>
      <c r="AU35" s="255">
        <f t="shared" si="8"/>
        <v>0</v>
      </c>
      <c r="AV35" s="31">
        <f t="shared" si="9"/>
        <v>0</v>
      </c>
      <c r="AW35" s="31">
        <f t="shared" si="10"/>
        <v>0</v>
      </c>
      <c r="AX35" s="31">
        <f t="shared" si="11"/>
        <v>0</v>
      </c>
      <c r="AY35" s="255">
        <f t="shared" si="12"/>
        <v>0</v>
      </c>
      <c r="AZ35" s="232">
        <f t="shared" si="13"/>
        <v>0</v>
      </c>
      <c r="BA35" s="255">
        <f t="shared" si="14"/>
        <v>0</v>
      </c>
      <c r="BB35" s="31">
        <f t="shared" si="15"/>
        <v>0</v>
      </c>
      <c r="BC35" s="255">
        <f t="shared" si="16"/>
        <v>0</v>
      </c>
      <c r="BD35" s="31">
        <f t="shared" si="17"/>
        <v>0</v>
      </c>
      <c r="BE35" s="255">
        <f t="shared" si="18"/>
        <v>0</v>
      </c>
      <c r="BF35" s="31">
        <f t="shared" si="19"/>
        <v>0.1</v>
      </c>
      <c r="BG35" s="255">
        <f t="shared" si="20"/>
        <v>8.5000000000000006E-2</v>
      </c>
      <c r="BH35" s="31">
        <f t="shared" si="21"/>
        <v>0</v>
      </c>
      <c r="BI35" s="255">
        <f t="shared" si="22"/>
        <v>0</v>
      </c>
      <c r="BJ35" s="31">
        <f t="shared" si="23"/>
        <v>0</v>
      </c>
      <c r="BK35" s="31">
        <f t="shared" si="24"/>
        <v>0</v>
      </c>
      <c r="BL35" s="255">
        <f t="shared" si="25"/>
        <v>0</v>
      </c>
      <c r="BM35" s="31">
        <f t="shared" si="26"/>
        <v>0</v>
      </c>
      <c r="BN35" s="255">
        <f t="shared" si="27"/>
        <v>0</v>
      </c>
    </row>
    <row r="36" spans="1:66" x14ac:dyDescent="0.25">
      <c r="A36" s="59" t="s">
        <v>1583</v>
      </c>
      <c r="B36" s="186" t="str">
        <f>VLOOKUP(A36,kurspris!$A$1:$B$877,2,FALSE)</f>
        <v>Termodynamik B</v>
      </c>
      <c r="C36" s="37"/>
      <c r="D36" s="59" t="s">
        <v>483</v>
      </c>
      <c r="E36" s="62" t="s">
        <v>1609</v>
      </c>
      <c r="F36" s="62" t="s">
        <v>1931</v>
      </c>
      <c r="G36" s="31" t="s">
        <v>2271</v>
      </c>
      <c r="J36" t="s">
        <v>774</v>
      </c>
      <c r="L36" s="31">
        <v>50</v>
      </c>
      <c r="M36" s="378">
        <v>6</v>
      </c>
      <c r="N36" s="40"/>
      <c r="P36" s="377">
        <v>2</v>
      </c>
      <c r="Q36" s="232">
        <f t="shared" si="0"/>
        <v>0.2</v>
      </c>
      <c r="R36" s="40">
        <v>0.85</v>
      </c>
      <c r="S36" s="334">
        <f t="shared" si="1"/>
        <v>0.17</v>
      </c>
      <c r="T36" s="31">
        <f>VLOOKUP(A36,'Ansvar kurs'!$A$1:$C$1010,2,FALSE)</f>
        <v>5400</v>
      </c>
      <c r="U36" s="31" t="str">
        <f>VLOOKUP(T36,Orgenheter!$A$1:$C$165,2,FALSE)</f>
        <v xml:space="preserve">Inst för Fysik                </v>
      </c>
      <c r="V36" s="31" t="str">
        <f>VLOOKUP(T36,Orgenheter!$A$1:$C$165,3,FALSE)</f>
        <v>TekNat</v>
      </c>
      <c r="W36" s="37" t="str">
        <f>VLOOKUP(D36,Program!$A$1:$B$34,2,FALSE)</f>
        <v>Ämneslärarprogrammet - Gy</v>
      </c>
      <c r="X36" s="42">
        <f>VLOOKUP(A36,kurspris!$A$1:$Q$798,15,FALSE)</f>
        <v>19473</v>
      </c>
      <c r="Y36" s="42">
        <f>VLOOKUP(A36,kurspris!$A$1:$Q$798,16,FALSE)</f>
        <v>34806</v>
      </c>
      <c r="Z36" s="42">
        <f t="shared" si="2"/>
        <v>9811.6200000000008</v>
      </c>
      <c r="AA36" s="42">
        <f>VLOOKUP(A36,kurspris!$A$1:$Q$798,17,FALSE)</f>
        <v>21800</v>
      </c>
      <c r="AB36" s="42">
        <f t="shared" si="3"/>
        <v>4360</v>
      </c>
      <c r="AC36" s="42">
        <f t="shared" si="4"/>
        <v>14171.62</v>
      </c>
      <c r="AD36" s="31">
        <f>VLOOKUP($A36,kurspris!$A$1:$Q$835,3,FALSE)</f>
        <v>0</v>
      </c>
      <c r="AE36" s="31">
        <f>VLOOKUP($A36,kurspris!$A$1:$Q$835,4,FALSE)</f>
        <v>0</v>
      </c>
      <c r="AF36" s="31">
        <f>VLOOKUP($A36,kurspris!$A$1:$Q$835,5,FALSE)</f>
        <v>0</v>
      </c>
      <c r="AG36" s="31">
        <f>VLOOKUP($A36,kurspris!$A$1:$Q$835,6,FALSE)</f>
        <v>0</v>
      </c>
      <c r="AH36" s="31">
        <f>VLOOKUP($A36,kurspris!$A$1:$Q$835,7,FALSE)</f>
        <v>0</v>
      </c>
      <c r="AI36" s="31">
        <f>VLOOKUP($A36,kurspris!$A$1:$Q$835,8,FALSE)</f>
        <v>0</v>
      </c>
      <c r="AJ36" s="31">
        <f>VLOOKUP($A36,kurspris!$A$1:$Q$835,9,FALSE)</f>
        <v>0</v>
      </c>
      <c r="AK36" s="31">
        <f>VLOOKUP($A36,kurspris!$A$1:$Q$835,10,FALSE)</f>
        <v>1</v>
      </c>
      <c r="AL36" s="31">
        <f>VLOOKUP($A36,kurspris!$A$1:$Q$835,11,FALSE)</f>
        <v>0</v>
      </c>
      <c r="AM36" s="31">
        <f>VLOOKUP($A36,kurspris!$A$1:$Q$835,12,FALSE)</f>
        <v>0</v>
      </c>
      <c r="AN36" s="31">
        <f>VLOOKUP($A36,kurspris!$A$1:$Q$835,13,FALSE)</f>
        <v>0</v>
      </c>
      <c r="AO36" s="31">
        <f>VLOOKUP($A36,kurspris!$A$1:$Q$835,14,FALSE)</f>
        <v>0</v>
      </c>
      <c r="AP36" s="39" t="s">
        <v>2326</v>
      </c>
      <c r="AQ36"/>
      <c r="AR36" s="31">
        <f t="shared" si="5"/>
        <v>0</v>
      </c>
      <c r="AS36" s="255">
        <f t="shared" si="6"/>
        <v>0</v>
      </c>
      <c r="AT36" s="31">
        <f t="shared" si="7"/>
        <v>0</v>
      </c>
      <c r="AU36" s="255">
        <f t="shared" si="8"/>
        <v>0</v>
      </c>
      <c r="AV36" s="31">
        <f t="shared" si="9"/>
        <v>0</v>
      </c>
      <c r="AW36" s="31">
        <f t="shared" si="10"/>
        <v>0</v>
      </c>
      <c r="AX36" s="31">
        <f t="shared" si="11"/>
        <v>0</v>
      </c>
      <c r="AY36" s="255">
        <f t="shared" si="12"/>
        <v>0</v>
      </c>
      <c r="AZ36" s="232">
        <f t="shared" si="13"/>
        <v>0</v>
      </c>
      <c r="BA36" s="255">
        <f t="shared" si="14"/>
        <v>0</v>
      </c>
      <c r="BB36" s="31">
        <f t="shared" si="15"/>
        <v>0</v>
      </c>
      <c r="BC36" s="255">
        <f t="shared" si="16"/>
        <v>0</v>
      </c>
      <c r="BD36" s="31">
        <f t="shared" si="17"/>
        <v>0</v>
      </c>
      <c r="BE36" s="255">
        <f t="shared" si="18"/>
        <v>0</v>
      </c>
      <c r="BF36" s="31">
        <f t="shared" si="19"/>
        <v>0.2</v>
      </c>
      <c r="BG36" s="255">
        <f t="shared" si="20"/>
        <v>0.17</v>
      </c>
      <c r="BH36" s="31">
        <f t="shared" si="21"/>
        <v>0</v>
      </c>
      <c r="BI36" s="255">
        <f t="shared" si="22"/>
        <v>0</v>
      </c>
      <c r="BJ36" s="31">
        <f t="shared" si="23"/>
        <v>0</v>
      </c>
      <c r="BK36" s="31">
        <f t="shared" si="24"/>
        <v>0</v>
      </c>
      <c r="BL36" s="255">
        <f t="shared" si="25"/>
        <v>0</v>
      </c>
      <c r="BM36" s="31">
        <f t="shared" si="26"/>
        <v>0</v>
      </c>
      <c r="BN36" s="255">
        <f t="shared" si="27"/>
        <v>0</v>
      </c>
    </row>
    <row r="37" spans="1:66" x14ac:dyDescent="0.25">
      <c r="A37" s="18" t="s">
        <v>1583</v>
      </c>
      <c r="B37" s="186" t="str">
        <f>VLOOKUP(A37,kurspris!$A$1:$B$877,2,FALSE)</f>
        <v>Termodynamik B</v>
      </c>
      <c r="C37" s="37"/>
      <c r="D37" s="31" t="s">
        <v>483</v>
      </c>
      <c r="E37" s="31" t="s">
        <v>1788</v>
      </c>
      <c r="F37" s="59" t="s">
        <v>1931</v>
      </c>
      <c r="G37" s="31" t="s">
        <v>2271</v>
      </c>
      <c r="J37" t="s">
        <v>774</v>
      </c>
      <c r="L37" s="31">
        <v>50</v>
      </c>
      <c r="M37" s="31">
        <v>6</v>
      </c>
      <c r="P37" s="31">
        <v>1</v>
      </c>
      <c r="Q37" s="232">
        <f t="shared" si="0"/>
        <v>0.1</v>
      </c>
      <c r="R37" s="40">
        <v>0.85</v>
      </c>
      <c r="S37" s="334">
        <f t="shared" si="1"/>
        <v>8.5000000000000006E-2</v>
      </c>
      <c r="T37" s="31">
        <f>VLOOKUP(A37,'Ansvar kurs'!$A$1:$C$1010,2,FALSE)</f>
        <v>5400</v>
      </c>
      <c r="U37" s="31" t="str">
        <f>VLOOKUP(T37,Orgenheter!$A$1:$C$165,2,FALSE)</f>
        <v xml:space="preserve">Inst för Fysik                </v>
      </c>
      <c r="V37" s="31" t="str">
        <f>VLOOKUP(T37,Orgenheter!$A$1:$C$165,3,FALSE)</f>
        <v>TekNat</v>
      </c>
      <c r="W37" s="37" t="str">
        <f>VLOOKUP(D37,Program!$A$1:$B$34,2,FALSE)</f>
        <v>Ämneslärarprogrammet - Gy</v>
      </c>
      <c r="X37" s="42">
        <f>VLOOKUP(A37,kurspris!$A$1:$Q$798,15,FALSE)</f>
        <v>19473</v>
      </c>
      <c r="Y37" s="42">
        <f>VLOOKUP(A37,kurspris!$A$1:$Q$798,16,FALSE)</f>
        <v>34806</v>
      </c>
      <c r="Z37" s="42">
        <f t="shared" si="2"/>
        <v>4905.8100000000004</v>
      </c>
      <c r="AA37" s="42">
        <f>VLOOKUP(A37,kurspris!$A$1:$Q$798,17,FALSE)</f>
        <v>21800</v>
      </c>
      <c r="AB37" s="42">
        <f t="shared" si="3"/>
        <v>2180</v>
      </c>
      <c r="AC37" s="42">
        <f t="shared" si="4"/>
        <v>7085.81</v>
      </c>
      <c r="AD37" s="31">
        <f>VLOOKUP($A37,kurspris!$A$1:$Q$835,3,FALSE)</f>
        <v>0</v>
      </c>
      <c r="AE37" s="31">
        <f>VLOOKUP($A37,kurspris!$A$1:$Q$835,4,FALSE)</f>
        <v>0</v>
      </c>
      <c r="AF37" s="31">
        <f>VLOOKUP($A37,kurspris!$A$1:$Q$835,5,FALSE)</f>
        <v>0</v>
      </c>
      <c r="AG37" s="31">
        <f>VLOOKUP($A37,kurspris!$A$1:$Q$835,6,FALSE)</f>
        <v>0</v>
      </c>
      <c r="AH37" s="31">
        <f>VLOOKUP($A37,kurspris!$A$1:$Q$835,7,FALSE)</f>
        <v>0</v>
      </c>
      <c r="AI37" s="31">
        <f>VLOOKUP($A37,kurspris!$A$1:$Q$835,8,FALSE)</f>
        <v>0</v>
      </c>
      <c r="AJ37" s="31">
        <f>VLOOKUP($A37,kurspris!$A$1:$Q$835,9,FALSE)</f>
        <v>0</v>
      </c>
      <c r="AK37" s="31">
        <f>VLOOKUP($A37,kurspris!$A$1:$Q$835,10,FALSE)</f>
        <v>1</v>
      </c>
      <c r="AL37" s="31">
        <f>VLOOKUP($A37,kurspris!$A$1:$Q$835,11,FALSE)</f>
        <v>0</v>
      </c>
      <c r="AM37" s="31">
        <f>VLOOKUP($A37,kurspris!$A$1:$Q$835,12,FALSE)</f>
        <v>0</v>
      </c>
      <c r="AN37" s="31">
        <f>VLOOKUP($A37,kurspris!$A$1:$Q$835,13,FALSE)</f>
        <v>0</v>
      </c>
      <c r="AO37" s="31">
        <f>VLOOKUP($A37,kurspris!$A$1:$Q$835,14,FALSE)</f>
        <v>0</v>
      </c>
      <c r="AP37" s="39" t="s">
        <v>2326</v>
      </c>
      <c r="AQ37"/>
      <c r="AR37" s="31">
        <f t="shared" si="5"/>
        <v>0</v>
      </c>
      <c r="AS37" s="255">
        <f t="shared" si="6"/>
        <v>0</v>
      </c>
      <c r="AT37" s="31">
        <f t="shared" si="7"/>
        <v>0</v>
      </c>
      <c r="AU37" s="255">
        <f t="shared" si="8"/>
        <v>0</v>
      </c>
      <c r="AV37" s="31">
        <f t="shared" si="9"/>
        <v>0</v>
      </c>
      <c r="AW37" s="31">
        <f t="shared" si="10"/>
        <v>0</v>
      </c>
      <c r="AX37" s="31">
        <f t="shared" si="11"/>
        <v>0</v>
      </c>
      <c r="AY37" s="255">
        <f t="shared" si="12"/>
        <v>0</v>
      </c>
      <c r="AZ37" s="232">
        <f t="shared" si="13"/>
        <v>0</v>
      </c>
      <c r="BA37" s="255">
        <f t="shared" si="14"/>
        <v>0</v>
      </c>
      <c r="BB37" s="31">
        <f t="shared" si="15"/>
        <v>0</v>
      </c>
      <c r="BC37" s="255">
        <f t="shared" si="16"/>
        <v>0</v>
      </c>
      <c r="BD37" s="31">
        <f t="shared" si="17"/>
        <v>0</v>
      </c>
      <c r="BE37" s="255">
        <f t="shared" si="18"/>
        <v>0</v>
      </c>
      <c r="BF37" s="31">
        <f t="shared" si="19"/>
        <v>0.1</v>
      </c>
      <c r="BG37" s="255">
        <f t="shared" si="20"/>
        <v>8.5000000000000006E-2</v>
      </c>
      <c r="BH37" s="31">
        <f t="shared" si="21"/>
        <v>0</v>
      </c>
      <c r="BI37" s="255">
        <f t="shared" si="22"/>
        <v>0</v>
      </c>
      <c r="BJ37" s="31">
        <f t="shared" si="23"/>
        <v>0</v>
      </c>
      <c r="BK37" s="31">
        <f t="shared" si="24"/>
        <v>0</v>
      </c>
      <c r="BL37" s="255">
        <f t="shared" si="25"/>
        <v>0</v>
      </c>
      <c r="BM37" s="31">
        <f t="shared" si="26"/>
        <v>0</v>
      </c>
      <c r="BN37" s="255">
        <f t="shared" si="27"/>
        <v>0</v>
      </c>
    </row>
    <row r="38" spans="1:66" x14ac:dyDescent="0.25">
      <c r="A38" t="s">
        <v>1794</v>
      </c>
      <c r="B38" s="186" t="str">
        <f>VLOOKUP(A38,kurspris!$A$1:$B$877,2,FALSE)</f>
        <v>Vågfysik och optik B</v>
      </c>
      <c r="C38"/>
      <c r="D38" t="s">
        <v>483</v>
      </c>
      <c r="E38" t="s">
        <v>1992</v>
      </c>
      <c r="F38" s="59" t="s">
        <v>1930</v>
      </c>
      <c r="G38" t="s">
        <v>1979</v>
      </c>
      <c r="H38" t="s">
        <v>1910</v>
      </c>
      <c r="I38"/>
      <c r="J38" t="s">
        <v>774</v>
      </c>
      <c r="K38"/>
      <c r="L38">
        <v>50</v>
      </c>
      <c r="M38">
        <v>6</v>
      </c>
      <c r="N38"/>
      <c r="O38"/>
      <c r="P38" s="31">
        <v>0</v>
      </c>
      <c r="Q38" s="232">
        <f t="shared" si="0"/>
        <v>0</v>
      </c>
      <c r="R38" s="40">
        <v>0.85</v>
      </c>
      <c r="S38" s="334">
        <f t="shared" si="1"/>
        <v>0</v>
      </c>
      <c r="T38" s="31">
        <f>VLOOKUP(A38,'Ansvar kurs'!$A$1:$C$1010,2,FALSE)</f>
        <v>5400</v>
      </c>
      <c r="U38" s="31" t="str">
        <f>VLOOKUP(T38,Orgenheter!$A$1:$C$165,2,FALSE)</f>
        <v xml:space="preserve">Inst för Fysik                </v>
      </c>
      <c r="V38" s="31" t="str">
        <f>VLOOKUP(T38,Orgenheter!$A$1:$C$165,3,FALSE)</f>
        <v>TekNat</v>
      </c>
      <c r="W38" s="37" t="str">
        <f>VLOOKUP(D38,Program!$A$1:$B$34,2,FALSE)</f>
        <v>Ämneslärarprogrammet - Gy</v>
      </c>
      <c r="X38" s="42">
        <f>VLOOKUP(A38,kurspris!$A$1:$Q$798,15,FALSE)</f>
        <v>19473</v>
      </c>
      <c r="Y38" s="42">
        <f>VLOOKUP(A38,kurspris!$A$1:$Q$798,16,FALSE)</f>
        <v>34806</v>
      </c>
      <c r="Z38" s="42">
        <f t="shared" si="2"/>
        <v>0</v>
      </c>
      <c r="AA38" s="42">
        <f>VLOOKUP(A38,kurspris!$A$1:$Q$798,17,FALSE)</f>
        <v>21800</v>
      </c>
      <c r="AB38" s="42">
        <f t="shared" si="3"/>
        <v>0</v>
      </c>
      <c r="AC38" s="42">
        <f t="shared" si="4"/>
        <v>0</v>
      </c>
      <c r="AD38" s="31">
        <f>VLOOKUP($A38,kurspris!$A$1:$Q$835,3,FALSE)</f>
        <v>0</v>
      </c>
      <c r="AE38" s="31">
        <f>VLOOKUP($A38,kurspris!$A$1:$Q$835,4,FALSE)</f>
        <v>0</v>
      </c>
      <c r="AF38" s="31">
        <f>VLOOKUP($A38,kurspris!$A$1:$Q$835,5,FALSE)</f>
        <v>0</v>
      </c>
      <c r="AG38" s="31">
        <f>VLOOKUP($A38,kurspris!$A$1:$Q$835,6,FALSE)</f>
        <v>0</v>
      </c>
      <c r="AH38" s="31">
        <f>VLOOKUP($A38,kurspris!$A$1:$Q$835,7,FALSE)</f>
        <v>0</v>
      </c>
      <c r="AI38" s="31">
        <f>VLOOKUP($A38,kurspris!$A$1:$Q$835,8,FALSE)</f>
        <v>0</v>
      </c>
      <c r="AJ38" s="31">
        <f>VLOOKUP($A38,kurspris!$A$1:$Q$835,9,FALSE)</f>
        <v>0</v>
      </c>
      <c r="AK38" s="31">
        <f>VLOOKUP($A38,kurspris!$A$1:$Q$835,10,FALSE)</f>
        <v>1</v>
      </c>
      <c r="AL38" s="31">
        <f>VLOOKUP($A38,kurspris!$A$1:$Q$835,11,FALSE)</f>
        <v>0</v>
      </c>
      <c r="AM38" s="31">
        <f>VLOOKUP($A38,kurspris!$A$1:$Q$835,12,FALSE)</f>
        <v>0</v>
      </c>
      <c r="AN38" s="31">
        <f>VLOOKUP($A38,kurspris!$A$1:$Q$835,13,FALSE)</f>
        <v>0</v>
      </c>
      <c r="AO38" s="31">
        <f>VLOOKUP($A38,kurspris!$A$1:$Q$835,14,FALSE)</f>
        <v>0</v>
      </c>
      <c r="AP38" s="39" t="s">
        <v>2204</v>
      </c>
      <c r="AQ38"/>
      <c r="AR38" s="31">
        <f t="shared" si="5"/>
        <v>0</v>
      </c>
      <c r="AS38" s="255">
        <f t="shared" si="6"/>
        <v>0</v>
      </c>
      <c r="AT38" s="31">
        <f t="shared" si="7"/>
        <v>0</v>
      </c>
      <c r="AU38" s="255">
        <f t="shared" si="8"/>
        <v>0</v>
      </c>
      <c r="AV38" s="31">
        <f t="shared" si="9"/>
        <v>0</v>
      </c>
      <c r="AW38" s="31">
        <f t="shared" si="10"/>
        <v>0</v>
      </c>
      <c r="AX38" s="31">
        <f t="shared" si="11"/>
        <v>0</v>
      </c>
      <c r="AY38" s="255">
        <f t="shared" si="12"/>
        <v>0</v>
      </c>
      <c r="AZ38" s="232">
        <f t="shared" si="13"/>
        <v>0</v>
      </c>
      <c r="BA38" s="255">
        <f t="shared" si="14"/>
        <v>0</v>
      </c>
      <c r="BB38" s="31">
        <f t="shared" si="15"/>
        <v>0</v>
      </c>
      <c r="BC38" s="255">
        <f t="shared" si="16"/>
        <v>0</v>
      </c>
      <c r="BD38" s="31">
        <f t="shared" si="17"/>
        <v>0</v>
      </c>
      <c r="BE38" s="255">
        <f t="shared" si="18"/>
        <v>0</v>
      </c>
      <c r="BF38" s="31">
        <f t="shared" si="19"/>
        <v>0</v>
      </c>
      <c r="BG38" s="255">
        <f t="shared" si="20"/>
        <v>0</v>
      </c>
      <c r="BH38" s="31">
        <f t="shared" si="21"/>
        <v>0</v>
      </c>
      <c r="BI38" s="255">
        <f t="shared" si="22"/>
        <v>0</v>
      </c>
      <c r="BJ38" s="31">
        <f t="shared" si="23"/>
        <v>0</v>
      </c>
      <c r="BK38" s="31">
        <f t="shared" si="24"/>
        <v>0</v>
      </c>
      <c r="BL38" s="255">
        <f t="shared" si="25"/>
        <v>0</v>
      </c>
      <c r="BM38" s="31">
        <f t="shared" si="26"/>
        <v>0</v>
      </c>
      <c r="BN38" s="255">
        <f t="shared" si="27"/>
        <v>0</v>
      </c>
    </row>
    <row r="39" spans="1:66" x14ac:dyDescent="0.25">
      <c r="A39" t="s">
        <v>1794</v>
      </c>
      <c r="B39" s="186" t="str">
        <f>VLOOKUP(A39,kurspris!$A$1:$B$877,2,FALSE)</f>
        <v>Vågfysik och optik B</v>
      </c>
      <c r="C39"/>
      <c r="D39" t="s">
        <v>483</v>
      </c>
      <c r="E39" t="s">
        <v>1976</v>
      </c>
      <c r="F39" s="59" t="s">
        <v>1930</v>
      </c>
      <c r="G39" t="s">
        <v>1979</v>
      </c>
      <c r="H39" t="s">
        <v>1910</v>
      </c>
      <c r="I39"/>
      <c r="J39" t="s">
        <v>774</v>
      </c>
      <c r="K39"/>
      <c r="L39">
        <v>50</v>
      </c>
      <c r="M39">
        <v>6</v>
      </c>
      <c r="N39"/>
      <c r="O39"/>
      <c r="P39" s="31">
        <v>0</v>
      </c>
      <c r="Q39" s="232">
        <f t="shared" si="0"/>
        <v>0</v>
      </c>
      <c r="R39" s="40">
        <v>0.85</v>
      </c>
      <c r="S39" s="334">
        <f t="shared" si="1"/>
        <v>0</v>
      </c>
      <c r="T39" s="31">
        <f>VLOOKUP(A39,'Ansvar kurs'!$A$1:$C$1010,2,FALSE)</f>
        <v>5400</v>
      </c>
      <c r="U39" s="31" t="str">
        <f>VLOOKUP(T39,Orgenheter!$A$1:$C$165,2,FALSE)</f>
        <v xml:space="preserve">Inst för Fysik                </v>
      </c>
      <c r="V39" s="31" t="str">
        <f>VLOOKUP(T39,Orgenheter!$A$1:$C$165,3,FALSE)</f>
        <v>TekNat</v>
      </c>
      <c r="W39" s="37" t="str">
        <f>VLOOKUP(D39,Program!$A$1:$B$34,2,FALSE)</f>
        <v>Ämneslärarprogrammet - Gy</v>
      </c>
      <c r="X39" s="42">
        <f>VLOOKUP(A39,kurspris!$A$1:$Q$798,15,FALSE)</f>
        <v>19473</v>
      </c>
      <c r="Y39" s="42">
        <f>VLOOKUP(A39,kurspris!$A$1:$Q$798,16,FALSE)</f>
        <v>34806</v>
      </c>
      <c r="Z39" s="42">
        <f t="shared" si="2"/>
        <v>0</v>
      </c>
      <c r="AA39" s="42">
        <f>VLOOKUP(A39,kurspris!$A$1:$Q$798,17,FALSE)</f>
        <v>21800</v>
      </c>
      <c r="AB39" s="42">
        <f t="shared" si="3"/>
        <v>0</v>
      </c>
      <c r="AC39" s="42">
        <f t="shared" si="4"/>
        <v>0</v>
      </c>
      <c r="AD39" s="31">
        <f>VLOOKUP($A39,kurspris!$A$1:$Q$835,3,FALSE)</f>
        <v>0</v>
      </c>
      <c r="AE39" s="31">
        <f>VLOOKUP($A39,kurspris!$A$1:$Q$835,4,FALSE)</f>
        <v>0</v>
      </c>
      <c r="AF39" s="31">
        <f>VLOOKUP($A39,kurspris!$A$1:$Q$835,5,FALSE)</f>
        <v>0</v>
      </c>
      <c r="AG39" s="31">
        <f>VLOOKUP($A39,kurspris!$A$1:$Q$835,6,FALSE)</f>
        <v>0</v>
      </c>
      <c r="AH39" s="31">
        <f>VLOOKUP($A39,kurspris!$A$1:$Q$835,7,FALSE)</f>
        <v>0</v>
      </c>
      <c r="AI39" s="31">
        <f>VLOOKUP($A39,kurspris!$A$1:$Q$835,8,FALSE)</f>
        <v>0</v>
      </c>
      <c r="AJ39" s="31">
        <f>VLOOKUP($A39,kurspris!$A$1:$Q$835,9,FALSE)</f>
        <v>0</v>
      </c>
      <c r="AK39" s="31">
        <f>VLOOKUP($A39,kurspris!$A$1:$Q$835,10,FALSE)</f>
        <v>1</v>
      </c>
      <c r="AL39" s="31">
        <f>VLOOKUP($A39,kurspris!$A$1:$Q$835,11,FALSE)</f>
        <v>0</v>
      </c>
      <c r="AM39" s="31">
        <f>VLOOKUP($A39,kurspris!$A$1:$Q$835,12,FALSE)</f>
        <v>0</v>
      </c>
      <c r="AN39" s="31">
        <f>VLOOKUP($A39,kurspris!$A$1:$Q$835,13,FALSE)</f>
        <v>0</v>
      </c>
      <c r="AO39" s="31">
        <f>VLOOKUP($A39,kurspris!$A$1:$Q$835,14,FALSE)</f>
        <v>0</v>
      </c>
      <c r="AP39" s="39" t="s">
        <v>2204</v>
      </c>
      <c r="AQ39"/>
      <c r="AR39" s="31">
        <f t="shared" si="5"/>
        <v>0</v>
      </c>
      <c r="AS39" s="255">
        <f t="shared" si="6"/>
        <v>0</v>
      </c>
      <c r="AT39" s="31">
        <f t="shared" si="7"/>
        <v>0</v>
      </c>
      <c r="AU39" s="255">
        <f t="shared" si="8"/>
        <v>0</v>
      </c>
      <c r="AV39" s="31">
        <f t="shared" si="9"/>
        <v>0</v>
      </c>
      <c r="AW39" s="31">
        <f t="shared" si="10"/>
        <v>0</v>
      </c>
      <c r="AX39" s="31">
        <f t="shared" si="11"/>
        <v>0</v>
      </c>
      <c r="AY39" s="255">
        <f t="shared" si="12"/>
        <v>0</v>
      </c>
      <c r="AZ39" s="232">
        <f t="shared" si="13"/>
        <v>0</v>
      </c>
      <c r="BA39" s="255">
        <f t="shared" si="14"/>
        <v>0</v>
      </c>
      <c r="BB39" s="31">
        <f t="shared" si="15"/>
        <v>0</v>
      </c>
      <c r="BC39" s="255">
        <f t="shared" si="16"/>
        <v>0</v>
      </c>
      <c r="BD39" s="31">
        <f t="shared" si="17"/>
        <v>0</v>
      </c>
      <c r="BE39" s="255">
        <f t="shared" si="18"/>
        <v>0</v>
      </c>
      <c r="BF39" s="31">
        <f t="shared" si="19"/>
        <v>0</v>
      </c>
      <c r="BG39" s="255">
        <f t="shared" si="20"/>
        <v>0</v>
      </c>
      <c r="BH39" s="31">
        <f t="shared" si="21"/>
        <v>0</v>
      </c>
      <c r="BI39" s="255">
        <f t="shared" si="22"/>
        <v>0</v>
      </c>
      <c r="BJ39" s="31">
        <f t="shared" si="23"/>
        <v>0</v>
      </c>
      <c r="BK39" s="31">
        <f t="shared" si="24"/>
        <v>0</v>
      </c>
      <c r="BL39" s="255">
        <f t="shared" si="25"/>
        <v>0</v>
      </c>
      <c r="BM39" s="31">
        <f t="shared" si="26"/>
        <v>0</v>
      </c>
      <c r="BN39" s="255">
        <f t="shared" si="27"/>
        <v>0</v>
      </c>
    </row>
    <row r="40" spans="1:66" x14ac:dyDescent="0.25">
      <c r="A40" t="s">
        <v>1794</v>
      </c>
      <c r="B40" s="186" t="str">
        <f>VLOOKUP(A40,kurspris!$A$1:$B$877,2,FALSE)</f>
        <v>Vågfysik och optik B</v>
      </c>
      <c r="C40"/>
      <c r="D40" t="s">
        <v>483</v>
      </c>
      <c r="E40" t="s">
        <v>1973</v>
      </c>
      <c r="F40" s="59" t="s">
        <v>1930</v>
      </c>
      <c r="G40" t="s">
        <v>1979</v>
      </c>
      <c r="H40" t="s">
        <v>1910</v>
      </c>
      <c r="I40"/>
      <c r="J40" t="s">
        <v>774</v>
      </c>
      <c r="K40"/>
      <c r="L40">
        <v>50</v>
      </c>
      <c r="M40">
        <v>6</v>
      </c>
      <c r="N40"/>
      <c r="O40"/>
      <c r="P40" s="31">
        <v>1</v>
      </c>
      <c r="Q40" s="232">
        <f t="shared" si="0"/>
        <v>0.1</v>
      </c>
      <c r="R40" s="40">
        <v>0.85</v>
      </c>
      <c r="S40" s="334">
        <f t="shared" si="1"/>
        <v>8.5000000000000006E-2</v>
      </c>
      <c r="T40" s="31">
        <f>VLOOKUP(A40,'Ansvar kurs'!$A$1:$C$1010,2,FALSE)</f>
        <v>5400</v>
      </c>
      <c r="U40" s="31" t="str">
        <f>VLOOKUP(T40,Orgenheter!$A$1:$C$165,2,FALSE)</f>
        <v xml:space="preserve">Inst för Fysik                </v>
      </c>
      <c r="V40" s="31" t="str">
        <f>VLOOKUP(T40,Orgenheter!$A$1:$C$165,3,FALSE)</f>
        <v>TekNat</v>
      </c>
      <c r="W40" s="37" t="str">
        <f>VLOOKUP(D40,Program!$A$1:$B$34,2,FALSE)</f>
        <v>Ämneslärarprogrammet - Gy</v>
      </c>
      <c r="X40" s="42">
        <f>VLOOKUP(A40,kurspris!$A$1:$Q$798,15,FALSE)</f>
        <v>19473</v>
      </c>
      <c r="Y40" s="42">
        <f>VLOOKUP(A40,kurspris!$A$1:$Q$798,16,FALSE)</f>
        <v>34806</v>
      </c>
      <c r="Z40" s="42">
        <f t="shared" si="2"/>
        <v>4905.8100000000004</v>
      </c>
      <c r="AA40" s="42">
        <f>VLOOKUP(A40,kurspris!$A$1:$Q$798,17,FALSE)</f>
        <v>21800</v>
      </c>
      <c r="AB40" s="42">
        <f t="shared" si="3"/>
        <v>2180</v>
      </c>
      <c r="AC40" s="42">
        <f t="shared" si="4"/>
        <v>7085.81</v>
      </c>
      <c r="AD40" s="31">
        <f>VLOOKUP($A40,kurspris!$A$1:$Q$835,3,FALSE)</f>
        <v>0</v>
      </c>
      <c r="AE40" s="31">
        <f>VLOOKUP($A40,kurspris!$A$1:$Q$835,4,FALSE)</f>
        <v>0</v>
      </c>
      <c r="AF40" s="31">
        <f>VLOOKUP($A40,kurspris!$A$1:$Q$835,5,FALSE)</f>
        <v>0</v>
      </c>
      <c r="AG40" s="31">
        <f>VLOOKUP($A40,kurspris!$A$1:$Q$835,6,FALSE)</f>
        <v>0</v>
      </c>
      <c r="AH40" s="31">
        <f>VLOOKUP($A40,kurspris!$A$1:$Q$835,7,FALSE)</f>
        <v>0</v>
      </c>
      <c r="AI40" s="31">
        <f>VLOOKUP($A40,kurspris!$A$1:$Q$835,8,FALSE)</f>
        <v>0</v>
      </c>
      <c r="AJ40" s="31">
        <f>VLOOKUP($A40,kurspris!$A$1:$Q$835,9,FALSE)</f>
        <v>0</v>
      </c>
      <c r="AK40" s="31">
        <f>VLOOKUP($A40,kurspris!$A$1:$Q$835,10,FALSE)</f>
        <v>1</v>
      </c>
      <c r="AL40" s="31">
        <f>VLOOKUP($A40,kurspris!$A$1:$Q$835,11,FALSE)</f>
        <v>0</v>
      </c>
      <c r="AM40" s="31">
        <f>VLOOKUP($A40,kurspris!$A$1:$Q$835,12,FALSE)</f>
        <v>0</v>
      </c>
      <c r="AN40" s="31">
        <f>VLOOKUP($A40,kurspris!$A$1:$Q$835,13,FALSE)</f>
        <v>0</v>
      </c>
      <c r="AO40" s="31">
        <f>VLOOKUP($A40,kurspris!$A$1:$Q$835,14,FALSE)</f>
        <v>0</v>
      </c>
      <c r="AP40" s="39" t="s">
        <v>2204</v>
      </c>
      <c r="AQ40"/>
      <c r="AR40" s="31">
        <f t="shared" si="5"/>
        <v>0</v>
      </c>
      <c r="AS40" s="255">
        <f t="shared" si="6"/>
        <v>0</v>
      </c>
      <c r="AT40" s="31">
        <f t="shared" si="7"/>
        <v>0</v>
      </c>
      <c r="AU40" s="255">
        <f t="shared" si="8"/>
        <v>0</v>
      </c>
      <c r="AV40" s="31">
        <f t="shared" si="9"/>
        <v>0</v>
      </c>
      <c r="AW40" s="31">
        <f t="shared" si="10"/>
        <v>0</v>
      </c>
      <c r="AX40" s="31">
        <f t="shared" si="11"/>
        <v>0</v>
      </c>
      <c r="AY40" s="255">
        <f t="shared" si="12"/>
        <v>0</v>
      </c>
      <c r="AZ40" s="232">
        <f t="shared" si="13"/>
        <v>0</v>
      </c>
      <c r="BA40" s="255">
        <f t="shared" si="14"/>
        <v>0</v>
      </c>
      <c r="BB40" s="31">
        <f t="shared" si="15"/>
        <v>0</v>
      </c>
      <c r="BC40" s="255">
        <f t="shared" si="16"/>
        <v>0</v>
      </c>
      <c r="BD40" s="31">
        <f t="shared" si="17"/>
        <v>0</v>
      </c>
      <c r="BE40" s="255">
        <f t="shared" si="18"/>
        <v>0</v>
      </c>
      <c r="BF40" s="31">
        <f t="shared" si="19"/>
        <v>0.1</v>
      </c>
      <c r="BG40" s="255">
        <f t="shared" si="20"/>
        <v>8.5000000000000006E-2</v>
      </c>
      <c r="BH40" s="31">
        <f t="shared" si="21"/>
        <v>0</v>
      </c>
      <c r="BI40" s="255">
        <f t="shared" si="22"/>
        <v>0</v>
      </c>
      <c r="BJ40" s="31">
        <f t="shared" si="23"/>
        <v>0</v>
      </c>
      <c r="BK40" s="31">
        <f t="shared" si="24"/>
        <v>0</v>
      </c>
      <c r="BL40" s="255">
        <f t="shared" si="25"/>
        <v>0</v>
      </c>
      <c r="BM40" s="31">
        <f t="shared" si="26"/>
        <v>0</v>
      </c>
      <c r="BN40" s="255">
        <f t="shared" si="27"/>
        <v>0</v>
      </c>
    </row>
    <row r="41" spans="1:66" x14ac:dyDescent="0.25">
      <c r="A41" t="s">
        <v>1795</v>
      </c>
      <c r="B41" s="186" t="str">
        <f>VLOOKUP(A41,kurspris!$A$1:$B$877,2,FALSE)</f>
        <v>Elektromagnetismens grunder</v>
      </c>
      <c r="C41"/>
      <c r="D41" t="s">
        <v>483</v>
      </c>
      <c r="E41" t="s">
        <v>1976</v>
      </c>
      <c r="F41" s="59" t="s">
        <v>1930</v>
      </c>
      <c r="G41" t="s">
        <v>1979</v>
      </c>
      <c r="H41" t="s">
        <v>1910</v>
      </c>
      <c r="I41"/>
      <c r="J41" t="s">
        <v>774</v>
      </c>
      <c r="K41"/>
      <c r="L41">
        <v>50</v>
      </c>
      <c r="M41">
        <v>6</v>
      </c>
      <c r="N41"/>
      <c r="O41"/>
      <c r="P41" s="31">
        <v>0</v>
      </c>
      <c r="Q41" s="232">
        <f t="shared" si="0"/>
        <v>0</v>
      </c>
      <c r="R41" s="40">
        <v>0.85</v>
      </c>
      <c r="S41" s="334">
        <f t="shared" si="1"/>
        <v>0</v>
      </c>
      <c r="T41" s="31">
        <f>VLOOKUP(A41,'Ansvar kurs'!$A$1:$C$1010,2,FALSE)</f>
        <v>5400</v>
      </c>
      <c r="U41" s="31" t="str">
        <f>VLOOKUP(T41,Orgenheter!$A$1:$C$165,2,FALSE)</f>
        <v xml:space="preserve">Inst för Fysik                </v>
      </c>
      <c r="V41" s="31" t="str">
        <f>VLOOKUP(T41,Orgenheter!$A$1:$C$165,3,FALSE)</f>
        <v>TekNat</v>
      </c>
      <c r="W41" s="37" t="str">
        <f>VLOOKUP(D41,Program!$A$1:$B$34,2,FALSE)</f>
        <v>Ämneslärarprogrammet - Gy</v>
      </c>
      <c r="X41" s="42">
        <f>VLOOKUP(A41,kurspris!$A$1:$Q$798,15,FALSE)</f>
        <v>19473</v>
      </c>
      <c r="Y41" s="42">
        <f>VLOOKUP(A41,kurspris!$A$1:$Q$798,16,FALSE)</f>
        <v>34806</v>
      </c>
      <c r="Z41" s="42">
        <f t="shared" si="2"/>
        <v>0</v>
      </c>
      <c r="AA41" s="42">
        <f>VLOOKUP(A41,kurspris!$A$1:$Q$798,17,FALSE)</f>
        <v>21800</v>
      </c>
      <c r="AB41" s="42">
        <f t="shared" si="3"/>
        <v>0</v>
      </c>
      <c r="AC41" s="42">
        <f t="shared" si="4"/>
        <v>0</v>
      </c>
      <c r="AD41" s="31">
        <f>VLOOKUP($A41,kurspris!$A$1:$Q$835,3,FALSE)</f>
        <v>0</v>
      </c>
      <c r="AE41" s="31">
        <f>VLOOKUP($A41,kurspris!$A$1:$Q$835,4,FALSE)</f>
        <v>0</v>
      </c>
      <c r="AF41" s="31">
        <f>VLOOKUP($A41,kurspris!$A$1:$Q$835,5,FALSE)</f>
        <v>0</v>
      </c>
      <c r="AG41" s="31">
        <f>VLOOKUP($A41,kurspris!$A$1:$Q$835,6,FALSE)</f>
        <v>0</v>
      </c>
      <c r="AH41" s="31">
        <f>VLOOKUP($A41,kurspris!$A$1:$Q$835,7,FALSE)</f>
        <v>0</v>
      </c>
      <c r="AI41" s="31">
        <f>VLOOKUP($A41,kurspris!$A$1:$Q$835,8,FALSE)</f>
        <v>0.5</v>
      </c>
      <c r="AJ41" s="31">
        <f>VLOOKUP($A41,kurspris!$A$1:$Q$835,9,FALSE)</f>
        <v>0</v>
      </c>
      <c r="AK41" s="31">
        <f>VLOOKUP($A41,kurspris!$A$1:$Q$835,10,FALSE)</f>
        <v>0.5</v>
      </c>
      <c r="AL41" s="31">
        <f>VLOOKUP($A41,kurspris!$A$1:$Q$835,11,FALSE)</f>
        <v>0</v>
      </c>
      <c r="AM41" s="31">
        <f>VLOOKUP($A41,kurspris!$A$1:$Q$835,12,FALSE)</f>
        <v>0</v>
      </c>
      <c r="AN41" s="31">
        <f>VLOOKUP($A41,kurspris!$A$1:$Q$835,13,FALSE)</f>
        <v>0</v>
      </c>
      <c r="AO41" s="31">
        <f>VLOOKUP($A41,kurspris!$A$1:$Q$835,14,FALSE)</f>
        <v>0</v>
      </c>
      <c r="AP41" s="39" t="s">
        <v>2204</v>
      </c>
      <c r="AQ41"/>
      <c r="AR41" s="31">
        <f t="shared" si="5"/>
        <v>0</v>
      </c>
      <c r="AS41" s="255">
        <f t="shared" si="6"/>
        <v>0</v>
      </c>
      <c r="AT41" s="31">
        <f t="shared" si="7"/>
        <v>0</v>
      </c>
      <c r="AU41" s="255">
        <f t="shared" si="8"/>
        <v>0</v>
      </c>
      <c r="AV41" s="31">
        <f t="shared" si="9"/>
        <v>0</v>
      </c>
      <c r="AW41" s="31">
        <f t="shared" si="10"/>
        <v>0</v>
      </c>
      <c r="AX41" s="31">
        <f t="shared" si="11"/>
        <v>0</v>
      </c>
      <c r="AY41" s="255">
        <f t="shared" si="12"/>
        <v>0</v>
      </c>
      <c r="AZ41" s="232">
        <f t="shared" si="13"/>
        <v>0</v>
      </c>
      <c r="BA41" s="255">
        <f t="shared" si="14"/>
        <v>0</v>
      </c>
      <c r="BB41" s="31">
        <f t="shared" si="15"/>
        <v>0</v>
      </c>
      <c r="BC41" s="255">
        <f t="shared" si="16"/>
        <v>0</v>
      </c>
      <c r="BD41" s="31">
        <f t="shared" si="17"/>
        <v>0</v>
      </c>
      <c r="BE41" s="255">
        <f t="shared" si="18"/>
        <v>0</v>
      </c>
      <c r="BF41" s="31">
        <f t="shared" si="19"/>
        <v>0</v>
      </c>
      <c r="BG41" s="255">
        <f t="shared" si="20"/>
        <v>0</v>
      </c>
      <c r="BH41" s="31">
        <f t="shared" si="21"/>
        <v>0</v>
      </c>
      <c r="BI41" s="255">
        <f t="shared" si="22"/>
        <v>0</v>
      </c>
      <c r="BJ41" s="31">
        <f t="shared" si="23"/>
        <v>0</v>
      </c>
      <c r="BK41" s="31">
        <f t="shared" si="24"/>
        <v>0</v>
      </c>
      <c r="BL41" s="255">
        <f t="shared" si="25"/>
        <v>0</v>
      </c>
      <c r="BM41" s="31">
        <f t="shared" si="26"/>
        <v>0</v>
      </c>
      <c r="BN41" s="255">
        <f t="shared" si="27"/>
        <v>0</v>
      </c>
    </row>
    <row r="42" spans="1:66" x14ac:dyDescent="0.25">
      <c r="A42" t="s">
        <v>1795</v>
      </c>
      <c r="B42" s="186" t="str">
        <f>VLOOKUP(A42,kurspris!$A$1:$B$877,2,FALSE)</f>
        <v>Elektromagnetismens grunder</v>
      </c>
      <c r="C42"/>
      <c r="D42" t="s">
        <v>483</v>
      </c>
      <c r="E42" t="s">
        <v>1973</v>
      </c>
      <c r="F42" s="59" t="s">
        <v>1930</v>
      </c>
      <c r="G42" t="s">
        <v>1979</v>
      </c>
      <c r="H42" t="s">
        <v>1910</v>
      </c>
      <c r="I42"/>
      <c r="J42" t="s">
        <v>774</v>
      </c>
      <c r="K42"/>
      <c r="L42">
        <v>50</v>
      </c>
      <c r="M42">
        <v>6</v>
      </c>
      <c r="N42"/>
      <c r="O42"/>
      <c r="P42" s="31">
        <v>1</v>
      </c>
      <c r="Q42" s="232">
        <f t="shared" si="0"/>
        <v>0.1</v>
      </c>
      <c r="R42" s="40">
        <v>0.85</v>
      </c>
      <c r="S42" s="334">
        <f t="shared" si="1"/>
        <v>8.5000000000000006E-2</v>
      </c>
      <c r="T42" s="31">
        <f>VLOOKUP(A42,'Ansvar kurs'!$A$1:$C$1010,2,FALSE)</f>
        <v>5400</v>
      </c>
      <c r="U42" s="31" t="str">
        <f>VLOOKUP(T42,Orgenheter!$A$1:$C$165,2,FALSE)</f>
        <v xml:space="preserve">Inst för Fysik                </v>
      </c>
      <c r="V42" s="31" t="str">
        <f>VLOOKUP(T42,Orgenheter!$A$1:$C$165,3,FALSE)</f>
        <v>TekNat</v>
      </c>
      <c r="W42" s="37" t="str">
        <f>VLOOKUP(D42,Program!$A$1:$B$34,2,FALSE)</f>
        <v>Ämneslärarprogrammet - Gy</v>
      </c>
      <c r="X42" s="42">
        <f>VLOOKUP(A42,kurspris!$A$1:$Q$798,15,FALSE)</f>
        <v>19473</v>
      </c>
      <c r="Y42" s="42">
        <f>VLOOKUP(A42,kurspris!$A$1:$Q$798,16,FALSE)</f>
        <v>34806</v>
      </c>
      <c r="Z42" s="42">
        <f t="shared" si="2"/>
        <v>4905.8100000000004</v>
      </c>
      <c r="AA42" s="42">
        <f>VLOOKUP(A42,kurspris!$A$1:$Q$798,17,FALSE)</f>
        <v>21800</v>
      </c>
      <c r="AB42" s="42">
        <f t="shared" si="3"/>
        <v>2180</v>
      </c>
      <c r="AC42" s="42">
        <f t="shared" si="4"/>
        <v>7085.81</v>
      </c>
      <c r="AD42" s="31">
        <f>VLOOKUP($A42,kurspris!$A$1:$Q$835,3,FALSE)</f>
        <v>0</v>
      </c>
      <c r="AE42" s="31">
        <f>VLOOKUP($A42,kurspris!$A$1:$Q$835,4,FALSE)</f>
        <v>0</v>
      </c>
      <c r="AF42" s="31">
        <f>VLOOKUP($A42,kurspris!$A$1:$Q$835,5,FALSE)</f>
        <v>0</v>
      </c>
      <c r="AG42" s="31">
        <f>VLOOKUP($A42,kurspris!$A$1:$Q$835,6,FALSE)</f>
        <v>0</v>
      </c>
      <c r="AH42" s="31">
        <f>VLOOKUP($A42,kurspris!$A$1:$Q$835,7,FALSE)</f>
        <v>0</v>
      </c>
      <c r="AI42" s="31">
        <f>VLOOKUP($A42,kurspris!$A$1:$Q$835,8,FALSE)</f>
        <v>0.5</v>
      </c>
      <c r="AJ42" s="31">
        <f>VLOOKUP($A42,kurspris!$A$1:$Q$835,9,FALSE)</f>
        <v>0</v>
      </c>
      <c r="AK42" s="31">
        <f>VLOOKUP($A42,kurspris!$A$1:$Q$835,10,FALSE)</f>
        <v>0.5</v>
      </c>
      <c r="AL42" s="31">
        <f>VLOOKUP($A42,kurspris!$A$1:$Q$835,11,FALSE)</f>
        <v>0</v>
      </c>
      <c r="AM42" s="31">
        <f>VLOOKUP($A42,kurspris!$A$1:$Q$835,12,FALSE)</f>
        <v>0</v>
      </c>
      <c r="AN42" s="31">
        <f>VLOOKUP($A42,kurspris!$A$1:$Q$835,13,FALSE)</f>
        <v>0</v>
      </c>
      <c r="AO42" s="31">
        <f>VLOOKUP($A42,kurspris!$A$1:$Q$835,14,FALSE)</f>
        <v>0</v>
      </c>
      <c r="AP42" s="39" t="s">
        <v>2204</v>
      </c>
      <c r="AQ42"/>
      <c r="AR42" s="31">
        <f t="shared" si="5"/>
        <v>0</v>
      </c>
      <c r="AS42" s="255">
        <f t="shared" si="6"/>
        <v>0</v>
      </c>
      <c r="AT42" s="31">
        <f t="shared" si="7"/>
        <v>0</v>
      </c>
      <c r="AU42" s="255">
        <f t="shared" si="8"/>
        <v>0</v>
      </c>
      <c r="AV42" s="31">
        <f t="shared" si="9"/>
        <v>0</v>
      </c>
      <c r="AW42" s="31">
        <f t="shared" si="10"/>
        <v>0</v>
      </c>
      <c r="AX42" s="31">
        <f t="shared" si="11"/>
        <v>0</v>
      </c>
      <c r="AY42" s="255">
        <f t="shared" si="12"/>
        <v>0</v>
      </c>
      <c r="AZ42" s="232">
        <f t="shared" si="13"/>
        <v>0</v>
      </c>
      <c r="BA42" s="255">
        <f t="shared" si="14"/>
        <v>0</v>
      </c>
      <c r="BB42" s="31">
        <f t="shared" si="15"/>
        <v>0.05</v>
      </c>
      <c r="BC42" s="255">
        <f t="shared" si="16"/>
        <v>4.2500000000000003E-2</v>
      </c>
      <c r="BD42" s="31">
        <f t="shared" si="17"/>
        <v>0</v>
      </c>
      <c r="BE42" s="255">
        <f t="shared" si="18"/>
        <v>0</v>
      </c>
      <c r="BF42" s="31">
        <f t="shared" si="19"/>
        <v>0.05</v>
      </c>
      <c r="BG42" s="255">
        <f t="shared" si="20"/>
        <v>4.2500000000000003E-2</v>
      </c>
      <c r="BH42" s="31">
        <f t="shared" si="21"/>
        <v>0</v>
      </c>
      <c r="BI42" s="255">
        <f t="shared" si="22"/>
        <v>0</v>
      </c>
      <c r="BJ42" s="31">
        <f t="shared" si="23"/>
        <v>0</v>
      </c>
      <c r="BK42" s="31">
        <f t="shared" si="24"/>
        <v>0</v>
      </c>
      <c r="BL42" s="255">
        <f t="shared" si="25"/>
        <v>0</v>
      </c>
      <c r="BM42" s="31">
        <f t="shared" si="26"/>
        <v>0</v>
      </c>
      <c r="BN42" s="255">
        <f t="shared" si="27"/>
        <v>0</v>
      </c>
    </row>
    <row r="43" spans="1:66" x14ac:dyDescent="0.25">
      <c r="A43" t="s">
        <v>1143</v>
      </c>
      <c r="B43" s="186" t="str">
        <f>VLOOKUP(A43,kurspris!$A$1:$B$877,2,FALSE)</f>
        <v>Kvantfysik, 6 hp</v>
      </c>
      <c r="C43"/>
      <c r="D43" t="s">
        <v>483</v>
      </c>
      <c r="E43" t="s">
        <v>1973</v>
      </c>
      <c r="F43" s="59" t="s">
        <v>1930</v>
      </c>
      <c r="G43" t="s">
        <v>1995</v>
      </c>
      <c r="H43" t="s">
        <v>1910</v>
      </c>
      <c r="I43"/>
      <c r="J43" t="s">
        <v>774</v>
      </c>
      <c r="K43"/>
      <c r="L43">
        <v>25</v>
      </c>
      <c r="M43">
        <v>6</v>
      </c>
      <c r="N43"/>
      <c r="O43"/>
      <c r="P43" s="31">
        <v>0</v>
      </c>
      <c r="Q43" s="232">
        <f t="shared" si="0"/>
        <v>0</v>
      </c>
      <c r="R43" s="40">
        <v>0.85</v>
      </c>
      <c r="S43" s="334">
        <f t="shared" si="1"/>
        <v>0</v>
      </c>
      <c r="T43" s="31">
        <f>VLOOKUP(A43,'Ansvar kurs'!$A$1:$C$1010,2,FALSE)</f>
        <v>5400</v>
      </c>
      <c r="U43" s="31" t="str">
        <f>VLOOKUP(T43,Orgenheter!$A$1:$C$165,2,FALSE)</f>
        <v xml:space="preserve">Inst för Fysik                </v>
      </c>
      <c r="V43" s="31" t="str">
        <f>VLOOKUP(T43,Orgenheter!$A$1:$C$165,3,FALSE)</f>
        <v>TekNat</v>
      </c>
      <c r="W43" s="37" t="str">
        <f>VLOOKUP(D43,Program!$A$1:$B$34,2,FALSE)</f>
        <v>Ämneslärarprogrammet - Gy</v>
      </c>
      <c r="X43" s="42">
        <f>VLOOKUP(A43,kurspris!$A$1:$Q$798,15,FALSE)</f>
        <v>19473</v>
      </c>
      <c r="Y43" s="42">
        <f>VLOOKUP(A43,kurspris!$A$1:$Q$798,16,FALSE)</f>
        <v>34806</v>
      </c>
      <c r="Z43" s="42">
        <f t="shared" si="2"/>
        <v>0</v>
      </c>
      <c r="AA43" s="42">
        <f>VLOOKUP(A43,kurspris!$A$1:$Q$798,17,FALSE)</f>
        <v>21800</v>
      </c>
      <c r="AB43" s="42">
        <f t="shared" si="3"/>
        <v>0</v>
      </c>
      <c r="AC43" s="42">
        <f t="shared" si="4"/>
        <v>0</v>
      </c>
      <c r="AD43" s="31">
        <f>VLOOKUP($A43,kurspris!$A$1:$Q$835,3,FALSE)</f>
        <v>0</v>
      </c>
      <c r="AE43" s="31">
        <f>VLOOKUP($A43,kurspris!$A$1:$Q$835,4,FALSE)</f>
        <v>0</v>
      </c>
      <c r="AF43" s="31">
        <f>VLOOKUP($A43,kurspris!$A$1:$Q$835,5,FALSE)</f>
        <v>0</v>
      </c>
      <c r="AG43" s="31">
        <f>VLOOKUP($A43,kurspris!$A$1:$Q$835,6,FALSE)</f>
        <v>0</v>
      </c>
      <c r="AH43" s="31">
        <f>VLOOKUP($A43,kurspris!$A$1:$Q$835,7,FALSE)</f>
        <v>0</v>
      </c>
      <c r="AI43" s="31">
        <f>VLOOKUP($A43,kurspris!$A$1:$Q$835,8,FALSE)</f>
        <v>0.5</v>
      </c>
      <c r="AJ43" s="31">
        <f>VLOOKUP($A43,kurspris!$A$1:$Q$835,9,FALSE)</f>
        <v>0</v>
      </c>
      <c r="AK43" s="31">
        <f>VLOOKUP($A43,kurspris!$A$1:$Q$835,10,FALSE)</f>
        <v>0.5</v>
      </c>
      <c r="AL43" s="31">
        <f>VLOOKUP($A43,kurspris!$A$1:$Q$835,11,FALSE)</f>
        <v>0</v>
      </c>
      <c r="AM43" s="31">
        <f>VLOOKUP($A43,kurspris!$A$1:$Q$835,12,FALSE)</f>
        <v>0</v>
      </c>
      <c r="AN43" s="31">
        <f>VLOOKUP($A43,kurspris!$A$1:$Q$835,13,FALSE)</f>
        <v>0</v>
      </c>
      <c r="AO43" s="31">
        <f>VLOOKUP($A43,kurspris!$A$1:$Q$835,14,FALSE)</f>
        <v>0</v>
      </c>
      <c r="AP43" s="39" t="s">
        <v>2204</v>
      </c>
      <c r="AQ43"/>
      <c r="AR43" s="31">
        <f t="shared" si="5"/>
        <v>0</v>
      </c>
      <c r="AS43" s="255">
        <f t="shared" si="6"/>
        <v>0</v>
      </c>
      <c r="AT43" s="31">
        <f t="shared" si="7"/>
        <v>0</v>
      </c>
      <c r="AU43" s="255">
        <f t="shared" si="8"/>
        <v>0</v>
      </c>
      <c r="AV43" s="31">
        <f t="shared" si="9"/>
        <v>0</v>
      </c>
      <c r="AW43" s="31">
        <f t="shared" si="10"/>
        <v>0</v>
      </c>
      <c r="AX43" s="31">
        <f t="shared" si="11"/>
        <v>0</v>
      </c>
      <c r="AY43" s="255">
        <f t="shared" si="12"/>
        <v>0</v>
      </c>
      <c r="AZ43" s="232">
        <f t="shared" si="13"/>
        <v>0</v>
      </c>
      <c r="BA43" s="255">
        <f t="shared" si="14"/>
        <v>0</v>
      </c>
      <c r="BB43" s="31">
        <f t="shared" si="15"/>
        <v>0</v>
      </c>
      <c r="BC43" s="255">
        <f t="shared" si="16"/>
        <v>0</v>
      </c>
      <c r="BD43" s="31">
        <f t="shared" si="17"/>
        <v>0</v>
      </c>
      <c r="BE43" s="255">
        <f t="shared" si="18"/>
        <v>0</v>
      </c>
      <c r="BF43" s="31">
        <f t="shared" si="19"/>
        <v>0</v>
      </c>
      <c r="BG43" s="255">
        <f t="shared" si="20"/>
        <v>0</v>
      </c>
      <c r="BH43" s="31">
        <f t="shared" si="21"/>
        <v>0</v>
      </c>
      <c r="BI43" s="255">
        <f t="shared" si="22"/>
        <v>0</v>
      </c>
      <c r="BJ43" s="31">
        <f t="shared" si="23"/>
        <v>0</v>
      </c>
      <c r="BK43" s="31">
        <f t="shared" si="24"/>
        <v>0</v>
      </c>
      <c r="BL43" s="255">
        <f t="shared" si="25"/>
        <v>0</v>
      </c>
      <c r="BM43" s="31">
        <f t="shared" si="26"/>
        <v>0</v>
      </c>
      <c r="BN43" s="255">
        <f t="shared" si="27"/>
        <v>0</v>
      </c>
    </row>
    <row r="44" spans="1:66" x14ac:dyDescent="0.25">
      <c r="A44" s="18" t="s">
        <v>1602</v>
      </c>
      <c r="B44" s="186" t="str">
        <f>VLOOKUP(A44,kurspris!$A$1:$B$877,2,FALSE)</f>
        <v>Fördjupning i termodynamik</v>
      </c>
      <c r="C44" s="37"/>
      <c r="D44" s="31" t="s">
        <v>483</v>
      </c>
      <c r="E44" s="31" t="s">
        <v>1994</v>
      </c>
      <c r="F44" s="59" t="s">
        <v>1931</v>
      </c>
      <c r="G44" s="31" t="s">
        <v>2271</v>
      </c>
      <c r="J44" t="s">
        <v>774</v>
      </c>
      <c r="L44" s="31">
        <v>10</v>
      </c>
      <c r="M44" s="31">
        <v>1.5</v>
      </c>
      <c r="P44" s="31">
        <v>1</v>
      </c>
      <c r="Q44" s="232">
        <f t="shared" si="0"/>
        <v>2.5000000000000001E-2</v>
      </c>
      <c r="R44" s="40">
        <v>0.85</v>
      </c>
      <c r="S44" s="334">
        <f t="shared" si="1"/>
        <v>2.1250000000000002E-2</v>
      </c>
      <c r="T44" s="31">
        <f>VLOOKUP(A44,'Ansvar kurs'!$A$1:$C$1010,2,FALSE)</f>
        <v>5400</v>
      </c>
      <c r="U44" s="31" t="str">
        <f>VLOOKUP(T44,Orgenheter!$A$1:$C$165,2,FALSE)</f>
        <v xml:space="preserve">Inst för Fysik                </v>
      </c>
      <c r="V44" s="31" t="str">
        <f>VLOOKUP(T44,Orgenheter!$A$1:$C$165,3,FALSE)</f>
        <v>TekNat</v>
      </c>
      <c r="W44" s="37" t="str">
        <f>VLOOKUP(D44,Program!$A$1:$B$34,2,FALSE)</f>
        <v>Ämneslärarprogrammet - Gy</v>
      </c>
      <c r="X44" s="42">
        <f>VLOOKUP(A44,kurspris!$A$1:$Q$798,15,FALSE)</f>
        <v>19473</v>
      </c>
      <c r="Y44" s="42">
        <f>VLOOKUP(A44,kurspris!$A$1:$Q$798,16,FALSE)</f>
        <v>34806</v>
      </c>
      <c r="Z44" s="42">
        <f t="shared" si="2"/>
        <v>1226.4525000000001</v>
      </c>
      <c r="AA44" s="42">
        <f>VLOOKUP(A44,kurspris!$A$1:$Q$798,17,FALSE)</f>
        <v>21800</v>
      </c>
      <c r="AB44" s="42">
        <f t="shared" si="3"/>
        <v>545</v>
      </c>
      <c r="AC44" s="42">
        <f t="shared" si="4"/>
        <v>1771.4525000000001</v>
      </c>
      <c r="AD44" s="31">
        <f>VLOOKUP($A44,kurspris!$A$1:$Q$835,3,FALSE)</f>
        <v>0</v>
      </c>
      <c r="AE44" s="31">
        <f>VLOOKUP($A44,kurspris!$A$1:$Q$835,4,FALSE)</f>
        <v>0</v>
      </c>
      <c r="AF44" s="31">
        <f>VLOOKUP($A44,kurspris!$A$1:$Q$835,5,FALSE)</f>
        <v>0</v>
      </c>
      <c r="AG44" s="31">
        <f>VLOOKUP($A44,kurspris!$A$1:$Q$835,6,FALSE)</f>
        <v>0</v>
      </c>
      <c r="AH44" s="31">
        <f>VLOOKUP($A44,kurspris!$A$1:$Q$835,7,FALSE)</f>
        <v>0</v>
      </c>
      <c r="AI44" s="31">
        <f>VLOOKUP($A44,kurspris!$A$1:$Q$835,8,FALSE)</f>
        <v>0.5</v>
      </c>
      <c r="AJ44" s="31">
        <f>VLOOKUP($A44,kurspris!$A$1:$Q$835,9,FALSE)</f>
        <v>0</v>
      </c>
      <c r="AK44" s="31">
        <f>VLOOKUP($A44,kurspris!$A$1:$Q$835,10,FALSE)</f>
        <v>0.5</v>
      </c>
      <c r="AL44" s="31">
        <f>VLOOKUP($A44,kurspris!$A$1:$Q$835,11,FALSE)</f>
        <v>0</v>
      </c>
      <c r="AM44" s="31">
        <f>VLOOKUP($A44,kurspris!$A$1:$Q$835,12,FALSE)</f>
        <v>0</v>
      </c>
      <c r="AN44" s="31">
        <f>VLOOKUP($A44,kurspris!$A$1:$Q$835,13,FALSE)</f>
        <v>0</v>
      </c>
      <c r="AO44" s="31">
        <f>VLOOKUP($A44,kurspris!$A$1:$Q$835,14,FALSE)</f>
        <v>0</v>
      </c>
      <c r="AP44" s="39" t="s">
        <v>2326</v>
      </c>
      <c r="AQ44"/>
      <c r="AR44" s="31">
        <f t="shared" si="5"/>
        <v>0</v>
      </c>
      <c r="AS44" s="255">
        <f t="shared" si="6"/>
        <v>0</v>
      </c>
      <c r="AT44" s="31">
        <f t="shared" si="7"/>
        <v>0</v>
      </c>
      <c r="AU44" s="255">
        <f t="shared" si="8"/>
        <v>0</v>
      </c>
      <c r="AV44" s="31">
        <f t="shared" si="9"/>
        <v>0</v>
      </c>
      <c r="AW44" s="31">
        <f t="shared" si="10"/>
        <v>0</v>
      </c>
      <c r="AX44" s="31">
        <f t="shared" si="11"/>
        <v>0</v>
      </c>
      <c r="AY44" s="255">
        <f t="shared" si="12"/>
        <v>0</v>
      </c>
      <c r="AZ44" s="232">
        <f t="shared" si="13"/>
        <v>0</v>
      </c>
      <c r="BA44" s="255">
        <f t="shared" si="14"/>
        <v>0</v>
      </c>
      <c r="BB44" s="31">
        <f t="shared" si="15"/>
        <v>1.2500000000000001E-2</v>
      </c>
      <c r="BC44" s="255">
        <f t="shared" si="16"/>
        <v>1.0625000000000001E-2</v>
      </c>
      <c r="BD44" s="31">
        <f t="shared" si="17"/>
        <v>0</v>
      </c>
      <c r="BE44" s="255">
        <f t="shared" si="18"/>
        <v>0</v>
      </c>
      <c r="BF44" s="31">
        <f t="shared" si="19"/>
        <v>1.2500000000000001E-2</v>
      </c>
      <c r="BG44" s="255">
        <f t="shared" si="20"/>
        <v>1.0625000000000001E-2</v>
      </c>
      <c r="BH44" s="31">
        <f t="shared" si="21"/>
        <v>0</v>
      </c>
      <c r="BI44" s="255">
        <f t="shared" si="22"/>
        <v>0</v>
      </c>
      <c r="BJ44" s="31">
        <f t="shared" si="23"/>
        <v>0</v>
      </c>
      <c r="BK44" s="31">
        <f t="shared" si="24"/>
        <v>0</v>
      </c>
      <c r="BL44" s="255">
        <f t="shared" si="25"/>
        <v>0</v>
      </c>
      <c r="BM44" s="31">
        <f t="shared" si="26"/>
        <v>0</v>
      </c>
      <c r="BN44" s="255">
        <f t="shared" si="27"/>
        <v>0</v>
      </c>
    </row>
    <row r="45" spans="1:66" x14ac:dyDescent="0.25">
      <c r="A45" s="59" t="s">
        <v>1602</v>
      </c>
      <c r="B45" s="186" t="str">
        <f>VLOOKUP(A45,kurspris!$A$1:$B$877,2,FALSE)</f>
        <v>Fördjupning i termodynamik</v>
      </c>
      <c r="C45" s="37"/>
      <c r="D45" s="59" t="s">
        <v>483</v>
      </c>
      <c r="E45" s="62" t="s">
        <v>1609</v>
      </c>
      <c r="F45" s="62" t="s">
        <v>1931</v>
      </c>
      <c r="G45" s="31" t="s">
        <v>2271</v>
      </c>
      <c r="J45" t="s">
        <v>774</v>
      </c>
      <c r="L45" s="31">
        <v>10</v>
      </c>
      <c r="M45" s="378">
        <v>1.5</v>
      </c>
      <c r="N45" s="40"/>
      <c r="P45" s="377">
        <v>2</v>
      </c>
      <c r="Q45" s="232">
        <f t="shared" si="0"/>
        <v>0.05</v>
      </c>
      <c r="R45" s="40">
        <v>0.85</v>
      </c>
      <c r="S45" s="334">
        <f t="shared" si="1"/>
        <v>4.2500000000000003E-2</v>
      </c>
      <c r="T45" s="31">
        <f>VLOOKUP(A45,'Ansvar kurs'!$A$1:$C$1010,2,FALSE)</f>
        <v>5400</v>
      </c>
      <c r="U45" s="31" t="str">
        <f>VLOOKUP(T45,Orgenheter!$A$1:$C$165,2,FALSE)</f>
        <v xml:space="preserve">Inst för Fysik                </v>
      </c>
      <c r="V45" s="31" t="str">
        <f>VLOOKUP(T45,Orgenheter!$A$1:$C$165,3,FALSE)</f>
        <v>TekNat</v>
      </c>
      <c r="W45" s="37" t="str">
        <f>VLOOKUP(D45,Program!$A$1:$B$34,2,FALSE)</f>
        <v>Ämneslärarprogrammet - Gy</v>
      </c>
      <c r="X45" s="42">
        <f>VLOOKUP(A45,kurspris!$A$1:$Q$798,15,FALSE)</f>
        <v>19473</v>
      </c>
      <c r="Y45" s="42">
        <f>VLOOKUP(A45,kurspris!$A$1:$Q$798,16,FALSE)</f>
        <v>34806</v>
      </c>
      <c r="Z45" s="42">
        <f t="shared" si="2"/>
        <v>2452.9050000000002</v>
      </c>
      <c r="AA45" s="42">
        <f>VLOOKUP(A45,kurspris!$A$1:$Q$798,17,FALSE)</f>
        <v>21800</v>
      </c>
      <c r="AB45" s="42">
        <f t="shared" si="3"/>
        <v>1090</v>
      </c>
      <c r="AC45" s="42">
        <f t="shared" si="4"/>
        <v>3542.9050000000002</v>
      </c>
      <c r="AD45" s="31">
        <f>VLOOKUP($A45,kurspris!$A$1:$Q$835,3,FALSE)</f>
        <v>0</v>
      </c>
      <c r="AE45" s="31">
        <f>VLOOKUP($A45,kurspris!$A$1:$Q$835,4,FALSE)</f>
        <v>0</v>
      </c>
      <c r="AF45" s="31">
        <f>VLOOKUP($A45,kurspris!$A$1:$Q$835,5,FALSE)</f>
        <v>0</v>
      </c>
      <c r="AG45" s="31">
        <f>VLOOKUP($A45,kurspris!$A$1:$Q$835,6,FALSE)</f>
        <v>0</v>
      </c>
      <c r="AH45" s="31">
        <f>VLOOKUP($A45,kurspris!$A$1:$Q$835,7,FALSE)</f>
        <v>0</v>
      </c>
      <c r="AI45" s="31">
        <f>VLOOKUP($A45,kurspris!$A$1:$Q$835,8,FALSE)</f>
        <v>0.5</v>
      </c>
      <c r="AJ45" s="31">
        <f>VLOOKUP($A45,kurspris!$A$1:$Q$835,9,FALSE)</f>
        <v>0</v>
      </c>
      <c r="AK45" s="31">
        <f>VLOOKUP($A45,kurspris!$A$1:$Q$835,10,FALSE)</f>
        <v>0.5</v>
      </c>
      <c r="AL45" s="31">
        <f>VLOOKUP($A45,kurspris!$A$1:$Q$835,11,FALSE)</f>
        <v>0</v>
      </c>
      <c r="AM45" s="31">
        <f>VLOOKUP($A45,kurspris!$A$1:$Q$835,12,FALSE)</f>
        <v>0</v>
      </c>
      <c r="AN45" s="31">
        <f>VLOOKUP($A45,kurspris!$A$1:$Q$835,13,FALSE)</f>
        <v>0</v>
      </c>
      <c r="AO45" s="31">
        <f>VLOOKUP($A45,kurspris!$A$1:$Q$835,14,FALSE)</f>
        <v>0</v>
      </c>
      <c r="AP45" s="39" t="s">
        <v>2326</v>
      </c>
      <c r="AQ45"/>
      <c r="AR45" s="31">
        <f t="shared" si="5"/>
        <v>0</v>
      </c>
      <c r="AS45" s="255">
        <f t="shared" si="6"/>
        <v>0</v>
      </c>
      <c r="AT45" s="31">
        <f t="shared" si="7"/>
        <v>0</v>
      </c>
      <c r="AU45" s="255">
        <f t="shared" si="8"/>
        <v>0</v>
      </c>
      <c r="AV45" s="31">
        <f t="shared" si="9"/>
        <v>0</v>
      </c>
      <c r="AW45" s="31">
        <f t="shared" si="10"/>
        <v>0</v>
      </c>
      <c r="AX45" s="31">
        <f t="shared" si="11"/>
        <v>0</v>
      </c>
      <c r="AY45" s="255">
        <f t="shared" si="12"/>
        <v>0</v>
      </c>
      <c r="AZ45" s="232">
        <f t="shared" si="13"/>
        <v>0</v>
      </c>
      <c r="BA45" s="255">
        <f t="shared" si="14"/>
        <v>0</v>
      </c>
      <c r="BB45" s="31">
        <f t="shared" si="15"/>
        <v>2.5000000000000001E-2</v>
      </c>
      <c r="BC45" s="255">
        <f t="shared" si="16"/>
        <v>2.1250000000000002E-2</v>
      </c>
      <c r="BD45" s="31">
        <f t="shared" si="17"/>
        <v>0</v>
      </c>
      <c r="BE45" s="255">
        <f t="shared" si="18"/>
        <v>0</v>
      </c>
      <c r="BF45" s="31">
        <f t="shared" si="19"/>
        <v>2.5000000000000001E-2</v>
      </c>
      <c r="BG45" s="255">
        <f t="shared" si="20"/>
        <v>2.1250000000000002E-2</v>
      </c>
      <c r="BH45" s="31">
        <f t="shared" si="21"/>
        <v>0</v>
      </c>
      <c r="BI45" s="255">
        <f t="shared" si="22"/>
        <v>0</v>
      </c>
      <c r="BJ45" s="31">
        <f t="shared" si="23"/>
        <v>0</v>
      </c>
      <c r="BK45" s="31">
        <f t="shared" si="24"/>
        <v>0</v>
      </c>
      <c r="BL45" s="255">
        <f t="shared" si="25"/>
        <v>0</v>
      </c>
      <c r="BM45" s="31">
        <f t="shared" si="26"/>
        <v>0</v>
      </c>
      <c r="BN45" s="255">
        <f t="shared" si="27"/>
        <v>0</v>
      </c>
    </row>
    <row r="46" spans="1:66" x14ac:dyDescent="0.25">
      <c r="A46" t="s">
        <v>2233</v>
      </c>
      <c r="B46" s="186" t="str">
        <f>VLOOKUP(A46,kurspris!$A$1:$B$877,2,FALSE)</f>
        <v>Avancerade material, 7,5 hp</v>
      </c>
      <c r="C46"/>
      <c r="D46" t="s">
        <v>483</v>
      </c>
      <c r="E46" t="s">
        <v>1976</v>
      </c>
      <c r="F46" s="59" t="s">
        <v>1930</v>
      </c>
      <c r="G46" t="s">
        <v>1980</v>
      </c>
      <c r="H46" t="s">
        <v>1910</v>
      </c>
      <c r="I46"/>
      <c r="J46" t="s">
        <v>774</v>
      </c>
      <c r="K46"/>
      <c r="L46">
        <v>50</v>
      </c>
      <c r="M46">
        <v>7.5</v>
      </c>
      <c r="N46"/>
      <c r="O46"/>
      <c r="P46" s="31">
        <v>2</v>
      </c>
      <c r="Q46" s="232">
        <f t="shared" si="0"/>
        <v>0.25</v>
      </c>
      <c r="R46" s="40">
        <v>0.85</v>
      </c>
      <c r="S46" s="334">
        <f t="shared" si="1"/>
        <v>0.21249999999999999</v>
      </c>
      <c r="T46" s="31">
        <f>VLOOKUP(A46,'Ansvar kurs'!$A$1:$C$1010,2,FALSE)</f>
        <v>5400</v>
      </c>
      <c r="U46" s="31" t="str">
        <f>VLOOKUP(T46,Orgenheter!$A$1:$C$165,2,FALSE)</f>
        <v xml:space="preserve">Inst för Fysik                </v>
      </c>
      <c r="V46" s="31" t="str">
        <f>VLOOKUP(T46,Orgenheter!$A$1:$C$165,3,FALSE)</f>
        <v>TekNat</v>
      </c>
      <c r="W46" s="37" t="str">
        <f>VLOOKUP(D46,Program!$A$1:$B$34,2,FALSE)</f>
        <v>Ämneslärarprogrammet - Gy</v>
      </c>
      <c r="X46" s="42">
        <f>VLOOKUP(A46,kurspris!$A$1:$Q$798,15,FALSE)</f>
        <v>19473</v>
      </c>
      <c r="Y46" s="42">
        <f>VLOOKUP(A46,kurspris!$A$1:$Q$798,16,FALSE)</f>
        <v>34806</v>
      </c>
      <c r="Z46" s="42">
        <f t="shared" si="2"/>
        <v>12264.525</v>
      </c>
      <c r="AA46" s="42">
        <f>VLOOKUP(A46,kurspris!$A$1:$Q$798,17,FALSE)</f>
        <v>21800</v>
      </c>
      <c r="AB46" s="42">
        <f t="shared" si="3"/>
        <v>5450</v>
      </c>
      <c r="AC46" s="42">
        <f t="shared" si="4"/>
        <v>17714.525000000001</v>
      </c>
      <c r="AD46" s="31">
        <f>VLOOKUP($A46,kurspris!$A$1:$Q$835,3,FALSE)</f>
        <v>0</v>
      </c>
      <c r="AE46" s="31">
        <f>VLOOKUP($A46,kurspris!$A$1:$Q$835,4,FALSE)</f>
        <v>0</v>
      </c>
      <c r="AF46" s="31">
        <f>VLOOKUP($A46,kurspris!$A$1:$Q$835,5,FALSE)</f>
        <v>0</v>
      </c>
      <c r="AG46" s="31">
        <f>VLOOKUP($A46,kurspris!$A$1:$Q$835,6,FALSE)</f>
        <v>0</v>
      </c>
      <c r="AH46" s="31">
        <f>VLOOKUP($A46,kurspris!$A$1:$Q$835,7,FALSE)</f>
        <v>0</v>
      </c>
      <c r="AI46" s="31">
        <f>VLOOKUP($A46,kurspris!$A$1:$Q$835,8,FALSE)</f>
        <v>0.5</v>
      </c>
      <c r="AJ46" s="31">
        <f>VLOOKUP($A46,kurspris!$A$1:$Q$835,9,FALSE)</f>
        <v>0</v>
      </c>
      <c r="AK46" s="31">
        <f>VLOOKUP($A46,kurspris!$A$1:$Q$835,10,FALSE)</f>
        <v>0.5</v>
      </c>
      <c r="AL46" s="31">
        <f>VLOOKUP($A46,kurspris!$A$1:$Q$835,11,FALSE)</f>
        <v>0</v>
      </c>
      <c r="AM46" s="31">
        <f>VLOOKUP($A46,kurspris!$A$1:$Q$835,12,FALSE)</f>
        <v>0</v>
      </c>
      <c r="AN46" s="31">
        <f>VLOOKUP($A46,kurspris!$A$1:$Q$835,13,FALSE)</f>
        <v>0</v>
      </c>
      <c r="AO46" s="31">
        <f>VLOOKUP($A46,kurspris!$A$1:$Q$835,14,FALSE)</f>
        <v>0</v>
      </c>
      <c r="AP46" s="39" t="s">
        <v>2232</v>
      </c>
      <c r="AQ46"/>
      <c r="AR46" s="31">
        <f t="shared" si="5"/>
        <v>0</v>
      </c>
      <c r="AS46" s="255">
        <f t="shared" si="6"/>
        <v>0</v>
      </c>
      <c r="AT46" s="31">
        <f t="shared" si="7"/>
        <v>0</v>
      </c>
      <c r="AU46" s="255">
        <f t="shared" si="8"/>
        <v>0</v>
      </c>
      <c r="AV46" s="31">
        <f t="shared" si="9"/>
        <v>0</v>
      </c>
      <c r="AW46" s="31">
        <f t="shared" si="10"/>
        <v>0</v>
      </c>
      <c r="AX46" s="31">
        <f t="shared" si="11"/>
        <v>0</v>
      </c>
      <c r="AY46" s="255">
        <f t="shared" si="12"/>
        <v>0</v>
      </c>
      <c r="AZ46" s="232">
        <f t="shared" si="13"/>
        <v>0</v>
      </c>
      <c r="BA46" s="255">
        <f t="shared" si="14"/>
        <v>0</v>
      </c>
      <c r="BB46" s="31">
        <f t="shared" si="15"/>
        <v>0.125</v>
      </c>
      <c r="BC46" s="255">
        <f t="shared" si="16"/>
        <v>0.10625</v>
      </c>
      <c r="BD46" s="31">
        <f t="shared" si="17"/>
        <v>0</v>
      </c>
      <c r="BE46" s="255">
        <f t="shared" si="18"/>
        <v>0</v>
      </c>
      <c r="BF46" s="31">
        <f t="shared" si="19"/>
        <v>0.125</v>
      </c>
      <c r="BG46" s="255">
        <f t="shared" si="20"/>
        <v>0.10625</v>
      </c>
      <c r="BH46" s="31">
        <f t="shared" si="21"/>
        <v>0</v>
      </c>
      <c r="BI46" s="255">
        <f t="shared" si="22"/>
        <v>0</v>
      </c>
      <c r="BJ46" s="31">
        <f t="shared" si="23"/>
        <v>0</v>
      </c>
      <c r="BK46" s="31">
        <f t="shared" si="24"/>
        <v>0</v>
      </c>
      <c r="BL46" s="255">
        <f t="shared" si="25"/>
        <v>0</v>
      </c>
      <c r="BM46" s="31">
        <f t="shared" si="26"/>
        <v>0</v>
      </c>
      <c r="BN46" s="255">
        <f t="shared" si="27"/>
        <v>0</v>
      </c>
    </row>
    <row r="47" spans="1:66" x14ac:dyDescent="0.25">
      <c r="A47" t="s">
        <v>2234</v>
      </c>
      <c r="B47" s="186" t="str">
        <f>VLOOKUP(A47,kurspris!$A$1:$B$877,2,FALSE)</f>
        <v>Solceller, 7,5 hp</v>
      </c>
      <c r="C47"/>
      <c r="D47" t="s">
        <v>483</v>
      </c>
      <c r="E47" t="s">
        <v>1976</v>
      </c>
      <c r="F47" s="59" t="s">
        <v>1930</v>
      </c>
      <c r="G47" t="s">
        <v>1980</v>
      </c>
      <c r="H47" t="s">
        <v>1910</v>
      </c>
      <c r="I47"/>
      <c r="J47" t="s">
        <v>774</v>
      </c>
      <c r="K47"/>
      <c r="L47">
        <v>50</v>
      </c>
      <c r="M47">
        <v>7.5</v>
      </c>
      <c r="N47"/>
      <c r="O47"/>
      <c r="P47" s="31">
        <v>2</v>
      </c>
      <c r="Q47" s="232">
        <f t="shared" si="0"/>
        <v>0.25</v>
      </c>
      <c r="R47" s="40">
        <v>0.85</v>
      </c>
      <c r="S47" s="334">
        <f t="shared" si="1"/>
        <v>0.21249999999999999</v>
      </c>
      <c r="T47" s="31">
        <f>VLOOKUP(A47,'Ansvar kurs'!$A$1:$C$1010,2,FALSE)</f>
        <v>5400</v>
      </c>
      <c r="U47" s="31" t="str">
        <f>VLOOKUP(T47,Orgenheter!$A$1:$C$165,2,FALSE)</f>
        <v xml:space="preserve">Inst för Fysik                </v>
      </c>
      <c r="V47" s="31" t="str">
        <f>VLOOKUP(T47,Orgenheter!$A$1:$C$165,3,FALSE)</f>
        <v>TekNat</v>
      </c>
      <c r="W47" s="37" t="str">
        <f>VLOOKUP(D47,Program!$A$1:$B$34,2,FALSE)</f>
        <v>Ämneslärarprogrammet - Gy</v>
      </c>
      <c r="X47" s="42">
        <f>VLOOKUP(A47,kurspris!$A$1:$Q$798,15,FALSE)</f>
        <v>19473</v>
      </c>
      <c r="Y47" s="42">
        <f>VLOOKUP(A47,kurspris!$A$1:$Q$798,16,FALSE)</f>
        <v>34806</v>
      </c>
      <c r="Z47" s="42">
        <f t="shared" si="2"/>
        <v>12264.525</v>
      </c>
      <c r="AA47" s="42">
        <f>VLOOKUP(A47,kurspris!$A$1:$Q$798,17,FALSE)</f>
        <v>21800</v>
      </c>
      <c r="AB47" s="42">
        <f t="shared" si="3"/>
        <v>5450</v>
      </c>
      <c r="AC47" s="42">
        <f t="shared" si="4"/>
        <v>17714.525000000001</v>
      </c>
      <c r="AD47" s="31">
        <f>VLOOKUP($A47,kurspris!$A$1:$Q$835,3,FALSE)</f>
        <v>0</v>
      </c>
      <c r="AE47" s="31">
        <f>VLOOKUP($A47,kurspris!$A$1:$Q$835,4,FALSE)</f>
        <v>0</v>
      </c>
      <c r="AF47" s="31">
        <f>VLOOKUP($A47,kurspris!$A$1:$Q$835,5,FALSE)</f>
        <v>0</v>
      </c>
      <c r="AG47" s="31">
        <f>VLOOKUP($A47,kurspris!$A$1:$Q$835,6,FALSE)</f>
        <v>0</v>
      </c>
      <c r="AH47" s="31">
        <f>VLOOKUP($A47,kurspris!$A$1:$Q$835,7,FALSE)</f>
        <v>0</v>
      </c>
      <c r="AI47" s="31">
        <f>VLOOKUP($A47,kurspris!$A$1:$Q$835,8,FALSE)</f>
        <v>0.5</v>
      </c>
      <c r="AJ47" s="31">
        <f>VLOOKUP($A47,kurspris!$A$1:$Q$835,9,FALSE)</f>
        <v>0</v>
      </c>
      <c r="AK47" s="31">
        <f>VLOOKUP($A47,kurspris!$A$1:$Q$835,10,FALSE)</f>
        <v>0.5</v>
      </c>
      <c r="AL47" s="31">
        <f>VLOOKUP($A47,kurspris!$A$1:$Q$835,11,FALSE)</f>
        <v>0</v>
      </c>
      <c r="AM47" s="31">
        <f>VLOOKUP($A47,kurspris!$A$1:$Q$835,12,FALSE)</f>
        <v>0</v>
      </c>
      <c r="AN47" s="31">
        <f>VLOOKUP($A47,kurspris!$A$1:$Q$835,13,FALSE)</f>
        <v>0</v>
      </c>
      <c r="AO47" s="31">
        <f>VLOOKUP($A47,kurspris!$A$1:$Q$835,14,FALSE)</f>
        <v>0</v>
      </c>
      <c r="AP47" s="39" t="s">
        <v>2232</v>
      </c>
      <c r="AQ47"/>
      <c r="AR47" s="31">
        <f t="shared" si="5"/>
        <v>0</v>
      </c>
      <c r="AS47" s="255">
        <f t="shared" si="6"/>
        <v>0</v>
      </c>
      <c r="AT47" s="31">
        <f t="shared" si="7"/>
        <v>0</v>
      </c>
      <c r="AU47" s="255">
        <f t="shared" si="8"/>
        <v>0</v>
      </c>
      <c r="AV47" s="31">
        <f t="shared" si="9"/>
        <v>0</v>
      </c>
      <c r="AW47" s="31">
        <f t="shared" si="10"/>
        <v>0</v>
      </c>
      <c r="AX47" s="31">
        <f t="shared" si="11"/>
        <v>0</v>
      </c>
      <c r="AY47" s="255">
        <f t="shared" si="12"/>
        <v>0</v>
      </c>
      <c r="AZ47" s="232">
        <f t="shared" si="13"/>
        <v>0</v>
      </c>
      <c r="BA47" s="255">
        <f t="shared" si="14"/>
        <v>0</v>
      </c>
      <c r="BB47" s="31">
        <f t="shared" si="15"/>
        <v>0.125</v>
      </c>
      <c r="BC47" s="255">
        <f t="shared" si="16"/>
        <v>0.10625</v>
      </c>
      <c r="BD47" s="31">
        <f t="shared" si="17"/>
        <v>0</v>
      </c>
      <c r="BE47" s="255">
        <f t="shared" si="18"/>
        <v>0</v>
      </c>
      <c r="BF47" s="31">
        <f t="shared" si="19"/>
        <v>0.125</v>
      </c>
      <c r="BG47" s="255">
        <f t="shared" si="20"/>
        <v>0.10625</v>
      </c>
      <c r="BH47" s="31">
        <f t="shared" si="21"/>
        <v>0</v>
      </c>
      <c r="BI47" s="255">
        <f t="shared" si="22"/>
        <v>0</v>
      </c>
      <c r="BJ47" s="31">
        <f t="shared" si="23"/>
        <v>0</v>
      </c>
      <c r="BK47" s="31">
        <f t="shared" si="24"/>
        <v>0</v>
      </c>
      <c r="BL47" s="255">
        <f t="shared" si="25"/>
        <v>0</v>
      </c>
      <c r="BM47" s="31">
        <f t="shared" si="26"/>
        <v>0</v>
      </c>
      <c r="BN47" s="255">
        <f t="shared" si="27"/>
        <v>0</v>
      </c>
    </row>
    <row r="48" spans="1:66" x14ac:dyDescent="0.25">
      <c r="A48" s="39" t="s">
        <v>2191</v>
      </c>
      <c r="B48" s="186" t="str">
        <f>VLOOKUP(A48,kurspris!$A$1:$B$877,2,FALSE)</f>
        <v>Modern fysik</v>
      </c>
      <c r="C48"/>
      <c r="D48" t="s">
        <v>483</v>
      </c>
      <c r="E48"/>
      <c r="F48" s="59" t="s">
        <v>1930</v>
      </c>
      <c r="G48"/>
      <c r="H48" t="s">
        <v>1910</v>
      </c>
      <c r="I48"/>
      <c r="J48" t="s">
        <v>774</v>
      </c>
      <c r="K48"/>
      <c r="L48">
        <v>100</v>
      </c>
      <c r="M48">
        <v>4.5</v>
      </c>
      <c r="N48"/>
      <c r="O48"/>
      <c r="P48" s="31">
        <v>1</v>
      </c>
      <c r="Q48" s="232">
        <f t="shared" si="0"/>
        <v>7.4999999999999997E-2</v>
      </c>
      <c r="R48" s="40">
        <v>0.85</v>
      </c>
      <c r="S48" s="334">
        <f t="shared" si="1"/>
        <v>6.3750000000000001E-2</v>
      </c>
      <c r="T48" s="31">
        <f>VLOOKUP(A48,'Ansvar kurs'!$A$1:$C$1010,2,FALSE)</f>
        <v>5400</v>
      </c>
      <c r="U48" s="31" t="str">
        <f>VLOOKUP(T48,Orgenheter!$A$1:$C$165,2,FALSE)</f>
        <v xml:space="preserve">Inst för Fysik                </v>
      </c>
      <c r="V48" s="31" t="str">
        <f>VLOOKUP(T48,Orgenheter!$A$1:$C$165,3,FALSE)</f>
        <v>TekNat</v>
      </c>
      <c r="W48" s="37" t="str">
        <f>VLOOKUP(D48,Program!$A$1:$B$34,2,FALSE)</f>
        <v>Ämneslärarprogrammet - Gy</v>
      </c>
      <c r="X48" s="42">
        <f>VLOOKUP(A48,kurspris!$A$1:$Q$798,15,FALSE)</f>
        <v>19473</v>
      </c>
      <c r="Y48" s="42">
        <f>VLOOKUP(A48,kurspris!$A$1:$Q$798,16,FALSE)</f>
        <v>34806</v>
      </c>
      <c r="Z48" s="42">
        <f t="shared" si="2"/>
        <v>3679.3575000000001</v>
      </c>
      <c r="AA48" s="42">
        <f>VLOOKUP(A48,kurspris!$A$1:$Q$798,17,FALSE)</f>
        <v>21800</v>
      </c>
      <c r="AB48" s="42">
        <f t="shared" si="3"/>
        <v>1635</v>
      </c>
      <c r="AC48" s="42">
        <f t="shared" si="4"/>
        <v>5314.3575000000001</v>
      </c>
      <c r="AD48" s="31">
        <f>VLOOKUP($A48,kurspris!$A$1:$Q$835,3,FALSE)</f>
        <v>0</v>
      </c>
      <c r="AE48" s="31">
        <f>VLOOKUP($A48,kurspris!$A$1:$Q$835,4,FALSE)</f>
        <v>0</v>
      </c>
      <c r="AF48" s="31">
        <f>VLOOKUP($A48,kurspris!$A$1:$Q$835,5,FALSE)</f>
        <v>0</v>
      </c>
      <c r="AG48" s="31">
        <f>VLOOKUP($A48,kurspris!$A$1:$Q$835,6,FALSE)</f>
        <v>0</v>
      </c>
      <c r="AH48" s="31">
        <f>VLOOKUP($A48,kurspris!$A$1:$Q$835,7,FALSE)</f>
        <v>0</v>
      </c>
      <c r="AI48" s="31">
        <f>VLOOKUP($A48,kurspris!$A$1:$Q$835,8,FALSE)</f>
        <v>0.5</v>
      </c>
      <c r="AJ48" s="31">
        <f>VLOOKUP($A48,kurspris!$A$1:$Q$835,9,FALSE)</f>
        <v>0</v>
      </c>
      <c r="AK48" s="31">
        <f>VLOOKUP($A48,kurspris!$A$1:$Q$835,10,FALSE)</f>
        <v>0.5</v>
      </c>
      <c r="AL48" s="31">
        <f>VLOOKUP($A48,kurspris!$A$1:$Q$835,11,FALSE)</f>
        <v>0</v>
      </c>
      <c r="AM48" s="31">
        <f>VLOOKUP($A48,kurspris!$A$1:$Q$835,12,FALSE)</f>
        <v>0</v>
      </c>
      <c r="AN48" s="31">
        <f>VLOOKUP($A48,kurspris!$A$1:$Q$835,13,FALSE)</f>
        <v>0</v>
      </c>
      <c r="AO48" s="31">
        <f>VLOOKUP($A48,kurspris!$A$1:$Q$835,14,FALSE)</f>
        <v>0</v>
      </c>
      <c r="AP48" s="39" t="s">
        <v>2204</v>
      </c>
      <c r="AQ48"/>
      <c r="AR48" s="31">
        <f t="shared" si="5"/>
        <v>0</v>
      </c>
      <c r="AS48" s="255">
        <f t="shared" si="6"/>
        <v>0</v>
      </c>
      <c r="AT48" s="31">
        <f t="shared" si="7"/>
        <v>0</v>
      </c>
      <c r="AU48" s="255">
        <f t="shared" si="8"/>
        <v>0</v>
      </c>
      <c r="AV48" s="31">
        <f t="shared" si="9"/>
        <v>0</v>
      </c>
      <c r="AW48" s="31">
        <f t="shared" si="10"/>
        <v>0</v>
      </c>
      <c r="AX48" s="31">
        <f t="shared" si="11"/>
        <v>0</v>
      </c>
      <c r="AY48" s="255">
        <f t="shared" si="12"/>
        <v>0</v>
      </c>
      <c r="AZ48" s="232">
        <f t="shared" si="13"/>
        <v>0</v>
      </c>
      <c r="BA48" s="255">
        <f t="shared" si="14"/>
        <v>0</v>
      </c>
      <c r="BB48" s="31">
        <f t="shared" si="15"/>
        <v>3.7499999999999999E-2</v>
      </c>
      <c r="BC48" s="255">
        <f t="shared" si="16"/>
        <v>3.1875000000000001E-2</v>
      </c>
      <c r="BD48" s="31">
        <f t="shared" si="17"/>
        <v>0</v>
      </c>
      <c r="BE48" s="255">
        <f t="shared" si="18"/>
        <v>0</v>
      </c>
      <c r="BF48" s="31">
        <f t="shared" si="19"/>
        <v>3.7499999999999999E-2</v>
      </c>
      <c r="BG48" s="255">
        <f t="shared" si="20"/>
        <v>3.1875000000000001E-2</v>
      </c>
      <c r="BH48" s="31">
        <f t="shared" si="21"/>
        <v>0</v>
      </c>
      <c r="BI48" s="255">
        <f t="shared" si="22"/>
        <v>0</v>
      </c>
      <c r="BJ48" s="31">
        <f t="shared" si="23"/>
        <v>0</v>
      </c>
      <c r="BK48" s="31">
        <f t="shared" si="24"/>
        <v>0</v>
      </c>
      <c r="BL48" s="255">
        <f t="shared" si="25"/>
        <v>0</v>
      </c>
      <c r="BM48" s="31">
        <f t="shared" si="26"/>
        <v>0</v>
      </c>
      <c r="BN48" s="255">
        <f t="shared" si="27"/>
        <v>0</v>
      </c>
    </row>
    <row r="49" spans="1:66" x14ac:dyDescent="0.25">
      <c r="A49" s="18" t="s">
        <v>1024</v>
      </c>
      <c r="B49" s="186" t="str">
        <f>VLOOKUP(A49,kurspris!$A$1:$B$877,2,FALSE)</f>
        <v>Akvatisk kemi</v>
      </c>
      <c r="C49" s="37"/>
      <c r="D49" s="31" t="s">
        <v>483</v>
      </c>
      <c r="E49" s="31" t="s">
        <v>1973</v>
      </c>
      <c r="F49" s="59" t="s">
        <v>1931</v>
      </c>
      <c r="G49" s="31" t="s">
        <v>2271</v>
      </c>
      <c r="J49" t="s">
        <v>2017</v>
      </c>
      <c r="L49" s="31">
        <v>100</v>
      </c>
      <c r="M49" s="31">
        <v>15</v>
      </c>
      <c r="P49" s="31">
        <v>1</v>
      </c>
      <c r="Q49" s="232">
        <f t="shared" si="0"/>
        <v>0.25</v>
      </c>
      <c r="R49" s="40">
        <v>0.85</v>
      </c>
      <c r="S49" s="334">
        <f t="shared" si="1"/>
        <v>0.21249999999999999</v>
      </c>
      <c r="T49" s="31">
        <f>VLOOKUP(A49,'Ansvar kurs'!$A$1:$C$1010,2,FALSE)</f>
        <v>5500</v>
      </c>
      <c r="U49" s="31" t="str">
        <f>VLOOKUP(T49,Orgenheter!$A$1:$C$165,2,FALSE)</f>
        <v xml:space="preserve">Kemiska institutionen         </v>
      </c>
      <c r="V49" s="31" t="str">
        <f>VLOOKUP(T49,Orgenheter!$A$1:$C$165,3,FALSE)</f>
        <v>TekNat</v>
      </c>
      <c r="W49" s="37" t="str">
        <f>VLOOKUP(D49,Program!$A$1:$B$34,2,FALSE)</f>
        <v>Ämneslärarprogrammet - Gy</v>
      </c>
      <c r="X49" s="42">
        <f>VLOOKUP(A49,kurspris!$A$1:$Q$798,15,FALSE)</f>
        <v>19473</v>
      </c>
      <c r="Y49" s="42">
        <f>VLOOKUP(A49,kurspris!$A$1:$Q$798,16,FALSE)</f>
        <v>34806</v>
      </c>
      <c r="Z49" s="42">
        <f t="shared" si="2"/>
        <v>12264.525</v>
      </c>
      <c r="AA49" s="42">
        <f>VLOOKUP(A49,kurspris!$A$1:$Q$798,17,FALSE)</f>
        <v>21800</v>
      </c>
      <c r="AB49" s="42">
        <f t="shared" si="3"/>
        <v>5450</v>
      </c>
      <c r="AC49" s="42">
        <f t="shared" si="4"/>
        <v>17714.525000000001</v>
      </c>
      <c r="AD49" s="31">
        <f>VLOOKUP($A49,kurspris!$A$1:$Q$835,3,FALSE)</f>
        <v>0</v>
      </c>
      <c r="AE49" s="31">
        <f>VLOOKUP($A49,kurspris!$A$1:$Q$835,4,FALSE)</f>
        <v>0</v>
      </c>
      <c r="AF49" s="31">
        <f>VLOOKUP($A49,kurspris!$A$1:$Q$835,5,FALSE)</f>
        <v>0</v>
      </c>
      <c r="AG49" s="31">
        <f>VLOOKUP($A49,kurspris!$A$1:$Q$835,6,FALSE)</f>
        <v>0</v>
      </c>
      <c r="AH49" s="31">
        <f>VLOOKUP($A49,kurspris!$A$1:$Q$835,7,FALSE)</f>
        <v>0</v>
      </c>
      <c r="AI49" s="31">
        <f>VLOOKUP($A49,kurspris!$A$1:$Q$835,8,FALSE)</f>
        <v>0</v>
      </c>
      <c r="AJ49" s="31">
        <f>VLOOKUP($A49,kurspris!$A$1:$Q$835,9,FALSE)</f>
        <v>0</v>
      </c>
      <c r="AK49" s="31">
        <f>VLOOKUP($A49,kurspris!$A$1:$Q$835,10,FALSE)</f>
        <v>1</v>
      </c>
      <c r="AL49" s="31">
        <f>VLOOKUP($A49,kurspris!$A$1:$Q$835,11,FALSE)</f>
        <v>0</v>
      </c>
      <c r="AM49" s="31">
        <f>VLOOKUP($A49,kurspris!$A$1:$Q$835,12,FALSE)</f>
        <v>0</v>
      </c>
      <c r="AN49" s="31">
        <f>VLOOKUP($A49,kurspris!$A$1:$Q$835,13,FALSE)</f>
        <v>0</v>
      </c>
      <c r="AO49" s="31">
        <f>VLOOKUP($A49,kurspris!$A$1:$Q$835,14,FALSE)</f>
        <v>0</v>
      </c>
      <c r="AP49" s="39" t="s">
        <v>2326</v>
      </c>
      <c r="AQ49"/>
      <c r="AR49" s="31">
        <f t="shared" si="5"/>
        <v>0</v>
      </c>
      <c r="AS49" s="255">
        <f t="shared" si="6"/>
        <v>0</v>
      </c>
      <c r="AT49" s="31">
        <f t="shared" si="7"/>
        <v>0</v>
      </c>
      <c r="AU49" s="255">
        <f t="shared" si="8"/>
        <v>0</v>
      </c>
      <c r="AV49" s="31">
        <f t="shared" si="9"/>
        <v>0</v>
      </c>
      <c r="AW49" s="31">
        <f t="shared" si="10"/>
        <v>0</v>
      </c>
      <c r="AX49" s="31">
        <f t="shared" si="11"/>
        <v>0</v>
      </c>
      <c r="AY49" s="255">
        <f t="shared" si="12"/>
        <v>0</v>
      </c>
      <c r="AZ49" s="232">
        <f t="shared" si="13"/>
        <v>0</v>
      </c>
      <c r="BA49" s="255">
        <f t="shared" si="14"/>
        <v>0</v>
      </c>
      <c r="BB49" s="31">
        <f t="shared" si="15"/>
        <v>0</v>
      </c>
      <c r="BC49" s="255">
        <f t="shared" si="16"/>
        <v>0</v>
      </c>
      <c r="BD49" s="31">
        <f t="shared" si="17"/>
        <v>0</v>
      </c>
      <c r="BE49" s="255">
        <f t="shared" si="18"/>
        <v>0</v>
      </c>
      <c r="BF49" s="31">
        <f t="shared" si="19"/>
        <v>0.25</v>
      </c>
      <c r="BG49" s="255">
        <f t="shared" si="20"/>
        <v>0.21249999999999999</v>
      </c>
      <c r="BH49" s="31">
        <f t="shared" si="21"/>
        <v>0</v>
      </c>
      <c r="BI49" s="255">
        <f t="shared" si="22"/>
        <v>0</v>
      </c>
      <c r="BJ49" s="31">
        <f t="shared" si="23"/>
        <v>0</v>
      </c>
      <c r="BK49" s="31">
        <f t="shared" si="24"/>
        <v>0</v>
      </c>
      <c r="BL49" s="255">
        <f t="shared" si="25"/>
        <v>0</v>
      </c>
      <c r="BM49" s="31">
        <f t="shared" si="26"/>
        <v>0</v>
      </c>
      <c r="BN49" s="255">
        <f t="shared" si="27"/>
        <v>0</v>
      </c>
    </row>
    <row r="50" spans="1:66" x14ac:dyDescent="0.25">
      <c r="A50" t="s">
        <v>955</v>
      </c>
      <c r="B50" s="186" t="str">
        <f>VLOOKUP(A50,kurspris!$A$1:$B$877,2,FALSE)</f>
        <v>Bioorganisk kemi, 15 hp</v>
      </c>
      <c r="C50"/>
      <c r="D50" t="s">
        <v>483</v>
      </c>
      <c r="E50" t="s">
        <v>1976</v>
      </c>
      <c r="F50" s="59" t="s">
        <v>1930</v>
      </c>
      <c r="G50" t="s">
        <v>1979</v>
      </c>
      <c r="H50" t="s">
        <v>1910</v>
      </c>
      <c r="I50"/>
      <c r="J50" t="s">
        <v>773</v>
      </c>
      <c r="K50"/>
      <c r="L50">
        <v>100</v>
      </c>
      <c r="M50">
        <v>15</v>
      </c>
      <c r="N50"/>
      <c r="O50"/>
      <c r="P50" s="31">
        <v>0</v>
      </c>
      <c r="Q50" s="232">
        <f t="shared" si="0"/>
        <v>0</v>
      </c>
      <c r="R50" s="40">
        <v>0.85</v>
      </c>
      <c r="S50" s="334">
        <f t="shared" si="1"/>
        <v>0</v>
      </c>
      <c r="T50" s="31">
        <f>VLOOKUP(A50,'Ansvar kurs'!$A$1:$C$1010,2,FALSE)</f>
        <v>5500</v>
      </c>
      <c r="U50" s="31" t="str">
        <f>VLOOKUP(T50,Orgenheter!$A$1:$C$165,2,FALSE)</f>
        <v xml:space="preserve">Kemiska institutionen         </v>
      </c>
      <c r="V50" s="31" t="str">
        <f>VLOOKUP(T50,Orgenheter!$A$1:$C$165,3,FALSE)</f>
        <v>TekNat</v>
      </c>
      <c r="W50" s="37" t="str">
        <f>VLOOKUP(D50,Program!$A$1:$B$34,2,FALSE)</f>
        <v>Ämneslärarprogrammet - Gy</v>
      </c>
      <c r="X50" s="42">
        <f>VLOOKUP(A50,kurspris!$A$1:$Q$798,15,FALSE)</f>
        <v>19473</v>
      </c>
      <c r="Y50" s="42">
        <f>VLOOKUP(A50,kurspris!$A$1:$Q$798,16,FALSE)</f>
        <v>34806</v>
      </c>
      <c r="Z50" s="42">
        <f t="shared" si="2"/>
        <v>0</v>
      </c>
      <c r="AA50" s="42">
        <f>VLOOKUP(A50,kurspris!$A$1:$Q$798,17,FALSE)</f>
        <v>21800</v>
      </c>
      <c r="AB50" s="42">
        <f t="shared" si="3"/>
        <v>0</v>
      </c>
      <c r="AC50" s="42">
        <f t="shared" si="4"/>
        <v>0</v>
      </c>
      <c r="AD50" s="31">
        <f>VLOOKUP($A50,kurspris!$A$1:$Q$835,3,FALSE)</f>
        <v>0</v>
      </c>
      <c r="AE50" s="31">
        <f>VLOOKUP($A50,kurspris!$A$1:$Q$835,4,FALSE)</f>
        <v>0</v>
      </c>
      <c r="AF50" s="31">
        <f>VLOOKUP($A50,kurspris!$A$1:$Q$835,5,FALSE)</f>
        <v>0</v>
      </c>
      <c r="AG50" s="31">
        <f>VLOOKUP($A50,kurspris!$A$1:$Q$835,6,FALSE)</f>
        <v>0</v>
      </c>
      <c r="AH50" s="31">
        <f>VLOOKUP($A50,kurspris!$A$1:$Q$835,7,FALSE)</f>
        <v>0</v>
      </c>
      <c r="AI50" s="31">
        <f>VLOOKUP($A50,kurspris!$A$1:$Q$835,8,FALSE)</f>
        <v>0</v>
      </c>
      <c r="AJ50" s="31">
        <f>VLOOKUP($A50,kurspris!$A$1:$Q$835,9,FALSE)</f>
        <v>0</v>
      </c>
      <c r="AK50" s="31">
        <f>VLOOKUP($A50,kurspris!$A$1:$Q$835,10,FALSE)</f>
        <v>1</v>
      </c>
      <c r="AL50" s="31">
        <f>VLOOKUP($A50,kurspris!$A$1:$Q$835,11,FALSE)</f>
        <v>0</v>
      </c>
      <c r="AM50" s="31">
        <f>VLOOKUP($A50,kurspris!$A$1:$Q$835,12,FALSE)</f>
        <v>0</v>
      </c>
      <c r="AN50" s="31">
        <f>VLOOKUP($A50,kurspris!$A$1:$Q$835,13,FALSE)</f>
        <v>0</v>
      </c>
      <c r="AO50" s="31">
        <f>VLOOKUP($A50,kurspris!$A$1:$Q$835,14,FALSE)</f>
        <v>0</v>
      </c>
      <c r="AP50" s="39" t="s">
        <v>2204</v>
      </c>
      <c r="AQ50"/>
      <c r="AR50" s="31">
        <f t="shared" si="5"/>
        <v>0</v>
      </c>
      <c r="AS50" s="255">
        <f t="shared" si="6"/>
        <v>0</v>
      </c>
      <c r="AT50" s="31">
        <f t="shared" si="7"/>
        <v>0</v>
      </c>
      <c r="AU50" s="255">
        <f t="shared" si="8"/>
        <v>0</v>
      </c>
      <c r="AV50" s="31">
        <f t="shared" si="9"/>
        <v>0</v>
      </c>
      <c r="AW50" s="31">
        <f t="shared" si="10"/>
        <v>0</v>
      </c>
      <c r="AX50" s="31">
        <f t="shared" si="11"/>
        <v>0</v>
      </c>
      <c r="AY50" s="255">
        <f t="shared" si="12"/>
        <v>0</v>
      </c>
      <c r="AZ50" s="232">
        <f t="shared" si="13"/>
        <v>0</v>
      </c>
      <c r="BA50" s="255">
        <f t="shared" si="14"/>
        <v>0</v>
      </c>
      <c r="BB50" s="31">
        <f t="shared" si="15"/>
        <v>0</v>
      </c>
      <c r="BC50" s="255">
        <f t="shared" si="16"/>
        <v>0</v>
      </c>
      <c r="BD50" s="31">
        <f t="shared" si="17"/>
        <v>0</v>
      </c>
      <c r="BE50" s="255">
        <f t="shared" si="18"/>
        <v>0</v>
      </c>
      <c r="BF50" s="31">
        <f t="shared" si="19"/>
        <v>0</v>
      </c>
      <c r="BG50" s="255">
        <f t="shared" si="20"/>
        <v>0</v>
      </c>
      <c r="BH50" s="31">
        <f t="shared" si="21"/>
        <v>0</v>
      </c>
      <c r="BI50" s="255">
        <f t="shared" si="22"/>
        <v>0</v>
      </c>
      <c r="BJ50" s="31">
        <f t="shared" si="23"/>
        <v>0</v>
      </c>
      <c r="BK50" s="31">
        <f t="shared" si="24"/>
        <v>0</v>
      </c>
      <c r="BL50" s="255">
        <f t="shared" si="25"/>
        <v>0</v>
      </c>
      <c r="BM50" s="31">
        <f t="shared" si="26"/>
        <v>0</v>
      </c>
      <c r="BN50" s="255">
        <f t="shared" si="27"/>
        <v>0</v>
      </c>
    </row>
    <row r="51" spans="1:66" x14ac:dyDescent="0.25">
      <c r="A51" t="s">
        <v>955</v>
      </c>
      <c r="B51" s="186" t="str">
        <f>VLOOKUP(A51,kurspris!$A$1:$B$877,2,FALSE)</f>
        <v>Bioorganisk kemi, 15 hp</v>
      </c>
      <c r="C51"/>
      <c r="D51" t="s">
        <v>483</v>
      </c>
      <c r="E51" t="s">
        <v>1788</v>
      </c>
      <c r="F51" s="59" t="s">
        <v>1930</v>
      </c>
      <c r="G51" t="s">
        <v>1980</v>
      </c>
      <c r="H51" t="s">
        <v>1910</v>
      </c>
      <c r="I51"/>
      <c r="J51" t="s">
        <v>1591</v>
      </c>
      <c r="K51"/>
      <c r="L51">
        <v>100</v>
      </c>
      <c r="M51">
        <v>15</v>
      </c>
      <c r="N51"/>
      <c r="O51"/>
      <c r="P51" s="31">
        <v>2</v>
      </c>
      <c r="Q51" s="232">
        <f t="shared" si="0"/>
        <v>0.5</v>
      </c>
      <c r="R51" s="40">
        <v>0.85</v>
      </c>
      <c r="S51" s="334">
        <f t="shared" si="1"/>
        <v>0.42499999999999999</v>
      </c>
      <c r="T51" s="31">
        <f>VLOOKUP(A51,'Ansvar kurs'!$A$1:$C$1010,2,FALSE)</f>
        <v>5500</v>
      </c>
      <c r="U51" s="31" t="str">
        <f>VLOOKUP(T51,Orgenheter!$A$1:$C$165,2,FALSE)</f>
        <v xml:space="preserve">Kemiska institutionen         </v>
      </c>
      <c r="V51" s="31" t="str">
        <f>VLOOKUP(T51,Orgenheter!$A$1:$C$165,3,FALSE)</f>
        <v>TekNat</v>
      </c>
      <c r="W51" s="37" t="str">
        <f>VLOOKUP(D51,Program!$A$1:$B$34,2,FALSE)</f>
        <v>Ämneslärarprogrammet - Gy</v>
      </c>
      <c r="X51" s="42">
        <f>VLOOKUP(A51,kurspris!$A$1:$Q$798,15,FALSE)</f>
        <v>19473</v>
      </c>
      <c r="Y51" s="42">
        <f>VLOOKUP(A51,kurspris!$A$1:$Q$798,16,FALSE)</f>
        <v>34806</v>
      </c>
      <c r="Z51" s="42">
        <f t="shared" si="2"/>
        <v>24529.05</v>
      </c>
      <c r="AA51" s="42">
        <f>VLOOKUP(A51,kurspris!$A$1:$Q$798,17,FALSE)</f>
        <v>21800</v>
      </c>
      <c r="AB51" s="42">
        <f t="shared" si="3"/>
        <v>10900</v>
      </c>
      <c r="AC51" s="42">
        <f t="shared" si="4"/>
        <v>35429.050000000003</v>
      </c>
      <c r="AD51" s="31">
        <f>VLOOKUP($A51,kurspris!$A$1:$Q$835,3,FALSE)</f>
        <v>0</v>
      </c>
      <c r="AE51" s="31">
        <f>VLOOKUP($A51,kurspris!$A$1:$Q$835,4,FALSE)</f>
        <v>0</v>
      </c>
      <c r="AF51" s="31">
        <f>VLOOKUP($A51,kurspris!$A$1:$Q$835,5,FALSE)</f>
        <v>0</v>
      </c>
      <c r="AG51" s="31">
        <f>VLOOKUP($A51,kurspris!$A$1:$Q$835,6,FALSE)</f>
        <v>0</v>
      </c>
      <c r="AH51" s="31">
        <f>VLOOKUP($A51,kurspris!$A$1:$Q$835,7,FALSE)</f>
        <v>0</v>
      </c>
      <c r="AI51" s="31">
        <f>VLOOKUP($A51,kurspris!$A$1:$Q$835,8,FALSE)</f>
        <v>0</v>
      </c>
      <c r="AJ51" s="31">
        <f>VLOOKUP($A51,kurspris!$A$1:$Q$835,9,FALSE)</f>
        <v>0</v>
      </c>
      <c r="AK51" s="31">
        <f>VLOOKUP($A51,kurspris!$A$1:$Q$835,10,FALSE)</f>
        <v>1</v>
      </c>
      <c r="AL51" s="31">
        <f>VLOOKUP($A51,kurspris!$A$1:$Q$835,11,FALSE)</f>
        <v>0</v>
      </c>
      <c r="AM51" s="31">
        <f>VLOOKUP($A51,kurspris!$A$1:$Q$835,12,FALSE)</f>
        <v>0</v>
      </c>
      <c r="AN51" s="31">
        <f>VLOOKUP($A51,kurspris!$A$1:$Q$835,13,FALSE)</f>
        <v>0</v>
      </c>
      <c r="AO51" s="31">
        <f>VLOOKUP($A51,kurspris!$A$1:$Q$835,14,FALSE)</f>
        <v>0</v>
      </c>
      <c r="AP51" s="39" t="s">
        <v>2204</v>
      </c>
      <c r="AQ51"/>
      <c r="AR51" s="31">
        <f t="shared" si="5"/>
        <v>0</v>
      </c>
      <c r="AS51" s="255">
        <f t="shared" si="6"/>
        <v>0</v>
      </c>
      <c r="AT51" s="31">
        <f t="shared" si="7"/>
        <v>0</v>
      </c>
      <c r="AU51" s="255">
        <f t="shared" si="8"/>
        <v>0</v>
      </c>
      <c r="AV51" s="31">
        <f t="shared" si="9"/>
        <v>0</v>
      </c>
      <c r="AW51" s="31">
        <f t="shared" si="10"/>
        <v>0</v>
      </c>
      <c r="AX51" s="31">
        <f t="shared" si="11"/>
        <v>0</v>
      </c>
      <c r="AY51" s="255">
        <f t="shared" si="12"/>
        <v>0</v>
      </c>
      <c r="AZ51" s="232">
        <f t="shared" si="13"/>
        <v>0</v>
      </c>
      <c r="BA51" s="255">
        <f t="shared" si="14"/>
        <v>0</v>
      </c>
      <c r="BB51" s="31">
        <f t="shared" si="15"/>
        <v>0</v>
      </c>
      <c r="BC51" s="255">
        <f t="shared" si="16"/>
        <v>0</v>
      </c>
      <c r="BD51" s="31">
        <f t="shared" si="17"/>
        <v>0</v>
      </c>
      <c r="BE51" s="255">
        <f t="shared" si="18"/>
        <v>0</v>
      </c>
      <c r="BF51" s="31">
        <f t="shared" si="19"/>
        <v>0.5</v>
      </c>
      <c r="BG51" s="255">
        <f t="shared" si="20"/>
        <v>0.42499999999999999</v>
      </c>
      <c r="BH51" s="31">
        <f t="shared" si="21"/>
        <v>0</v>
      </c>
      <c r="BI51" s="255">
        <f t="shared" si="22"/>
        <v>0</v>
      </c>
      <c r="BJ51" s="31">
        <f t="shared" si="23"/>
        <v>0</v>
      </c>
      <c r="BK51" s="31">
        <f t="shared" si="24"/>
        <v>0</v>
      </c>
      <c r="BL51" s="255">
        <f t="shared" si="25"/>
        <v>0</v>
      </c>
      <c r="BM51" s="31">
        <f t="shared" si="26"/>
        <v>0</v>
      </c>
      <c r="BN51" s="255">
        <f t="shared" si="27"/>
        <v>0</v>
      </c>
    </row>
    <row r="52" spans="1:66" x14ac:dyDescent="0.25">
      <c r="A52" t="s">
        <v>1796</v>
      </c>
      <c r="B52" s="186" t="str">
        <f>VLOOKUP(A52,kurspris!$A$1:$B$877,2,FALSE)</f>
        <v>Biokemi 15 hp</v>
      </c>
      <c r="C52"/>
      <c r="D52" t="s">
        <v>483</v>
      </c>
      <c r="E52" s="39" t="s">
        <v>1973</v>
      </c>
      <c r="F52" s="59" t="s">
        <v>1930</v>
      </c>
      <c r="G52" t="s">
        <v>1980</v>
      </c>
      <c r="H52" t="s">
        <v>1910</v>
      </c>
      <c r="I52"/>
      <c r="J52" t="s">
        <v>2017</v>
      </c>
      <c r="K52"/>
      <c r="L52">
        <v>100</v>
      </c>
      <c r="M52">
        <v>15</v>
      </c>
      <c r="N52"/>
      <c r="O52"/>
      <c r="P52" s="31">
        <v>1</v>
      </c>
      <c r="Q52" s="232">
        <f t="shared" si="0"/>
        <v>0.25</v>
      </c>
      <c r="R52" s="40">
        <v>0.85</v>
      </c>
      <c r="S52" s="334">
        <f t="shared" si="1"/>
        <v>0.21249999999999999</v>
      </c>
      <c r="T52" s="31">
        <f>VLOOKUP(A52,'Ansvar kurs'!$A$1:$C$1010,2,FALSE)</f>
        <v>5500</v>
      </c>
      <c r="U52" s="31" t="str">
        <f>VLOOKUP(T52,Orgenheter!$A$1:$C$165,2,FALSE)</f>
        <v xml:space="preserve">Kemiska institutionen         </v>
      </c>
      <c r="V52" s="31" t="str">
        <f>VLOOKUP(T52,Orgenheter!$A$1:$C$165,3,FALSE)</f>
        <v>TekNat</v>
      </c>
      <c r="W52" s="37" t="str">
        <f>VLOOKUP(D52,Program!$A$1:$B$34,2,FALSE)</f>
        <v>Ämneslärarprogrammet - Gy</v>
      </c>
      <c r="X52" s="42">
        <f>VLOOKUP(A52,kurspris!$A$1:$Q$798,15,FALSE)</f>
        <v>19473</v>
      </c>
      <c r="Y52" s="42">
        <f>VLOOKUP(A52,kurspris!$A$1:$Q$798,16,FALSE)</f>
        <v>34806</v>
      </c>
      <c r="Z52" s="42">
        <f t="shared" si="2"/>
        <v>12264.525</v>
      </c>
      <c r="AA52" s="42">
        <f>VLOOKUP(A52,kurspris!$A$1:$Q$798,17,FALSE)</f>
        <v>21800</v>
      </c>
      <c r="AB52" s="42">
        <f t="shared" si="3"/>
        <v>5450</v>
      </c>
      <c r="AC52" s="42">
        <f t="shared" si="4"/>
        <v>17714.525000000001</v>
      </c>
      <c r="AD52" s="31">
        <f>VLOOKUP($A52,kurspris!$A$1:$Q$835,3,FALSE)</f>
        <v>0</v>
      </c>
      <c r="AE52" s="31">
        <f>VLOOKUP($A52,kurspris!$A$1:$Q$835,4,FALSE)</f>
        <v>0</v>
      </c>
      <c r="AF52" s="31">
        <f>VLOOKUP($A52,kurspris!$A$1:$Q$835,5,FALSE)</f>
        <v>0</v>
      </c>
      <c r="AG52" s="31">
        <f>VLOOKUP($A52,kurspris!$A$1:$Q$835,6,FALSE)</f>
        <v>0</v>
      </c>
      <c r="AH52" s="31">
        <f>VLOOKUP($A52,kurspris!$A$1:$Q$835,7,FALSE)</f>
        <v>0</v>
      </c>
      <c r="AI52" s="31">
        <f>VLOOKUP($A52,kurspris!$A$1:$Q$835,8,FALSE)</f>
        <v>0</v>
      </c>
      <c r="AJ52" s="31">
        <f>VLOOKUP($A52,kurspris!$A$1:$Q$835,9,FALSE)</f>
        <v>0</v>
      </c>
      <c r="AK52" s="31">
        <f>VLOOKUP($A52,kurspris!$A$1:$Q$835,10,FALSE)</f>
        <v>1</v>
      </c>
      <c r="AL52" s="31">
        <f>VLOOKUP($A52,kurspris!$A$1:$Q$835,11,FALSE)</f>
        <v>0</v>
      </c>
      <c r="AM52" s="31">
        <f>VLOOKUP($A52,kurspris!$A$1:$Q$835,12,FALSE)</f>
        <v>0</v>
      </c>
      <c r="AN52" s="31">
        <f>VLOOKUP($A52,kurspris!$A$1:$Q$835,13,FALSE)</f>
        <v>0</v>
      </c>
      <c r="AO52" s="31">
        <f>VLOOKUP($A52,kurspris!$A$1:$Q$835,14,FALSE)</f>
        <v>0</v>
      </c>
      <c r="AP52" s="39" t="s">
        <v>2232</v>
      </c>
      <c r="AQ52"/>
      <c r="AR52" s="31">
        <f t="shared" si="5"/>
        <v>0</v>
      </c>
      <c r="AS52" s="255">
        <f t="shared" si="6"/>
        <v>0</v>
      </c>
      <c r="AT52" s="31">
        <f t="shared" si="7"/>
        <v>0</v>
      </c>
      <c r="AU52" s="255">
        <f t="shared" si="8"/>
        <v>0</v>
      </c>
      <c r="AV52" s="31">
        <f t="shared" si="9"/>
        <v>0</v>
      </c>
      <c r="AW52" s="31">
        <f t="shared" si="10"/>
        <v>0</v>
      </c>
      <c r="AX52" s="31">
        <f t="shared" si="11"/>
        <v>0</v>
      </c>
      <c r="AY52" s="255">
        <f t="shared" si="12"/>
        <v>0</v>
      </c>
      <c r="AZ52" s="232">
        <f t="shared" si="13"/>
        <v>0</v>
      </c>
      <c r="BA52" s="255">
        <f t="shared" si="14"/>
        <v>0</v>
      </c>
      <c r="BB52" s="31">
        <f t="shared" si="15"/>
        <v>0</v>
      </c>
      <c r="BC52" s="255">
        <f t="shared" si="16"/>
        <v>0</v>
      </c>
      <c r="BD52" s="31">
        <f t="shared" si="17"/>
        <v>0</v>
      </c>
      <c r="BE52" s="255">
        <f t="shared" si="18"/>
        <v>0</v>
      </c>
      <c r="BF52" s="31">
        <f t="shared" si="19"/>
        <v>0.25</v>
      </c>
      <c r="BG52" s="255">
        <f t="shared" si="20"/>
        <v>0.21249999999999999</v>
      </c>
      <c r="BH52" s="31">
        <f t="shared" si="21"/>
        <v>0</v>
      </c>
      <c r="BI52" s="255">
        <f t="shared" si="22"/>
        <v>0</v>
      </c>
      <c r="BJ52" s="31">
        <f t="shared" si="23"/>
        <v>0</v>
      </c>
      <c r="BK52" s="31">
        <f t="shared" si="24"/>
        <v>0</v>
      </c>
      <c r="BL52" s="255">
        <f t="shared" si="25"/>
        <v>0</v>
      </c>
      <c r="BM52" s="31">
        <f t="shared" si="26"/>
        <v>0</v>
      </c>
      <c r="BN52" s="255">
        <f t="shared" si="27"/>
        <v>0</v>
      </c>
    </row>
    <row r="53" spans="1:66" x14ac:dyDescent="0.25">
      <c r="A53" t="s">
        <v>1796</v>
      </c>
      <c r="B53" s="186" t="str">
        <f>VLOOKUP(A53,kurspris!$A$1:$B$877,2,FALSE)</f>
        <v>Biokemi 15 hp</v>
      </c>
      <c r="C53"/>
      <c r="D53" t="s">
        <v>483</v>
      </c>
      <c r="E53" t="s">
        <v>1788</v>
      </c>
      <c r="F53" s="59" t="s">
        <v>1930</v>
      </c>
      <c r="G53" t="s">
        <v>1980</v>
      </c>
      <c r="H53" t="s">
        <v>1910</v>
      </c>
      <c r="I53"/>
      <c r="J53" t="s">
        <v>1591</v>
      </c>
      <c r="K53"/>
      <c r="L53">
        <v>100</v>
      </c>
      <c r="M53">
        <v>15</v>
      </c>
      <c r="N53"/>
      <c r="O53"/>
      <c r="P53" s="31">
        <v>1</v>
      </c>
      <c r="Q53" s="232">
        <f t="shared" si="0"/>
        <v>0.25</v>
      </c>
      <c r="R53" s="40">
        <v>0.85</v>
      </c>
      <c r="S53" s="334">
        <f t="shared" si="1"/>
        <v>0.21249999999999999</v>
      </c>
      <c r="T53" s="31">
        <f>VLOOKUP(A53,'Ansvar kurs'!$A$1:$C$1010,2,FALSE)</f>
        <v>5500</v>
      </c>
      <c r="U53" s="31" t="str">
        <f>VLOOKUP(T53,Orgenheter!$A$1:$C$165,2,FALSE)</f>
        <v xml:space="preserve">Kemiska institutionen         </v>
      </c>
      <c r="V53" s="31" t="str">
        <f>VLOOKUP(T53,Orgenheter!$A$1:$C$165,3,FALSE)</f>
        <v>TekNat</v>
      </c>
      <c r="W53" s="37" t="str">
        <f>VLOOKUP(D53,Program!$A$1:$B$34,2,FALSE)</f>
        <v>Ämneslärarprogrammet - Gy</v>
      </c>
      <c r="X53" s="42">
        <f>VLOOKUP(A53,kurspris!$A$1:$Q$798,15,FALSE)</f>
        <v>19473</v>
      </c>
      <c r="Y53" s="42">
        <f>VLOOKUP(A53,kurspris!$A$1:$Q$798,16,FALSE)</f>
        <v>34806</v>
      </c>
      <c r="Z53" s="42">
        <f t="shared" si="2"/>
        <v>12264.525</v>
      </c>
      <c r="AA53" s="42">
        <f>VLOOKUP(A53,kurspris!$A$1:$Q$798,17,FALSE)</f>
        <v>21800</v>
      </c>
      <c r="AB53" s="42">
        <f t="shared" si="3"/>
        <v>5450</v>
      </c>
      <c r="AC53" s="42">
        <f t="shared" si="4"/>
        <v>17714.525000000001</v>
      </c>
      <c r="AD53" s="31">
        <f>VLOOKUP($A53,kurspris!$A$1:$Q$835,3,FALSE)</f>
        <v>0</v>
      </c>
      <c r="AE53" s="31">
        <f>VLOOKUP($A53,kurspris!$A$1:$Q$835,4,FALSE)</f>
        <v>0</v>
      </c>
      <c r="AF53" s="31">
        <f>VLOOKUP($A53,kurspris!$A$1:$Q$835,5,FALSE)</f>
        <v>0</v>
      </c>
      <c r="AG53" s="31">
        <f>VLOOKUP($A53,kurspris!$A$1:$Q$835,6,FALSE)</f>
        <v>0</v>
      </c>
      <c r="AH53" s="31">
        <f>VLOOKUP($A53,kurspris!$A$1:$Q$835,7,FALSE)</f>
        <v>0</v>
      </c>
      <c r="AI53" s="31">
        <f>VLOOKUP($A53,kurspris!$A$1:$Q$835,8,FALSE)</f>
        <v>0</v>
      </c>
      <c r="AJ53" s="31">
        <f>VLOOKUP($A53,kurspris!$A$1:$Q$835,9,FALSE)</f>
        <v>0</v>
      </c>
      <c r="AK53" s="31">
        <f>VLOOKUP($A53,kurspris!$A$1:$Q$835,10,FALSE)</f>
        <v>1</v>
      </c>
      <c r="AL53" s="31">
        <f>VLOOKUP($A53,kurspris!$A$1:$Q$835,11,FALSE)</f>
        <v>0</v>
      </c>
      <c r="AM53" s="31">
        <f>VLOOKUP($A53,kurspris!$A$1:$Q$835,12,FALSE)</f>
        <v>0</v>
      </c>
      <c r="AN53" s="31">
        <f>VLOOKUP($A53,kurspris!$A$1:$Q$835,13,FALSE)</f>
        <v>0</v>
      </c>
      <c r="AO53" s="31">
        <f>VLOOKUP($A53,kurspris!$A$1:$Q$835,14,FALSE)</f>
        <v>0</v>
      </c>
      <c r="AP53" s="39" t="s">
        <v>2232</v>
      </c>
      <c r="AQ53"/>
      <c r="AR53" s="31">
        <f t="shared" si="5"/>
        <v>0</v>
      </c>
      <c r="AS53" s="255">
        <f t="shared" si="6"/>
        <v>0</v>
      </c>
      <c r="AT53" s="31">
        <f t="shared" si="7"/>
        <v>0</v>
      </c>
      <c r="AU53" s="255">
        <f t="shared" si="8"/>
        <v>0</v>
      </c>
      <c r="AV53" s="31">
        <f t="shared" si="9"/>
        <v>0</v>
      </c>
      <c r="AW53" s="31">
        <f t="shared" si="10"/>
        <v>0</v>
      </c>
      <c r="AX53" s="31">
        <f t="shared" si="11"/>
        <v>0</v>
      </c>
      <c r="AY53" s="255">
        <f t="shared" si="12"/>
        <v>0</v>
      </c>
      <c r="AZ53" s="232">
        <f t="shared" si="13"/>
        <v>0</v>
      </c>
      <c r="BA53" s="255">
        <f t="shared" si="14"/>
        <v>0</v>
      </c>
      <c r="BB53" s="31">
        <f t="shared" si="15"/>
        <v>0</v>
      </c>
      <c r="BC53" s="255">
        <f t="shared" si="16"/>
        <v>0</v>
      </c>
      <c r="BD53" s="31">
        <f t="shared" si="17"/>
        <v>0</v>
      </c>
      <c r="BE53" s="255">
        <f t="shared" si="18"/>
        <v>0</v>
      </c>
      <c r="BF53" s="31">
        <f t="shared" si="19"/>
        <v>0.25</v>
      </c>
      <c r="BG53" s="255">
        <f t="shared" si="20"/>
        <v>0.21249999999999999</v>
      </c>
      <c r="BH53" s="31">
        <f t="shared" si="21"/>
        <v>0</v>
      </c>
      <c r="BI53" s="255">
        <f t="shared" si="22"/>
        <v>0</v>
      </c>
      <c r="BJ53" s="31">
        <f t="shared" si="23"/>
        <v>0</v>
      </c>
      <c r="BK53" s="31">
        <f t="shared" si="24"/>
        <v>0</v>
      </c>
      <c r="BL53" s="255">
        <f t="shared" si="25"/>
        <v>0</v>
      </c>
      <c r="BM53" s="31">
        <f t="shared" si="26"/>
        <v>0</v>
      </c>
      <c r="BN53" s="255">
        <f t="shared" si="27"/>
        <v>0</v>
      </c>
    </row>
    <row r="54" spans="1:66" x14ac:dyDescent="0.25">
      <c r="A54" s="18" t="s">
        <v>1852</v>
      </c>
      <c r="B54" s="186" t="str">
        <f>VLOOKUP(A54,kurspris!$A$1:$B$877,2,FALSE)</f>
        <v>Biofysikalisk kemi: Termodynamik</v>
      </c>
      <c r="C54" s="37"/>
      <c r="D54" s="31" t="s">
        <v>483</v>
      </c>
      <c r="E54" s="31" t="s">
        <v>1973</v>
      </c>
      <c r="F54" s="59" t="s">
        <v>1931</v>
      </c>
      <c r="G54" s="31" t="s">
        <v>2274</v>
      </c>
      <c r="J54" t="s">
        <v>2017</v>
      </c>
      <c r="L54" s="31">
        <v>100</v>
      </c>
      <c r="M54" s="31">
        <v>7.5</v>
      </c>
      <c r="P54" s="31">
        <v>1</v>
      </c>
      <c r="Q54" s="232">
        <f t="shared" si="0"/>
        <v>0.125</v>
      </c>
      <c r="R54" s="40">
        <v>0.85</v>
      </c>
      <c r="S54" s="334">
        <f t="shared" si="1"/>
        <v>0.10625</v>
      </c>
      <c r="T54" s="31">
        <f>VLOOKUP(A54,'Ansvar kurs'!$A$1:$C$1010,2,FALSE)</f>
        <v>5500</v>
      </c>
      <c r="U54" s="31" t="str">
        <f>VLOOKUP(T54,Orgenheter!$A$1:$C$165,2,FALSE)</f>
        <v xml:space="preserve">Kemiska institutionen         </v>
      </c>
      <c r="V54" s="31" t="str">
        <f>VLOOKUP(T54,Orgenheter!$A$1:$C$165,3,FALSE)</f>
        <v>TekNat</v>
      </c>
      <c r="W54" s="37" t="str">
        <f>VLOOKUP(D54,Program!$A$1:$B$34,2,FALSE)</f>
        <v>Ämneslärarprogrammet - Gy</v>
      </c>
      <c r="X54" s="42">
        <f>VLOOKUP(A54,kurspris!$A$1:$Q$798,15,FALSE)</f>
        <v>19473</v>
      </c>
      <c r="Y54" s="42">
        <f>VLOOKUP(A54,kurspris!$A$1:$Q$798,16,FALSE)</f>
        <v>34806</v>
      </c>
      <c r="Z54" s="42">
        <f t="shared" si="2"/>
        <v>6132.2624999999998</v>
      </c>
      <c r="AA54" s="42">
        <f>VLOOKUP(A54,kurspris!$A$1:$Q$798,17,FALSE)</f>
        <v>21800</v>
      </c>
      <c r="AB54" s="42">
        <f t="shared" si="3"/>
        <v>2725</v>
      </c>
      <c r="AC54" s="42">
        <f t="shared" si="4"/>
        <v>8857.2625000000007</v>
      </c>
      <c r="AD54" s="31">
        <f>VLOOKUP($A54,kurspris!$A$1:$Q$835,3,FALSE)</f>
        <v>0</v>
      </c>
      <c r="AE54" s="31">
        <f>VLOOKUP($A54,kurspris!$A$1:$Q$835,4,FALSE)</f>
        <v>0</v>
      </c>
      <c r="AF54" s="31">
        <f>VLOOKUP($A54,kurspris!$A$1:$Q$835,5,FALSE)</f>
        <v>0</v>
      </c>
      <c r="AG54" s="31">
        <f>VLOOKUP($A54,kurspris!$A$1:$Q$835,6,FALSE)</f>
        <v>0</v>
      </c>
      <c r="AH54" s="31">
        <f>VLOOKUP($A54,kurspris!$A$1:$Q$835,7,FALSE)</f>
        <v>0</v>
      </c>
      <c r="AI54" s="31">
        <f>VLOOKUP($A54,kurspris!$A$1:$Q$835,8,FALSE)</f>
        <v>1</v>
      </c>
      <c r="AJ54" s="31">
        <f>VLOOKUP($A54,kurspris!$A$1:$Q$835,9,FALSE)</f>
        <v>0</v>
      </c>
      <c r="AK54" s="31">
        <f>VLOOKUP($A54,kurspris!$A$1:$Q$835,10,FALSE)</f>
        <v>0</v>
      </c>
      <c r="AL54" s="31">
        <f>VLOOKUP($A54,kurspris!$A$1:$Q$835,11,FALSE)</f>
        <v>0</v>
      </c>
      <c r="AM54" s="31">
        <f>VLOOKUP($A54,kurspris!$A$1:$Q$835,12,FALSE)</f>
        <v>0</v>
      </c>
      <c r="AN54" s="31">
        <f>VLOOKUP($A54,kurspris!$A$1:$Q$835,13,FALSE)</f>
        <v>0</v>
      </c>
      <c r="AO54" s="31">
        <f>VLOOKUP($A54,kurspris!$A$1:$Q$835,14,FALSE)</f>
        <v>0</v>
      </c>
      <c r="AP54" s="39" t="s">
        <v>2326</v>
      </c>
      <c r="AQ54"/>
      <c r="AR54" s="31">
        <f t="shared" si="5"/>
        <v>0</v>
      </c>
      <c r="AS54" s="255">
        <f t="shared" si="6"/>
        <v>0</v>
      </c>
      <c r="AT54" s="31">
        <f t="shared" si="7"/>
        <v>0</v>
      </c>
      <c r="AU54" s="255">
        <f t="shared" si="8"/>
        <v>0</v>
      </c>
      <c r="AV54" s="31">
        <f t="shared" si="9"/>
        <v>0</v>
      </c>
      <c r="AW54" s="31">
        <f t="shared" si="10"/>
        <v>0</v>
      </c>
      <c r="AX54" s="31">
        <f t="shared" si="11"/>
        <v>0</v>
      </c>
      <c r="AY54" s="255">
        <f t="shared" si="12"/>
        <v>0</v>
      </c>
      <c r="AZ54" s="232">
        <f t="shared" si="13"/>
        <v>0</v>
      </c>
      <c r="BA54" s="255">
        <f t="shared" si="14"/>
        <v>0</v>
      </c>
      <c r="BB54" s="31">
        <f t="shared" si="15"/>
        <v>0.125</v>
      </c>
      <c r="BC54" s="255">
        <f t="shared" si="16"/>
        <v>0.10625</v>
      </c>
      <c r="BD54" s="31">
        <f t="shared" si="17"/>
        <v>0</v>
      </c>
      <c r="BE54" s="255">
        <f t="shared" si="18"/>
        <v>0</v>
      </c>
      <c r="BF54" s="31">
        <f t="shared" si="19"/>
        <v>0</v>
      </c>
      <c r="BG54" s="255">
        <f t="shared" si="20"/>
        <v>0</v>
      </c>
      <c r="BH54" s="31">
        <f t="shared" si="21"/>
        <v>0</v>
      </c>
      <c r="BI54" s="255">
        <f t="shared" si="22"/>
        <v>0</v>
      </c>
      <c r="BJ54" s="31">
        <f t="shared" si="23"/>
        <v>0</v>
      </c>
      <c r="BK54" s="31">
        <f t="shared" si="24"/>
        <v>0</v>
      </c>
      <c r="BL54" s="255">
        <f t="shared" si="25"/>
        <v>0</v>
      </c>
      <c r="BM54" s="31">
        <f t="shared" si="26"/>
        <v>0</v>
      </c>
      <c r="BN54" s="255">
        <f t="shared" si="27"/>
        <v>0</v>
      </c>
    </row>
    <row r="55" spans="1:66" x14ac:dyDescent="0.25">
      <c r="A55" s="18" t="s">
        <v>1853</v>
      </c>
      <c r="B55" s="186" t="str">
        <f>VLOOKUP(A55,kurspris!$A$1:$B$877,2,FALSE)</f>
        <v>Biofysikalisk kemi: Spektroskopi</v>
      </c>
      <c r="C55" s="37"/>
      <c r="D55" s="31" t="s">
        <v>483</v>
      </c>
      <c r="E55" s="31" t="s">
        <v>1973</v>
      </c>
      <c r="F55" s="59" t="s">
        <v>1931</v>
      </c>
      <c r="G55" s="31" t="s">
        <v>2278</v>
      </c>
      <c r="J55" t="s">
        <v>2017</v>
      </c>
      <c r="L55" s="31">
        <v>100</v>
      </c>
      <c r="M55" s="31">
        <v>7.5</v>
      </c>
      <c r="P55" s="31">
        <v>1</v>
      </c>
      <c r="Q55" s="232">
        <f t="shared" si="0"/>
        <v>0.125</v>
      </c>
      <c r="R55" s="40">
        <v>0.85</v>
      </c>
      <c r="S55" s="334">
        <f t="shared" si="1"/>
        <v>0.10625</v>
      </c>
      <c r="T55" s="31">
        <f>VLOOKUP(A55,'Ansvar kurs'!$A$1:$C$1010,2,FALSE)</f>
        <v>5500</v>
      </c>
      <c r="U55" s="31" t="str">
        <f>VLOOKUP(T55,Orgenheter!$A$1:$C$165,2,FALSE)</f>
        <v xml:space="preserve">Kemiska institutionen         </v>
      </c>
      <c r="V55" s="31" t="str">
        <f>VLOOKUP(T55,Orgenheter!$A$1:$C$165,3,FALSE)</f>
        <v>TekNat</v>
      </c>
      <c r="W55" s="37" t="str">
        <f>VLOOKUP(D55,Program!$A$1:$B$34,2,FALSE)</f>
        <v>Ämneslärarprogrammet - Gy</v>
      </c>
      <c r="X55" s="42">
        <f>VLOOKUP(A55,kurspris!$A$1:$Q$798,15,FALSE)</f>
        <v>19473</v>
      </c>
      <c r="Y55" s="42">
        <f>VLOOKUP(A55,kurspris!$A$1:$Q$798,16,FALSE)</f>
        <v>34806</v>
      </c>
      <c r="Z55" s="42">
        <f t="shared" si="2"/>
        <v>6132.2624999999998</v>
      </c>
      <c r="AA55" s="42">
        <f>VLOOKUP(A55,kurspris!$A$1:$Q$798,17,FALSE)</f>
        <v>21800</v>
      </c>
      <c r="AB55" s="42">
        <f t="shared" si="3"/>
        <v>2725</v>
      </c>
      <c r="AC55" s="42">
        <f t="shared" si="4"/>
        <v>8857.2625000000007</v>
      </c>
      <c r="AD55" s="31">
        <f>VLOOKUP($A55,kurspris!$A$1:$Q$835,3,FALSE)</f>
        <v>0</v>
      </c>
      <c r="AE55" s="31">
        <f>VLOOKUP($A55,kurspris!$A$1:$Q$835,4,FALSE)</f>
        <v>0</v>
      </c>
      <c r="AF55" s="31">
        <f>VLOOKUP($A55,kurspris!$A$1:$Q$835,5,FALSE)</f>
        <v>0</v>
      </c>
      <c r="AG55" s="31">
        <f>VLOOKUP($A55,kurspris!$A$1:$Q$835,6,FALSE)</f>
        <v>0</v>
      </c>
      <c r="AH55" s="31">
        <f>VLOOKUP($A55,kurspris!$A$1:$Q$835,7,FALSE)</f>
        <v>0</v>
      </c>
      <c r="AI55" s="31">
        <f>VLOOKUP($A55,kurspris!$A$1:$Q$835,8,FALSE)</f>
        <v>1</v>
      </c>
      <c r="AJ55" s="31">
        <f>VLOOKUP($A55,kurspris!$A$1:$Q$835,9,FALSE)</f>
        <v>0</v>
      </c>
      <c r="AK55" s="31">
        <f>VLOOKUP($A55,kurspris!$A$1:$Q$835,10,FALSE)</f>
        <v>0</v>
      </c>
      <c r="AL55" s="31">
        <f>VLOOKUP($A55,kurspris!$A$1:$Q$835,11,FALSE)</f>
        <v>0</v>
      </c>
      <c r="AM55" s="31">
        <f>VLOOKUP($A55,kurspris!$A$1:$Q$835,12,FALSE)</f>
        <v>0</v>
      </c>
      <c r="AN55" s="31">
        <f>VLOOKUP($A55,kurspris!$A$1:$Q$835,13,FALSE)</f>
        <v>0</v>
      </c>
      <c r="AO55" s="31">
        <f>VLOOKUP($A55,kurspris!$A$1:$Q$835,14,FALSE)</f>
        <v>0</v>
      </c>
      <c r="AP55" s="39" t="s">
        <v>2326</v>
      </c>
      <c r="AQ55"/>
      <c r="AR55" s="31">
        <f t="shared" si="5"/>
        <v>0</v>
      </c>
      <c r="AS55" s="255">
        <f t="shared" si="6"/>
        <v>0</v>
      </c>
      <c r="AT55" s="31">
        <f t="shared" si="7"/>
        <v>0</v>
      </c>
      <c r="AU55" s="255">
        <f t="shared" si="8"/>
        <v>0</v>
      </c>
      <c r="AV55" s="31">
        <f t="shared" si="9"/>
        <v>0</v>
      </c>
      <c r="AW55" s="31">
        <f t="shared" si="10"/>
        <v>0</v>
      </c>
      <c r="AX55" s="31">
        <f t="shared" si="11"/>
        <v>0</v>
      </c>
      <c r="AY55" s="255">
        <f t="shared" si="12"/>
        <v>0</v>
      </c>
      <c r="AZ55" s="232">
        <f t="shared" si="13"/>
        <v>0</v>
      </c>
      <c r="BA55" s="255">
        <f t="shared" si="14"/>
        <v>0</v>
      </c>
      <c r="BB55" s="31">
        <f t="shared" si="15"/>
        <v>0.125</v>
      </c>
      <c r="BC55" s="255">
        <f t="shared" si="16"/>
        <v>0.10625</v>
      </c>
      <c r="BD55" s="31">
        <f t="shared" si="17"/>
        <v>0</v>
      </c>
      <c r="BE55" s="255">
        <f t="shared" si="18"/>
        <v>0</v>
      </c>
      <c r="BF55" s="31">
        <f t="shared" si="19"/>
        <v>0</v>
      </c>
      <c r="BG55" s="255">
        <f t="shared" si="20"/>
        <v>0</v>
      </c>
      <c r="BH55" s="31">
        <f t="shared" si="21"/>
        <v>0</v>
      </c>
      <c r="BI55" s="255">
        <f t="shared" si="22"/>
        <v>0</v>
      </c>
      <c r="BJ55" s="31">
        <f t="shared" si="23"/>
        <v>0</v>
      </c>
      <c r="BK55" s="31">
        <f t="shared" si="24"/>
        <v>0</v>
      </c>
      <c r="BL55" s="255">
        <f t="shared" si="25"/>
        <v>0</v>
      </c>
      <c r="BM55" s="31">
        <f t="shared" si="26"/>
        <v>0</v>
      </c>
      <c r="BN55" s="255">
        <f t="shared" si="27"/>
        <v>0</v>
      </c>
    </row>
    <row r="56" spans="1:66" x14ac:dyDescent="0.25">
      <c r="A56" s="18" t="s">
        <v>2238</v>
      </c>
      <c r="B56" s="186" t="str">
        <f>VLOOKUP(A56,kurspris!$A$1:$B$877,2,FALSE)</f>
        <v>Biologisk kemi</v>
      </c>
      <c r="C56" s="37"/>
      <c r="D56" s="31" t="s">
        <v>483</v>
      </c>
      <c r="E56" s="31" t="s">
        <v>1992</v>
      </c>
      <c r="F56" s="59" t="s">
        <v>1931</v>
      </c>
      <c r="G56" s="31" t="s">
        <v>2270</v>
      </c>
      <c r="J56" t="s">
        <v>773</v>
      </c>
      <c r="L56" s="31">
        <v>100</v>
      </c>
      <c r="M56" s="31">
        <v>15</v>
      </c>
      <c r="P56" s="31">
        <v>1</v>
      </c>
      <c r="Q56" s="232">
        <f t="shared" si="0"/>
        <v>0.25</v>
      </c>
      <c r="R56" s="40">
        <v>0.85</v>
      </c>
      <c r="S56" s="334">
        <f t="shared" si="1"/>
        <v>0.21249999999999999</v>
      </c>
      <c r="T56" s="31">
        <f>VLOOKUP(A56,'Ansvar kurs'!$A$1:$C$1010,2,FALSE)</f>
        <v>5500</v>
      </c>
      <c r="U56" s="31" t="str">
        <f>VLOOKUP(T56,Orgenheter!$A$1:$C$165,2,FALSE)</f>
        <v xml:space="preserve">Kemiska institutionen         </v>
      </c>
      <c r="V56" s="31" t="str">
        <f>VLOOKUP(T56,Orgenheter!$A$1:$C$165,3,FALSE)</f>
        <v>TekNat</v>
      </c>
      <c r="W56" s="37" t="str">
        <f>VLOOKUP(D56,Program!$A$1:$B$34,2,FALSE)</f>
        <v>Ämneslärarprogrammet - Gy</v>
      </c>
      <c r="X56" s="42">
        <f>VLOOKUP(A56,kurspris!$A$1:$Q$798,15,FALSE)</f>
        <v>19473</v>
      </c>
      <c r="Y56" s="42">
        <f>VLOOKUP(A56,kurspris!$A$1:$Q$798,16,FALSE)</f>
        <v>34806</v>
      </c>
      <c r="Z56" s="42">
        <f t="shared" si="2"/>
        <v>12264.525</v>
      </c>
      <c r="AA56" s="42">
        <f>VLOOKUP(A56,kurspris!$A$1:$Q$798,17,FALSE)</f>
        <v>21800</v>
      </c>
      <c r="AB56" s="42">
        <f t="shared" si="3"/>
        <v>5450</v>
      </c>
      <c r="AC56" s="42">
        <f t="shared" si="4"/>
        <v>17714.525000000001</v>
      </c>
      <c r="AD56" s="31">
        <f>VLOOKUP($A56,kurspris!$A$1:$Q$835,3,FALSE)</f>
        <v>0</v>
      </c>
      <c r="AE56" s="31">
        <f>VLOOKUP($A56,kurspris!$A$1:$Q$835,4,FALSE)</f>
        <v>0</v>
      </c>
      <c r="AF56" s="31">
        <f>VLOOKUP($A56,kurspris!$A$1:$Q$835,5,FALSE)</f>
        <v>0</v>
      </c>
      <c r="AG56" s="31">
        <f>VLOOKUP($A56,kurspris!$A$1:$Q$835,6,FALSE)</f>
        <v>0</v>
      </c>
      <c r="AH56" s="31">
        <f>VLOOKUP($A56,kurspris!$A$1:$Q$835,7,FALSE)</f>
        <v>0</v>
      </c>
      <c r="AI56" s="31">
        <f>VLOOKUP($A56,kurspris!$A$1:$Q$835,8,FALSE)</f>
        <v>1</v>
      </c>
      <c r="AJ56" s="31">
        <f>VLOOKUP($A56,kurspris!$A$1:$Q$835,9,FALSE)</f>
        <v>0</v>
      </c>
      <c r="AK56" s="31">
        <f>VLOOKUP($A56,kurspris!$A$1:$Q$835,10,FALSE)</f>
        <v>0</v>
      </c>
      <c r="AL56" s="31">
        <f>VLOOKUP($A56,kurspris!$A$1:$Q$835,11,FALSE)</f>
        <v>0</v>
      </c>
      <c r="AM56" s="31">
        <f>VLOOKUP($A56,kurspris!$A$1:$Q$835,12,FALSE)</f>
        <v>0</v>
      </c>
      <c r="AN56" s="31">
        <f>VLOOKUP($A56,kurspris!$A$1:$Q$835,13,FALSE)</f>
        <v>0</v>
      </c>
      <c r="AO56" s="31">
        <f>VLOOKUP($A56,kurspris!$A$1:$Q$835,14,FALSE)</f>
        <v>0</v>
      </c>
      <c r="AP56" s="39" t="s">
        <v>2326</v>
      </c>
      <c r="AQ56"/>
      <c r="AR56" s="31">
        <f t="shared" si="5"/>
        <v>0</v>
      </c>
      <c r="AS56" s="255">
        <f t="shared" si="6"/>
        <v>0</v>
      </c>
      <c r="AT56" s="31">
        <f t="shared" si="7"/>
        <v>0</v>
      </c>
      <c r="AU56" s="255">
        <f t="shared" si="8"/>
        <v>0</v>
      </c>
      <c r="AV56" s="31">
        <f t="shared" si="9"/>
        <v>0</v>
      </c>
      <c r="AW56" s="31">
        <f t="shared" si="10"/>
        <v>0</v>
      </c>
      <c r="AX56" s="31">
        <f t="shared" si="11"/>
        <v>0</v>
      </c>
      <c r="AY56" s="255">
        <f t="shared" si="12"/>
        <v>0</v>
      </c>
      <c r="AZ56" s="232">
        <f t="shared" si="13"/>
        <v>0</v>
      </c>
      <c r="BA56" s="255">
        <f t="shared" si="14"/>
        <v>0</v>
      </c>
      <c r="BB56" s="31">
        <f t="shared" si="15"/>
        <v>0.25</v>
      </c>
      <c r="BC56" s="255">
        <f t="shared" si="16"/>
        <v>0.21249999999999999</v>
      </c>
      <c r="BD56" s="31">
        <f t="shared" si="17"/>
        <v>0</v>
      </c>
      <c r="BE56" s="255">
        <f t="shared" si="18"/>
        <v>0</v>
      </c>
      <c r="BF56" s="31">
        <f t="shared" si="19"/>
        <v>0</v>
      </c>
      <c r="BG56" s="255">
        <f t="shared" si="20"/>
        <v>0</v>
      </c>
      <c r="BH56" s="31">
        <f t="shared" si="21"/>
        <v>0</v>
      </c>
      <c r="BI56" s="255">
        <f t="shared" si="22"/>
        <v>0</v>
      </c>
      <c r="BJ56" s="31">
        <f t="shared" si="23"/>
        <v>0</v>
      </c>
      <c r="BK56" s="31">
        <f t="shared" si="24"/>
        <v>0</v>
      </c>
      <c r="BL56" s="255">
        <f t="shared" si="25"/>
        <v>0</v>
      </c>
      <c r="BM56" s="31">
        <f t="shared" si="26"/>
        <v>0</v>
      </c>
      <c r="BN56" s="255">
        <f t="shared" si="27"/>
        <v>0</v>
      </c>
    </row>
    <row r="57" spans="1:66" x14ac:dyDescent="0.25">
      <c r="A57" s="18" t="s">
        <v>2238</v>
      </c>
      <c r="B57" s="186" t="str">
        <f>VLOOKUP(A57,kurspris!$A$1:$B$877,2,FALSE)</f>
        <v>Biologisk kemi</v>
      </c>
      <c r="C57" s="37"/>
      <c r="D57" s="31" t="s">
        <v>483</v>
      </c>
      <c r="E57" s="31" t="s">
        <v>1992</v>
      </c>
      <c r="F57" s="59" t="s">
        <v>1931</v>
      </c>
      <c r="G57" s="31" t="s">
        <v>2270</v>
      </c>
      <c r="J57" t="s">
        <v>778</v>
      </c>
      <c r="L57" s="31">
        <v>100</v>
      </c>
      <c r="M57" s="31">
        <v>15</v>
      </c>
      <c r="P57" s="31">
        <v>1</v>
      </c>
      <c r="Q57" s="232">
        <f t="shared" si="0"/>
        <v>0.25</v>
      </c>
      <c r="R57" s="40">
        <v>0.85</v>
      </c>
      <c r="S57" s="334">
        <f t="shared" si="1"/>
        <v>0.21249999999999999</v>
      </c>
      <c r="T57" s="31">
        <f>VLOOKUP(A57,'Ansvar kurs'!$A$1:$C$1010,2,FALSE)</f>
        <v>5500</v>
      </c>
      <c r="U57" s="31" t="str">
        <f>VLOOKUP(T57,Orgenheter!$A$1:$C$165,2,FALSE)</f>
        <v xml:space="preserve">Kemiska institutionen         </v>
      </c>
      <c r="V57" s="31" t="str">
        <f>VLOOKUP(T57,Orgenheter!$A$1:$C$165,3,FALSE)</f>
        <v>TekNat</v>
      </c>
      <c r="W57" s="37" t="str">
        <f>VLOOKUP(D57,Program!$A$1:$B$34,2,FALSE)</f>
        <v>Ämneslärarprogrammet - Gy</v>
      </c>
      <c r="X57" s="42">
        <f>VLOOKUP(A57,kurspris!$A$1:$Q$798,15,FALSE)</f>
        <v>19473</v>
      </c>
      <c r="Y57" s="42">
        <f>VLOOKUP(A57,kurspris!$A$1:$Q$798,16,FALSE)</f>
        <v>34806</v>
      </c>
      <c r="Z57" s="42">
        <f t="shared" si="2"/>
        <v>12264.525</v>
      </c>
      <c r="AA57" s="42">
        <f>VLOOKUP(A57,kurspris!$A$1:$Q$798,17,FALSE)</f>
        <v>21800</v>
      </c>
      <c r="AB57" s="42">
        <f t="shared" si="3"/>
        <v>5450</v>
      </c>
      <c r="AC57" s="42">
        <f t="shared" si="4"/>
        <v>17714.525000000001</v>
      </c>
      <c r="AD57" s="31">
        <f>VLOOKUP($A57,kurspris!$A$1:$Q$835,3,FALSE)</f>
        <v>0</v>
      </c>
      <c r="AE57" s="31">
        <f>VLOOKUP($A57,kurspris!$A$1:$Q$835,4,FALSE)</f>
        <v>0</v>
      </c>
      <c r="AF57" s="31">
        <f>VLOOKUP($A57,kurspris!$A$1:$Q$835,5,FALSE)</f>
        <v>0</v>
      </c>
      <c r="AG57" s="31">
        <f>VLOOKUP($A57,kurspris!$A$1:$Q$835,6,FALSE)</f>
        <v>0</v>
      </c>
      <c r="AH57" s="31">
        <f>VLOOKUP($A57,kurspris!$A$1:$Q$835,7,FALSE)</f>
        <v>0</v>
      </c>
      <c r="AI57" s="31">
        <f>VLOOKUP($A57,kurspris!$A$1:$Q$835,8,FALSE)</f>
        <v>1</v>
      </c>
      <c r="AJ57" s="31">
        <f>VLOOKUP($A57,kurspris!$A$1:$Q$835,9,FALSE)</f>
        <v>0</v>
      </c>
      <c r="AK57" s="31">
        <f>VLOOKUP($A57,kurspris!$A$1:$Q$835,10,FALSE)</f>
        <v>0</v>
      </c>
      <c r="AL57" s="31">
        <f>VLOOKUP($A57,kurspris!$A$1:$Q$835,11,FALSE)</f>
        <v>0</v>
      </c>
      <c r="AM57" s="31">
        <f>VLOOKUP($A57,kurspris!$A$1:$Q$835,12,FALSE)</f>
        <v>0</v>
      </c>
      <c r="AN57" s="31">
        <f>VLOOKUP($A57,kurspris!$A$1:$Q$835,13,FALSE)</f>
        <v>0</v>
      </c>
      <c r="AO57" s="31">
        <f>VLOOKUP($A57,kurspris!$A$1:$Q$835,14,FALSE)</f>
        <v>0</v>
      </c>
      <c r="AP57" s="39" t="s">
        <v>2326</v>
      </c>
      <c r="AQ57"/>
      <c r="AR57" s="31">
        <f t="shared" si="5"/>
        <v>0</v>
      </c>
      <c r="AS57" s="255">
        <f t="shared" si="6"/>
        <v>0</v>
      </c>
      <c r="AT57" s="31">
        <f t="shared" si="7"/>
        <v>0</v>
      </c>
      <c r="AU57" s="255">
        <f t="shared" si="8"/>
        <v>0</v>
      </c>
      <c r="AV57" s="31">
        <f t="shared" si="9"/>
        <v>0</v>
      </c>
      <c r="AW57" s="31">
        <f t="shared" si="10"/>
        <v>0</v>
      </c>
      <c r="AX57" s="31">
        <f t="shared" si="11"/>
        <v>0</v>
      </c>
      <c r="AY57" s="255">
        <f t="shared" si="12"/>
        <v>0</v>
      </c>
      <c r="AZ57" s="232">
        <f t="shared" si="13"/>
        <v>0</v>
      </c>
      <c r="BA57" s="255">
        <f t="shared" si="14"/>
        <v>0</v>
      </c>
      <c r="BB57" s="31">
        <f t="shared" si="15"/>
        <v>0.25</v>
      </c>
      <c r="BC57" s="255">
        <f t="shared" si="16"/>
        <v>0.21249999999999999</v>
      </c>
      <c r="BD57" s="31">
        <f t="shared" si="17"/>
        <v>0</v>
      </c>
      <c r="BE57" s="255">
        <f t="shared" si="18"/>
        <v>0</v>
      </c>
      <c r="BF57" s="31">
        <f t="shared" si="19"/>
        <v>0</v>
      </c>
      <c r="BG57" s="255">
        <f t="shared" si="20"/>
        <v>0</v>
      </c>
      <c r="BH57" s="31">
        <f t="shared" si="21"/>
        <v>0</v>
      </c>
      <c r="BI57" s="255">
        <f t="shared" si="22"/>
        <v>0</v>
      </c>
      <c r="BJ57" s="31">
        <f t="shared" si="23"/>
        <v>0</v>
      </c>
      <c r="BK57" s="31">
        <f t="shared" si="24"/>
        <v>0</v>
      </c>
      <c r="BL57" s="255">
        <f t="shared" si="25"/>
        <v>0</v>
      </c>
      <c r="BM57" s="31">
        <f t="shared" si="26"/>
        <v>0</v>
      </c>
      <c r="BN57" s="255">
        <f t="shared" si="27"/>
        <v>0</v>
      </c>
    </row>
    <row r="58" spans="1:66" x14ac:dyDescent="0.25">
      <c r="A58" s="18" t="s">
        <v>2238</v>
      </c>
      <c r="B58" s="186" t="str">
        <f>VLOOKUP(A58,kurspris!$A$1:$B$877,2,FALSE)</f>
        <v>Biologisk kemi</v>
      </c>
      <c r="C58" s="37"/>
      <c r="D58" s="31" t="s">
        <v>483</v>
      </c>
      <c r="E58" s="31" t="s">
        <v>1975</v>
      </c>
      <c r="F58" s="59" t="s">
        <v>1931</v>
      </c>
      <c r="G58" s="31" t="s">
        <v>2270</v>
      </c>
      <c r="J58" t="s">
        <v>771</v>
      </c>
      <c r="L58" s="31">
        <v>100</v>
      </c>
      <c r="M58" s="31">
        <v>15</v>
      </c>
      <c r="P58" s="31">
        <v>1</v>
      </c>
      <c r="Q58" s="232">
        <f t="shared" si="0"/>
        <v>0.25</v>
      </c>
      <c r="R58" s="40">
        <v>0.85</v>
      </c>
      <c r="S58" s="334">
        <f t="shared" si="1"/>
        <v>0.21249999999999999</v>
      </c>
      <c r="T58" s="31">
        <f>VLOOKUP(A58,'Ansvar kurs'!$A$1:$C$1010,2,FALSE)</f>
        <v>5500</v>
      </c>
      <c r="U58" s="31" t="str">
        <f>VLOOKUP(T58,Orgenheter!$A$1:$C$165,2,FALSE)</f>
        <v xml:space="preserve">Kemiska institutionen         </v>
      </c>
      <c r="V58" s="31" t="str">
        <f>VLOOKUP(T58,Orgenheter!$A$1:$C$165,3,FALSE)</f>
        <v>TekNat</v>
      </c>
      <c r="W58" s="37" t="str">
        <f>VLOOKUP(D58,Program!$A$1:$B$34,2,FALSE)</f>
        <v>Ämneslärarprogrammet - Gy</v>
      </c>
      <c r="X58" s="42">
        <f>VLOOKUP(A58,kurspris!$A$1:$Q$798,15,FALSE)</f>
        <v>19473</v>
      </c>
      <c r="Y58" s="42">
        <f>VLOOKUP(A58,kurspris!$A$1:$Q$798,16,FALSE)</f>
        <v>34806</v>
      </c>
      <c r="Z58" s="42">
        <f t="shared" si="2"/>
        <v>12264.525</v>
      </c>
      <c r="AA58" s="42">
        <f>VLOOKUP(A58,kurspris!$A$1:$Q$798,17,FALSE)</f>
        <v>21800</v>
      </c>
      <c r="AB58" s="42">
        <f t="shared" si="3"/>
        <v>5450</v>
      </c>
      <c r="AC58" s="42">
        <f t="shared" si="4"/>
        <v>17714.525000000001</v>
      </c>
      <c r="AD58" s="31">
        <f>VLOOKUP($A58,kurspris!$A$1:$Q$835,3,FALSE)</f>
        <v>0</v>
      </c>
      <c r="AE58" s="31">
        <f>VLOOKUP($A58,kurspris!$A$1:$Q$835,4,FALSE)</f>
        <v>0</v>
      </c>
      <c r="AF58" s="31">
        <f>VLOOKUP($A58,kurspris!$A$1:$Q$835,5,FALSE)</f>
        <v>0</v>
      </c>
      <c r="AG58" s="31">
        <f>VLOOKUP($A58,kurspris!$A$1:$Q$835,6,FALSE)</f>
        <v>0</v>
      </c>
      <c r="AH58" s="31">
        <f>VLOOKUP($A58,kurspris!$A$1:$Q$835,7,FALSE)</f>
        <v>0</v>
      </c>
      <c r="AI58" s="31">
        <f>VLOOKUP($A58,kurspris!$A$1:$Q$835,8,FALSE)</f>
        <v>1</v>
      </c>
      <c r="AJ58" s="31">
        <f>VLOOKUP($A58,kurspris!$A$1:$Q$835,9,FALSE)</f>
        <v>0</v>
      </c>
      <c r="AK58" s="31">
        <f>VLOOKUP($A58,kurspris!$A$1:$Q$835,10,FALSE)</f>
        <v>0</v>
      </c>
      <c r="AL58" s="31">
        <f>VLOOKUP($A58,kurspris!$A$1:$Q$835,11,FALSE)</f>
        <v>0</v>
      </c>
      <c r="AM58" s="31">
        <f>VLOOKUP($A58,kurspris!$A$1:$Q$835,12,FALSE)</f>
        <v>0</v>
      </c>
      <c r="AN58" s="31">
        <f>VLOOKUP($A58,kurspris!$A$1:$Q$835,13,FALSE)</f>
        <v>0</v>
      </c>
      <c r="AO58" s="31">
        <f>VLOOKUP($A58,kurspris!$A$1:$Q$835,14,FALSE)</f>
        <v>0</v>
      </c>
      <c r="AP58" s="39" t="s">
        <v>2326</v>
      </c>
      <c r="AQ58"/>
      <c r="AR58" s="31">
        <f t="shared" si="5"/>
        <v>0</v>
      </c>
      <c r="AS58" s="255">
        <f t="shared" si="6"/>
        <v>0</v>
      </c>
      <c r="AT58" s="31">
        <f t="shared" si="7"/>
        <v>0</v>
      </c>
      <c r="AU58" s="255">
        <f t="shared" si="8"/>
        <v>0</v>
      </c>
      <c r="AV58" s="31">
        <f t="shared" si="9"/>
        <v>0</v>
      </c>
      <c r="AW58" s="31">
        <f t="shared" si="10"/>
        <v>0</v>
      </c>
      <c r="AX58" s="31">
        <f t="shared" si="11"/>
        <v>0</v>
      </c>
      <c r="AY58" s="255">
        <f t="shared" si="12"/>
        <v>0</v>
      </c>
      <c r="AZ58" s="232">
        <f t="shared" si="13"/>
        <v>0</v>
      </c>
      <c r="BA58" s="255">
        <f t="shared" si="14"/>
        <v>0</v>
      </c>
      <c r="BB58" s="31">
        <f t="shared" si="15"/>
        <v>0.25</v>
      </c>
      <c r="BC58" s="255">
        <f t="shared" si="16"/>
        <v>0.21249999999999999</v>
      </c>
      <c r="BD58" s="31">
        <f t="shared" si="17"/>
        <v>0</v>
      </c>
      <c r="BE58" s="255">
        <f t="shared" si="18"/>
        <v>0</v>
      </c>
      <c r="BF58" s="31">
        <f t="shared" si="19"/>
        <v>0</v>
      </c>
      <c r="BG58" s="255">
        <f t="shared" si="20"/>
        <v>0</v>
      </c>
      <c r="BH58" s="31">
        <f t="shared" si="21"/>
        <v>0</v>
      </c>
      <c r="BI58" s="255">
        <f t="shared" si="22"/>
        <v>0</v>
      </c>
      <c r="BJ58" s="31">
        <f t="shared" si="23"/>
        <v>0</v>
      </c>
      <c r="BK58" s="31">
        <f t="shared" si="24"/>
        <v>0</v>
      </c>
      <c r="BL58" s="255">
        <f t="shared" si="25"/>
        <v>0</v>
      </c>
      <c r="BM58" s="31">
        <f t="shared" si="26"/>
        <v>0</v>
      </c>
      <c r="BN58" s="255">
        <f t="shared" si="27"/>
        <v>0</v>
      </c>
    </row>
    <row r="59" spans="1:66" x14ac:dyDescent="0.25">
      <c r="A59" s="18" t="s">
        <v>2238</v>
      </c>
      <c r="B59" s="186" t="str">
        <f>VLOOKUP(A59,kurspris!$A$1:$B$877,2,FALSE)</f>
        <v>Biologisk kemi</v>
      </c>
      <c r="C59" s="37"/>
      <c r="D59" s="31" t="s">
        <v>483</v>
      </c>
      <c r="E59" s="31" t="s">
        <v>1973</v>
      </c>
      <c r="F59" s="59" t="s">
        <v>1931</v>
      </c>
      <c r="G59" s="31" t="s">
        <v>2270</v>
      </c>
      <c r="J59" t="s">
        <v>1594</v>
      </c>
      <c r="L59" s="31">
        <v>100</v>
      </c>
      <c r="M59" s="31">
        <v>15</v>
      </c>
      <c r="P59" s="31">
        <v>1</v>
      </c>
      <c r="Q59" s="232">
        <f t="shared" si="0"/>
        <v>0.25</v>
      </c>
      <c r="R59" s="40">
        <v>0.85</v>
      </c>
      <c r="S59" s="334">
        <f t="shared" si="1"/>
        <v>0.21249999999999999</v>
      </c>
      <c r="T59" s="31">
        <f>VLOOKUP(A59,'Ansvar kurs'!$A$1:$C$1010,2,FALSE)</f>
        <v>5500</v>
      </c>
      <c r="U59" s="31" t="str">
        <f>VLOOKUP(T59,Orgenheter!$A$1:$C$165,2,FALSE)</f>
        <v xml:space="preserve">Kemiska institutionen         </v>
      </c>
      <c r="V59" s="31" t="str">
        <f>VLOOKUP(T59,Orgenheter!$A$1:$C$165,3,FALSE)</f>
        <v>TekNat</v>
      </c>
      <c r="W59" s="37" t="str">
        <f>VLOOKUP(D59,Program!$A$1:$B$34,2,FALSE)</f>
        <v>Ämneslärarprogrammet - Gy</v>
      </c>
      <c r="X59" s="42">
        <f>VLOOKUP(A59,kurspris!$A$1:$Q$798,15,FALSE)</f>
        <v>19473</v>
      </c>
      <c r="Y59" s="42">
        <f>VLOOKUP(A59,kurspris!$A$1:$Q$798,16,FALSE)</f>
        <v>34806</v>
      </c>
      <c r="Z59" s="42">
        <f t="shared" si="2"/>
        <v>12264.525</v>
      </c>
      <c r="AA59" s="42">
        <f>VLOOKUP(A59,kurspris!$A$1:$Q$798,17,FALSE)</f>
        <v>21800</v>
      </c>
      <c r="AB59" s="42">
        <f t="shared" si="3"/>
        <v>5450</v>
      </c>
      <c r="AC59" s="42">
        <f t="shared" si="4"/>
        <v>17714.525000000001</v>
      </c>
      <c r="AD59" s="31">
        <f>VLOOKUP($A59,kurspris!$A$1:$Q$835,3,FALSE)</f>
        <v>0</v>
      </c>
      <c r="AE59" s="31">
        <f>VLOOKUP($A59,kurspris!$A$1:$Q$835,4,FALSE)</f>
        <v>0</v>
      </c>
      <c r="AF59" s="31">
        <f>VLOOKUP($A59,kurspris!$A$1:$Q$835,5,FALSE)</f>
        <v>0</v>
      </c>
      <c r="AG59" s="31">
        <f>VLOOKUP($A59,kurspris!$A$1:$Q$835,6,FALSE)</f>
        <v>0</v>
      </c>
      <c r="AH59" s="31">
        <f>VLOOKUP($A59,kurspris!$A$1:$Q$835,7,FALSE)</f>
        <v>0</v>
      </c>
      <c r="AI59" s="31">
        <f>VLOOKUP($A59,kurspris!$A$1:$Q$835,8,FALSE)</f>
        <v>1</v>
      </c>
      <c r="AJ59" s="31">
        <f>VLOOKUP($A59,kurspris!$A$1:$Q$835,9,FALSE)</f>
        <v>0</v>
      </c>
      <c r="AK59" s="31">
        <f>VLOOKUP($A59,kurspris!$A$1:$Q$835,10,FALSE)</f>
        <v>0</v>
      </c>
      <c r="AL59" s="31">
        <f>VLOOKUP($A59,kurspris!$A$1:$Q$835,11,FALSE)</f>
        <v>0</v>
      </c>
      <c r="AM59" s="31">
        <f>VLOOKUP($A59,kurspris!$A$1:$Q$835,12,FALSE)</f>
        <v>0</v>
      </c>
      <c r="AN59" s="31">
        <f>VLOOKUP($A59,kurspris!$A$1:$Q$835,13,FALSE)</f>
        <v>0</v>
      </c>
      <c r="AO59" s="31">
        <f>VLOOKUP($A59,kurspris!$A$1:$Q$835,14,FALSE)</f>
        <v>0</v>
      </c>
      <c r="AP59" s="39" t="s">
        <v>2326</v>
      </c>
      <c r="AQ59"/>
      <c r="AR59" s="31">
        <f t="shared" si="5"/>
        <v>0</v>
      </c>
      <c r="AS59" s="255">
        <f t="shared" si="6"/>
        <v>0</v>
      </c>
      <c r="AT59" s="31">
        <f t="shared" si="7"/>
        <v>0</v>
      </c>
      <c r="AU59" s="255">
        <f t="shared" si="8"/>
        <v>0</v>
      </c>
      <c r="AV59" s="31">
        <f t="shared" si="9"/>
        <v>0</v>
      </c>
      <c r="AW59" s="31">
        <f t="shared" si="10"/>
        <v>0</v>
      </c>
      <c r="AX59" s="31">
        <f t="shared" si="11"/>
        <v>0</v>
      </c>
      <c r="AY59" s="255">
        <f t="shared" si="12"/>
        <v>0</v>
      </c>
      <c r="AZ59" s="232">
        <f t="shared" si="13"/>
        <v>0</v>
      </c>
      <c r="BA59" s="255">
        <f t="shared" si="14"/>
        <v>0</v>
      </c>
      <c r="BB59" s="31">
        <f t="shared" si="15"/>
        <v>0.25</v>
      </c>
      <c r="BC59" s="255">
        <f t="shared" si="16"/>
        <v>0.21249999999999999</v>
      </c>
      <c r="BD59" s="31">
        <f t="shared" si="17"/>
        <v>0</v>
      </c>
      <c r="BE59" s="255">
        <f t="shared" si="18"/>
        <v>0</v>
      </c>
      <c r="BF59" s="31">
        <f t="shared" si="19"/>
        <v>0</v>
      </c>
      <c r="BG59" s="255">
        <f t="shared" si="20"/>
        <v>0</v>
      </c>
      <c r="BH59" s="31">
        <f t="shared" si="21"/>
        <v>0</v>
      </c>
      <c r="BI59" s="255">
        <f t="shared" si="22"/>
        <v>0</v>
      </c>
      <c r="BJ59" s="31">
        <f t="shared" si="23"/>
        <v>0</v>
      </c>
      <c r="BK59" s="31">
        <f t="shared" si="24"/>
        <v>0</v>
      </c>
      <c r="BL59" s="255">
        <f t="shared" si="25"/>
        <v>0</v>
      </c>
      <c r="BM59" s="31">
        <f t="shared" si="26"/>
        <v>0</v>
      </c>
      <c r="BN59" s="255">
        <f t="shared" si="27"/>
        <v>0</v>
      </c>
    </row>
    <row r="60" spans="1:66" x14ac:dyDescent="0.25">
      <c r="A60" t="s">
        <v>1854</v>
      </c>
      <c r="B60" s="186" t="str">
        <f>VLOOKUP(A60,kurspris!$A$1:$B$877,2,FALSE)</f>
        <v>Kemins grunder</v>
      </c>
      <c r="C60"/>
      <c r="D60" t="s">
        <v>483</v>
      </c>
      <c r="E60" t="s">
        <v>1973</v>
      </c>
      <c r="F60" s="59" t="s">
        <v>1930</v>
      </c>
      <c r="G60" t="s">
        <v>1979</v>
      </c>
      <c r="H60" t="s">
        <v>1910</v>
      </c>
      <c r="I60"/>
      <c r="J60" t="s">
        <v>1952</v>
      </c>
      <c r="K60"/>
      <c r="L60">
        <v>100</v>
      </c>
      <c r="M60">
        <v>15</v>
      </c>
      <c r="N60"/>
      <c r="O60"/>
      <c r="P60" s="31">
        <v>1</v>
      </c>
      <c r="Q60" s="232">
        <f t="shared" si="0"/>
        <v>0.25</v>
      </c>
      <c r="R60" s="40">
        <v>0.85</v>
      </c>
      <c r="S60" s="334">
        <f t="shared" si="1"/>
        <v>0.21249999999999999</v>
      </c>
      <c r="T60" s="31">
        <f>VLOOKUP(A60,'Ansvar kurs'!$A$1:$C$1010,2,FALSE)</f>
        <v>5500</v>
      </c>
      <c r="U60" s="31" t="str">
        <f>VLOOKUP(T60,Orgenheter!$A$1:$C$165,2,FALSE)</f>
        <v xml:space="preserve">Kemiska institutionen         </v>
      </c>
      <c r="V60" s="31" t="str">
        <f>VLOOKUP(T60,Orgenheter!$A$1:$C$165,3,FALSE)</f>
        <v>TekNat</v>
      </c>
      <c r="W60" s="37" t="str">
        <f>VLOOKUP(D60,Program!$A$1:$B$34,2,FALSE)</f>
        <v>Ämneslärarprogrammet - Gy</v>
      </c>
      <c r="X60" s="42">
        <f>VLOOKUP(A60,kurspris!$A$1:$Q$798,15,FALSE)</f>
        <v>19473</v>
      </c>
      <c r="Y60" s="42">
        <f>VLOOKUP(A60,kurspris!$A$1:$Q$798,16,FALSE)</f>
        <v>34806</v>
      </c>
      <c r="Z60" s="42">
        <f t="shared" si="2"/>
        <v>12264.525</v>
      </c>
      <c r="AA60" s="42">
        <f>VLOOKUP(A60,kurspris!$A$1:$Q$798,17,FALSE)</f>
        <v>21800</v>
      </c>
      <c r="AB60" s="42">
        <f t="shared" si="3"/>
        <v>5450</v>
      </c>
      <c r="AC60" s="42">
        <f t="shared" si="4"/>
        <v>17714.525000000001</v>
      </c>
      <c r="AD60" s="31">
        <f>VLOOKUP($A60,kurspris!$A$1:$Q$835,3,FALSE)</f>
        <v>0</v>
      </c>
      <c r="AE60" s="31">
        <f>VLOOKUP($A60,kurspris!$A$1:$Q$835,4,FALSE)</f>
        <v>0</v>
      </c>
      <c r="AF60" s="31">
        <f>VLOOKUP($A60,kurspris!$A$1:$Q$835,5,FALSE)</f>
        <v>0</v>
      </c>
      <c r="AG60" s="31">
        <f>VLOOKUP($A60,kurspris!$A$1:$Q$835,6,FALSE)</f>
        <v>0</v>
      </c>
      <c r="AH60" s="31">
        <f>VLOOKUP($A60,kurspris!$A$1:$Q$835,7,FALSE)</f>
        <v>0</v>
      </c>
      <c r="AI60" s="31">
        <f>VLOOKUP($A60,kurspris!$A$1:$Q$835,8,FALSE)</f>
        <v>0.5</v>
      </c>
      <c r="AJ60" s="31">
        <f>VLOOKUP($A60,kurspris!$A$1:$Q$835,9,FALSE)</f>
        <v>0</v>
      </c>
      <c r="AK60" s="31">
        <f>VLOOKUP($A60,kurspris!$A$1:$Q$835,10,FALSE)</f>
        <v>0.5</v>
      </c>
      <c r="AL60" s="31">
        <f>VLOOKUP($A60,kurspris!$A$1:$Q$835,11,FALSE)</f>
        <v>0</v>
      </c>
      <c r="AM60" s="31">
        <f>VLOOKUP($A60,kurspris!$A$1:$Q$835,12,FALSE)</f>
        <v>0</v>
      </c>
      <c r="AN60" s="31">
        <f>VLOOKUP($A60,kurspris!$A$1:$Q$835,13,FALSE)</f>
        <v>0</v>
      </c>
      <c r="AO60" s="31">
        <f>VLOOKUP($A60,kurspris!$A$1:$Q$835,14,FALSE)</f>
        <v>0</v>
      </c>
      <c r="AP60" s="39" t="s">
        <v>2204</v>
      </c>
      <c r="AQ60"/>
      <c r="AR60" s="31">
        <f t="shared" si="5"/>
        <v>0</v>
      </c>
      <c r="AS60" s="255">
        <f t="shared" si="6"/>
        <v>0</v>
      </c>
      <c r="AT60" s="31">
        <f t="shared" si="7"/>
        <v>0</v>
      </c>
      <c r="AU60" s="255">
        <f t="shared" si="8"/>
        <v>0</v>
      </c>
      <c r="AV60" s="31">
        <f t="shared" si="9"/>
        <v>0</v>
      </c>
      <c r="AW60" s="31">
        <f t="shared" si="10"/>
        <v>0</v>
      </c>
      <c r="AX60" s="31">
        <f t="shared" si="11"/>
        <v>0</v>
      </c>
      <c r="AY60" s="255">
        <f t="shared" si="12"/>
        <v>0</v>
      </c>
      <c r="AZ60" s="232">
        <f t="shared" si="13"/>
        <v>0</v>
      </c>
      <c r="BA60" s="255">
        <f t="shared" si="14"/>
        <v>0</v>
      </c>
      <c r="BB60" s="31">
        <f t="shared" si="15"/>
        <v>0.125</v>
      </c>
      <c r="BC60" s="255">
        <f t="shared" si="16"/>
        <v>0.10625</v>
      </c>
      <c r="BD60" s="31">
        <f t="shared" si="17"/>
        <v>0</v>
      </c>
      <c r="BE60" s="255">
        <f t="shared" si="18"/>
        <v>0</v>
      </c>
      <c r="BF60" s="31">
        <f t="shared" si="19"/>
        <v>0.125</v>
      </c>
      <c r="BG60" s="255">
        <f t="shared" si="20"/>
        <v>0.10625</v>
      </c>
      <c r="BH60" s="31">
        <f t="shared" si="21"/>
        <v>0</v>
      </c>
      <c r="BI60" s="255">
        <f t="shared" si="22"/>
        <v>0</v>
      </c>
      <c r="BJ60" s="31">
        <f t="shared" si="23"/>
        <v>0</v>
      </c>
      <c r="BK60" s="31">
        <f t="shared" si="24"/>
        <v>0</v>
      </c>
      <c r="BL60" s="255">
        <f t="shared" si="25"/>
        <v>0</v>
      </c>
      <c r="BM60" s="31">
        <f t="shared" si="26"/>
        <v>0</v>
      </c>
      <c r="BN60" s="255">
        <f t="shared" si="27"/>
        <v>0</v>
      </c>
    </row>
    <row r="61" spans="1:66" x14ac:dyDescent="0.25">
      <c r="A61" t="s">
        <v>1854</v>
      </c>
      <c r="B61" s="186" t="str">
        <f>VLOOKUP(A61,kurspris!$A$1:$B$877,2,FALSE)</f>
        <v>Kemins grunder</v>
      </c>
      <c r="C61"/>
      <c r="D61" t="s">
        <v>483</v>
      </c>
      <c r="E61" s="39" t="s">
        <v>1973</v>
      </c>
      <c r="F61" s="59" t="s">
        <v>1930</v>
      </c>
      <c r="G61" t="s">
        <v>1979</v>
      </c>
      <c r="H61" t="s">
        <v>1910</v>
      </c>
      <c r="I61"/>
      <c r="J61" t="s">
        <v>2017</v>
      </c>
      <c r="K61"/>
      <c r="L61">
        <v>100</v>
      </c>
      <c r="M61">
        <v>15</v>
      </c>
      <c r="N61"/>
      <c r="O61"/>
      <c r="P61" s="31">
        <v>1</v>
      </c>
      <c r="Q61" s="232">
        <f t="shared" si="0"/>
        <v>0.25</v>
      </c>
      <c r="R61" s="40">
        <v>0.85</v>
      </c>
      <c r="S61" s="334">
        <f t="shared" si="1"/>
        <v>0.21249999999999999</v>
      </c>
      <c r="T61" s="31">
        <f>VLOOKUP(A61,'Ansvar kurs'!$A$1:$C$1010,2,FALSE)</f>
        <v>5500</v>
      </c>
      <c r="U61" s="31" t="str">
        <f>VLOOKUP(T61,Orgenheter!$A$1:$C$165,2,FALSE)</f>
        <v xml:space="preserve">Kemiska institutionen         </v>
      </c>
      <c r="V61" s="31" t="str">
        <f>VLOOKUP(T61,Orgenheter!$A$1:$C$165,3,FALSE)</f>
        <v>TekNat</v>
      </c>
      <c r="W61" s="37" t="str">
        <f>VLOOKUP(D61,Program!$A$1:$B$34,2,FALSE)</f>
        <v>Ämneslärarprogrammet - Gy</v>
      </c>
      <c r="X61" s="42">
        <f>VLOOKUP(A61,kurspris!$A$1:$Q$798,15,FALSE)</f>
        <v>19473</v>
      </c>
      <c r="Y61" s="42">
        <f>VLOOKUP(A61,kurspris!$A$1:$Q$798,16,FALSE)</f>
        <v>34806</v>
      </c>
      <c r="Z61" s="42">
        <f t="shared" si="2"/>
        <v>12264.525</v>
      </c>
      <c r="AA61" s="42">
        <f>VLOOKUP(A61,kurspris!$A$1:$Q$798,17,FALSE)</f>
        <v>21800</v>
      </c>
      <c r="AB61" s="42">
        <f t="shared" si="3"/>
        <v>5450</v>
      </c>
      <c r="AC61" s="42">
        <f t="shared" si="4"/>
        <v>17714.525000000001</v>
      </c>
      <c r="AD61" s="31">
        <f>VLOOKUP($A61,kurspris!$A$1:$Q$835,3,FALSE)</f>
        <v>0</v>
      </c>
      <c r="AE61" s="31">
        <f>VLOOKUP($A61,kurspris!$A$1:$Q$835,4,FALSE)</f>
        <v>0</v>
      </c>
      <c r="AF61" s="31">
        <f>VLOOKUP($A61,kurspris!$A$1:$Q$835,5,FALSE)</f>
        <v>0</v>
      </c>
      <c r="AG61" s="31">
        <f>VLOOKUP($A61,kurspris!$A$1:$Q$835,6,FALSE)</f>
        <v>0</v>
      </c>
      <c r="AH61" s="31">
        <f>VLOOKUP($A61,kurspris!$A$1:$Q$835,7,FALSE)</f>
        <v>0</v>
      </c>
      <c r="AI61" s="31">
        <f>VLOOKUP($A61,kurspris!$A$1:$Q$835,8,FALSE)</f>
        <v>0.5</v>
      </c>
      <c r="AJ61" s="31">
        <f>VLOOKUP($A61,kurspris!$A$1:$Q$835,9,FALSE)</f>
        <v>0</v>
      </c>
      <c r="AK61" s="31">
        <f>VLOOKUP($A61,kurspris!$A$1:$Q$835,10,FALSE)</f>
        <v>0.5</v>
      </c>
      <c r="AL61" s="31">
        <f>VLOOKUP($A61,kurspris!$A$1:$Q$835,11,FALSE)</f>
        <v>0</v>
      </c>
      <c r="AM61" s="31">
        <f>VLOOKUP($A61,kurspris!$A$1:$Q$835,12,FALSE)</f>
        <v>0</v>
      </c>
      <c r="AN61" s="31">
        <f>VLOOKUP($A61,kurspris!$A$1:$Q$835,13,FALSE)</f>
        <v>0</v>
      </c>
      <c r="AO61" s="31">
        <f>VLOOKUP($A61,kurspris!$A$1:$Q$835,14,FALSE)</f>
        <v>0</v>
      </c>
      <c r="AP61" s="39" t="s">
        <v>2204</v>
      </c>
      <c r="AQ61"/>
      <c r="AR61" s="31">
        <f t="shared" si="5"/>
        <v>0</v>
      </c>
      <c r="AS61" s="255">
        <f t="shared" si="6"/>
        <v>0</v>
      </c>
      <c r="AT61" s="31">
        <f t="shared" si="7"/>
        <v>0</v>
      </c>
      <c r="AU61" s="255">
        <f t="shared" si="8"/>
        <v>0</v>
      </c>
      <c r="AV61" s="31">
        <f t="shared" si="9"/>
        <v>0</v>
      </c>
      <c r="AW61" s="31">
        <f t="shared" si="10"/>
        <v>0</v>
      </c>
      <c r="AX61" s="31">
        <f t="shared" si="11"/>
        <v>0</v>
      </c>
      <c r="AY61" s="255">
        <f t="shared" si="12"/>
        <v>0</v>
      </c>
      <c r="AZ61" s="232">
        <f t="shared" si="13"/>
        <v>0</v>
      </c>
      <c r="BA61" s="255">
        <f t="shared" si="14"/>
        <v>0</v>
      </c>
      <c r="BB61" s="31">
        <f t="shared" si="15"/>
        <v>0.125</v>
      </c>
      <c r="BC61" s="255">
        <f t="shared" si="16"/>
        <v>0.10625</v>
      </c>
      <c r="BD61" s="31">
        <f t="shared" si="17"/>
        <v>0</v>
      </c>
      <c r="BE61" s="255">
        <f t="shared" si="18"/>
        <v>0</v>
      </c>
      <c r="BF61" s="31">
        <f t="shared" si="19"/>
        <v>0.125</v>
      </c>
      <c r="BG61" s="255">
        <f t="shared" si="20"/>
        <v>0.10625</v>
      </c>
      <c r="BH61" s="31">
        <f t="shared" si="21"/>
        <v>0</v>
      </c>
      <c r="BI61" s="255">
        <f t="shared" si="22"/>
        <v>0</v>
      </c>
      <c r="BJ61" s="31">
        <f t="shared" si="23"/>
        <v>0</v>
      </c>
      <c r="BK61" s="31">
        <f t="shared" si="24"/>
        <v>0</v>
      </c>
      <c r="BL61" s="255">
        <f t="shared" si="25"/>
        <v>0</v>
      </c>
      <c r="BM61" s="31">
        <f t="shared" si="26"/>
        <v>0</v>
      </c>
      <c r="BN61" s="255">
        <f t="shared" si="27"/>
        <v>0</v>
      </c>
    </row>
    <row r="62" spans="1:66" x14ac:dyDescent="0.25">
      <c r="A62" t="s">
        <v>1854</v>
      </c>
      <c r="B62" s="186" t="str">
        <f>VLOOKUP(A62,kurspris!$A$1:$B$877,2,FALSE)</f>
        <v>Kemins grunder</v>
      </c>
      <c r="C62"/>
      <c r="D62" t="s">
        <v>483</v>
      </c>
      <c r="E62" t="s">
        <v>1609</v>
      </c>
      <c r="F62" s="59" t="s">
        <v>1930</v>
      </c>
      <c r="G62" t="s">
        <v>1979</v>
      </c>
      <c r="H62" t="s">
        <v>1910</v>
      </c>
      <c r="I62"/>
      <c r="J62" t="s">
        <v>774</v>
      </c>
      <c r="K62"/>
      <c r="L62">
        <v>100</v>
      </c>
      <c r="M62">
        <v>15</v>
      </c>
      <c r="N62"/>
      <c r="O62"/>
      <c r="P62" s="31">
        <v>2</v>
      </c>
      <c r="Q62" s="232">
        <f t="shared" si="0"/>
        <v>0.5</v>
      </c>
      <c r="R62" s="40">
        <v>0.85</v>
      </c>
      <c r="S62" s="334">
        <f t="shared" si="1"/>
        <v>0.42499999999999999</v>
      </c>
      <c r="T62" s="31">
        <f>VLOOKUP(A62,'Ansvar kurs'!$A$1:$C$1010,2,FALSE)</f>
        <v>5500</v>
      </c>
      <c r="U62" s="31" t="str">
        <f>VLOOKUP(T62,Orgenheter!$A$1:$C$165,2,FALSE)</f>
        <v xml:space="preserve">Kemiska institutionen         </v>
      </c>
      <c r="V62" s="31" t="str">
        <f>VLOOKUP(T62,Orgenheter!$A$1:$C$165,3,FALSE)</f>
        <v>TekNat</v>
      </c>
      <c r="W62" s="37" t="str">
        <f>VLOOKUP(D62,Program!$A$1:$B$34,2,FALSE)</f>
        <v>Ämneslärarprogrammet - Gy</v>
      </c>
      <c r="X62" s="42">
        <f>VLOOKUP(A62,kurspris!$A$1:$Q$798,15,FALSE)</f>
        <v>19473</v>
      </c>
      <c r="Y62" s="42">
        <f>VLOOKUP(A62,kurspris!$A$1:$Q$798,16,FALSE)</f>
        <v>34806</v>
      </c>
      <c r="Z62" s="42">
        <f t="shared" si="2"/>
        <v>24529.05</v>
      </c>
      <c r="AA62" s="42">
        <f>VLOOKUP(A62,kurspris!$A$1:$Q$798,17,FALSE)</f>
        <v>21800</v>
      </c>
      <c r="AB62" s="42">
        <f t="shared" si="3"/>
        <v>10900</v>
      </c>
      <c r="AC62" s="42">
        <f t="shared" si="4"/>
        <v>35429.050000000003</v>
      </c>
      <c r="AD62" s="31">
        <f>VLOOKUP($A62,kurspris!$A$1:$Q$835,3,FALSE)</f>
        <v>0</v>
      </c>
      <c r="AE62" s="31">
        <f>VLOOKUP($A62,kurspris!$A$1:$Q$835,4,FALSE)</f>
        <v>0</v>
      </c>
      <c r="AF62" s="31">
        <f>VLOOKUP($A62,kurspris!$A$1:$Q$835,5,FALSE)</f>
        <v>0</v>
      </c>
      <c r="AG62" s="31">
        <f>VLOOKUP($A62,kurspris!$A$1:$Q$835,6,FALSE)</f>
        <v>0</v>
      </c>
      <c r="AH62" s="31">
        <f>VLOOKUP($A62,kurspris!$A$1:$Q$835,7,FALSE)</f>
        <v>0</v>
      </c>
      <c r="AI62" s="31">
        <f>VLOOKUP($A62,kurspris!$A$1:$Q$835,8,FALSE)</f>
        <v>0.5</v>
      </c>
      <c r="AJ62" s="31">
        <f>VLOOKUP($A62,kurspris!$A$1:$Q$835,9,FALSE)</f>
        <v>0</v>
      </c>
      <c r="AK62" s="31">
        <f>VLOOKUP($A62,kurspris!$A$1:$Q$835,10,FALSE)</f>
        <v>0.5</v>
      </c>
      <c r="AL62" s="31">
        <f>VLOOKUP($A62,kurspris!$A$1:$Q$835,11,FALSE)</f>
        <v>0</v>
      </c>
      <c r="AM62" s="31">
        <f>VLOOKUP($A62,kurspris!$A$1:$Q$835,12,FALSE)</f>
        <v>0</v>
      </c>
      <c r="AN62" s="31">
        <f>VLOOKUP($A62,kurspris!$A$1:$Q$835,13,FALSE)</f>
        <v>0</v>
      </c>
      <c r="AO62" s="31">
        <f>VLOOKUP($A62,kurspris!$A$1:$Q$835,14,FALSE)</f>
        <v>0</v>
      </c>
      <c r="AP62" s="39" t="s">
        <v>2204</v>
      </c>
      <c r="AQ62"/>
      <c r="AR62" s="31">
        <f t="shared" si="5"/>
        <v>0</v>
      </c>
      <c r="AS62" s="255">
        <f t="shared" si="6"/>
        <v>0</v>
      </c>
      <c r="AT62" s="31">
        <f t="shared" si="7"/>
        <v>0</v>
      </c>
      <c r="AU62" s="255">
        <f t="shared" si="8"/>
        <v>0</v>
      </c>
      <c r="AV62" s="31">
        <f t="shared" si="9"/>
        <v>0</v>
      </c>
      <c r="AW62" s="31">
        <f t="shared" si="10"/>
        <v>0</v>
      </c>
      <c r="AX62" s="31">
        <f t="shared" si="11"/>
        <v>0</v>
      </c>
      <c r="AY62" s="255">
        <f t="shared" si="12"/>
        <v>0</v>
      </c>
      <c r="AZ62" s="232">
        <f t="shared" si="13"/>
        <v>0</v>
      </c>
      <c r="BA62" s="255">
        <f t="shared" si="14"/>
        <v>0</v>
      </c>
      <c r="BB62" s="31">
        <f t="shared" si="15"/>
        <v>0.25</v>
      </c>
      <c r="BC62" s="255">
        <f t="shared" si="16"/>
        <v>0.21249999999999999</v>
      </c>
      <c r="BD62" s="31">
        <f t="shared" si="17"/>
        <v>0</v>
      </c>
      <c r="BE62" s="255">
        <f t="shared" si="18"/>
        <v>0</v>
      </c>
      <c r="BF62" s="31">
        <f t="shared" si="19"/>
        <v>0.25</v>
      </c>
      <c r="BG62" s="255">
        <f t="shared" si="20"/>
        <v>0.21249999999999999</v>
      </c>
      <c r="BH62" s="31">
        <f t="shared" si="21"/>
        <v>0</v>
      </c>
      <c r="BI62" s="255">
        <f t="shared" si="22"/>
        <v>0</v>
      </c>
      <c r="BJ62" s="31">
        <f t="shared" si="23"/>
        <v>0</v>
      </c>
      <c r="BK62" s="31">
        <f t="shared" si="24"/>
        <v>0</v>
      </c>
      <c r="BL62" s="255">
        <f t="shared" si="25"/>
        <v>0</v>
      </c>
      <c r="BM62" s="31">
        <f t="shared" si="26"/>
        <v>0</v>
      </c>
      <c r="BN62" s="255">
        <f t="shared" si="27"/>
        <v>0</v>
      </c>
    </row>
    <row r="63" spans="1:66" x14ac:dyDescent="0.25">
      <c r="A63" t="s">
        <v>1854</v>
      </c>
      <c r="B63" s="186" t="str">
        <f>VLOOKUP(A63,kurspris!$A$1:$B$877,2,FALSE)</f>
        <v>Kemins grunder</v>
      </c>
      <c r="C63"/>
      <c r="D63" t="s">
        <v>483</v>
      </c>
      <c r="E63" t="s">
        <v>1788</v>
      </c>
      <c r="F63" s="59" t="s">
        <v>1930</v>
      </c>
      <c r="G63" t="s">
        <v>1979</v>
      </c>
      <c r="H63" t="s">
        <v>1910</v>
      </c>
      <c r="I63"/>
      <c r="J63" t="s">
        <v>1591</v>
      </c>
      <c r="K63"/>
      <c r="L63">
        <v>100</v>
      </c>
      <c r="M63">
        <v>15</v>
      </c>
      <c r="N63"/>
      <c r="O63"/>
      <c r="P63" s="31">
        <v>1</v>
      </c>
      <c r="Q63" s="232">
        <f t="shared" si="0"/>
        <v>0.25</v>
      </c>
      <c r="R63" s="40">
        <v>0.85</v>
      </c>
      <c r="S63" s="334">
        <f t="shared" si="1"/>
        <v>0.21249999999999999</v>
      </c>
      <c r="T63" s="31">
        <f>VLOOKUP(A63,'Ansvar kurs'!$A$1:$C$1010,2,FALSE)</f>
        <v>5500</v>
      </c>
      <c r="U63" s="31" t="str">
        <f>VLOOKUP(T63,Orgenheter!$A$1:$C$165,2,FALSE)</f>
        <v xml:space="preserve">Kemiska institutionen         </v>
      </c>
      <c r="V63" s="31" t="str">
        <f>VLOOKUP(T63,Orgenheter!$A$1:$C$165,3,FALSE)</f>
        <v>TekNat</v>
      </c>
      <c r="W63" s="37" t="str">
        <f>VLOOKUP(D63,Program!$A$1:$B$34,2,FALSE)</f>
        <v>Ämneslärarprogrammet - Gy</v>
      </c>
      <c r="X63" s="42">
        <f>VLOOKUP(A63,kurspris!$A$1:$Q$798,15,FALSE)</f>
        <v>19473</v>
      </c>
      <c r="Y63" s="42">
        <f>VLOOKUP(A63,kurspris!$A$1:$Q$798,16,FALSE)</f>
        <v>34806</v>
      </c>
      <c r="Z63" s="42">
        <f t="shared" si="2"/>
        <v>12264.525</v>
      </c>
      <c r="AA63" s="42">
        <f>VLOOKUP(A63,kurspris!$A$1:$Q$798,17,FALSE)</f>
        <v>21800</v>
      </c>
      <c r="AB63" s="42">
        <f t="shared" si="3"/>
        <v>5450</v>
      </c>
      <c r="AC63" s="42">
        <f t="shared" si="4"/>
        <v>17714.525000000001</v>
      </c>
      <c r="AD63" s="31">
        <f>VLOOKUP($A63,kurspris!$A$1:$Q$835,3,FALSE)</f>
        <v>0</v>
      </c>
      <c r="AE63" s="31">
        <f>VLOOKUP($A63,kurspris!$A$1:$Q$835,4,FALSE)</f>
        <v>0</v>
      </c>
      <c r="AF63" s="31">
        <f>VLOOKUP($A63,kurspris!$A$1:$Q$835,5,FALSE)</f>
        <v>0</v>
      </c>
      <c r="AG63" s="31">
        <f>VLOOKUP($A63,kurspris!$A$1:$Q$835,6,FALSE)</f>
        <v>0</v>
      </c>
      <c r="AH63" s="31">
        <f>VLOOKUP($A63,kurspris!$A$1:$Q$835,7,FALSE)</f>
        <v>0</v>
      </c>
      <c r="AI63" s="31">
        <f>VLOOKUP($A63,kurspris!$A$1:$Q$835,8,FALSE)</f>
        <v>0.5</v>
      </c>
      <c r="AJ63" s="31">
        <f>VLOOKUP($A63,kurspris!$A$1:$Q$835,9,FALSE)</f>
        <v>0</v>
      </c>
      <c r="AK63" s="31">
        <f>VLOOKUP($A63,kurspris!$A$1:$Q$835,10,FALSE)</f>
        <v>0.5</v>
      </c>
      <c r="AL63" s="31">
        <f>VLOOKUP($A63,kurspris!$A$1:$Q$835,11,FALSE)</f>
        <v>0</v>
      </c>
      <c r="AM63" s="31">
        <f>VLOOKUP($A63,kurspris!$A$1:$Q$835,12,FALSE)</f>
        <v>0</v>
      </c>
      <c r="AN63" s="31">
        <f>VLOOKUP($A63,kurspris!$A$1:$Q$835,13,FALSE)</f>
        <v>0</v>
      </c>
      <c r="AO63" s="31">
        <f>VLOOKUP($A63,kurspris!$A$1:$Q$835,14,FALSE)</f>
        <v>0</v>
      </c>
      <c r="AP63" s="39" t="s">
        <v>2204</v>
      </c>
      <c r="AQ63"/>
      <c r="AR63" s="31">
        <f t="shared" si="5"/>
        <v>0</v>
      </c>
      <c r="AS63" s="255">
        <f t="shared" si="6"/>
        <v>0</v>
      </c>
      <c r="AT63" s="31">
        <f t="shared" si="7"/>
        <v>0</v>
      </c>
      <c r="AU63" s="255">
        <f t="shared" si="8"/>
        <v>0</v>
      </c>
      <c r="AV63" s="31">
        <f t="shared" si="9"/>
        <v>0</v>
      </c>
      <c r="AW63" s="31">
        <f t="shared" si="10"/>
        <v>0</v>
      </c>
      <c r="AX63" s="31">
        <f t="shared" si="11"/>
        <v>0</v>
      </c>
      <c r="AY63" s="255">
        <f t="shared" si="12"/>
        <v>0</v>
      </c>
      <c r="AZ63" s="232">
        <f t="shared" si="13"/>
        <v>0</v>
      </c>
      <c r="BA63" s="255">
        <f t="shared" si="14"/>
        <v>0</v>
      </c>
      <c r="BB63" s="31">
        <f t="shared" si="15"/>
        <v>0.125</v>
      </c>
      <c r="BC63" s="255">
        <f t="shared" si="16"/>
        <v>0.10625</v>
      </c>
      <c r="BD63" s="31">
        <f t="shared" si="17"/>
        <v>0</v>
      </c>
      <c r="BE63" s="255">
        <f t="shared" si="18"/>
        <v>0</v>
      </c>
      <c r="BF63" s="31">
        <f t="shared" si="19"/>
        <v>0.125</v>
      </c>
      <c r="BG63" s="255">
        <f t="shared" si="20"/>
        <v>0.10625</v>
      </c>
      <c r="BH63" s="31">
        <f t="shared" si="21"/>
        <v>0</v>
      </c>
      <c r="BI63" s="255">
        <f t="shared" si="22"/>
        <v>0</v>
      </c>
      <c r="BJ63" s="31">
        <f t="shared" si="23"/>
        <v>0</v>
      </c>
      <c r="BK63" s="31">
        <f t="shared" si="24"/>
        <v>0</v>
      </c>
      <c r="BL63" s="255">
        <f t="shared" si="25"/>
        <v>0</v>
      </c>
      <c r="BM63" s="31">
        <f t="shared" si="26"/>
        <v>0</v>
      </c>
      <c r="BN63" s="255">
        <f t="shared" si="27"/>
        <v>0</v>
      </c>
    </row>
    <row r="64" spans="1:66" x14ac:dyDescent="0.25">
      <c r="A64" t="s">
        <v>2001</v>
      </c>
      <c r="B64" s="186" t="str">
        <f>VLOOKUP(A64,kurspris!$A$1:$B$877,2,FALSE)</f>
        <v>Avancerad miljökemi</v>
      </c>
      <c r="C64"/>
      <c r="D64" t="s">
        <v>483</v>
      </c>
      <c r="E64" t="s">
        <v>1609</v>
      </c>
      <c r="F64" s="59" t="s">
        <v>1930</v>
      </c>
      <c r="G64" t="s">
        <v>1980</v>
      </c>
      <c r="H64" t="s">
        <v>1910</v>
      </c>
      <c r="I64"/>
      <c r="J64" t="s">
        <v>1591</v>
      </c>
      <c r="K64"/>
      <c r="L64">
        <v>100</v>
      </c>
      <c r="M64">
        <v>15</v>
      </c>
      <c r="N64"/>
      <c r="O64"/>
      <c r="P64" s="31">
        <v>1</v>
      </c>
      <c r="Q64" s="232">
        <f t="shared" si="0"/>
        <v>0.25</v>
      </c>
      <c r="R64" s="40">
        <v>0.85</v>
      </c>
      <c r="S64" s="334">
        <f t="shared" si="1"/>
        <v>0.21249999999999999</v>
      </c>
      <c r="T64" s="31">
        <f>VLOOKUP(A64,'Ansvar kurs'!$A$1:$C$1010,2,FALSE)</f>
        <v>5500</v>
      </c>
      <c r="U64" s="31" t="str">
        <f>VLOOKUP(T64,Orgenheter!$A$1:$C$165,2,FALSE)</f>
        <v xml:space="preserve">Kemiska institutionen         </v>
      </c>
      <c r="V64" s="31" t="str">
        <f>VLOOKUP(T64,Orgenheter!$A$1:$C$165,3,FALSE)</f>
        <v>TekNat</v>
      </c>
      <c r="W64" s="37" t="str">
        <f>VLOOKUP(D64,Program!$A$1:$B$34,2,FALSE)</f>
        <v>Ämneslärarprogrammet - Gy</v>
      </c>
      <c r="X64" s="42">
        <f>VLOOKUP(A64,kurspris!$A$1:$Q$798,15,FALSE)</f>
        <v>19473</v>
      </c>
      <c r="Y64" s="42">
        <f>VLOOKUP(A64,kurspris!$A$1:$Q$798,16,FALSE)</f>
        <v>34806</v>
      </c>
      <c r="Z64" s="42">
        <f t="shared" si="2"/>
        <v>12264.525</v>
      </c>
      <c r="AA64" s="42">
        <f>VLOOKUP(A64,kurspris!$A$1:$Q$798,17,FALSE)</f>
        <v>21800</v>
      </c>
      <c r="AB64" s="42">
        <f t="shared" si="3"/>
        <v>5450</v>
      </c>
      <c r="AC64" s="42">
        <f t="shared" si="4"/>
        <v>17714.525000000001</v>
      </c>
      <c r="AD64" s="31">
        <f>VLOOKUP($A64,kurspris!$A$1:$Q$835,3,FALSE)</f>
        <v>0</v>
      </c>
      <c r="AE64" s="31">
        <f>VLOOKUP($A64,kurspris!$A$1:$Q$835,4,FALSE)</f>
        <v>0</v>
      </c>
      <c r="AF64" s="31">
        <f>VLOOKUP($A64,kurspris!$A$1:$Q$835,5,FALSE)</f>
        <v>0</v>
      </c>
      <c r="AG64" s="31">
        <f>VLOOKUP($A64,kurspris!$A$1:$Q$835,6,FALSE)</f>
        <v>0</v>
      </c>
      <c r="AH64" s="31">
        <f>VLOOKUP($A64,kurspris!$A$1:$Q$835,7,FALSE)</f>
        <v>0</v>
      </c>
      <c r="AI64" s="31">
        <f>VLOOKUP($A64,kurspris!$A$1:$Q$835,8,FALSE)</f>
        <v>0.5</v>
      </c>
      <c r="AJ64" s="31">
        <f>VLOOKUP($A64,kurspris!$A$1:$Q$835,9,FALSE)</f>
        <v>0</v>
      </c>
      <c r="AK64" s="31">
        <f>VLOOKUP($A64,kurspris!$A$1:$Q$835,10,FALSE)</f>
        <v>0.5</v>
      </c>
      <c r="AL64" s="31">
        <f>VLOOKUP($A64,kurspris!$A$1:$Q$835,11,FALSE)</f>
        <v>0</v>
      </c>
      <c r="AM64" s="31">
        <f>VLOOKUP($A64,kurspris!$A$1:$Q$835,12,FALSE)</f>
        <v>0</v>
      </c>
      <c r="AN64" s="31">
        <f>VLOOKUP($A64,kurspris!$A$1:$Q$835,13,FALSE)</f>
        <v>0</v>
      </c>
      <c r="AO64" s="31">
        <f>VLOOKUP($A64,kurspris!$A$1:$Q$835,14,FALSE)</f>
        <v>0</v>
      </c>
      <c r="AP64" s="39" t="s">
        <v>2232</v>
      </c>
      <c r="AQ64"/>
      <c r="AR64" s="31">
        <f t="shared" si="5"/>
        <v>0</v>
      </c>
      <c r="AS64" s="255">
        <f t="shared" si="6"/>
        <v>0</v>
      </c>
      <c r="AT64" s="31">
        <f t="shared" si="7"/>
        <v>0</v>
      </c>
      <c r="AU64" s="255">
        <f t="shared" si="8"/>
        <v>0</v>
      </c>
      <c r="AV64" s="31">
        <f t="shared" si="9"/>
        <v>0</v>
      </c>
      <c r="AW64" s="31">
        <f t="shared" si="10"/>
        <v>0</v>
      </c>
      <c r="AX64" s="31">
        <f t="shared" si="11"/>
        <v>0</v>
      </c>
      <c r="AY64" s="255">
        <f t="shared" si="12"/>
        <v>0</v>
      </c>
      <c r="AZ64" s="232">
        <f t="shared" si="13"/>
        <v>0</v>
      </c>
      <c r="BA64" s="255">
        <f t="shared" si="14"/>
        <v>0</v>
      </c>
      <c r="BB64" s="31">
        <f t="shared" si="15"/>
        <v>0.125</v>
      </c>
      <c r="BC64" s="255">
        <f t="shared" si="16"/>
        <v>0.10625</v>
      </c>
      <c r="BD64" s="31">
        <f t="shared" si="17"/>
        <v>0</v>
      </c>
      <c r="BE64" s="255">
        <f t="shared" si="18"/>
        <v>0</v>
      </c>
      <c r="BF64" s="31">
        <f t="shared" si="19"/>
        <v>0.125</v>
      </c>
      <c r="BG64" s="255">
        <f t="shared" si="20"/>
        <v>0.10625</v>
      </c>
      <c r="BH64" s="31">
        <f t="shared" si="21"/>
        <v>0</v>
      </c>
      <c r="BI64" s="255">
        <f t="shared" si="22"/>
        <v>0</v>
      </c>
      <c r="BJ64" s="31">
        <f t="shared" si="23"/>
        <v>0</v>
      </c>
      <c r="BK64" s="31">
        <f t="shared" si="24"/>
        <v>0</v>
      </c>
      <c r="BL64" s="255">
        <f t="shared" si="25"/>
        <v>0</v>
      </c>
      <c r="BM64" s="31">
        <f t="shared" si="26"/>
        <v>0</v>
      </c>
      <c r="BN64" s="255">
        <f t="shared" si="27"/>
        <v>0</v>
      </c>
    </row>
    <row r="65" spans="1:66" x14ac:dyDescent="0.25">
      <c r="A65" s="39" t="s">
        <v>2193</v>
      </c>
      <c r="B65" s="186" t="str">
        <f>VLOOKUP(A65,kurspris!$A$1:$B$877,2,FALSE)</f>
        <v>Organisk kemi</v>
      </c>
      <c r="C65"/>
      <c r="D65" t="s">
        <v>483</v>
      </c>
      <c r="E65"/>
      <c r="F65" s="59" t="s">
        <v>1930</v>
      </c>
      <c r="G65"/>
      <c r="H65" t="s">
        <v>1910</v>
      </c>
      <c r="I65"/>
      <c r="J65" s="39" t="s">
        <v>1591</v>
      </c>
      <c r="K65"/>
      <c r="L65">
        <v>100</v>
      </c>
      <c r="M65">
        <v>15</v>
      </c>
      <c r="N65"/>
      <c r="O65"/>
      <c r="P65" s="31">
        <v>1</v>
      </c>
      <c r="Q65" s="232">
        <f t="shared" si="0"/>
        <v>0.25</v>
      </c>
      <c r="R65" s="40">
        <v>0.85</v>
      </c>
      <c r="S65" s="334">
        <f t="shared" si="1"/>
        <v>0.21249999999999999</v>
      </c>
      <c r="T65" s="31">
        <f>VLOOKUP(A65,'Ansvar kurs'!$A$1:$C$1010,2,FALSE)</f>
        <v>5500</v>
      </c>
      <c r="U65" s="31" t="str">
        <f>VLOOKUP(T65,Orgenheter!$A$1:$C$165,2,FALSE)</f>
        <v xml:space="preserve">Kemiska institutionen         </v>
      </c>
      <c r="V65" s="31" t="str">
        <f>VLOOKUP(T65,Orgenheter!$A$1:$C$165,3,FALSE)</f>
        <v>TekNat</v>
      </c>
      <c r="W65" s="37" t="str">
        <f>VLOOKUP(D65,Program!$A$1:$B$34,2,FALSE)</f>
        <v>Ämneslärarprogrammet - Gy</v>
      </c>
      <c r="X65" s="42">
        <f>VLOOKUP(A65,kurspris!$A$1:$Q$798,15,FALSE)</f>
        <v>19473</v>
      </c>
      <c r="Y65" s="42">
        <f>VLOOKUP(A65,kurspris!$A$1:$Q$798,16,FALSE)</f>
        <v>34806</v>
      </c>
      <c r="Z65" s="42">
        <f t="shared" si="2"/>
        <v>12264.525</v>
      </c>
      <c r="AA65" s="42">
        <f>VLOOKUP(A65,kurspris!$A$1:$Q$798,17,FALSE)</f>
        <v>21800</v>
      </c>
      <c r="AB65" s="42">
        <f t="shared" si="3"/>
        <v>5450</v>
      </c>
      <c r="AC65" s="42">
        <f t="shared" si="4"/>
        <v>17714.525000000001</v>
      </c>
      <c r="AD65" s="31">
        <f>VLOOKUP($A65,kurspris!$A$1:$Q$835,3,FALSE)</f>
        <v>0</v>
      </c>
      <c r="AE65" s="31">
        <f>VLOOKUP($A65,kurspris!$A$1:$Q$835,4,FALSE)</f>
        <v>0</v>
      </c>
      <c r="AF65" s="31">
        <f>VLOOKUP($A65,kurspris!$A$1:$Q$835,5,FALSE)</f>
        <v>0</v>
      </c>
      <c r="AG65" s="31">
        <f>VLOOKUP($A65,kurspris!$A$1:$Q$835,6,FALSE)</f>
        <v>0</v>
      </c>
      <c r="AH65" s="31">
        <f>VLOOKUP($A65,kurspris!$A$1:$Q$835,7,FALSE)</f>
        <v>0</v>
      </c>
      <c r="AI65" s="31">
        <f>VLOOKUP($A65,kurspris!$A$1:$Q$835,8,FALSE)</f>
        <v>1</v>
      </c>
      <c r="AJ65" s="31">
        <f>VLOOKUP($A65,kurspris!$A$1:$Q$835,9,FALSE)</f>
        <v>0</v>
      </c>
      <c r="AK65" s="31">
        <f>VLOOKUP($A65,kurspris!$A$1:$Q$835,10,FALSE)</f>
        <v>0</v>
      </c>
      <c r="AL65" s="31">
        <f>VLOOKUP($A65,kurspris!$A$1:$Q$835,11,FALSE)</f>
        <v>0</v>
      </c>
      <c r="AM65" s="31">
        <f>VLOOKUP($A65,kurspris!$A$1:$Q$835,12,FALSE)</f>
        <v>0</v>
      </c>
      <c r="AN65" s="31">
        <f>VLOOKUP($A65,kurspris!$A$1:$Q$835,13,FALSE)</f>
        <v>0</v>
      </c>
      <c r="AO65" s="31">
        <f>VLOOKUP($A65,kurspris!$A$1:$Q$835,14,FALSE)</f>
        <v>0</v>
      </c>
      <c r="AP65" s="39" t="s">
        <v>2204</v>
      </c>
      <c r="AQ65"/>
      <c r="AR65" s="31">
        <f t="shared" si="5"/>
        <v>0</v>
      </c>
      <c r="AS65" s="255">
        <f t="shared" si="6"/>
        <v>0</v>
      </c>
      <c r="AT65" s="31">
        <f t="shared" si="7"/>
        <v>0</v>
      </c>
      <c r="AU65" s="255">
        <f t="shared" si="8"/>
        <v>0</v>
      </c>
      <c r="AV65" s="31">
        <f t="shared" si="9"/>
        <v>0</v>
      </c>
      <c r="AW65" s="31">
        <f t="shared" si="10"/>
        <v>0</v>
      </c>
      <c r="AX65" s="31">
        <f t="shared" si="11"/>
        <v>0</v>
      </c>
      <c r="AY65" s="255">
        <f t="shared" si="12"/>
        <v>0</v>
      </c>
      <c r="AZ65" s="232">
        <f t="shared" si="13"/>
        <v>0</v>
      </c>
      <c r="BA65" s="255">
        <f t="shared" si="14"/>
        <v>0</v>
      </c>
      <c r="BB65" s="31">
        <f t="shared" si="15"/>
        <v>0.25</v>
      </c>
      <c r="BC65" s="255">
        <f t="shared" si="16"/>
        <v>0.21249999999999999</v>
      </c>
      <c r="BD65" s="31">
        <f t="shared" si="17"/>
        <v>0</v>
      </c>
      <c r="BE65" s="255">
        <f t="shared" si="18"/>
        <v>0</v>
      </c>
      <c r="BF65" s="31">
        <f t="shared" si="19"/>
        <v>0</v>
      </c>
      <c r="BG65" s="255">
        <f t="shared" si="20"/>
        <v>0</v>
      </c>
      <c r="BH65" s="31">
        <f t="shared" si="21"/>
        <v>0</v>
      </c>
      <c r="BI65" s="255">
        <f t="shared" si="22"/>
        <v>0</v>
      </c>
      <c r="BJ65" s="31">
        <f t="shared" si="23"/>
        <v>0</v>
      </c>
      <c r="BK65" s="31">
        <f t="shared" si="24"/>
        <v>0</v>
      </c>
      <c r="BL65" s="255">
        <f t="shared" si="25"/>
        <v>0</v>
      </c>
      <c r="BM65" s="31">
        <f t="shared" si="26"/>
        <v>0</v>
      </c>
      <c r="BN65" s="255">
        <f t="shared" si="27"/>
        <v>0</v>
      </c>
    </row>
    <row r="66" spans="1:66" x14ac:dyDescent="0.25">
      <c r="A66" s="39" t="s">
        <v>2193</v>
      </c>
      <c r="B66" s="186" t="str">
        <f>VLOOKUP(A66,kurspris!$A$1:$B$877,2,FALSE)</f>
        <v>Organisk kemi</v>
      </c>
      <c r="C66"/>
      <c r="D66" t="s">
        <v>483</v>
      </c>
      <c r="E66"/>
      <c r="F66" s="59" t="s">
        <v>1930</v>
      </c>
      <c r="G66"/>
      <c r="H66" t="s">
        <v>1910</v>
      </c>
      <c r="I66"/>
      <c r="J66" s="39" t="s">
        <v>773</v>
      </c>
      <c r="K66"/>
      <c r="L66">
        <v>100</v>
      </c>
      <c r="M66">
        <v>15</v>
      </c>
      <c r="N66"/>
      <c r="O66"/>
      <c r="P66" s="31">
        <v>1</v>
      </c>
      <c r="Q66" s="232">
        <f t="shared" ref="Q66:Q129" si="28">(M66/60)*P66</f>
        <v>0.25</v>
      </c>
      <c r="R66" s="40">
        <v>0.85</v>
      </c>
      <c r="S66" s="334">
        <f t="shared" ref="S66:S129" si="29">Q66*R66</f>
        <v>0.21249999999999999</v>
      </c>
      <c r="T66" s="31">
        <f>VLOOKUP(A66,'Ansvar kurs'!$A$1:$C$1010,2,FALSE)</f>
        <v>5500</v>
      </c>
      <c r="U66" s="31" t="str">
        <f>VLOOKUP(T66,Orgenheter!$A$1:$C$165,2,FALSE)</f>
        <v xml:space="preserve">Kemiska institutionen         </v>
      </c>
      <c r="V66" s="31" t="str">
        <f>VLOOKUP(T66,Orgenheter!$A$1:$C$165,3,FALSE)</f>
        <v>TekNat</v>
      </c>
      <c r="W66" s="37" t="str">
        <f>VLOOKUP(D66,Program!$A$1:$B$34,2,FALSE)</f>
        <v>Ämneslärarprogrammet - Gy</v>
      </c>
      <c r="X66" s="42">
        <f>VLOOKUP(A66,kurspris!$A$1:$Q$798,15,FALSE)</f>
        <v>19473</v>
      </c>
      <c r="Y66" s="42">
        <f>VLOOKUP(A66,kurspris!$A$1:$Q$798,16,FALSE)</f>
        <v>34806</v>
      </c>
      <c r="Z66" s="42">
        <f t="shared" ref="Z66:Z129" si="30">X66*Q66+S66*Y66</f>
        <v>12264.525</v>
      </c>
      <c r="AA66" s="42">
        <f>VLOOKUP(A66,kurspris!$A$1:$Q$798,17,FALSE)</f>
        <v>21800</v>
      </c>
      <c r="AB66" s="42">
        <f t="shared" ref="AB66:AB129" si="31">AA66*Q66</f>
        <v>5450</v>
      </c>
      <c r="AC66" s="42">
        <f t="shared" ref="AC66:AC129" si="32">Z66+AB66</f>
        <v>17714.525000000001</v>
      </c>
      <c r="AD66" s="31">
        <f>VLOOKUP($A66,kurspris!$A$1:$Q$835,3,FALSE)</f>
        <v>0</v>
      </c>
      <c r="AE66" s="31">
        <f>VLOOKUP($A66,kurspris!$A$1:$Q$835,4,FALSE)</f>
        <v>0</v>
      </c>
      <c r="AF66" s="31">
        <f>VLOOKUP($A66,kurspris!$A$1:$Q$835,5,FALSE)</f>
        <v>0</v>
      </c>
      <c r="AG66" s="31">
        <f>VLOOKUP($A66,kurspris!$A$1:$Q$835,6,FALSE)</f>
        <v>0</v>
      </c>
      <c r="AH66" s="31">
        <f>VLOOKUP($A66,kurspris!$A$1:$Q$835,7,FALSE)</f>
        <v>0</v>
      </c>
      <c r="AI66" s="31">
        <f>VLOOKUP($A66,kurspris!$A$1:$Q$835,8,FALSE)</f>
        <v>1</v>
      </c>
      <c r="AJ66" s="31">
        <f>VLOOKUP($A66,kurspris!$A$1:$Q$835,9,FALSE)</f>
        <v>0</v>
      </c>
      <c r="AK66" s="31">
        <f>VLOOKUP($A66,kurspris!$A$1:$Q$835,10,FALSE)</f>
        <v>0</v>
      </c>
      <c r="AL66" s="31">
        <f>VLOOKUP($A66,kurspris!$A$1:$Q$835,11,FALSE)</f>
        <v>0</v>
      </c>
      <c r="AM66" s="31">
        <f>VLOOKUP($A66,kurspris!$A$1:$Q$835,12,FALSE)</f>
        <v>0</v>
      </c>
      <c r="AN66" s="31">
        <f>VLOOKUP($A66,kurspris!$A$1:$Q$835,13,FALSE)</f>
        <v>0</v>
      </c>
      <c r="AO66" s="31">
        <f>VLOOKUP($A66,kurspris!$A$1:$Q$835,14,FALSE)</f>
        <v>0</v>
      </c>
      <c r="AP66" s="39" t="s">
        <v>2204</v>
      </c>
      <c r="AQ66"/>
      <c r="AR66" s="31">
        <f t="shared" ref="AR66:AR129" si="33">$Q66*AD66</f>
        <v>0</v>
      </c>
      <c r="AS66" s="255">
        <f t="shared" ref="AS66:AS129" si="34">$S66*AD66</f>
        <v>0</v>
      </c>
      <c r="AT66" s="31">
        <f t="shared" ref="AT66:AT129" si="35">$Q66*AE66</f>
        <v>0</v>
      </c>
      <c r="AU66" s="255">
        <f t="shared" ref="AU66:AU129" si="36">$S66*AE66</f>
        <v>0</v>
      </c>
      <c r="AV66" s="31">
        <f t="shared" ref="AV66:AV129" si="37">$Q66*AF66</f>
        <v>0</v>
      </c>
      <c r="AW66" s="31">
        <f t="shared" ref="AW66:AW129" si="38">$S66*AF66</f>
        <v>0</v>
      </c>
      <c r="AX66" s="31">
        <f t="shared" ref="AX66:AX129" si="39">$Q66*AG66</f>
        <v>0</v>
      </c>
      <c r="AY66" s="255">
        <f t="shared" ref="AY66:AY129" si="40">$S66*AG66</f>
        <v>0</v>
      </c>
      <c r="AZ66" s="232">
        <f t="shared" ref="AZ66:AZ129" si="41">$Q66*AH66</f>
        <v>0</v>
      </c>
      <c r="BA66" s="255">
        <f t="shared" ref="BA66:BA129" si="42">$S66*AH66</f>
        <v>0</v>
      </c>
      <c r="BB66" s="31">
        <f t="shared" ref="BB66:BB129" si="43">$Q66*AI66</f>
        <v>0.25</v>
      </c>
      <c r="BC66" s="255">
        <f t="shared" ref="BC66:BC129" si="44">$S66*AI66</f>
        <v>0.21249999999999999</v>
      </c>
      <c r="BD66" s="31">
        <f t="shared" ref="BD66:BD129" si="45">$Q66*AJ66</f>
        <v>0</v>
      </c>
      <c r="BE66" s="255">
        <f t="shared" ref="BE66:BE129" si="46">$S66*AJ66</f>
        <v>0</v>
      </c>
      <c r="BF66" s="31">
        <f t="shared" ref="BF66:BF129" si="47">$Q66*AK66</f>
        <v>0</v>
      </c>
      <c r="BG66" s="255">
        <f t="shared" ref="BG66:BG129" si="48">$S66*AK66</f>
        <v>0</v>
      </c>
      <c r="BH66" s="31">
        <f t="shared" ref="BH66:BH129" si="49">$Q66*AL66</f>
        <v>0</v>
      </c>
      <c r="BI66" s="255">
        <f t="shared" ref="BI66:BI129" si="50">$S66*AL66</f>
        <v>0</v>
      </c>
      <c r="BJ66" s="31">
        <f t="shared" ref="BJ66:BJ129" si="51">$Q66*AM66</f>
        <v>0</v>
      </c>
      <c r="BK66" s="31">
        <f t="shared" ref="BK66:BK129" si="52">$Q66*AN66</f>
        <v>0</v>
      </c>
      <c r="BL66" s="255">
        <f t="shared" ref="BL66:BL129" si="53">$S66*AN66</f>
        <v>0</v>
      </c>
      <c r="BM66" s="31">
        <f t="shared" ref="BM66:BM129" si="54">$Q66*AO66</f>
        <v>0</v>
      </c>
      <c r="BN66" s="255">
        <f t="shared" ref="BN66:BN129" si="55">$S66*AO66</f>
        <v>0</v>
      </c>
    </row>
    <row r="67" spans="1:66" x14ac:dyDescent="0.25">
      <c r="A67" s="18" t="s">
        <v>1582</v>
      </c>
      <c r="B67" s="186" t="str">
        <f>VLOOKUP(A67,kurspris!$A$1:$B$877,2,FALSE)</f>
        <v>Differentialekvationer för teknologer</v>
      </c>
      <c r="C67" s="37"/>
      <c r="D67" s="31" t="s">
        <v>483</v>
      </c>
      <c r="E67" s="31" t="s">
        <v>1994</v>
      </c>
      <c r="F67" s="59" t="s">
        <v>1931</v>
      </c>
      <c r="G67" s="31" t="s">
        <v>2274</v>
      </c>
      <c r="J67" t="s">
        <v>774</v>
      </c>
      <c r="L67" s="31">
        <v>100</v>
      </c>
      <c r="M67" s="31">
        <v>7.5</v>
      </c>
      <c r="P67" s="31">
        <v>1</v>
      </c>
      <c r="Q67" s="232">
        <f t="shared" si="28"/>
        <v>0.125</v>
      </c>
      <c r="R67" s="40">
        <v>0.85</v>
      </c>
      <c r="S67" s="334">
        <f t="shared" si="29"/>
        <v>0.10625</v>
      </c>
      <c r="T67" s="31">
        <f>VLOOKUP(A67,'Ansvar kurs'!$A$1:$C$1010,2,FALSE)</f>
        <v>5730</v>
      </c>
      <c r="U67" s="31" t="str">
        <f>VLOOKUP(T67,Orgenheter!$A$1:$C$165,2,FALSE)</f>
        <v>Inst för MA och MA statistik</v>
      </c>
      <c r="V67" s="31" t="str">
        <f>VLOOKUP(T67,Orgenheter!$A$1:$C$165,3,FALSE)</f>
        <v>TekNat</v>
      </c>
      <c r="W67" s="37" t="str">
        <f>VLOOKUP(D67,Program!$A$1:$B$34,2,FALSE)</f>
        <v>Ämneslärarprogrammet - Gy</v>
      </c>
      <c r="X67" s="42">
        <f>VLOOKUP(A67,kurspris!$A$1:$Q$798,15,FALSE)</f>
        <v>19473</v>
      </c>
      <c r="Y67" s="42">
        <f>VLOOKUP(A67,kurspris!$A$1:$Q$798,16,FALSE)</f>
        <v>34806</v>
      </c>
      <c r="Z67" s="42">
        <f t="shared" si="30"/>
        <v>6132.2624999999998</v>
      </c>
      <c r="AA67" s="42">
        <f>VLOOKUP(A67,kurspris!$A$1:$Q$798,17,FALSE)</f>
        <v>21800</v>
      </c>
      <c r="AB67" s="42">
        <f t="shared" si="31"/>
        <v>2725</v>
      </c>
      <c r="AC67" s="42">
        <f t="shared" si="32"/>
        <v>8857.2625000000007</v>
      </c>
      <c r="AD67" s="31">
        <f>VLOOKUP($A67,kurspris!$A$1:$Q$835,3,FALSE)</f>
        <v>0</v>
      </c>
      <c r="AE67" s="31">
        <f>VLOOKUP($A67,kurspris!$A$1:$Q$835,4,FALSE)</f>
        <v>0</v>
      </c>
      <c r="AF67" s="31">
        <f>VLOOKUP($A67,kurspris!$A$1:$Q$835,5,FALSE)</f>
        <v>0</v>
      </c>
      <c r="AG67" s="31">
        <f>VLOOKUP($A67,kurspris!$A$1:$Q$835,6,FALSE)</f>
        <v>0</v>
      </c>
      <c r="AH67" s="31">
        <f>VLOOKUP($A67,kurspris!$A$1:$Q$835,7,FALSE)</f>
        <v>0</v>
      </c>
      <c r="AI67" s="31">
        <f>VLOOKUP($A67,kurspris!$A$1:$Q$835,8,FALSE)</f>
        <v>0.5</v>
      </c>
      <c r="AJ67" s="31">
        <f>VLOOKUP($A67,kurspris!$A$1:$Q$835,9,FALSE)</f>
        <v>0</v>
      </c>
      <c r="AK67" s="31">
        <f>VLOOKUP($A67,kurspris!$A$1:$Q$835,10,FALSE)</f>
        <v>0.5</v>
      </c>
      <c r="AL67" s="31">
        <f>VLOOKUP($A67,kurspris!$A$1:$Q$835,11,FALSE)</f>
        <v>0</v>
      </c>
      <c r="AM67" s="31">
        <f>VLOOKUP($A67,kurspris!$A$1:$Q$835,12,FALSE)</f>
        <v>0</v>
      </c>
      <c r="AN67" s="31">
        <f>VLOOKUP($A67,kurspris!$A$1:$Q$835,13,FALSE)</f>
        <v>0</v>
      </c>
      <c r="AO67" s="31">
        <f>VLOOKUP($A67,kurspris!$A$1:$Q$835,14,FALSE)</f>
        <v>0</v>
      </c>
      <c r="AP67" s="39" t="s">
        <v>2326</v>
      </c>
      <c r="AQ67"/>
      <c r="AR67" s="31">
        <f t="shared" si="33"/>
        <v>0</v>
      </c>
      <c r="AS67" s="255">
        <f t="shared" si="34"/>
        <v>0</v>
      </c>
      <c r="AT67" s="31">
        <f t="shared" si="35"/>
        <v>0</v>
      </c>
      <c r="AU67" s="255">
        <f t="shared" si="36"/>
        <v>0</v>
      </c>
      <c r="AV67" s="31">
        <f t="shared" si="37"/>
        <v>0</v>
      </c>
      <c r="AW67" s="31">
        <f t="shared" si="38"/>
        <v>0</v>
      </c>
      <c r="AX67" s="31">
        <f t="shared" si="39"/>
        <v>0</v>
      </c>
      <c r="AY67" s="255">
        <f t="shared" si="40"/>
        <v>0</v>
      </c>
      <c r="AZ67" s="232">
        <f t="shared" si="41"/>
        <v>0</v>
      </c>
      <c r="BA67" s="255">
        <f t="shared" si="42"/>
        <v>0</v>
      </c>
      <c r="BB67" s="31">
        <f t="shared" si="43"/>
        <v>6.25E-2</v>
      </c>
      <c r="BC67" s="255">
        <f t="shared" si="44"/>
        <v>5.3124999999999999E-2</v>
      </c>
      <c r="BD67" s="31">
        <f t="shared" si="45"/>
        <v>0</v>
      </c>
      <c r="BE67" s="255">
        <f t="shared" si="46"/>
        <v>0</v>
      </c>
      <c r="BF67" s="31">
        <f t="shared" si="47"/>
        <v>6.25E-2</v>
      </c>
      <c r="BG67" s="255">
        <f t="shared" si="48"/>
        <v>5.3124999999999999E-2</v>
      </c>
      <c r="BH67" s="31">
        <f t="shared" si="49"/>
        <v>0</v>
      </c>
      <c r="BI67" s="255">
        <f t="shared" si="50"/>
        <v>0</v>
      </c>
      <c r="BJ67" s="31">
        <f t="shared" si="51"/>
        <v>0</v>
      </c>
      <c r="BK67" s="31">
        <f t="shared" si="52"/>
        <v>0</v>
      </c>
      <c r="BL67" s="255">
        <f t="shared" si="53"/>
        <v>0</v>
      </c>
      <c r="BM67" s="31">
        <f t="shared" si="54"/>
        <v>0</v>
      </c>
      <c r="BN67" s="255">
        <f t="shared" si="55"/>
        <v>0</v>
      </c>
    </row>
    <row r="68" spans="1:66" x14ac:dyDescent="0.25">
      <c r="A68" t="s">
        <v>2195</v>
      </c>
      <c r="B68" s="186" t="str">
        <f>VLOOKUP(A68,kurspris!$A$1:$B$877,2,FALSE)</f>
        <v>Introduktion till diskret matematik</v>
      </c>
      <c r="C68"/>
      <c r="D68" t="s">
        <v>483</v>
      </c>
      <c r="E68"/>
      <c r="F68" s="59" t="s">
        <v>1930</v>
      </c>
      <c r="G68"/>
      <c r="H68" t="s">
        <v>1910</v>
      </c>
      <c r="I68"/>
      <c r="J68" t="s">
        <v>773</v>
      </c>
      <c r="K68"/>
      <c r="L68">
        <v>50</v>
      </c>
      <c r="M68">
        <v>7.5</v>
      </c>
      <c r="N68"/>
      <c r="O68"/>
      <c r="P68" s="31">
        <v>1</v>
      </c>
      <c r="Q68" s="232">
        <f t="shared" si="28"/>
        <v>0.125</v>
      </c>
      <c r="R68" s="40">
        <v>0.85</v>
      </c>
      <c r="S68" s="334">
        <f t="shared" si="29"/>
        <v>0.10625</v>
      </c>
      <c r="T68" s="31">
        <f>VLOOKUP(A68,'Ansvar kurs'!$A$1:$C$1010,2,FALSE)</f>
        <v>5730</v>
      </c>
      <c r="U68" s="31" t="str">
        <f>VLOOKUP(T68,Orgenheter!$A$1:$C$165,2,FALSE)</f>
        <v>Inst för MA och MA statistik</v>
      </c>
      <c r="V68" s="31" t="str">
        <f>VLOOKUP(T68,Orgenheter!$A$1:$C$165,3,FALSE)</f>
        <v>TekNat</v>
      </c>
      <c r="W68" s="37" t="str">
        <f>VLOOKUP(D68,Program!$A$1:$B$34,2,FALSE)</f>
        <v>Ämneslärarprogrammet - Gy</v>
      </c>
      <c r="X68" s="42">
        <f>VLOOKUP(A68,kurspris!$A$1:$Q$798,15,FALSE)</f>
        <v>19473</v>
      </c>
      <c r="Y68" s="42">
        <f>VLOOKUP(A68,kurspris!$A$1:$Q$798,16,FALSE)</f>
        <v>34806</v>
      </c>
      <c r="Z68" s="42">
        <f t="shared" si="30"/>
        <v>6132.2624999999998</v>
      </c>
      <c r="AA68" s="42">
        <f>VLOOKUP(A68,kurspris!$A$1:$Q$798,17,FALSE)</f>
        <v>21800</v>
      </c>
      <c r="AB68" s="42">
        <f t="shared" si="31"/>
        <v>2725</v>
      </c>
      <c r="AC68" s="42">
        <f t="shared" si="32"/>
        <v>8857.2625000000007</v>
      </c>
      <c r="AD68" s="31">
        <f>VLOOKUP($A68,kurspris!$A$1:$Q$835,3,FALSE)</f>
        <v>0</v>
      </c>
      <c r="AE68" s="31">
        <f>VLOOKUP($A68,kurspris!$A$1:$Q$835,4,FALSE)</f>
        <v>0</v>
      </c>
      <c r="AF68" s="31">
        <f>VLOOKUP($A68,kurspris!$A$1:$Q$835,5,FALSE)</f>
        <v>0</v>
      </c>
      <c r="AG68" s="31">
        <f>VLOOKUP($A68,kurspris!$A$1:$Q$835,6,FALSE)</f>
        <v>0</v>
      </c>
      <c r="AH68" s="31">
        <f>VLOOKUP($A68,kurspris!$A$1:$Q$835,7,FALSE)</f>
        <v>0</v>
      </c>
      <c r="AI68" s="31">
        <f>VLOOKUP($A68,kurspris!$A$1:$Q$835,8,FALSE)</f>
        <v>0.5</v>
      </c>
      <c r="AJ68" s="31">
        <f>VLOOKUP($A68,kurspris!$A$1:$Q$835,9,FALSE)</f>
        <v>0</v>
      </c>
      <c r="AK68" s="31">
        <f>VLOOKUP($A68,kurspris!$A$1:$Q$835,10,FALSE)</f>
        <v>0.5</v>
      </c>
      <c r="AL68" s="31">
        <f>VLOOKUP($A68,kurspris!$A$1:$Q$835,11,FALSE)</f>
        <v>0</v>
      </c>
      <c r="AM68" s="31">
        <f>VLOOKUP($A68,kurspris!$A$1:$Q$835,12,FALSE)</f>
        <v>0</v>
      </c>
      <c r="AN68" s="31">
        <f>VLOOKUP($A68,kurspris!$A$1:$Q$835,13,FALSE)</f>
        <v>0</v>
      </c>
      <c r="AO68" s="31">
        <f>VLOOKUP($A68,kurspris!$A$1:$Q$835,14,FALSE)</f>
        <v>0</v>
      </c>
      <c r="AP68" s="39" t="s">
        <v>2204</v>
      </c>
      <c r="AQ68"/>
      <c r="AR68" s="31">
        <f t="shared" si="33"/>
        <v>0</v>
      </c>
      <c r="AS68" s="255">
        <f t="shared" si="34"/>
        <v>0</v>
      </c>
      <c r="AT68" s="31">
        <f t="shared" si="35"/>
        <v>0</v>
      </c>
      <c r="AU68" s="255">
        <f t="shared" si="36"/>
        <v>0</v>
      </c>
      <c r="AV68" s="31">
        <f t="shared" si="37"/>
        <v>0</v>
      </c>
      <c r="AW68" s="31">
        <f t="shared" si="38"/>
        <v>0</v>
      </c>
      <c r="AX68" s="31">
        <f t="shared" si="39"/>
        <v>0</v>
      </c>
      <c r="AY68" s="255">
        <f t="shared" si="40"/>
        <v>0</v>
      </c>
      <c r="AZ68" s="232">
        <f t="shared" si="41"/>
        <v>0</v>
      </c>
      <c r="BA68" s="255">
        <f t="shared" si="42"/>
        <v>0</v>
      </c>
      <c r="BB68" s="31">
        <f t="shared" si="43"/>
        <v>6.25E-2</v>
      </c>
      <c r="BC68" s="255">
        <f t="shared" si="44"/>
        <v>5.3124999999999999E-2</v>
      </c>
      <c r="BD68" s="31">
        <f t="shared" si="45"/>
        <v>0</v>
      </c>
      <c r="BE68" s="255">
        <f t="shared" si="46"/>
        <v>0</v>
      </c>
      <c r="BF68" s="31">
        <f t="shared" si="47"/>
        <v>6.25E-2</v>
      </c>
      <c r="BG68" s="255">
        <f t="shared" si="48"/>
        <v>5.3124999999999999E-2</v>
      </c>
      <c r="BH68" s="31">
        <f t="shared" si="49"/>
        <v>0</v>
      </c>
      <c r="BI68" s="255">
        <f t="shared" si="50"/>
        <v>0</v>
      </c>
      <c r="BJ68" s="31">
        <f t="shared" si="51"/>
        <v>0</v>
      </c>
      <c r="BK68" s="31">
        <f t="shared" si="52"/>
        <v>0</v>
      </c>
      <c r="BL68" s="255">
        <f t="shared" si="53"/>
        <v>0</v>
      </c>
      <c r="BM68" s="31">
        <f t="shared" si="54"/>
        <v>0</v>
      </c>
      <c r="BN68" s="255">
        <f t="shared" si="55"/>
        <v>0</v>
      </c>
    </row>
    <row r="69" spans="1:66" x14ac:dyDescent="0.25">
      <c r="A69" t="s">
        <v>2195</v>
      </c>
      <c r="B69" s="186" t="str">
        <f>VLOOKUP(A69,kurspris!$A$1:$B$877,2,FALSE)</f>
        <v>Introduktion till diskret matematik</v>
      </c>
      <c r="C69"/>
      <c r="D69" t="s">
        <v>483</v>
      </c>
      <c r="E69"/>
      <c r="F69" s="59" t="s">
        <v>1930</v>
      </c>
      <c r="G69"/>
      <c r="H69" t="s">
        <v>1910</v>
      </c>
      <c r="I69"/>
      <c r="J69" t="s">
        <v>774</v>
      </c>
      <c r="K69"/>
      <c r="L69">
        <v>50</v>
      </c>
      <c r="M69">
        <v>7.5</v>
      </c>
      <c r="N69"/>
      <c r="O69"/>
      <c r="P69" s="31">
        <v>1</v>
      </c>
      <c r="Q69" s="232">
        <f t="shared" si="28"/>
        <v>0.125</v>
      </c>
      <c r="R69" s="40">
        <v>0.85</v>
      </c>
      <c r="S69" s="334">
        <f t="shared" si="29"/>
        <v>0.10625</v>
      </c>
      <c r="T69" s="31">
        <f>VLOOKUP(A69,'Ansvar kurs'!$A$1:$C$1010,2,FALSE)</f>
        <v>5730</v>
      </c>
      <c r="U69" s="31" t="str">
        <f>VLOOKUP(T69,Orgenheter!$A$1:$C$165,2,FALSE)</f>
        <v>Inst för MA och MA statistik</v>
      </c>
      <c r="V69" s="31" t="str">
        <f>VLOOKUP(T69,Orgenheter!$A$1:$C$165,3,FALSE)</f>
        <v>TekNat</v>
      </c>
      <c r="W69" s="37" t="str">
        <f>VLOOKUP(D69,Program!$A$1:$B$34,2,FALSE)</f>
        <v>Ämneslärarprogrammet - Gy</v>
      </c>
      <c r="X69" s="42">
        <f>VLOOKUP(A69,kurspris!$A$1:$Q$798,15,FALSE)</f>
        <v>19473</v>
      </c>
      <c r="Y69" s="42">
        <f>VLOOKUP(A69,kurspris!$A$1:$Q$798,16,FALSE)</f>
        <v>34806</v>
      </c>
      <c r="Z69" s="42">
        <f t="shared" si="30"/>
        <v>6132.2624999999998</v>
      </c>
      <c r="AA69" s="42">
        <f>VLOOKUP(A69,kurspris!$A$1:$Q$798,17,FALSE)</f>
        <v>21800</v>
      </c>
      <c r="AB69" s="42">
        <f t="shared" si="31"/>
        <v>2725</v>
      </c>
      <c r="AC69" s="42">
        <f t="shared" si="32"/>
        <v>8857.2625000000007</v>
      </c>
      <c r="AD69" s="31">
        <f>VLOOKUP($A69,kurspris!$A$1:$Q$835,3,FALSE)</f>
        <v>0</v>
      </c>
      <c r="AE69" s="31">
        <f>VLOOKUP($A69,kurspris!$A$1:$Q$835,4,FALSE)</f>
        <v>0</v>
      </c>
      <c r="AF69" s="31">
        <f>VLOOKUP($A69,kurspris!$A$1:$Q$835,5,FALSE)</f>
        <v>0</v>
      </c>
      <c r="AG69" s="31">
        <f>VLOOKUP($A69,kurspris!$A$1:$Q$835,6,FALSE)</f>
        <v>0</v>
      </c>
      <c r="AH69" s="31">
        <f>VLOOKUP($A69,kurspris!$A$1:$Q$835,7,FALSE)</f>
        <v>0</v>
      </c>
      <c r="AI69" s="31">
        <f>VLOOKUP($A69,kurspris!$A$1:$Q$835,8,FALSE)</f>
        <v>0.5</v>
      </c>
      <c r="AJ69" s="31">
        <f>VLOOKUP($A69,kurspris!$A$1:$Q$835,9,FALSE)</f>
        <v>0</v>
      </c>
      <c r="AK69" s="31">
        <f>VLOOKUP($A69,kurspris!$A$1:$Q$835,10,FALSE)</f>
        <v>0.5</v>
      </c>
      <c r="AL69" s="31">
        <f>VLOOKUP($A69,kurspris!$A$1:$Q$835,11,FALSE)</f>
        <v>0</v>
      </c>
      <c r="AM69" s="31">
        <f>VLOOKUP($A69,kurspris!$A$1:$Q$835,12,FALSE)</f>
        <v>0</v>
      </c>
      <c r="AN69" s="31">
        <f>VLOOKUP($A69,kurspris!$A$1:$Q$835,13,FALSE)</f>
        <v>0</v>
      </c>
      <c r="AO69" s="31">
        <f>VLOOKUP($A69,kurspris!$A$1:$Q$835,14,FALSE)</f>
        <v>0</v>
      </c>
      <c r="AP69" s="39" t="s">
        <v>2204</v>
      </c>
      <c r="AQ69"/>
      <c r="AR69" s="31">
        <f t="shared" si="33"/>
        <v>0</v>
      </c>
      <c r="AS69" s="255">
        <f t="shared" si="34"/>
        <v>0</v>
      </c>
      <c r="AT69" s="31">
        <f t="shared" si="35"/>
        <v>0</v>
      </c>
      <c r="AU69" s="255">
        <f t="shared" si="36"/>
        <v>0</v>
      </c>
      <c r="AV69" s="31">
        <f t="shared" si="37"/>
        <v>0</v>
      </c>
      <c r="AW69" s="31">
        <f t="shared" si="38"/>
        <v>0</v>
      </c>
      <c r="AX69" s="31">
        <f t="shared" si="39"/>
        <v>0</v>
      </c>
      <c r="AY69" s="255">
        <f t="shared" si="40"/>
        <v>0</v>
      </c>
      <c r="AZ69" s="232">
        <f t="shared" si="41"/>
        <v>0</v>
      </c>
      <c r="BA69" s="255">
        <f t="shared" si="42"/>
        <v>0</v>
      </c>
      <c r="BB69" s="31">
        <f t="shared" si="43"/>
        <v>6.25E-2</v>
      </c>
      <c r="BC69" s="255">
        <f t="shared" si="44"/>
        <v>5.3124999999999999E-2</v>
      </c>
      <c r="BD69" s="31">
        <f t="shared" si="45"/>
        <v>0</v>
      </c>
      <c r="BE69" s="255">
        <f t="shared" si="46"/>
        <v>0</v>
      </c>
      <c r="BF69" s="31">
        <f t="shared" si="47"/>
        <v>6.25E-2</v>
      </c>
      <c r="BG69" s="255">
        <f t="shared" si="48"/>
        <v>5.3124999999999999E-2</v>
      </c>
      <c r="BH69" s="31">
        <f t="shared" si="49"/>
        <v>0</v>
      </c>
      <c r="BI69" s="255">
        <f t="shared" si="50"/>
        <v>0</v>
      </c>
      <c r="BJ69" s="31">
        <f t="shared" si="51"/>
        <v>0</v>
      </c>
      <c r="BK69" s="31">
        <f t="shared" si="52"/>
        <v>0</v>
      </c>
      <c r="BL69" s="255">
        <f t="shared" si="53"/>
        <v>0</v>
      </c>
      <c r="BM69" s="31">
        <f t="shared" si="54"/>
        <v>0</v>
      </c>
      <c r="BN69" s="255">
        <f t="shared" si="55"/>
        <v>0</v>
      </c>
    </row>
    <row r="70" spans="1:66" x14ac:dyDescent="0.25">
      <c r="A70" t="s">
        <v>1486</v>
      </c>
      <c r="B70" s="186" t="str">
        <f>VLOOKUP(A70,kurspris!$A$1:$B$877,2,FALSE)</f>
        <v>Examensarbete för ämneslärarexamen - Biologi</v>
      </c>
      <c r="C70"/>
      <c r="D70" t="s">
        <v>483</v>
      </c>
      <c r="E70" t="s">
        <v>1994</v>
      </c>
      <c r="F70" s="39" t="s">
        <v>1930</v>
      </c>
      <c r="G70" t="s">
        <v>1993</v>
      </c>
      <c r="H70" t="s">
        <v>1910</v>
      </c>
      <c r="I70"/>
      <c r="J70" t="s">
        <v>774</v>
      </c>
      <c r="K70"/>
      <c r="L70">
        <v>100</v>
      </c>
      <c r="M70" s="295">
        <v>22.5</v>
      </c>
      <c r="N70"/>
      <c r="O70"/>
      <c r="P70" s="31">
        <v>1</v>
      </c>
      <c r="Q70" s="232">
        <f t="shared" si="28"/>
        <v>0.375</v>
      </c>
      <c r="R70" s="40">
        <v>0.85</v>
      </c>
      <c r="S70" s="334">
        <f t="shared" si="29"/>
        <v>0.31874999999999998</v>
      </c>
      <c r="T70" s="31">
        <f>VLOOKUP(A70,'Ansvar kurs'!$A$1:$C$1010,2,FALSE)</f>
        <v>5740</v>
      </c>
      <c r="U70" s="31" t="str">
        <f>VLOOKUP(T70,Orgenheter!$A$1:$C$165,2,FALSE)</f>
        <v>NMD</v>
      </c>
      <c r="V70" s="31" t="str">
        <f>VLOOKUP(T70,Orgenheter!$A$1:$C$165,3,FALSE)</f>
        <v>TekNat</v>
      </c>
      <c r="W70" s="37" t="str">
        <f>VLOOKUP(D70,Program!$A$1:$B$34,2,FALSE)</f>
        <v>Ämneslärarprogrammet - Gy</v>
      </c>
      <c r="X70" s="42">
        <f>VLOOKUP(A70,kurspris!$A$1:$Q$798,15,FALSE)</f>
        <v>19473</v>
      </c>
      <c r="Y70" s="42">
        <f>VLOOKUP(A70,kurspris!$A$1:$Q$798,16,FALSE)</f>
        <v>34806</v>
      </c>
      <c r="Z70" s="42">
        <f t="shared" si="30"/>
        <v>18396.787499999999</v>
      </c>
      <c r="AA70" s="42">
        <f>VLOOKUP(A70,kurspris!$A$1:$Q$798,17,FALSE)</f>
        <v>21800</v>
      </c>
      <c r="AB70" s="42">
        <f t="shared" si="31"/>
        <v>8175</v>
      </c>
      <c r="AC70" s="42">
        <f t="shared" si="32"/>
        <v>26571.787499999999</v>
      </c>
      <c r="AD70" s="31">
        <f>VLOOKUP($A70,kurspris!$A$1:$Q$835,3,FALSE)</f>
        <v>0</v>
      </c>
      <c r="AE70" s="31">
        <f>VLOOKUP($A70,kurspris!$A$1:$Q$835,4,FALSE)</f>
        <v>0</v>
      </c>
      <c r="AF70" s="31">
        <f>VLOOKUP($A70,kurspris!$A$1:$Q$835,5,FALSE)</f>
        <v>0</v>
      </c>
      <c r="AG70" s="31">
        <f>VLOOKUP($A70,kurspris!$A$1:$Q$835,6,FALSE)</f>
        <v>0</v>
      </c>
      <c r="AH70" s="31">
        <f>VLOOKUP($A70,kurspris!$A$1:$Q$835,7,FALSE)</f>
        <v>0</v>
      </c>
      <c r="AI70" s="31">
        <f>VLOOKUP($A70,kurspris!$A$1:$Q$835,8,FALSE)</f>
        <v>1</v>
      </c>
      <c r="AJ70" s="31">
        <f>VLOOKUP($A70,kurspris!$A$1:$Q$835,9,FALSE)</f>
        <v>0</v>
      </c>
      <c r="AK70" s="31">
        <f>VLOOKUP($A70,kurspris!$A$1:$Q$835,10,FALSE)</f>
        <v>0</v>
      </c>
      <c r="AL70" s="31">
        <f>VLOOKUP($A70,kurspris!$A$1:$Q$835,11,FALSE)</f>
        <v>0</v>
      </c>
      <c r="AM70" s="31">
        <f>VLOOKUP($A70,kurspris!$A$1:$Q$835,12,FALSE)</f>
        <v>0</v>
      </c>
      <c r="AN70" s="31">
        <f>VLOOKUP($A70,kurspris!$A$1:$Q$835,13,FALSE)</f>
        <v>0</v>
      </c>
      <c r="AO70" s="31">
        <f>VLOOKUP($A70,kurspris!$A$1:$Q$835,14,FALSE)</f>
        <v>0</v>
      </c>
      <c r="AP70" s="39" t="s">
        <v>2204</v>
      </c>
      <c r="AQ70" s="39" t="s">
        <v>2035</v>
      </c>
      <c r="AR70" s="31">
        <f t="shared" si="33"/>
        <v>0</v>
      </c>
      <c r="AS70" s="255">
        <f t="shared" si="34"/>
        <v>0</v>
      </c>
      <c r="AT70" s="31">
        <f t="shared" si="35"/>
        <v>0</v>
      </c>
      <c r="AU70" s="255">
        <f t="shared" si="36"/>
        <v>0</v>
      </c>
      <c r="AV70" s="31">
        <f t="shared" si="37"/>
        <v>0</v>
      </c>
      <c r="AW70" s="31">
        <f t="shared" si="38"/>
        <v>0</v>
      </c>
      <c r="AX70" s="31">
        <f t="shared" si="39"/>
        <v>0</v>
      </c>
      <c r="AY70" s="255">
        <f t="shared" si="40"/>
        <v>0</v>
      </c>
      <c r="AZ70" s="232">
        <f t="shared" si="41"/>
        <v>0</v>
      </c>
      <c r="BA70" s="255">
        <f t="shared" si="42"/>
        <v>0</v>
      </c>
      <c r="BB70" s="31">
        <f t="shared" si="43"/>
        <v>0.375</v>
      </c>
      <c r="BC70" s="255">
        <f t="shared" si="44"/>
        <v>0.31874999999999998</v>
      </c>
      <c r="BD70" s="31">
        <f t="shared" si="45"/>
        <v>0</v>
      </c>
      <c r="BE70" s="255">
        <f t="shared" si="46"/>
        <v>0</v>
      </c>
      <c r="BF70" s="31">
        <f t="shared" si="47"/>
        <v>0</v>
      </c>
      <c r="BG70" s="255">
        <f t="shared" si="48"/>
        <v>0</v>
      </c>
      <c r="BH70" s="31">
        <f t="shared" si="49"/>
        <v>0</v>
      </c>
      <c r="BI70" s="255">
        <f t="shared" si="50"/>
        <v>0</v>
      </c>
      <c r="BJ70" s="31">
        <f t="shared" si="51"/>
        <v>0</v>
      </c>
      <c r="BK70" s="31">
        <f t="shared" si="52"/>
        <v>0</v>
      </c>
      <c r="BL70" s="255">
        <f t="shared" si="53"/>
        <v>0</v>
      </c>
      <c r="BM70" s="31">
        <f t="shared" si="54"/>
        <v>0</v>
      </c>
      <c r="BN70" s="255">
        <f t="shared" si="55"/>
        <v>0</v>
      </c>
    </row>
    <row r="71" spans="1:66" x14ac:dyDescent="0.25">
      <c r="A71" t="s">
        <v>1486</v>
      </c>
      <c r="B71" s="186" t="str">
        <f>VLOOKUP(A71,kurspris!$A$1:$B$877,2,FALSE)</f>
        <v>Examensarbete för ämneslärarexamen - Biologi</v>
      </c>
      <c r="C71"/>
      <c r="D71" t="s">
        <v>483</v>
      </c>
      <c r="E71" t="s">
        <v>1975</v>
      </c>
      <c r="F71" s="39" t="s">
        <v>1930</v>
      </c>
      <c r="G71" t="s">
        <v>1993</v>
      </c>
      <c r="H71" t="s">
        <v>1910</v>
      </c>
      <c r="I71"/>
      <c r="J71" t="s">
        <v>771</v>
      </c>
      <c r="K71"/>
      <c r="L71">
        <v>100</v>
      </c>
      <c r="M71" s="295">
        <v>22.5</v>
      </c>
      <c r="N71"/>
      <c r="O71"/>
      <c r="P71" s="31">
        <v>1</v>
      </c>
      <c r="Q71" s="232">
        <f t="shared" si="28"/>
        <v>0.375</v>
      </c>
      <c r="R71" s="40">
        <v>0.85</v>
      </c>
      <c r="S71" s="334">
        <f t="shared" si="29"/>
        <v>0.31874999999999998</v>
      </c>
      <c r="T71" s="31">
        <f>VLOOKUP(A71,'Ansvar kurs'!$A$1:$C$1010,2,FALSE)</f>
        <v>5740</v>
      </c>
      <c r="U71" s="31" t="str">
        <f>VLOOKUP(T71,Orgenheter!$A$1:$C$165,2,FALSE)</f>
        <v>NMD</v>
      </c>
      <c r="V71" s="31" t="str">
        <f>VLOOKUP(T71,Orgenheter!$A$1:$C$165,3,FALSE)</f>
        <v>TekNat</v>
      </c>
      <c r="W71" s="37" t="str">
        <f>VLOOKUP(D71,Program!$A$1:$B$34,2,FALSE)</f>
        <v>Ämneslärarprogrammet - Gy</v>
      </c>
      <c r="X71" s="42">
        <f>VLOOKUP(A71,kurspris!$A$1:$Q$798,15,FALSE)</f>
        <v>19473</v>
      </c>
      <c r="Y71" s="42">
        <f>VLOOKUP(A71,kurspris!$A$1:$Q$798,16,FALSE)</f>
        <v>34806</v>
      </c>
      <c r="Z71" s="42">
        <f t="shared" si="30"/>
        <v>18396.787499999999</v>
      </c>
      <c r="AA71" s="42">
        <f>VLOOKUP(A71,kurspris!$A$1:$Q$798,17,FALSE)</f>
        <v>21800</v>
      </c>
      <c r="AB71" s="42">
        <f t="shared" si="31"/>
        <v>8175</v>
      </c>
      <c r="AC71" s="42">
        <f t="shared" si="32"/>
        <v>26571.787499999999</v>
      </c>
      <c r="AD71" s="31">
        <f>VLOOKUP($A71,kurspris!$A$1:$Q$835,3,FALSE)</f>
        <v>0</v>
      </c>
      <c r="AE71" s="31">
        <f>VLOOKUP($A71,kurspris!$A$1:$Q$835,4,FALSE)</f>
        <v>0</v>
      </c>
      <c r="AF71" s="31">
        <f>VLOOKUP($A71,kurspris!$A$1:$Q$835,5,FALSE)</f>
        <v>0</v>
      </c>
      <c r="AG71" s="31">
        <f>VLOOKUP($A71,kurspris!$A$1:$Q$835,6,FALSE)</f>
        <v>0</v>
      </c>
      <c r="AH71" s="31">
        <f>VLOOKUP($A71,kurspris!$A$1:$Q$835,7,FALSE)</f>
        <v>0</v>
      </c>
      <c r="AI71" s="31">
        <f>VLOOKUP($A71,kurspris!$A$1:$Q$835,8,FALSE)</f>
        <v>1</v>
      </c>
      <c r="AJ71" s="31">
        <f>VLOOKUP($A71,kurspris!$A$1:$Q$835,9,FALSE)</f>
        <v>0</v>
      </c>
      <c r="AK71" s="31">
        <f>VLOOKUP($A71,kurspris!$A$1:$Q$835,10,FALSE)</f>
        <v>0</v>
      </c>
      <c r="AL71" s="31">
        <f>VLOOKUP($A71,kurspris!$A$1:$Q$835,11,FALSE)</f>
        <v>0</v>
      </c>
      <c r="AM71" s="31">
        <f>VLOOKUP($A71,kurspris!$A$1:$Q$835,12,FALSE)</f>
        <v>0</v>
      </c>
      <c r="AN71" s="31">
        <f>VLOOKUP($A71,kurspris!$A$1:$Q$835,13,FALSE)</f>
        <v>0</v>
      </c>
      <c r="AO71" s="31">
        <f>VLOOKUP($A71,kurspris!$A$1:$Q$835,14,FALSE)</f>
        <v>0</v>
      </c>
      <c r="AP71" s="39" t="s">
        <v>2204</v>
      </c>
      <c r="AQ71" s="39" t="s">
        <v>2035</v>
      </c>
      <c r="AR71" s="31">
        <f t="shared" si="33"/>
        <v>0</v>
      </c>
      <c r="AS71" s="255">
        <f t="shared" si="34"/>
        <v>0</v>
      </c>
      <c r="AT71" s="31">
        <f t="shared" si="35"/>
        <v>0</v>
      </c>
      <c r="AU71" s="255">
        <f t="shared" si="36"/>
        <v>0</v>
      </c>
      <c r="AV71" s="31">
        <f t="shared" si="37"/>
        <v>0</v>
      </c>
      <c r="AW71" s="31">
        <f t="shared" si="38"/>
        <v>0</v>
      </c>
      <c r="AX71" s="31">
        <f t="shared" si="39"/>
        <v>0</v>
      </c>
      <c r="AY71" s="255">
        <f t="shared" si="40"/>
        <v>0</v>
      </c>
      <c r="AZ71" s="232">
        <f t="shared" si="41"/>
        <v>0</v>
      </c>
      <c r="BA71" s="255">
        <f t="shared" si="42"/>
        <v>0</v>
      </c>
      <c r="BB71" s="31">
        <f t="shared" si="43"/>
        <v>0.375</v>
      </c>
      <c r="BC71" s="255">
        <f t="shared" si="44"/>
        <v>0.31874999999999998</v>
      </c>
      <c r="BD71" s="31">
        <f t="shared" si="45"/>
        <v>0</v>
      </c>
      <c r="BE71" s="255">
        <f t="shared" si="46"/>
        <v>0</v>
      </c>
      <c r="BF71" s="31">
        <f t="shared" si="47"/>
        <v>0</v>
      </c>
      <c r="BG71" s="255">
        <f t="shared" si="48"/>
        <v>0</v>
      </c>
      <c r="BH71" s="31">
        <f t="shared" si="49"/>
        <v>0</v>
      </c>
      <c r="BI71" s="255">
        <f t="shared" si="50"/>
        <v>0</v>
      </c>
      <c r="BJ71" s="31">
        <f t="shared" si="51"/>
        <v>0</v>
      </c>
      <c r="BK71" s="31">
        <f t="shared" si="52"/>
        <v>0</v>
      </c>
      <c r="BL71" s="255">
        <f t="shared" si="53"/>
        <v>0</v>
      </c>
      <c r="BM71" s="31">
        <f t="shared" si="54"/>
        <v>0</v>
      </c>
      <c r="BN71" s="255">
        <f t="shared" si="55"/>
        <v>0</v>
      </c>
    </row>
    <row r="72" spans="1:66" x14ac:dyDescent="0.25">
      <c r="A72" s="18" t="s">
        <v>1486</v>
      </c>
      <c r="B72" s="186" t="str">
        <f>VLOOKUP(A72,kurspris!$A$1:$B$877,2,FALSE)</f>
        <v>Examensarbete för ämneslärarexamen - Biologi</v>
      </c>
      <c r="C72" s="37"/>
      <c r="D72" s="31" t="s">
        <v>483</v>
      </c>
      <c r="E72" s="31" t="s">
        <v>1976</v>
      </c>
      <c r="F72" s="59" t="s">
        <v>1931</v>
      </c>
      <c r="G72" s="295" t="s">
        <v>2268</v>
      </c>
      <c r="J72" t="s">
        <v>771</v>
      </c>
      <c r="L72" s="31">
        <v>100</v>
      </c>
      <c r="M72" s="31">
        <v>7.5</v>
      </c>
      <c r="P72" s="31">
        <v>1</v>
      </c>
      <c r="Q72" s="232">
        <f t="shared" si="28"/>
        <v>0.125</v>
      </c>
      <c r="R72" s="40">
        <v>0.85</v>
      </c>
      <c r="S72" s="334">
        <f t="shared" si="29"/>
        <v>0.10625</v>
      </c>
      <c r="T72" s="31">
        <f>VLOOKUP(A72,'Ansvar kurs'!$A$1:$C$1010,2,FALSE)</f>
        <v>5740</v>
      </c>
      <c r="U72" s="31" t="str">
        <f>VLOOKUP(T72,Orgenheter!$A$1:$C$165,2,FALSE)</f>
        <v>NMD</v>
      </c>
      <c r="V72" s="31" t="str">
        <f>VLOOKUP(T72,Orgenheter!$A$1:$C$165,3,FALSE)</f>
        <v>TekNat</v>
      </c>
      <c r="W72" s="37" t="str">
        <f>VLOOKUP(D72,Program!$A$1:$B$34,2,FALSE)</f>
        <v>Ämneslärarprogrammet - Gy</v>
      </c>
      <c r="X72" s="42">
        <f>VLOOKUP(A72,kurspris!$A$1:$Q$798,15,FALSE)</f>
        <v>19473</v>
      </c>
      <c r="Y72" s="42">
        <f>VLOOKUP(A72,kurspris!$A$1:$Q$798,16,FALSE)</f>
        <v>34806</v>
      </c>
      <c r="Z72" s="42">
        <f t="shared" si="30"/>
        <v>6132.2624999999998</v>
      </c>
      <c r="AA72" s="42">
        <f>VLOOKUP(A72,kurspris!$A$1:$Q$798,17,FALSE)</f>
        <v>21800</v>
      </c>
      <c r="AB72" s="42">
        <f t="shared" si="31"/>
        <v>2725</v>
      </c>
      <c r="AC72" s="42">
        <f t="shared" si="32"/>
        <v>8857.2625000000007</v>
      </c>
      <c r="AD72" s="31">
        <f>VLOOKUP($A72,kurspris!$A$1:$Q$835,3,FALSE)</f>
        <v>0</v>
      </c>
      <c r="AE72" s="31">
        <f>VLOOKUP($A72,kurspris!$A$1:$Q$835,4,FALSE)</f>
        <v>0</v>
      </c>
      <c r="AF72" s="31">
        <f>VLOOKUP($A72,kurspris!$A$1:$Q$835,5,FALSE)</f>
        <v>0</v>
      </c>
      <c r="AG72" s="31">
        <f>VLOOKUP($A72,kurspris!$A$1:$Q$835,6,FALSE)</f>
        <v>0</v>
      </c>
      <c r="AH72" s="31">
        <f>VLOOKUP($A72,kurspris!$A$1:$Q$835,7,FALSE)</f>
        <v>0</v>
      </c>
      <c r="AI72" s="31">
        <f>VLOOKUP($A72,kurspris!$A$1:$Q$835,8,FALSE)</f>
        <v>1</v>
      </c>
      <c r="AJ72" s="31">
        <f>VLOOKUP($A72,kurspris!$A$1:$Q$835,9,FALSE)</f>
        <v>0</v>
      </c>
      <c r="AK72" s="31">
        <f>VLOOKUP($A72,kurspris!$A$1:$Q$835,10,FALSE)</f>
        <v>0</v>
      </c>
      <c r="AL72" s="31">
        <f>VLOOKUP($A72,kurspris!$A$1:$Q$835,11,FALSE)</f>
        <v>0</v>
      </c>
      <c r="AM72" s="31">
        <f>VLOOKUP($A72,kurspris!$A$1:$Q$835,12,FALSE)</f>
        <v>0</v>
      </c>
      <c r="AN72" s="31">
        <f>VLOOKUP($A72,kurspris!$A$1:$Q$835,13,FALSE)</f>
        <v>0</v>
      </c>
      <c r="AO72" s="31">
        <f>VLOOKUP($A72,kurspris!$A$1:$Q$835,14,FALSE)</f>
        <v>0</v>
      </c>
      <c r="AP72" s="39" t="s">
        <v>2326</v>
      </c>
      <c r="AQ72" t="s">
        <v>2300</v>
      </c>
      <c r="AR72" s="31">
        <f t="shared" si="33"/>
        <v>0</v>
      </c>
      <c r="AS72" s="255">
        <f t="shared" si="34"/>
        <v>0</v>
      </c>
      <c r="AT72" s="31">
        <f t="shared" si="35"/>
        <v>0</v>
      </c>
      <c r="AU72" s="255">
        <f t="shared" si="36"/>
        <v>0</v>
      </c>
      <c r="AV72" s="31">
        <f t="shared" si="37"/>
        <v>0</v>
      </c>
      <c r="AW72" s="31">
        <f t="shared" si="38"/>
        <v>0</v>
      </c>
      <c r="AX72" s="31">
        <f t="shared" si="39"/>
        <v>0</v>
      </c>
      <c r="AY72" s="255">
        <f t="shared" si="40"/>
        <v>0</v>
      </c>
      <c r="AZ72" s="232">
        <f t="shared" si="41"/>
        <v>0</v>
      </c>
      <c r="BA72" s="255">
        <f t="shared" si="42"/>
        <v>0</v>
      </c>
      <c r="BB72" s="31">
        <f t="shared" si="43"/>
        <v>0.125</v>
      </c>
      <c r="BC72" s="255">
        <f t="shared" si="44"/>
        <v>0.10625</v>
      </c>
      <c r="BD72" s="31">
        <f t="shared" si="45"/>
        <v>0</v>
      </c>
      <c r="BE72" s="255">
        <f t="shared" si="46"/>
        <v>0</v>
      </c>
      <c r="BF72" s="31">
        <f t="shared" si="47"/>
        <v>0</v>
      </c>
      <c r="BG72" s="255">
        <f t="shared" si="48"/>
        <v>0</v>
      </c>
      <c r="BH72" s="31">
        <f t="shared" si="49"/>
        <v>0</v>
      </c>
      <c r="BI72" s="255">
        <f t="shared" si="50"/>
        <v>0</v>
      </c>
      <c r="BJ72" s="31">
        <f t="shared" si="51"/>
        <v>0</v>
      </c>
      <c r="BK72" s="31">
        <f t="shared" si="52"/>
        <v>0</v>
      </c>
      <c r="BL72" s="255">
        <f t="shared" si="53"/>
        <v>0</v>
      </c>
      <c r="BM72" s="31">
        <f t="shared" si="54"/>
        <v>0</v>
      </c>
      <c r="BN72" s="255">
        <f t="shared" si="55"/>
        <v>0</v>
      </c>
    </row>
    <row r="73" spans="1:66" x14ac:dyDescent="0.25">
      <c r="A73" s="18" t="s">
        <v>1486</v>
      </c>
      <c r="B73" s="186" t="str">
        <f>VLOOKUP(A73,kurspris!$A$1:$B$877,2,FALSE)</f>
        <v>Examensarbete för ämneslärarexamen - Biologi</v>
      </c>
      <c r="C73" s="37"/>
      <c r="D73" s="31" t="s">
        <v>483</v>
      </c>
      <c r="E73" s="31" t="s">
        <v>1973</v>
      </c>
      <c r="F73" s="59" t="s">
        <v>1931</v>
      </c>
      <c r="G73" s="295" t="s">
        <v>2268</v>
      </c>
      <c r="J73" t="s">
        <v>1591</v>
      </c>
      <c r="L73" s="31">
        <v>100</v>
      </c>
      <c r="M73" s="31">
        <v>7.5</v>
      </c>
      <c r="P73" s="31">
        <v>1</v>
      </c>
      <c r="Q73" s="232">
        <f t="shared" si="28"/>
        <v>0.125</v>
      </c>
      <c r="R73" s="40">
        <v>0.85</v>
      </c>
      <c r="S73" s="334">
        <f t="shared" si="29"/>
        <v>0.10625</v>
      </c>
      <c r="T73" s="31">
        <f>VLOOKUP(A73,'Ansvar kurs'!$A$1:$C$1010,2,FALSE)</f>
        <v>5740</v>
      </c>
      <c r="U73" s="31" t="str">
        <f>VLOOKUP(T73,Orgenheter!$A$1:$C$165,2,FALSE)</f>
        <v>NMD</v>
      </c>
      <c r="V73" s="31" t="str">
        <f>VLOOKUP(T73,Orgenheter!$A$1:$C$165,3,FALSE)</f>
        <v>TekNat</v>
      </c>
      <c r="W73" s="37" t="str">
        <f>VLOOKUP(D73,Program!$A$1:$B$34,2,FALSE)</f>
        <v>Ämneslärarprogrammet - Gy</v>
      </c>
      <c r="X73" s="42">
        <f>VLOOKUP(A73,kurspris!$A$1:$Q$798,15,FALSE)</f>
        <v>19473</v>
      </c>
      <c r="Y73" s="42">
        <f>VLOOKUP(A73,kurspris!$A$1:$Q$798,16,FALSE)</f>
        <v>34806</v>
      </c>
      <c r="Z73" s="42">
        <f t="shared" si="30"/>
        <v>6132.2624999999998</v>
      </c>
      <c r="AA73" s="42">
        <f>VLOOKUP(A73,kurspris!$A$1:$Q$798,17,FALSE)</f>
        <v>21800</v>
      </c>
      <c r="AB73" s="42">
        <f t="shared" si="31"/>
        <v>2725</v>
      </c>
      <c r="AC73" s="42">
        <f t="shared" si="32"/>
        <v>8857.2625000000007</v>
      </c>
      <c r="AD73" s="31">
        <f>VLOOKUP($A73,kurspris!$A$1:$Q$835,3,FALSE)</f>
        <v>0</v>
      </c>
      <c r="AE73" s="31">
        <f>VLOOKUP($A73,kurspris!$A$1:$Q$835,4,FALSE)</f>
        <v>0</v>
      </c>
      <c r="AF73" s="31">
        <f>VLOOKUP($A73,kurspris!$A$1:$Q$835,5,FALSE)</f>
        <v>0</v>
      </c>
      <c r="AG73" s="31">
        <f>VLOOKUP($A73,kurspris!$A$1:$Q$835,6,FALSE)</f>
        <v>0</v>
      </c>
      <c r="AH73" s="31">
        <f>VLOOKUP($A73,kurspris!$A$1:$Q$835,7,FALSE)</f>
        <v>0</v>
      </c>
      <c r="AI73" s="31">
        <f>VLOOKUP($A73,kurspris!$A$1:$Q$835,8,FALSE)</f>
        <v>1</v>
      </c>
      <c r="AJ73" s="31">
        <f>VLOOKUP($A73,kurspris!$A$1:$Q$835,9,FALSE)</f>
        <v>0</v>
      </c>
      <c r="AK73" s="31">
        <f>VLOOKUP($A73,kurspris!$A$1:$Q$835,10,FALSE)</f>
        <v>0</v>
      </c>
      <c r="AL73" s="31">
        <f>VLOOKUP($A73,kurspris!$A$1:$Q$835,11,FALSE)</f>
        <v>0</v>
      </c>
      <c r="AM73" s="31">
        <f>VLOOKUP($A73,kurspris!$A$1:$Q$835,12,FALSE)</f>
        <v>0</v>
      </c>
      <c r="AN73" s="31">
        <f>VLOOKUP($A73,kurspris!$A$1:$Q$835,13,FALSE)</f>
        <v>0</v>
      </c>
      <c r="AO73" s="31">
        <f>VLOOKUP($A73,kurspris!$A$1:$Q$835,14,FALSE)</f>
        <v>0</v>
      </c>
      <c r="AP73" s="39" t="s">
        <v>2326</v>
      </c>
      <c r="AQ73" t="s">
        <v>2300</v>
      </c>
      <c r="AR73" s="31">
        <f t="shared" si="33"/>
        <v>0</v>
      </c>
      <c r="AS73" s="255">
        <f t="shared" si="34"/>
        <v>0</v>
      </c>
      <c r="AT73" s="31">
        <f t="shared" si="35"/>
        <v>0</v>
      </c>
      <c r="AU73" s="255">
        <f t="shared" si="36"/>
        <v>0</v>
      </c>
      <c r="AV73" s="31">
        <f t="shared" si="37"/>
        <v>0</v>
      </c>
      <c r="AW73" s="31">
        <f t="shared" si="38"/>
        <v>0</v>
      </c>
      <c r="AX73" s="31">
        <f t="shared" si="39"/>
        <v>0</v>
      </c>
      <c r="AY73" s="255">
        <f t="shared" si="40"/>
        <v>0</v>
      </c>
      <c r="AZ73" s="232">
        <f t="shared" si="41"/>
        <v>0</v>
      </c>
      <c r="BA73" s="255">
        <f t="shared" si="42"/>
        <v>0</v>
      </c>
      <c r="BB73" s="31">
        <f t="shared" si="43"/>
        <v>0.125</v>
      </c>
      <c r="BC73" s="255">
        <f t="shared" si="44"/>
        <v>0.10625</v>
      </c>
      <c r="BD73" s="31">
        <f t="shared" si="45"/>
        <v>0</v>
      </c>
      <c r="BE73" s="255">
        <f t="shared" si="46"/>
        <v>0</v>
      </c>
      <c r="BF73" s="31">
        <f t="shared" si="47"/>
        <v>0</v>
      </c>
      <c r="BG73" s="255">
        <f t="shared" si="48"/>
        <v>0</v>
      </c>
      <c r="BH73" s="31">
        <f t="shared" si="49"/>
        <v>0</v>
      </c>
      <c r="BI73" s="255">
        <f t="shared" si="50"/>
        <v>0</v>
      </c>
      <c r="BJ73" s="31">
        <f t="shared" si="51"/>
        <v>0</v>
      </c>
      <c r="BK73" s="31">
        <f t="shared" si="52"/>
        <v>0</v>
      </c>
      <c r="BL73" s="255">
        <f t="shared" si="53"/>
        <v>0</v>
      </c>
      <c r="BM73" s="31">
        <f t="shared" si="54"/>
        <v>0</v>
      </c>
      <c r="BN73" s="255">
        <f t="shared" si="55"/>
        <v>0</v>
      </c>
    </row>
    <row r="74" spans="1:66" x14ac:dyDescent="0.25">
      <c r="A74" s="18" t="s">
        <v>1486</v>
      </c>
      <c r="B74" s="186" t="str">
        <f>VLOOKUP(A74,kurspris!$A$1:$B$877,2,FALSE)</f>
        <v>Examensarbete för ämneslärarexamen - Biologi</v>
      </c>
      <c r="C74" s="37"/>
      <c r="D74" s="31" t="s">
        <v>483</v>
      </c>
      <c r="E74" s="31" t="s">
        <v>1609</v>
      </c>
      <c r="F74" s="59" t="s">
        <v>1931</v>
      </c>
      <c r="G74" s="295" t="s">
        <v>2268</v>
      </c>
      <c r="J74" t="s">
        <v>1591</v>
      </c>
      <c r="L74" s="31">
        <v>100</v>
      </c>
      <c r="M74" s="31">
        <v>7.5</v>
      </c>
      <c r="P74" s="31">
        <v>1</v>
      </c>
      <c r="Q74" s="232">
        <f t="shared" si="28"/>
        <v>0.125</v>
      </c>
      <c r="R74" s="40">
        <v>0.85</v>
      </c>
      <c r="S74" s="334">
        <f t="shared" si="29"/>
        <v>0.10625</v>
      </c>
      <c r="T74" s="31">
        <f>VLOOKUP(A74,'Ansvar kurs'!$A$1:$C$1010,2,FALSE)</f>
        <v>5740</v>
      </c>
      <c r="U74" s="31" t="str">
        <f>VLOOKUP(T74,Orgenheter!$A$1:$C$165,2,FALSE)</f>
        <v>NMD</v>
      </c>
      <c r="V74" s="31" t="str">
        <f>VLOOKUP(T74,Orgenheter!$A$1:$C$165,3,FALSE)</f>
        <v>TekNat</v>
      </c>
      <c r="W74" s="37" t="str">
        <f>VLOOKUP(D74,Program!$A$1:$B$34,2,FALSE)</f>
        <v>Ämneslärarprogrammet - Gy</v>
      </c>
      <c r="X74" s="42">
        <f>VLOOKUP(A74,kurspris!$A$1:$Q$798,15,FALSE)</f>
        <v>19473</v>
      </c>
      <c r="Y74" s="42">
        <f>VLOOKUP(A74,kurspris!$A$1:$Q$798,16,FALSE)</f>
        <v>34806</v>
      </c>
      <c r="Z74" s="42">
        <f t="shared" si="30"/>
        <v>6132.2624999999998</v>
      </c>
      <c r="AA74" s="42">
        <f>VLOOKUP(A74,kurspris!$A$1:$Q$798,17,FALSE)</f>
        <v>21800</v>
      </c>
      <c r="AB74" s="42">
        <f t="shared" si="31"/>
        <v>2725</v>
      </c>
      <c r="AC74" s="42">
        <f t="shared" si="32"/>
        <v>8857.2625000000007</v>
      </c>
      <c r="AD74" s="31">
        <f>VLOOKUP($A74,kurspris!$A$1:$Q$835,3,FALSE)</f>
        <v>0</v>
      </c>
      <c r="AE74" s="31">
        <f>VLOOKUP($A74,kurspris!$A$1:$Q$835,4,FALSE)</f>
        <v>0</v>
      </c>
      <c r="AF74" s="31">
        <f>VLOOKUP($A74,kurspris!$A$1:$Q$835,5,FALSE)</f>
        <v>0</v>
      </c>
      <c r="AG74" s="31">
        <f>VLOOKUP($A74,kurspris!$A$1:$Q$835,6,FALSE)</f>
        <v>0</v>
      </c>
      <c r="AH74" s="31">
        <f>VLOOKUP($A74,kurspris!$A$1:$Q$835,7,FALSE)</f>
        <v>0</v>
      </c>
      <c r="AI74" s="31">
        <f>VLOOKUP($A74,kurspris!$A$1:$Q$835,8,FALSE)</f>
        <v>1</v>
      </c>
      <c r="AJ74" s="31">
        <f>VLOOKUP($A74,kurspris!$A$1:$Q$835,9,FALSE)</f>
        <v>0</v>
      </c>
      <c r="AK74" s="31">
        <f>VLOOKUP($A74,kurspris!$A$1:$Q$835,10,FALSE)</f>
        <v>0</v>
      </c>
      <c r="AL74" s="31">
        <f>VLOOKUP($A74,kurspris!$A$1:$Q$835,11,FALSE)</f>
        <v>0</v>
      </c>
      <c r="AM74" s="31">
        <f>VLOOKUP($A74,kurspris!$A$1:$Q$835,12,FALSE)</f>
        <v>0</v>
      </c>
      <c r="AN74" s="31">
        <f>VLOOKUP($A74,kurspris!$A$1:$Q$835,13,FALSE)</f>
        <v>0</v>
      </c>
      <c r="AO74" s="31">
        <f>VLOOKUP($A74,kurspris!$A$1:$Q$835,14,FALSE)</f>
        <v>0</v>
      </c>
      <c r="AP74" s="39" t="s">
        <v>2326</v>
      </c>
      <c r="AQ74" t="s">
        <v>2300</v>
      </c>
      <c r="AR74" s="31">
        <f t="shared" si="33"/>
        <v>0</v>
      </c>
      <c r="AS74" s="255">
        <f t="shared" si="34"/>
        <v>0</v>
      </c>
      <c r="AT74" s="31">
        <f t="shared" si="35"/>
        <v>0</v>
      </c>
      <c r="AU74" s="255">
        <f t="shared" si="36"/>
        <v>0</v>
      </c>
      <c r="AV74" s="31">
        <f t="shared" si="37"/>
        <v>0</v>
      </c>
      <c r="AW74" s="31">
        <f t="shared" si="38"/>
        <v>0</v>
      </c>
      <c r="AX74" s="31">
        <f t="shared" si="39"/>
        <v>0</v>
      </c>
      <c r="AY74" s="255">
        <f t="shared" si="40"/>
        <v>0</v>
      </c>
      <c r="AZ74" s="232">
        <f t="shared" si="41"/>
        <v>0</v>
      </c>
      <c r="BA74" s="255">
        <f t="shared" si="42"/>
        <v>0</v>
      </c>
      <c r="BB74" s="31">
        <f t="shared" si="43"/>
        <v>0.125</v>
      </c>
      <c r="BC74" s="255">
        <f t="shared" si="44"/>
        <v>0.10625</v>
      </c>
      <c r="BD74" s="31">
        <f t="shared" si="45"/>
        <v>0</v>
      </c>
      <c r="BE74" s="255">
        <f t="shared" si="46"/>
        <v>0</v>
      </c>
      <c r="BF74" s="31">
        <f t="shared" si="47"/>
        <v>0</v>
      </c>
      <c r="BG74" s="255">
        <f t="shared" si="48"/>
        <v>0</v>
      </c>
      <c r="BH74" s="31">
        <f t="shared" si="49"/>
        <v>0</v>
      </c>
      <c r="BI74" s="255">
        <f t="shared" si="50"/>
        <v>0</v>
      </c>
      <c r="BJ74" s="31">
        <f t="shared" si="51"/>
        <v>0</v>
      </c>
      <c r="BK74" s="31">
        <f t="shared" si="52"/>
        <v>0</v>
      </c>
      <c r="BL74" s="255">
        <f t="shared" si="53"/>
        <v>0</v>
      </c>
      <c r="BM74" s="31">
        <f t="shared" si="54"/>
        <v>0</v>
      </c>
      <c r="BN74" s="255">
        <f t="shared" si="55"/>
        <v>0</v>
      </c>
    </row>
    <row r="75" spans="1:66" x14ac:dyDescent="0.25">
      <c r="A75" s="18" t="s">
        <v>2003</v>
      </c>
      <c r="B75" s="186" t="str">
        <f>VLOOKUP(A75,kurspris!$A$1:$B$877,2,FALSE)</f>
        <v>Läraryrkets dimensioner - ingångsämne biologi (VFU)</v>
      </c>
      <c r="C75" s="37"/>
      <c r="D75" s="31" t="s">
        <v>483</v>
      </c>
      <c r="E75" s="31" t="s">
        <v>1973</v>
      </c>
      <c r="F75" s="59" t="s">
        <v>1931</v>
      </c>
      <c r="G75" s="31" t="s">
        <v>2267</v>
      </c>
      <c r="J75" t="s">
        <v>1591</v>
      </c>
      <c r="L75" s="31">
        <v>100</v>
      </c>
      <c r="M75" s="31">
        <v>22.5</v>
      </c>
      <c r="P75" s="31">
        <v>1</v>
      </c>
      <c r="Q75" s="232">
        <f t="shared" si="28"/>
        <v>0.375</v>
      </c>
      <c r="R75" s="40">
        <v>0.85</v>
      </c>
      <c r="S75" s="334">
        <f t="shared" si="29"/>
        <v>0.31874999999999998</v>
      </c>
      <c r="T75" s="31">
        <f>VLOOKUP(A75,'Ansvar kurs'!$A$1:$C$1010,2,FALSE)</f>
        <v>5740</v>
      </c>
      <c r="U75" s="31" t="str">
        <f>VLOOKUP(T75,Orgenheter!$A$1:$C$165,2,FALSE)</f>
        <v>NMD</v>
      </c>
      <c r="V75" s="31" t="str">
        <f>VLOOKUP(T75,Orgenheter!$A$1:$C$165,3,FALSE)</f>
        <v>TekNat</v>
      </c>
      <c r="W75" s="37" t="str">
        <f>VLOOKUP(D75,Program!$A$1:$B$34,2,FALSE)</f>
        <v>Ämneslärarprogrammet - Gy</v>
      </c>
      <c r="X75" s="42">
        <f>VLOOKUP(A75,kurspris!$A$1:$Q$798,15,FALSE)</f>
        <v>21634</v>
      </c>
      <c r="Y75" s="42">
        <f>VLOOKUP(A75,kurspris!$A$1:$Q$798,16,FALSE)</f>
        <v>26986</v>
      </c>
      <c r="Z75" s="42">
        <f t="shared" si="30"/>
        <v>16714.537499999999</v>
      </c>
      <c r="AA75" s="42">
        <f>VLOOKUP(A75,kurspris!$A$1:$Q$798,17,FALSE)</f>
        <v>3400</v>
      </c>
      <c r="AB75" s="42">
        <f t="shared" si="31"/>
        <v>1275</v>
      </c>
      <c r="AC75" s="42">
        <f t="shared" si="32"/>
        <v>17989.537499999999</v>
      </c>
      <c r="AD75" s="31">
        <f>VLOOKUP($A75,kurspris!$A$1:$Q$835,3,FALSE)</f>
        <v>0</v>
      </c>
      <c r="AE75" s="31">
        <f>VLOOKUP($A75,kurspris!$A$1:$Q$835,4,FALSE)</f>
        <v>0</v>
      </c>
      <c r="AF75" s="31">
        <f>VLOOKUP($A75,kurspris!$A$1:$Q$835,5,FALSE)</f>
        <v>0</v>
      </c>
      <c r="AG75" s="31">
        <f>VLOOKUP($A75,kurspris!$A$1:$Q$835,6,FALSE)</f>
        <v>0</v>
      </c>
      <c r="AH75" s="31">
        <f>VLOOKUP($A75,kurspris!$A$1:$Q$835,7,FALSE)</f>
        <v>0</v>
      </c>
      <c r="AI75" s="31">
        <f>VLOOKUP($A75,kurspris!$A$1:$Q$835,8,FALSE)</f>
        <v>0</v>
      </c>
      <c r="AJ75" s="31">
        <f>VLOOKUP($A75,kurspris!$A$1:$Q$835,9,FALSE)</f>
        <v>0</v>
      </c>
      <c r="AK75" s="31">
        <f>VLOOKUP($A75,kurspris!$A$1:$Q$835,10,FALSE)</f>
        <v>0</v>
      </c>
      <c r="AL75" s="31">
        <f>VLOOKUP($A75,kurspris!$A$1:$Q$835,11,FALSE)</f>
        <v>1</v>
      </c>
      <c r="AM75" s="31">
        <f>VLOOKUP($A75,kurspris!$A$1:$Q$835,12,FALSE)</f>
        <v>0</v>
      </c>
      <c r="AN75" s="31">
        <f>VLOOKUP($A75,kurspris!$A$1:$Q$835,13,FALSE)</f>
        <v>0</v>
      </c>
      <c r="AO75" s="31">
        <f>VLOOKUP($A75,kurspris!$A$1:$Q$835,14,FALSE)</f>
        <v>0</v>
      </c>
      <c r="AP75" s="39" t="s">
        <v>2326</v>
      </c>
      <c r="AQ75"/>
      <c r="AR75" s="31">
        <f t="shared" si="33"/>
        <v>0</v>
      </c>
      <c r="AS75" s="255">
        <f t="shared" si="34"/>
        <v>0</v>
      </c>
      <c r="AT75" s="31">
        <f t="shared" si="35"/>
        <v>0</v>
      </c>
      <c r="AU75" s="255">
        <f t="shared" si="36"/>
        <v>0</v>
      </c>
      <c r="AV75" s="31">
        <f t="shared" si="37"/>
        <v>0</v>
      </c>
      <c r="AW75" s="31">
        <f t="shared" si="38"/>
        <v>0</v>
      </c>
      <c r="AX75" s="31">
        <f t="shared" si="39"/>
        <v>0</v>
      </c>
      <c r="AY75" s="255">
        <f t="shared" si="40"/>
        <v>0</v>
      </c>
      <c r="AZ75" s="232">
        <f t="shared" si="41"/>
        <v>0</v>
      </c>
      <c r="BA75" s="255">
        <f t="shared" si="42"/>
        <v>0</v>
      </c>
      <c r="BB75" s="31">
        <f t="shared" si="43"/>
        <v>0</v>
      </c>
      <c r="BC75" s="255">
        <f t="shared" si="44"/>
        <v>0</v>
      </c>
      <c r="BD75" s="31">
        <f t="shared" si="45"/>
        <v>0</v>
      </c>
      <c r="BE75" s="255">
        <f t="shared" si="46"/>
        <v>0</v>
      </c>
      <c r="BF75" s="31">
        <f t="shared" si="47"/>
        <v>0</v>
      </c>
      <c r="BG75" s="255">
        <f t="shared" si="48"/>
        <v>0</v>
      </c>
      <c r="BH75" s="31">
        <f t="shared" si="49"/>
        <v>0.375</v>
      </c>
      <c r="BI75" s="255">
        <f t="shared" si="50"/>
        <v>0.31874999999999998</v>
      </c>
      <c r="BJ75" s="31">
        <f t="shared" si="51"/>
        <v>0</v>
      </c>
      <c r="BK75" s="31">
        <f t="shared" si="52"/>
        <v>0</v>
      </c>
      <c r="BL75" s="255">
        <f t="shared" si="53"/>
        <v>0</v>
      </c>
      <c r="BM75" s="31">
        <f t="shared" si="54"/>
        <v>0</v>
      </c>
      <c r="BN75" s="255">
        <f t="shared" si="55"/>
        <v>0</v>
      </c>
    </row>
    <row r="76" spans="1:66" x14ac:dyDescent="0.25">
      <c r="A76" s="18" t="s">
        <v>2003</v>
      </c>
      <c r="B76" s="186" t="str">
        <f>VLOOKUP(A76,kurspris!$A$1:$B$877,2,FALSE)</f>
        <v>Läraryrkets dimensioner - ingångsämne biologi (VFU)</v>
      </c>
      <c r="C76" s="37"/>
      <c r="D76" s="31" t="s">
        <v>483</v>
      </c>
      <c r="E76" s="31" t="s">
        <v>1609</v>
      </c>
      <c r="F76" s="59" t="s">
        <v>1931</v>
      </c>
      <c r="G76" s="31" t="s">
        <v>2267</v>
      </c>
      <c r="J76" t="s">
        <v>1591</v>
      </c>
      <c r="L76" s="31">
        <v>100</v>
      </c>
      <c r="M76" s="31">
        <v>22.5</v>
      </c>
      <c r="P76" s="31">
        <v>2</v>
      </c>
      <c r="Q76" s="232">
        <f t="shared" si="28"/>
        <v>0.75</v>
      </c>
      <c r="R76" s="40">
        <v>0.85</v>
      </c>
      <c r="S76" s="334">
        <f t="shared" si="29"/>
        <v>0.63749999999999996</v>
      </c>
      <c r="T76" s="31">
        <f>VLOOKUP(A76,'Ansvar kurs'!$A$1:$C$1010,2,FALSE)</f>
        <v>5740</v>
      </c>
      <c r="U76" s="31" t="str">
        <f>VLOOKUP(T76,Orgenheter!$A$1:$C$165,2,FALSE)</f>
        <v>NMD</v>
      </c>
      <c r="V76" s="31" t="str">
        <f>VLOOKUP(T76,Orgenheter!$A$1:$C$165,3,FALSE)</f>
        <v>TekNat</v>
      </c>
      <c r="W76" s="37" t="str">
        <f>VLOOKUP(D76,Program!$A$1:$B$34,2,FALSE)</f>
        <v>Ämneslärarprogrammet - Gy</v>
      </c>
      <c r="X76" s="42">
        <f>VLOOKUP(A76,kurspris!$A$1:$Q$798,15,FALSE)</f>
        <v>21634</v>
      </c>
      <c r="Y76" s="42">
        <f>VLOOKUP(A76,kurspris!$A$1:$Q$798,16,FALSE)</f>
        <v>26986</v>
      </c>
      <c r="Z76" s="42">
        <f t="shared" si="30"/>
        <v>33429.074999999997</v>
      </c>
      <c r="AA76" s="42">
        <f>VLOOKUP(A76,kurspris!$A$1:$Q$798,17,FALSE)</f>
        <v>3400</v>
      </c>
      <c r="AB76" s="42">
        <f t="shared" si="31"/>
        <v>2550</v>
      </c>
      <c r="AC76" s="42">
        <f t="shared" si="32"/>
        <v>35979.074999999997</v>
      </c>
      <c r="AD76" s="31">
        <f>VLOOKUP($A76,kurspris!$A$1:$Q$835,3,FALSE)</f>
        <v>0</v>
      </c>
      <c r="AE76" s="31">
        <f>VLOOKUP($A76,kurspris!$A$1:$Q$835,4,FALSE)</f>
        <v>0</v>
      </c>
      <c r="AF76" s="31">
        <f>VLOOKUP($A76,kurspris!$A$1:$Q$835,5,FALSE)</f>
        <v>0</v>
      </c>
      <c r="AG76" s="31">
        <f>VLOOKUP($A76,kurspris!$A$1:$Q$835,6,FALSE)</f>
        <v>0</v>
      </c>
      <c r="AH76" s="31">
        <f>VLOOKUP($A76,kurspris!$A$1:$Q$835,7,FALSE)</f>
        <v>0</v>
      </c>
      <c r="AI76" s="31">
        <f>VLOOKUP($A76,kurspris!$A$1:$Q$835,8,FALSE)</f>
        <v>0</v>
      </c>
      <c r="AJ76" s="31">
        <f>VLOOKUP($A76,kurspris!$A$1:$Q$835,9,FALSE)</f>
        <v>0</v>
      </c>
      <c r="AK76" s="31">
        <f>VLOOKUP($A76,kurspris!$A$1:$Q$835,10,FALSE)</f>
        <v>0</v>
      </c>
      <c r="AL76" s="31">
        <f>VLOOKUP($A76,kurspris!$A$1:$Q$835,11,FALSE)</f>
        <v>1</v>
      </c>
      <c r="AM76" s="31">
        <f>VLOOKUP($A76,kurspris!$A$1:$Q$835,12,FALSE)</f>
        <v>0</v>
      </c>
      <c r="AN76" s="31">
        <f>VLOOKUP($A76,kurspris!$A$1:$Q$835,13,FALSE)</f>
        <v>0</v>
      </c>
      <c r="AO76" s="31">
        <f>VLOOKUP($A76,kurspris!$A$1:$Q$835,14,FALSE)</f>
        <v>0</v>
      </c>
      <c r="AP76" s="39" t="s">
        <v>2326</v>
      </c>
      <c r="AQ76"/>
      <c r="AR76" s="31">
        <f t="shared" si="33"/>
        <v>0</v>
      </c>
      <c r="AS76" s="255">
        <f t="shared" si="34"/>
        <v>0</v>
      </c>
      <c r="AT76" s="31">
        <f t="shared" si="35"/>
        <v>0</v>
      </c>
      <c r="AU76" s="255">
        <f t="shared" si="36"/>
        <v>0</v>
      </c>
      <c r="AV76" s="31">
        <f t="shared" si="37"/>
        <v>0</v>
      </c>
      <c r="AW76" s="31">
        <f t="shared" si="38"/>
        <v>0</v>
      </c>
      <c r="AX76" s="31">
        <f t="shared" si="39"/>
        <v>0</v>
      </c>
      <c r="AY76" s="255">
        <f t="shared" si="40"/>
        <v>0</v>
      </c>
      <c r="AZ76" s="232">
        <f t="shared" si="41"/>
        <v>0</v>
      </c>
      <c r="BA76" s="255">
        <f t="shared" si="42"/>
        <v>0</v>
      </c>
      <c r="BB76" s="31">
        <f t="shared" si="43"/>
        <v>0</v>
      </c>
      <c r="BC76" s="255">
        <f t="shared" si="44"/>
        <v>0</v>
      </c>
      <c r="BD76" s="31">
        <f t="shared" si="45"/>
        <v>0</v>
      </c>
      <c r="BE76" s="255">
        <f t="shared" si="46"/>
        <v>0</v>
      </c>
      <c r="BF76" s="31">
        <f t="shared" si="47"/>
        <v>0</v>
      </c>
      <c r="BG76" s="255">
        <f t="shared" si="48"/>
        <v>0</v>
      </c>
      <c r="BH76" s="31">
        <f t="shared" si="49"/>
        <v>0.75</v>
      </c>
      <c r="BI76" s="255">
        <f t="shared" si="50"/>
        <v>0.63749999999999996</v>
      </c>
      <c r="BJ76" s="31">
        <f t="shared" si="51"/>
        <v>0</v>
      </c>
      <c r="BK76" s="31">
        <f t="shared" si="52"/>
        <v>0</v>
      </c>
      <c r="BL76" s="255">
        <f t="shared" si="53"/>
        <v>0</v>
      </c>
      <c r="BM76" s="31">
        <f t="shared" si="54"/>
        <v>0</v>
      </c>
      <c r="BN76" s="255">
        <f t="shared" si="55"/>
        <v>0</v>
      </c>
    </row>
    <row r="77" spans="1:66" x14ac:dyDescent="0.25">
      <c r="A77" s="18" t="s">
        <v>1964</v>
      </c>
      <c r="B77" s="186" t="str">
        <f>VLOOKUP(A77,kurspris!$A$1:$B$877,2,FALSE)</f>
        <v>Naturens mångfald för naturkunskapslärare</v>
      </c>
      <c r="C77" s="37"/>
      <c r="D77" s="31" t="s">
        <v>483</v>
      </c>
      <c r="E77" s="31" t="s">
        <v>1976</v>
      </c>
      <c r="F77" s="59" t="s">
        <v>1931</v>
      </c>
      <c r="G77" s="31" t="s">
        <v>2267</v>
      </c>
      <c r="J77" t="s">
        <v>775</v>
      </c>
      <c r="L77" s="31">
        <v>100</v>
      </c>
      <c r="M77" s="31">
        <v>15</v>
      </c>
      <c r="P77" s="31">
        <v>1</v>
      </c>
      <c r="Q77" s="232">
        <f t="shared" si="28"/>
        <v>0.25</v>
      </c>
      <c r="R77" s="40">
        <v>0.85</v>
      </c>
      <c r="S77" s="334">
        <f t="shared" si="29"/>
        <v>0.21249999999999999</v>
      </c>
      <c r="T77" s="31">
        <f>VLOOKUP(A77,'Ansvar kurs'!$A$1:$C$1010,2,FALSE)</f>
        <v>5100</v>
      </c>
      <c r="U77" s="31" t="str">
        <f>VLOOKUP(T77,Orgenheter!$A$1:$C$165,2,FALSE)</f>
        <v>EMG</v>
      </c>
      <c r="V77" s="31" t="str">
        <f>VLOOKUP(T77,Orgenheter!$A$1:$C$165,3,FALSE)</f>
        <v>TekNat</v>
      </c>
      <c r="W77" s="37" t="str">
        <f>VLOOKUP(D77,Program!$A$1:$B$34,2,FALSE)</f>
        <v>Ämneslärarprogrammet - Gy</v>
      </c>
      <c r="X77" s="42">
        <f>VLOOKUP(A77,kurspris!$A$1:$Q$798,15,FALSE)</f>
        <v>19473</v>
      </c>
      <c r="Y77" s="42">
        <f>VLOOKUP(A77,kurspris!$A$1:$Q$798,16,FALSE)</f>
        <v>34806</v>
      </c>
      <c r="Z77" s="42">
        <f t="shared" si="30"/>
        <v>12264.525</v>
      </c>
      <c r="AA77" s="42">
        <f>VLOOKUP(A77,kurspris!$A$1:$Q$798,17,FALSE)</f>
        <v>21800</v>
      </c>
      <c r="AB77" s="42">
        <f t="shared" si="31"/>
        <v>5450</v>
      </c>
      <c r="AC77" s="42">
        <f t="shared" si="32"/>
        <v>17714.525000000001</v>
      </c>
      <c r="AD77" s="31">
        <f>VLOOKUP($A77,kurspris!$A$1:$Q$835,3,FALSE)</f>
        <v>0</v>
      </c>
      <c r="AE77" s="31">
        <f>VLOOKUP($A77,kurspris!$A$1:$Q$835,4,FALSE)</f>
        <v>0</v>
      </c>
      <c r="AF77" s="31">
        <f>VLOOKUP($A77,kurspris!$A$1:$Q$835,5,FALSE)</f>
        <v>0</v>
      </c>
      <c r="AG77" s="31">
        <f>VLOOKUP($A77,kurspris!$A$1:$Q$835,6,FALSE)</f>
        <v>0</v>
      </c>
      <c r="AH77" s="31">
        <f>VLOOKUP($A77,kurspris!$A$1:$Q$835,7,FALSE)</f>
        <v>0</v>
      </c>
      <c r="AI77" s="31">
        <f>VLOOKUP($A77,kurspris!$A$1:$Q$835,8,FALSE)</f>
        <v>1</v>
      </c>
      <c r="AJ77" s="31">
        <f>VLOOKUP($A77,kurspris!$A$1:$Q$835,9,FALSE)</f>
        <v>0</v>
      </c>
      <c r="AK77" s="31">
        <f>VLOOKUP($A77,kurspris!$A$1:$Q$835,10,FALSE)</f>
        <v>0</v>
      </c>
      <c r="AL77" s="31">
        <f>VLOOKUP($A77,kurspris!$A$1:$Q$835,11,FALSE)</f>
        <v>0</v>
      </c>
      <c r="AM77" s="31">
        <f>VLOOKUP($A77,kurspris!$A$1:$Q$835,12,FALSE)</f>
        <v>0</v>
      </c>
      <c r="AN77" s="31">
        <f>VLOOKUP($A77,kurspris!$A$1:$Q$835,13,FALSE)</f>
        <v>0</v>
      </c>
      <c r="AO77" s="31">
        <f>VLOOKUP($A77,kurspris!$A$1:$Q$835,14,FALSE)</f>
        <v>0</v>
      </c>
      <c r="AP77" s="39" t="s">
        <v>2326</v>
      </c>
      <c r="AQ77"/>
      <c r="AR77" s="31">
        <f t="shared" si="33"/>
        <v>0</v>
      </c>
      <c r="AS77" s="255">
        <f t="shared" si="34"/>
        <v>0</v>
      </c>
      <c r="AT77" s="31">
        <f t="shared" si="35"/>
        <v>0</v>
      </c>
      <c r="AU77" s="255">
        <f t="shared" si="36"/>
        <v>0</v>
      </c>
      <c r="AV77" s="31">
        <f t="shared" si="37"/>
        <v>0</v>
      </c>
      <c r="AW77" s="31">
        <f t="shared" si="38"/>
        <v>0</v>
      </c>
      <c r="AX77" s="31">
        <f t="shared" si="39"/>
        <v>0</v>
      </c>
      <c r="AY77" s="255">
        <f t="shared" si="40"/>
        <v>0</v>
      </c>
      <c r="AZ77" s="232">
        <f t="shared" si="41"/>
        <v>0</v>
      </c>
      <c r="BA77" s="255">
        <f t="shared" si="42"/>
        <v>0</v>
      </c>
      <c r="BB77" s="31">
        <f t="shared" si="43"/>
        <v>0.25</v>
      </c>
      <c r="BC77" s="255">
        <f t="shared" si="44"/>
        <v>0.21249999999999999</v>
      </c>
      <c r="BD77" s="31">
        <f t="shared" si="45"/>
        <v>0</v>
      </c>
      <c r="BE77" s="255">
        <f t="shared" si="46"/>
        <v>0</v>
      </c>
      <c r="BF77" s="31">
        <f t="shared" si="47"/>
        <v>0</v>
      </c>
      <c r="BG77" s="255">
        <f t="shared" si="48"/>
        <v>0</v>
      </c>
      <c r="BH77" s="31">
        <f t="shared" si="49"/>
        <v>0</v>
      </c>
      <c r="BI77" s="255">
        <f t="shared" si="50"/>
        <v>0</v>
      </c>
      <c r="BJ77" s="31">
        <f t="shared" si="51"/>
        <v>0</v>
      </c>
      <c r="BK77" s="31">
        <f t="shared" si="52"/>
        <v>0</v>
      </c>
      <c r="BL77" s="255">
        <f t="shared" si="53"/>
        <v>0</v>
      </c>
      <c r="BM77" s="31">
        <f t="shared" si="54"/>
        <v>0</v>
      </c>
      <c r="BN77" s="255">
        <f t="shared" si="55"/>
        <v>0</v>
      </c>
    </row>
    <row r="78" spans="1:66" x14ac:dyDescent="0.25">
      <c r="A78" s="18" t="s">
        <v>1964</v>
      </c>
      <c r="B78" s="186" t="str">
        <f>VLOOKUP(A78,kurspris!$A$1:$B$877,2,FALSE)</f>
        <v>Naturens mångfald för naturkunskapslärare</v>
      </c>
      <c r="C78" s="37"/>
      <c r="D78" s="31" t="s">
        <v>483</v>
      </c>
      <c r="E78" s="31" t="s">
        <v>1973</v>
      </c>
      <c r="F78" s="59" t="s">
        <v>1931</v>
      </c>
      <c r="G78" s="31" t="s">
        <v>2267</v>
      </c>
      <c r="J78" t="s">
        <v>774</v>
      </c>
      <c r="L78" s="31">
        <v>100</v>
      </c>
      <c r="M78" s="31">
        <v>15</v>
      </c>
      <c r="P78" s="31">
        <v>1</v>
      </c>
      <c r="Q78" s="232">
        <f t="shared" si="28"/>
        <v>0.25</v>
      </c>
      <c r="R78" s="40">
        <v>0.85</v>
      </c>
      <c r="S78" s="334">
        <f t="shared" si="29"/>
        <v>0.21249999999999999</v>
      </c>
      <c r="T78" s="31">
        <f>VLOOKUP(A78,'Ansvar kurs'!$A$1:$C$1010,2,FALSE)</f>
        <v>5100</v>
      </c>
      <c r="U78" s="31" t="str">
        <f>VLOOKUP(T78,Orgenheter!$A$1:$C$165,2,FALSE)</f>
        <v>EMG</v>
      </c>
      <c r="V78" s="31" t="str">
        <f>VLOOKUP(T78,Orgenheter!$A$1:$C$165,3,FALSE)</f>
        <v>TekNat</v>
      </c>
      <c r="W78" s="37" t="str">
        <f>VLOOKUP(D78,Program!$A$1:$B$34,2,FALSE)</f>
        <v>Ämneslärarprogrammet - Gy</v>
      </c>
      <c r="X78" s="42">
        <f>VLOOKUP(A78,kurspris!$A$1:$Q$798,15,FALSE)</f>
        <v>19473</v>
      </c>
      <c r="Y78" s="42">
        <f>VLOOKUP(A78,kurspris!$A$1:$Q$798,16,FALSE)</f>
        <v>34806</v>
      </c>
      <c r="Z78" s="42">
        <f t="shared" si="30"/>
        <v>12264.525</v>
      </c>
      <c r="AA78" s="42">
        <f>VLOOKUP(A78,kurspris!$A$1:$Q$798,17,FALSE)</f>
        <v>21800</v>
      </c>
      <c r="AB78" s="42">
        <f t="shared" si="31"/>
        <v>5450</v>
      </c>
      <c r="AC78" s="42">
        <f t="shared" si="32"/>
        <v>17714.525000000001</v>
      </c>
      <c r="AD78" s="31">
        <f>VLOOKUP($A78,kurspris!$A$1:$Q$835,3,FALSE)</f>
        <v>0</v>
      </c>
      <c r="AE78" s="31">
        <f>VLOOKUP($A78,kurspris!$A$1:$Q$835,4,FALSE)</f>
        <v>0</v>
      </c>
      <c r="AF78" s="31">
        <f>VLOOKUP($A78,kurspris!$A$1:$Q$835,5,FALSE)</f>
        <v>0</v>
      </c>
      <c r="AG78" s="31">
        <f>VLOOKUP($A78,kurspris!$A$1:$Q$835,6,FALSE)</f>
        <v>0</v>
      </c>
      <c r="AH78" s="31">
        <f>VLOOKUP($A78,kurspris!$A$1:$Q$835,7,FALSE)</f>
        <v>0</v>
      </c>
      <c r="AI78" s="31">
        <f>VLOOKUP($A78,kurspris!$A$1:$Q$835,8,FALSE)</f>
        <v>1</v>
      </c>
      <c r="AJ78" s="31">
        <f>VLOOKUP($A78,kurspris!$A$1:$Q$835,9,FALSE)</f>
        <v>0</v>
      </c>
      <c r="AK78" s="31">
        <f>VLOOKUP($A78,kurspris!$A$1:$Q$835,10,FALSE)</f>
        <v>0</v>
      </c>
      <c r="AL78" s="31">
        <f>VLOOKUP($A78,kurspris!$A$1:$Q$835,11,FALSE)</f>
        <v>0</v>
      </c>
      <c r="AM78" s="31">
        <f>VLOOKUP($A78,kurspris!$A$1:$Q$835,12,FALSE)</f>
        <v>0</v>
      </c>
      <c r="AN78" s="31">
        <f>VLOOKUP($A78,kurspris!$A$1:$Q$835,13,FALSE)</f>
        <v>0</v>
      </c>
      <c r="AO78" s="31">
        <f>VLOOKUP($A78,kurspris!$A$1:$Q$835,14,FALSE)</f>
        <v>0</v>
      </c>
      <c r="AP78" s="39" t="s">
        <v>2326</v>
      </c>
      <c r="AQ78"/>
      <c r="AR78" s="31">
        <f t="shared" si="33"/>
        <v>0</v>
      </c>
      <c r="AS78" s="255">
        <f t="shared" si="34"/>
        <v>0</v>
      </c>
      <c r="AT78" s="31">
        <f t="shared" si="35"/>
        <v>0</v>
      </c>
      <c r="AU78" s="255">
        <f t="shared" si="36"/>
        <v>0</v>
      </c>
      <c r="AV78" s="31">
        <f t="shared" si="37"/>
        <v>0</v>
      </c>
      <c r="AW78" s="31">
        <f t="shared" si="38"/>
        <v>0</v>
      </c>
      <c r="AX78" s="31">
        <f t="shared" si="39"/>
        <v>0</v>
      </c>
      <c r="AY78" s="255">
        <f t="shared" si="40"/>
        <v>0</v>
      </c>
      <c r="AZ78" s="232">
        <f t="shared" si="41"/>
        <v>0</v>
      </c>
      <c r="BA78" s="255">
        <f t="shared" si="42"/>
        <v>0</v>
      </c>
      <c r="BB78" s="31">
        <f t="shared" si="43"/>
        <v>0.25</v>
      </c>
      <c r="BC78" s="255">
        <f t="shared" si="44"/>
        <v>0.21249999999999999</v>
      </c>
      <c r="BD78" s="31">
        <f t="shared" si="45"/>
        <v>0</v>
      </c>
      <c r="BE78" s="255">
        <f t="shared" si="46"/>
        <v>0</v>
      </c>
      <c r="BF78" s="31">
        <f t="shared" si="47"/>
        <v>0</v>
      </c>
      <c r="BG78" s="255">
        <f t="shared" si="48"/>
        <v>0</v>
      </c>
      <c r="BH78" s="31">
        <f t="shared" si="49"/>
        <v>0</v>
      </c>
      <c r="BI78" s="255">
        <f t="shared" si="50"/>
        <v>0</v>
      </c>
      <c r="BJ78" s="31">
        <f t="shared" si="51"/>
        <v>0</v>
      </c>
      <c r="BK78" s="31">
        <f t="shared" si="52"/>
        <v>0</v>
      </c>
      <c r="BL78" s="255">
        <f t="shared" si="53"/>
        <v>0</v>
      </c>
      <c r="BM78" s="31">
        <f t="shared" si="54"/>
        <v>0</v>
      </c>
      <c r="BN78" s="255">
        <f t="shared" si="55"/>
        <v>0</v>
      </c>
    </row>
    <row r="79" spans="1:66" x14ac:dyDescent="0.25">
      <c r="A79" s="18" t="s">
        <v>1964</v>
      </c>
      <c r="B79" s="186" t="str">
        <f>VLOOKUP(A79,kurspris!$A$1:$B$877,2,FALSE)</f>
        <v>Naturens mångfald för naturkunskapslärare</v>
      </c>
      <c r="C79" s="37"/>
      <c r="D79" s="31" t="s">
        <v>483</v>
      </c>
      <c r="E79" s="31" t="s">
        <v>1788</v>
      </c>
      <c r="F79" s="59" t="s">
        <v>1931</v>
      </c>
      <c r="G79" s="31" t="s">
        <v>2267</v>
      </c>
      <c r="J79" t="s">
        <v>1594</v>
      </c>
      <c r="L79" s="31">
        <v>100</v>
      </c>
      <c r="M79" s="31">
        <v>15</v>
      </c>
      <c r="P79" s="31">
        <v>1</v>
      </c>
      <c r="Q79" s="232">
        <f t="shared" si="28"/>
        <v>0.25</v>
      </c>
      <c r="R79" s="40">
        <v>0.85</v>
      </c>
      <c r="S79" s="334">
        <f t="shared" si="29"/>
        <v>0.21249999999999999</v>
      </c>
      <c r="T79" s="31">
        <f>VLOOKUP(A79,'Ansvar kurs'!$A$1:$C$1010,2,FALSE)</f>
        <v>5100</v>
      </c>
      <c r="U79" s="31" t="str">
        <f>VLOOKUP(T79,Orgenheter!$A$1:$C$165,2,FALSE)</f>
        <v>EMG</v>
      </c>
      <c r="V79" s="31" t="str">
        <f>VLOOKUP(T79,Orgenheter!$A$1:$C$165,3,FALSE)</f>
        <v>TekNat</v>
      </c>
      <c r="W79" s="37" t="str">
        <f>VLOOKUP(D79,Program!$A$1:$B$34,2,FALSE)</f>
        <v>Ämneslärarprogrammet - Gy</v>
      </c>
      <c r="X79" s="42">
        <f>VLOOKUP(A79,kurspris!$A$1:$Q$798,15,FALSE)</f>
        <v>19473</v>
      </c>
      <c r="Y79" s="42">
        <f>VLOOKUP(A79,kurspris!$A$1:$Q$798,16,FALSE)</f>
        <v>34806</v>
      </c>
      <c r="Z79" s="42">
        <f t="shared" si="30"/>
        <v>12264.525</v>
      </c>
      <c r="AA79" s="42">
        <f>VLOOKUP(A79,kurspris!$A$1:$Q$798,17,FALSE)</f>
        <v>21800</v>
      </c>
      <c r="AB79" s="42">
        <f t="shared" si="31"/>
        <v>5450</v>
      </c>
      <c r="AC79" s="42">
        <f t="shared" si="32"/>
        <v>17714.525000000001</v>
      </c>
      <c r="AD79" s="31">
        <f>VLOOKUP($A79,kurspris!$A$1:$Q$835,3,FALSE)</f>
        <v>0</v>
      </c>
      <c r="AE79" s="31">
        <f>VLOOKUP($A79,kurspris!$A$1:$Q$835,4,FALSE)</f>
        <v>0</v>
      </c>
      <c r="AF79" s="31">
        <f>VLOOKUP($A79,kurspris!$A$1:$Q$835,5,FALSE)</f>
        <v>0</v>
      </c>
      <c r="AG79" s="31">
        <f>VLOOKUP($A79,kurspris!$A$1:$Q$835,6,FALSE)</f>
        <v>0</v>
      </c>
      <c r="AH79" s="31">
        <f>VLOOKUP($A79,kurspris!$A$1:$Q$835,7,FALSE)</f>
        <v>0</v>
      </c>
      <c r="AI79" s="31">
        <f>VLOOKUP($A79,kurspris!$A$1:$Q$835,8,FALSE)</f>
        <v>1</v>
      </c>
      <c r="AJ79" s="31">
        <f>VLOOKUP($A79,kurspris!$A$1:$Q$835,9,FALSE)</f>
        <v>0</v>
      </c>
      <c r="AK79" s="31">
        <f>VLOOKUP($A79,kurspris!$A$1:$Q$835,10,FALSE)</f>
        <v>0</v>
      </c>
      <c r="AL79" s="31">
        <f>VLOOKUP($A79,kurspris!$A$1:$Q$835,11,FALSE)</f>
        <v>0</v>
      </c>
      <c r="AM79" s="31">
        <f>VLOOKUP($A79,kurspris!$A$1:$Q$835,12,FALSE)</f>
        <v>0</v>
      </c>
      <c r="AN79" s="31">
        <f>VLOOKUP($A79,kurspris!$A$1:$Q$835,13,FALSE)</f>
        <v>0</v>
      </c>
      <c r="AO79" s="31">
        <f>VLOOKUP($A79,kurspris!$A$1:$Q$835,14,FALSE)</f>
        <v>0</v>
      </c>
      <c r="AP79" s="39" t="s">
        <v>2326</v>
      </c>
      <c r="AQ79"/>
      <c r="AR79" s="31">
        <f t="shared" si="33"/>
        <v>0</v>
      </c>
      <c r="AS79" s="255">
        <f t="shared" si="34"/>
        <v>0</v>
      </c>
      <c r="AT79" s="31">
        <f t="shared" si="35"/>
        <v>0</v>
      </c>
      <c r="AU79" s="255">
        <f t="shared" si="36"/>
        <v>0</v>
      </c>
      <c r="AV79" s="31">
        <f t="shared" si="37"/>
        <v>0</v>
      </c>
      <c r="AW79" s="31">
        <f t="shared" si="38"/>
        <v>0</v>
      </c>
      <c r="AX79" s="31">
        <f t="shared" si="39"/>
        <v>0</v>
      </c>
      <c r="AY79" s="255">
        <f t="shared" si="40"/>
        <v>0</v>
      </c>
      <c r="AZ79" s="232">
        <f t="shared" si="41"/>
        <v>0</v>
      </c>
      <c r="BA79" s="255">
        <f t="shared" si="42"/>
        <v>0</v>
      </c>
      <c r="BB79" s="31">
        <f t="shared" si="43"/>
        <v>0.25</v>
      </c>
      <c r="BC79" s="255">
        <f t="shared" si="44"/>
        <v>0.21249999999999999</v>
      </c>
      <c r="BD79" s="31">
        <f t="shared" si="45"/>
        <v>0</v>
      </c>
      <c r="BE79" s="255">
        <f t="shared" si="46"/>
        <v>0</v>
      </c>
      <c r="BF79" s="31">
        <f t="shared" si="47"/>
        <v>0</v>
      </c>
      <c r="BG79" s="255">
        <f t="shared" si="48"/>
        <v>0</v>
      </c>
      <c r="BH79" s="31">
        <f t="shared" si="49"/>
        <v>0</v>
      </c>
      <c r="BI79" s="255">
        <f t="shared" si="50"/>
        <v>0</v>
      </c>
      <c r="BJ79" s="31">
        <f t="shared" si="51"/>
        <v>0</v>
      </c>
      <c r="BK79" s="31">
        <f t="shared" si="52"/>
        <v>0</v>
      </c>
      <c r="BL79" s="255">
        <f t="shared" si="53"/>
        <v>0</v>
      </c>
      <c r="BM79" s="31">
        <f t="shared" si="54"/>
        <v>0</v>
      </c>
      <c r="BN79" s="255">
        <f t="shared" si="55"/>
        <v>0</v>
      </c>
    </row>
    <row r="80" spans="1:66" x14ac:dyDescent="0.25">
      <c r="A80" s="18" t="s">
        <v>1955</v>
      </c>
      <c r="B80" s="186" t="str">
        <f>VLOOKUP(A80,kurspris!$A$1:$B$877,2,FALSE)</f>
        <v>Artkunskap och systematik för biologilärare</v>
      </c>
      <c r="C80" s="37"/>
      <c r="D80" s="31" t="s">
        <v>483</v>
      </c>
      <c r="E80" s="31" t="s">
        <v>1973</v>
      </c>
      <c r="F80" s="59" t="s">
        <v>1931</v>
      </c>
      <c r="G80" s="31" t="s">
        <v>2267</v>
      </c>
      <c r="J80" t="s">
        <v>1952</v>
      </c>
      <c r="L80" s="31">
        <v>100</v>
      </c>
      <c r="M80" s="31">
        <v>15</v>
      </c>
      <c r="P80" s="31">
        <v>1</v>
      </c>
      <c r="Q80" s="232">
        <f t="shared" si="28"/>
        <v>0.25</v>
      </c>
      <c r="R80" s="40">
        <v>0.85</v>
      </c>
      <c r="S80" s="334">
        <f t="shared" si="29"/>
        <v>0.21249999999999999</v>
      </c>
      <c r="T80" s="31">
        <f>VLOOKUP(A80,'Ansvar kurs'!$A$1:$C$1010,2,FALSE)</f>
        <v>5100</v>
      </c>
      <c r="U80" s="31" t="str">
        <f>VLOOKUP(T80,Orgenheter!$A$1:$C$165,2,FALSE)</f>
        <v>EMG</v>
      </c>
      <c r="V80" s="31" t="str">
        <f>VLOOKUP(T80,Orgenheter!$A$1:$C$165,3,FALSE)</f>
        <v>TekNat</v>
      </c>
      <c r="W80" s="37" t="str">
        <f>VLOOKUP(D80,Program!$A$1:$B$34,2,FALSE)</f>
        <v>Ämneslärarprogrammet - Gy</v>
      </c>
      <c r="X80" s="42">
        <f>VLOOKUP(A80,kurspris!$A$1:$Q$798,15,FALSE)</f>
        <v>19473</v>
      </c>
      <c r="Y80" s="42">
        <f>VLOOKUP(A80,kurspris!$A$1:$Q$798,16,FALSE)</f>
        <v>34806</v>
      </c>
      <c r="Z80" s="42">
        <f t="shared" si="30"/>
        <v>12264.525</v>
      </c>
      <c r="AA80" s="42">
        <f>VLOOKUP(A80,kurspris!$A$1:$Q$798,17,FALSE)</f>
        <v>21800</v>
      </c>
      <c r="AB80" s="42">
        <f t="shared" si="31"/>
        <v>5450</v>
      </c>
      <c r="AC80" s="42">
        <f t="shared" si="32"/>
        <v>17714.525000000001</v>
      </c>
      <c r="AD80" s="31">
        <f>VLOOKUP($A80,kurspris!$A$1:$Q$835,3,FALSE)</f>
        <v>0</v>
      </c>
      <c r="AE80" s="31">
        <f>VLOOKUP($A80,kurspris!$A$1:$Q$835,4,FALSE)</f>
        <v>0</v>
      </c>
      <c r="AF80" s="31">
        <f>VLOOKUP($A80,kurspris!$A$1:$Q$835,5,FALSE)</f>
        <v>0</v>
      </c>
      <c r="AG80" s="31">
        <f>VLOOKUP($A80,kurspris!$A$1:$Q$835,6,FALSE)</f>
        <v>0</v>
      </c>
      <c r="AH80" s="31">
        <f>VLOOKUP($A80,kurspris!$A$1:$Q$835,7,FALSE)</f>
        <v>0</v>
      </c>
      <c r="AI80" s="31">
        <f>VLOOKUP($A80,kurspris!$A$1:$Q$835,8,FALSE)</f>
        <v>1</v>
      </c>
      <c r="AJ80" s="31">
        <f>VLOOKUP($A80,kurspris!$A$1:$Q$835,9,FALSE)</f>
        <v>0</v>
      </c>
      <c r="AK80" s="31">
        <f>VLOOKUP($A80,kurspris!$A$1:$Q$835,10,FALSE)</f>
        <v>0</v>
      </c>
      <c r="AL80" s="31">
        <f>VLOOKUP($A80,kurspris!$A$1:$Q$835,11,FALSE)</f>
        <v>0</v>
      </c>
      <c r="AM80" s="31">
        <f>VLOOKUP($A80,kurspris!$A$1:$Q$835,12,FALSE)</f>
        <v>0</v>
      </c>
      <c r="AN80" s="31">
        <f>VLOOKUP($A80,kurspris!$A$1:$Q$835,13,FALSE)</f>
        <v>0</v>
      </c>
      <c r="AO80" s="31">
        <f>VLOOKUP($A80,kurspris!$A$1:$Q$835,14,FALSE)</f>
        <v>0</v>
      </c>
      <c r="AP80" s="39" t="s">
        <v>2326</v>
      </c>
      <c r="AQ80"/>
      <c r="AR80" s="31">
        <f t="shared" si="33"/>
        <v>0</v>
      </c>
      <c r="AS80" s="255">
        <f t="shared" si="34"/>
        <v>0</v>
      </c>
      <c r="AT80" s="31">
        <f t="shared" si="35"/>
        <v>0</v>
      </c>
      <c r="AU80" s="255">
        <f t="shared" si="36"/>
        <v>0</v>
      </c>
      <c r="AV80" s="31">
        <f t="shared" si="37"/>
        <v>0</v>
      </c>
      <c r="AW80" s="31">
        <f t="shared" si="38"/>
        <v>0</v>
      </c>
      <c r="AX80" s="31">
        <f t="shared" si="39"/>
        <v>0</v>
      </c>
      <c r="AY80" s="255">
        <f t="shared" si="40"/>
        <v>0</v>
      </c>
      <c r="AZ80" s="232">
        <f t="shared" si="41"/>
        <v>0</v>
      </c>
      <c r="BA80" s="255">
        <f t="shared" si="42"/>
        <v>0</v>
      </c>
      <c r="BB80" s="31">
        <f t="shared" si="43"/>
        <v>0.25</v>
      </c>
      <c r="BC80" s="255">
        <f t="shared" si="44"/>
        <v>0.21249999999999999</v>
      </c>
      <c r="BD80" s="31">
        <f t="shared" si="45"/>
        <v>0</v>
      </c>
      <c r="BE80" s="255">
        <f t="shared" si="46"/>
        <v>0</v>
      </c>
      <c r="BF80" s="31">
        <f t="shared" si="47"/>
        <v>0</v>
      </c>
      <c r="BG80" s="255">
        <f t="shared" si="48"/>
        <v>0</v>
      </c>
      <c r="BH80" s="31">
        <f t="shared" si="49"/>
        <v>0</v>
      </c>
      <c r="BI80" s="255">
        <f t="shared" si="50"/>
        <v>0</v>
      </c>
      <c r="BJ80" s="31">
        <f t="shared" si="51"/>
        <v>0</v>
      </c>
      <c r="BK80" s="31">
        <f t="shared" si="52"/>
        <v>0</v>
      </c>
      <c r="BL80" s="255">
        <f t="shared" si="53"/>
        <v>0</v>
      </c>
      <c r="BM80" s="31">
        <f t="shared" si="54"/>
        <v>0</v>
      </c>
      <c r="BN80" s="255">
        <f t="shared" si="55"/>
        <v>0</v>
      </c>
    </row>
    <row r="81" spans="1:66" x14ac:dyDescent="0.25">
      <c r="A81" s="18" t="s">
        <v>1955</v>
      </c>
      <c r="B81" s="186" t="str">
        <f>VLOOKUP(A81,kurspris!$A$1:$B$877,2,FALSE)</f>
        <v>Artkunskap och systematik för biologilärare</v>
      </c>
      <c r="C81" s="37"/>
      <c r="D81" s="31" t="s">
        <v>483</v>
      </c>
      <c r="E81" s="31" t="s">
        <v>1973</v>
      </c>
      <c r="F81" s="59" t="s">
        <v>1931</v>
      </c>
      <c r="G81" s="31" t="s">
        <v>2267</v>
      </c>
      <c r="J81" t="s">
        <v>773</v>
      </c>
      <c r="L81" s="31">
        <v>100</v>
      </c>
      <c r="M81" s="31">
        <v>15</v>
      </c>
      <c r="P81" s="31">
        <v>1</v>
      </c>
      <c r="Q81" s="232">
        <f t="shared" si="28"/>
        <v>0.25</v>
      </c>
      <c r="R81" s="40">
        <v>0.85</v>
      </c>
      <c r="S81" s="334">
        <f t="shared" si="29"/>
        <v>0.21249999999999999</v>
      </c>
      <c r="T81" s="31">
        <f>VLOOKUP(A81,'Ansvar kurs'!$A$1:$C$1010,2,FALSE)</f>
        <v>5100</v>
      </c>
      <c r="U81" s="31" t="str">
        <f>VLOOKUP(T81,Orgenheter!$A$1:$C$165,2,FALSE)</f>
        <v>EMG</v>
      </c>
      <c r="V81" s="31" t="str">
        <f>VLOOKUP(T81,Orgenheter!$A$1:$C$165,3,FALSE)</f>
        <v>TekNat</v>
      </c>
      <c r="W81" s="37" t="str">
        <f>VLOOKUP(D81,Program!$A$1:$B$34,2,FALSE)</f>
        <v>Ämneslärarprogrammet - Gy</v>
      </c>
      <c r="X81" s="42">
        <f>VLOOKUP(A81,kurspris!$A$1:$Q$798,15,FALSE)</f>
        <v>19473</v>
      </c>
      <c r="Y81" s="42">
        <f>VLOOKUP(A81,kurspris!$A$1:$Q$798,16,FALSE)</f>
        <v>34806</v>
      </c>
      <c r="Z81" s="42">
        <f t="shared" si="30"/>
        <v>12264.525</v>
      </c>
      <c r="AA81" s="42">
        <f>VLOOKUP(A81,kurspris!$A$1:$Q$798,17,FALSE)</f>
        <v>21800</v>
      </c>
      <c r="AB81" s="42">
        <f t="shared" si="31"/>
        <v>5450</v>
      </c>
      <c r="AC81" s="42">
        <f t="shared" si="32"/>
        <v>17714.525000000001</v>
      </c>
      <c r="AD81" s="31">
        <f>VLOOKUP($A81,kurspris!$A$1:$Q$835,3,FALSE)</f>
        <v>0</v>
      </c>
      <c r="AE81" s="31">
        <f>VLOOKUP($A81,kurspris!$A$1:$Q$835,4,FALSE)</f>
        <v>0</v>
      </c>
      <c r="AF81" s="31">
        <f>VLOOKUP($A81,kurspris!$A$1:$Q$835,5,FALSE)</f>
        <v>0</v>
      </c>
      <c r="AG81" s="31">
        <f>VLOOKUP($A81,kurspris!$A$1:$Q$835,6,FALSE)</f>
        <v>0</v>
      </c>
      <c r="AH81" s="31">
        <f>VLOOKUP($A81,kurspris!$A$1:$Q$835,7,FALSE)</f>
        <v>0</v>
      </c>
      <c r="AI81" s="31">
        <f>VLOOKUP($A81,kurspris!$A$1:$Q$835,8,FALSE)</f>
        <v>1</v>
      </c>
      <c r="AJ81" s="31">
        <f>VLOOKUP($A81,kurspris!$A$1:$Q$835,9,FALSE)</f>
        <v>0</v>
      </c>
      <c r="AK81" s="31">
        <f>VLOOKUP($A81,kurspris!$A$1:$Q$835,10,FALSE)</f>
        <v>0</v>
      </c>
      <c r="AL81" s="31">
        <f>VLOOKUP($A81,kurspris!$A$1:$Q$835,11,FALSE)</f>
        <v>0</v>
      </c>
      <c r="AM81" s="31">
        <f>VLOOKUP($A81,kurspris!$A$1:$Q$835,12,FALSE)</f>
        <v>0</v>
      </c>
      <c r="AN81" s="31">
        <f>VLOOKUP($A81,kurspris!$A$1:$Q$835,13,FALSE)</f>
        <v>0</v>
      </c>
      <c r="AO81" s="31">
        <f>VLOOKUP($A81,kurspris!$A$1:$Q$835,14,FALSE)</f>
        <v>0</v>
      </c>
      <c r="AP81" s="39" t="s">
        <v>2326</v>
      </c>
      <c r="AQ81"/>
      <c r="AR81" s="31">
        <f t="shared" si="33"/>
        <v>0</v>
      </c>
      <c r="AS81" s="255">
        <f t="shared" si="34"/>
        <v>0</v>
      </c>
      <c r="AT81" s="31">
        <f t="shared" si="35"/>
        <v>0</v>
      </c>
      <c r="AU81" s="255">
        <f t="shared" si="36"/>
        <v>0</v>
      </c>
      <c r="AV81" s="31">
        <f t="shared" si="37"/>
        <v>0</v>
      </c>
      <c r="AW81" s="31">
        <f t="shared" si="38"/>
        <v>0</v>
      </c>
      <c r="AX81" s="31">
        <f t="shared" si="39"/>
        <v>0</v>
      </c>
      <c r="AY81" s="255">
        <f t="shared" si="40"/>
        <v>0</v>
      </c>
      <c r="AZ81" s="232">
        <f t="shared" si="41"/>
        <v>0</v>
      </c>
      <c r="BA81" s="255">
        <f t="shared" si="42"/>
        <v>0</v>
      </c>
      <c r="BB81" s="31">
        <f t="shared" si="43"/>
        <v>0.25</v>
      </c>
      <c r="BC81" s="255">
        <f t="shared" si="44"/>
        <v>0.21249999999999999</v>
      </c>
      <c r="BD81" s="31">
        <f t="shared" si="45"/>
        <v>0</v>
      </c>
      <c r="BE81" s="255">
        <f t="shared" si="46"/>
        <v>0</v>
      </c>
      <c r="BF81" s="31">
        <f t="shared" si="47"/>
        <v>0</v>
      </c>
      <c r="BG81" s="255">
        <f t="shared" si="48"/>
        <v>0</v>
      </c>
      <c r="BH81" s="31">
        <f t="shared" si="49"/>
        <v>0</v>
      </c>
      <c r="BI81" s="255">
        <f t="shared" si="50"/>
        <v>0</v>
      </c>
      <c r="BJ81" s="31">
        <f t="shared" si="51"/>
        <v>0</v>
      </c>
      <c r="BK81" s="31">
        <f t="shared" si="52"/>
        <v>0</v>
      </c>
      <c r="BL81" s="255">
        <f t="shared" si="53"/>
        <v>0</v>
      </c>
      <c r="BM81" s="31">
        <f t="shared" si="54"/>
        <v>0</v>
      </c>
      <c r="BN81" s="255">
        <f t="shared" si="55"/>
        <v>0</v>
      </c>
    </row>
    <row r="82" spans="1:66" x14ac:dyDescent="0.25">
      <c r="A82" s="18" t="s">
        <v>1955</v>
      </c>
      <c r="B82" s="186" t="str">
        <f>VLOOKUP(A82,kurspris!$A$1:$B$877,2,FALSE)</f>
        <v>Artkunskap och systematik för biologilärare</v>
      </c>
      <c r="C82" s="37"/>
      <c r="D82" s="31" t="s">
        <v>483</v>
      </c>
      <c r="E82" s="31" t="s">
        <v>1973</v>
      </c>
      <c r="F82" s="59" t="s">
        <v>1931</v>
      </c>
      <c r="G82" s="31" t="s">
        <v>2267</v>
      </c>
      <c r="J82" t="s">
        <v>774</v>
      </c>
      <c r="L82" s="31">
        <v>100</v>
      </c>
      <c r="M82" s="31">
        <v>15</v>
      </c>
      <c r="P82" s="31">
        <v>1</v>
      </c>
      <c r="Q82" s="232">
        <f t="shared" si="28"/>
        <v>0.25</v>
      </c>
      <c r="R82" s="40">
        <v>0.85</v>
      </c>
      <c r="S82" s="334">
        <f t="shared" si="29"/>
        <v>0.21249999999999999</v>
      </c>
      <c r="T82" s="31">
        <f>VLOOKUP(A82,'Ansvar kurs'!$A$1:$C$1010,2,FALSE)</f>
        <v>5100</v>
      </c>
      <c r="U82" s="31" t="str">
        <f>VLOOKUP(T82,Orgenheter!$A$1:$C$165,2,FALSE)</f>
        <v>EMG</v>
      </c>
      <c r="V82" s="31" t="str">
        <f>VLOOKUP(T82,Orgenheter!$A$1:$C$165,3,FALSE)</f>
        <v>TekNat</v>
      </c>
      <c r="W82" s="37" t="str">
        <f>VLOOKUP(D82,Program!$A$1:$B$34,2,FALSE)</f>
        <v>Ämneslärarprogrammet - Gy</v>
      </c>
      <c r="X82" s="42">
        <f>VLOOKUP(A82,kurspris!$A$1:$Q$798,15,FALSE)</f>
        <v>19473</v>
      </c>
      <c r="Y82" s="42">
        <f>VLOOKUP(A82,kurspris!$A$1:$Q$798,16,FALSE)</f>
        <v>34806</v>
      </c>
      <c r="Z82" s="42">
        <f t="shared" si="30"/>
        <v>12264.525</v>
      </c>
      <c r="AA82" s="42">
        <f>VLOOKUP(A82,kurspris!$A$1:$Q$798,17,FALSE)</f>
        <v>21800</v>
      </c>
      <c r="AB82" s="42">
        <f t="shared" si="31"/>
        <v>5450</v>
      </c>
      <c r="AC82" s="42">
        <f t="shared" si="32"/>
        <v>17714.525000000001</v>
      </c>
      <c r="AD82" s="31">
        <f>VLOOKUP($A82,kurspris!$A$1:$Q$835,3,FALSE)</f>
        <v>0</v>
      </c>
      <c r="AE82" s="31">
        <f>VLOOKUP($A82,kurspris!$A$1:$Q$835,4,FALSE)</f>
        <v>0</v>
      </c>
      <c r="AF82" s="31">
        <f>VLOOKUP($A82,kurspris!$A$1:$Q$835,5,FALSE)</f>
        <v>0</v>
      </c>
      <c r="AG82" s="31">
        <f>VLOOKUP($A82,kurspris!$A$1:$Q$835,6,FALSE)</f>
        <v>0</v>
      </c>
      <c r="AH82" s="31">
        <f>VLOOKUP($A82,kurspris!$A$1:$Q$835,7,FALSE)</f>
        <v>0</v>
      </c>
      <c r="AI82" s="31">
        <f>VLOOKUP($A82,kurspris!$A$1:$Q$835,8,FALSE)</f>
        <v>1</v>
      </c>
      <c r="AJ82" s="31">
        <f>VLOOKUP($A82,kurspris!$A$1:$Q$835,9,FALSE)</f>
        <v>0</v>
      </c>
      <c r="AK82" s="31">
        <f>VLOOKUP($A82,kurspris!$A$1:$Q$835,10,FALSE)</f>
        <v>0</v>
      </c>
      <c r="AL82" s="31">
        <f>VLOOKUP($A82,kurspris!$A$1:$Q$835,11,FALSE)</f>
        <v>0</v>
      </c>
      <c r="AM82" s="31">
        <f>VLOOKUP($A82,kurspris!$A$1:$Q$835,12,FALSE)</f>
        <v>0</v>
      </c>
      <c r="AN82" s="31">
        <f>VLOOKUP($A82,kurspris!$A$1:$Q$835,13,FALSE)</f>
        <v>0</v>
      </c>
      <c r="AO82" s="31">
        <f>VLOOKUP($A82,kurspris!$A$1:$Q$835,14,FALSE)</f>
        <v>0</v>
      </c>
      <c r="AP82" s="39" t="s">
        <v>2326</v>
      </c>
      <c r="AQ82"/>
      <c r="AR82" s="31">
        <f t="shared" si="33"/>
        <v>0</v>
      </c>
      <c r="AS82" s="255">
        <f t="shared" si="34"/>
        <v>0</v>
      </c>
      <c r="AT82" s="31">
        <f t="shared" si="35"/>
        <v>0</v>
      </c>
      <c r="AU82" s="255">
        <f t="shared" si="36"/>
        <v>0</v>
      </c>
      <c r="AV82" s="31">
        <f t="shared" si="37"/>
        <v>0</v>
      </c>
      <c r="AW82" s="31">
        <f t="shared" si="38"/>
        <v>0</v>
      </c>
      <c r="AX82" s="31">
        <f t="shared" si="39"/>
        <v>0</v>
      </c>
      <c r="AY82" s="255">
        <f t="shared" si="40"/>
        <v>0</v>
      </c>
      <c r="AZ82" s="232">
        <f t="shared" si="41"/>
        <v>0</v>
      </c>
      <c r="BA82" s="255">
        <f t="shared" si="42"/>
        <v>0</v>
      </c>
      <c r="BB82" s="31">
        <f t="shared" si="43"/>
        <v>0.25</v>
      </c>
      <c r="BC82" s="255">
        <f t="shared" si="44"/>
        <v>0.21249999999999999</v>
      </c>
      <c r="BD82" s="31">
        <f t="shared" si="45"/>
        <v>0</v>
      </c>
      <c r="BE82" s="255">
        <f t="shared" si="46"/>
        <v>0</v>
      </c>
      <c r="BF82" s="31">
        <f t="shared" si="47"/>
        <v>0</v>
      </c>
      <c r="BG82" s="255">
        <f t="shared" si="48"/>
        <v>0</v>
      </c>
      <c r="BH82" s="31">
        <f t="shared" si="49"/>
        <v>0</v>
      </c>
      <c r="BI82" s="255">
        <f t="shared" si="50"/>
        <v>0</v>
      </c>
      <c r="BJ82" s="31">
        <f t="shared" si="51"/>
        <v>0</v>
      </c>
      <c r="BK82" s="31">
        <f t="shared" si="52"/>
        <v>0</v>
      </c>
      <c r="BL82" s="255">
        <f t="shared" si="53"/>
        <v>0</v>
      </c>
      <c r="BM82" s="31">
        <f t="shared" si="54"/>
        <v>0</v>
      </c>
      <c r="BN82" s="255">
        <f t="shared" si="55"/>
        <v>0</v>
      </c>
    </row>
    <row r="83" spans="1:66" x14ac:dyDescent="0.25">
      <c r="A83" s="18" t="s">
        <v>1955</v>
      </c>
      <c r="B83" s="186" t="str">
        <f>VLOOKUP(A83,kurspris!$A$1:$B$877,2,FALSE)</f>
        <v>Artkunskap och systematik för biologilärare</v>
      </c>
      <c r="C83" s="37"/>
      <c r="D83" s="31" t="s">
        <v>483</v>
      </c>
      <c r="E83" s="31" t="s">
        <v>1788</v>
      </c>
      <c r="F83" s="59" t="s">
        <v>1931</v>
      </c>
      <c r="G83" s="31" t="s">
        <v>2267</v>
      </c>
      <c r="J83" t="s">
        <v>1591</v>
      </c>
      <c r="L83" s="31">
        <v>100</v>
      </c>
      <c r="M83" s="31">
        <v>15</v>
      </c>
      <c r="P83" s="31">
        <v>5</v>
      </c>
      <c r="Q83" s="232">
        <f t="shared" si="28"/>
        <v>1.25</v>
      </c>
      <c r="R83" s="40">
        <v>0.85</v>
      </c>
      <c r="S83" s="334">
        <f t="shared" si="29"/>
        <v>1.0625</v>
      </c>
      <c r="T83" s="31">
        <f>VLOOKUP(A83,'Ansvar kurs'!$A$1:$C$1010,2,FALSE)</f>
        <v>5100</v>
      </c>
      <c r="U83" s="31" t="str">
        <f>VLOOKUP(T83,Orgenheter!$A$1:$C$165,2,FALSE)</f>
        <v>EMG</v>
      </c>
      <c r="V83" s="31" t="str">
        <f>VLOOKUP(T83,Orgenheter!$A$1:$C$165,3,FALSE)</f>
        <v>TekNat</v>
      </c>
      <c r="W83" s="37" t="str">
        <f>VLOOKUP(D83,Program!$A$1:$B$34,2,FALSE)</f>
        <v>Ämneslärarprogrammet - Gy</v>
      </c>
      <c r="X83" s="42">
        <f>VLOOKUP(A83,kurspris!$A$1:$Q$798,15,FALSE)</f>
        <v>19473</v>
      </c>
      <c r="Y83" s="42">
        <f>VLOOKUP(A83,kurspris!$A$1:$Q$798,16,FALSE)</f>
        <v>34806</v>
      </c>
      <c r="Z83" s="42">
        <f t="shared" si="30"/>
        <v>61322.625</v>
      </c>
      <c r="AA83" s="42">
        <f>VLOOKUP(A83,kurspris!$A$1:$Q$798,17,FALSE)</f>
        <v>21800</v>
      </c>
      <c r="AB83" s="42">
        <f t="shared" si="31"/>
        <v>27250</v>
      </c>
      <c r="AC83" s="42">
        <f t="shared" si="32"/>
        <v>88572.625</v>
      </c>
      <c r="AD83" s="31">
        <f>VLOOKUP($A83,kurspris!$A$1:$Q$835,3,FALSE)</f>
        <v>0</v>
      </c>
      <c r="AE83" s="31">
        <f>VLOOKUP($A83,kurspris!$A$1:$Q$835,4,FALSE)</f>
        <v>0</v>
      </c>
      <c r="AF83" s="31">
        <f>VLOOKUP($A83,kurspris!$A$1:$Q$835,5,FALSE)</f>
        <v>0</v>
      </c>
      <c r="AG83" s="31">
        <f>VLOOKUP($A83,kurspris!$A$1:$Q$835,6,FALSE)</f>
        <v>0</v>
      </c>
      <c r="AH83" s="31">
        <f>VLOOKUP($A83,kurspris!$A$1:$Q$835,7,FALSE)</f>
        <v>0</v>
      </c>
      <c r="AI83" s="31">
        <f>VLOOKUP($A83,kurspris!$A$1:$Q$835,8,FALSE)</f>
        <v>1</v>
      </c>
      <c r="AJ83" s="31">
        <f>VLOOKUP($A83,kurspris!$A$1:$Q$835,9,FALSE)</f>
        <v>0</v>
      </c>
      <c r="AK83" s="31">
        <f>VLOOKUP($A83,kurspris!$A$1:$Q$835,10,FALSE)</f>
        <v>0</v>
      </c>
      <c r="AL83" s="31">
        <f>VLOOKUP($A83,kurspris!$A$1:$Q$835,11,FALSE)</f>
        <v>0</v>
      </c>
      <c r="AM83" s="31">
        <f>VLOOKUP($A83,kurspris!$A$1:$Q$835,12,FALSE)</f>
        <v>0</v>
      </c>
      <c r="AN83" s="31">
        <f>VLOOKUP($A83,kurspris!$A$1:$Q$835,13,FALSE)</f>
        <v>0</v>
      </c>
      <c r="AO83" s="31">
        <f>VLOOKUP($A83,kurspris!$A$1:$Q$835,14,FALSE)</f>
        <v>0</v>
      </c>
      <c r="AP83" s="39" t="s">
        <v>2326</v>
      </c>
      <c r="AQ83"/>
      <c r="AR83" s="31">
        <f t="shared" si="33"/>
        <v>0</v>
      </c>
      <c r="AS83" s="255">
        <f t="shared" si="34"/>
        <v>0</v>
      </c>
      <c r="AT83" s="31">
        <f t="shared" si="35"/>
        <v>0</v>
      </c>
      <c r="AU83" s="255">
        <f t="shared" si="36"/>
        <v>0</v>
      </c>
      <c r="AV83" s="31">
        <f t="shared" si="37"/>
        <v>0</v>
      </c>
      <c r="AW83" s="31">
        <f t="shared" si="38"/>
        <v>0</v>
      </c>
      <c r="AX83" s="31">
        <f t="shared" si="39"/>
        <v>0</v>
      </c>
      <c r="AY83" s="255">
        <f t="shared" si="40"/>
        <v>0</v>
      </c>
      <c r="AZ83" s="232">
        <f t="shared" si="41"/>
        <v>0</v>
      </c>
      <c r="BA83" s="255">
        <f t="shared" si="42"/>
        <v>0</v>
      </c>
      <c r="BB83" s="31">
        <f t="shared" si="43"/>
        <v>1.25</v>
      </c>
      <c r="BC83" s="255">
        <f t="shared" si="44"/>
        <v>1.0625</v>
      </c>
      <c r="BD83" s="31">
        <f t="shared" si="45"/>
        <v>0</v>
      </c>
      <c r="BE83" s="255">
        <f t="shared" si="46"/>
        <v>0</v>
      </c>
      <c r="BF83" s="31">
        <f t="shared" si="47"/>
        <v>0</v>
      </c>
      <c r="BG83" s="255">
        <f t="shared" si="48"/>
        <v>0</v>
      </c>
      <c r="BH83" s="31">
        <f t="shared" si="49"/>
        <v>0</v>
      </c>
      <c r="BI83" s="255">
        <f t="shared" si="50"/>
        <v>0</v>
      </c>
      <c r="BJ83" s="31">
        <f t="shared" si="51"/>
        <v>0</v>
      </c>
      <c r="BK83" s="31">
        <f t="shared" si="52"/>
        <v>0</v>
      </c>
      <c r="BL83" s="255">
        <f t="shared" si="53"/>
        <v>0</v>
      </c>
      <c r="BM83" s="31">
        <f t="shared" si="54"/>
        <v>0</v>
      </c>
      <c r="BN83" s="255">
        <f t="shared" si="55"/>
        <v>0</v>
      </c>
    </row>
    <row r="84" spans="1:66" x14ac:dyDescent="0.25">
      <c r="A84" s="18" t="s">
        <v>1496</v>
      </c>
      <c r="B84" s="186" t="str">
        <f>VLOOKUP(A84,kurspris!$A$1:$B$877,2,FALSE)</f>
        <v>Biologididaktik för ämneslärare för åk 7-9</v>
      </c>
      <c r="C84" s="37"/>
      <c r="D84" t="s">
        <v>117</v>
      </c>
      <c r="E84"/>
      <c r="F84" s="59" t="s">
        <v>1930</v>
      </c>
      <c r="G84"/>
      <c r="H84"/>
      <c r="I84" t="s">
        <v>1634</v>
      </c>
      <c r="L84">
        <v>50</v>
      </c>
      <c r="M84">
        <v>7.5</v>
      </c>
      <c r="P84" s="31">
        <v>0</v>
      </c>
      <c r="Q84" s="232">
        <f t="shared" si="28"/>
        <v>0</v>
      </c>
      <c r="R84" s="40">
        <v>0.8</v>
      </c>
      <c r="S84" s="334">
        <f t="shared" si="29"/>
        <v>0</v>
      </c>
      <c r="T84" s="31">
        <f>VLOOKUP(A84,'Ansvar kurs'!$A$1:$C$1010,2,FALSE)</f>
        <v>5740</v>
      </c>
      <c r="U84" s="31" t="str">
        <f>VLOOKUP(T84,Orgenheter!$A$1:$C$165,2,FALSE)</f>
        <v>NMD</v>
      </c>
      <c r="V84" s="31" t="str">
        <f>VLOOKUP(T84,Orgenheter!$A$1:$C$165,3,FALSE)</f>
        <v>TekNat</v>
      </c>
      <c r="W84" s="37" t="str">
        <f>VLOOKUP(D84,Program!$A$1:$B$34,2,FALSE)</f>
        <v>Fristående och övriga kurser</v>
      </c>
      <c r="X84" s="42">
        <f>VLOOKUP(A84,kurspris!$A$1:$Q$798,15,FALSE)</f>
        <v>19473</v>
      </c>
      <c r="Y84" s="42">
        <f>VLOOKUP(A84,kurspris!$A$1:$Q$798,16,FALSE)</f>
        <v>34806</v>
      </c>
      <c r="Z84" s="42">
        <f t="shared" si="30"/>
        <v>0</v>
      </c>
      <c r="AA84" s="42">
        <f>VLOOKUP(A84,kurspris!$A$1:$Q$798,17,FALSE)</f>
        <v>21800</v>
      </c>
      <c r="AB84" s="42">
        <f t="shared" si="31"/>
        <v>0</v>
      </c>
      <c r="AC84" s="42">
        <f t="shared" si="32"/>
        <v>0</v>
      </c>
      <c r="AD84" s="31">
        <f>VLOOKUP($A84,kurspris!$A$1:$Q$835,3,FALSE)</f>
        <v>0</v>
      </c>
      <c r="AE84" s="31">
        <f>VLOOKUP($A84,kurspris!$A$1:$Q$835,4,FALSE)</f>
        <v>0</v>
      </c>
      <c r="AF84" s="31">
        <f>VLOOKUP($A84,kurspris!$A$1:$Q$835,5,FALSE)</f>
        <v>0</v>
      </c>
      <c r="AG84" s="31">
        <f>VLOOKUP($A84,kurspris!$A$1:$Q$835,6,FALSE)</f>
        <v>0</v>
      </c>
      <c r="AH84" s="31">
        <f>VLOOKUP($A84,kurspris!$A$1:$Q$835,7,FALSE)</f>
        <v>0</v>
      </c>
      <c r="AI84" s="31">
        <f>VLOOKUP($A84,kurspris!$A$1:$Q$835,8,FALSE)</f>
        <v>1</v>
      </c>
      <c r="AJ84" s="31">
        <f>VLOOKUP($A84,kurspris!$A$1:$Q$835,9,FALSE)</f>
        <v>0</v>
      </c>
      <c r="AK84" s="31">
        <f>VLOOKUP($A84,kurspris!$A$1:$Q$835,10,FALSE)</f>
        <v>0</v>
      </c>
      <c r="AL84" s="31">
        <f>VLOOKUP($A84,kurspris!$A$1:$Q$835,11,FALSE)</f>
        <v>0</v>
      </c>
      <c r="AM84" s="31">
        <f>VLOOKUP($A84,kurspris!$A$1:$Q$835,12,FALSE)</f>
        <v>0</v>
      </c>
      <c r="AN84" s="31">
        <f>VLOOKUP($A84,kurspris!$A$1:$Q$835,13,FALSE)</f>
        <v>0</v>
      </c>
      <c r="AO84" s="31">
        <f>VLOOKUP($A84,kurspris!$A$1:$Q$835,14,FALSE)</f>
        <v>0</v>
      </c>
      <c r="AP84" s="39" t="s">
        <v>2232</v>
      </c>
      <c r="AQ84" s="39" t="s">
        <v>2095</v>
      </c>
      <c r="AR84" s="31">
        <f t="shared" si="33"/>
        <v>0</v>
      </c>
      <c r="AS84" s="255">
        <f t="shared" si="34"/>
        <v>0</v>
      </c>
      <c r="AT84" s="31">
        <f t="shared" si="35"/>
        <v>0</v>
      </c>
      <c r="AU84" s="255">
        <f t="shared" si="36"/>
        <v>0</v>
      </c>
      <c r="AV84" s="31">
        <f t="shared" si="37"/>
        <v>0</v>
      </c>
      <c r="AW84" s="31">
        <f t="shared" si="38"/>
        <v>0</v>
      </c>
      <c r="AX84" s="31">
        <f t="shared" si="39"/>
        <v>0</v>
      </c>
      <c r="AY84" s="255">
        <f t="shared" si="40"/>
        <v>0</v>
      </c>
      <c r="AZ84" s="232">
        <f t="shared" si="41"/>
        <v>0</v>
      </c>
      <c r="BA84" s="255">
        <f t="shared" si="42"/>
        <v>0</v>
      </c>
      <c r="BB84" s="31">
        <f t="shared" si="43"/>
        <v>0</v>
      </c>
      <c r="BC84" s="255">
        <f t="shared" si="44"/>
        <v>0</v>
      </c>
      <c r="BD84" s="31">
        <f t="shared" si="45"/>
        <v>0</v>
      </c>
      <c r="BE84" s="255">
        <f t="shared" si="46"/>
        <v>0</v>
      </c>
      <c r="BF84" s="31">
        <f t="shared" si="47"/>
        <v>0</v>
      </c>
      <c r="BG84" s="255">
        <f t="shared" si="48"/>
        <v>0</v>
      </c>
      <c r="BH84" s="31">
        <f t="shared" si="49"/>
        <v>0</v>
      </c>
      <c r="BI84" s="255">
        <f t="shared" si="50"/>
        <v>0</v>
      </c>
      <c r="BJ84" s="31">
        <f t="shared" si="51"/>
        <v>0</v>
      </c>
      <c r="BK84" s="31">
        <f t="shared" si="52"/>
        <v>0</v>
      </c>
      <c r="BL84" s="255">
        <f t="shared" si="53"/>
        <v>0</v>
      </c>
      <c r="BM84" s="31">
        <f t="shared" si="54"/>
        <v>0</v>
      </c>
      <c r="BN84" s="255">
        <f t="shared" si="55"/>
        <v>0</v>
      </c>
    </row>
    <row r="85" spans="1:66" x14ac:dyDescent="0.25">
      <c r="A85" s="18" t="s">
        <v>1497</v>
      </c>
      <c r="B85" s="186" t="str">
        <f>VLOOKUP(A85,kurspris!$A$1:$B$877,2,FALSE)</f>
        <v>Biologididaktik 1 för ämneslärare för gymnasium</v>
      </c>
      <c r="C85" s="37"/>
      <c r="D85" t="s">
        <v>117</v>
      </c>
      <c r="E85"/>
      <c r="F85" s="59" t="s">
        <v>1930</v>
      </c>
      <c r="G85"/>
      <c r="H85"/>
      <c r="I85" t="s">
        <v>1634</v>
      </c>
      <c r="L85">
        <v>50</v>
      </c>
      <c r="M85">
        <v>7.5</v>
      </c>
      <c r="P85" s="31">
        <v>0</v>
      </c>
      <c r="Q85" s="232">
        <f t="shared" si="28"/>
        <v>0</v>
      </c>
      <c r="R85" s="40">
        <v>0.8</v>
      </c>
      <c r="S85" s="334">
        <f t="shared" si="29"/>
        <v>0</v>
      </c>
      <c r="T85" s="31">
        <f>VLOOKUP(A85,'Ansvar kurs'!$A$1:$C$1010,2,FALSE)</f>
        <v>5740</v>
      </c>
      <c r="U85" s="31" t="str">
        <f>VLOOKUP(T85,Orgenheter!$A$1:$C$165,2,FALSE)</f>
        <v>NMD</v>
      </c>
      <c r="V85" s="31" t="str">
        <f>VLOOKUP(T85,Orgenheter!$A$1:$C$165,3,FALSE)</f>
        <v>TekNat</v>
      </c>
      <c r="W85" s="37" t="str">
        <f>VLOOKUP(D85,Program!$A$1:$B$34,2,FALSE)</f>
        <v>Fristående och övriga kurser</v>
      </c>
      <c r="X85" s="42">
        <f>VLOOKUP(A85,kurspris!$A$1:$Q$798,15,FALSE)</f>
        <v>19473</v>
      </c>
      <c r="Y85" s="42">
        <f>VLOOKUP(A85,kurspris!$A$1:$Q$798,16,FALSE)</f>
        <v>34806</v>
      </c>
      <c r="Z85" s="42">
        <f t="shared" si="30"/>
        <v>0</v>
      </c>
      <c r="AA85" s="42">
        <f>VLOOKUP(A85,kurspris!$A$1:$Q$798,17,FALSE)</f>
        <v>21800</v>
      </c>
      <c r="AB85" s="42">
        <f t="shared" si="31"/>
        <v>0</v>
      </c>
      <c r="AC85" s="42">
        <f t="shared" si="32"/>
        <v>0</v>
      </c>
      <c r="AD85" s="31">
        <f>VLOOKUP($A85,kurspris!$A$1:$Q$835,3,FALSE)</f>
        <v>0</v>
      </c>
      <c r="AE85" s="31">
        <f>VLOOKUP($A85,kurspris!$A$1:$Q$835,4,FALSE)</f>
        <v>0</v>
      </c>
      <c r="AF85" s="31">
        <f>VLOOKUP($A85,kurspris!$A$1:$Q$835,5,FALSE)</f>
        <v>0</v>
      </c>
      <c r="AG85" s="31">
        <f>VLOOKUP($A85,kurspris!$A$1:$Q$835,6,FALSE)</f>
        <v>0</v>
      </c>
      <c r="AH85" s="31">
        <f>VLOOKUP($A85,kurspris!$A$1:$Q$835,7,FALSE)</f>
        <v>0</v>
      </c>
      <c r="AI85" s="31">
        <f>VLOOKUP($A85,kurspris!$A$1:$Q$835,8,FALSE)</f>
        <v>1</v>
      </c>
      <c r="AJ85" s="31">
        <f>VLOOKUP($A85,kurspris!$A$1:$Q$835,9,FALSE)</f>
        <v>0</v>
      </c>
      <c r="AK85" s="31">
        <f>VLOOKUP($A85,kurspris!$A$1:$Q$835,10,FALSE)</f>
        <v>0</v>
      </c>
      <c r="AL85" s="31">
        <f>VLOOKUP($A85,kurspris!$A$1:$Q$835,11,FALSE)</f>
        <v>0</v>
      </c>
      <c r="AM85" s="31">
        <f>VLOOKUP($A85,kurspris!$A$1:$Q$835,12,FALSE)</f>
        <v>0</v>
      </c>
      <c r="AN85" s="31">
        <f>VLOOKUP($A85,kurspris!$A$1:$Q$835,13,FALSE)</f>
        <v>0</v>
      </c>
      <c r="AO85" s="31">
        <f>VLOOKUP($A85,kurspris!$A$1:$Q$835,14,FALSE)</f>
        <v>0</v>
      </c>
      <c r="AP85" s="39" t="s">
        <v>2232</v>
      </c>
      <c r="AQ85" s="39" t="s">
        <v>2095</v>
      </c>
      <c r="AR85" s="31">
        <f t="shared" si="33"/>
        <v>0</v>
      </c>
      <c r="AS85" s="255">
        <f t="shared" si="34"/>
        <v>0</v>
      </c>
      <c r="AT85" s="31">
        <f t="shared" si="35"/>
        <v>0</v>
      </c>
      <c r="AU85" s="255">
        <f t="shared" si="36"/>
        <v>0</v>
      </c>
      <c r="AV85" s="31">
        <f t="shared" si="37"/>
        <v>0</v>
      </c>
      <c r="AW85" s="31">
        <f t="shared" si="38"/>
        <v>0</v>
      </c>
      <c r="AX85" s="31">
        <f t="shared" si="39"/>
        <v>0</v>
      </c>
      <c r="AY85" s="255">
        <f t="shared" si="40"/>
        <v>0</v>
      </c>
      <c r="AZ85" s="232">
        <f t="shared" si="41"/>
        <v>0</v>
      </c>
      <c r="BA85" s="255">
        <f t="shared" si="42"/>
        <v>0</v>
      </c>
      <c r="BB85" s="31">
        <f t="shared" si="43"/>
        <v>0</v>
      </c>
      <c r="BC85" s="255">
        <f t="shared" si="44"/>
        <v>0</v>
      </c>
      <c r="BD85" s="31">
        <f t="shared" si="45"/>
        <v>0</v>
      </c>
      <c r="BE85" s="255">
        <f t="shared" si="46"/>
        <v>0</v>
      </c>
      <c r="BF85" s="31">
        <f t="shared" si="47"/>
        <v>0</v>
      </c>
      <c r="BG85" s="255">
        <f t="shared" si="48"/>
        <v>0</v>
      </c>
      <c r="BH85" s="31">
        <f t="shared" si="49"/>
        <v>0</v>
      </c>
      <c r="BI85" s="255">
        <f t="shared" si="50"/>
        <v>0</v>
      </c>
      <c r="BJ85" s="31">
        <f t="shared" si="51"/>
        <v>0</v>
      </c>
      <c r="BK85" s="31">
        <f t="shared" si="52"/>
        <v>0</v>
      </c>
      <c r="BL85" s="255">
        <f t="shared" si="53"/>
        <v>0</v>
      </c>
      <c r="BM85" s="31">
        <f t="shared" si="54"/>
        <v>0</v>
      </c>
      <c r="BN85" s="255">
        <f t="shared" si="55"/>
        <v>0</v>
      </c>
    </row>
    <row r="86" spans="1:66" x14ac:dyDescent="0.25">
      <c r="A86" t="s">
        <v>1497</v>
      </c>
      <c r="B86" s="186" t="str">
        <f>VLOOKUP(A86,kurspris!$A$1:$B$877,2,FALSE)</f>
        <v>Biologididaktik 1 för ämneslärare för gymnasium</v>
      </c>
      <c r="C86"/>
      <c r="D86" t="s">
        <v>483</v>
      </c>
      <c r="E86" t="s">
        <v>1976</v>
      </c>
      <c r="F86" s="59" t="s">
        <v>1930</v>
      </c>
      <c r="G86" t="s">
        <v>1979</v>
      </c>
      <c r="H86" t="s">
        <v>1910</v>
      </c>
      <c r="I86"/>
      <c r="J86" t="s">
        <v>771</v>
      </c>
      <c r="K86"/>
      <c r="L86">
        <v>50</v>
      </c>
      <c r="M86">
        <v>7.5</v>
      </c>
      <c r="N86"/>
      <c r="O86"/>
      <c r="P86" s="31">
        <v>1</v>
      </c>
      <c r="Q86" s="232">
        <f t="shared" si="28"/>
        <v>0.125</v>
      </c>
      <c r="R86" s="40">
        <v>0.85</v>
      </c>
      <c r="S86" s="334">
        <f t="shared" si="29"/>
        <v>0.10625</v>
      </c>
      <c r="T86" s="31">
        <f>VLOOKUP(A86,'Ansvar kurs'!$A$1:$C$1010,2,FALSE)</f>
        <v>5740</v>
      </c>
      <c r="U86" s="31" t="str">
        <f>VLOOKUP(T86,Orgenheter!$A$1:$C$165,2,FALSE)</f>
        <v>NMD</v>
      </c>
      <c r="V86" s="31" t="str">
        <f>VLOOKUP(T86,Orgenheter!$A$1:$C$165,3,FALSE)</f>
        <v>TekNat</v>
      </c>
      <c r="W86" s="37" t="str">
        <f>VLOOKUP(D86,Program!$A$1:$B$34,2,FALSE)</f>
        <v>Ämneslärarprogrammet - Gy</v>
      </c>
      <c r="X86" s="42">
        <f>VLOOKUP(A86,kurspris!$A$1:$Q$798,15,FALSE)</f>
        <v>19473</v>
      </c>
      <c r="Y86" s="42">
        <f>VLOOKUP(A86,kurspris!$A$1:$Q$798,16,FALSE)</f>
        <v>34806</v>
      </c>
      <c r="Z86" s="42">
        <f t="shared" si="30"/>
        <v>6132.2624999999998</v>
      </c>
      <c r="AA86" s="42">
        <f>VLOOKUP(A86,kurspris!$A$1:$Q$798,17,FALSE)</f>
        <v>21800</v>
      </c>
      <c r="AB86" s="42">
        <f t="shared" si="31"/>
        <v>2725</v>
      </c>
      <c r="AC86" s="42">
        <f t="shared" si="32"/>
        <v>8857.2625000000007</v>
      </c>
      <c r="AD86" s="31">
        <f>VLOOKUP($A86,kurspris!$A$1:$Q$835,3,FALSE)</f>
        <v>0</v>
      </c>
      <c r="AE86" s="31">
        <f>VLOOKUP($A86,kurspris!$A$1:$Q$835,4,FALSE)</f>
        <v>0</v>
      </c>
      <c r="AF86" s="31">
        <f>VLOOKUP($A86,kurspris!$A$1:$Q$835,5,FALSE)</f>
        <v>0</v>
      </c>
      <c r="AG86" s="31">
        <f>VLOOKUP($A86,kurspris!$A$1:$Q$835,6,FALSE)</f>
        <v>0</v>
      </c>
      <c r="AH86" s="31">
        <f>VLOOKUP($A86,kurspris!$A$1:$Q$835,7,FALSE)</f>
        <v>0</v>
      </c>
      <c r="AI86" s="31">
        <f>VLOOKUP($A86,kurspris!$A$1:$Q$835,8,FALSE)</f>
        <v>1</v>
      </c>
      <c r="AJ86" s="31">
        <f>VLOOKUP($A86,kurspris!$A$1:$Q$835,9,FALSE)</f>
        <v>0</v>
      </c>
      <c r="AK86" s="31">
        <f>VLOOKUP($A86,kurspris!$A$1:$Q$835,10,FALSE)</f>
        <v>0</v>
      </c>
      <c r="AL86" s="31">
        <f>VLOOKUP($A86,kurspris!$A$1:$Q$835,11,FALSE)</f>
        <v>0</v>
      </c>
      <c r="AM86" s="31">
        <f>VLOOKUP($A86,kurspris!$A$1:$Q$835,12,FALSE)</f>
        <v>0</v>
      </c>
      <c r="AN86" s="31">
        <f>VLOOKUP($A86,kurspris!$A$1:$Q$835,13,FALSE)</f>
        <v>0</v>
      </c>
      <c r="AO86" s="31">
        <f>VLOOKUP($A86,kurspris!$A$1:$Q$835,14,FALSE)</f>
        <v>0</v>
      </c>
      <c r="AP86" s="39" t="s">
        <v>2204</v>
      </c>
      <c r="AQ86"/>
      <c r="AR86" s="31">
        <f t="shared" si="33"/>
        <v>0</v>
      </c>
      <c r="AS86" s="255">
        <f t="shared" si="34"/>
        <v>0</v>
      </c>
      <c r="AT86" s="31">
        <f t="shared" si="35"/>
        <v>0</v>
      </c>
      <c r="AU86" s="255">
        <f t="shared" si="36"/>
        <v>0</v>
      </c>
      <c r="AV86" s="31">
        <f t="shared" si="37"/>
        <v>0</v>
      </c>
      <c r="AW86" s="31">
        <f t="shared" si="38"/>
        <v>0</v>
      </c>
      <c r="AX86" s="31">
        <f t="shared" si="39"/>
        <v>0</v>
      </c>
      <c r="AY86" s="255">
        <f t="shared" si="40"/>
        <v>0</v>
      </c>
      <c r="AZ86" s="232">
        <f t="shared" si="41"/>
        <v>0</v>
      </c>
      <c r="BA86" s="255">
        <f t="shared" si="42"/>
        <v>0</v>
      </c>
      <c r="BB86" s="31">
        <f t="shared" si="43"/>
        <v>0.125</v>
      </c>
      <c r="BC86" s="255">
        <f t="shared" si="44"/>
        <v>0.10625</v>
      </c>
      <c r="BD86" s="31">
        <f t="shared" si="45"/>
        <v>0</v>
      </c>
      <c r="BE86" s="255">
        <f t="shared" si="46"/>
        <v>0</v>
      </c>
      <c r="BF86" s="31">
        <f t="shared" si="47"/>
        <v>0</v>
      </c>
      <c r="BG86" s="255">
        <f t="shared" si="48"/>
        <v>0</v>
      </c>
      <c r="BH86" s="31">
        <f t="shared" si="49"/>
        <v>0</v>
      </c>
      <c r="BI86" s="255">
        <f t="shared" si="50"/>
        <v>0</v>
      </c>
      <c r="BJ86" s="31">
        <f t="shared" si="51"/>
        <v>0</v>
      </c>
      <c r="BK86" s="31">
        <f t="shared" si="52"/>
        <v>0</v>
      </c>
      <c r="BL86" s="255">
        <f t="shared" si="53"/>
        <v>0</v>
      </c>
      <c r="BM86" s="31">
        <f t="shared" si="54"/>
        <v>0</v>
      </c>
      <c r="BN86" s="255">
        <f t="shared" si="55"/>
        <v>0</v>
      </c>
    </row>
    <row r="87" spans="1:66" x14ac:dyDescent="0.25">
      <c r="A87" t="s">
        <v>1497</v>
      </c>
      <c r="B87" s="186" t="str">
        <f>VLOOKUP(A87,kurspris!$A$1:$B$877,2,FALSE)</f>
        <v>Biologididaktik 1 för ämneslärare för gymnasium</v>
      </c>
      <c r="C87"/>
      <c r="D87" t="s">
        <v>483</v>
      </c>
      <c r="E87" t="s">
        <v>1976</v>
      </c>
      <c r="F87" s="59" t="s">
        <v>1930</v>
      </c>
      <c r="G87" t="s">
        <v>1979</v>
      </c>
      <c r="H87" t="s">
        <v>1910</v>
      </c>
      <c r="I87"/>
      <c r="J87" t="s">
        <v>773</v>
      </c>
      <c r="K87"/>
      <c r="L87">
        <v>50</v>
      </c>
      <c r="M87">
        <v>7.5</v>
      </c>
      <c r="N87"/>
      <c r="O87"/>
      <c r="P87" s="31">
        <v>1</v>
      </c>
      <c r="Q87" s="232">
        <f t="shared" si="28"/>
        <v>0.125</v>
      </c>
      <c r="R87" s="40">
        <v>0.85</v>
      </c>
      <c r="S87" s="334">
        <f t="shared" si="29"/>
        <v>0.10625</v>
      </c>
      <c r="T87" s="31">
        <f>VLOOKUP(A87,'Ansvar kurs'!$A$1:$C$1010,2,FALSE)</f>
        <v>5740</v>
      </c>
      <c r="U87" s="31" t="str">
        <f>VLOOKUP(T87,Orgenheter!$A$1:$C$165,2,FALSE)</f>
        <v>NMD</v>
      </c>
      <c r="V87" s="31" t="str">
        <f>VLOOKUP(T87,Orgenheter!$A$1:$C$165,3,FALSE)</f>
        <v>TekNat</v>
      </c>
      <c r="W87" s="37" t="str">
        <f>VLOOKUP(D87,Program!$A$1:$B$34,2,FALSE)</f>
        <v>Ämneslärarprogrammet - Gy</v>
      </c>
      <c r="X87" s="42">
        <f>VLOOKUP(A87,kurspris!$A$1:$Q$798,15,FALSE)</f>
        <v>19473</v>
      </c>
      <c r="Y87" s="42">
        <f>VLOOKUP(A87,kurspris!$A$1:$Q$798,16,FALSE)</f>
        <v>34806</v>
      </c>
      <c r="Z87" s="42">
        <f t="shared" si="30"/>
        <v>6132.2624999999998</v>
      </c>
      <c r="AA87" s="42">
        <f>VLOOKUP(A87,kurspris!$A$1:$Q$798,17,FALSE)</f>
        <v>21800</v>
      </c>
      <c r="AB87" s="42">
        <f t="shared" si="31"/>
        <v>2725</v>
      </c>
      <c r="AC87" s="42">
        <f t="shared" si="32"/>
        <v>8857.2625000000007</v>
      </c>
      <c r="AD87" s="31">
        <f>VLOOKUP($A87,kurspris!$A$1:$Q$835,3,FALSE)</f>
        <v>0</v>
      </c>
      <c r="AE87" s="31">
        <f>VLOOKUP($A87,kurspris!$A$1:$Q$835,4,FALSE)</f>
        <v>0</v>
      </c>
      <c r="AF87" s="31">
        <f>VLOOKUP($A87,kurspris!$A$1:$Q$835,5,FALSE)</f>
        <v>0</v>
      </c>
      <c r="AG87" s="31">
        <f>VLOOKUP($A87,kurspris!$A$1:$Q$835,6,FALSE)</f>
        <v>0</v>
      </c>
      <c r="AH87" s="31">
        <f>VLOOKUP($A87,kurspris!$A$1:$Q$835,7,FALSE)</f>
        <v>0</v>
      </c>
      <c r="AI87" s="31">
        <f>VLOOKUP($A87,kurspris!$A$1:$Q$835,8,FALSE)</f>
        <v>1</v>
      </c>
      <c r="AJ87" s="31">
        <f>VLOOKUP($A87,kurspris!$A$1:$Q$835,9,FALSE)</f>
        <v>0</v>
      </c>
      <c r="AK87" s="31">
        <f>VLOOKUP($A87,kurspris!$A$1:$Q$835,10,FALSE)</f>
        <v>0</v>
      </c>
      <c r="AL87" s="31">
        <f>VLOOKUP($A87,kurspris!$A$1:$Q$835,11,FALSE)</f>
        <v>0</v>
      </c>
      <c r="AM87" s="31">
        <f>VLOOKUP($A87,kurspris!$A$1:$Q$835,12,FALSE)</f>
        <v>0</v>
      </c>
      <c r="AN87" s="31">
        <f>VLOOKUP($A87,kurspris!$A$1:$Q$835,13,FALSE)</f>
        <v>0</v>
      </c>
      <c r="AO87" s="31">
        <f>VLOOKUP($A87,kurspris!$A$1:$Q$835,14,FALSE)</f>
        <v>0</v>
      </c>
      <c r="AP87" s="39" t="s">
        <v>2204</v>
      </c>
      <c r="AQ87"/>
      <c r="AR87" s="31">
        <f t="shared" si="33"/>
        <v>0</v>
      </c>
      <c r="AS87" s="255">
        <f t="shared" si="34"/>
        <v>0</v>
      </c>
      <c r="AT87" s="31">
        <f t="shared" si="35"/>
        <v>0</v>
      </c>
      <c r="AU87" s="255">
        <f t="shared" si="36"/>
        <v>0</v>
      </c>
      <c r="AV87" s="31">
        <f t="shared" si="37"/>
        <v>0</v>
      </c>
      <c r="AW87" s="31">
        <f t="shared" si="38"/>
        <v>0</v>
      </c>
      <c r="AX87" s="31">
        <f t="shared" si="39"/>
        <v>0</v>
      </c>
      <c r="AY87" s="255">
        <f t="shared" si="40"/>
        <v>0</v>
      </c>
      <c r="AZ87" s="232">
        <f t="shared" si="41"/>
        <v>0</v>
      </c>
      <c r="BA87" s="255">
        <f t="shared" si="42"/>
        <v>0</v>
      </c>
      <c r="BB87" s="31">
        <f t="shared" si="43"/>
        <v>0.125</v>
      </c>
      <c r="BC87" s="255">
        <f t="shared" si="44"/>
        <v>0.10625</v>
      </c>
      <c r="BD87" s="31">
        <f t="shared" si="45"/>
        <v>0</v>
      </c>
      <c r="BE87" s="255">
        <f t="shared" si="46"/>
        <v>0</v>
      </c>
      <c r="BF87" s="31">
        <f t="shared" si="47"/>
        <v>0</v>
      </c>
      <c r="BG87" s="255">
        <f t="shared" si="48"/>
        <v>0</v>
      </c>
      <c r="BH87" s="31">
        <f t="shared" si="49"/>
        <v>0</v>
      </c>
      <c r="BI87" s="255">
        <f t="shared" si="50"/>
        <v>0</v>
      </c>
      <c r="BJ87" s="31">
        <f t="shared" si="51"/>
        <v>0</v>
      </c>
      <c r="BK87" s="31">
        <f t="shared" si="52"/>
        <v>0</v>
      </c>
      <c r="BL87" s="255">
        <f t="shared" si="53"/>
        <v>0</v>
      </c>
      <c r="BM87" s="31">
        <f t="shared" si="54"/>
        <v>0</v>
      </c>
      <c r="BN87" s="255">
        <f t="shared" si="55"/>
        <v>0</v>
      </c>
    </row>
    <row r="88" spans="1:66" x14ac:dyDescent="0.25">
      <c r="A88" t="s">
        <v>1497</v>
      </c>
      <c r="B88" s="186" t="str">
        <f>VLOOKUP(A88,kurspris!$A$1:$B$877,2,FALSE)</f>
        <v>Biologididaktik 1 för ämneslärare för gymnasium</v>
      </c>
      <c r="C88"/>
      <c r="D88" t="s">
        <v>483</v>
      </c>
      <c r="E88" t="s">
        <v>1976</v>
      </c>
      <c r="F88" s="59" t="s">
        <v>1930</v>
      </c>
      <c r="G88" t="s">
        <v>1979</v>
      </c>
      <c r="H88" t="s">
        <v>1910</v>
      </c>
      <c r="I88"/>
      <c r="J88" t="s">
        <v>774</v>
      </c>
      <c r="K88"/>
      <c r="L88">
        <v>50</v>
      </c>
      <c r="M88">
        <v>7.5</v>
      </c>
      <c r="N88"/>
      <c r="O88"/>
      <c r="P88" s="31">
        <v>2</v>
      </c>
      <c r="Q88" s="232">
        <f t="shared" si="28"/>
        <v>0.25</v>
      </c>
      <c r="R88" s="40">
        <v>0.85</v>
      </c>
      <c r="S88" s="334">
        <f t="shared" si="29"/>
        <v>0.21249999999999999</v>
      </c>
      <c r="T88" s="31">
        <f>VLOOKUP(A88,'Ansvar kurs'!$A$1:$C$1010,2,FALSE)</f>
        <v>5740</v>
      </c>
      <c r="U88" s="31" t="str">
        <f>VLOOKUP(T88,Orgenheter!$A$1:$C$165,2,FALSE)</f>
        <v>NMD</v>
      </c>
      <c r="V88" s="31" t="str">
        <f>VLOOKUP(T88,Orgenheter!$A$1:$C$165,3,FALSE)</f>
        <v>TekNat</v>
      </c>
      <c r="W88" s="37" t="str">
        <f>VLOOKUP(D88,Program!$A$1:$B$34,2,FALSE)</f>
        <v>Ämneslärarprogrammet - Gy</v>
      </c>
      <c r="X88" s="42">
        <f>VLOOKUP(A88,kurspris!$A$1:$Q$798,15,FALSE)</f>
        <v>19473</v>
      </c>
      <c r="Y88" s="42">
        <f>VLOOKUP(A88,kurspris!$A$1:$Q$798,16,FALSE)</f>
        <v>34806</v>
      </c>
      <c r="Z88" s="42">
        <f t="shared" si="30"/>
        <v>12264.525</v>
      </c>
      <c r="AA88" s="42">
        <f>VLOOKUP(A88,kurspris!$A$1:$Q$798,17,FALSE)</f>
        <v>21800</v>
      </c>
      <c r="AB88" s="42">
        <f t="shared" si="31"/>
        <v>5450</v>
      </c>
      <c r="AC88" s="42">
        <f t="shared" si="32"/>
        <v>17714.525000000001</v>
      </c>
      <c r="AD88" s="31">
        <f>VLOOKUP($A88,kurspris!$A$1:$Q$835,3,FALSE)</f>
        <v>0</v>
      </c>
      <c r="AE88" s="31">
        <f>VLOOKUP($A88,kurspris!$A$1:$Q$835,4,FALSE)</f>
        <v>0</v>
      </c>
      <c r="AF88" s="31">
        <f>VLOOKUP($A88,kurspris!$A$1:$Q$835,5,FALSE)</f>
        <v>0</v>
      </c>
      <c r="AG88" s="31">
        <f>VLOOKUP($A88,kurspris!$A$1:$Q$835,6,FALSE)</f>
        <v>0</v>
      </c>
      <c r="AH88" s="31">
        <f>VLOOKUP($A88,kurspris!$A$1:$Q$835,7,FALSE)</f>
        <v>0</v>
      </c>
      <c r="AI88" s="31">
        <f>VLOOKUP($A88,kurspris!$A$1:$Q$835,8,FALSE)</f>
        <v>1</v>
      </c>
      <c r="AJ88" s="31">
        <f>VLOOKUP($A88,kurspris!$A$1:$Q$835,9,FALSE)</f>
        <v>0</v>
      </c>
      <c r="AK88" s="31">
        <f>VLOOKUP($A88,kurspris!$A$1:$Q$835,10,FALSE)</f>
        <v>0</v>
      </c>
      <c r="AL88" s="31">
        <f>VLOOKUP($A88,kurspris!$A$1:$Q$835,11,FALSE)</f>
        <v>0</v>
      </c>
      <c r="AM88" s="31">
        <f>VLOOKUP($A88,kurspris!$A$1:$Q$835,12,FALSE)</f>
        <v>0</v>
      </c>
      <c r="AN88" s="31">
        <f>VLOOKUP($A88,kurspris!$A$1:$Q$835,13,FALSE)</f>
        <v>0</v>
      </c>
      <c r="AO88" s="31">
        <f>VLOOKUP($A88,kurspris!$A$1:$Q$835,14,FALSE)</f>
        <v>0</v>
      </c>
      <c r="AP88" s="39" t="s">
        <v>2204</v>
      </c>
      <c r="AQ88"/>
      <c r="AR88" s="31">
        <f t="shared" si="33"/>
        <v>0</v>
      </c>
      <c r="AS88" s="255">
        <f t="shared" si="34"/>
        <v>0</v>
      </c>
      <c r="AT88" s="31">
        <f t="shared" si="35"/>
        <v>0</v>
      </c>
      <c r="AU88" s="255">
        <f t="shared" si="36"/>
        <v>0</v>
      </c>
      <c r="AV88" s="31">
        <f t="shared" si="37"/>
        <v>0</v>
      </c>
      <c r="AW88" s="31">
        <f t="shared" si="38"/>
        <v>0</v>
      </c>
      <c r="AX88" s="31">
        <f t="shared" si="39"/>
        <v>0</v>
      </c>
      <c r="AY88" s="255">
        <f t="shared" si="40"/>
        <v>0</v>
      </c>
      <c r="AZ88" s="232">
        <f t="shared" si="41"/>
        <v>0</v>
      </c>
      <c r="BA88" s="255">
        <f t="shared" si="42"/>
        <v>0</v>
      </c>
      <c r="BB88" s="31">
        <f t="shared" si="43"/>
        <v>0.25</v>
      </c>
      <c r="BC88" s="255">
        <f t="shared" si="44"/>
        <v>0.21249999999999999</v>
      </c>
      <c r="BD88" s="31">
        <f t="shared" si="45"/>
        <v>0</v>
      </c>
      <c r="BE88" s="255">
        <f t="shared" si="46"/>
        <v>0</v>
      </c>
      <c r="BF88" s="31">
        <f t="shared" si="47"/>
        <v>0</v>
      </c>
      <c r="BG88" s="255">
        <f t="shared" si="48"/>
        <v>0</v>
      </c>
      <c r="BH88" s="31">
        <f t="shared" si="49"/>
        <v>0</v>
      </c>
      <c r="BI88" s="255">
        <f t="shared" si="50"/>
        <v>0</v>
      </c>
      <c r="BJ88" s="31">
        <f t="shared" si="51"/>
        <v>0</v>
      </c>
      <c r="BK88" s="31">
        <f t="shared" si="52"/>
        <v>0</v>
      </c>
      <c r="BL88" s="255">
        <f t="shared" si="53"/>
        <v>0</v>
      </c>
      <c r="BM88" s="31">
        <f t="shared" si="54"/>
        <v>0</v>
      </c>
      <c r="BN88" s="255">
        <f t="shared" si="55"/>
        <v>0</v>
      </c>
    </row>
    <row r="89" spans="1:66" x14ac:dyDescent="0.25">
      <c r="A89" t="s">
        <v>1497</v>
      </c>
      <c r="B89" s="186" t="str">
        <f>VLOOKUP(A89,kurspris!$A$1:$B$877,2,FALSE)</f>
        <v>Biologididaktik 1 för ämneslärare för gymnasium</v>
      </c>
      <c r="C89"/>
      <c r="D89" t="s">
        <v>483</v>
      </c>
      <c r="E89" t="s">
        <v>1976</v>
      </c>
      <c r="F89" s="59" t="s">
        <v>1930</v>
      </c>
      <c r="G89" t="s">
        <v>1979</v>
      </c>
      <c r="H89" t="s">
        <v>1910</v>
      </c>
      <c r="I89"/>
      <c r="J89" t="s">
        <v>778</v>
      </c>
      <c r="K89"/>
      <c r="L89">
        <v>50</v>
      </c>
      <c r="M89">
        <v>7.5</v>
      </c>
      <c r="N89"/>
      <c r="O89"/>
      <c r="P89" s="31">
        <v>1</v>
      </c>
      <c r="Q89" s="232">
        <f t="shared" si="28"/>
        <v>0.125</v>
      </c>
      <c r="R89" s="40">
        <v>0.85</v>
      </c>
      <c r="S89" s="334">
        <f t="shared" si="29"/>
        <v>0.10625</v>
      </c>
      <c r="T89" s="31">
        <f>VLOOKUP(A89,'Ansvar kurs'!$A$1:$C$1010,2,FALSE)</f>
        <v>5740</v>
      </c>
      <c r="U89" s="31" t="str">
        <f>VLOOKUP(T89,Orgenheter!$A$1:$C$165,2,FALSE)</f>
        <v>NMD</v>
      </c>
      <c r="V89" s="31" t="str">
        <f>VLOOKUP(T89,Orgenheter!$A$1:$C$165,3,FALSE)</f>
        <v>TekNat</v>
      </c>
      <c r="W89" s="37" t="str">
        <f>VLOOKUP(D89,Program!$A$1:$B$34,2,FALSE)</f>
        <v>Ämneslärarprogrammet - Gy</v>
      </c>
      <c r="X89" s="42">
        <f>VLOOKUP(A89,kurspris!$A$1:$Q$798,15,FALSE)</f>
        <v>19473</v>
      </c>
      <c r="Y89" s="42">
        <f>VLOOKUP(A89,kurspris!$A$1:$Q$798,16,FALSE)</f>
        <v>34806</v>
      </c>
      <c r="Z89" s="42">
        <f t="shared" si="30"/>
        <v>6132.2624999999998</v>
      </c>
      <c r="AA89" s="42">
        <f>VLOOKUP(A89,kurspris!$A$1:$Q$798,17,FALSE)</f>
        <v>21800</v>
      </c>
      <c r="AB89" s="42">
        <f t="shared" si="31"/>
        <v>2725</v>
      </c>
      <c r="AC89" s="42">
        <f t="shared" si="32"/>
        <v>8857.2625000000007</v>
      </c>
      <c r="AD89" s="31">
        <f>VLOOKUP($A89,kurspris!$A$1:$Q$835,3,FALSE)</f>
        <v>0</v>
      </c>
      <c r="AE89" s="31">
        <f>VLOOKUP($A89,kurspris!$A$1:$Q$835,4,FALSE)</f>
        <v>0</v>
      </c>
      <c r="AF89" s="31">
        <f>VLOOKUP($A89,kurspris!$A$1:$Q$835,5,FALSE)</f>
        <v>0</v>
      </c>
      <c r="AG89" s="31">
        <f>VLOOKUP($A89,kurspris!$A$1:$Q$835,6,FALSE)</f>
        <v>0</v>
      </c>
      <c r="AH89" s="31">
        <f>VLOOKUP($A89,kurspris!$A$1:$Q$835,7,FALSE)</f>
        <v>0</v>
      </c>
      <c r="AI89" s="31">
        <f>VLOOKUP($A89,kurspris!$A$1:$Q$835,8,FALSE)</f>
        <v>1</v>
      </c>
      <c r="AJ89" s="31">
        <f>VLOOKUP($A89,kurspris!$A$1:$Q$835,9,FALSE)</f>
        <v>0</v>
      </c>
      <c r="AK89" s="31">
        <f>VLOOKUP($A89,kurspris!$A$1:$Q$835,10,FALSE)</f>
        <v>0</v>
      </c>
      <c r="AL89" s="31">
        <f>VLOOKUP($A89,kurspris!$A$1:$Q$835,11,FALSE)</f>
        <v>0</v>
      </c>
      <c r="AM89" s="31">
        <f>VLOOKUP($A89,kurspris!$A$1:$Q$835,12,FALSE)</f>
        <v>0</v>
      </c>
      <c r="AN89" s="31">
        <f>VLOOKUP($A89,kurspris!$A$1:$Q$835,13,FALSE)</f>
        <v>0</v>
      </c>
      <c r="AO89" s="31">
        <f>VLOOKUP($A89,kurspris!$A$1:$Q$835,14,FALSE)</f>
        <v>0</v>
      </c>
      <c r="AP89" s="39" t="s">
        <v>2204</v>
      </c>
      <c r="AQ89"/>
      <c r="AR89" s="31">
        <f t="shared" si="33"/>
        <v>0</v>
      </c>
      <c r="AS89" s="255">
        <f t="shared" si="34"/>
        <v>0</v>
      </c>
      <c r="AT89" s="31">
        <f t="shared" si="35"/>
        <v>0</v>
      </c>
      <c r="AU89" s="255">
        <f t="shared" si="36"/>
        <v>0</v>
      </c>
      <c r="AV89" s="31">
        <f t="shared" si="37"/>
        <v>0</v>
      </c>
      <c r="AW89" s="31">
        <f t="shared" si="38"/>
        <v>0</v>
      </c>
      <c r="AX89" s="31">
        <f t="shared" si="39"/>
        <v>0</v>
      </c>
      <c r="AY89" s="255">
        <f t="shared" si="40"/>
        <v>0</v>
      </c>
      <c r="AZ89" s="232">
        <f t="shared" si="41"/>
        <v>0</v>
      </c>
      <c r="BA89" s="255">
        <f t="shared" si="42"/>
        <v>0</v>
      </c>
      <c r="BB89" s="31">
        <f t="shared" si="43"/>
        <v>0.125</v>
      </c>
      <c r="BC89" s="255">
        <f t="shared" si="44"/>
        <v>0.10625</v>
      </c>
      <c r="BD89" s="31">
        <f t="shared" si="45"/>
        <v>0</v>
      </c>
      <c r="BE89" s="255">
        <f t="shared" si="46"/>
        <v>0</v>
      </c>
      <c r="BF89" s="31">
        <f t="shared" si="47"/>
        <v>0</v>
      </c>
      <c r="BG89" s="255">
        <f t="shared" si="48"/>
        <v>0</v>
      </c>
      <c r="BH89" s="31">
        <f t="shared" si="49"/>
        <v>0</v>
      </c>
      <c r="BI89" s="255">
        <f t="shared" si="50"/>
        <v>0</v>
      </c>
      <c r="BJ89" s="31">
        <f t="shared" si="51"/>
        <v>0</v>
      </c>
      <c r="BK89" s="31">
        <f t="shared" si="52"/>
        <v>0</v>
      </c>
      <c r="BL89" s="255">
        <f t="shared" si="53"/>
        <v>0</v>
      </c>
      <c r="BM89" s="31">
        <f t="shared" si="54"/>
        <v>0</v>
      </c>
      <c r="BN89" s="255">
        <f t="shared" si="55"/>
        <v>0</v>
      </c>
    </row>
    <row r="90" spans="1:66" x14ac:dyDescent="0.25">
      <c r="A90" t="s">
        <v>1497</v>
      </c>
      <c r="B90" s="186" t="str">
        <f>VLOOKUP(A90,kurspris!$A$1:$B$877,2,FALSE)</f>
        <v>Biologididaktik 1 för ämneslärare för gymnasium</v>
      </c>
      <c r="C90"/>
      <c r="D90" t="s">
        <v>483</v>
      </c>
      <c r="E90" t="s">
        <v>1609</v>
      </c>
      <c r="F90" s="59" t="s">
        <v>1930</v>
      </c>
      <c r="G90" t="s">
        <v>1979</v>
      </c>
      <c r="H90" t="s">
        <v>1910</v>
      </c>
      <c r="I90"/>
      <c r="J90" t="s">
        <v>1591</v>
      </c>
      <c r="K90"/>
      <c r="L90">
        <v>50</v>
      </c>
      <c r="M90">
        <v>7.5</v>
      </c>
      <c r="N90"/>
      <c r="O90"/>
      <c r="P90" s="31">
        <v>2</v>
      </c>
      <c r="Q90" s="232">
        <f t="shared" si="28"/>
        <v>0.25</v>
      </c>
      <c r="R90" s="40">
        <v>0.85</v>
      </c>
      <c r="S90" s="334">
        <f t="shared" si="29"/>
        <v>0.21249999999999999</v>
      </c>
      <c r="T90" s="31">
        <f>VLOOKUP(A90,'Ansvar kurs'!$A$1:$C$1010,2,FALSE)</f>
        <v>5740</v>
      </c>
      <c r="U90" s="31" t="str">
        <f>VLOOKUP(T90,Orgenheter!$A$1:$C$165,2,FALSE)</f>
        <v>NMD</v>
      </c>
      <c r="V90" s="31" t="str">
        <f>VLOOKUP(T90,Orgenheter!$A$1:$C$165,3,FALSE)</f>
        <v>TekNat</v>
      </c>
      <c r="W90" s="37" t="str">
        <f>VLOOKUP(D90,Program!$A$1:$B$34,2,FALSE)</f>
        <v>Ämneslärarprogrammet - Gy</v>
      </c>
      <c r="X90" s="42">
        <f>VLOOKUP(A90,kurspris!$A$1:$Q$798,15,FALSE)</f>
        <v>19473</v>
      </c>
      <c r="Y90" s="42">
        <f>VLOOKUP(A90,kurspris!$A$1:$Q$798,16,FALSE)</f>
        <v>34806</v>
      </c>
      <c r="Z90" s="42">
        <f t="shared" si="30"/>
        <v>12264.525</v>
      </c>
      <c r="AA90" s="42">
        <f>VLOOKUP(A90,kurspris!$A$1:$Q$798,17,FALSE)</f>
        <v>21800</v>
      </c>
      <c r="AB90" s="42">
        <f t="shared" si="31"/>
        <v>5450</v>
      </c>
      <c r="AC90" s="42">
        <f t="shared" si="32"/>
        <v>17714.525000000001</v>
      </c>
      <c r="AD90" s="31">
        <f>VLOOKUP($A90,kurspris!$A$1:$Q$835,3,FALSE)</f>
        <v>0</v>
      </c>
      <c r="AE90" s="31">
        <f>VLOOKUP($A90,kurspris!$A$1:$Q$835,4,FALSE)</f>
        <v>0</v>
      </c>
      <c r="AF90" s="31">
        <f>VLOOKUP($A90,kurspris!$A$1:$Q$835,5,FALSE)</f>
        <v>0</v>
      </c>
      <c r="AG90" s="31">
        <f>VLOOKUP($A90,kurspris!$A$1:$Q$835,6,FALSE)</f>
        <v>0</v>
      </c>
      <c r="AH90" s="31">
        <f>VLOOKUP($A90,kurspris!$A$1:$Q$835,7,FALSE)</f>
        <v>0</v>
      </c>
      <c r="AI90" s="31">
        <f>VLOOKUP($A90,kurspris!$A$1:$Q$835,8,FALSE)</f>
        <v>1</v>
      </c>
      <c r="AJ90" s="31">
        <f>VLOOKUP($A90,kurspris!$A$1:$Q$835,9,FALSE)</f>
        <v>0</v>
      </c>
      <c r="AK90" s="31">
        <f>VLOOKUP($A90,kurspris!$A$1:$Q$835,10,FALSE)</f>
        <v>0</v>
      </c>
      <c r="AL90" s="31">
        <f>VLOOKUP($A90,kurspris!$A$1:$Q$835,11,FALSE)</f>
        <v>0</v>
      </c>
      <c r="AM90" s="31">
        <f>VLOOKUP($A90,kurspris!$A$1:$Q$835,12,FALSE)</f>
        <v>0</v>
      </c>
      <c r="AN90" s="31">
        <f>VLOOKUP($A90,kurspris!$A$1:$Q$835,13,FALSE)</f>
        <v>0</v>
      </c>
      <c r="AO90" s="31">
        <f>VLOOKUP($A90,kurspris!$A$1:$Q$835,14,FALSE)</f>
        <v>0</v>
      </c>
      <c r="AP90" s="39" t="s">
        <v>2204</v>
      </c>
      <c r="AQ90"/>
      <c r="AR90" s="31">
        <f t="shared" si="33"/>
        <v>0</v>
      </c>
      <c r="AS90" s="255">
        <f t="shared" si="34"/>
        <v>0</v>
      </c>
      <c r="AT90" s="31">
        <f t="shared" si="35"/>
        <v>0</v>
      </c>
      <c r="AU90" s="255">
        <f t="shared" si="36"/>
        <v>0</v>
      </c>
      <c r="AV90" s="31">
        <f t="shared" si="37"/>
        <v>0</v>
      </c>
      <c r="AW90" s="31">
        <f t="shared" si="38"/>
        <v>0</v>
      </c>
      <c r="AX90" s="31">
        <f t="shared" si="39"/>
        <v>0</v>
      </c>
      <c r="AY90" s="255">
        <f t="shared" si="40"/>
        <v>0</v>
      </c>
      <c r="AZ90" s="232">
        <f t="shared" si="41"/>
        <v>0</v>
      </c>
      <c r="BA90" s="255">
        <f t="shared" si="42"/>
        <v>0</v>
      </c>
      <c r="BB90" s="31">
        <f t="shared" si="43"/>
        <v>0.25</v>
      </c>
      <c r="BC90" s="255">
        <f t="shared" si="44"/>
        <v>0.21249999999999999</v>
      </c>
      <c r="BD90" s="31">
        <f t="shared" si="45"/>
        <v>0</v>
      </c>
      <c r="BE90" s="255">
        <f t="shared" si="46"/>
        <v>0</v>
      </c>
      <c r="BF90" s="31">
        <f t="shared" si="47"/>
        <v>0</v>
      </c>
      <c r="BG90" s="255">
        <f t="shared" si="48"/>
        <v>0</v>
      </c>
      <c r="BH90" s="31">
        <f t="shared" si="49"/>
        <v>0</v>
      </c>
      <c r="BI90" s="255">
        <f t="shared" si="50"/>
        <v>0</v>
      </c>
      <c r="BJ90" s="31">
        <f t="shared" si="51"/>
        <v>0</v>
      </c>
      <c r="BK90" s="31">
        <f t="shared" si="52"/>
        <v>0</v>
      </c>
      <c r="BL90" s="255">
        <f t="shared" si="53"/>
        <v>0</v>
      </c>
      <c r="BM90" s="31">
        <f t="shared" si="54"/>
        <v>0</v>
      </c>
      <c r="BN90" s="255">
        <f t="shared" si="55"/>
        <v>0</v>
      </c>
    </row>
    <row r="91" spans="1:66" x14ac:dyDescent="0.25">
      <c r="A91" t="s">
        <v>1497</v>
      </c>
      <c r="B91" s="186" t="str">
        <f>VLOOKUP(A91,kurspris!$A$1:$B$877,2,FALSE)</f>
        <v>Biologididaktik 1 för ämneslärare för gymnasium</v>
      </c>
      <c r="C91"/>
      <c r="D91" t="s">
        <v>483</v>
      </c>
      <c r="E91" t="s">
        <v>1788</v>
      </c>
      <c r="F91" s="59" t="s">
        <v>1930</v>
      </c>
      <c r="G91" t="s">
        <v>1979</v>
      </c>
      <c r="H91" t="s">
        <v>1910</v>
      </c>
      <c r="I91"/>
      <c r="J91" t="s">
        <v>1591</v>
      </c>
      <c r="K91"/>
      <c r="L91">
        <v>50</v>
      </c>
      <c r="M91">
        <v>7.5</v>
      </c>
      <c r="N91"/>
      <c r="O91"/>
      <c r="P91" s="31">
        <v>1</v>
      </c>
      <c r="Q91" s="232">
        <f t="shared" si="28"/>
        <v>0.125</v>
      </c>
      <c r="R91" s="40">
        <v>0.85</v>
      </c>
      <c r="S91" s="334">
        <f t="shared" si="29"/>
        <v>0.10625</v>
      </c>
      <c r="T91" s="31">
        <f>VLOOKUP(A91,'Ansvar kurs'!$A$1:$C$1010,2,FALSE)</f>
        <v>5740</v>
      </c>
      <c r="U91" s="31" t="str">
        <f>VLOOKUP(T91,Orgenheter!$A$1:$C$165,2,FALSE)</f>
        <v>NMD</v>
      </c>
      <c r="V91" s="31" t="str">
        <f>VLOOKUP(T91,Orgenheter!$A$1:$C$165,3,FALSE)</f>
        <v>TekNat</v>
      </c>
      <c r="W91" s="37" t="str">
        <f>VLOOKUP(D91,Program!$A$1:$B$34,2,FALSE)</f>
        <v>Ämneslärarprogrammet - Gy</v>
      </c>
      <c r="X91" s="42">
        <f>VLOOKUP(A91,kurspris!$A$1:$Q$798,15,FALSE)</f>
        <v>19473</v>
      </c>
      <c r="Y91" s="42">
        <f>VLOOKUP(A91,kurspris!$A$1:$Q$798,16,FALSE)</f>
        <v>34806</v>
      </c>
      <c r="Z91" s="42">
        <f t="shared" si="30"/>
        <v>6132.2624999999998</v>
      </c>
      <c r="AA91" s="42">
        <f>VLOOKUP(A91,kurspris!$A$1:$Q$798,17,FALSE)</f>
        <v>21800</v>
      </c>
      <c r="AB91" s="42">
        <f t="shared" si="31"/>
        <v>2725</v>
      </c>
      <c r="AC91" s="42">
        <f t="shared" si="32"/>
        <v>8857.2625000000007</v>
      </c>
      <c r="AD91" s="31">
        <f>VLOOKUP($A91,kurspris!$A$1:$Q$835,3,FALSE)</f>
        <v>0</v>
      </c>
      <c r="AE91" s="31">
        <f>VLOOKUP($A91,kurspris!$A$1:$Q$835,4,FALSE)</f>
        <v>0</v>
      </c>
      <c r="AF91" s="31">
        <f>VLOOKUP($A91,kurspris!$A$1:$Q$835,5,FALSE)</f>
        <v>0</v>
      </c>
      <c r="AG91" s="31">
        <f>VLOOKUP($A91,kurspris!$A$1:$Q$835,6,FALSE)</f>
        <v>0</v>
      </c>
      <c r="AH91" s="31">
        <f>VLOOKUP($A91,kurspris!$A$1:$Q$835,7,FALSE)</f>
        <v>0</v>
      </c>
      <c r="AI91" s="31">
        <f>VLOOKUP($A91,kurspris!$A$1:$Q$835,8,FALSE)</f>
        <v>1</v>
      </c>
      <c r="AJ91" s="31">
        <f>VLOOKUP($A91,kurspris!$A$1:$Q$835,9,FALSE)</f>
        <v>0</v>
      </c>
      <c r="AK91" s="31">
        <f>VLOOKUP($A91,kurspris!$A$1:$Q$835,10,FALSE)</f>
        <v>0</v>
      </c>
      <c r="AL91" s="31">
        <f>VLOOKUP($A91,kurspris!$A$1:$Q$835,11,FALSE)</f>
        <v>0</v>
      </c>
      <c r="AM91" s="31">
        <f>VLOOKUP($A91,kurspris!$A$1:$Q$835,12,FALSE)</f>
        <v>0</v>
      </c>
      <c r="AN91" s="31">
        <f>VLOOKUP($A91,kurspris!$A$1:$Q$835,13,FALSE)</f>
        <v>0</v>
      </c>
      <c r="AO91" s="31">
        <f>VLOOKUP($A91,kurspris!$A$1:$Q$835,14,FALSE)</f>
        <v>0</v>
      </c>
      <c r="AP91" s="39" t="s">
        <v>2204</v>
      </c>
      <c r="AQ91"/>
      <c r="AR91" s="31">
        <f t="shared" si="33"/>
        <v>0</v>
      </c>
      <c r="AS91" s="255">
        <f t="shared" si="34"/>
        <v>0</v>
      </c>
      <c r="AT91" s="31">
        <f t="shared" si="35"/>
        <v>0</v>
      </c>
      <c r="AU91" s="255">
        <f t="shared" si="36"/>
        <v>0</v>
      </c>
      <c r="AV91" s="31">
        <f t="shared" si="37"/>
        <v>0</v>
      </c>
      <c r="AW91" s="31">
        <f t="shared" si="38"/>
        <v>0</v>
      </c>
      <c r="AX91" s="31">
        <f t="shared" si="39"/>
        <v>0</v>
      </c>
      <c r="AY91" s="255">
        <f t="shared" si="40"/>
        <v>0</v>
      </c>
      <c r="AZ91" s="232">
        <f t="shared" si="41"/>
        <v>0</v>
      </c>
      <c r="BA91" s="255">
        <f t="shared" si="42"/>
        <v>0</v>
      </c>
      <c r="BB91" s="31">
        <f t="shared" si="43"/>
        <v>0.125</v>
      </c>
      <c r="BC91" s="255">
        <f t="shared" si="44"/>
        <v>0.10625</v>
      </c>
      <c r="BD91" s="31">
        <f t="shared" si="45"/>
        <v>0</v>
      </c>
      <c r="BE91" s="255">
        <f t="shared" si="46"/>
        <v>0</v>
      </c>
      <c r="BF91" s="31">
        <f t="shared" si="47"/>
        <v>0</v>
      </c>
      <c r="BG91" s="255">
        <f t="shared" si="48"/>
        <v>0</v>
      </c>
      <c r="BH91" s="31">
        <f t="shared" si="49"/>
        <v>0</v>
      </c>
      <c r="BI91" s="255">
        <f t="shared" si="50"/>
        <v>0</v>
      </c>
      <c r="BJ91" s="31">
        <f t="shared" si="51"/>
        <v>0</v>
      </c>
      <c r="BK91" s="31">
        <f t="shared" si="52"/>
        <v>0</v>
      </c>
      <c r="BL91" s="255">
        <f t="shared" si="53"/>
        <v>0</v>
      </c>
      <c r="BM91" s="31">
        <f t="shared" si="54"/>
        <v>0</v>
      </c>
      <c r="BN91" s="255">
        <f t="shared" si="55"/>
        <v>0</v>
      </c>
    </row>
    <row r="92" spans="1:66" x14ac:dyDescent="0.25">
      <c r="A92" s="18" t="s">
        <v>1498</v>
      </c>
      <c r="B92" s="186" t="str">
        <f>VLOOKUP(A92,kurspris!$A$1:$B$877,2,FALSE)</f>
        <v>Biologididaktik 2 för ämneslärare för gymnasium</v>
      </c>
      <c r="C92" s="37"/>
      <c r="D92" t="s">
        <v>117</v>
      </c>
      <c r="E92"/>
      <c r="F92" s="59" t="s">
        <v>1930</v>
      </c>
      <c r="G92"/>
      <c r="H92"/>
      <c r="I92" t="s">
        <v>1634</v>
      </c>
      <c r="L92">
        <v>50</v>
      </c>
      <c r="M92">
        <v>7.5</v>
      </c>
      <c r="P92" s="31">
        <v>0</v>
      </c>
      <c r="Q92" s="232">
        <f t="shared" si="28"/>
        <v>0</v>
      </c>
      <c r="R92" s="40">
        <v>0.8</v>
      </c>
      <c r="S92" s="334">
        <f t="shared" si="29"/>
        <v>0</v>
      </c>
      <c r="T92" s="31">
        <f>VLOOKUP(A92,'Ansvar kurs'!$A$1:$C$1010,2,FALSE)</f>
        <v>5740</v>
      </c>
      <c r="U92" s="31" t="str">
        <f>VLOOKUP(T92,Orgenheter!$A$1:$C$165,2,FALSE)</f>
        <v>NMD</v>
      </c>
      <c r="V92" s="31" t="str">
        <f>VLOOKUP(T92,Orgenheter!$A$1:$C$165,3,FALSE)</f>
        <v>TekNat</v>
      </c>
      <c r="W92" s="37" t="str">
        <f>VLOOKUP(D92,Program!$A$1:$B$34,2,FALSE)</f>
        <v>Fristående och övriga kurser</v>
      </c>
      <c r="X92" s="42">
        <f>VLOOKUP(A92,kurspris!$A$1:$Q$798,15,FALSE)</f>
        <v>19473</v>
      </c>
      <c r="Y92" s="42">
        <f>VLOOKUP(A92,kurspris!$A$1:$Q$798,16,FALSE)</f>
        <v>34806</v>
      </c>
      <c r="Z92" s="42">
        <f t="shared" si="30"/>
        <v>0</v>
      </c>
      <c r="AA92" s="42">
        <f>VLOOKUP(A92,kurspris!$A$1:$Q$798,17,FALSE)</f>
        <v>21800</v>
      </c>
      <c r="AB92" s="42">
        <f t="shared" si="31"/>
        <v>0</v>
      </c>
      <c r="AC92" s="42">
        <f t="shared" si="32"/>
        <v>0</v>
      </c>
      <c r="AD92" s="31">
        <f>VLOOKUP($A92,kurspris!$A$1:$Q$835,3,FALSE)</f>
        <v>0</v>
      </c>
      <c r="AE92" s="31">
        <f>VLOOKUP($A92,kurspris!$A$1:$Q$835,4,FALSE)</f>
        <v>0</v>
      </c>
      <c r="AF92" s="31">
        <f>VLOOKUP($A92,kurspris!$A$1:$Q$835,5,FALSE)</f>
        <v>0</v>
      </c>
      <c r="AG92" s="31">
        <f>VLOOKUP($A92,kurspris!$A$1:$Q$835,6,FALSE)</f>
        <v>0</v>
      </c>
      <c r="AH92" s="31">
        <f>VLOOKUP($A92,kurspris!$A$1:$Q$835,7,FALSE)</f>
        <v>0</v>
      </c>
      <c r="AI92" s="31">
        <f>VLOOKUP($A92,kurspris!$A$1:$Q$835,8,FALSE)</f>
        <v>1</v>
      </c>
      <c r="AJ92" s="31">
        <f>VLOOKUP($A92,kurspris!$A$1:$Q$835,9,FALSE)</f>
        <v>0</v>
      </c>
      <c r="AK92" s="31">
        <f>VLOOKUP($A92,kurspris!$A$1:$Q$835,10,FALSE)</f>
        <v>0</v>
      </c>
      <c r="AL92" s="31">
        <f>VLOOKUP($A92,kurspris!$A$1:$Q$835,11,FALSE)</f>
        <v>0</v>
      </c>
      <c r="AM92" s="31">
        <f>VLOOKUP($A92,kurspris!$A$1:$Q$835,12,FALSE)</f>
        <v>0</v>
      </c>
      <c r="AN92" s="31">
        <f>VLOOKUP($A92,kurspris!$A$1:$Q$835,13,FALSE)</f>
        <v>0</v>
      </c>
      <c r="AO92" s="31">
        <f>VLOOKUP($A92,kurspris!$A$1:$Q$835,14,FALSE)</f>
        <v>0</v>
      </c>
      <c r="AP92" s="39" t="s">
        <v>2232</v>
      </c>
      <c r="AQ92" s="39" t="s">
        <v>2095</v>
      </c>
      <c r="AR92" s="31">
        <f t="shared" si="33"/>
        <v>0</v>
      </c>
      <c r="AS92" s="255">
        <f t="shared" si="34"/>
        <v>0</v>
      </c>
      <c r="AT92" s="31">
        <f t="shared" si="35"/>
        <v>0</v>
      </c>
      <c r="AU92" s="255">
        <f t="shared" si="36"/>
        <v>0</v>
      </c>
      <c r="AV92" s="31">
        <f t="shared" si="37"/>
        <v>0</v>
      </c>
      <c r="AW92" s="31">
        <f t="shared" si="38"/>
        <v>0</v>
      </c>
      <c r="AX92" s="31">
        <f t="shared" si="39"/>
        <v>0</v>
      </c>
      <c r="AY92" s="255">
        <f t="shared" si="40"/>
        <v>0</v>
      </c>
      <c r="AZ92" s="232">
        <f t="shared" si="41"/>
        <v>0</v>
      </c>
      <c r="BA92" s="255">
        <f t="shared" si="42"/>
        <v>0</v>
      </c>
      <c r="BB92" s="31">
        <f t="shared" si="43"/>
        <v>0</v>
      </c>
      <c r="BC92" s="255">
        <f t="shared" si="44"/>
        <v>0</v>
      </c>
      <c r="BD92" s="31">
        <f t="shared" si="45"/>
        <v>0</v>
      </c>
      <c r="BE92" s="255">
        <f t="shared" si="46"/>
        <v>0</v>
      </c>
      <c r="BF92" s="31">
        <f t="shared" si="47"/>
        <v>0</v>
      </c>
      <c r="BG92" s="255">
        <f t="shared" si="48"/>
        <v>0</v>
      </c>
      <c r="BH92" s="31">
        <f t="shared" si="49"/>
        <v>0</v>
      </c>
      <c r="BI92" s="255">
        <f t="shared" si="50"/>
        <v>0</v>
      </c>
      <c r="BJ92" s="31">
        <f t="shared" si="51"/>
        <v>0</v>
      </c>
      <c r="BK92" s="31">
        <f t="shared" si="52"/>
        <v>0</v>
      </c>
      <c r="BL92" s="255">
        <f t="shared" si="53"/>
        <v>0</v>
      </c>
      <c r="BM92" s="31">
        <f t="shared" si="54"/>
        <v>0</v>
      </c>
      <c r="BN92" s="255">
        <f t="shared" si="55"/>
        <v>0</v>
      </c>
    </row>
    <row r="93" spans="1:66" x14ac:dyDescent="0.25">
      <c r="A93" t="s">
        <v>1498</v>
      </c>
      <c r="B93" s="186" t="str">
        <f>VLOOKUP(A93,kurspris!$A$1:$B$877,2,FALSE)</f>
        <v>Biologididaktik 2 för ämneslärare för gymnasium</v>
      </c>
      <c r="C93"/>
      <c r="D93" t="s">
        <v>483</v>
      </c>
      <c r="E93" t="s">
        <v>1976</v>
      </c>
      <c r="F93" s="59" t="s">
        <v>1930</v>
      </c>
      <c r="G93" t="s">
        <v>1980</v>
      </c>
      <c r="H93" t="s">
        <v>1910</v>
      </c>
      <c r="I93"/>
      <c r="J93" t="s">
        <v>771</v>
      </c>
      <c r="K93"/>
      <c r="L93">
        <v>50</v>
      </c>
      <c r="M93">
        <v>7.5</v>
      </c>
      <c r="N93"/>
      <c r="O93"/>
      <c r="P93" s="31">
        <v>1</v>
      </c>
      <c r="Q93" s="232">
        <f t="shared" si="28"/>
        <v>0.125</v>
      </c>
      <c r="R93" s="40">
        <v>0.85</v>
      </c>
      <c r="S93" s="334">
        <f t="shared" si="29"/>
        <v>0.10625</v>
      </c>
      <c r="T93" s="31">
        <f>VLOOKUP(A93,'Ansvar kurs'!$A$1:$C$1010,2,FALSE)</f>
        <v>5740</v>
      </c>
      <c r="U93" s="31" t="str">
        <f>VLOOKUP(T93,Orgenheter!$A$1:$C$165,2,FALSE)</f>
        <v>NMD</v>
      </c>
      <c r="V93" s="31" t="str">
        <f>VLOOKUP(T93,Orgenheter!$A$1:$C$165,3,FALSE)</f>
        <v>TekNat</v>
      </c>
      <c r="W93" s="37" t="str">
        <f>VLOOKUP(D93,Program!$A$1:$B$34,2,FALSE)</f>
        <v>Ämneslärarprogrammet - Gy</v>
      </c>
      <c r="X93" s="42">
        <f>VLOOKUP(A93,kurspris!$A$1:$Q$798,15,FALSE)</f>
        <v>19473</v>
      </c>
      <c r="Y93" s="42">
        <f>VLOOKUP(A93,kurspris!$A$1:$Q$798,16,FALSE)</f>
        <v>34806</v>
      </c>
      <c r="Z93" s="42">
        <f t="shared" si="30"/>
        <v>6132.2624999999998</v>
      </c>
      <c r="AA93" s="42">
        <f>VLOOKUP(A93,kurspris!$A$1:$Q$798,17,FALSE)</f>
        <v>21800</v>
      </c>
      <c r="AB93" s="42">
        <f t="shared" si="31"/>
        <v>2725</v>
      </c>
      <c r="AC93" s="42">
        <f t="shared" si="32"/>
        <v>8857.2625000000007</v>
      </c>
      <c r="AD93" s="31">
        <f>VLOOKUP($A93,kurspris!$A$1:$Q$835,3,FALSE)</f>
        <v>0</v>
      </c>
      <c r="AE93" s="31">
        <f>VLOOKUP($A93,kurspris!$A$1:$Q$835,4,FALSE)</f>
        <v>0</v>
      </c>
      <c r="AF93" s="31">
        <f>VLOOKUP($A93,kurspris!$A$1:$Q$835,5,FALSE)</f>
        <v>0</v>
      </c>
      <c r="AG93" s="31">
        <f>VLOOKUP($A93,kurspris!$A$1:$Q$835,6,FALSE)</f>
        <v>0</v>
      </c>
      <c r="AH93" s="31">
        <f>VLOOKUP($A93,kurspris!$A$1:$Q$835,7,FALSE)</f>
        <v>0</v>
      </c>
      <c r="AI93" s="31">
        <f>VLOOKUP($A93,kurspris!$A$1:$Q$835,8,FALSE)</f>
        <v>1</v>
      </c>
      <c r="AJ93" s="31">
        <f>VLOOKUP($A93,kurspris!$A$1:$Q$835,9,FALSE)</f>
        <v>0</v>
      </c>
      <c r="AK93" s="31">
        <f>VLOOKUP($A93,kurspris!$A$1:$Q$835,10,FALSE)</f>
        <v>0</v>
      </c>
      <c r="AL93" s="31">
        <f>VLOOKUP($A93,kurspris!$A$1:$Q$835,11,FALSE)</f>
        <v>0</v>
      </c>
      <c r="AM93" s="31">
        <f>VLOOKUP($A93,kurspris!$A$1:$Q$835,12,FALSE)</f>
        <v>0</v>
      </c>
      <c r="AN93" s="31">
        <f>VLOOKUP($A93,kurspris!$A$1:$Q$835,13,FALSE)</f>
        <v>0</v>
      </c>
      <c r="AO93" s="31">
        <f>VLOOKUP($A93,kurspris!$A$1:$Q$835,14,FALSE)</f>
        <v>0</v>
      </c>
      <c r="AP93" s="39" t="s">
        <v>2232</v>
      </c>
      <c r="AQ93"/>
      <c r="AR93" s="31">
        <f t="shared" si="33"/>
        <v>0</v>
      </c>
      <c r="AS93" s="255">
        <f t="shared" si="34"/>
        <v>0</v>
      </c>
      <c r="AT93" s="31">
        <f t="shared" si="35"/>
        <v>0</v>
      </c>
      <c r="AU93" s="255">
        <f t="shared" si="36"/>
        <v>0</v>
      </c>
      <c r="AV93" s="31">
        <f t="shared" si="37"/>
        <v>0</v>
      </c>
      <c r="AW93" s="31">
        <f t="shared" si="38"/>
        <v>0</v>
      </c>
      <c r="AX93" s="31">
        <f t="shared" si="39"/>
        <v>0</v>
      </c>
      <c r="AY93" s="255">
        <f t="shared" si="40"/>
        <v>0</v>
      </c>
      <c r="AZ93" s="232">
        <f t="shared" si="41"/>
        <v>0</v>
      </c>
      <c r="BA93" s="255">
        <f t="shared" si="42"/>
        <v>0</v>
      </c>
      <c r="BB93" s="31">
        <f t="shared" si="43"/>
        <v>0.125</v>
      </c>
      <c r="BC93" s="255">
        <f t="shared" si="44"/>
        <v>0.10625</v>
      </c>
      <c r="BD93" s="31">
        <f t="shared" si="45"/>
        <v>0</v>
      </c>
      <c r="BE93" s="255">
        <f t="shared" si="46"/>
        <v>0</v>
      </c>
      <c r="BF93" s="31">
        <f t="shared" si="47"/>
        <v>0</v>
      </c>
      <c r="BG93" s="255">
        <f t="shared" si="48"/>
        <v>0</v>
      </c>
      <c r="BH93" s="31">
        <f t="shared" si="49"/>
        <v>0</v>
      </c>
      <c r="BI93" s="255">
        <f t="shared" si="50"/>
        <v>0</v>
      </c>
      <c r="BJ93" s="31">
        <f t="shared" si="51"/>
        <v>0</v>
      </c>
      <c r="BK93" s="31">
        <f t="shared" si="52"/>
        <v>0</v>
      </c>
      <c r="BL93" s="255">
        <f t="shared" si="53"/>
        <v>0</v>
      </c>
      <c r="BM93" s="31">
        <f t="shared" si="54"/>
        <v>0</v>
      </c>
      <c r="BN93" s="255">
        <f t="shared" si="55"/>
        <v>0</v>
      </c>
    </row>
    <row r="94" spans="1:66" x14ac:dyDescent="0.25">
      <c r="A94" t="s">
        <v>1498</v>
      </c>
      <c r="B94" s="186" t="str">
        <f>VLOOKUP(A94,kurspris!$A$1:$B$877,2,FALSE)</f>
        <v>Biologididaktik 2 för ämneslärare för gymnasium</v>
      </c>
      <c r="C94"/>
      <c r="D94" t="s">
        <v>483</v>
      </c>
      <c r="E94" t="s">
        <v>1976</v>
      </c>
      <c r="F94" s="59" t="s">
        <v>1930</v>
      </c>
      <c r="G94" t="s">
        <v>1980</v>
      </c>
      <c r="H94" t="s">
        <v>1910</v>
      </c>
      <c r="I94"/>
      <c r="J94" t="s">
        <v>773</v>
      </c>
      <c r="K94"/>
      <c r="L94">
        <v>50</v>
      </c>
      <c r="M94">
        <v>7.5</v>
      </c>
      <c r="N94"/>
      <c r="O94"/>
      <c r="P94" s="31">
        <v>1</v>
      </c>
      <c r="Q94" s="232">
        <f t="shared" si="28"/>
        <v>0.125</v>
      </c>
      <c r="R94" s="40">
        <v>0.85</v>
      </c>
      <c r="S94" s="334">
        <f t="shared" si="29"/>
        <v>0.10625</v>
      </c>
      <c r="T94" s="31">
        <f>VLOOKUP(A94,'Ansvar kurs'!$A$1:$C$1010,2,FALSE)</f>
        <v>5740</v>
      </c>
      <c r="U94" s="31" t="str">
        <f>VLOOKUP(T94,Orgenheter!$A$1:$C$165,2,FALSE)</f>
        <v>NMD</v>
      </c>
      <c r="V94" s="31" t="str">
        <f>VLOOKUP(T94,Orgenheter!$A$1:$C$165,3,FALSE)</f>
        <v>TekNat</v>
      </c>
      <c r="W94" s="37" t="str">
        <f>VLOOKUP(D94,Program!$A$1:$B$34,2,FALSE)</f>
        <v>Ämneslärarprogrammet - Gy</v>
      </c>
      <c r="X94" s="42">
        <f>VLOOKUP(A94,kurspris!$A$1:$Q$798,15,FALSE)</f>
        <v>19473</v>
      </c>
      <c r="Y94" s="42">
        <f>VLOOKUP(A94,kurspris!$A$1:$Q$798,16,FALSE)</f>
        <v>34806</v>
      </c>
      <c r="Z94" s="42">
        <f t="shared" si="30"/>
        <v>6132.2624999999998</v>
      </c>
      <c r="AA94" s="42">
        <f>VLOOKUP(A94,kurspris!$A$1:$Q$798,17,FALSE)</f>
        <v>21800</v>
      </c>
      <c r="AB94" s="42">
        <f t="shared" si="31"/>
        <v>2725</v>
      </c>
      <c r="AC94" s="42">
        <f t="shared" si="32"/>
        <v>8857.2625000000007</v>
      </c>
      <c r="AD94" s="31">
        <f>VLOOKUP($A94,kurspris!$A$1:$Q$835,3,FALSE)</f>
        <v>0</v>
      </c>
      <c r="AE94" s="31">
        <f>VLOOKUP($A94,kurspris!$A$1:$Q$835,4,FALSE)</f>
        <v>0</v>
      </c>
      <c r="AF94" s="31">
        <f>VLOOKUP($A94,kurspris!$A$1:$Q$835,5,FALSE)</f>
        <v>0</v>
      </c>
      <c r="AG94" s="31">
        <f>VLOOKUP($A94,kurspris!$A$1:$Q$835,6,FALSE)</f>
        <v>0</v>
      </c>
      <c r="AH94" s="31">
        <f>VLOOKUP($A94,kurspris!$A$1:$Q$835,7,FALSE)</f>
        <v>0</v>
      </c>
      <c r="AI94" s="31">
        <f>VLOOKUP($A94,kurspris!$A$1:$Q$835,8,FALSE)</f>
        <v>1</v>
      </c>
      <c r="AJ94" s="31">
        <f>VLOOKUP($A94,kurspris!$A$1:$Q$835,9,FALSE)</f>
        <v>0</v>
      </c>
      <c r="AK94" s="31">
        <f>VLOOKUP($A94,kurspris!$A$1:$Q$835,10,FALSE)</f>
        <v>0</v>
      </c>
      <c r="AL94" s="31">
        <f>VLOOKUP($A94,kurspris!$A$1:$Q$835,11,FALSE)</f>
        <v>0</v>
      </c>
      <c r="AM94" s="31">
        <f>VLOOKUP($A94,kurspris!$A$1:$Q$835,12,FALSE)</f>
        <v>0</v>
      </c>
      <c r="AN94" s="31">
        <f>VLOOKUP($A94,kurspris!$A$1:$Q$835,13,FALSE)</f>
        <v>0</v>
      </c>
      <c r="AO94" s="31">
        <f>VLOOKUP($A94,kurspris!$A$1:$Q$835,14,FALSE)</f>
        <v>0</v>
      </c>
      <c r="AP94" s="39" t="s">
        <v>2232</v>
      </c>
      <c r="AQ94"/>
      <c r="AR94" s="31">
        <f t="shared" si="33"/>
        <v>0</v>
      </c>
      <c r="AS94" s="255">
        <f t="shared" si="34"/>
        <v>0</v>
      </c>
      <c r="AT94" s="31">
        <f t="shared" si="35"/>
        <v>0</v>
      </c>
      <c r="AU94" s="255">
        <f t="shared" si="36"/>
        <v>0</v>
      </c>
      <c r="AV94" s="31">
        <f t="shared" si="37"/>
        <v>0</v>
      </c>
      <c r="AW94" s="31">
        <f t="shared" si="38"/>
        <v>0</v>
      </c>
      <c r="AX94" s="31">
        <f t="shared" si="39"/>
        <v>0</v>
      </c>
      <c r="AY94" s="255">
        <f t="shared" si="40"/>
        <v>0</v>
      </c>
      <c r="AZ94" s="232">
        <f t="shared" si="41"/>
        <v>0</v>
      </c>
      <c r="BA94" s="255">
        <f t="shared" si="42"/>
        <v>0</v>
      </c>
      <c r="BB94" s="31">
        <f t="shared" si="43"/>
        <v>0.125</v>
      </c>
      <c r="BC94" s="255">
        <f t="shared" si="44"/>
        <v>0.10625</v>
      </c>
      <c r="BD94" s="31">
        <f t="shared" si="45"/>
        <v>0</v>
      </c>
      <c r="BE94" s="255">
        <f t="shared" si="46"/>
        <v>0</v>
      </c>
      <c r="BF94" s="31">
        <f t="shared" si="47"/>
        <v>0</v>
      </c>
      <c r="BG94" s="255">
        <f t="shared" si="48"/>
        <v>0</v>
      </c>
      <c r="BH94" s="31">
        <f t="shared" si="49"/>
        <v>0</v>
      </c>
      <c r="BI94" s="255">
        <f t="shared" si="50"/>
        <v>0</v>
      </c>
      <c r="BJ94" s="31">
        <f t="shared" si="51"/>
        <v>0</v>
      </c>
      <c r="BK94" s="31">
        <f t="shared" si="52"/>
        <v>0</v>
      </c>
      <c r="BL94" s="255">
        <f t="shared" si="53"/>
        <v>0</v>
      </c>
      <c r="BM94" s="31">
        <f t="shared" si="54"/>
        <v>0</v>
      </c>
      <c r="BN94" s="255">
        <f t="shared" si="55"/>
        <v>0</v>
      </c>
    </row>
    <row r="95" spans="1:66" x14ac:dyDescent="0.25">
      <c r="A95" t="s">
        <v>1498</v>
      </c>
      <c r="B95" s="186" t="str">
        <f>VLOOKUP(A95,kurspris!$A$1:$B$877,2,FALSE)</f>
        <v>Biologididaktik 2 för ämneslärare för gymnasium</v>
      </c>
      <c r="C95"/>
      <c r="D95" t="s">
        <v>483</v>
      </c>
      <c r="E95" t="s">
        <v>1976</v>
      </c>
      <c r="F95" s="59" t="s">
        <v>1930</v>
      </c>
      <c r="G95" t="s">
        <v>1980</v>
      </c>
      <c r="H95" t="s">
        <v>1910</v>
      </c>
      <c r="I95"/>
      <c r="J95" t="s">
        <v>774</v>
      </c>
      <c r="K95"/>
      <c r="L95">
        <v>50</v>
      </c>
      <c r="M95">
        <v>7.5</v>
      </c>
      <c r="N95"/>
      <c r="O95"/>
      <c r="P95" s="31">
        <v>2</v>
      </c>
      <c r="Q95" s="232">
        <f t="shared" si="28"/>
        <v>0.25</v>
      </c>
      <c r="R95" s="40">
        <v>0.85</v>
      </c>
      <c r="S95" s="334">
        <f t="shared" si="29"/>
        <v>0.21249999999999999</v>
      </c>
      <c r="T95" s="31">
        <f>VLOOKUP(A95,'Ansvar kurs'!$A$1:$C$1010,2,FALSE)</f>
        <v>5740</v>
      </c>
      <c r="U95" s="31" t="str">
        <f>VLOOKUP(T95,Orgenheter!$A$1:$C$165,2,FALSE)</f>
        <v>NMD</v>
      </c>
      <c r="V95" s="31" t="str">
        <f>VLOOKUP(T95,Orgenheter!$A$1:$C$165,3,FALSE)</f>
        <v>TekNat</v>
      </c>
      <c r="W95" s="37" t="str">
        <f>VLOOKUP(D95,Program!$A$1:$B$34,2,FALSE)</f>
        <v>Ämneslärarprogrammet - Gy</v>
      </c>
      <c r="X95" s="42">
        <f>VLOOKUP(A95,kurspris!$A$1:$Q$798,15,FALSE)</f>
        <v>19473</v>
      </c>
      <c r="Y95" s="42">
        <f>VLOOKUP(A95,kurspris!$A$1:$Q$798,16,FALSE)</f>
        <v>34806</v>
      </c>
      <c r="Z95" s="42">
        <f t="shared" si="30"/>
        <v>12264.525</v>
      </c>
      <c r="AA95" s="42">
        <f>VLOOKUP(A95,kurspris!$A$1:$Q$798,17,FALSE)</f>
        <v>21800</v>
      </c>
      <c r="AB95" s="42">
        <f t="shared" si="31"/>
        <v>5450</v>
      </c>
      <c r="AC95" s="42">
        <f t="shared" si="32"/>
        <v>17714.525000000001</v>
      </c>
      <c r="AD95" s="31">
        <f>VLOOKUP($A95,kurspris!$A$1:$Q$835,3,FALSE)</f>
        <v>0</v>
      </c>
      <c r="AE95" s="31">
        <f>VLOOKUP($A95,kurspris!$A$1:$Q$835,4,FALSE)</f>
        <v>0</v>
      </c>
      <c r="AF95" s="31">
        <f>VLOOKUP($A95,kurspris!$A$1:$Q$835,5,FALSE)</f>
        <v>0</v>
      </c>
      <c r="AG95" s="31">
        <f>VLOOKUP($A95,kurspris!$A$1:$Q$835,6,FALSE)</f>
        <v>0</v>
      </c>
      <c r="AH95" s="31">
        <f>VLOOKUP($A95,kurspris!$A$1:$Q$835,7,FALSE)</f>
        <v>0</v>
      </c>
      <c r="AI95" s="31">
        <f>VLOOKUP($A95,kurspris!$A$1:$Q$835,8,FALSE)</f>
        <v>1</v>
      </c>
      <c r="AJ95" s="31">
        <f>VLOOKUP($A95,kurspris!$A$1:$Q$835,9,FALSE)</f>
        <v>0</v>
      </c>
      <c r="AK95" s="31">
        <f>VLOOKUP($A95,kurspris!$A$1:$Q$835,10,FALSE)</f>
        <v>0</v>
      </c>
      <c r="AL95" s="31">
        <f>VLOOKUP($A95,kurspris!$A$1:$Q$835,11,FALSE)</f>
        <v>0</v>
      </c>
      <c r="AM95" s="31">
        <f>VLOOKUP($A95,kurspris!$A$1:$Q$835,12,FALSE)</f>
        <v>0</v>
      </c>
      <c r="AN95" s="31">
        <f>VLOOKUP($A95,kurspris!$A$1:$Q$835,13,FALSE)</f>
        <v>0</v>
      </c>
      <c r="AO95" s="31">
        <f>VLOOKUP($A95,kurspris!$A$1:$Q$835,14,FALSE)</f>
        <v>0</v>
      </c>
      <c r="AP95" s="39" t="s">
        <v>2232</v>
      </c>
      <c r="AQ95"/>
      <c r="AR95" s="31">
        <f t="shared" si="33"/>
        <v>0</v>
      </c>
      <c r="AS95" s="255">
        <f t="shared" si="34"/>
        <v>0</v>
      </c>
      <c r="AT95" s="31">
        <f t="shared" si="35"/>
        <v>0</v>
      </c>
      <c r="AU95" s="255">
        <f t="shared" si="36"/>
        <v>0</v>
      </c>
      <c r="AV95" s="31">
        <f t="shared" si="37"/>
        <v>0</v>
      </c>
      <c r="AW95" s="31">
        <f t="shared" si="38"/>
        <v>0</v>
      </c>
      <c r="AX95" s="31">
        <f t="shared" si="39"/>
        <v>0</v>
      </c>
      <c r="AY95" s="255">
        <f t="shared" si="40"/>
        <v>0</v>
      </c>
      <c r="AZ95" s="232">
        <f t="shared" si="41"/>
        <v>0</v>
      </c>
      <c r="BA95" s="255">
        <f t="shared" si="42"/>
        <v>0</v>
      </c>
      <c r="BB95" s="31">
        <f t="shared" si="43"/>
        <v>0.25</v>
      </c>
      <c r="BC95" s="255">
        <f t="shared" si="44"/>
        <v>0.21249999999999999</v>
      </c>
      <c r="BD95" s="31">
        <f t="shared" si="45"/>
        <v>0</v>
      </c>
      <c r="BE95" s="255">
        <f t="shared" si="46"/>
        <v>0</v>
      </c>
      <c r="BF95" s="31">
        <f t="shared" si="47"/>
        <v>0</v>
      </c>
      <c r="BG95" s="255">
        <f t="shared" si="48"/>
        <v>0</v>
      </c>
      <c r="BH95" s="31">
        <f t="shared" si="49"/>
        <v>0</v>
      </c>
      <c r="BI95" s="255">
        <f t="shared" si="50"/>
        <v>0</v>
      </c>
      <c r="BJ95" s="31">
        <f t="shared" si="51"/>
        <v>0</v>
      </c>
      <c r="BK95" s="31">
        <f t="shared" si="52"/>
        <v>0</v>
      </c>
      <c r="BL95" s="255">
        <f t="shared" si="53"/>
        <v>0</v>
      </c>
      <c r="BM95" s="31">
        <f t="shared" si="54"/>
        <v>0</v>
      </c>
      <c r="BN95" s="255">
        <f t="shared" si="55"/>
        <v>0</v>
      </c>
    </row>
    <row r="96" spans="1:66" x14ac:dyDescent="0.25">
      <c r="A96" t="s">
        <v>1498</v>
      </c>
      <c r="B96" s="186" t="str">
        <f>VLOOKUP(A96,kurspris!$A$1:$B$877,2,FALSE)</f>
        <v>Biologididaktik 2 för ämneslärare för gymnasium</v>
      </c>
      <c r="C96"/>
      <c r="D96" t="s">
        <v>483</v>
      </c>
      <c r="E96" t="s">
        <v>1976</v>
      </c>
      <c r="F96" s="59" t="s">
        <v>1930</v>
      </c>
      <c r="G96" t="s">
        <v>1980</v>
      </c>
      <c r="H96" t="s">
        <v>1910</v>
      </c>
      <c r="I96"/>
      <c r="J96" t="s">
        <v>778</v>
      </c>
      <c r="K96"/>
      <c r="L96">
        <v>50</v>
      </c>
      <c r="M96">
        <v>7.5</v>
      </c>
      <c r="N96"/>
      <c r="O96"/>
      <c r="P96" s="31">
        <v>1</v>
      </c>
      <c r="Q96" s="232">
        <f t="shared" si="28"/>
        <v>0.125</v>
      </c>
      <c r="R96" s="40">
        <v>0.85</v>
      </c>
      <c r="S96" s="334">
        <f t="shared" si="29"/>
        <v>0.10625</v>
      </c>
      <c r="T96" s="31">
        <f>VLOOKUP(A96,'Ansvar kurs'!$A$1:$C$1010,2,FALSE)</f>
        <v>5740</v>
      </c>
      <c r="U96" s="31" t="str">
        <f>VLOOKUP(T96,Orgenheter!$A$1:$C$165,2,FALSE)</f>
        <v>NMD</v>
      </c>
      <c r="V96" s="31" t="str">
        <f>VLOOKUP(T96,Orgenheter!$A$1:$C$165,3,FALSE)</f>
        <v>TekNat</v>
      </c>
      <c r="W96" s="37" t="str">
        <f>VLOOKUP(D96,Program!$A$1:$B$34,2,FALSE)</f>
        <v>Ämneslärarprogrammet - Gy</v>
      </c>
      <c r="X96" s="42">
        <f>VLOOKUP(A96,kurspris!$A$1:$Q$798,15,FALSE)</f>
        <v>19473</v>
      </c>
      <c r="Y96" s="42">
        <f>VLOOKUP(A96,kurspris!$A$1:$Q$798,16,FALSE)</f>
        <v>34806</v>
      </c>
      <c r="Z96" s="42">
        <f t="shared" si="30"/>
        <v>6132.2624999999998</v>
      </c>
      <c r="AA96" s="42">
        <f>VLOOKUP(A96,kurspris!$A$1:$Q$798,17,FALSE)</f>
        <v>21800</v>
      </c>
      <c r="AB96" s="42">
        <f t="shared" si="31"/>
        <v>2725</v>
      </c>
      <c r="AC96" s="42">
        <f t="shared" si="32"/>
        <v>8857.2625000000007</v>
      </c>
      <c r="AD96" s="31">
        <f>VLOOKUP($A96,kurspris!$A$1:$Q$835,3,FALSE)</f>
        <v>0</v>
      </c>
      <c r="AE96" s="31">
        <f>VLOOKUP($A96,kurspris!$A$1:$Q$835,4,FALSE)</f>
        <v>0</v>
      </c>
      <c r="AF96" s="31">
        <f>VLOOKUP($A96,kurspris!$A$1:$Q$835,5,FALSE)</f>
        <v>0</v>
      </c>
      <c r="AG96" s="31">
        <f>VLOOKUP($A96,kurspris!$A$1:$Q$835,6,FALSE)</f>
        <v>0</v>
      </c>
      <c r="AH96" s="31">
        <f>VLOOKUP($A96,kurspris!$A$1:$Q$835,7,FALSE)</f>
        <v>0</v>
      </c>
      <c r="AI96" s="31">
        <f>VLOOKUP($A96,kurspris!$A$1:$Q$835,8,FALSE)</f>
        <v>1</v>
      </c>
      <c r="AJ96" s="31">
        <f>VLOOKUP($A96,kurspris!$A$1:$Q$835,9,FALSE)</f>
        <v>0</v>
      </c>
      <c r="AK96" s="31">
        <f>VLOOKUP($A96,kurspris!$A$1:$Q$835,10,FALSE)</f>
        <v>0</v>
      </c>
      <c r="AL96" s="31">
        <f>VLOOKUP($A96,kurspris!$A$1:$Q$835,11,FALSE)</f>
        <v>0</v>
      </c>
      <c r="AM96" s="31">
        <f>VLOOKUP($A96,kurspris!$A$1:$Q$835,12,FALSE)</f>
        <v>0</v>
      </c>
      <c r="AN96" s="31">
        <f>VLOOKUP($A96,kurspris!$A$1:$Q$835,13,FALSE)</f>
        <v>0</v>
      </c>
      <c r="AO96" s="31">
        <f>VLOOKUP($A96,kurspris!$A$1:$Q$835,14,FALSE)</f>
        <v>0</v>
      </c>
      <c r="AP96" s="39" t="s">
        <v>2232</v>
      </c>
      <c r="AQ96"/>
      <c r="AR96" s="31">
        <f t="shared" si="33"/>
        <v>0</v>
      </c>
      <c r="AS96" s="255">
        <f t="shared" si="34"/>
        <v>0</v>
      </c>
      <c r="AT96" s="31">
        <f t="shared" si="35"/>
        <v>0</v>
      </c>
      <c r="AU96" s="255">
        <f t="shared" si="36"/>
        <v>0</v>
      </c>
      <c r="AV96" s="31">
        <f t="shared" si="37"/>
        <v>0</v>
      </c>
      <c r="AW96" s="31">
        <f t="shared" si="38"/>
        <v>0</v>
      </c>
      <c r="AX96" s="31">
        <f t="shared" si="39"/>
        <v>0</v>
      </c>
      <c r="AY96" s="255">
        <f t="shared" si="40"/>
        <v>0</v>
      </c>
      <c r="AZ96" s="232">
        <f t="shared" si="41"/>
        <v>0</v>
      </c>
      <c r="BA96" s="255">
        <f t="shared" si="42"/>
        <v>0</v>
      </c>
      <c r="BB96" s="31">
        <f t="shared" si="43"/>
        <v>0.125</v>
      </c>
      <c r="BC96" s="255">
        <f t="shared" si="44"/>
        <v>0.10625</v>
      </c>
      <c r="BD96" s="31">
        <f t="shared" si="45"/>
        <v>0</v>
      </c>
      <c r="BE96" s="255">
        <f t="shared" si="46"/>
        <v>0</v>
      </c>
      <c r="BF96" s="31">
        <f t="shared" si="47"/>
        <v>0</v>
      </c>
      <c r="BG96" s="255">
        <f t="shared" si="48"/>
        <v>0</v>
      </c>
      <c r="BH96" s="31">
        <f t="shared" si="49"/>
        <v>0</v>
      </c>
      <c r="BI96" s="255">
        <f t="shared" si="50"/>
        <v>0</v>
      </c>
      <c r="BJ96" s="31">
        <f t="shared" si="51"/>
        <v>0</v>
      </c>
      <c r="BK96" s="31">
        <f t="shared" si="52"/>
        <v>0</v>
      </c>
      <c r="BL96" s="255">
        <f t="shared" si="53"/>
        <v>0</v>
      </c>
      <c r="BM96" s="31">
        <f t="shared" si="54"/>
        <v>0</v>
      </c>
      <c r="BN96" s="255">
        <f t="shared" si="55"/>
        <v>0</v>
      </c>
    </row>
    <row r="97" spans="1:66" x14ac:dyDescent="0.25">
      <c r="A97" t="s">
        <v>1498</v>
      </c>
      <c r="B97" s="186" t="str">
        <f>VLOOKUP(A97,kurspris!$A$1:$B$877,2,FALSE)</f>
        <v>Biologididaktik 2 för ämneslärare för gymnasium</v>
      </c>
      <c r="C97"/>
      <c r="D97" t="s">
        <v>483</v>
      </c>
      <c r="E97" t="s">
        <v>1609</v>
      </c>
      <c r="F97" s="59" t="s">
        <v>1930</v>
      </c>
      <c r="G97" t="s">
        <v>1980</v>
      </c>
      <c r="H97" t="s">
        <v>1910</v>
      </c>
      <c r="I97"/>
      <c r="J97" t="s">
        <v>1591</v>
      </c>
      <c r="K97"/>
      <c r="L97">
        <v>50</v>
      </c>
      <c r="M97">
        <v>7.5</v>
      </c>
      <c r="N97"/>
      <c r="O97"/>
      <c r="P97" s="31">
        <v>2</v>
      </c>
      <c r="Q97" s="232">
        <f t="shared" si="28"/>
        <v>0.25</v>
      </c>
      <c r="R97" s="40">
        <v>0.85</v>
      </c>
      <c r="S97" s="334">
        <f t="shared" si="29"/>
        <v>0.21249999999999999</v>
      </c>
      <c r="T97" s="31">
        <f>VLOOKUP(A97,'Ansvar kurs'!$A$1:$C$1010,2,FALSE)</f>
        <v>5740</v>
      </c>
      <c r="U97" s="31" t="str">
        <f>VLOOKUP(T97,Orgenheter!$A$1:$C$165,2,FALSE)</f>
        <v>NMD</v>
      </c>
      <c r="V97" s="31" t="str">
        <f>VLOOKUP(T97,Orgenheter!$A$1:$C$165,3,FALSE)</f>
        <v>TekNat</v>
      </c>
      <c r="W97" s="37" t="str">
        <f>VLOOKUP(D97,Program!$A$1:$B$34,2,FALSE)</f>
        <v>Ämneslärarprogrammet - Gy</v>
      </c>
      <c r="X97" s="42">
        <f>VLOOKUP(A97,kurspris!$A$1:$Q$798,15,FALSE)</f>
        <v>19473</v>
      </c>
      <c r="Y97" s="42">
        <f>VLOOKUP(A97,kurspris!$A$1:$Q$798,16,FALSE)</f>
        <v>34806</v>
      </c>
      <c r="Z97" s="42">
        <f t="shared" si="30"/>
        <v>12264.525</v>
      </c>
      <c r="AA97" s="42">
        <f>VLOOKUP(A97,kurspris!$A$1:$Q$798,17,FALSE)</f>
        <v>21800</v>
      </c>
      <c r="AB97" s="42">
        <f t="shared" si="31"/>
        <v>5450</v>
      </c>
      <c r="AC97" s="42">
        <f t="shared" si="32"/>
        <v>17714.525000000001</v>
      </c>
      <c r="AD97" s="31">
        <f>VLOOKUP($A97,kurspris!$A$1:$Q$835,3,FALSE)</f>
        <v>0</v>
      </c>
      <c r="AE97" s="31">
        <f>VLOOKUP($A97,kurspris!$A$1:$Q$835,4,FALSE)</f>
        <v>0</v>
      </c>
      <c r="AF97" s="31">
        <f>VLOOKUP($A97,kurspris!$A$1:$Q$835,5,FALSE)</f>
        <v>0</v>
      </c>
      <c r="AG97" s="31">
        <f>VLOOKUP($A97,kurspris!$A$1:$Q$835,6,FALSE)</f>
        <v>0</v>
      </c>
      <c r="AH97" s="31">
        <f>VLOOKUP($A97,kurspris!$A$1:$Q$835,7,FALSE)</f>
        <v>0</v>
      </c>
      <c r="AI97" s="31">
        <f>VLOOKUP($A97,kurspris!$A$1:$Q$835,8,FALSE)</f>
        <v>1</v>
      </c>
      <c r="AJ97" s="31">
        <f>VLOOKUP($A97,kurspris!$A$1:$Q$835,9,FALSE)</f>
        <v>0</v>
      </c>
      <c r="AK97" s="31">
        <f>VLOOKUP($A97,kurspris!$A$1:$Q$835,10,FALSE)</f>
        <v>0</v>
      </c>
      <c r="AL97" s="31">
        <f>VLOOKUP($A97,kurspris!$A$1:$Q$835,11,FALSE)</f>
        <v>0</v>
      </c>
      <c r="AM97" s="31">
        <f>VLOOKUP($A97,kurspris!$A$1:$Q$835,12,FALSE)</f>
        <v>0</v>
      </c>
      <c r="AN97" s="31">
        <f>VLOOKUP($A97,kurspris!$A$1:$Q$835,13,FALSE)</f>
        <v>0</v>
      </c>
      <c r="AO97" s="31">
        <f>VLOOKUP($A97,kurspris!$A$1:$Q$835,14,FALSE)</f>
        <v>0</v>
      </c>
      <c r="AP97" s="39" t="s">
        <v>2232</v>
      </c>
      <c r="AQ97"/>
      <c r="AR97" s="31">
        <f t="shared" si="33"/>
        <v>0</v>
      </c>
      <c r="AS97" s="255">
        <f t="shared" si="34"/>
        <v>0</v>
      </c>
      <c r="AT97" s="31">
        <f t="shared" si="35"/>
        <v>0</v>
      </c>
      <c r="AU97" s="255">
        <f t="shared" si="36"/>
        <v>0</v>
      </c>
      <c r="AV97" s="31">
        <f t="shared" si="37"/>
        <v>0</v>
      </c>
      <c r="AW97" s="31">
        <f t="shared" si="38"/>
        <v>0</v>
      </c>
      <c r="AX97" s="31">
        <f t="shared" si="39"/>
        <v>0</v>
      </c>
      <c r="AY97" s="255">
        <f t="shared" si="40"/>
        <v>0</v>
      </c>
      <c r="AZ97" s="232">
        <f t="shared" si="41"/>
        <v>0</v>
      </c>
      <c r="BA97" s="255">
        <f t="shared" si="42"/>
        <v>0</v>
      </c>
      <c r="BB97" s="31">
        <f t="shared" si="43"/>
        <v>0.25</v>
      </c>
      <c r="BC97" s="255">
        <f t="shared" si="44"/>
        <v>0.21249999999999999</v>
      </c>
      <c r="BD97" s="31">
        <f t="shared" si="45"/>
        <v>0</v>
      </c>
      <c r="BE97" s="255">
        <f t="shared" si="46"/>
        <v>0</v>
      </c>
      <c r="BF97" s="31">
        <f t="shared" si="47"/>
        <v>0</v>
      </c>
      <c r="BG97" s="255">
        <f t="shared" si="48"/>
        <v>0</v>
      </c>
      <c r="BH97" s="31">
        <f t="shared" si="49"/>
        <v>0</v>
      </c>
      <c r="BI97" s="255">
        <f t="shared" si="50"/>
        <v>0</v>
      </c>
      <c r="BJ97" s="31">
        <f t="shared" si="51"/>
        <v>0</v>
      </c>
      <c r="BK97" s="31">
        <f t="shared" si="52"/>
        <v>0</v>
      </c>
      <c r="BL97" s="255">
        <f t="shared" si="53"/>
        <v>0</v>
      </c>
      <c r="BM97" s="31">
        <f t="shared" si="54"/>
        <v>0</v>
      </c>
      <c r="BN97" s="255">
        <f t="shared" si="55"/>
        <v>0</v>
      </c>
    </row>
    <row r="98" spans="1:66" x14ac:dyDescent="0.25">
      <c r="A98" t="s">
        <v>1498</v>
      </c>
      <c r="B98" s="186" t="str">
        <f>VLOOKUP(A98,kurspris!$A$1:$B$877,2,FALSE)</f>
        <v>Biologididaktik 2 för ämneslärare för gymnasium</v>
      </c>
      <c r="C98"/>
      <c r="D98" t="s">
        <v>483</v>
      </c>
      <c r="E98" t="s">
        <v>1788</v>
      </c>
      <c r="F98" s="59" t="s">
        <v>1930</v>
      </c>
      <c r="G98" t="s">
        <v>1980</v>
      </c>
      <c r="H98" t="s">
        <v>1910</v>
      </c>
      <c r="I98"/>
      <c r="J98" t="s">
        <v>1591</v>
      </c>
      <c r="K98"/>
      <c r="L98">
        <v>50</v>
      </c>
      <c r="M98">
        <v>7.5</v>
      </c>
      <c r="N98"/>
      <c r="O98"/>
      <c r="P98" s="31">
        <v>1</v>
      </c>
      <c r="Q98" s="232">
        <f t="shared" si="28"/>
        <v>0.125</v>
      </c>
      <c r="R98" s="40">
        <v>0.85</v>
      </c>
      <c r="S98" s="334">
        <f t="shared" si="29"/>
        <v>0.10625</v>
      </c>
      <c r="T98" s="31">
        <f>VLOOKUP(A98,'Ansvar kurs'!$A$1:$C$1010,2,FALSE)</f>
        <v>5740</v>
      </c>
      <c r="U98" s="31" t="str">
        <f>VLOOKUP(T98,Orgenheter!$A$1:$C$165,2,FALSE)</f>
        <v>NMD</v>
      </c>
      <c r="V98" s="31" t="str">
        <f>VLOOKUP(T98,Orgenheter!$A$1:$C$165,3,FALSE)</f>
        <v>TekNat</v>
      </c>
      <c r="W98" s="37" t="str">
        <f>VLOOKUP(D98,Program!$A$1:$B$34,2,FALSE)</f>
        <v>Ämneslärarprogrammet - Gy</v>
      </c>
      <c r="X98" s="42">
        <f>VLOOKUP(A98,kurspris!$A$1:$Q$798,15,FALSE)</f>
        <v>19473</v>
      </c>
      <c r="Y98" s="42">
        <f>VLOOKUP(A98,kurspris!$A$1:$Q$798,16,FALSE)</f>
        <v>34806</v>
      </c>
      <c r="Z98" s="42">
        <f t="shared" si="30"/>
        <v>6132.2624999999998</v>
      </c>
      <c r="AA98" s="42">
        <f>VLOOKUP(A98,kurspris!$A$1:$Q$798,17,FALSE)</f>
        <v>21800</v>
      </c>
      <c r="AB98" s="42">
        <f t="shared" si="31"/>
        <v>2725</v>
      </c>
      <c r="AC98" s="42">
        <f t="shared" si="32"/>
        <v>8857.2625000000007</v>
      </c>
      <c r="AD98" s="31">
        <f>VLOOKUP($A98,kurspris!$A$1:$Q$835,3,FALSE)</f>
        <v>0</v>
      </c>
      <c r="AE98" s="31">
        <f>VLOOKUP($A98,kurspris!$A$1:$Q$835,4,FALSE)</f>
        <v>0</v>
      </c>
      <c r="AF98" s="31">
        <f>VLOOKUP($A98,kurspris!$A$1:$Q$835,5,FALSE)</f>
        <v>0</v>
      </c>
      <c r="AG98" s="31">
        <f>VLOOKUP($A98,kurspris!$A$1:$Q$835,6,FALSE)</f>
        <v>0</v>
      </c>
      <c r="AH98" s="31">
        <f>VLOOKUP($A98,kurspris!$A$1:$Q$835,7,FALSE)</f>
        <v>0</v>
      </c>
      <c r="AI98" s="31">
        <f>VLOOKUP($A98,kurspris!$A$1:$Q$835,8,FALSE)</f>
        <v>1</v>
      </c>
      <c r="AJ98" s="31">
        <f>VLOOKUP($A98,kurspris!$A$1:$Q$835,9,FALSE)</f>
        <v>0</v>
      </c>
      <c r="AK98" s="31">
        <f>VLOOKUP($A98,kurspris!$A$1:$Q$835,10,FALSE)</f>
        <v>0</v>
      </c>
      <c r="AL98" s="31">
        <f>VLOOKUP($A98,kurspris!$A$1:$Q$835,11,FALSE)</f>
        <v>0</v>
      </c>
      <c r="AM98" s="31">
        <f>VLOOKUP($A98,kurspris!$A$1:$Q$835,12,FALSE)</f>
        <v>0</v>
      </c>
      <c r="AN98" s="31">
        <f>VLOOKUP($A98,kurspris!$A$1:$Q$835,13,FALSE)</f>
        <v>0</v>
      </c>
      <c r="AO98" s="31">
        <f>VLOOKUP($A98,kurspris!$A$1:$Q$835,14,FALSE)</f>
        <v>0</v>
      </c>
      <c r="AP98" s="39" t="s">
        <v>2232</v>
      </c>
      <c r="AQ98"/>
      <c r="AR98" s="31">
        <f t="shared" si="33"/>
        <v>0</v>
      </c>
      <c r="AS98" s="255">
        <f t="shared" si="34"/>
        <v>0</v>
      </c>
      <c r="AT98" s="31">
        <f t="shared" si="35"/>
        <v>0</v>
      </c>
      <c r="AU98" s="255">
        <f t="shared" si="36"/>
        <v>0</v>
      </c>
      <c r="AV98" s="31">
        <f t="shared" si="37"/>
        <v>0</v>
      </c>
      <c r="AW98" s="31">
        <f t="shared" si="38"/>
        <v>0</v>
      </c>
      <c r="AX98" s="31">
        <f t="shared" si="39"/>
        <v>0</v>
      </c>
      <c r="AY98" s="255">
        <f t="shared" si="40"/>
        <v>0</v>
      </c>
      <c r="AZ98" s="232">
        <f t="shared" si="41"/>
        <v>0</v>
      </c>
      <c r="BA98" s="255">
        <f t="shared" si="42"/>
        <v>0</v>
      </c>
      <c r="BB98" s="31">
        <f t="shared" si="43"/>
        <v>0.125</v>
      </c>
      <c r="BC98" s="255">
        <f t="shared" si="44"/>
        <v>0.10625</v>
      </c>
      <c r="BD98" s="31">
        <f t="shared" si="45"/>
        <v>0</v>
      </c>
      <c r="BE98" s="255">
        <f t="shared" si="46"/>
        <v>0</v>
      </c>
      <c r="BF98" s="31">
        <f t="shared" si="47"/>
        <v>0</v>
      </c>
      <c r="BG98" s="255">
        <f t="shared" si="48"/>
        <v>0</v>
      </c>
      <c r="BH98" s="31">
        <f t="shared" si="49"/>
        <v>0</v>
      </c>
      <c r="BI98" s="255">
        <f t="shared" si="50"/>
        <v>0</v>
      </c>
      <c r="BJ98" s="31">
        <f t="shared" si="51"/>
        <v>0</v>
      </c>
      <c r="BK98" s="31">
        <f t="shared" si="52"/>
        <v>0</v>
      </c>
      <c r="BL98" s="255">
        <f t="shared" si="53"/>
        <v>0</v>
      </c>
      <c r="BM98" s="31">
        <f t="shared" si="54"/>
        <v>0</v>
      </c>
      <c r="BN98" s="255">
        <f t="shared" si="55"/>
        <v>0</v>
      </c>
    </row>
    <row r="99" spans="1:66" x14ac:dyDescent="0.25">
      <c r="A99" s="435" t="s">
        <v>2049</v>
      </c>
      <c r="B99" s="186" t="str">
        <f>VLOOKUP(A99,kurspris!$A$1:$B$877,2,FALSE)</f>
        <v>Programmeringsteknik med C och Matlab</v>
      </c>
      <c r="C99" s="37"/>
      <c r="D99" t="s">
        <v>117</v>
      </c>
      <c r="E99"/>
      <c r="F99" s="59" t="s">
        <v>1931</v>
      </c>
      <c r="G99"/>
      <c r="H99"/>
      <c r="I99" t="s">
        <v>1634</v>
      </c>
      <c r="L99">
        <v>100</v>
      </c>
      <c r="M99">
        <v>7.5</v>
      </c>
      <c r="P99">
        <v>10</v>
      </c>
      <c r="Q99" s="232">
        <f t="shared" si="28"/>
        <v>1.25</v>
      </c>
      <c r="R99" s="40">
        <v>0.8</v>
      </c>
      <c r="S99" s="334">
        <f t="shared" si="29"/>
        <v>1</v>
      </c>
      <c r="T99" s="31">
        <f>VLOOKUP(A99,'Ansvar kurs'!$A$1:$C$1010,2,FALSE)</f>
        <v>5700</v>
      </c>
      <c r="U99" s="31" t="str">
        <f>VLOOKUP(T99,Orgenheter!$A$1:$C$165,2,FALSE)</f>
        <v xml:space="preserve">Inst för datavetenskap        </v>
      </c>
      <c r="V99" s="31" t="str">
        <f>VLOOKUP(T99,Orgenheter!$A$1:$C$165,3,FALSE)</f>
        <v>TekNat</v>
      </c>
      <c r="W99" s="37" t="str">
        <f>VLOOKUP(D99,Program!$A$1:$B$34,2,FALSE)</f>
        <v>Fristående och övriga kurser</v>
      </c>
      <c r="X99" s="42">
        <f>VLOOKUP(A99,kurspris!$A$1:$Q$798,15,FALSE)</f>
        <v>19473</v>
      </c>
      <c r="Y99" s="42">
        <f>VLOOKUP(A99,kurspris!$A$1:$Q$798,16,FALSE)</f>
        <v>34806</v>
      </c>
      <c r="Z99" s="42">
        <f t="shared" si="30"/>
        <v>59147.25</v>
      </c>
      <c r="AA99" s="42">
        <f>VLOOKUP(A99,kurspris!$A$1:$Q$798,17,FALSE)</f>
        <v>21800</v>
      </c>
      <c r="AB99" s="42">
        <f t="shared" si="31"/>
        <v>27250</v>
      </c>
      <c r="AC99" s="42">
        <f t="shared" si="32"/>
        <v>86397.25</v>
      </c>
      <c r="AD99" s="31">
        <f>VLOOKUP($A99,kurspris!$A$1:$Q$835,3,FALSE)</f>
        <v>0</v>
      </c>
      <c r="AE99" s="31">
        <f>VLOOKUP($A99,kurspris!$A$1:$Q$835,4,FALSE)</f>
        <v>0</v>
      </c>
      <c r="AF99" s="31">
        <f>VLOOKUP($A99,kurspris!$A$1:$Q$835,5,FALSE)</f>
        <v>0</v>
      </c>
      <c r="AG99" s="31">
        <f>VLOOKUP($A99,kurspris!$A$1:$Q$835,6,FALSE)</f>
        <v>0</v>
      </c>
      <c r="AH99" s="31">
        <f>VLOOKUP($A99,kurspris!$A$1:$Q$835,7,FALSE)</f>
        <v>0</v>
      </c>
      <c r="AI99" s="31">
        <f>VLOOKUP($A99,kurspris!$A$1:$Q$835,8,FALSE)</f>
        <v>0.5</v>
      </c>
      <c r="AJ99" s="31">
        <f>VLOOKUP($A99,kurspris!$A$1:$Q$835,9,FALSE)</f>
        <v>0</v>
      </c>
      <c r="AK99" s="31">
        <f>VLOOKUP($A99,kurspris!$A$1:$Q$835,10,FALSE)</f>
        <v>0.5</v>
      </c>
      <c r="AL99" s="31">
        <f>VLOOKUP($A99,kurspris!$A$1:$Q$835,11,FALSE)</f>
        <v>0</v>
      </c>
      <c r="AM99" s="31">
        <f>VLOOKUP($A99,kurspris!$A$1:$Q$835,12,FALSE)</f>
        <v>0</v>
      </c>
      <c r="AN99" s="31">
        <f>VLOOKUP($A99,kurspris!$A$1:$Q$835,13,FALSE)</f>
        <v>0</v>
      </c>
      <c r="AO99" s="31">
        <f>VLOOKUP($A99,kurspris!$A$1:$Q$835,14,FALSE)</f>
        <v>0</v>
      </c>
      <c r="AP99" s="39" t="s">
        <v>2095</v>
      </c>
      <c r="AQ99"/>
      <c r="AR99" s="31">
        <f t="shared" si="33"/>
        <v>0</v>
      </c>
      <c r="AS99" s="255">
        <f t="shared" si="34"/>
        <v>0</v>
      </c>
      <c r="AT99" s="31">
        <f t="shared" si="35"/>
        <v>0</v>
      </c>
      <c r="AU99" s="255">
        <f t="shared" si="36"/>
        <v>0</v>
      </c>
      <c r="AV99" s="31">
        <f t="shared" si="37"/>
        <v>0</v>
      </c>
      <c r="AW99" s="31">
        <f t="shared" si="38"/>
        <v>0</v>
      </c>
      <c r="AX99" s="31">
        <f t="shared" si="39"/>
        <v>0</v>
      </c>
      <c r="AY99" s="255">
        <f t="shared" si="40"/>
        <v>0</v>
      </c>
      <c r="AZ99" s="232">
        <f t="shared" si="41"/>
        <v>0</v>
      </c>
      <c r="BA99" s="255">
        <f t="shared" si="42"/>
        <v>0</v>
      </c>
      <c r="BB99" s="31">
        <f t="shared" si="43"/>
        <v>0.625</v>
      </c>
      <c r="BC99" s="255">
        <f t="shared" si="44"/>
        <v>0.5</v>
      </c>
      <c r="BD99" s="31">
        <f t="shared" si="45"/>
        <v>0</v>
      </c>
      <c r="BE99" s="255">
        <f t="shared" si="46"/>
        <v>0</v>
      </c>
      <c r="BF99" s="31">
        <f t="shared" si="47"/>
        <v>0.625</v>
      </c>
      <c r="BG99" s="255">
        <f t="shared" si="48"/>
        <v>0.5</v>
      </c>
      <c r="BH99" s="31">
        <f t="shared" si="49"/>
        <v>0</v>
      </c>
      <c r="BI99" s="255">
        <f t="shared" si="50"/>
        <v>0</v>
      </c>
      <c r="BJ99" s="31">
        <f t="shared" si="51"/>
        <v>0</v>
      </c>
      <c r="BK99" s="31">
        <f t="shared" si="52"/>
        <v>0</v>
      </c>
      <c r="BL99" s="255">
        <f t="shared" si="53"/>
        <v>0</v>
      </c>
      <c r="BM99" s="31">
        <f t="shared" si="54"/>
        <v>0</v>
      </c>
      <c r="BN99" s="255">
        <f t="shared" si="55"/>
        <v>0</v>
      </c>
    </row>
    <row r="100" spans="1:66" x14ac:dyDescent="0.25">
      <c r="A100" s="18" t="s">
        <v>487</v>
      </c>
      <c r="B100" s="186" t="str">
        <f>VLOOKUP(A100,kurspris!$A$1:$B$877,2,FALSE)</f>
        <v>Engelska I för ämneslärare med inriktning mot gymnasiet</v>
      </c>
      <c r="C100" s="37"/>
      <c r="D100" t="s">
        <v>117</v>
      </c>
      <c r="E100"/>
      <c r="F100" s="59" t="s">
        <v>1930</v>
      </c>
      <c r="G100"/>
      <c r="H100"/>
      <c r="I100" t="s">
        <v>1634</v>
      </c>
      <c r="L100">
        <v>100</v>
      </c>
      <c r="M100">
        <v>30</v>
      </c>
      <c r="P100" s="31">
        <v>2</v>
      </c>
      <c r="Q100" s="232">
        <f t="shared" si="28"/>
        <v>1</v>
      </c>
      <c r="R100" s="40">
        <v>0.8</v>
      </c>
      <c r="S100" s="334">
        <f t="shared" si="29"/>
        <v>0.8</v>
      </c>
      <c r="T100" s="31">
        <f>VLOOKUP(A100,'Ansvar kurs'!$A$1:$C$1010,2,FALSE)</f>
        <v>1620</v>
      </c>
      <c r="U100" s="31" t="str">
        <f>VLOOKUP(T100,Orgenheter!$A$1:$C$165,2,FALSE)</f>
        <v>Inst för språkstudier</v>
      </c>
      <c r="V100" s="31" t="str">
        <f>VLOOKUP(T100,Orgenheter!$A$1:$C$165,3,FALSE)</f>
        <v>Hum</v>
      </c>
      <c r="W100" s="37" t="str">
        <f>VLOOKUP(D100,Program!$A$1:$B$34,2,FALSE)</f>
        <v>Fristående och övriga kurser</v>
      </c>
      <c r="X100" s="42">
        <f>VLOOKUP(A100,kurspris!$A$1:$Q$798,15,FALSE)</f>
        <v>18405</v>
      </c>
      <c r="Y100" s="42">
        <f>VLOOKUP(A100,kurspris!$A$1:$Q$798,16,FALSE)</f>
        <v>15773</v>
      </c>
      <c r="Z100" s="42">
        <f t="shared" si="30"/>
        <v>31023.4</v>
      </c>
      <c r="AA100" s="42">
        <f>VLOOKUP(A100,kurspris!$A$1:$Q$798,17,FALSE)</f>
        <v>5800</v>
      </c>
      <c r="AB100" s="42">
        <f t="shared" si="31"/>
        <v>5800</v>
      </c>
      <c r="AC100" s="42">
        <f t="shared" si="32"/>
        <v>36823.4</v>
      </c>
      <c r="AD100" s="31">
        <f>VLOOKUP($A100,kurspris!$A$1:$Q$835,3,FALSE)</f>
        <v>0</v>
      </c>
      <c r="AE100" s="31">
        <f>VLOOKUP($A100,kurspris!$A$1:$Q$835,4,FALSE)</f>
        <v>1</v>
      </c>
      <c r="AF100" s="31">
        <f>VLOOKUP($A100,kurspris!$A$1:$Q$835,5,FALSE)</f>
        <v>0</v>
      </c>
      <c r="AG100" s="31">
        <f>VLOOKUP($A100,kurspris!$A$1:$Q$835,6,FALSE)</f>
        <v>0</v>
      </c>
      <c r="AH100" s="31">
        <f>VLOOKUP($A100,kurspris!$A$1:$Q$835,7,FALSE)</f>
        <v>0</v>
      </c>
      <c r="AI100" s="31">
        <f>VLOOKUP($A100,kurspris!$A$1:$Q$835,8,FALSE)</f>
        <v>0</v>
      </c>
      <c r="AJ100" s="31">
        <f>VLOOKUP($A100,kurspris!$A$1:$Q$835,9,FALSE)</f>
        <v>0</v>
      </c>
      <c r="AK100" s="31">
        <f>VLOOKUP($A100,kurspris!$A$1:$Q$835,10,FALSE)</f>
        <v>0</v>
      </c>
      <c r="AL100" s="31">
        <f>VLOOKUP($A100,kurspris!$A$1:$Q$835,11,FALSE)</f>
        <v>0</v>
      </c>
      <c r="AM100" s="31">
        <f>VLOOKUP($A100,kurspris!$A$1:$Q$835,12,FALSE)</f>
        <v>0</v>
      </c>
      <c r="AN100" s="31">
        <f>VLOOKUP($A100,kurspris!$A$1:$Q$835,13,FALSE)</f>
        <v>0</v>
      </c>
      <c r="AO100" s="31">
        <f>VLOOKUP($A100,kurspris!$A$1:$Q$835,14,FALSE)</f>
        <v>0</v>
      </c>
      <c r="AP100" s="39" t="s">
        <v>2232</v>
      </c>
      <c r="AQ100" s="39" t="s">
        <v>2095</v>
      </c>
      <c r="AR100" s="31">
        <f t="shared" si="33"/>
        <v>0</v>
      </c>
      <c r="AS100" s="255">
        <f t="shared" si="34"/>
        <v>0</v>
      </c>
      <c r="AT100" s="31">
        <f t="shared" si="35"/>
        <v>1</v>
      </c>
      <c r="AU100" s="255">
        <f t="shared" si="36"/>
        <v>0.8</v>
      </c>
      <c r="AV100" s="31">
        <f t="shared" si="37"/>
        <v>0</v>
      </c>
      <c r="AW100" s="31">
        <f t="shared" si="38"/>
        <v>0</v>
      </c>
      <c r="AX100" s="31">
        <f t="shared" si="39"/>
        <v>0</v>
      </c>
      <c r="AY100" s="255">
        <f t="shared" si="40"/>
        <v>0</v>
      </c>
      <c r="AZ100" s="232">
        <f t="shared" si="41"/>
        <v>0</v>
      </c>
      <c r="BA100" s="255">
        <f t="shared" si="42"/>
        <v>0</v>
      </c>
      <c r="BB100" s="31">
        <f t="shared" si="43"/>
        <v>0</v>
      </c>
      <c r="BC100" s="255">
        <f t="shared" si="44"/>
        <v>0</v>
      </c>
      <c r="BD100" s="31">
        <f t="shared" si="45"/>
        <v>0</v>
      </c>
      <c r="BE100" s="255">
        <f t="shared" si="46"/>
        <v>0</v>
      </c>
      <c r="BF100" s="31">
        <f t="shared" si="47"/>
        <v>0</v>
      </c>
      <c r="BG100" s="255">
        <f t="shared" si="48"/>
        <v>0</v>
      </c>
      <c r="BH100" s="31">
        <f t="shared" si="49"/>
        <v>0</v>
      </c>
      <c r="BI100" s="255">
        <f t="shared" si="50"/>
        <v>0</v>
      </c>
      <c r="BJ100" s="31">
        <f t="shared" si="51"/>
        <v>0</v>
      </c>
      <c r="BK100" s="31">
        <f t="shared" si="52"/>
        <v>0</v>
      </c>
      <c r="BL100" s="255">
        <f t="shared" si="53"/>
        <v>0</v>
      </c>
      <c r="BM100" s="31">
        <f t="shared" si="54"/>
        <v>0</v>
      </c>
      <c r="BN100" s="255">
        <f t="shared" si="55"/>
        <v>0</v>
      </c>
    </row>
    <row r="101" spans="1:66" x14ac:dyDescent="0.25">
      <c r="A101" t="s">
        <v>487</v>
      </c>
      <c r="B101" s="186" t="str">
        <f>VLOOKUP(A101,kurspris!$A$1:$B$877,2,FALSE)</f>
        <v>Engelska I för ämneslärare med inriktning mot gymnasiet</v>
      </c>
      <c r="C101"/>
      <c r="D101" t="s">
        <v>483</v>
      </c>
      <c r="E101" t="s">
        <v>1973</v>
      </c>
      <c r="F101" s="59" t="s">
        <v>1930</v>
      </c>
      <c r="G101" t="s">
        <v>1995</v>
      </c>
      <c r="H101" t="s">
        <v>1910</v>
      </c>
      <c r="I101"/>
      <c r="J101" t="s">
        <v>1591</v>
      </c>
      <c r="K101"/>
      <c r="L101">
        <v>100</v>
      </c>
      <c r="M101">
        <v>30</v>
      </c>
      <c r="N101"/>
      <c r="O101"/>
      <c r="P101" s="31">
        <v>1</v>
      </c>
      <c r="Q101" s="232">
        <f t="shared" si="28"/>
        <v>0.5</v>
      </c>
      <c r="R101" s="40">
        <v>0.85</v>
      </c>
      <c r="S101" s="334">
        <f t="shared" si="29"/>
        <v>0.42499999999999999</v>
      </c>
      <c r="T101" s="31">
        <f>VLOOKUP(A101,'Ansvar kurs'!$A$1:$C$1010,2,FALSE)</f>
        <v>1620</v>
      </c>
      <c r="U101" s="31" t="str">
        <f>VLOOKUP(T101,Orgenheter!$A$1:$C$165,2,FALSE)</f>
        <v>Inst för språkstudier</v>
      </c>
      <c r="V101" s="31" t="str">
        <f>VLOOKUP(T101,Orgenheter!$A$1:$C$165,3,FALSE)</f>
        <v>Hum</v>
      </c>
      <c r="W101" s="37" t="str">
        <f>VLOOKUP(D101,Program!$A$1:$B$34,2,FALSE)</f>
        <v>Ämneslärarprogrammet - Gy</v>
      </c>
      <c r="X101" s="42">
        <f>VLOOKUP(A101,kurspris!$A$1:$Q$798,15,FALSE)</f>
        <v>18405</v>
      </c>
      <c r="Y101" s="42">
        <f>VLOOKUP(A101,kurspris!$A$1:$Q$798,16,FALSE)</f>
        <v>15773</v>
      </c>
      <c r="Z101" s="42">
        <f t="shared" si="30"/>
        <v>15906.025</v>
      </c>
      <c r="AA101" s="42">
        <f>VLOOKUP(A101,kurspris!$A$1:$Q$798,17,FALSE)</f>
        <v>5800</v>
      </c>
      <c r="AB101" s="42">
        <f t="shared" si="31"/>
        <v>2900</v>
      </c>
      <c r="AC101" s="42">
        <f t="shared" si="32"/>
        <v>18806.025000000001</v>
      </c>
      <c r="AD101" s="31">
        <f>VLOOKUP($A101,kurspris!$A$1:$Q$835,3,FALSE)</f>
        <v>0</v>
      </c>
      <c r="AE101" s="31">
        <f>VLOOKUP($A101,kurspris!$A$1:$Q$835,4,FALSE)</f>
        <v>1</v>
      </c>
      <c r="AF101" s="31">
        <f>VLOOKUP($A101,kurspris!$A$1:$Q$835,5,FALSE)</f>
        <v>0</v>
      </c>
      <c r="AG101" s="31">
        <f>VLOOKUP($A101,kurspris!$A$1:$Q$835,6,FALSE)</f>
        <v>0</v>
      </c>
      <c r="AH101" s="31">
        <f>VLOOKUP($A101,kurspris!$A$1:$Q$835,7,FALSE)</f>
        <v>0</v>
      </c>
      <c r="AI101" s="31">
        <f>VLOOKUP($A101,kurspris!$A$1:$Q$835,8,FALSE)</f>
        <v>0</v>
      </c>
      <c r="AJ101" s="31">
        <f>VLOOKUP($A101,kurspris!$A$1:$Q$835,9,FALSE)</f>
        <v>0</v>
      </c>
      <c r="AK101" s="31">
        <f>VLOOKUP($A101,kurspris!$A$1:$Q$835,10,FALSE)</f>
        <v>0</v>
      </c>
      <c r="AL101" s="31">
        <f>VLOOKUP($A101,kurspris!$A$1:$Q$835,11,FALSE)</f>
        <v>0</v>
      </c>
      <c r="AM101" s="31">
        <f>VLOOKUP($A101,kurspris!$A$1:$Q$835,12,FALSE)</f>
        <v>0</v>
      </c>
      <c r="AN101" s="31">
        <f>VLOOKUP($A101,kurspris!$A$1:$Q$835,13,FALSE)</f>
        <v>0</v>
      </c>
      <c r="AO101" s="31">
        <f>VLOOKUP($A101,kurspris!$A$1:$Q$835,14,FALSE)</f>
        <v>0</v>
      </c>
      <c r="AP101" s="39" t="s">
        <v>2204</v>
      </c>
      <c r="AQ101"/>
      <c r="AR101" s="31">
        <f t="shared" si="33"/>
        <v>0</v>
      </c>
      <c r="AS101" s="255">
        <f t="shared" si="34"/>
        <v>0</v>
      </c>
      <c r="AT101" s="31">
        <f t="shared" si="35"/>
        <v>0.5</v>
      </c>
      <c r="AU101" s="255">
        <f t="shared" si="36"/>
        <v>0.42499999999999999</v>
      </c>
      <c r="AV101" s="31">
        <f t="shared" si="37"/>
        <v>0</v>
      </c>
      <c r="AW101" s="31">
        <f t="shared" si="38"/>
        <v>0</v>
      </c>
      <c r="AX101" s="31">
        <f t="shared" si="39"/>
        <v>0</v>
      </c>
      <c r="AY101" s="255">
        <f t="shared" si="40"/>
        <v>0</v>
      </c>
      <c r="AZ101" s="232">
        <f t="shared" si="41"/>
        <v>0</v>
      </c>
      <c r="BA101" s="255">
        <f t="shared" si="42"/>
        <v>0</v>
      </c>
      <c r="BB101" s="31">
        <f t="shared" si="43"/>
        <v>0</v>
      </c>
      <c r="BC101" s="255">
        <f t="shared" si="44"/>
        <v>0</v>
      </c>
      <c r="BD101" s="31">
        <f t="shared" si="45"/>
        <v>0</v>
      </c>
      <c r="BE101" s="255">
        <f t="shared" si="46"/>
        <v>0</v>
      </c>
      <c r="BF101" s="31">
        <f t="shared" si="47"/>
        <v>0</v>
      </c>
      <c r="BG101" s="255">
        <f t="shared" si="48"/>
        <v>0</v>
      </c>
      <c r="BH101" s="31">
        <f t="shared" si="49"/>
        <v>0</v>
      </c>
      <c r="BI101" s="255">
        <f t="shared" si="50"/>
        <v>0</v>
      </c>
      <c r="BJ101" s="31">
        <f t="shared" si="51"/>
        <v>0</v>
      </c>
      <c r="BK101" s="31">
        <f t="shared" si="52"/>
        <v>0</v>
      </c>
      <c r="BL101" s="255">
        <f t="shared" si="53"/>
        <v>0</v>
      </c>
      <c r="BM101" s="31">
        <f t="shared" si="54"/>
        <v>0</v>
      </c>
      <c r="BN101" s="255">
        <f t="shared" si="55"/>
        <v>0</v>
      </c>
    </row>
    <row r="102" spans="1:66" x14ac:dyDescent="0.25">
      <c r="A102" t="s">
        <v>487</v>
      </c>
      <c r="B102" s="186" t="str">
        <f>VLOOKUP(A102,kurspris!$A$1:$B$877,2,FALSE)</f>
        <v>Engelska I för ämneslärare med inriktning mot gymnasiet</v>
      </c>
      <c r="C102"/>
      <c r="D102" t="s">
        <v>483</v>
      </c>
      <c r="E102" t="s">
        <v>1973</v>
      </c>
      <c r="F102" s="59" t="s">
        <v>1930</v>
      </c>
      <c r="G102" t="s">
        <v>1995</v>
      </c>
      <c r="H102" t="s">
        <v>1910</v>
      </c>
      <c r="I102"/>
      <c r="J102" t="s">
        <v>773</v>
      </c>
      <c r="K102"/>
      <c r="L102">
        <v>100</v>
      </c>
      <c r="M102">
        <v>30</v>
      </c>
      <c r="N102"/>
      <c r="O102"/>
      <c r="P102" s="31">
        <v>2</v>
      </c>
      <c r="Q102" s="232">
        <f t="shared" si="28"/>
        <v>1</v>
      </c>
      <c r="R102" s="40">
        <v>0.85</v>
      </c>
      <c r="S102" s="334">
        <f t="shared" si="29"/>
        <v>0.85</v>
      </c>
      <c r="T102" s="31">
        <f>VLOOKUP(A102,'Ansvar kurs'!$A$1:$C$1010,2,FALSE)</f>
        <v>1620</v>
      </c>
      <c r="U102" s="31" t="str">
        <f>VLOOKUP(T102,Orgenheter!$A$1:$C$165,2,FALSE)</f>
        <v>Inst för språkstudier</v>
      </c>
      <c r="V102" s="31" t="str">
        <f>VLOOKUP(T102,Orgenheter!$A$1:$C$165,3,FALSE)</f>
        <v>Hum</v>
      </c>
      <c r="W102" s="37" t="str">
        <f>VLOOKUP(D102,Program!$A$1:$B$34,2,FALSE)</f>
        <v>Ämneslärarprogrammet - Gy</v>
      </c>
      <c r="X102" s="42">
        <f>VLOOKUP(A102,kurspris!$A$1:$Q$798,15,FALSE)</f>
        <v>18405</v>
      </c>
      <c r="Y102" s="42">
        <f>VLOOKUP(A102,kurspris!$A$1:$Q$798,16,FALSE)</f>
        <v>15773</v>
      </c>
      <c r="Z102" s="42">
        <f t="shared" si="30"/>
        <v>31812.05</v>
      </c>
      <c r="AA102" s="42">
        <f>VLOOKUP(A102,kurspris!$A$1:$Q$798,17,FALSE)</f>
        <v>5800</v>
      </c>
      <c r="AB102" s="42">
        <f t="shared" si="31"/>
        <v>5800</v>
      </c>
      <c r="AC102" s="42">
        <f t="shared" si="32"/>
        <v>37612.050000000003</v>
      </c>
      <c r="AD102" s="31">
        <f>VLOOKUP($A102,kurspris!$A$1:$Q$835,3,FALSE)</f>
        <v>0</v>
      </c>
      <c r="AE102" s="31">
        <f>VLOOKUP($A102,kurspris!$A$1:$Q$835,4,FALSE)</f>
        <v>1</v>
      </c>
      <c r="AF102" s="31">
        <f>VLOOKUP($A102,kurspris!$A$1:$Q$835,5,FALSE)</f>
        <v>0</v>
      </c>
      <c r="AG102" s="31">
        <f>VLOOKUP($A102,kurspris!$A$1:$Q$835,6,FALSE)</f>
        <v>0</v>
      </c>
      <c r="AH102" s="31">
        <f>VLOOKUP($A102,kurspris!$A$1:$Q$835,7,FALSE)</f>
        <v>0</v>
      </c>
      <c r="AI102" s="31">
        <f>VLOOKUP($A102,kurspris!$A$1:$Q$835,8,FALSE)</f>
        <v>0</v>
      </c>
      <c r="AJ102" s="31">
        <f>VLOOKUP($A102,kurspris!$A$1:$Q$835,9,FALSE)</f>
        <v>0</v>
      </c>
      <c r="AK102" s="31">
        <f>VLOOKUP($A102,kurspris!$A$1:$Q$835,10,FALSE)</f>
        <v>0</v>
      </c>
      <c r="AL102" s="31">
        <f>VLOOKUP($A102,kurspris!$A$1:$Q$835,11,FALSE)</f>
        <v>0</v>
      </c>
      <c r="AM102" s="31">
        <f>VLOOKUP($A102,kurspris!$A$1:$Q$835,12,FALSE)</f>
        <v>0</v>
      </c>
      <c r="AN102" s="31">
        <f>VLOOKUP($A102,kurspris!$A$1:$Q$835,13,FALSE)</f>
        <v>0</v>
      </c>
      <c r="AO102" s="31">
        <f>VLOOKUP($A102,kurspris!$A$1:$Q$835,14,FALSE)</f>
        <v>0</v>
      </c>
      <c r="AP102" s="39" t="s">
        <v>2204</v>
      </c>
      <c r="AQ102"/>
      <c r="AR102" s="31">
        <f t="shared" si="33"/>
        <v>0</v>
      </c>
      <c r="AS102" s="255">
        <f t="shared" si="34"/>
        <v>0</v>
      </c>
      <c r="AT102" s="31">
        <f t="shared" si="35"/>
        <v>1</v>
      </c>
      <c r="AU102" s="255">
        <f t="shared" si="36"/>
        <v>0.85</v>
      </c>
      <c r="AV102" s="31">
        <f t="shared" si="37"/>
        <v>0</v>
      </c>
      <c r="AW102" s="31">
        <f t="shared" si="38"/>
        <v>0</v>
      </c>
      <c r="AX102" s="31">
        <f t="shared" si="39"/>
        <v>0</v>
      </c>
      <c r="AY102" s="255">
        <f t="shared" si="40"/>
        <v>0</v>
      </c>
      <c r="AZ102" s="232">
        <f t="shared" si="41"/>
        <v>0</v>
      </c>
      <c r="BA102" s="255">
        <f t="shared" si="42"/>
        <v>0</v>
      </c>
      <c r="BB102" s="31">
        <f t="shared" si="43"/>
        <v>0</v>
      </c>
      <c r="BC102" s="255">
        <f t="shared" si="44"/>
        <v>0</v>
      </c>
      <c r="BD102" s="31">
        <f t="shared" si="45"/>
        <v>0</v>
      </c>
      <c r="BE102" s="255">
        <f t="shared" si="46"/>
        <v>0</v>
      </c>
      <c r="BF102" s="31">
        <f t="shared" si="47"/>
        <v>0</v>
      </c>
      <c r="BG102" s="255">
        <f t="shared" si="48"/>
        <v>0</v>
      </c>
      <c r="BH102" s="31">
        <f t="shared" si="49"/>
        <v>0</v>
      </c>
      <c r="BI102" s="255">
        <f t="shared" si="50"/>
        <v>0</v>
      </c>
      <c r="BJ102" s="31">
        <f t="shared" si="51"/>
        <v>0</v>
      </c>
      <c r="BK102" s="31">
        <f t="shared" si="52"/>
        <v>0</v>
      </c>
      <c r="BL102" s="255">
        <f t="shared" si="53"/>
        <v>0</v>
      </c>
      <c r="BM102" s="31">
        <f t="shared" si="54"/>
        <v>0</v>
      </c>
      <c r="BN102" s="255">
        <f t="shared" si="55"/>
        <v>0</v>
      </c>
    </row>
    <row r="103" spans="1:66" x14ac:dyDescent="0.25">
      <c r="A103" t="s">
        <v>487</v>
      </c>
      <c r="B103" s="186" t="str">
        <f>VLOOKUP(A103,kurspris!$A$1:$B$877,2,FALSE)</f>
        <v>Engelska I för ämneslärare med inriktning mot gymnasiet</v>
      </c>
      <c r="C103"/>
      <c r="D103" t="s">
        <v>483</v>
      </c>
      <c r="E103" t="s">
        <v>1973</v>
      </c>
      <c r="F103" s="59" t="s">
        <v>1930</v>
      </c>
      <c r="G103" t="s">
        <v>1995</v>
      </c>
      <c r="H103" t="s">
        <v>1910</v>
      </c>
      <c r="I103"/>
      <c r="J103" s="295" t="s">
        <v>774</v>
      </c>
      <c r="K103"/>
      <c r="L103">
        <v>100</v>
      </c>
      <c r="M103">
        <v>30</v>
      </c>
      <c r="N103"/>
      <c r="O103"/>
      <c r="P103" s="31">
        <v>1</v>
      </c>
      <c r="Q103" s="232">
        <f t="shared" si="28"/>
        <v>0.5</v>
      </c>
      <c r="R103" s="40">
        <v>0.85</v>
      </c>
      <c r="S103" s="334">
        <f t="shared" si="29"/>
        <v>0.42499999999999999</v>
      </c>
      <c r="T103" s="31">
        <f>VLOOKUP(A103,'Ansvar kurs'!$A$1:$C$1010,2,FALSE)</f>
        <v>1620</v>
      </c>
      <c r="U103" s="31" t="str">
        <f>VLOOKUP(T103,Orgenheter!$A$1:$C$165,2,FALSE)</f>
        <v>Inst för språkstudier</v>
      </c>
      <c r="V103" s="31" t="str">
        <f>VLOOKUP(T103,Orgenheter!$A$1:$C$165,3,FALSE)</f>
        <v>Hum</v>
      </c>
      <c r="W103" s="37" t="str">
        <f>VLOOKUP(D103,Program!$A$1:$B$34,2,FALSE)</f>
        <v>Ämneslärarprogrammet - Gy</v>
      </c>
      <c r="X103" s="42">
        <f>VLOOKUP(A103,kurspris!$A$1:$Q$798,15,FALSE)</f>
        <v>18405</v>
      </c>
      <c r="Y103" s="42">
        <f>VLOOKUP(A103,kurspris!$A$1:$Q$798,16,FALSE)</f>
        <v>15773</v>
      </c>
      <c r="Z103" s="42">
        <f t="shared" si="30"/>
        <v>15906.025</v>
      </c>
      <c r="AA103" s="42">
        <f>VLOOKUP(A103,kurspris!$A$1:$Q$798,17,FALSE)</f>
        <v>5800</v>
      </c>
      <c r="AB103" s="42">
        <f t="shared" si="31"/>
        <v>2900</v>
      </c>
      <c r="AC103" s="42">
        <f t="shared" si="32"/>
        <v>18806.025000000001</v>
      </c>
      <c r="AD103" s="31">
        <f>VLOOKUP($A103,kurspris!$A$1:$Q$835,3,FALSE)</f>
        <v>0</v>
      </c>
      <c r="AE103" s="31">
        <f>VLOOKUP($A103,kurspris!$A$1:$Q$835,4,FALSE)</f>
        <v>1</v>
      </c>
      <c r="AF103" s="31">
        <f>VLOOKUP($A103,kurspris!$A$1:$Q$835,5,FALSE)</f>
        <v>0</v>
      </c>
      <c r="AG103" s="31">
        <f>VLOOKUP($A103,kurspris!$A$1:$Q$835,6,FALSE)</f>
        <v>0</v>
      </c>
      <c r="AH103" s="31">
        <f>VLOOKUP($A103,kurspris!$A$1:$Q$835,7,FALSE)</f>
        <v>0</v>
      </c>
      <c r="AI103" s="31">
        <f>VLOOKUP($A103,kurspris!$A$1:$Q$835,8,FALSE)</f>
        <v>0</v>
      </c>
      <c r="AJ103" s="31">
        <f>VLOOKUP($A103,kurspris!$A$1:$Q$835,9,FALSE)</f>
        <v>0</v>
      </c>
      <c r="AK103" s="31">
        <f>VLOOKUP($A103,kurspris!$A$1:$Q$835,10,FALSE)</f>
        <v>0</v>
      </c>
      <c r="AL103" s="31">
        <f>VLOOKUP($A103,kurspris!$A$1:$Q$835,11,FALSE)</f>
        <v>0</v>
      </c>
      <c r="AM103" s="31">
        <f>VLOOKUP($A103,kurspris!$A$1:$Q$835,12,FALSE)</f>
        <v>0</v>
      </c>
      <c r="AN103" s="31">
        <f>VLOOKUP($A103,kurspris!$A$1:$Q$835,13,FALSE)</f>
        <v>0</v>
      </c>
      <c r="AO103" s="31">
        <f>VLOOKUP($A103,kurspris!$A$1:$Q$835,14,FALSE)</f>
        <v>0</v>
      </c>
      <c r="AP103" s="39" t="s">
        <v>2204</v>
      </c>
      <c r="AQ103"/>
      <c r="AR103" s="31">
        <f t="shared" si="33"/>
        <v>0</v>
      </c>
      <c r="AS103" s="255">
        <f t="shared" si="34"/>
        <v>0</v>
      </c>
      <c r="AT103" s="31">
        <f t="shared" si="35"/>
        <v>0.5</v>
      </c>
      <c r="AU103" s="255">
        <f t="shared" si="36"/>
        <v>0.42499999999999999</v>
      </c>
      <c r="AV103" s="31">
        <f t="shared" si="37"/>
        <v>0</v>
      </c>
      <c r="AW103" s="31">
        <f t="shared" si="38"/>
        <v>0</v>
      </c>
      <c r="AX103" s="31">
        <f t="shared" si="39"/>
        <v>0</v>
      </c>
      <c r="AY103" s="255">
        <f t="shared" si="40"/>
        <v>0</v>
      </c>
      <c r="AZ103" s="232">
        <f t="shared" si="41"/>
        <v>0</v>
      </c>
      <c r="BA103" s="255">
        <f t="shared" si="42"/>
        <v>0</v>
      </c>
      <c r="BB103" s="31">
        <f t="shared" si="43"/>
        <v>0</v>
      </c>
      <c r="BC103" s="255">
        <f t="shared" si="44"/>
        <v>0</v>
      </c>
      <c r="BD103" s="31">
        <f t="shared" si="45"/>
        <v>0</v>
      </c>
      <c r="BE103" s="255">
        <f t="shared" si="46"/>
        <v>0</v>
      </c>
      <c r="BF103" s="31">
        <f t="shared" si="47"/>
        <v>0</v>
      </c>
      <c r="BG103" s="255">
        <f t="shared" si="48"/>
        <v>0</v>
      </c>
      <c r="BH103" s="31">
        <f t="shared" si="49"/>
        <v>0</v>
      </c>
      <c r="BI103" s="255">
        <f t="shared" si="50"/>
        <v>0</v>
      </c>
      <c r="BJ103" s="31">
        <f t="shared" si="51"/>
        <v>0</v>
      </c>
      <c r="BK103" s="31">
        <f t="shared" si="52"/>
        <v>0</v>
      </c>
      <c r="BL103" s="255">
        <f t="shared" si="53"/>
        <v>0</v>
      </c>
      <c r="BM103" s="31">
        <f t="shared" si="54"/>
        <v>0</v>
      </c>
      <c r="BN103" s="255">
        <f t="shared" si="55"/>
        <v>0</v>
      </c>
    </row>
    <row r="104" spans="1:66" x14ac:dyDescent="0.25">
      <c r="A104" t="s">
        <v>487</v>
      </c>
      <c r="B104" s="186" t="str">
        <f>VLOOKUP(A104,kurspris!$A$1:$B$877,2,FALSE)</f>
        <v>Engelska I för ämneslärare med inriktning mot gymnasiet</v>
      </c>
      <c r="C104"/>
      <c r="D104" t="s">
        <v>483</v>
      </c>
      <c r="E104" t="s">
        <v>1973</v>
      </c>
      <c r="F104" s="59" t="s">
        <v>1930</v>
      </c>
      <c r="G104" t="s">
        <v>1995</v>
      </c>
      <c r="H104" t="s">
        <v>1910</v>
      </c>
      <c r="I104"/>
      <c r="J104" t="s">
        <v>1803</v>
      </c>
      <c r="K104"/>
      <c r="L104">
        <v>100</v>
      </c>
      <c r="M104">
        <v>30</v>
      </c>
      <c r="N104"/>
      <c r="O104"/>
      <c r="P104" s="31">
        <v>1</v>
      </c>
      <c r="Q104" s="232">
        <f t="shared" si="28"/>
        <v>0.5</v>
      </c>
      <c r="R104" s="40">
        <v>0.85</v>
      </c>
      <c r="S104" s="334">
        <f t="shared" si="29"/>
        <v>0.42499999999999999</v>
      </c>
      <c r="T104" s="31">
        <f>VLOOKUP(A104,'Ansvar kurs'!$A$1:$C$1010,2,FALSE)</f>
        <v>1620</v>
      </c>
      <c r="U104" s="31" t="str">
        <f>VLOOKUP(T104,Orgenheter!$A$1:$C$165,2,FALSE)</f>
        <v>Inst för språkstudier</v>
      </c>
      <c r="V104" s="31" t="str">
        <f>VLOOKUP(T104,Orgenheter!$A$1:$C$165,3,FALSE)</f>
        <v>Hum</v>
      </c>
      <c r="W104" s="37" t="str">
        <f>VLOOKUP(D104,Program!$A$1:$B$34,2,FALSE)</f>
        <v>Ämneslärarprogrammet - Gy</v>
      </c>
      <c r="X104" s="42">
        <f>VLOOKUP(A104,kurspris!$A$1:$Q$798,15,FALSE)</f>
        <v>18405</v>
      </c>
      <c r="Y104" s="42">
        <f>VLOOKUP(A104,kurspris!$A$1:$Q$798,16,FALSE)</f>
        <v>15773</v>
      </c>
      <c r="Z104" s="42">
        <f t="shared" si="30"/>
        <v>15906.025</v>
      </c>
      <c r="AA104" s="42">
        <f>VLOOKUP(A104,kurspris!$A$1:$Q$798,17,FALSE)</f>
        <v>5800</v>
      </c>
      <c r="AB104" s="42">
        <f t="shared" si="31"/>
        <v>2900</v>
      </c>
      <c r="AC104" s="42">
        <f t="shared" si="32"/>
        <v>18806.025000000001</v>
      </c>
      <c r="AD104" s="31">
        <f>VLOOKUP($A104,kurspris!$A$1:$Q$835,3,FALSE)</f>
        <v>0</v>
      </c>
      <c r="AE104" s="31">
        <f>VLOOKUP($A104,kurspris!$A$1:$Q$835,4,FALSE)</f>
        <v>1</v>
      </c>
      <c r="AF104" s="31">
        <f>VLOOKUP($A104,kurspris!$A$1:$Q$835,5,FALSE)</f>
        <v>0</v>
      </c>
      <c r="AG104" s="31">
        <f>VLOOKUP($A104,kurspris!$A$1:$Q$835,6,FALSE)</f>
        <v>0</v>
      </c>
      <c r="AH104" s="31">
        <f>VLOOKUP($A104,kurspris!$A$1:$Q$835,7,FALSE)</f>
        <v>0</v>
      </c>
      <c r="AI104" s="31">
        <f>VLOOKUP($A104,kurspris!$A$1:$Q$835,8,FALSE)</f>
        <v>0</v>
      </c>
      <c r="AJ104" s="31">
        <f>VLOOKUP($A104,kurspris!$A$1:$Q$835,9,FALSE)</f>
        <v>0</v>
      </c>
      <c r="AK104" s="31">
        <f>VLOOKUP($A104,kurspris!$A$1:$Q$835,10,FALSE)</f>
        <v>0</v>
      </c>
      <c r="AL104" s="31">
        <f>VLOOKUP($A104,kurspris!$A$1:$Q$835,11,FALSE)</f>
        <v>0</v>
      </c>
      <c r="AM104" s="31">
        <f>VLOOKUP($A104,kurspris!$A$1:$Q$835,12,FALSE)</f>
        <v>0</v>
      </c>
      <c r="AN104" s="31">
        <f>VLOOKUP($A104,kurspris!$A$1:$Q$835,13,FALSE)</f>
        <v>0</v>
      </c>
      <c r="AO104" s="31">
        <f>VLOOKUP($A104,kurspris!$A$1:$Q$835,14,FALSE)</f>
        <v>0</v>
      </c>
      <c r="AP104" s="39" t="s">
        <v>2204</v>
      </c>
      <c r="AQ104"/>
      <c r="AR104" s="31">
        <f t="shared" si="33"/>
        <v>0</v>
      </c>
      <c r="AS104" s="255">
        <f t="shared" si="34"/>
        <v>0</v>
      </c>
      <c r="AT104" s="31">
        <f t="shared" si="35"/>
        <v>0.5</v>
      </c>
      <c r="AU104" s="255">
        <f t="shared" si="36"/>
        <v>0.42499999999999999</v>
      </c>
      <c r="AV104" s="31">
        <f t="shared" si="37"/>
        <v>0</v>
      </c>
      <c r="AW104" s="31">
        <f t="shared" si="38"/>
        <v>0</v>
      </c>
      <c r="AX104" s="31">
        <f t="shared" si="39"/>
        <v>0</v>
      </c>
      <c r="AY104" s="255">
        <f t="shared" si="40"/>
        <v>0</v>
      </c>
      <c r="AZ104" s="232">
        <f t="shared" si="41"/>
        <v>0</v>
      </c>
      <c r="BA104" s="255">
        <f t="shared" si="42"/>
        <v>0</v>
      </c>
      <c r="BB104" s="31">
        <f t="shared" si="43"/>
        <v>0</v>
      </c>
      <c r="BC104" s="255">
        <f t="shared" si="44"/>
        <v>0</v>
      </c>
      <c r="BD104" s="31">
        <f t="shared" si="45"/>
        <v>0</v>
      </c>
      <c r="BE104" s="255">
        <f t="shared" si="46"/>
        <v>0</v>
      </c>
      <c r="BF104" s="31">
        <f t="shared" si="47"/>
        <v>0</v>
      </c>
      <c r="BG104" s="255">
        <f t="shared" si="48"/>
        <v>0</v>
      </c>
      <c r="BH104" s="31">
        <f t="shared" si="49"/>
        <v>0</v>
      </c>
      <c r="BI104" s="255">
        <f t="shared" si="50"/>
        <v>0</v>
      </c>
      <c r="BJ104" s="31">
        <f t="shared" si="51"/>
        <v>0</v>
      </c>
      <c r="BK104" s="31">
        <f t="shared" si="52"/>
        <v>0</v>
      </c>
      <c r="BL104" s="255">
        <f t="shared" si="53"/>
        <v>0</v>
      </c>
      <c r="BM104" s="31">
        <f t="shared" si="54"/>
        <v>0</v>
      </c>
      <c r="BN104" s="255">
        <f t="shared" si="55"/>
        <v>0</v>
      </c>
    </row>
    <row r="105" spans="1:66" x14ac:dyDescent="0.25">
      <c r="A105" t="s">
        <v>487</v>
      </c>
      <c r="B105" s="186" t="str">
        <f>VLOOKUP(A105,kurspris!$A$1:$B$877,2,FALSE)</f>
        <v>Engelska I för ämneslärare med inriktning mot gymnasiet</v>
      </c>
      <c r="C105"/>
      <c r="D105" t="s">
        <v>483</v>
      </c>
      <c r="E105" t="s">
        <v>1973</v>
      </c>
      <c r="F105" s="59" t="s">
        <v>1930</v>
      </c>
      <c r="G105" t="s">
        <v>1995</v>
      </c>
      <c r="H105" t="s">
        <v>1910</v>
      </c>
      <c r="I105"/>
      <c r="J105" t="s">
        <v>1592</v>
      </c>
      <c r="K105"/>
      <c r="L105">
        <v>100</v>
      </c>
      <c r="M105">
        <v>30</v>
      </c>
      <c r="N105"/>
      <c r="O105"/>
      <c r="P105" s="31">
        <v>1</v>
      </c>
      <c r="Q105" s="232">
        <f t="shared" si="28"/>
        <v>0.5</v>
      </c>
      <c r="R105" s="40">
        <v>0.85</v>
      </c>
      <c r="S105" s="334">
        <f t="shared" si="29"/>
        <v>0.42499999999999999</v>
      </c>
      <c r="T105" s="31">
        <f>VLOOKUP(A105,'Ansvar kurs'!$A$1:$C$1010,2,FALSE)</f>
        <v>1620</v>
      </c>
      <c r="U105" s="31" t="str">
        <f>VLOOKUP(T105,Orgenheter!$A$1:$C$165,2,FALSE)</f>
        <v>Inst för språkstudier</v>
      </c>
      <c r="V105" s="31" t="str">
        <f>VLOOKUP(T105,Orgenheter!$A$1:$C$165,3,FALSE)</f>
        <v>Hum</v>
      </c>
      <c r="W105" s="37" t="str">
        <f>VLOOKUP(D105,Program!$A$1:$B$34,2,FALSE)</f>
        <v>Ämneslärarprogrammet - Gy</v>
      </c>
      <c r="X105" s="42">
        <f>VLOOKUP(A105,kurspris!$A$1:$Q$798,15,FALSE)</f>
        <v>18405</v>
      </c>
      <c r="Y105" s="42">
        <f>VLOOKUP(A105,kurspris!$A$1:$Q$798,16,FALSE)</f>
        <v>15773</v>
      </c>
      <c r="Z105" s="42">
        <f t="shared" si="30"/>
        <v>15906.025</v>
      </c>
      <c r="AA105" s="42">
        <f>VLOOKUP(A105,kurspris!$A$1:$Q$798,17,FALSE)</f>
        <v>5800</v>
      </c>
      <c r="AB105" s="42">
        <f t="shared" si="31"/>
        <v>2900</v>
      </c>
      <c r="AC105" s="42">
        <f t="shared" si="32"/>
        <v>18806.025000000001</v>
      </c>
      <c r="AD105" s="31">
        <f>VLOOKUP($A105,kurspris!$A$1:$Q$835,3,FALSE)</f>
        <v>0</v>
      </c>
      <c r="AE105" s="31">
        <f>VLOOKUP($A105,kurspris!$A$1:$Q$835,4,FALSE)</f>
        <v>1</v>
      </c>
      <c r="AF105" s="31">
        <f>VLOOKUP($A105,kurspris!$A$1:$Q$835,5,FALSE)</f>
        <v>0</v>
      </c>
      <c r="AG105" s="31">
        <f>VLOOKUP($A105,kurspris!$A$1:$Q$835,6,FALSE)</f>
        <v>0</v>
      </c>
      <c r="AH105" s="31">
        <f>VLOOKUP($A105,kurspris!$A$1:$Q$835,7,FALSE)</f>
        <v>0</v>
      </c>
      <c r="AI105" s="31">
        <f>VLOOKUP($A105,kurspris!$A$1:$Q$835,8,FALSE)</f>
        <v>0</v>
      </c>
      <c r="AJ105" s="31">
        <f>VLOOKUP($A105,kurspris!$A$1:$Q$835,9,FALSE)</f>
        <v>0</v>
      </c>
      <c r="AK105" s="31">
        <f>VLOOKUP($A105,kurspris!$A$1:$Q$835,10,FALSE)</f>
        <v>0</v>
      </c>
      <c r="AL105" s="31">
        <f>VLOOKUP($A105,kurspris!$A$1:$Q$835,11,FALSE)</f>
        <v>0</v>
      </c>
      <c r="AM105" s="31">
        <f>VLOOKUP($A105,kurspris!$A$1:$Q$835,12,FALSE)</f>
        <v>0</v>
      </c>
      <c r="AN105" s="31">
        <f>VLOOKUP($A105,kurspris!$A$1:$Q$835,13,FALSE)</f>
        <v>0</v>
      </c>
      <c r="AO105" s="31">
        <f>VLOOKUP($A105,kurspris!$A$1:$Q$835,14,FALSE)</f>
        <v>0</v>
      </c>
      <c r="AP105" s="39" t="s">
        <v>2204</v>
      </c>
      <c r="AQ105"/>
      <c r="AR105" s="31">
        <f t="shared" si="33"/>
        <v>0</v>
      </c>
      <c r="AS105" s="255">
        <f t="shared" si="34"/>
        <v>0</v>
      </c>
      <c r="AT105" s="31">
        <f t="shared" si="35"/>
        <v>0.5</v>
      </c>
      <c r="AU105" s="255">
        <f t="shared" si="36"/>
        <v>0.42499999999999999</v>
      </c>
      <c r="AV105" s="31">
        <f t="shared" si="37"/>
        <v>0</v>
      </c>
      <c r="AW105" s="31">
        <f t="shared" si="38"/>
        <v>0</v>
      </c>
      <c r="AX105" s="31">
        <f t="shared" si="39"/>
        <v>0</v>
      </c>
      <c r="AY105" s="255">
        <f t="shared" si="40"/>
        <v>0</v>
      </c>
      <c r="AZ105" s="232">
        <f t="shared" si="41"/>
        <v>0</v>
      </c>
      <c r="BA105" s="255">
        <f t="shared" si="42"/>
        <v>0</v>
      </c>
      <c r="BB105" s="31">
        <f t="shared" si="43"/>
        <v>0</v>
      </c>
      <c r="BC105" s="255">
        <f t="shared" si="44"/>
        <v>0</v>
      </c>
      <c r="BD105" s="31">
        <f t="shared" si="45"/>
        <v>0</v>
      </c>
      <c r="BE105" s="255">
        <f t="shared" si="46"/>
        <v>0</v>
      </c>
      <c r="BF105" s="31">
        <f t="shared" si="47"/>
        <v>0</v>
      </c>
      <c r="BG105" s="255">
        <f t="shared" si="48"/>
        <v>0</v>
      </c>
      <c r="BH105" s="31">
        <f t="shared" si="49"/>
        <v>0</v>
      </c>
      <c r="BI105" s="255">
        <f t="shared" si="50"/>
        <v>0</v>
      </c>
      <c r="BJ105" s="31">
        <f t="shared" si="51"/>
        <v>0</v>
      </c>
      <c r="BK105" s="31">
        <f t="shared" si="52"/>
        <v>0</v>
      </c>
      <c r="BL105" s="255">
        <f t="shared" si="53"/>
        <v>0</v>
      </c>
      <c r="BM105" s="31">
        <f t="shared" si="54"/>
        <v>0</v>
      </c>
      <c r="BN105" s="255">
        <f t="shared" si="55"/>
        <v>0</v>
      </c>
    </row>
    <row r="106" spans="1:66" x14ac:dyDescent="0.25">
      <c r="A106" t="s">
        <v>487</v>
      </c>
      <c r="B106" s="186" t="str">
        <f>VLOOKUP(A106,kurspris!$A$1:$B$877,2,FALSE)</f>
        <v>Engelska I för ämneslärare med inriktning mot gymnasiet</v>
      </c>
      <c r="C106"/>
      <c r="D106" t="s">
        <v>483</v>
      </c>
      <c r="E106" t="s">
        <v>1973</v>
      </c>
      <c r="F106" s="59" t="s">
        <v>1930</v>
      </c>
      <c r="G106" t="s">
        <v>1995</v>
      </c>
      <c r="H106" t="s">
        <v>1910</v>
      </c>
      <c r="I106"/>
      <c r="J106" s="295" t="s">
        <v>1593</v>
      </c>
      <c r="K106"/>
      <c r="L106">
        <v>100</v>
      </c>
      <c r="M106">
        <v>30</v>
      </c>
      <c r="N106"/>
      <c r="O106"/>
      <c r="P106" s="31">
        <v>1</v>
      </c>
      <c r="Q106" s="232">
        <f t="shared" si="28"/>
        <v>0.5</v>
      </c>
      <c r="R106" s="40">
        <v>0.85</v>
      </c>
      <c r="S106" s="334">
        <f t="shared" si="29"/>
        <v>0.42499999999999999</v>
      </c>
      <c r="T106" s="31">
        <f>VLOOKUP(A106,'Ansvar kurs'!$A$1:$C$1010,2,FALSE)</f>
        <v>1620</v>
      </c>
      <c r="U106" s="31" t="str">
        <f>VLOOKUP(T106,Orgenheter!$A$1:$C$165,2,FALSE)</f>
        <v>Inst för språkstudier</v>
      </c>
      <c r="V106" s="31" t="str">
        <f>VLOOKUP(T106,Orgenheter!$A$1:$C$165,3,FALSE)</f>
        <v>Hum</v>
      </c>
      <c r="W106" s="37" t="str">
        <f>VLOOKUP(D106,Program!$A$1:$B$34,2,FALSE)</f>
        <v>Ämneslärarprogrammet - Gy</v>
      </c>
      <c r="X106" s="42">
        <f>VLOOKUP(A106,kurspris!$A$1:$Q$798,15,FALSE)</f>
        <v>18405</v>
      </c>
      <c r="Y106" s="42">
        <f>VLOOKUP(A106,kurspris!$A$1:$Q$798,16,FALSE)</f>
        <v>15773</v>
      </c>
      <c r="Z106" s="42">
        <f t="shared" si="30"/>
        <v>15906.025</v>
      </c>
      <c r="AA106" s="42">
        <f>VLOOKUP(A106,kurspris!$A$1:$Q$798,17,FALSE)</f>
        <v>5800</v>
      </c>
      <c r="AB106" s="42">
        <f t="shared" si="31"/>
        <v>2900</v>
      </c>
      <c r="AC106" s="42">
        <f t="shared" si="32"/>
        <v>18806.025000000001</v>
      </c>
      <c r="AD106" s="31">
        <f>VLOOKUP($A106,kurspris!$A$1:$Q$835,3,FALSE)</f>
        <v>0</v>
      </c>
      <c r="AE106" s="31">
        <f>VLOOKUP($A106,kurspris!$A$1:$Q$835,4,FALSE)</f>
        <v>1</v>
      </c>
      <c r="AF106" s="31">
        <f>VLOOKUP($A106,kurspris!$A$1:$Q$835,5,FALSE)</f>
        <v>0</v>
      </c>
      <c r="AG106" s="31">
        <f>VLOOKUP($A106,kurspris!$A$1:$Q$835,6,FALSE)</f>
        <v>0</v>
      </c>
      <c r="AH106" s="31">
        <f>VLOOKUP($A106,kurspris!$A$1:$Q$835,7,FALSE)</f>
        <v>0</v>
      </c>
      <c r="AI106" s="31">
        <f>VLOOKUP($A106,kurspris!$A$1:$Q$835,8,FALSE)</f>
        <v>0</v>
      </c>
      <c r="AJ106" s="31">
        <f>VLOOKUP($A106,kurspris!$A$1:$Q$835,9,FALSE)</f>
        <v>0</v>
      </c>
      <c r="AK106" s="31">
        <f>VLOOKUP($A106,kurspris!$A$1:$Q$835,10,FALSE)</f>
        <v>0</v>
      </c>
      <c r="AL106" s="31">
        <f>VLOOKUP($A106,kurspris!$A$1:$Q$835,11,FALSE)</f>
        <v>0</v>
      </c>
      <c r="AM106" s="31">
        <f>VLOOKUP($A106,kurspris!$A$1:$Q$835,12,FALSE)</f>
        <v>0</v>
      </c>
      <c r="AN106" s="31">
        <f>VLOOKUP($A106,kurspris!$A$1:$Q$835,13,FALSE)</f>
        <v>0</v>
      </c>
      <c r="AO106" s="31">
        <f>VLOOKUP($A106,kurspris!$A$1:$Q$835,14,FALSE)</f>
        <v>0</v>
      </c>
      <c r="AP106" s="39" t="s">
        <v>2204</v>
      </c>
      <c r="AQ106"/>
      <c r="AR106" s="31">
        <f t="shared" si="33"/>
        <v>0</v>
      </c>
      <c r="AS106" s="255">
        <f t="shared" si="34"/>
        <v>0</v>
      </c>
      <c r="AT106" s="31">
        <f t="shared" si="35"/>
        <v>0.5</v>
      </c>
      <c r="AU106" s="255">
        <f t="shared" si="36"/>
        <v>0.42499999999999999</v>
      </c>
      <c r="AV106" s="31">
        <f t="shared" si="37"/>
        <v>0</v>
      </c>
      <c r="AW106" s="31">
        <f t="shared" si="38"/>
        <v>0</v>
      </c>
      <c r="AX106" s="31">
        <f t="shared" si="39"/>
        <v>0</v>
      </c>
      <c r="AY106" s="255">
        <f t="shared" si="40"/>
        <v>0</v>
      </c>
      <c r="AZ106" s="232">
        <f t="shared" si="41"/>
        <v>0</v>
      </c>
      <c r="BA106" s="255">
        <f t="shared" si="42"/>
        <v>0</v>
      </c>
      <c r="BB106" s="31">
        <f t="shared" si="43"/>
        <v>0</v>
      </c>
      <c r="BC106" s="255">
        <f t="shared" si="44"/>
        <v>0</v>
      </c>
      <c r="BD106" s="31">
        <f t="shared" si="45"/>
        <v>0</v>
      </c>
      <c r="BE106" s="255">
        <f t="shared" si="46"/>
        <v>0</v>
      </c>
      <c r="BF106" s="31">
        <f t="shared" si="47"/>
        <v>0</v>
      </c>
      <c r="BG106" s="255">
        <f t="shared" si="48"/>
        <v>0</v>
      </c>
      <c r="BH106" s="31">
        <f t="shared" si="49"/>
        <v>0</v>
      </c>
      <c r="BI106" s="255">
        <f t="shared" si="50"/>
        <v>0</v>
      </c>
      <c r="BJ106" s="31">
        <f t="shared" si="51"/>
        <v>0</v>
      </c>
      <c r="BK106" s="31">
        <f t="shared" si="52"/>
        <v>0</v>
      </c>
      <c r="BL106" s="255">
        <f t="shared" si="53"/>
        <v>0</v>
      </c>
      <c r="BM106" s="31">
        <f t="shared" si="54"/>
        <v>0</v>
      </c>
      <c r="BN106" s="255">
        <f t="shared" si="55"/>
        <v>0</v>
      </c>
    </row>
    <row r="107" spans="1:66" x14ac:dyDescent="0.25">
      <c r="A107" t="s">
        <v>487</v>
      </c>
      <c r="B107" s="186" t="str">
        <f>VLOOKUP(A107,kurspris!$A$1:$B$877,2,FALSE)</f>
        <v>Engelska I för ämneslärare med inriktning mot gymnasiet</v>
      </c>
      <c r="C107"/>
      <c r="D107" t="s">
        <v>483</v>
      </c>
      <c r="E107" t="s">
        <v>1609</v>
      </c>
      <c r="F107" s="59" t="s">
        <v>1930</v>
      </c>
      <c r="G107" t="s">
        <v>1995</v>
      </c>
      <c r="H107" t="s">
        <v>1910</v>
      </c>
      <c r="I107"/>
      <c r="J107" t="s">
        <v>771</v>
      </c>
      <c r="K107"/>
      <c r="L107">
        <v>100</v>
      </c>
      <c r="M107">
        <v>30</v>
      </c>
      <c r="N107"/>
      <c r="O107"/>
      <c r="P107" s="31">
        <v>1</v>
      </c>
      <c r="Q107" s="232">
        <f t="shared" si="28"/>
        <v>0.5</v>
      </c>
      <c r="R107" s="40">
        <v>0.85</v>
      </c>
      <c r="S107" s="334">
        <f t="shared" si="29"/>
        <v>0.42499999999999999</v>
      </c>
      <c r="T107" s="31">
        <f>VLOOKUP(A107,'Ansvar kurs'!$A$1:$C$1010,2,FALSE)</f>
        <v>1620</v>
      </c>
      <c r="U107" s="31" t="str">
        <f>VLOOKUP(T107,Orgenheter!$A$1:$C$165,2,FALSE)</f>
        <v>Inst för språkstudier</v>
      </c>
      <c r="V107" s="31" t="str">
        <f>VLOOKUP(T107,Orgenheter!$A$1:$C$165,3,FALSE)</f>
        <v>Hum</v>
      </c>
      <c r="W107" s="37" t="str">
        <f>VLOOKUP(D107,Program!$A$1:$B$34,2,FALSE)</f>
        <v>Ämneslärarprogrammet - Gy</v>
      </c>
      <c r="X107" s="42">
        <f>VLOOKUP(A107,kurspris!$A$1:$Q$798,15,FALSE)</f>
        <v>18405</v>
      </c>
      <c r="Y107" s="42">
        <f>VLOOKUP(A107,kurspris!$A$1:$Q$798,16,FALSE)</f>
        <v>15773</v>
      </c>
      <c r="Z107" s="42">
        <f t="shared" si="30"/>
        <v>15906.025</v>
      </c>
      <c r="AA107" s="42">
        <f>VLOOKUP(A107,kurspris!$A$1:$Q$798,17,FALSE)</f>
        <v>5800</v>
      </c>
      <c r="AB107" s="42">
        <f t="shared" si="31"/>
        <v>2900</v>
      </c>
      <c r="AC107" s="42">
        <f t="shared" si="32"/>
        <v>18806.025000000001</v>
      </c>
      <c r="AD107" s="31">
        <f>VLOOKUP($A107,kurspris!$A$1:$Q$835,3,FALSE)</f>
        <v>0</v>
      </c>
      <c r="AE107" s="31">
        <f>VLOOKUP($A107,kurspris!$A$1:$Q$835,4,FALSE)</f>
        <v>1</v>
      </c>
      <c r="AF107" s="31">
        <f>VLOOKUP($A107,kurspris!$A$1:$Q$835,5,FALSE)</f>
        <v>0</v>
      </c>
      <c r="AG107" s="31">
        <f>VLOOKUP($A107,kurspris!$A$1:$Q$835,6,FALSE)</f>
        <v>0</v>
      </c>
      <c r="AH107" s="31">
        <f>VLOOKUP($A107,kurspris!$A$1:$Q$835,7,FALSE)</f>
        <v>0</v>
      </c>
      <c r="AI107" s="31">
        <f>VLOOKUP($A107,kurspris!$A$1:$Q$835,8,FALSE)</f>
        <v>0</v>
      </c>
      <c r="AJ107" s="31">
        <f>VLOOKUP($A107,kurspris!$A$1:$Q$835,9,FALSE)</f>
        <v>0</v>
      </c>
      <c r="AK107" s="31">
        <f>VLOOKUP($A107,kurspris!$A$1:$Q$835,10,FALSE)</f>
        <v>0</v>
      </c>
      <c r="AL107" s="31">
        <f>VLOOKUP($A107,kurspris!$A$1:$Q$835,11,FALSE)</f>
        <v>0</v>
      </c>
      <c r="AM107" s="31">
        <f>VLOOKUP($A107,kurspris!$A$1:$Q$835,12,FALSE)</f>
        <v>0</v>
      </c>
      <c r="AN107" s="31">
        <f>VLOOKUP($A107,kurspris!$A$1:$Q$835,13,FALSE)</f>
        <v>0</v>
      </c>
      <c r="AO107" s="31">
        <f>VLOOKUP($A107,kurspris!$A$1:$Q$835,14,FALSE)</f>
        <v>0</v>
      </c>
      <c r="AP107" s="39" t="s">
        <v>2204</v>
      </c>
      <c r="AQ107"/>
      <c r="AR107" s="31">
        <f t="shared" si="33"/>
        <v>0</v>
      </c>
      <c r="AS107" s="255">
        <f t="shared" si="34"/>
        <v>0</v>
      </c>
      <c r="AT107" s="31">
        <f t="shared" si="35"/>
        <v>0.5</v>
      </c>
      <c r="AU107" s="255">
        <f t="shared" si="36"/>
        <v>0.42499999999999999</v>
      </c>
      <c r="AV107" s="31">
        <f t="shared" si="37"/>
        <v>0</v>
      </c>
      <c r="AW107" s="31">
        <f t="shared" si="38"/>
        <v>0</v>
      </c>
      <c r="AX107" s="31">
        <f t="shared" si="39"/>
        <v>0</v>
      </c>
      <c r="AY107" s="255">
        <f t="shared" si="40"/>
        <v>0</v>
      </c>
      <c r="AZ107" s="232">
        <f t="shared" si="41"/>
        <v>0</v>
      </c>
      <c r="BA107" s="255">
        <f t="shared" si="42"/>
        <v>0</v>
      </c>
      <c r="BB107" s="31">
        <f t="shared" si="43"/>
        <v>0</v>
      </c>
      <c r="BC107" s="255">
        <f t="shared" si="44"/>
        <v>0</v>
      </c>
      <c r="BD107" s="31">
        <f t="shared" si="45"/>
        <v>0</v>
      </c>
      <c r="BE107" s="255">
        <f t="shared" si="46"/>
        <v>0</v>
      </c>
      <c r="BF107" s="31">
        <f t="shared" si="47"/>
        <v>0</v>
      </c>
      <c r="BG107" s="255">
        <f t="shared" si="48"/>
        <v>0</v>
      </c>
      <c r="BH107" s="31">
        <f t="shared" si="49"/>
        <v>0</v>
      </c>
      <c r="BI107" s="255">
        <f t="shared" si="50"/>
        <v>0</v>
      </c>
      <c r="BJ107" s="31">
        <f t="shared" si="51"/>
        <v>0</v>
      </c>
      <c r="BK107" s="31">
        <f t="shared" si="52"/>
        <v>0</v>
      </c>
      <c r="BL107" s="255">
        <f t="shared" si="53"/>
        <v>0</v>
      </c>
      <c r="BM107" s="31">
        <f t="shared" si="54"/>
        <v>0</v>
      </c>
      <c r="BN107" s="255">
        <f t="shared" si="55"/>
        <v>0</v>
      </c>
    </row>
    <row r="108" spans="1:66" x14ac:dyDescent="0.25">
      <c r="A108" t="s">
        <v>487</v>
      </c>
      <c r="B108" s="186" t="str">
        <f>VLOOKUP(A108,kurspris!$A$1:$B$877,2,FALSE)</f>
        <v>Engelska I för ämneslärare med inriktning mot gymnasiet</v>
      </c>
      <c r="C108"/>
      <c r="D108" t="s">
        <v>483</v>
      </c>
      <c r="E108" t="s">
        <v>1788</v>
      </c>
      <c r="F108" s="59" t="s">
        <v>1930</v>
      </c>
      <c r="G108" t="s">
        <v>1995</v>
      </c>
      <c r="H108" t="s">
        <v>1910</v>
      </c>
      <c r="I108"/>
      <c r="J108" t="s">
        <v>771</v>
      </c>
      <c r="K108"/>
      <c r="L108">
        <v>100</v>
      </c>
      <c r="M108">
        <v>30</v>
      </c>
      <c r="N108"/>
      <c r="O108"/>
      <c r="P108" s="31">
        <v>26</v>
      </c>
      <c r="Q108" s="232">
        <f t="shared" si="28"/>
        <v>13</v>
      </c>
      <c r="R108" s="40">
        <v>0.85</v>
      </c>
      <c r="S108" s="334">
        <f t="shared" si="29"/>
        <v>11.049999999999999</v>
      </c>
      <c r="T108" s="31">
        <f>VLOOKUP(A108,'Ansvar kurs'!$A$1:$C$1010,2,FALSE)</f>
        <v>1620</v>
      </c>
      <c r="U108" s="31" t="str">
        <f>VLOOKUP(T108,Orgenheter!$A$1:$C$165,2,FALSE)</f>
        <v>Inst för språkstudier</v>
      </c>
      <c r="V108" s="31" t="str">
        <f>VLOOKUP(T108,Orgenheter!$A$1:$C$165,3,FALSE)</f>
        <v>Hum</v>
      </c>
      <c r="W108" s="37" t="str">
        <f>VLOOKUP(D108,Program!$A$1:$B$34,2,FALSE)</f>
        <v>Ämneslärarprogrammet - Gy</v>
      </c>
      <c r="X108" s="42">
        <f>VLOOKUP(A108,kurspris!$A$1:$Q$798,15,FALSE)</f>
        <v>18405</v>
      </c>
      <c r="Y108" s="42">
        <f>VLOOKUP(A108,kurspris!$A$1:$Q$798,16,FALSE)</f>
        <v>15773</v>
      </c>
      <c r="Z108" s="42">
        <f t="shared" si="30"/>
        <v>413556.65</v>
      </c>
      <c r="AA108" s="42">
        <f>VLOOKUP(A108,kurspris!$A$1:$Q$798,17,FALSE)</f>
        <v>5800</v>
      </c>
      <c r="AB108" s="42">
        <f t="shared" si="31"/>
        <v>75400</v>
      </c>
      <c r="AC108" s="42">
        <f t="shared" si="32"/>
        <v>488956.65</v>
      </c>
      <c r="AD108" s="31">
        <f>VLOOKUP($A108,kurspris!$A$1:$Q$835,3,FALSE)</f>
        <v>0</v>
      </c>
      <c r="AE108" s="31">
        <f>VLOOKUP($A108,kurspris!$A$1:$Q$835,4,FALSE)</f>
        <v>1</v>
      </c>
      <c r="AF108" s="31">
        <f>VLOOKUP($A108,kurspris!$A$1:$Q$835,5,FALSE)</f>
        <v>0</v>
      </c>
      <c r="AG108" s="31">
        <f>VLOOKUP($A108,kurspris!$A$1:$Q$835,6,FALSE)</f>
        <v>0</v>
      </c>
      <c r="AH108" s="31">
        <f>VLOOKUP($A108,kurspris!$A$1:$Q$835,7,FALSE)</f>
        <v>0</v>
      </c>
      <c r="AI108" s="31">
        <f>VLOOKUP($A108,kurspris!$A$1:$Q$835,8,FALSE)</f>
        <v>0</v>
      </c>
      <c r="AJ108" s="31">
        <f>VLOOKUP($A108,kurspris!$A$1:$Q$835,9,FALSE)</f>
        <v>0</v>
      </c>
      <c r="AK108" s="31">
        <f>VLOOKUP($A108,kurspris!$A$1:$Q$835,10,FALSE)</f>
        <v>0</v>
      </c>
      <c r="AL108" s="31">
        <f>VLOOKUP($A108,kurspris!$A$1:$Q$835,11,FALSE)</f>
        <v>0</v>
      </c>
      <c r="AM108" s="31">
        <f>VLOOKUP($A108,kurspris!$A$1:$Q$835,12,FALSE)</f>
        <v>0</v>
      </c>
      <c r="AN108" s="31">
        <f>VLOOKUP($A108,kurspris!$A$1:$Q$835,13,FALSE)</f>
        <v>0</v>
      </c>
      <c r="AO108" s="31">
        <f>VLOOKUP($A108,kurspris!$A$1:$Q$835,14,FALSE)</f>
        <v>0</v>
      </c>
      <c r="AP108" s="39" t="s">
        <v>2204</v>
      </c>
      <c r="AQ108"/>
      <c r="AR108" s="31">
        <f t="shared" si="33"/>
        <v>0</v>
      </c>
      <c r="AS108" s="255">
        <f t="shared" si="34"/>
        <v>0</v>
      </c>
      <c r="AT108" s="31">
        <f t="shared" si="35"/>
        <v>13</v>
      </c>
      <c r="AU108" s="255">
        <f t="shared" si="36"/>
        <v>11.049999999999999</v>
      </c>
      <c r="AV108" s="31">
        <f t="shared" si="37"/>
        <v>0</v>
      </c>
      <c r="AW108" s="31">
        <f t="shared" si="38"/>
        <v>0</v>
      </c>
      <c r="AX108" s="31">
        <f t="shared" si="39"/>
        <v>0</v>
      </c>
      <c r="AY108" s="255">
        <f t="shared" si="40"/>
        <v>0</v>
      </c>
      <c r="AZ108" s="232">
        <f t="shared" si="41"/>
        <v>0</v>
      </c>
      <c r="BA108" s="255">
        <f t="shared" si="42"/>
        <v>0</v>
      </c>
      <c r="BB108" s="31">
        <f t="shared" si="43"/>
        <v>0</v>
      </c>
      <c r="BC108" s="255">
        <f t="shared" si="44"/>
        <v>0</v>
      </c>
      <c r="BD108" s="31">
        <f t="shared" si="45"/>
        <v>0</v>
      </c>
      <c r="BE108" s="255">
        <f t="shared" si="46"/>
        <v>0</v>
      </c>
      <c r="BF108" s="31">
        <f t="shared" si="47"/>
        <v>0</v>
      </c>
      <c r="BG108" s="255">
        <f t="shared" si="48"/>
        <v>0</v>
      </c>
      <c r="BH108" s="31">
        <f t="shared" si="49"/>
        <v>0</v>
      </c>
      <c r="BI108" s="255">
        <f t="shared" si="50"/>
        <v>0</v>
      </c>
      <c r="BJ108" s="31">
        <f t="shared" si="51"/>
        <v>0</v>
      </c>
      <c r="BK108" s="31">
        <f t="shared" si="52"/>
        <v>0</v>
      </c>
      <c r="BL108" s="255">
        <f t="shared" si="53"/>
        <v>0</v>
      </c>
      <c r="BM108" s="31">
        <f t="shared" si="54"/>
        <v>0</v>
      </c>
      <c r="BN108" s="255">
        <f t="shared" si="55"/>
        <v>0</v>
      </c>
    </row>
    <row r="109" spans="1:66" x14ac:dyDescent="0.25">
      <c r="A109" t="s">
        <v>487</v>
      </c>
      <c r="B109" s="186" t="str">
        <f>VLOOKUP(A109,kurspris!$A$1:$B$877,2,FALSE)</f>
        <v>Engelska I för ämneslärare med inriktning mot gymnasiet</v>
      </c>
      <c r="C109"/>
      <c r="D109" t="s">
        <v>483</v>
      </c>
      <c r="E109" t="s">
        <v>1788</v>
      </c>
      <c r="F109" s="59" t="s">
        <v>1930</v>
      </c>
      <c r="G109" t="s">
        <v>1995</v>
      </c>
      <c r="H109" t="s">
        <v>1910</v>
      </c>
      <c r="I109"/>
      <c r="J109" t="s">
        <v>1592</v>
      </c>
      <c r="K109"/>
      <c r="L109">
        <v>100</v>
      </c>
      <c r="M109">
        <v>30</v>
      </c>
      <c r="N109"/>
      <c r="O109"/>
      <c r="P109" s="31">
        <v>1</v>
      </c>
      <c r="Q109" s="232">
        <f t="shared" si="28"/>
        <v>0.5</v>
      </c>
      <c r="R109" s="40">
        <v>0.85</v>
      </c>
      <c r="S109" s="334">
        <f t="shared" si="29"/>
        <v>0.42499999999999999</v>
      </c>
      <c r="T109" s="31">
        <f>VLOOKUP(A109,'Ansvar kurs'!$A$1:$C$1010,2,FALSE)</f>
        <v>1620</v>
      </c>
      <c r="U109" s="31" t="str">
        <f>VLOOKUP(T109,Orgenheter!$A$1:$C$165,2,FALSE)</f>
        <v>Inst för språkstudier</v>
      </c>
      <c r="V109" s="31" t="str">
        <f>VLOOKUP(T109,Orgenheter!$A$1:$C$165,3,FALSE)</f>
        <v>Hum</v>
      </c>
      <c r="W109" s="37" t="str">
        <f>VLOOKUP(D109,Program!$A$1:$B$34,2,FALSE)</f>
        <v>Ämneslärarprogrammet - Gy</v>
      </c>
      <c r="X109" s="42">
        <f>VLOOKUP(A109,kurspris!$A$1:$Q$798,15,FALSE)</f>
        <v>18405</v>
      </c>
      <c r="Y109" s="42">
        <f>VLOOKUP(A109,kurspris!$A$1:$Q$798,16,FALSE)</f>
        <v>15773</v>
      </c>
      <c r="Z109" s="42">
        <f t="shared" si="30"/>
        <v>15906.025</v>
      </c>
      <c r="AA109" s="42">
        <f>VLOOKUP(A109,kurspris!$A$1:$Q$798,17,FALSE)</f>
        <v>5800</v>
      </c>
      <c r="AB109" s="42">
        <f t="shared" si="31"/>
        <v>2900</v>
      </c>
      <c r="AC109" s="42">
        <f t="shared" si="32"/>
        <v>18806.025000000001</v>
      </c>
      <c r="AD109" s="31">
        <f>VLOOKUP($A109,kurspris!$A$1:$Q$835,3,FALSE)</f>
        <v>0</v>
      </c>
      <c r="AE109" s="31">
        <f>VLOOKUP($A109,kurspris!$A$1:$Q$835,4,FALSE)</f>
        <v>1</v>
      </c>
      <c r="AF109" s="31">
        <f>VLOOKUP($A109,kurspris!$A$1:$Q$835,5,FALSE)</f>
        <v>0</v>
      </c>
      <c r="AG109" s="31">
        <f>VLOOKUP($A109,kurspris!$A$1:$Q$835,6,FALSE)</f>
        <v>0</v>
      </c>
      <c r="AH109" s="31">
        <f>VLOOKUP($A109,kurspris!$A$1:$Q$835,7,FALSE)</f>
        <v>0</v>
      </c>
      <c r="AI109" s="31">
        <f>VLOOKUP($A109,kurspris!$A$1:$Q$835,8,FALSE)</f>
        <v>0</v>
      </c>
      <c r="AJ109" s="31">
        <f>VLOOKUP($A109,kurspris!$A$1:$Q$835,9,FALSE)</f>
        <v>0</v>
      </c>
      <c r="AK109" s="31">
        <f>VLOOKUP($A109,kurspris!$A$1:$Q$835,10,FALSE)</f>
        <v>0</v>
      </c>
      <c r="AL109" s="31">
        <f>VLOOKUP($A109,kurspris!$A$1:$Q$835,11,FALSE)</f>
        <v>0</v>
      </c>
      <c r="AM109" s="31">
        <f>VLOOKUP($A109,kurspris!$A$1:$Q$835,12,FALSE)</f>
        <v>0</v>
      </c>
      <c r="AN109" s="31">
        <f>VLOOKUP($A109,kurspris!$A$1:$Q$835,13,FALSE)</f>
        <v>0</v>
      </c>
      <c r="AO109" s="31">
        <f>VLOOKUP($A109,kurspris!$A$1:$Q$835,14,FALSE)</f>
        <v>0</v>
      </c>
      <c r="AP109" s="39" t="s">
        <v>2204</v>
      </c>
      <c r="AQ109"/>
      <c r="AR109" s="31">
        <f t="shared" si="33"/>
        <v>0</v>
      </c>
      <c r="AS109" s="255">
        <f t="shared" si="34"/>
        <v>0</v>
      </c>
      <c r="AT109" s="31">
        <f t="shared" si="35"/>
        <v>0.5</v>
      </c>
      <c r="AU109" s="255">
        <f t="shared" si="36"/>
        <v>0.42499999999999999</v>
      </c>
      <c r="AV109" s="31">
        <f t="shared" si="37"/>
        <v>0</v>
      </c>
      <c r="AW109" s="31">
        <f t="shared" si="38"/>
        <v>0</v>
      </c>
      <c r="AX109" s="31">
        <f t="shared" si="39"/>
        <v>0</v>
      </c>
      <c r="AY109" s="255">
        <f t="shared" si="40"/>
        <v>0</v>
      </c>
      <c r="AZ109" s="232">
        <f t="shared" si="41"/>
        <v>0</v>
      </c>
      <c r="BA109" s="255">
        <f t="shared" si="42"/>
        <v>0</v>
      </c>
      <c r="BB109" s="31">
        <f t="shared" si="43"/>
        <v>0</v>
      </c>
      <c r="BC109" s="255">
        <f t="shared" si="44"/>
        <v>0</v>
      </c>
      <c r="BD109" s="31">
        <f t="shared" si="45"/>
        <v>0</v>
      </c>
      <c r="BE109" s="255">
        <f t="shared" si="46"/>
        <v>0</v>
      </c>
      <c r="BF109" s="31">
        <f t="shared" si="47"/>
        <v>0</v>
      </c>
      <c r="BG109" s="255">
        <f t="shared" si="48"/>
        <v>0</v>
      </c>
      <c r="BH109" s="31">
        <f t="shared" si="49"/>
        <v>0</v>
      </c>
      <c r="BI109" s="255">
        <f t="shared" si="50"/>
        <v>0</v>
      </c>
      <c r="BJ109" s="31">
        <f t="shared" si="51"/>
        <v>0</v>
      </c>
      <c r="BK109" s="31">
        <f t="shared" si="52"/>
        <v>0</v>
      </c>
      <c r="BL109" s="255">
        <f t="shared" si="53"/>
        <v>0</v>
      </c>
      <c r="BM109" s="31">
        <f t="shared" si="54"/>
        <v>0</v>
      </c>
      <c r="BN109" s="255">
        <f t="shared" si="55"/>
        <v>0</v>
      </c>
    </row>
    <row r="110" spans="1:66" x14ac:dyDescent="0.25">
      <c r="A110" s="18" t="s">
        <v>1748</v>
      </c>
      <c r="B110" s="186" t="str">
        <f>VLOOKUP(A110,kurspris!$A$1:$B$877,2,FALSE)</f>
        <v>Engelska 3 för ämneslärare med inriktning mot gymnasiet</v>
      </c>
      <c r="C110" s="37"/>
      <c r="D110" t="s">
        <v>117</v>
      </c>
      <c r="E110"/>
      <c r="F110" s="59" t="s">
        <v>1930</v>
      </c>
      <c r="G110"/>
      <c r="H110"/>
      <c r="I110" t="s">
        <v>1634</v>
      </c>
      <c r="L110">
        <v>100</v>
      </c>
      <c r="M110">
        <v>30</v>
      </c>
      <c r="P110" s="31">
        <v>2</v>
      </c>
      <c r="Q110" s="232">
        <f t="shared" si="28"/>
        <v>1</v>
      </c>
      <c r="R110" s="40">
        <v>0.8</v>
      </c>
      <c r="S110" s="334">
        <f t="shared" si="29"/>
        <v>0.8</v>
      </c>
      <c r="T110" s="31">
        <f>VLOOKUP(A110,'Ansvar kurs'!$A$1:$C$1010,2,FALSE)</f>
        <v>1620</v>
      </c>
      <c r="U110" s="31" t="str">
        <f>VLOOKUP(T110,Orgenheter!$A$1:$C$165,2,FALSE)</f>
        <v>Inst för språkstudier</v>
      </c>
      <c r="V110" s="31" t="str">
        <f>VLOOKUP(T110,Orgenheter!$A$1:$C$165,3,FALSE)</f>
        <v>Hum</v>
      </c>
      <c r="W110" s="37" t="str">
        <f>VLOOKUP(D110,Program!$A$1:$B$34,2,FALSE)</f>
        <v>Fristående och övriga kurser</v>
      </c>
      <c r="X110" s="42">
        <f>VLOOKUP(A110,kurspris!$A$1:$Q$798,15,FALSE)</f>
        <v>18405</v>
      </c>
      <c r="Y110" s="42">
        <f>VLOOKUP(A110,kurspris!$A$1:$Q$798,16,FALSE)</f>
        <v>15773</v>
      </c>
      <c r="Z110" s="42">
        <f t="shared" si="30"/>
        <v>31023.4</v>
      </c>
      <c r="AA110" s="42">
        <f>VLOOKUP(A110,kurspris!$A$1:$Q$798,17,FALSE)</f>
        <v>5800</v>
      </c>
      <c r="AB110" s="42">
        <f t="shared" si="31"/>
        <v>5800</v>
      </c>
      <c r="AC110" s="42">
        <f t="shared" si="32"/>
        <v>36823.4</v>
      </c>
      <c r="AD110" s="31">
        <f>VLOOKUP($A110,kurspris!$A$1:$Q$835,3,FALSE)</f>
        <v>0</v>
      </c>
      <c r="AE110" s="31">
        <f>VLOOKUP($A110,kurspris!$A$1:$Q$835,4,FALSE)</f>
        <v>1</v>
      </c>
      <c r="AF110" s="31">
        <f>VLOOKUP($A110,kurspris!$A$1:$Q$835,5,FALSE)</f>
        <v>0</v>
      </c>
      <c r="AG110" s="31">
        <f>VLOOKUP($A110,kurspris!$A$1:$Q$835,6,FALSE)</f>
        <v>0</v>
      </c>
      <c r="AH110" s="31">
        <f>VLOOKUP($A110,kurspris!$A$1:$Q$835,7,FALSE)</f>
        <v>0</v>
      </c>
      <c r="AI110" s="31">
        <f>VLOOKUP($A110,kurspris!$A$1:$Q$835,8,FALSE)</f>
        <v>0</v>
      </c>
      <c r="AJ110" s="31">
        <f>VLOOKUP($A110,kurspris!$A$1:$Q$835,9,FALSE)</f>
        <v>0</v>
      </c>
      <c r="AK110" s="31">
        <f>VLOOKUP($A110,kurspris!$A$1:$Q$835,10,FALSE)</f>
        <v>0</v>
      </c>
      <c r="AL110" s="31">
        <f>VLOOKUP($A110,kurspris!$A$1:$Q$835,11,FALSE)</f>
        <v>0</v>
      </c>
      <c r="AM110" s="31">
        <f>VLOOKUP($A110,kurspris!$A$1:$Q$835,12,FALSE)</f>
        <v>0</v>
      </c>
      <c r="AN110" s="31">
        <f>VLOOKUP($A110,kurspris!$A$1:$Q$835,13,FALSE)</f>
        <v>0</v>
      </c>
      <c r="AO110" s="31">
        <f>VLOOKUP($A110,kurspris!$A$1:$Q$835,14,FALSE)</f>
        <v>0</v>
      </c>
      <c r="AP110" s="39" t="s">
        <v>2232</v>
      </c>
      <c r="AQ110" s="39" t="s">
        <v>2095</v>
      </c>
      <c r="AR110" s="31">
        <f t="shared" si="33"/>
        <v>0</v>
      </c>
      <c r="AS110" s="255">
        <f t="shared" si="34"/>
        <v>0</v>
      </c>
      <c r="AT110" s="31">
        <f t="shared" si="35"/>
        <v>1</v>
      </c>
      <c r="AU110" s="255">
        <f t="shared" si="36"/>
        <v>0.8</v>
      </c>
      <c r="AV110" s="31">
        <f t="shared" si="37"/>
        <v>0</v>
      </c>
      <c r="AW110" s="31">
        <f t="shared" si="38"/>
        <v>0</v>
      </c>
      <c r="AX110" s="31">
        <f t="shared" si="39"/>
        <v>0</v>
      </c>
      <c r="AY110" s="255">
        <f t="shared" si="40"/>
        <v>0</v>
      </c>
      <c r="AZ110" s="232">
        <f t="shared" si="41"/>
        <v>0</v>
      </c>
      <c r="BA110" s="255">
        <f t="shared" si="42"/>
        <v>0</v>
      </c>
      <c r="BB110" s="31">
        <f t="shared" si="43"/>
        <v>0</v>
      </c>
      <c r="BC110" s="255">
        <f t="shared" si="44"/>
        <v>0</v>
      </c>
      <c r="BD110" s="31">
        <f t="shared" si="45"/>
        <v>0</v>
      </c>
      <c r="BE110" s="255">
        <f t="shared" si="46"/>
        <v>0</v>
      </c>
      <c r="BF110" s="31">
        <f t="shared" si="47"/>
        <v>0</v>
      </c>
      <c r="BG110" s="255">
        <f t="shared" si="48"/>
        <v>0</v>
      </c>
      <c r="BH110" s="31">
        <f t="shared" si="49"/>
        <v>0</v>
      </c>
      <c r="BI110" s="255">
        <f t="shared" si="50"/>
        <v>0</v>
      </c>
      <c r="BJ110" s="31">
        <f t="shared" si="51"/>
        <v>0</v>
      </c>
      <c r="BK110" s="31">
        <f t="shared" si="52"/>
        <v>0</v>
      </c>
      <c r="BL110" s="255">
        <f t="shared" si="53"/>
        <v>0</v>
      </c>
      <c r="BM110" s="31">
        <f t="shared" si="54"/>
        <v>0</v>
      </c>
      <c r="BN110" s="255">
        <f t="shared" si="55"/>
        <v>0</v>
      </c>
    </row>
    <row r="111" spans="1:66" x14ac:dyDescent="0.25">
      <c r="A111" t="s">
        <v>1748</v>
      </c>
      <c r="B111" s="186" t="str">
        <f>VLOOKUP(A111,kurspris!$A$1:$B$877,2,FALSE)</f>
        <v>Engelska 3 för ämneslärare med inriktning mot gymnasiet</v>
      </c>
      <c r="C111"/>
      <c r="D111" t="s">
        <v>483</v>
      </c>
      <c r="E111" t="s">
        <v>1976</v>
      </c>
      <c r="F111" s="59" t="s">
        <v>1930</v>
      </c>
      <c r="G111" t="s">
        <v>1995</v>
      </c>
      <c r="H111" t="s">
        <v>1910</v>
      </c>
      <c r="I111"/>
      <c r="J111" s="295" t="s">
        <v>1952</v>
      </c>
      <c r="K111"/>
      <c r="L111">
        <v>100</v>
      </c>
      <c r="M111">
        <v>30</v>
      </c>
      <c r="N111"/>
      <c r="O111"/>
      <c r="P111" s="31">
        <v>1</v>
      </c>
      <c r="Q111" s="232">
        <f t="shared" si="28"/>
        <v>0.5</v>
      </c>
      <c r="R111" s="40">
        <v>0.85</v>
      </c>
      <c r="S111" s="334">
        <f t="shared" si="29"/>
        <v>0.42499999999999999</v>
      </c>
      <c r="T111" s="31">
        <f>VLOOKUP(A111,'Ansvar kurs'!$A$1:$C$1010,2,FALSE)</f>
        <v>1620</v>
      </c>
      <c r="U111" s="31" t="str">
        <f>VLOOKUP(T111,Orgenheter!$A$1:$C$165,2,FALSE)</f>
        <v>Inst för språkstudier</v>
      </c>
      <c r="V111" s="31" t="str">
        <f>VLOOKUP(T111,Orgenheter!$A$1:$C$165,3,FALSE)</f>
        <v>Hum</v>
      </c>
      <c r="W111" s="37" t="str">
        <f>VLOOKUP(D111,Program!$A$1:$B$34,2,FALSE)</f>
        <v>Ämneslärarprogrammet - Gy</v>
      </c>
      <c r="X111" s="42">
        <f>VLOOKUP(A111,kurspris!$A$1:$Q$798,15,FALSE)</f>
        <v>18405</v>
      </c>
      <c r="Y111" s="42">
        <f>VLOOKUP(A111,kurspris!$A$1:$Q$798,16,FALSE)</f>
        <v>15773</v>
      </c>
      <c r="Z111" s="42">
        <f t="shared" si="30"/>
        <v>15906.025</v>
      </c>
      <c r="AA111" s="42">
        <f>VLOOKUP(A111,kurspris!$A$1:$Q$798,17,FALSE)</f>
        <v>5800</v>
      </c>
      <c r="AB111" s="42">
        <f t="shared" si="31"/>
        <v>2900</v>
      </c>
      <c r="AC111" s="42">
        <f t="shared" si="32"/>
        <v>18806.025000000001</v>
      </c>
      <c r="AD111" s="31">
        <f>VLOOKUP($A111,kurspris!$A$1:$Q$835,3,FALSE)</f>
        <v>0</v>
      </c>
      <c r="AE111" s="31">
        <f>VLOOKUP($A111,kurspris!$A$1:$Q$835,4,FALSE)</f>
        <v>1</v>
      </c>
      <c r="AF111" s="31">
        <f>VLOOKUP($A111,kurspris!$A$1:$Q$835,5,FALSE)</f>
        <v>0</v>
      </c>
      <c r="AG111" s="31">
        <f>VLOOKUP($A111,kurspris!$A$1:$Q$835,6,FALSE)</f>
        <v>0</v>
      </c>
      <c r="AH111" s="31">
        <f>VLOOKUP($A111,kurspris!$A$1:$Q$835,7,FALSE)</f>
        <v>0</v>
      </c>
      <c r="AI111" s="31">
        <f>VLOOKUP($A111,kurspris!$A$1:$Q$835,8,FALSE)</f>
        <v>0</v>
      </c>
      <c r="AJ111" s="31">
        <f>VLOOKUP($A111,kurspris!$A$1:$Q$835,9,FALSE)</f>
        <v>0</v>
      </c>
      <c r="AK111" s="31">
        <f>VLOOKUP($A111,kurspris!$A$1:$Q$835,10,FALSE)</f>
        <v>0</v>
      </c>
      <c r="AL111" s="31">
        <f>VLOOKUP($A111,kurspris!$A$1:$Q$835,11,FALSE)</f>
        <v>0</v>
      </c>
      <c r="AM111" s="31">
        <f>VLOOKUP($A111,kurspris!$A$1:$Q$835,12,FALSE)</f>
        <v>0</v>
      </c>
      <c r="AN111" s="31">
        <f>VLOOKUP($A111,kurspris!$A$1:$Q$835,13,FALSE)</f>
        <v>0</v>
      </c>
      <c r="AO111" s="31">
        <f>VLOOKUP($A111,kurspris!$A$1:$Q$835,14,FALSE)</f>
        <v>0</v>
      </c>
      <c r="AP111" s="39" t="s">
        <v>2204</v>
      </c>
      <c r="AQ111"/>
      <c r="AR111" s="31">
        <f t="shared" si="33"/>
        <v>0</v>
      </c>
      <c r="AS111" s="255">
        <f t="shared" si="34"/>
        <v>0</v>
      </c>
      <c r="AT111" s="31">
        <f t="shared" si="35"/>
        <v>0.5</v>
      </c>
      <c r="AU111" s="255">
        <f t="shared" si="36"/>
        <v>0.42499999999999999</v>
      </c>
      <c r="AV111" s="31">
        <f t="shared" si="37"/>
        <v>0</v>
      </c>
      <c r="AW111" s="31">
        <f t="shared" si="38"/>
        <v>0</v>
      </c>
      <c r="AX111" s="31">
        <f t="shared" si="39"/>
        <v>0</v>
      </c>
      <c r="AY111" s="255">
        <f t="shared" si="40"/>
        <v>0</v>
      </c>
      <c r="AZ111" s="232">
        <f t="shared" si="41"/>
        <v>0</v>
      </c>
      <c r="BA111" s="255">
        <f t="shared" si="42"/>
        <v>0</v>
      </c>
      <c r="BB111" s="31">
        <f t="shared" si="43"/>
        <v>0</v>
      </c>
      <c r="BC111" s="255">
        <f t="shared" si="44"/>
        <v>0</v>
      </c>
      <c r="BD111" s="31">
        <f t="shared" si="45"/>
        <v>0</v>
      </c>
      <c r="BE111" s="255">
        <f t="shared" si="46"/>
        <v>0</v>
      </c>
      <c r="BF111" s="31">
        <f t="shared" si="47"/>
        <v>0</v>
      </c>
      <c r="BG111" s="255">
        <f t="shared" si="48"/>
        <v>0</v>
      </c>
      <c r="BH111" s="31">
        <f t="shared" si="49"/>
        <v>0</v>
      </c>
      <c r="BI111" s="255">
        <f t="shared" si="50"/>
        <v>0</v>
      </c>
      <c r="BJ111" s="31">
        <f t="shared" si="51"/>
        <v>0</v>
      </c>
      <c r="BK111" s="31">
        <f t="shared" si="52"/>
        <v>0</v>
      </c>
      <c r="BL111" s="255">
        <f t="shared" si="53"/>
        <v>0</v>
      </c>
      <c r="BM111" s="31">
        <f t="shared" si="54"/>
        <v>0</v>
      </c>
      <c r="BN111" s="255">
        <f t="shared" si="55"/>
        <v>0</v>
      </c>
    </row>
    <row r="112" spans="1:66" x14ac:dyDescent="0.25">
      <c r="A112" t="s">
        <v>1748</v>
      </c>
      <c r="B112" s="186" t="str">
        <f>VLOOKUP(A112,kurspris!$A$1:$B$877,2,FALSE)</f>
        <v>Engelska 3 för ämneslärare med inriktning mot gymnasiet</v>
      </c>
      <c r="C112"/>
      <c r="D112" t="s">
        <v>483</v>
      </c>
      <c r="E112" t="s">
        <v>1976</v>
      </c>
      <c r="F112" s="59" t="s">
        <v>1930</v>
      </c>
      <c r="G112" t="s">
        <v>1995</v>
      </c>
      <c r="H112" t="s">
        <v>1910</v>
      </c>
      <c r="I112"/>
      <c r="J112" t="s">
        <v>772</v>
      </c>
      <c r="K112"/>
      <c r="L112">
        <v>100</v>
      </c>
      <c r="M112">
        <v>30</v>
      </c>
      <c r="N112"/>
      <c r="O112"/>
      <c r="P112" s="31">
        <v>1</v>
      </c>
      <c r="Q112" s="232">
        <f t="shared" si="28"/>
        <v>0.5</v>
      </c>
      <c r="R112" s="40">
        <v>0.85</v>
      </c>
      <c r="S112" s="334">
        <f t="shared" si="29"/>
        <v>0.42499999999999999</v>
      </c>
      <c r="T112" s="31">
        <f>VLOOKUP(A112,'Ansvar kurs'!$A$1:$C$1010,2,FALSE)</f>
        <v>1620</v>
      </c>
      <c r="U112" s="31" t="str">
        <f>VLOOKUP(T112,Orgenheter!$A$1:$C$165,2,FALSE)</f>
        <v>Inst för språkstudier</v>
      </c>
      <c r="V112" s="31" t="str">
        <f>VLOOKUP(T112,Orgenheter!$A$1:$C$165,3,FALSE)</f>
        <v>Hum</v>
      </c>
      <c r="W112" s="37" t="str">
        <f>VLOOKUP(D112,Program!$A$1:$B$34,2,FALSE)</f>
        <v>Ämneslärarprogrammet - Gy</v>
      </c>
      <c r="X112" s="42">
        <f>VLOOKUP(A112,kurspris!$A$1:$Q$798,15,FALSE)</f>
        <v>18405</v>
      </c>
      <c r="Y112" s="42">
        <f>VLOOKUP(A112,kurspris!$A$1:$Q$798,16,FALSE)</f>
        <v>15773</v>
      </c>
      <c r="Z112" s="42">
        <f t="shared" si="30"/>
        <v>15906.025</v>
      </c>
      <c r="AA112" s="42">
        <f>VLOOKUP(A112,kurspris!$A$1:$Q$798,17,FALSE)</f>
        <v>5800</v>
      </c>
      <c r="AB112" s="42">
        <f t="shared" si="31"/>
        <v>2900</v>
      </c>
      <c r="AC112" s="42">
        <f t="shared" si="32"/>
        <v>18806.025000000001</v>
      </c>
      <c r="AD112" s="31">
        <f>VLOOKUP($A112,kurspris!$A$1:$Q$835,3,FALSE)</f>
        <v>0</v>
      </c>
      <c r="AE112" s="31">
        <f>VLOOKUP($A112,kurspris!$A$1:$Q$835,4,FALSE)</f>
        <v>1</v>
      </c>
      <c r="AF112" s="31">
        <f>VLOOKUP($A112,kurspris!$A$1:$Q$835,5,FALSE)</f>
        <v>0</v>
      </c>
      <c r="AG112" s="31">
        <f>VLOOKUP($A112,kurspris!$A$1:$Q$835,6,FALSE)</f>
        <v>0</v>
      </c>
      <c r="AH112" s="31">
        <f>VLOOKUP($A112,kurspris!$A$1:$Q$835,7,FALSE)</f>
        <v>0</v>
      </c>
      <c r="AI112" s="31">
        <f>VLOOKUP($A112,kurspris!$A$1:$Q$835,8,FALSE)</f>
        <v>0</v>
      </c>
      <c r="AJ112" s="31">
        <f>VLOOKUP($A112,kurspris!$A$1:$Q$835,9,FALSE)</f>
        <v>0</v>
      </c>
      <c r="AK112" s="31">
        <f>VLOOKUP($A112,kurspris!$A$1:$Q$835,10,FALSE)</f>
        <v>0</v>
      </c>
      <c r="AL112" s="31">
        <f>VLOOKUP($A112,kurspris!$A$1:$Q$835,11,FALSE)</f>
        <v>0</v>
      </c>
      <c r="AM112" s="31">
        <f>VLOOKUP($A112,kurspris!$A$1:$Q$835,12,FALSE)</f>
        <v>0</v>
      </c>
      <c r="AN112" s="31">
        <f>VLOOKUP($A112,kurspris!$A$1:$Q$835,13,FALSE)</f>
        <v>0</v>
      </c>
      <c r="AO112" s="31">
        <f>VLOOKUP($A112,kurspris!$A$1:$Q$835,14,FALSE)</f>
        <v>0</v>
      </c>
      <c r="AP112" s="39" t="s">
        <v>2204</v>
      </c>
      <c r="AQ112"/>
      <c r="AR112" s="31">
        <f t="shared" si="33"/>
        <v>0</v>
      </c>
      <c r="AS112" s="255">
        <f t="shared" si="34"/>
        <v>0</v>
      </c>
      <c r="AT112" s="31">
        <f t="shared" si="35"/>
        <v>0.5</v>
      </c>
      <c r="AU112" s="255">
        <f t="shared" si="36"/>
        <v>0.42499999999999999</v>
      </c>
      <c r="AV112" s="31">
        <f t="shared" si="37"/>
        <v>0</v>
      </c>
      <c r="AW112" s="31">
        <f t="shared" si="38"/>
        <v>0</v>
      </c>
      <c r="AX112" s="31">
        <f t="shared" si="39"/>
        <v>0</v>
      </c>
      <c r="AY112" s="255">
        <f t="shared" si="40"/>
        <v>0</v>
      </c>
      <c r="AZ112" s="232">
        <f t="shared" si="41"/>
        <v>0</v>
      </c>
      <c r="BA112" s="255">
        <f t="shared" si="42"/>
        <v>0</v>
      </c>
      <c r="BB112" s="31">
        <f t="shared" si="43"/>
        <v>0</v>
      </c>
      <c r="BC112" s="255">
        <f t="shared" si="44"/>
        <v>0</v>
      </c>
      <c r="BD112" s="31">
        <f t="shared" si="45"/>
        <v>0</v>
      </c>
      <c r="BE112" s="255">
        <f t="shared" si="46"/>
        <v>0</v>
      </c>
      <c r="BF112" s="31">
        <f t="shared" si="47"/>
        <v>0</v>
      </c>
      <c r="BG112" s="255">
        <f t="shared" si="48"/>
        <v>0</v>
      </c>
      <c r="BH112" s="31">
        <f t="shared" si="49"/>
        <v>0</v>
      </c>
      <c r="BI112" s="255">
        <f t="shared" si="50"/>
        <v>0</v>
      </c>
      <c r="BJ112" s="31">
        <f t="shared" si="51"/>
        <v>0</v>
      </c>
      <c r="BK112" s="31">
        <f t="shared" si="52"/>
        <v>0</v>
      </c>
      <c r="BL112" s="255">
        <f t="shared" si="53"/>
        <v>0</v>
      </c>
      <c r="BM112" s="31">
        <f t="shared" si="54"/>
        <v>0</v>
      </c>
      <c r="BN112" s="255">
        <f t="shared" si="55"/>
        <v>0</v>
      </c>
    </row>
    <row r="113" spans="1:66" x14ac:dyDescent="0.25">
      <c r="A113" t="s">
        <v>1748</v>
      </c>
      <c r="B113" s="186" t="str">
        <f>VLOOKUP(A113,kurspris!$A$1:$B$877,2,FALSE)</f>
        <v>Engelska 3 för ämneslärare med inriktning mot gymnasiet</v>
      </c>
      <c r="C113"/>
      <c r="D113" t="s">
        <v>483</v>
      </c>
      <c r="E113" t="s">
        <v>1976</v>
      </c>
      <c r="F113" s="59" t="s">
        <v>1930</v>
      </c>
      <c r="G113" t="s">
        <v>1995</v>
      </c>
      <c r="H113" t="s">
        <v>1910</v>
      </c>
      <c r="I113"/>
      <c r="J113" t="s">
        <v>773</v>
      </c>
      <c r="K113"/>
      <c r="L113">
        <v>100</v>
      </c>
      <c r="M113">
        <v>30</v>
      </c>
      <c r="N113"/>
      <c r="O113"/>
      <c r="P113" s="31">
        <v>1</v>
      </c>
      <c r="Q113" s="232">
        <f t="shared" si="28"/>
        <v>0.5</v>
      </c>
      <c r="R113" s="40">
        <v>0.85</v>
      </c>
      <c r="S113" s="334">
        <f t="shared" si="29"/>
        <v>0.42499999999999999</v>
      </c>
      <c r="T113" s="31">
        <f>VLOOKUP(A113,'Ansvar kurs'!$A$1:$C$1010,2,FALSE)</f>
        <v>1620</v>
      </c>
      <c r="U113" s="31" t="str">
        <f>VLOOKUP(T113,Orgenheter!$A$1:$C$165,2,FALSE)</f>
        <v>Inst för språkstudier</v>
      </c>
      <c r="V113" s="31" t="str">
        <f>VLOOKUP(T113,Orgenheter!$A$1:$C$165,3,FALSE)</f>
        <v>Hum</v>
      </c>
      <c r="W113" s="37" t="str">
        <f>VLOOKUP(D113,Program!$A$1:$B$34,2,FALSE)</f>
        <v>Ämneslärarprogrammet - Gy</v>
      </c>
      <c r="X113" s="42">
        <f>VLOOKUP(A113,kurspris!$A$1:$Q$798,15,FALSE)</f>
        <v>18405</v>
      </c>
      <c r="Y113" s="42">
        <f>VLOOKUP(A113,kurspris!$A$1:$Q$798,16,FALSE)</f>
        <v>15773</v>
      </c>
      <c r="Z113" s="42">
        <f t="shared" si="30"/>
        <v>15906.025</v>
      </c>
      <c r="AA113" s="42">
        <f>VLOOKUP(A113,kurspris!$A$1:$Q$798,17,FALSE)</f>
        <v>5800</v>
      </c>
      <c r="AB113" s="42">
        <f t="shared" si="31"/>
        <v>2900</v>
      </c>
      <c r="AC113" s="42">
        <f t="shared" si="32"/>
        <v>18806.025000000001</v>
      </c>
      <c r="AD113" s="31">
        <f>VLOOKUP($A113,kurspris!$A$1:$Q$835,3,FALSE)</f>
        <v>0</v>
      </c>
      <c r="AE113" s="31">
        <f>VLOOKUP($A113,kurspris!$A$1:$Q$835,4,FALSE)</f>
        <v>1</v>
      </c>
      <c r="AF113" s="31">
        <f>VLOOKUP($A113,kurspris!$A$1:$Q$835,5,FALSE)</f>
        <v>0</v>
      </c>
      <c r="AG113" s="31">
        <f>VLOOKUP($A113,kurspris!$A$1:$Q$835,6,FALSE)</f>
        <v>0</v>
      </c>
      <c r="AH113" s="31">
        <f>VLOOKUP($A113,kurspris!$A$1:$Q$835,7,FALSE)</f>
        <v>0</v>
      </c>
      <c r="AI113" s="31">
        <f>VLOOKUP($A113,kurspris!$A$1:$Q$835,8,FALSE)</f>
        <v>0</v>
      </c>
      <c r="AJ113" s="31">
        <f>VLOOKUP($A113,kurspris!$A$1:$Q$835,9,FALSE)</f>
        <v>0</v>
      </c>
      <c r="AK113" s="31">
        <f>VLOOKUP($A113,kurspris!$A$1:$Q$835,10,FALSE)</f>
        <v>0</v>
      </c>
      <c r="AL113" s="31">
        <f>VLOOKUP($A113,kurspris!$A$1:$Q$835,11,FALSE)</f>
        <v>0</v>
      </c>
      <c r="AM113" s="31">
        <f>VLOOKUP($A113,kurspris!$A$1:$Q$835,12,FALSE)</f>
        <v>0</v>
      </c>
      <c r="AN113" s="31">
        <f>VLOOKUP($A113,kurspris!$A$1:$Q$835,13,FALSE)</f>
        <v>0</v>
      </c>
      <c r="AO113" s="31">
        <f>VLOOKUP($A113,kurspris!$A$1:$Q$835,14,FALSE)</f>
        <v>0</v>
      </c>
      <c r="AP113" s="39" t="s">
        <v>2204</v>
      </c>
      <c r="AQ113"/>
      <c r="AR113" s="31">
        <f t="shared" si="33"/>
        <v>0</v>
      </c>
      <c r="AS113" s="255">
        <f t="shared" si="34"/>
        <v>0</v>
      </c>
      <c r="AT113" s="31">
        <f t="shared" si="35"/>
        <v>0.5</v>
      </c>
      <c r="AU113" s="255">
        <f t="shared" si="36"/>
        <v>0.42499999999999999</v>
      </c>
      <c r="AV113" s="31">
        <f t="shared" si="37"/>
        <v>0</v>
      </c>
      <c r="AW113" s="31">
        <f t="shared" si="38"/>
        <v>0</v>
      </c>
      <c r="AX113" s="31">
        <f t="shared" si="39"/>
        <v>0</v>
      </c>
      <c r="AY113" s="255">
        <f t="shared" si="40"/>
        <v>0</v>
      </c>
      <c r="AZ113" s="232">
        <f t="shared" si="41"/>
        <v>0</v>
      </c>
      <c r="BA113" s="255">
        <f t="shared" si="42"/>
        <v>0</v>
      </c>
      <c r="BB113" s="31">
        <f t="shared" si="43"/>
        <v>0</v>
      </c>
      <c r="BC113" s="255">
        <f t="shared" si="44"/>
        <v>0</v>
      </c>
      <c r="BD113" s="31">
        <f t="shared" si="45"/>
        <v>0</v>
      </c>
      <c r="BE113" s="255">
        <f t="shared" si="46"/>
        <v>0</v>
      </c>
      <c r="BF113" s="31">
        <f t="shared" si="47"/>
        <v>0</v>
      </c>
      <c r="BG113" s="255">
        <f t="shared" si="48"/>
        <v>0</v>
      </c>
      <c r="BH113" s="31">
        <f t="shared" si="49"/>
        <v>0</v>
      </c>
      <c r="BI113" s="255">
        <f t="shared" si="50"/>
        <v>0</v>
      </c>
      <c r="BJ113" s="31">
        <f t="shared" si="51"/>
        <v>0</v>
      </c>
      <c r="BK113" s="31">
        <f t="shared" si="52"/>
        <v>0</v>
      </c>
      <c r="BL113" s="255">
        <f t="shared" si="53"/>
        <v>0</v>
      </c>
      <c r="BM113" s="31">
        <f t="shared" si="54"/>
        <v>0</v>
      </c>
      <c r="BN113" s="255">
        <f t="shared" si="55"/>
        <v>0</v>
      </c>
    </row>
    <row r="114" spans="1:66" x14ac:dyDescent="0.25">
      <c r="A114" t="s">
        <v>1748</v>
      </c>
      <c r="B114" s="186" t="str">
        <f>VLOOKUP(A114,kurspris!$A$1:$B$877,2,FALSE)</f>
        <v>Engelska 3 för ämneslärare med inriktning mot gymnasiet</v>
      </c>
      <c r="C114"/>
      <c r="D114" t="s">
        <v>483</v>
      </c>
      <c r="E114" t="s">
        <v>1976</v>
      </c>
      <c r="F114" s="59" t="s">
        <v>1930</v>
      </c>
      <c r="G114" t="s">
        <v>1995</v>
      </c>
      <c r="H114" t="s">
        <v>1910</v>
      </c>
      <c r="I114"/>
      <c r="J114" s="295" t="s">
        <v>776</v>
      </c>
      <c r="K114"/>
      <c r="L114">
        <v>100</v>
      </c>
      <c r="M114">
        <v>30</v>
      </c>
      <c r="N114"/>
      <c r="O114"/>
      <c r="P114" s="31">
        <v>0</v>
      </c>
      <c r="Q114" s="232">
        <f t="shared" si="28"/>
        <v>0</v>
      </c>
      <c r="R114" s="40">
        <v>0.85</v>
      </c>
      <c r="S114" s="334">
        <f t="shared" si="29"/>
        <v>0</v>
      </c>
      <c r="T114" s="31">
        <f>VLOOKUP(A114,'Ansvar kurs'!$A$1:$C$1010,2,FALSE)</f>
        <v>1620</v>
      </c>
      <c r="U114" s="31" t="str">
        <f>VLOOKUP(T114,Orgenheter!$A$1:$C$165,2,FALSE)</f>
        <v>Inst för språkstudier</v>
      </c>
      <c r="V114" s="31" t="str">
        <f>VLOOKUP(T114,Orgenheter!$A$1:$C$165,3,FALSE)</f>
        <v>Hum</v>
      </c>
      <c r="W114" s="37" t="str">
        <f>VLOOKUP(D114,Program!$A$1:$B$34,2,FALSE)</f>
        <v>Ämneslärarprogrammet - Gy</v>
      </c>
      <c r="X114" s="42">
        <f>VLOOKUP(A114,kurspris!$A$1:$Q$798,15,FALSE)</f>
        <v>18405</v>
      </c>
      <c r="Y114" s="42">
        <f>VLOOKUP(A114,kurspris!$A$1:$Q$798,16,FALSE)</f>
        <v>15773</v>
      </c>
      <c r="Z114" s="42">
        <f t="shared" si="30"/>
        <v>0</v>
      </c>
      <c r="AA114" s="42">
        <f>VLOOKUP(A114,kurspris!$A$1:$Q$798,17,FALSE)</f>
        <v>5800</v>
      </c>
      <c r="AB114" s="42">
        <f t="shared" si="31"/>
        <v>0</v>
      </c>
      <c r="AC114" s="42">
        <f t="shared" si="32"/>
        <v>0</v>
      </c>
      <c r="AD114" s="31">
        <f>VLOOKUP($A114,kurspris!$A$1:$Q$835,3,FALSE)</f>
        <v>0</v>
      </c>
      <c r="AE114" s="31">
        <f>VLOOKUP($A114,kurspris!$A$1:$Q$835,4,FALSE)</f>
        <v>1</v>
      </c>
      <c r="AF114" s="31">
        <f>VLOOKUP($A114,kurspris!$A$1:$Q$835,5,FALSE)</f>
        <v>0</v>
      </c>
      <c r="AG114" s="31">
        <f>VLOOKUP($A114,kurspris!$A$1:$Q$835,6,FALSE)</f>
        <v>0</v>
      </c>
      <c r="AH114" s="31">
        <f>VLOOKUP($A114,kurspris!$A$1:$Q$835,7,FALSE)</f>
        <v>0</v>
      </c>
      <c r="AI114" s="31">
        <f>VLOOKUP($A114,kurspris!$A$1:$Q$835,8,FALSE)</f>
        <v>0</v>
      </c>
      <c r="AJ114" s="31">
        <f>VLOOKUP($A114,kurspris!$A$1:$Q$835,9,FALSE)</f>
        <v>0</v>
      </c>
      <c r="AK114" s="31">
        <f>VLOOKUP($A114,kurspris!$A$1:$Q$835,10,FALSE)</f>
        <v>0</v>
      </c>
      <c r="AL114" s="31">
        <f>VLOOKUP($A114,kurspris!$A$1:$Q$835,11,FALSE)</f>
        <v>0</v>
      </c>
      <c r="AM114" s="31">
        <f>VLOOKUP($A114,kurspris!$A$1:$Q$835,12,FALSE)</f>
        <v>0</v>
      </c>
      <c r="AN114" s="31">
        <f>VLOOKUP($A114,kurspris!$A$1:$Q$835,13,FALSE)</f>
        <v>0</v>
      </c>
      <c r="AO114" s="31">
        <f>VLOOKUP($A114,kurspris!$A$1:$Q$835,14,FALSE)</f>
        <v>0</v>
      </c>
      <c r="AP114" s="39" t="s">
        <v>2204</v>
      </c>
      <c r="AQ114"/>
      <c r="AR114" s="31">
        <f t="shared" si="33"/>
        <v>0</v>
      </c>
      <c r="AS114" s="255">
        <f t="shared" si="34"/>
        <v>0</v>
      </c>
      <c r="AT114" s="31">
        <f t="shared" si="35"/>
        <v>0</v>
      </c>
      <c r="AU114" s="255">
        <f t="shared" si="36"/>
        <v>0</v>
      </c>
      <c r="AV114" s="31">
        <f t="shared" si="37"/>
        <v>0</v>
      </c>
      <c r="AW114" s="31">
        <f t="shared" si="38"/>
        <v>0</v>
      </c>
      <c r="AX114" s="31">
        <f t="shared" si="39"/>
        <v>0</v>
      </c>
      <c r="AY114" s="255">
        <f t="shared" si="40"/>
        <v>0</v>
      </c>
      <c r="AZ114" s="232">
        <f t="shared" si="41"/>
        <v>0</v>
      </c>
      <c r="BA114" s="255">
        <f t="shared" si="42"/>
        <v>0</v>
      </c>
      <c r="BB114" s="31">
        <f t="shared" si="43"/>
        <v>0</v>
      </c>
      <c r="BC114" s="255">
        <f t="shared" si="44"/>
        <v>0</v>
      </c>
      <c r="BD114" s="31">
        <f t="shared" si="45"/>
        <v>0</v>
      </c>
      <c r="BE114" s="255">
        <f t="shared" si="46"/>
        <v>0</v>
      </c>
      <c r="BF114" s="31">
        <f t="shared" si="47"/>
        <v>0</v>
      </c>
      <c r="BG114" s="255">
        <f t="shared" si="48"/>
        <v>0</v>
      </c>
      <c r="BH114" s="31">
        <f t="shared" si="49"/>
        <v>0</v>
      </c>
      <c r="BI114" s="255">
        <f t="shared" si="50"/>
        <v>0</v>
      </c>
      <c r="BJ114" s="31">
        <f t="shared" si="51"/>
        <v>0</v>
      </c>
      <c r="BK114" s="31">
        <f t="shared" si="52"/>
        <v>0</v>
      </c>
      <c r="BL114" s="255">
        <f t="shared" si="53"/>
        <v>0</v>
      </c>
      <c r="BM114" s="31">
        <f t="shared" si="54"/>
        <v>0</v>
      </c>
      <c r="BN114" s="255">
        <f t="shared" si="55"/>
        <v>0</v>
      </c>
    </row>
    <row r="115" spans="1:66" x14ac:dyDescent="0.25">
      <c r="A115" t="s">
        <v>1748</v>
      </c>
      <c r="B115" s="186" t="str">
        <f>VLOOKUP(A115,kurspris!$A$1:$B$877,2,FALSE)</f>
        <v>Engelska 3 för ämneslärare med inriktning mot gymnasiet</v>
      </c>
      <c r="C115"/>
      <c r="D115" t="s">
        <v>483</v>
      </c>
      <c r="E115" t="s">
        <v>1976</v>
      </c>
      <c r="F115" s="59" t="s">
        <v>1930</v>
      </c>
      <c r="G115" t="s">
        <v>1995</v>
      </c>
      <c r="H115" t="s">
        <v>1910</v>
      </c>
      <c r="I115"/>
      <c r="J115" t="s">
        <v>778</v>
      </c>
      <c r="K115"/>
      <c r="L115">
        <v>100</v>
      </c>
      <c r="M115">
        <v>30</v>
      </c>
      <c r="N115"/>
      <c r="O115"/>
      <c r="P115" s="31">
        <v>3</v>
      </c>
      <c r="Q115" s="232">
        <f t="shared" si="28"/>
        <v>1.5</v>
      </c>
      <c r="R115" s="40">
        <v>0.85</v>
      </c>
      <c r="S115" s="334">
        <f t="shared" si="29"/>
        <v>1.2749999999999999</v>
      </c>
      <c r="T115" s="31">
        <f>VLOOKUP(A115,'Ansvar kurs'!$A$1:$C$1010,2,FALSE)</f>
        <v>1620</v>
      </c>
      <c r="U115" s="31" t="str">
        <f>VLOOKUP(T115,Orgenheter!$A$1:$C$165,2,FALSE)</f>
        <v>Inst för språkstudier</v>
      </c>
      <c r="V115" s="31" t="str">
        <f>VLOOKUP(T115,Orgenheter!$A$1:$C$165,3,FALSE)</f>
        <v>Hum</v>
      </c>
      <c r="W115" s="37" t="str">
        <f>VLOOKUP(D115,Program!$A$1:$B$34,2,FALSE)</f>
        <v>Ämneslärarprogrammet - Gy</v>
      </c>
      <c r="X115" s="42">
        <f>VLOOKUP(A115,kurspris!$A$1:$Q$798,15,FALSE)</f>
        <v>18405</v>
      </c>
      <c r="Y115" s="42">
        <f>VLOOKUP(A115,kurspris!$A$1:$Q$798,16,FALSE)</f>
        <v>15773</v>
      </c>
      <c r="Z115" s="42">
        <f t="shared" si="30"/>
        <v>47718.074999999997</v>
      </c>
      <c r="AA115" s="42">
        <f>VLOOKUP(A115,kurspris!$A$1:$Q$798,17,FALSE)</f>
        <v>5800</v>
      </c>
      <c r="AB115" s="42">
        <f t="shared" si="31"/>
        <v>8700</v>
      </c>
      <c r="AC115" s="42">
        <f t="shared" si="32"/>
        <v>56418.074999999997</v>
      </c>
      <c r="AD115" s="31">
        <f>VLOOKUP($A115,kurspris!$A$1:$Q$835,3,FALSE)</f>
        <v>0</v>
      </c>
      <c r="AE115" s="31">
        <f>VLOOKUP($A115,kurspris!$A$1:$Q$835,4,FALSE)</f>
        <v>1</v>
      </c>
      <c r="AF115" s="31">
        <f>VLOOKUP($A115,kurspris!$A$1:$Q$835,5,FALSE)</f>
        <v>0</v>
      </c>
      <c r="AG115" s="31">
        <f>VLOOKUP($A115,kurspris!$A$1:$Q$835,6,FALSE)</f>
        <v>0</v>
      </c>
      <c r="AH115" s="31">
        <f>VLOOKUP($A115,kurspris!$A$1:$Q$835,7,FALSE)</f>
        <v>0</v>
      </c>
      <c r="AI115" s="31">
        <f>VLOOKUP($A115,kurspris!$A$1:$Q$835,8,FALSE)</f>
        <v>0</v>
      </c>
      <c r="AJ115" s="31">
        <f>VLOOKUP($A115,kurspris!$A$1:$Q$835,9,FALSE)</f>
        <v>0</v>
      </c>
      <c r="AK115" s="31">
        <f>VLOOKUP($A115,kurspris!$A$1:$Q$835,10,FALSE)</f>
        <v>0</v>
      </c>
      <c r="AL115" s="31">
        <f>VLOOKUP($A115,kurspris!$A$1:$Q$835,11,FALSE)</f>
        <v>0</v>
      </c>
      <c r="AM115" s="31">
        <f>VLOOKUP($A115,kurspris!$A$1:$Q$835,12,FALSE)</f>
        <v>0</v>
      </c>
      <c r="AN115" s="31">
        <f>VLOOKUP($A115,kurspris!$A$1:$Q$835,13,FALSE)</f>
        <v>0</v>
      </c>
      <c r="AO115" s="31">
        <f>VLOOKUP($A115,kurspris!$A$1:$Q$835,14,FALSE)</f>
        <v>0</v>
      </c>
      <c r="AP115" s="39" t="s">
        <v>2204</v>
      </c>
      <c r="AQ115"/>
      <c r="AR115" s="31">
        <f t="shared" si="33"/>
        <v>0</v>
      </c>
      <c r="AS115" s="255">
        <f t="shared" si="34"/>
        <v>0</v>
      </c>
      <c r="AT115" s="31">
        <f t="shared" si="35"/>
        <v>1.5</v>
      </c>
      <c r="AU115" s="255">
        <f t="shared" si="36"/>
        <v>1.2749999999999999</v>
      </c>
      <c r="AV115" s="31">
        <f t="shared" si="37"/>
        <v>0</v>
      </c>
      <c r="AW115" s="31">
        <f t="shared" si="38"/>
        <v>0</v>
      </c>
      <c r="AX115" s="31">
        <f t="shared" si="39"/>
        <v>0</v>
      </c>
      <c r="AY115" s="255">
        <f t="shared" si="40"/>
        <v>0</v>
      </c>
      <c r="AZ115" s="232">
        <f t="shared" si="41"/>
        <v>0</v>
      </c>
      <c r="BA115" s="255">
        <f t="shared" si="42"/>
        <v>0</v>
      </c>
      <c r="BB115" s="31">
        <f t="shared" si="43"/>
        <v>0</v>
      </c>
      <c r="BC115" s="255">
        <f t="shared" si="44"/>
        <v>0</v>
      </c>
      <c r="BD115" s="31">
        <f t="shared" si="45"/>
        <v>0</v>
      </c>
      <c r="BE115" s="255">
        <f t="shared" si="46"/>
        <v>0</v>
      </c>
      <c r="BF115" s="31">
        <f t="shared" si="47"/>
        <v>0</v>
      </c>
      <c r="BG115" s="255">
        <f t="shared" si="48"/>
        <v>0</v>
      </c>
      <c r="BH115" s="31">
        <f t="shared" si="49"/>
        <v>0</v>
      </c>
      <c r="BI115" s="255">
        <f t="shared" si="50"/>
        <v>0</v>
      </c>
      <c r="BJ115" s="31">
        <f t="shared" si="51"/>
        <v>0</v>
      </c>
      <c r="BK115" s="31">
        <f t="shared" si="52"/>
        <v>0</v>
      </c>
      <c r="BL115" s="255">
        <f t="shared" si="53"/>
        <v>0</v>
      </c>
      <c r="BM115" s="31">
        <f t="shared" si="54"/>
        <v>0</v>
      </c>
      <c r="BN115" s="255">
        <f t="shared" si="55"/>
        <v>0</v>
      </c>
    </row>
    <row r="116" spans="1:66" x14ac:dyDescent="0.25">
      <c r="A116" t="s">
        <v>1748</v>
      </c>
      <c r="B116" s="186" t="str">
        <f>VLOOKUP(A116,kurspris!$A$1:$B$877,2,FALSE)</f>
        <v>Engelska 3 för ämneslärare med inriktning mot gymnasiet</v>
      </c>
      <c r="C116"/>
      <c r="D116" t="s">
        <v>483</v>
      </c>
      <c r="E116" t="s">
        <v>1973</v>
      </c>
      <c r="F116" s="59" t="s">
        <v>1930</v>
      </c>
      <c r="G116" t="s">
        <v>1995</v>
      </c>
      <c r="H116" t="s">
        <v>1910</v>
      </c>
      <c r="I116"/>
      <c r="J116" t="s">
        <v>771</v>
      </c>
      <c r="K116"/>
      <c r="L116">
        <v>100</v>
      </c>
      <c r="M116">
        <v>30</v>
      </c>
      <c r="N116"/>
      <c r="O116"/>
      <c r="P116" s="31">
        <v>0</v>
      </c>
      <c r="Q116" s="232">
        <f t="shared" si="28"/>
        <v>0</v>
      </c>
      <c r="R116" s="40">
        <v>0.85</v>
      </c>
      <c r="S116" s="334">
        <f t="shared" si="29"/>
        <v>0</v>
      </c>
      <c r="T116" s="31">
        <f>VLOOKUP(A116,'Ansvar kurs'!$A$1:$C$1010,2,FALSE)</f>
        <v>1620</v>
      </c>
      <c r="U116" s="31" t="str">
        <f>VLOOKUP(T116,Orgenheter!$A$1:$C$165,2,FALSE)</f>
        <v>Inst för språkstudier</v>
      </c>
      <c r="V116" s="31" t="str">
        <f>VLOOKUP(T116,Orgenheter!$A$1:$C$165,3,FALSE)</f>
        <v>Hum</v>
      </c>
      <c r="W116" s="37" t="str">
        <f>VLOOKUP(D116,Program!$A$1:$B$34,2,FALSE)</f>
        <v>Ämneslärarprogrammet - Gy</v>
      </c>
      <c r="X116" s="42">
        <f>VLOOKUP(A116,kurspris!$A$1:$Q$798,15,FALSE)</f>
        <v>18405</v>
      </c>
      <c r="Y116" s="42">
        <f>VLOOKUP(A116,kurspris!$A$1:$Q$798,16,FALSE)</f>
        <v>15773</v>
      </c>
      <c r="Z116" s="42">
        <f t="shared" si="30"/>
        <v>0</v>
      </c>
      <c r="AA116" s="42">
        <f>VLOOKUP(A116,kurspris!$A$1:$Q$798,17,FALSE)</f>
        <v>5800</v>
      </c>
      <c r="AB116" s="42">
        <f t="shared" si="31"/>
        <v>0</v>
      </c>
      <c r="AC116" s="42">
        <f t="shared" si="32"/>
        <v>0</v>
      </c>
      <c r="AD116" s="31">
        <f>VLOOKUP($A116,kurspris!$A$1:$Q$835,3,FALSE)</f>
        <v>0</v>
      </c>
      <c r="AE116" s="31">
        <f>VLOOKUP($A116,kurspris!$A$1:$Q$835,4,FALSE)</f>
        <v>1</v>
      </c>
      <c r="AF116" s="31">
        <f>VLOOKUP($A116,kurspris!$A$1:$Q$835,5,FALSE)</f>
        <v>0</v>
      </c>
      <c r="AG116" s="31">
        <f>VLOOKUP($A116,kurspris!$A$1:$Q$835,6,FALSE)</f>
        <v>0</v>
      </c>
      <c r="AH116" s="31">
        <f>VLOOKUP($A116,kurspris!$A$1:$Q$835,7,FALSE)</f>
        <v>0</v>
      </c>
      <c r="AI116" s="31">
        <f>VLOOKUP($A116,kurspris!$A$1:$Q$835,8,FALSE)</f>
        <v>0</v>
      </c>
      <c r="AJ116" s="31">
        <f>VLOOKUP($A116,kurspris!$A$1:$Q$835,9,FALSE)</f>
        <v>0</v>
      </c>
      <c r="AK116" s="31">
        <f>VLOOKUP($A116,kurspris!$A$1:$Q$835,10,FALSE)</f>
        <v>0</v>
      </c>
      <c r="AL116" s="31">
        <f>VLOOKUP($A116,kurspris!$A$1:$Q$835,11,FALSE)</f>
        <v>0</v>
      </c>
      <c r="AM116" s="31">
        <f>VLOOKUP($A116,kurspris!$A$1:$Q$835,12,FALSE)</f>
        <v>0</v>
      </c>
      <c r="AN116" s="31">
        <f>VLOOKUP($A116,kurspris!$A$1:$Q$835,13,FALSE)</f>
        <v>0</v>
      </c>
      <c r="AO116" s="31">
        <f>VLOOKUP($A116,kurspris!$A$1:$Q$835,14,FALSE)</f>
        <v>0</v>
      </c>
      <c r="AP116" s="39" t="s">
        <v>2204</v>
      </c>
      <c r="AQ116"/>
      <c r="AR116" s="31">
        <f t="shared" si="33"/>
        <v>0</v>
      </c>
      <c r="AS116" s="255">
        <f t="shared" si="34"/>
        <v>0</v>
      </c>
      <c r="AT116" s="31">
        <f t="shared" si="35"/>
        <v>0</v>
      </c>
      <c r="AU116" s="255">
        <f t="shared" si="36"/>
        <v>0</v>
      </c>
      <c r="AV116" s="31">
        <f t="shared" si="37"/>
        <v>0</v>
      </c>
      <c r="AW116" s="31">
        <f t="shared" si="38"/>
        <v>0</v>
      </c>
      <c r="AX116" s="31">
        <f t="shared" si="39"/>
        <v>0</v>
      </c>
      <c r="AY116" s="255">
        <f t="shared" si="40"/>
        <v>0</v>
      </c>
      <c r="AZ116" s="232">
        <f t="shared" si="41"/>
        <v>0</v>
      </c>
      <c r="BA116" s="255">
        <f t="shared" si="42"/>
        <v>0</v>
      </c>
      <c r="BB116" s="31">
        <f t="shared" si="43"/>
        <v>0</v>
      </c>
      <c r="BC116" s="255">
        <f t="shared" si="44"/>
        <v>0</v>
      </c>
      <c r="BD116" s="31">
        <f t="shared" si="45"/>
        <v>0</v>
      </c>
      <c r="BE116" s="255">
        <f t="shared" si="46"/>
        <v>0</v>
      </c>
      <c r="BF116" s="31">
        <f t="shared" si="47"/>
        <v>0</v>
      </c>
      <c r="BG116" s="255">
        <f t="shared" si="48"/>
        <v>0</v>
      </c>
      <c r="BH116" s="31">
        <f t="shared" si="49"/>
        <v>0</v>
      </c>
      <c r="BI116" s="255">
        <f t="shared" si="50"/>
        <v>0</v>
      </c>
      <c r="BJ116" s="31">
        <f t="shared" si="51"/>
        <v>0</v>
      </c>
      <c r="BK116" s="31">
        <f t="shared" si="52"/>
        <v>0</v>
      </c>
      <c r="BL116" s="255">
        <f t="shared" si="53"/>
        <v>0</v>
      </c>
      <c r="BM116" s="31">
        <f t="shared" si="54"/>
        <v>0</v>
      </c>
      <c r="BN116" s="255">
        <f t="shared" si="55"/>
        <v>0</v>
      </c>
    </row>
    <row r="117" spans="1:66" x14ac:dyDescent="0.25">
      <c r="A117" t="s">
        <v>1748</v>
      </c>
      <c r="B117" s="186" t="str">
        <f>VLOOKUP(A117,kurspris!$A$1:$B$877,2,FALSE)</f>
        <v>Engelska 3 för ämneslärare med inriktning mot gymnasiet</v>
      </c>
      <c r="C117"/>
      <c r="D117" t="s">
        <v>483</v>
      </c>
      <c r="E117" t="s">
        <v>1609</v>
      </c>
      <c r="F117" s="59" t="s">
        <v>1930</v>
      </c>
      <c r="G117" t="s">
        <v>1995</v>
      </c>
      <c r="H117" t="s">
        <v>1910</v>
      </c>
      <c r="I117"/>
      <c r="J117" t="s">
        <v>771</v>
      </c>
      <c r="K117"/>
      <c r="L117">
        <v>100</v>
      </c>
      <c r="M117">
        <v>30</v>
      </c>
      <c r="N117"/>
      <c r="O117"/>
      <c r="P117" s="31">
        <v>17</v>
      </c>
      <c r="Q117" s="232">
        <f t="shared" si="28"/>
        <v>8.5</v>
      </c>
      <c r="R117" s="40">
        <v>0.85</v>
      </c>
      <c r="S117" s="334">
        <f t="shared" si="29"/>
        <v>7.2249999999999996</v>
      </c>
      <c r="T117" s="31">
        <f>VLOOKUP(A117,'Ansvar kurs'!$A$1:$C$1010,2,FALSE)</f>
        <v>1620</v>
      </c>
      <c r="U117" s="31" t="str">
        <f>VLOOKUP(T117,Orgenheter!$A$1:$C$165,2,FALSE)</f>
        <v>Inst för språkstudier</v>
      </c>
      <c r="V117" s="31" t="str">
        <f>VLOOKUP(T117,Orgenheter!$A$1:$C$165,3,FALSE)</f>
        <v>Hum</v>
      </c>
      <c r="W117" s="37" t="str">
        <f>VLOOKUP(D117,Program!$A$1:$B$34,2,FALSE)</f>
        <v>Ämneslärarprogrammet - Gy</v>
      </c>
      <c r="X117" s="42">
        <f>VLOOKUP(A117,kurspris!$A$1:$Q$798,15,FALSE)</f>
        <v>18405</v>
      </c>
      <c r="Y117" s="42">
        <f>VLOOKUP(A117,kurspris!$A$1:$Q$798,16,FALSE)</f>
        <v>15773</v>
      </c>
      <c r="Z117" s="42">
        <f t="shared" si="30"/>
        <v>270402.42499999999</v>
      </c>
      <c r="AA117" s="42">
        <f>VLOOKUP(A117,kurspris!$A$1:$Q$798,17,FALSE)</f>
        <v>5800</v>
      </c>
      <c r="AB117" s="42">
        <f t="shared" si="31"/>
        <v>49300</v>
      </c>
      <c r="AC117" s="42">
        <f t="shared" si="32"/>
        <v>319702.42499999999</v>
      </c>
      <c r="AD117" s="31">
        <f>VLOOKUP($A117,kurspris!$A$1:$Q$835,3,FALSE)</f>
        <v>0</v>
      </c>
      <c r="AE117" s="31">
        <f>VLOOKUP($A117,kurspris!$A$1:$Q$835,4,FALSE)</f>
        <v>1</v>
      </c>
      <c r="AF117" s="31">
        <f>VLOOKUP($A117,kurspris!$A$1:$Q$835,5,FALSE)</f>
        <v>0</v>
      </c>
      <c r="AG117" s="31">
        <f>VLOOKUP($A117,kurspris!$A$1:$Q$835,6,FALSE)</f>
        <v>0</v>
      </c>
      <c r="AH117" s="31">
        <f>VLOOKUP($A117,kurspris!$A$1:$Q$835,7,FALSE)</f>
        <v>0</v>
      </c>
      <c r="AI117" s="31">
        <f>VLOOKUP($A117,kurspris!$A$1:$Q$835,8,FALSE)</f>
        <v>0</v>
      </c>
      <c r="AJ117" s="31">
        <f>VLOOKUP($A117,kurspris!$A$1:$Q$835,9,FALSE)</f>
        <v>0</v>
      </c>
      <c r="AK117" s="31">
        <f>VLOOKUP($A117,kurspris!$A$1:$Q$835,10,FALSE)</f>
        <v>0</v>
      </c>
      <c r="AL117" s="31">
        <f>VLOOKUP($A117,kurspris!$A$1:$Q$835,11,FALSE)</f>
        <v>0</v>
      </c>
      <c r="AM117" s="31">
        <f>VLOOKUP($A117,kurspris!$A$1:$Q$835,12,FALSE)</f>
        <v>0</v>
      </c>
      <c r="AN117" s="31">
        <f>VLOOKUP($A117,kurspris!$A$1:$Q$835,13,FALSE)</f>
        <v>0</v>
      </c>
      <c r="AO117" s="31">
        <f>VLOOKUP($A117,kurspris!$A$1:$Q$835,14,FALSE)</f>
        <v>0</v>
      </c>
      <c r="AP117" s="39" t="s">
        <v>2204</v>
      </c>
      <c r="AQ117"/>
      <c r="AR117" s="31">
        <f t="shared" si="33"/>
        <v>0</v>
      </c>
      <c r="AS117" s="255">
        <f t="shared" si="34"/>
        <v>0</v>
      </c>
      <c r="AT117" s="31">
        <f t="shared" si="35"/>
        <v>8.5</v>
      </c>
      <c r="AU117" s="255">
        <f t="shared" si="36"/>
        <v>7.2249999999999996</v>
      </c>
      <c r="AV117" s="31">
        <f t="shared" si="37"/>
        <v>0</v>
      </c>
      <c r="AW117" s="31">
        <f t="shared" si="38"/>
        <v>0</v>
      </c>
      <c r="AX117" s="31">
        <f t="shared" si="39"/>
        <v>0</v>
      </c>
      <c r="AY117" s="255">
        <f t="shared" si="40"/>
        <v>0</v>
      </c>
      <c r="AZ117" s="232">
        <f t="shared" si="41"/>
        <v>0</v>
      </c>
      <c r="BA117" s="255">
        <f t="shared" si="42"/>
        <v>0</v>
      </c>
      <c r="BB117" s="31">
        <f t="shared" si="43"/>
        <v>0</v>
      </c>
      <c r="BC117" s="255">
        <f t="shared" si="44"/>
        <v>0</v>
      </c>
      <c r="BD117" s="31">
        <f t="shared" si="45"/>
        <v>0</v>
      </c>
      <c r="BE117" s="255">
        <f t="shared" si="46"/>
        <v>0</v>
      </c>
      <c r="BF117" s="31">
        <f t="shared" si="47"/>
        <v>0</v>
      </c>
      <c r="BG117" s="255">
        <f t="shared" si="48"/>
        <v>0</v>
      </c>
      <c r="BH117" s="31">
        <f t="shared" si="49"/>
        <v>0</v>
      </c>
      <c r="BI117" s="255">
        <f t="shared" si="50"/>
        <v>0</v>
      </c>
      <c r="BJ117" s="31">
        <f t="shared" si="51"/>
        <v>0</v>
      </c>
      <c r="BK117" s="31">
        <f t="shared" si="52"/>
        <v>0</v>
      </c>
      <c r="BL117" s="255">
        <f t="shared" si="53"/>
        <v>0</v>
      </c>
      <c r="BM117" s="31">
        <f t="shared" si="54"/>
        <v>0</v>
      </c>
      <c r="BN117" s="255">
        <f t="shared" si="55"/>
        <v>0</v>
      </c>
    </row>
    <row r="118" spans="1:66" x14ac:dyDescent="0.25">
      <c r="A118" s="18" t="s">
        <v>1749</v>
      </c>
      <c r="B118" s="186" t="str">
        <f>VLOOKUP(A118,kurspris!$A$1:$B$877,2,FALSE)</f>
        <v>Engelska 2 för ämneslärare med inriktning mot gymnasiet</v>
      </c>
      <c r="C118" s="37"/>
      <c r="D118" t="s">
        <v>117</v>
      </c>
      <c r="E118"/>
      <c r="F118" s="59" t="s">
        <v>1931</v>
      </c>
      <c r="G118"/>
      <c r="H118"/>
      <c r="I118" t="s">
        <v>1634</v>
      </c>
      <c r="L118">
        <v>100</v>
      </c>
      <c r="M118">
        <v>30</v>
      </c>
      <c r="P118">
        <v>2</v>
      </c>
      <c r="Q118" s="232">
        <f t="shared" si="28"/>
        <v>1</v>
      </c>
      <c r="R118" s="40">
        <v>0.8</v>
      </c>
      <c r="S118" s="334">
        <f t="shared" si="29"/>
        <v>0.8</v>
      </c>
      <c r="T118" s="31">
        <f>VLOOKUP(A118,'Ansvar kurs'!$A$1:$C$1010,2,FALSE)</f>
        <v>1620</v>
      </c>
      <c r="U118" s="31" t="str">
        <f>VLOOKUP(T118,Orgenheter!$A$1:$C$165,2,FALSE)</f>
        <v>Inst för språkstudier</v>
      </c>
      <c r="V118" s="31" t="str">
        <f>VLOOKUP(T118,Orgenheter!$A$1:$C$165,3,FALSE)</f>
        <v>Hum</v>
      </c>
      <c r="W118" s="37" t="str">
        <f>VLOOKUP(D118,Program!$A$1:$B$34,2,FALSE)</f>
        <v>Fristående och övriga kurser</v>
      </c>
      <c r="X118" s="42">
        <f>VLOOKUP(A118,kurspris!$A$1:$Q$798,15,FALSE)</f>
        <v>18405</v>
      </c>
      <c r="Y118" s="42">
        <f>VLOOKUP(A118,kurspris!$A$1:$Q$798,16,FALSE)</f>
        <v>15773</v>
      </c>
      <c r="Z118" s="42">
        <f t="shared" si="30"/>
        <v>31023.4</v>
      </c>
      <c r="AA118" s="42">
        <f>VLOOKUP(A118,kurspris!$A$1:$Q$798,17,FALSE)</f>
        <v>5800</v>
      </c>
      <c r="AB118" s="42">
        <f t="shared" si="31"/>
        <v>5800</v>
      </c>
      <c r="AC118" s="42">
        <f t="shared" si="32"/>
        <v>36823.4</v>
      </c>
      <c r="AD118" s="31">
        <f>VLOOKUP($A118,kurspris!$A$1:$Q$835,3,FALSE)</f>
        <v>0</v>
      </c>
      <c r="AE118" s="31">
        <f>VLOOKUP($A118,kurspris!$A$1:$Q$835,4,FALSE)</f>
        <v>1</v>
      </c>
      <c r="AF118" s="31">
        <f>VLOOKUP($A118,kurspris!$A$1:$Q$835,5,FALSE)</f>
        <v>0</v>
      </c>
      <c r="AG118" s="31">
        <f>VLOOKUP($A118,kurspris!$A$1:$Q$835,6,FALSE)</f>
        <v>0</v>
      </c>
      <c r="AH118" s="31">
        <f>VLOOKUP($A118,kurspris!$A$1:$Q$835,7,FALSE)</f>
        <v>0</v>
      </c>
      <c r="AI118" s="31">
        <f>VLOOKUP($A118,kurspris!$A$1:$Q$835,8,FALSE)</f>
        <v>0</v>
      </c>
      <c r="AJ118" s="31">
        <f>VLOOKUP($A118,kurspris!$A$1:$Q$835,9,FALSE)</f>
        <v>0</v>
      </c>
      <c r="AK118" s="31">
        <f>VLOOKUP($A118,kurspris!$A$1:$Q$835,10,FALSE)</f>
        <v>0</v>
      </c>
      <c r="AL118" s="31">
        <f>VLOOKUP($A118,kurspris!$A$1:$Q$835,11,FALSE)</f>
        <v>0</v>
      </c>
      <c r="AM118" s="31">
        <f>VLOOKUP($A118,kurspris!$A$1:$Q$835,12,FALSE)</f>
        <v>0</v>
      </c>
      <c r="AN118" s="31">
        <f>VLOOKUP($A118,kurspris!$A$1:$Q$835,13,FALSE)</f>
        <v>0</v>
      </c>
      <c r="AO118" s="31">
        <f>VLOOKUP($A118,kurspris!$A$1:$Q$835,14,FALSE)</f>
        <v>0</v>
      </c>
      <c r="AP118" s="39" t="s">
        <v>2095</v>
      </c>
      <c r="AQ118"/>
      <c r="AR118" s="31">
        <f t="shared" si="33"/>
        <v>0</v>
      </c>
      <c r="AS118" s="255">
        <f t="shared" si="34"/>
        <v>0</v>
      </c>
      <c r="AT118" s="31">
        <f t="shared" si="35"/>
        <v>1</v>
      </c>
      <c r="AU118" s="255">
        <f t="shared" si="36"/>
        <v>0.8</v>
      </c>
      <c r="AV118" s="31">
        <f t="shared" si="37"/>
        <v>0</v>
      </c>
      <c r="AW118" s="31">
        <f t="shared" si="38"/>
        <v>0</v>
      </c>
      <c r="AX118" s="31">
        <f t="shared" si="39"/>
        <v>0</v>
      </c>
      <c r="AY118" s="255">
        <f t="shared" si="40"/>
        <v>0</v>
      </c>
      <c r="AZ118" s="232">
        <f t="shared" si="41"/>
        <v>0</v>
      </c>
      <c r="BA118" s="255">
        <f t="shared" si="42"/>
        <v>0</v>
      </c>
      <c r="BB118" s="31">
        <f t="shared" si="43"/>
        <v>0</v>
      </c>
      <c r="BC118" s="255">
        <f t="shared" si="44"/>
        <v>0</v>
      </c>
      <c r="BD118" s="31">
        <f t="shared" si="45"/>
        <v>0</v>
      </c>
      <c r="BE118" s="255">
        <f t="shared" si="46"/>
        <v>0</v>
      </c>
      <c r="BF118" s="31">
        <f t="shared" si="47"/>
        <v>0</v>
      </c>
      <c r="BG118" s="255">
        <f t="shared" si="48"/>
        <v>0</v>
      </c>
      <c r="BH118" s="31">
        <f t="shared" si="49"/>
        <v>0</v>
      </c>
      <c r="BI118" s="255">
        <f t="shared" si="50"/>
        <v>0</v>
      </c>
      <c r="BJ118" s="31">
        <f t="shared" si="51"/>
        <v>0</v>
      </c>
      <c r="BK118" s="31">
        <f t="shared" si="52"/>
        <v>0</v>
      </c>
      <c r="BL118" s="255">
        <f t="shared" si="53"/>
        <v>0</v>
      </c>
      <c r="BM118" s="31">
        <f t="shared" si="54"/>
        <v>0</v>
      </c>
      <c r="BN118" s="255">
        <f t="shared" si="55"/>
        <v>0</v>
      </c>
    </row>
    <row r="119" spans="1:66" x14ac:dyDescent="0.25">
      <c r="A119" s="18" t="s">
        <v>1749</v>
      </c>
      <c r="B119" s="186" t="str">
        <f>VLOOKUP(A119,kurspris!$A$1:$B$877,2,FALSE)</f>
        <v>Engelska 2 för ämneslärare med inriktning mot gymnasiet</v>
      </c>
      <c r="C119" s="37"/>
      <c r="D119" s="31" t="s">
        <v>483</v>
      </c>
      <c r="E119" s="31" t="s">
        <v>1976</v>
      </c>
      <c r="F119" s="59" t="s">
        <v>1931</v>
      </c>
      <c r="G119" s="31" t="s">
        <v>2276</v>
      </c>
      <c r="J119" t="s">
        <v>771</v>
      </c>
      <c r="L119" s="31">
        <v>100</v>
      </c>
      <c r="M119" s="31">
        <v>30</v>
      </c>
      <c r="P119" s="31">
        <v>1</v>
      </c>
      <c r="Q119" s="232">
        <f t="shared" si="28"/>
        <v>0.5</v>
      </c>
      <c r="R119" s="40">
        <v>0.85</v>
      </c>
      <c r="S119" s="334">
        <f t="shared" si="29"/>
        <v>0.42499999999999999</v>
      </c>
      <c r="T119" s="31">
        <f>VLOOKUP(A119,'Ansvar kurs'!$A$1:$C$1010,2,FALSE)</f>
        <v>1620</v>
      </c>
      <c r="U119" s="31" t="str">
        <f>VLOOKUP(T119,Orgenheter!$A$1:$C$165,2,FALSE)</f>
        <v>Inst för språkstudier</v>
      </c>
      <c r="V119" s="31" t="str">
        <f>VLOOKUP(T119,Orgenheter!$A$1:$C$165,3,FALSE)</f>
        <v>Hum</v>
      </c>
      <c r="W119" s="37" t="str">
        <f>VLOOKUP(D119,Program!$A$1:$B$34,2,FALSE)</f>
        <v>Ämneslärarprogrammet - Gy</v>
      </c>
      <c r="X119" s="42">
        <f>VLOOKUP(A119,kurspris!$A$1:$Q$798,15,FALSE)</f>
        <v>18405</v>
      </c>
      <c r="Y119" s="42">
        <f>VLOOKUP(A119,kurspris!$A$1:$Q$798,16,FALSE)</f>
        <v>15773</v>
      </c>
      <c r="Z119" s="42">
        <f t="shared" si="30"/>
        <v>15906.025</v>
      </c>
      <c r="AA119" s="42">
        <f>VLOOKUP(A119,kurspris!$A$1:$Q$798,17,FALSE)</f>
        <v>5800</v>
      </c>
      <c r="AB119" s="42">
        <f t="shared" si="31"/>
        <v>2900</v>
      </c>
      <c r="AC119" s="42">
        <f t="shared" si="32"/>
        <v>18806.025000000001</v>
      </c>
      <c r="AD119" s="31">
        <f>VLOOKUP($A119,kurspris!$A$1:$Q$835,3,FALSE)</f>
        <v>0</v>
      </c>
      <c r="AE119" s="31">
        <f>VLOOKUP($A119,kurspris!$A$1:$Q$835,4,FALSE)</f>
        <v>1</v>
      </c>
      <c r="AF119" s="31">
        <f>VLOOKUP($A119,kurspris!$A$1:$Q$835,5,FALSE)</f>
        <v>0</v>
      </c>
      <c r="AG119" s="31">
        <f>VLOOKUP($A119,kurspris!$A$1:$Q$835,6,FALSE)</f>
        <v>0</v>
      </c>
      <c r="AH119" s="31">
        <f>VLOOKUP($A119,kurspris!$A$1:$Q$835,7,FALSE)</f>
        <v>0</v>
      </c>
      <c r="AI119" s="31">
        <f>VLOOKUP($A119,kurspris!$A$1:$Q$835,8,FALSE)</f>
        <v>0</v>
      </c>
      <c r="AJ119" s="31">
        <f>VLOOKUP($A119,kurspris!$A$1:$Q$835,9,FALSE)</f>
        <v>0</v>
      </c>
      <c r="AK119" s="31">
        <f>VLOOKUP($A119,kurspris!$A$1:$Q$835,10,FALSE)</f>
        <v>0</v>
      </c>
      <c r="AL119" s="31">
        <f>VLOOKUP($A119,kurspris!$A$1:$Q$835,11,FALSE)</f>
        <v>0</v>
      </c>
      <c r="AM119" s="31">
        <f>VLOOKUP($A119,kurspris!$A$1:$Q$835,12,FALSE)</f>
        <v>0</v>
      </c>
      <c r="AN119" s="31">
        <f>VLOOKUP($A119,kurspris!$A$1:$Q$835,13,FALSE)</f>
        <v>0</v>
      </c>
      <c r="AO119" s="31">
        <f>VLOOKUP($A119,kurspris!$A$1:$Q$835,14,FALSE)</f>
        <v>0</v>
      </c>
      <c r="AP119" s="39" t="s">
        <v>2326</v>
      </c>
      <c r="AQ119"/>
      <c r="AR119" s="31">
        <f t="shared" si="33"/>
        <v>0</v>
      </c>
      <c r="AS119" s="255">
        <f t="shared" si="34"/>
        <v>0</v>
      </c>
      <c r="AT119" s="31">
        <f t="shared" si="35"/>
        <v>0.5</v>
      </c>
      <c r="AU119" s="255">
        <f t="shared" si="36"/>
        <v>0.42499999999999999</v>
      </c>
      <c r="AV119" s="31">
        <f t="shared" si="37"/>
        <v>0</v>
      </c>
      <c r="AW119" s="31">
        <f t="shared" si="38"/>
        <v>0</v>
      </c>
      <c r="AX119" s="31">
        <f t="shared" si="39"/>
        <v>0</v>
      </c>
      <c r="AY119" s="255">
        <f t="shared" si="40"/>
        <v>0</v>
      </c>
      <c r="AZ119" s="232">
        <f t="shared" si="41"/>
        <v>0</v>
      </c>
      <c r="BA119" s="255">
        <f t="shared" si="42"/>
        <v>0</v>
      </c>
      <c r="BB119" s="31">
        <f t="shared" si="43"/>
        <v>0</v>
      </c>
      <c r="BC119" s="255">
        <f t="shared" si="44"/>
        <v>0</v>
      </c>
      <c r="BD119" s="31">
        <f t="shared" si="45"/>
        <v>0</v>
      </c>
      <c r="BE119" s="255">
        <f t="shared" si="46"/>
        <v>0</v>
      </c>
      <c r="BF119" s="31">
        <f t="shared" si="47"/>
        <v>0</v>
      </c>
      <c r="BG119" s="255">
        <f t="shared" si="48"/>
        <v>0</v>
      </c>
      <c r="BH119" s="31">
        <f t="shared" si="49"/>
        <v>0</v>
      </c>
      <c r="BI119" s="255">
        <f t="shared" si="50"/>
        <v>0</v>
      </c>
      <c r="BJ119" s="31">
        <f t="shared" si="51"/>
        <v>0</v>
      </c>
      <c r="BK119" s="31">
        <f t="shared" si="52"/>
        <v>0</v>
      </c>
      <c r="BL119" s="255">
        <f t="shared" si="53"/>
        <v>0</v>
      </c>
      <c r="BM119" s="31">
        <f t="shared" si="54"/>
        <v>0</v>
      </c>
      <c r="BN119" s="255">
        <f t="shared" si="55"/>
        <v>0</v>
      </c>
    </row>
    <row r="120" spans="1:66" x14ac:dyDescent="0.25">
      <c r="A120" s="18" t="s">
        <v>1749</v>
      </c>
      <c r="B120" s="186" t="str">
        <f>VLOOKUP(A120,kurspris!$A$1:$B$877,2,FALSE)</f>
        <v>Engelska 2 för ämneslärare med inriktning mot gymnasiet</v>
      </c>
      <c r="C120" s="37"/>
      <c r="D120" s="31" t="s">
        <v>483</v>
      </c>
      <c r="E120" s="31" t="s">
        <v>1973</v>
      </c>
      <c r="F120" s="59" t="s">
        <v>1931</v>
      </c>
      <c r="G120" s="31" t="s">
        <v>2276</v>
      </c>
      <c r="J120" t="s">
        <v>1591</v>
      </c>
      <c r="L120" s="31">
        <v>100</v>
      </c>
      <c r="M120" s="31">
        <v>30</v>
      </c>
      <c r="P120" s="31">
        <v>1</v>
      </c>
      <c r="Q120" s="232">
        <f t="shared" si="28"/>
        <v>0.5</v>
      </c>
      <c r="R120" s="40">
        <v>0.85</v>
      </c>
      <c r="S120" s="334">
        <f t="shared" si="29"/>
        <v>0.42499999999999999</v>
      </c>
      <c r="T120" s="31">
        <f>VLOOKUP(A120,'Ansvar kurs'!$A$1:$C$1010,2,FALSE)</f>
        <v>1620</v>
      </c>
      <c r="U120" s="31" t="str">
        <f>VLOOKUP(T120,Orgenheter!$A$1:$C$165,2,FALSE)</f>
        <v>Inst för språkstudier</v>
      </c>
      <c r="V120" s="31" t="str">
        <f>VLOOKUP(T120,Orgenheter!$A$1:$C$165,3,FALSE)</f>
        <v>Hum</v>
      </c>
      <c r="W120" s="37" t="str">
        <f>VLOOKUP(D120,Program!$A$1:$B$34,2,FALSE)</f>
        <v>Ämneslärarprogrammet - Gy</v>
      </c>
      <c r="X120" s="42">
        <f>VLOOKUP(A120,kurspris!$A$1:$Q$798,15,FALSE)</f>
        <v>18405</v>
      </c>
      <c r="Y120" s="42">
        <f>VLOOKUP(A120,kurspris!$A$1:$Q$798,16,FALSE)</f>
        <v>15773</v>
      </c>
      <c r="Z120" s="42">
        <f t="shared" si="30"/>
        <v>15906.025</v>
      </c>
      <c r="AA120" s="42">
        <f>VLOOKUP(A120,kurspris!$A$1:$Q$798,17,FALSE)</f>
        <v>5800</v>
      </c>
      <c r="AB120" s="42">
        <f t="shared" si="31"/>
        <v>2900</v>
      </c>
      <c r="AC120" s="42">
        <f t="shared" si="32"/>
        <v>18806.025000000001</v>
      </c>
      <c r="AD120" s="31">
        <f>VLOOKUP($A120,kurspris!$A$1:$Q$835,3,FALSE)</f>
        <v>0</v>
      </c>
      <c r="AE120" s="31">
        <f>VLOOKUP($A120,kurspris!$A$1:$Q$835,4,FALSE)</f>
        <v>1</v>
      </c>
      <c r="AF120" s="31">
        <f>VLOOKUP($A120,kurspris!$A$1:$Q$835,5,FALSE)</f>
        <v>0</v>
      </c>
      <c r="AG120" s="31">
        <f>VLOOKUP($A120,kurspris!$A$1:$Q$835,6,FALSE)</f>
        <v>0</v>
      </c>
      <c r="AH120" s="31">
        <f>VLOOKUP($A120,kurspris!$A$1:$Q$835,7,FALSE)</f>
        <v>0</v>
      </c>
      <c r="AI120" s="31">
        <f>VLOOKUP($A120,kurspris!$A$1:$Q$835,8,FALSE)</f>
        <v>0</v>
      </c>
      <c r="AJ120" s="31">
        <f>VLOOKUP($A120,kurspris!$A$1:$Q$835,9,FALSE)</f>
        <v>0</v>
      </c>
      <c r="AK120" s="31">
        <f>VLOOKUP($A120,kurspris!$A$1:$Q$835,10,FALSE)</f>
        <v>0</v>
      </c>
      <c r="AL120" s="31">
        <f>VLOOKUP($A120,kurspris!$A$1:$Q$835,11,FALSE)</f>
        <v>0</v>
      </c>
      <c r="AM120" s="31">
        <f>VLOOKUP($A120,kurspris!$A$1:$Q$835,12,FALSE)</f>
        <v>0</v>
      </c>
      <c r="AN120" s="31">
        <f>VLOOKUP($A120,kurspris!$A$1:$Q$835,13,FALSE)</f>
        <v>0</v>
      </c>
      <c r="AO120" s="31">
        <f>VLOOKUP($A120,kurspris!$A$1:$Q$835,14,FALSE)</f>
        <v>0</v>
      </c>
      <c r="AP120" s="39" t="s">
        <v>2326</v>
      </c>
      <c r="AQ120"/>
      <c r="AR120" s="31">
        <f t="shared" si="33"/>
        <v>0</v>
      </c>
      <c r="AS120" s="255">
        <f t="shared" si="34"/>
        <v>0</v>
      </c>
      <c r="AT120" s="31">
        <f t="shared" si="35"/>
        <v>0.5</v>
      </c>
      <c r="AU120" s="255">
        <f t="shared" si="36"/>
        <v>0.42499999999999999</v>
      </c>
      <c r="AV120" s="31">
        <f t="shared" si="37"/>
        <v>0</v>
      </c>
      <c r="AW120" s="31">
        <f t="shared" si="38"/>
        <v>0</v>
      </c>
      <c r="AX120" s="31">
        <f t="shared" si="39"/>
        <v>0</v>
      </c>
      <c r="AY120" s="255">
        <f t="shared" si="40"/>
        <v>0</v>
      </c>
      <c r="AZ120" s="232">
        <f t="shared" si="41"/>
        <v>0</v>
      </c>
      <c r="BA120" s="255">
        <f t="shared" si="42"/>
        <v>0</v>
      </c>
      <c r="BB120" s="31">
        <f t="shared" si="43"/>
        <v>0</v>
      </c>
      <c r="BC120" s="255">
        <f t="shared" si="44"/>
        <v>0</v>
      </c>
      <c r="BD120" s="31">
        <f t="shared" si="45"/>
        <v>0</v>
      </c>
      <c r="BE120" s="255">
        <f t="shared" si="46"/>
        <v>0</v>
      </c>
      <c r="BF120" s="31">
        <f t="shared" si="47"/>
        <v>0</v>
      </c>
      <c r="BG120" s="255">
        <f t="shared" si="48"/>
        <v>0</v>
      </c>
      <c r="BH120" s="31">
        <f t="shared" si="49"/>
        <v>0</v>
      </c>
      <c r="BI120" s="255">
        <f t="shared" si="50"/>
        <v>0</v>
      </c>
      <c r="BJ120" s="31">
        <f t="shared" si="51"/>
        <v>0</v>
      </c>
      <c r="BK120" s="31">
        <f t="shared" si="52"/>
        <v>0</v>
      </c>
      <c r="BL120" s="255">
        <f t="shared" si="53"/>
        <v>0</v>
      </c>
      <c r="BM120" s="31">
        <f t="shared" si="54"/>
        <v>0</v>
      </c>
      <c r="BN120" s="255">
        <f t="shared" si="55"/>
        <v>0</v>
      </c>
    </row>
    <row r="121" spans="1:66" x14ac:dyDescent="0.25">
      <c r="A121" s="18" t="s">
        <v>1749</v>
      </c>
      <c r="B121" s="186" t="str">
        <f>VLOOKUP(A121,kurspris!$A$1:$B$877,2,FALSE)</f>
        <v>Engelska 2 för ämneslärare med inriktning mot gymnasiet</v>
      </c>
      <c r="C121" s="37"/>
      <c r="D121" s="31" t="s">
        <v>483</v>
      </c>
      <c r="E121" s="31" t="s">
        <v>1973</v>
      </c>
      <c r="F121" s="59" t="s">
        <v>1931</v>
      </c>
      <c r="G121" s="31" t="s">
        <v>2276</v>
      </c>
      <c r="J121" t="s">
        <v>773</v>
      </c>
      <c r="L121" s="31">
        <v>100</v>
      </c>
      <c r="M121" s="31">
        <v>30</v>
      </c>
      <c r="P121" s="31">
        <v>3</v>
      </c>
      <c r="Q121" s="232">
        <f t="shared" si="28"/>
        <v>1.5</v>
      </c>
      <c r="R121" s="40">
        <v>0.85</v>
      </c>
      <c r="S121" s="334">
        <f t="shared" si="29"/>
        <v>1.2749999999999999</v>
      </c>
      <c r="T121" s="31">
        <f>VLOOKUP(A121,'Ansvar kurs'!$A$1:$C$1010,2,FALSE)</f>
        <v>1620</v>
      </c>
      <c r="U121" s="31" t="str">
        <f>VLOOKUP(T121,Orgenheter!$A$1:$C$165,2,FALSE)</f>
        <v>Inst för språkstudier</v>
      </c>
      <c r="V121" s="31" t="str">
        <f>VLOOKUP(T121,Orgenheter!$A$1:$C$165,3,FALSE)</f>
        <v>Hum</v>
      </c>
      <c r="W121" s="37" t="str">
        <f>VLOOKUP(D121,Program!$A$1:$B$34,2,FALSE)</f>
        <v>Ämneslärarprogrammet - Gy</v>
      </c>
      <c r="X121" s="42">
        <f>VLOOKUP(A121,kurspris!$A$1:$Q$798,15,FALSE)</f>
        <v>18405</v>
      </c>
      <c r="Y121" s="42">
        <f>VLOOKUP(A121,kurspris!$A$1:$Q$798,16,FALSE)</f>
        <v>15773</v>
      </c>
      <c r="Z121" s="42">
        <f t="shared" si="30"/>
        <v>47718.074999999997</v>
      </c>
      <c r="AA121" s="42">
        <f>VLOOKUP(A121,kurspris!$A$1:$Q$798,17,FALSE)</f>
        <v>5800</v>
      </c>
      <c r="AB121" s="42">
        <f t="shared" si="31"/>
        <v>8700</v>
      </c>
      <c r="AC121" s="42">
        <f t="shared" si="32"/>
        <v>56418.074999999997</v>
      </c>
      <c r="AD121" s="31">
        <f>VLOOKUP($A121,kurspris!$A$1:$Q$835,3,FALSE)</f>
        <v>0</v>
      </c>
      <c r="AE121" s="31">
        <f>VLOOKUP($A121,kurspris!$A$1:$Q$835,4,FALSE)</f>
        <v>1</v>
      </c>
      <c r="AF121" s="31">
        <f>VLOOKUP($A121,kurspris!$A$1:$Q$835,5,FALSE)</f>
        <v>0</v>
      </c>
      <c r="AG121" s="31">
        <f>VLOOKUP($A121,kurspris!$A$1:$Q$835,6,FALSE)</f>
        <v>0</v>
      </c>
      <c r="AH121" s="31">
        <f>VLOOKUP($A121,kurspris!$A$1:$Q$835,7,FALSE)</f>
        <v>0</v>
      </c>
      <c r="AI121" s="31">
        <f>VLOOKUP($A121,kurspris!$A$1:$Q$835,8,FALSE)</f>
        <v>0</v>
      </c>
      <c r="AJ121" s="31">
        <f>VLOOKUP($A121,kurspris!$A$1:$Q$835,9,FALSE)</f>
        <v>0</v>
      </c>
      <c r="AK121" s="31">
        <f>VLOOKUP($A121,kurspris!$A$1:$Q$835,10,FALSE)</f>
        <v>0</v>
      </c>
      <c r="AL121" s="31">
        <f>VLOOKUP($A121,kurspris!$A$1:$Q$835,11,FALSE)</f>
        <v>0</v>
      </c>
      <c r="AM121" s="31">
        <f>VLOOKUP($A121,kurspris!$A$1:$Q$835,12,FALSE)</f>
        <v>0</v>
      </c>
      <c r="AN121" s="31">
        <f>VLOOKUP($A121,kurspris!$A$1:$Q$835,13,FALSE)</f>
        <v>0</v>
      </c>
      <c r="AO121" s="31">
        <f>VLOOKUP($A121,kurspris!$A$1:$Q$835,14,FALSE)</f>
        <v>0</v>
      </c>
      <c r="AP121" s="39" t="s">
        <v>2326</v>
      </c>
      <c r="AQ121"/>
      <c r="AR121" s="31">
        <f t="shared" si="33"/>
        <v>0</v>
      </c>
      <c r="AS121" s="255">
        <f t="shared" si="34"/>
        <v>0</v>
      </c>
      <c r="AT121" s="31">
        <f t="shared" si="35"/>
        <v>1.5</v>
      </c>
      <c r="AU121" s="255">
        <f t="shared" si="36"/>
        <v>1.2749999999999999</v>
      </c>
      <c r="AV121" s="31">
        <f t="shared" si="37"/>
        <v>0</v>
      </c>
      <c r="AW121" s="31">
        <f t="shared" si="38"/>
        <v>0</v>
      </c>
      <c r="AX121" s="31">
        <f t="shared" si="39"/>
        <v>0</v>
      </c>
      <c r="AY121" s="255">
        <f t="shared" si="40"/>
        <v>0</v>
      </c>
      <c r="AZ121" s="232">
        <f t="shared" si="41"/>
        <v>0</v>
      </c>
      <c r="BA121" s="255">
        <f t="shared" si="42"/>
        <v>0</v>
      </c>
      <c r="BB121" s="31">
        <f t="shared" si="43"/>
        <v>0</v>
      </c>
      <c r="BC121" s="255">
        <f t="shared" si="44"/>
        <v>0</v>
      </c>
      <c r="BD121" s="31">
        <f t="shared" si="45"/>
        <v>0</v>
      </c>
      <c r="BE121" s="255">
        <f t="shared" si="46"/>
        <v>0</v>
      </c>
      <c r="BF121" s="31">
        <f t="shared" si="47"/>
        <v>0</v>
      </c>
      <c r="BG121" s="255">
        <f t="shared" si="48"/>
        <v>0</v>
      </c>
      <c r="BH121" s="31">
        <f t="shared" si="49"/>
        <v>0</v>
      </c>
      <c r="BI121" s="255">
        <f t="shared" si="50"/>
        <v>0</v>
      </c>
      <c r="BJ121" s="31">
        <f t="shared" si="51"/>
        <v>0</v>
      </c>
      <c r="BK121" s="31">
        <f t="shared" si="52"/>
        <v>0</v>
      </c>
      <c r="BL121" s="255">
        <f t="shared" si="53"/>
        <v>0</v>
      </c>
      <c r="BM121" s="31">
        <f t="shared" si="54"/>
        <v>0</v>
      </c>
      <c r="BN121" s="255">
        <f t="shared" si="55"/>
        <v>0</v>
      </c>
    </row>
    <row r="122" spans="1:66" x14ac:dyDescent="0.25">
      <c r="A122" s="18" t="s">
        <v>1749</v>
      </c>
      <c r="B122" s="186" t="str">
        <f>VLOOKUP(A122,kurspris!$A$1:$B$877,2,FALSE)</f>
        <v>Engelska 2 för ämneslärare med inriktning mot gymnasiet</v>
      </c>
      <c r="C122" s="37"/>
      <c r="D122" s="31" t="s">
        <v>483</v>
      </c>
      <c r="E122" s="31" t="s">
        <v>1973</v>
      </c>
      <c r="F122" s="59" t="s">
        <v>1931</v>
      </c>
      <c r="G122" s="31" t="s">
        <v>2276</v>
      </c>
      <c r="J122" t="s">
        <v>774</v>
      </c>
      <c r="L122" s="31">
        <v>100</v>
      </c>
      <c r="M122" s="31">
        <v>30</v>
      </c>
      <c r="P122" s="31">
        <v>1</v>
      </c>
      <c r="Q122" s="232">
        <f t="shared" si="28"/>
        <v>0.5</v>
      </c>
      <c r="R122" s="40">
        <v>0.85</v>
      </c>
      <c r="S122" s="334">
        <f t="shared" si="29"/>
        <v>0.42499999999999999</v>
      </c>
      <c r="T122" s="31">
        <f>VLOOKUP(A122,'Ansvar kurs'!$A$1:$C$1010,2,FALSE)</f>
        <v>1620</v>
      </c>
      <c r="U122" s="31" t="str">
        <f>VLOOKUP(T122,Orgenheter!$A$1:$C$165,2,FALSE)</f>
        <v>Inst för språkstudier</v>
      </c>
      <c r="V122" s="31" t="str">
        <f>VLOOKUP(T122,Orgenheter!$A$1:$C$165,3,FALSE)</f>
        <v>Hum</v>
      </c>
      <c r="W122" s="37" t="str">
        <f>VLOOKUP(D122,Program!$A$1:$B$34,2,FALSE)</f>
        <v>Ämneslärarprogrammet - Gy</v>
      </c>
      <c r="X122" s="42">
        <f>VLOOKUP(A122,kurspris!$A$1:$Q$798,15,FALSE)</f>
        <v>18405</v>
      </c>
      <c r="Y122" s="42">
        <f>VLOOKUP(A122,kurspris!$A$1:$Q$798,16,FALSE)</f>
        <v>15773</v>
      </c>
      <c r="Z122" s="42">
        <f t="shared" si="30"/>
        <v>15906.025</v>
      </c>
      <c r="AA122" s="42">
        <f>VLOOKUP(A122,kurspris!$A$1:$Q$798,17,FALSE)</f>
        <v>5800</v>
      </c>
      <c r="AB122" s="42">
        <f t="shared" si="31"/>
        <v>2900</v>
      </c>
      <c r="AC122" s="42">
        <f t="shared" si="32"/>
        <v>18806.025000000001</v>
      </c>
      <c r="AD122" s="31">
        <f>VLOOKUP($A122,kurspris!$A$1:$Q$835,3,FALSE)</f>
        <v>0</v>
      </c>
      <c r="AE122" s="31">
        <f>VLOOKUP($A122,kurspris!$A$1:$Q$835,4,FALSE)</f>
        <v>1</v>
      </c>
      <c r="AF122" s="31">
        <f>VLOOKUP($A122,kurspris!$A$1:$Q$835,5,FALSE)</f>
        <v>0</v>
      </c>
      <c r="AG122" s="31">
        <f>VLOOKUP($A122,kurspris!$A$1:$Q$835,6,FALSE)</f>
        <v>0</v>
      </c>
      <c r="AH122" s="31">
        <f>VLOOKUP($A122,kurspris!$A$1:$Q$835,7,FALSE)</f>
        <v>0</v>
      </c>
      <c r="AI122" s="31">
        <f>VLOOKUP($A122,kurspris!$A$1:$Q$835,8,FALSE)</f>
        <v>0</v>
      </c>
      <c r="AJ122" s="31">
        <f>VLOOKUP($A122,kurspris!$A$1:$Q$835,9,FALSE)</f>
        <v>0</v>
      </c>
      <c r="AK122" s="31">
        <f>VLOOKUP($A122,kurspris!$A$1:$Q$835,10,FALSE)</f>
        <v>0</v>
      </c>
      <c r="AL122" s="31">
        <f>VLOOKUP($A122,kurspris!$A$1:$Q$835,11,FALSE)</f>
        <v>0</v>
      </c>
      <c r="AM122" s="31">
        <f>VLOOKUP($A122,kurspris!$A$1:$Q$835,12,FALSE)</f>
        <v>0</v>
      </c>
      <c r="AN122" s="31">
        <f>VLOOKUP($A122,kurspris!$A$1:$Q$835,13,FALSE)</f>
        <v>0</v>
      </c>
      <c r="AO122" s="31">
        <f>VLOOKUP($A122,kurspris!$A$1:$Q$835,14,FALSE)</f>
        <v>0</v>
      </c>
      <c r="AP122" s="39" t="s">
        <v>2326</v>
      </c>
      <c r="AQ122"/>
      <c r="AR122" s="31">
        <f t="shared" si="33"/>
        <v>0</v>
      </c>
      <c r="AS122" s="255">
        <f t="shared" si="34"/>
        <v>0</v>
      </c>
      <c r="AT122" s="31">
        <f t="shared" si="35"/>
        <v>0.5</v>
      </c>
      <c r="AU122" s="255">
        <f t="shared" si="36"/>
        <v>0.42499999999999999</v>
      </c>
      <c r="AV122" s="31">
        <f t="shared" si="37"/>
        <v>0</v>
      </c>
      <c r="AW122" s="31">
        <f t="shared" si="38"/>
        <v>0</v>
      </c>
      <c r="AX122" s="31">
        <f t="shared" si="39"/>
        <v>0</v>
      </c>
      <c r="AY122" s="255">
        <f t="shared" si="40"/>
        <v>0</v>
      </c>
      <c r="AZ122" s="232">
        <f t="shared" si="41"/>
        <v>0</v>
      </c>
      <c r="BA122" s="255">
        <f t="shared" si="42"/>
        <v>0</v>
      </c>
      <c r="BB122" s="31">
        <f t="shared" si="43"/>
        <v>0</v>
      </c>
      <c r="BC122" s="255">
        <f t="shared" si="44"/>
        <v>0</v>
      </c>
      <c r="BD122" s="31">
        <f t="shared" si="45"/>
        <v>0</v>
      </c>
      <c r="BE122" s="255">
        <f t="shared" si="46"/>
        <v>0</v>
      </c>
      <c r="BF122" s="31">
        <f t="shared" si="47"/>
        <v>0</v>
      </c>
      <c r="BG122" s="255">
        <f t="shared" si="48"/>
        <v>0</v>
      </c>
      <c r="BH122" s="31">
        <f t="shared" si="49"/>
        <v>0</v>
      </c>
      <c r="BI122" s="255">
        <f t="shared" si="50"/>
        <v>0</v>
      </c>
      <c r="BJ122" s="31">
        <f t="shared" si="51"/>
        <v>0</v>
      </c>
      <c r="BK122" s="31">
        <f t="shared" si="52"/>
        <v>0</v>
      </c>
      <c r="BL122" s="255">
        <f t="shared" si="53"/>
        <v>0</v>
      </c>
      <c r="BM122" s="31">
        <f t="shared" si="54"/>
        <v>0</v>
      </c>
      <c r="BN122" s="255">
        <f t="shared" si="55"/>
        <v>0</v>
      </c>
    </row>
    <row r="123" spans="1:66" x14ac:dyDescent="0.25">
      <c r="A123" s="18" t="s">
        <v>1749</v>
      </c>
      <c r="B123" s="186" t="str">
        <f>VLOOKUP(A123,kurspris!$A$1:$B$877,2,FALSE)</f>
        <v>Engelska 2 för ämneslärare med inriktning mot gymnasiet</v>
      </c>
      <c r="C123" s="37"/>
      <c r="D123" s="31" t="s">
        <v>483</v>
      </c>
      <c r="E123" s="31" t="s">
        <v>1973</v>
      </c>
      <c r="F123" s="59" t="s">
        <v>1931</v>
      </c>
      <c r="G123" s="31" t="s">
        <v>2276</v>
      </c>
      <c r="J123" t="s">
        <v>1803</v>
      </c>
      <c r="L123" s="31">
        <v>100</v>
      </c>
      <c r="M123" s="31">
        <v>30</v>
      </c>
      <c r="P123" s="31">
        <v>1</v>
      </c>
      <c r="Q123" s="232">
        <f t="shared" si="28"/>
        <v>0.5</v>
      </c>
      <c r="R123" s="40">
        <v>0.85</v>
      </c>
      <c r="S123" s="334">
        <f t="shared" si="29"/>
        <v>0.42499999999999999</v>
      </c>
      <c r="T123" s="31">
        <f>VLOOKUP(A123,'Ansvar kurs'!$A$1:$C$1010,2,FALSE)</f>
        <v>1620</v>
      </c>
      <c r="U123" s="31" t="str">
        <f>VLOOKUP(T123,Orgenheter!$A$1:$C$165,2,FALSE)</f>
        <v>Inst för språkstudier</v>
      </c>
      <c r="V123" s="31" t="str">
        <f>VLOOKUP(T123,Orgenheter!$A$1:$C$165,3,FALSE)</f>
        <v>Hum</v>
      </c>
      <c r="W123" s="37" t="str">
        <f>VLOOKUP(D123,Program!$A$1:$B$34,2,FALSE)</f>
        <v>Ämneslärarprogrammet - Gy</v>
      </c>
      <c r="X123" s="42">
        <f>VLOOKUP(A123,kurspris!$A$1:$Q$798,15,FALSE)</f>
        <v>18405</v>
      </c>
      <c r="Y123" s="42">
        <f>VLOOKUP(A123,kurspris!$A$1:$Q$798,16,FALSE)</f>
        <v>15773</v>
      </c>
      <c r="Z123" s="42">
        <f t="shared" si="30"/>
        <v>15906.025</v>
      </c>
      <c r="AA123" s="42">
        <f>VLOOKUP(A123,kurspris!$A$1:$Q$798,17,FALSE)</f>
        <v>5800</v>
      </c>
      <c r="AB123" s="42">
        <f t="shared" si="31"/>
        <v>2900</v>
      </c>
      <c r="AC123" s="42">
        <f t="shared" si="32"/>
        <v>18806.025000000001</v>
      </c>
      <c r="AD123" s="31">
        <f>VLOOKUP($A123,kurspris!$A$1:$Q$835,3,FALSE)</f>
        <v>0</v>
      </c>
      <c r="AE123" s="31">
        <f>VLOOKUP($A123,kurspris!$A$1:$Q$835,4,FALSE)</f>
        <v>1</v>
      </c>
      <c r="AF123" s="31">
        <f>VLOOKUP($A123,kurspris!$A$1:$Q$835,5,FALSE)</f>
        <v>0</v>
      </c>
      <c r="AG123" s="31">
        <f>VLOOKUP($A123,kurspris!$A$1:$Q$835,6,FALSE)</f>
        <v>0</v>
      </c>
      <c r="AH123" s="31">
        <f>VLOOKUP($A123,kurspris!$A$1:$Q$835,7,FALSE)</f>
        <v>0</v>
      </c>
      <c r="AI123" s="31">
        <f>VLOOKUP($A123,kurspris!$A$1:$Q$835,8,FALSE)</f>
        <v>0</v>
      </c>
      <c r="AJ123" s="31">
        <f>VLOOKUP($A123,kurspris!$A$1:$Q$835,9,FALSE)</f>
        <v>0</v>
      </c>
      <c r="AK123" s="31">
        <f>VLOOKUP($A123,kurspris!$A$1:$Q$835,10,FALSE)</f>
        <v>0</v>
      </c>
      <c r="AL123" s="31">
        <f>VLOOKUP($A123,kurspris!$A$1:$Q$835,11,FALSE)</f>
        <v>0</v>
      </c>
      <c r="AM123" s="31">
        <f>VLOOKUP($A123,kurspris!$A$1:$Q$835,12,FALSE)</f>
        <v>0</v>
      </c>
      <c r="AN123" s="31">
        <f>VLOOKUP($A123,kurspris!$A$1:$Q$835,13,FALSE)</f>
        <v>0</v>
      </c>
      <c r="AO123" s="31">
        <f>VLOOKUP($A123,kurspris!$A$1:$Q$835,14,FALSE)</f>
        <v>0</v>
      </c>
      <c r="AP123" s="39" t="s">
        <v>2326</v>
      </c>
      <c r="AQ123"/>
      <c r="AR123" s="31">
        <f t="shared" si="33"/>
        <v>0</v>
      </c>
      <c r="AS123" s="255">
        <f t="shared" si="34"/>
        <v>0</v>
      </c>
      <c r="AT123" s="31">
        <f t="shared" si="35"/>
        <v>0.5</v>
      </c>
      <c r="AU123" s="255">
        <f t="shared" si="36"/>
        <v>0.42499999999999999</v>
      </c>
      <c r="AV123" s="31">
        <f t="shared" si="37"/>
        <v>0</v>
      </c>
      <c r="AW123" s="31">
        <f t="shared" si="38"/>
        <v>0</v>
      </c>
      <c r="AX123" s="31">
        <f t="shared" si="39"/>
        <v>0</v>
      </c>
      <c r="AY123" s="255">
        <f t="shared" si="40"/>
        <v>0</v>
      </c>
      <c r="AZ123" s="232">
        <f t="shared" si="41"/>
        <v>0</v>
      </c>
      <c r="BA123" s="255">
        <f t="shared" si="42"/>
        <v>0</v>
      </c>
      <c r="BB123" s="31">
        <f t="shared" si="43"/>
        <v>0</v>
      </c>
      <c r="BC123" s="255">
        <f t="shared" si="44"/>
        <v>0</v>
      </c>
      <c r="BD123" s="31">
        <f t="shared" si="45"/>
        <v>0</v>
      </c>
      <c r="BE123" s="255">
        <f t="shared" si="46"/>
        <v>0</v>
      </c>
      <c r="BF123" s="31">
        <f t="shared" si="47"/>
        <v>0</v>
      </c>
      <c r="BG123" s="255">
        <f t="shared" si="48"/>
        <v>0</v>
      </c>
      <c r="BH123" s="31">
        <f t="shared" si="49"/>
        <v>0</v>
      </c>
      <c r="BI123" s="255">
        <f t="shared" si="50"/>
        <v>0</v>
      </c>
      <c r="BJ123" s="31">
        <f t="shared" si="51"/>
        <v>0</v>
      </c>
      <c r="BK123" s="31">
        <f t="shared" si="52"/>
        <v>0</v>
      </c>
      <c r="BL123" s="255">
        <f t="shared" si="53"/>
        <v>0</v>
      </c>
      <c r="BM123" s="31">
        <f t="shared" si="54"/>
        <v>0</v>
      </c>
      <c r="BN123" s="255">
        <f t="shared" si="55"/>
        <v>0</v>
      </c>
    </row>
    <row r="124" spans="1:66" x14ac:dyDescent="0.25">
      <c r="A124" s="18" t="s">
        <v>1749</v>
      </c>
      <c r="B124" s="186" t="str">
        <f>VLOOKUP(A124,kurspris!$A$1:$B$877,2,FALSE)</f>
        <v>Engelska 2 för ämneslärare med inriktning mot gymnasiet</v>
      </c>
      <c r="C124" s="37"/>
      <c r="D124" s="31" t="s">
        <v>483</v>
      </c>
      <c r="E124" s="31" t="s">
        <v>1973</v>
      </c>
      <c r="F124" s="59" t="s">
        <v>1931</v>
      </c>
      <c r="G124" s="31" t="s">
        <v>2276</v>
      </c>
      <c r="J124" t="s">
        <v>778</v>
      </c>
      <c r="L124" s="31">
        <v>100</v>
      </c>
      <c r="M124" s="31">
        <v>30</v>
      </c>
      <c r="P124" s="31">
        <v>1</v>
      </c>
      <c r="Q124" s="232">
        <f t="shared" si="28"/>
        <v>0.5</v>
      </c>
      <c r="R124" s="40">
        <v>0.85</v>
      </c>
      <c r="S124" s="334">
        <f t="shared" si="29"/>
        <v>0.42499999999999999</v>
      </c>
      <c r="T124" s="31">
        <f>VLOOKUP(A124,'Ansvar kurs'!$A$1:$C$1010,2,FALSE)</f>
        <v>1620</v>
      </c>
      <c r="U124" s="31" t="str">
        <f>VLOOKUP(T124,Orgenheter!$A$1:$C$165,2,FALSE)</f>
        <v>Inst för språkstudier</v>
      </c>
      <c r="V124" s="31" t="str">
        <f>VLOOKUP(T124,Orgenheter!$A$1:$C$165,3,FALSE)</f>
        <v>Hum</v>
      </c>
      <c r="W124" s="37" t="str">
        <f>VLOOKUP(D124,Program!$A$1:$B$34,2,FALSE)</f>
        <v>Ämneslärarprogrammet - Gy</v>
      </c>
      <c r="X124" s="42">
        <f>VLOOKUP(A124,kurspris!$A$1:$Q$798,15,FALSE)</f>
        <v>18405</v>
      </c>
      <c r="Y124" s="42">
        <f>VLOOKUP(A124,kurspris!$A$1:$Q$798,16,FALSE)</f>
        <v>15773</v>
      </c>
      <c r="Z124" s="42">
        <f t="shared" si="30"/>
        <v>15906.025</v>
      </c>
      <c r="AA124" s="42">
        <f>VLOOKUP(A124,kurspris!$A$1:$Q$798,17,FALSE)</f>
        <v>5800</v>
      </c>
      <c r="AB124" s="42">
        <f t="shared" si="31"/>
        <v>2900</v>
      </c>
      <c r="AC124" s="42">
        <f t="shared" si="32"/>
        <v>18806.025000000001</v>
      </c>
      <c r="AD124" s="31">
        <f>VLOOKUP($A124,kurspris!$A$1:$Q$835,3,FALSE)</f>
        <v>0</v>
      </c>
      <c r="AE124" s="31">
        <f>VLOOKUP($A124,kurspris!$A$1:$Q$835,4,FALSE)</f>
        <v>1</v>
      </c>
      <c r="AF124" s="31">
        <f>VLOOKUP($A124,kurspris!$A$1:$Q$835,5,FALSE)</f>
        <v>0</v>
      </c>
      <c r="AG124" s="31">
        <f>VLOOKUP($A124,kurspris!$A$1:$Q$835,6,FALSE)</f>
        <v>0</v>
      </c>
      <c r="AH124" s="31">
        <f>VLOOKUP($A124,kurspris!$A$1:$Q$835,7,FALSE)</f>
        <v>0</v>
      </c>
      <c r="AI124" s="31">
        <f>VLOOKUP($A124,kurspris!$A$1:$Q$835,8,FALSE)</f>
        <v>0</v>
      </c>
      <c r="AJ124" s="31">
        <f>VLOOKUP($A124,kurspris!$A$1:$Q$835,9,FALSE)</f>
        <v>0</v>
      </c>
      <c r="AK124" s="31">
        <f>VLOOKUP($A124,kurspris!$A$1:$Q$835,10,FALSE)</f>
        <v>0</v>
      </c>
      <c r="AL124" s="31">
        <f>VLOOKUP($A124,kurspris!$A$1:$Q$835,11,FALSE)</f>
        <v>0</v>
      </c>
      <c r="AM124" s="31">
        <f>VLOOKUP($A124,kurspris!$A$1:$Q$835,12,FALSE)</f>
        <v>0</v>
      </c>
      <c r="AN124" s="31">
        <f>VLOOKUP($A124,kurspris!$A$1:$Q$835,13,FALSE)</f>
        <v>0</v>
      </c>
      <c r="AO124" s="31">
        <f>VLOOKUP($A124,kurspris!$A$1:$Q$835,14,FALSE)</f>
        <v>0</v>
      </c>
      <c r="AP124" s="39" t="s">
        <v>2326</v>
      </c>
      <c r="AQ124"/>
      <c r="AR124" s="31">
        <f t="shared" si="33"/>
        <v>0</v>
      </c>
      <c r="AS124" s="255">
        <f t="shared" si="34"/>
        <v>0</v>
      </c>
      <c r="AT124" s="31">
        <f t="shared" si="35"/>
        <v>0.5</v>
      </c>
      <c r="AU124" s="255">
        <f t="shared" si="36"/>
        <v>0.42499999999999999</v>
      </c>
      <c r="AV124" s="31">
        <f t="shared" si="37"/>
        <v>0</v>
      </c>
      <c r="AW124" s="31">
        <f t="shared" si="38"/>
        <v>0</v>
      </c>
      <c r="AX124" s="31">
        <f t="shared" si="39"/>
        <v>0</v>
      </c>
      <c r="AY124" s="255">
        <f t="shared" si="40"/>
        <v>0</v>
      </c>
      <c r="AZ124" s="232">
        <f t="shared" si="41"/>
        <v>0</v>
      </c>
      <c r="BA124" s="255">
        <f t="shared" si="42"/>
        <v>0</v>
      </c>
      <c r="BB124" s="31">
        <f t="shared" si="43"/>
        <v>0</v>
      </c>
      <c r="BC124" s="255">
        <f t="shared" si="44"/>
        <v>0</v>
      </c>
      <c r="BD124" s="31">
        <f t="shared" si="45"/>
        <v>0</v>
      </c>
      <c r="BE124" s="255">
        <f t="shared" si="46"/>
        <v>0</v>
      </c>
      <c r="BF124" s="31">
        <f t="shared" si="47"/>
        <v>0</v>
      </c>
      <c r="BG124" s="255">
        <f t="shared" si="48"/>
        <v>0</v>
      </c>
      <c r="BH124" s="31">
        <f t="shared" si="49"/>
        <v>0</v>
      </c>
      <c r="BI124" s="255">
        <f t="shared" si="50"/>
        <v>0</v>
      </c>
      <c r="BJ124" s="31">
        <f t="shared" si="51"/>
        <v>0</v>
      </c>
      <c r="BK124" s="31">
        <f t="shared" si="52"/>
        <v>0</v>
      </c>
      <c r="BL124" s="255">
        <f t="shared" si="53"/>
        <v>0</v>
      </c>
      <c r="BM124" s="31">
        <f t="shared" si="54"/>
        <v>0</v>
      </c>
      <c r="BN124" s="255">
        <f t="shared" si="55"/>
        <v>0</v>
      </c>
    </row>
    <row r="125" spans="1:66" x14ac:dyDescent="0.25">
      <c r="A125" s="18" t="s">
        <v>1749</v>
      </c>
      <c r="B125" s="186" t="str">
        <f>VLOOKUP(A125,kurspris!$A$1:$B$877,2,FALSE)</f>
        <v>Engelska 2 för ämneslärare med inriktning mot gymnasiet</v>
      </c>
      <c r="C125" s="37"/>
      <c r="D125" s="31" t="s">
        <v>483</v>
      </c>
      <c r="E125" s="31" t="s">
        <v>1973</v>
      </c>
      <c r="F125" s="59" t="s">
        <v>1931</v>
      </c>
      <c r="G125" s="31" t="s">
        <v>2276</v>
      </c>
      <c r="J125" t="s">
        <v>1592</v>
      </c>
      <c r="L125" s="31">
        <v>100</v>
      </c>
      <c r="M125" s="31">
        <v>30</v>
      </c>
      <c r="P125" s="31">
        <v>1</v>
      </c>
      <c r="Q125" s="232">
        <f t="shared" si="28"/>
        <v>0.5</v>
      </c>
      <c r="R125" s="40">
        <v>0.85</v>
      </c>
      <c r="S125" s="334">
        <f t="shared" si="29"/>
        <v>0.42499999999999999</v>
      </c>
      <c r="T125" s="31">
        <f>VLOOKUP(A125,'Ansvar kurs'!$A$1:$C$1010,2,FALSE)</f>
        <v>1620</v>
      </c>
      <c r="U125" s="31" t="str">
        <f>VLOOKUP(T125,Orgenheter!$A$1:$C$165,2,FALSE)</f>
        <v>Inst för språkstudier</v>
      </c>
      <c r="V125" s="31" t="str">
        <f>VLOOKUP(T125,Orgenheter!$A$1:$C$165,3,FALSE)</f>
        <v>Hum</v>
      </c>
      <c r="W125" s="37" t="str">
        <f>VLOOKUP(D125,Program!$A$1:$B$34,2,FALSE)</f>
        <v>Ämneslärarprogrammet - Gy</v>
      </c>
      <c r="X125" s="42">
        <f>VLOOKUP(A125,kurspris!$A$1:$Q$798,15,FALSE)</f>
        <v>18405</v>
      </c>
      <c r="Y125" s="42">
        <f>VLOOKUP(A125,kurspris!$A$1:$Q$798,16,FALSE)</f>
        <v>15773</v>
      </c>
      <c r="Z125" s="42">
        <f t="shared" si="30"/>
        <v>15906.025</v>
      </c>
      <c r="AA125" s="42">
        <f>VLOOKUP(A125,kurspris!$A$1:$Q$798,17,FALSE)</f>
        <v>5800</v>
      </c>
      <c r="AB125" s="42">
        <f t="shared" si="31"/>
        <v>2900</v>
      </c>
      <c r="AC125" s="42">
        <f t="shared" si="32"/>
        <v>18806.025000000001</v>
      </c>
      <c r="AD125" s="31">
        <f>VLOOKUP($A125,kurspris!$A$1:$Q$835,3,FALSE)</f>
        <v>0</v>
      </c>
      <c r="AE125" s="31">
        <f>VLOOKUP($A125,kurspris!$A$1:$Q$835,4,FALSE)</f>
        <v>1</v>
      </c>
      <c r="AF125" s="31">
        <f>VLOOKUP($A125,kurspris!$A$1:$Q$835,5,FALSE)</f>
        <v>0</v>
      </c>
      <c r="AG125" s="31">
        <f>VLOOKUP($A125,kurspris!$A$1:$Q$835,6,FALSE)</f>
        <v>0</v>
      </c>
      <c r="AH125" s="31">
        <f>VLOOKUP($A125,kurspris!$A$1:$Q$835,7,FALSE)</f>
        <v>0</v>
      </c>
      <c r="AI125" s="31">
        <f>VLOOKUP($A125,kurspris!$A$1:$Q$835,8,FALSE)</f>
        <v>0</v>
      </c>
      <c r="AJ125" s="31">
        <f>VLOOKUP($A125,kurspris!$A$1:$Q$835,9,FALSE)</f>
        <v>0</v>
      </c>
      <c r="AK125" s="31">
        <f>VLOOKUP($A125,kurspris!$A$1:$Q$835,10,FALSE)</f>
        <v>0</v>
      </c>
      <c r="AL125" s="31">
        <f>VLOOKUP($A125,kurspris!$A$1:$Q$835,11,FALSE)</f>
        <v>0</v>
      </c>
      <c r="AM125" s="31">
        <f>VLOOKUP($A125,kurspris!$A$1:$Q$835,12,FALSE)</f>
        <v>0</v>
      </c>
      <c r="AN125" s="31">
        <f>VLOOKUP($A125,kurspris!$A$1:$Q$835,13,FALSE)</f>
        <v>0</v>
      </c>
      <c r="AO125" s="31">
        <f>VLOOKUP($A125,kurspris!$A$1:$Q$835,14,FALSE)</f>
        <v>0</v>
      </c>
      <c r="AP125" s="39" t="s">
        <v>2326</v>
      </c>
      <c r="AQ125"/>
      <c r="AR125" s="31">
        <f t="shared" si="33"/>
        <v>0</v>
      </c>
      <c r="AS125" s="255">
        <f t="shared" si="34"/>
        <v>0</v>
      </c>
      <c r="AT125" s="31">
        <f t="shared" si="35"/>
        <v>0.5</v>
      </c>
      <c r="AU125" s="255">
        <f t="shared" si="36"/>
        <v>0.42499999999999999</v>
      </c>
      <c r="AV125" s="31">
        <f t="shared" si="37"/>
        <v>0</v>
      </c>
      <c r="AW125" s="31">
        <f t="shared" si="38"/>
        <v>0</v>
      </c>
      <c r="AX125" s="31">
        <f t="shared" si="39"/>
        <v>0</v>
      </c>
      <c r="AY125" s="255">
        <f t="shared" si="40"/>
        <v>0</v>
      </c>
      <c r="AZ125" s="232">
        <f t="shared" si="41"/>
        <v>0</v>
      </c>
      <c r="BA125" s="255">
        <f t="shared" si="42"/>
        <v>0</v>
      </c>
      <c r="BB125" s="31">
        <f t="shared" si="43"/>
        <v>0</v>
      </c>
      <c r="BC125" s="255">
        <f t="shared" si="44"/>
        <v>0</v>
      </c>
      <c r="BD125" s="31">
        <f t="shared" si="45"/>
        <v>0</v>
      </c>
      <c r="BE125" s="255">
        <f t="shared" si="46"/>
        <v>0</v>
      </c>
      <c r="BF125" s="31">
        <f t="shared" si="47"/>
        <v>0</v>
      </c>
      <c r="BG125" s="255">
        <f t="shared" si="48"/>
        <v>0</v>
      </c>
      <c r="BH125" s="31">
        <f t="shared" si="49"/>
        <v>0</v>
      </c>
      <c r="BI125" s="255">
        <f t="shared" si="50"/>
        <v>0</v>
      </c>
      <c r="BJ125" s="31">
        <f t="shared" si="51"/>
        <v>0</v>
      </c>
      <c r="BK125" s="31">
        <f t="shared" si="52"/>
        <v>0</v>
      </c>
      <c r="BL125" s="255">
        <f t="shared" si="53"/>
        <v>0</v>
      </c>
      <c r="BM125" s="31">
        <f t="shared" si="54"/>
        <v>0</v>
      </c>
      <c r="BN125" s="255">
        <f t="shared" si="55"/>
        <v>0</v>
      </c>
    </row>
    <row r="126" spans="1:66" x14ac:dyDescent="0.25">
      <c r="A126" s="18" t="s">
        <v>1749</v>
      </c>
      <c r="B126" s="186" t="str">
        <f>VLOOKUP(A126,kurspris!$A$1:$B$877,2,FALSE)</f>
        <v>Engelska 2 för ämneslärare med inriktning mot gymnasiet</v>
      </c>
      <c r="C126" s="37"/>
      <c r="D126" s="31" t="s">
        <v>483</v>
      </c>
      <c r="E126" s="31" t="s">
        <v>1973</v>
      </c>
      <c r="F126" s="59" t="s">
        <v>1931</v>
      </c>
      <c r="G126" s="31" t="s">
        <v>2276</v>
      </c>
      <c r="J126" t="s">
        <v>1593</v>
      </c>
      <c r="L126" s="31">
        <v>100</v>
      </c>
      <c r="M126" s="31">
        <v>30</v>
      </c>
      <c r="P126" s="31">
        <v>1</v>
      </c>
      <c r="Q126" s="232">
        <f t="shared" si="28"/>
        <v>0.5</v>
      </c>
      <c r="R126" s="40">
        <v>0.85</v>
      </c>
      <c r="S126" s="334">
        <f t="shared" si="29"/>
        <v>0.42499999999999999</v>
      </c>
      <c r="T126" s="31">
        <f>VLOOKUP(A126,'Ansvar kurs'!$A$1:$C$1010,2,FALSE)</f>
        <v>1620</v>
      </c>
      <c r="U126" s="31" t="str">
        <f>VLOOKUP(T126,Orgenheter!$A$1:$C$165,2,FALSE)</f>
        <v>Inst för språkstudier</v>
      </c>
      <c r="V126" s="31" t="str">
        <f>VLOOKUP(T126,Orgenheter!$A$1:$C$165,3,FALSE)</f>
        <v>Hum</v>
      </c>
      <c r="W126" s="37" t="str">
        <f>VLOOKUP(D126,Program!$A$1:$B$34,2,FALSE)</f>
        <v>Ämneslärarprogrammet - Gy</v>
      </c>
      <c r="X126" s="42">
        <f>VLOOKUP(A126,kurspris!$A$1:$Q$798,15,FALSE)</f>
        <v>18405</v>
      </c>
      <c r="Y126" s="42">
        <f>VLOOKUP(A126,kurspris!$A$1:$Q$798,16,FALSE)</f>
        <v>15773</v>
      </c>
      <c r="Z126" s="42">
        <f t="shared" si="30"/>
        <v>15906.025</v>
      </c>
      <c r="AA126" s="42">
        <f>VLOOKUP(A126,kurspris!$A$1:$Q$798,17,FALSE)</f>
        <v>5800</v>
      </c>
      <c r="AB126" s="42">
        <f t="shared" si="31"/>
        <v>2900</v>
      </c>
      <c r="AC126" s="42">
        <f t="shared" si="32"/>
        <v>18806.025000000001</v>
      </c>
      <c r="AD126" s="31">
        <f>VLOOKUP($A126,kurspris!$A$1:$Q$835,3,FALSE)</f>
        <v>0</v>
      </c>
      <c r="AE126" s="31">
        <f>VLOOKUP($A126,kurspris!$A$1:$Q$835,4,FALSE)</f>
        <v>1</v>
      </c>
      <c r="AF126" s="31">
        <f>VLOOKUP($A126,kurspris!$A$1:$Q$835,5,FALSE)</f>
        <v>0</v>
      </c>
      <c r="AG126" s="31">
        <f>VLOOKUP($A126,kurspris!$A$1:$Q$835,6,FALSE)</f>
        <v>0</v>
      </c>
      <c r="AH126" s="31">
        <f>VLOOKUP($A126,kurspris!$A$1:$Q$835,7,FALSE)</f>
        <v>0</v>
      </c>
      <c r="AI126" s="31">
        <f>VLOOKUP($A126,kurspris!$A$1:$Q$835,8,FALSE)</f>
        <v>0</v>
      </c>
      <c r="AJ126" s="31">
        <f>VLOOKUP($A126,kurspris!$A$1:$Q$835,9,FALSE)</f>
        <v>0</v>
      </c>
      <c r="AK126" s="31">
        <f>VLOOKUP($A126,kurspris!$A$1:$Q$835,10,FALSE)</f>
        <v>0</v>
      </c>
      <c r="AL126" s="31">
        <f>VLOOKUP($A126,kurspris!$A$1:$Q$835,11,FALSE)</f>
        <v>0</v>
      </c>
      <c r="AM126" s="31">
        <f>VLOOKUP($A126,kurspris!$A$1:$Q$835,12,FALSE)</f>
        <v>0</v>
      </c>
      <c r="AN126" s="31">
        <f>VLOOKUP($A126,kurspris!$A$1:$Q$835,13,FALSE)</f>
        <v>0</v>
      </c>
      <c r="AO126" s="31">
        <f>VLOOKUP($A126,kurspris!$A$1:$Q$835,14,FALSE)</f>
        <v>0</v>
      </c>
      <c r="AP126" s="39" t="s">
        <v>2326</v>
      </c>
      <c r="AQ126"/>
      <c r="AR126" s="31">
        <f t="shared" si="33"/>
        <v>0</v>
      </c>
      <c r="AS126" s="255">
        <f t="shared" si="34"/>
        <v>0</v>
      </c>
      <c r="AT126" s="31">
        <f t="shared" si="35"/>
        <v>0.5</v>
      </c>
      <c r="AU126" s="255">
        <f t="shared" si="36"/>
        <v>0.42499999999999999</v>
      </c>
      <c r="AV126" s="31">
        <f t="shared" si="37"/>
        <v>0</v>
      </c>
      <c r="AW126" s="31">
        <f t="shared" si="38"/>
        <v>0</v>
      </c>
      <c r="AX126" s="31">
        <f t="shared" si="39"/>
        <v>0</v>
      </c>
      <c r="AY126" s="255">
        <f t="shared" si="40"/>
        <v>0</v>
      </c>
      <c r="AZ126" s="232">
        <f t="shared" si="41"/>
        <v>0</v>
      </c>
      <c r="BA126" s="255">
        <f t="shared" si="42"/>
        <v>0</v>
      </c>
      <c r="BB126" s="31">
        <f t="shared" si="43"/>
        <v>0</v>
      </c>
      <c r="BC126" s="255">
        <f t="shared" si="44"/>
        <v>0</v>
      </c>
      <c r="BD126" s="31">
        <f t="shared" si="45"/>
        <v>0</v>
      </c>
      <c r="BE126" s="255">
        <f t="shared" si="46"/>
        <v>0</v>
      </c>
      <c r="BF126" s="31">
        <f t="shared" si="47"/>
        <v>0</v>
      </c>
      <c r="BG126" s="255">
        <f t="shared" si="48"/>
        <v>0</v>
      </c>
      <c r="BH126" s="31">
        <f t="shared" si="49"/>
        <v>0</v>
      </c>
      <c r="BI126" s="255">
        <f t="shared" si="50"/>
        <v>0</v>
      </c>
      <c r="BJ126" s="31">
        <f t="shared" si="51"/>
        <v>0</v>
      </c>
      <c r="BK126" s="31">
        <f t="shared" si="52"/>
        <v>0</v>
      </c>
      <c r="BL126" s="255">
        <f t="shared" si="53"/>
        <v>0</v>
      </c>
      <c r="BM126" s="31">
        <f t="shared" si="54"/>
        <v>0</v>
      </c>
      <c r="BN126" s="255">
        <f t="shared" si="55"/>
        <v>0</v>
      </c>
    </row>
    <row r="127" spans="1:66" x14ac:dyDescent="0.25">
      <c r="A127" s="18" t="s">
        <v>1749</v>
      </c>
      <c r="B127" s="186" t="str">
        <f>VLOOKUP(A127,kurspris!$A$1:$B$877,2,FALSE)</f>
        <v>Engelska 2 för ämneslärare med inriktning mot gymnasiet</v>
      </c>
      <c r="C127" s="37"/>
      <c r="D127" s="31" t="s">
        <v>483</v>
      </c>
      <c r="E127" s="31" t="s">
        <v>1609</v>
      </c>
      <c r="F127" s="59" t="s">
        <v>1931</v>
      </c>
      <c r="G127" s="31" t="s">
        <v>2276</v>
      </c>
      <c r="J127" t="s">
        <v>771</v>
      </c>
      <c r="L127" s="31">
        <v>100</v>
      </c>
      <c r="M127" s="31">
        <v>30</v>
      </c>
      <c r="P127" s="31">
        <v>2</v>
      </c>
      <c r="Q127" s="232">
        <f t="shared" si="28"/>
        <v>1</v>
      </c>
      <c r="R127" s="40">
        <v>0.85</v>
      </c>
      <c r="S127" s="334">
        <f t="shared" si="29"/>
        <v>0.85</v>
      </c>
      <c r="T127" s="31">
        <f>VLOOKUP(A127,'Ansvar kurs'!$A$1:$C$1010,2,FALSE)</f>
        <v>1620</v>
      </c>
      <c r="U127" s="31" t="str">
        <f>VLOOKUP(T127,Orgenheter!$A$1:$C$165,2,FALSE)</f>
        <v>Inst för språkstudier</v>
      </c>
      <c r="V127" s="31" t="str">
        <f>VLOOKUP(T127,Orgenheter!$A$1:$C$165,3,FALSE)</f>
        <v>Hum</v>
      </c>
      <c r="W127" s="37" t="str">
        <f>VLOOKUP(D127,Program!$A$1:$B$34,2,FALSE)</f>
        <v>Ämneslärarprogrammet - Gy</v>
      </c>
      <c r="X127" s="42">
        <f>VLOOKUP(A127,kurspris!$A$1:$Q$798,15,FALSE)</f>
        <v>18405</v>
      </c>
      <c r="Y127" s="42">
        <f>VLOOKUP(A127,kurspris!$A$1:$Q$798,16,FALSE)</f>
        <v>15773</v>
      </c>
      <c r="Z127" s="42">
        <f t="shared" si="30"/>
        <v>31812.05</v>
      </c>
      <c r="AA127" s="42">
        <f>VLOOKUP(A127,kurspris!$A$1:$Q$798,17,FALSE)</f>
        <v>5800</v>
      </c>
      <c r="AB127" s="42">
        <f t="shared" si="31"/>
        <v>5800</v>
      </c>
      <c r="AC127" s="42">
        <f t="shared" si="32"/>
        <v>37612.050000000003</v>
      </c>
      <c r="AD127" s="31">
        <f>VLOOKUP($A127,kurspris!$A$1:$Q$835,3,FALSE)</f>
        <v>0</v>
      </c>
      <c r="AE127" s="31">
        <f>VLOOKUP($A127,kurspris!$A$1:$Q$835,4,FALSE)</f>
        <v>1</v>
      </c>
      <c r="AF127" s="31">
        <f>VLOOKUP($A127,kurspris!$A$1:$Q$835,5,FALSE)</f>
        <v>0</v>
      </c>
      <c r="AG127" s="31">
        <f>VLOOKUP($A127,kurspris!$A$1:$Q$835,6,FALSE)</f>
        <v>0</v>
      </c>
      <c r="AH127" s="31">
        <f>VLOOKUP($A127,kurspris!$A$1:$Q$835,7,FALSE)</f>
        <v>0</v>
      </c>
      <c r="AI127" s="31">
        <f>VLOOKUP($A127,kurspris!$A$1:$Q$835,8,FALSE)</f>
        <v>0</v>
      </c>
      <c r="AJ127" s="31">
        <f>VLOOKUP($A127,kurspris!$A$1:$Q$835,9,FALSE)</f>
        <v>0</v>
      </c>
      <c r="AK127" s="31">
        <f>VLOOKUP($A127,kurspris!$A$1:$Q$835,10,FALSE)</f>
        <v>0</v>
      </c>
      <c r="AL127" s="31">
        <f>VLOOKUP($A127,kurspris!$A$1:$Q$835,11,FALSE)</f>
        <v>0</v>
      </c>
      <c r="AM127" s="31">
        <f>VLOOKUP($A127,kurspris!$A$1:$Q$835,12,FALSE)</f>
        <v>0</v>
      </c>
      <c r="AN127" s="31">
        <f>VLOOKUP($A127,kurspris!$A$1:$Q$835,13,FALSE)</f>
        <v>0</v>
      </c>
      <c r="AO127" s="31">
        <f>VLOOKUP($A127,kurspris!$A$1:$Q$835,14,FALSE)</f>
        <v>0</v>
      </c>
      <c r="AP127" s="39" t="s">
        <v>2326</v>
      </c>
      <c r="AQ127"/>
      <c r="AR127" s="31">
        <f t="shared" si="33"/>
        <v>0</v>
      </c>
      <c r="AS127" s="255">
        <f t="shared" si="34"/>
        <v>0</v>
      </c>
      <c r="AT127" s="31">
        <f t="shared" si="35"/>
        <v>1</v>
      </c>
      <c r="AU127" s="255">
        <f t="shared" si="36"/>
        <v>0.85</v>
      </c>
      <c r="AV127" s="31">
        <f t="shared" si="37"/>
        <v>0</v>
      </c>
      <c r="AW127" s="31">
        <f t="shared" si="38"/>
        <v>0</v>
      </c>
      <c r="AX127" s="31">
        <f t="shared" si="39"/>
        <v>0</v>
      </c>
      <c r="AY127" s="255">
        <f t="shared" si="40"/>
        <v>0</v>
      </c>
      <c r="AZ127" s="232">
        <f t="shared" si="41"/>
        <v>0</v>
      </c>
      <c r="BA127" s="255">
        <f t="shared" si="42"/>
        <v>0</v>
      </c>
      <c r="BB127" s="31">
        <f t="shared" si="43"/>
        <v>0</v>
      </c>
      <c r="BC127" s="255">
        <f t="shared" si="44"/>
        <v>0</v>
      </c>
      <c r="BD127" s="31">
        <f t="shared" si="45"/>
        <v>0</v>
      </c>
      <c r="BE127" s="255">
        <f t="shared" si="46"/>
        <v>0</v>
      </c>
      <c r="BF127" s="31">
        <f t="shared" si="47"/>
        <v>0</v>
      </c>
      <c r="BG127" s="255">
        <f t="shared" si="48"/>
        <v>0</v>
      </c>
      <c r="BH127" s="31">
        <f t="shared" si="49"/>
        <v>0</v>
      </c>
      <c r="BI127" s="255">
        <f t="shared" si="50"/>
        <v>0</v>
      </c>
      <c r="BJ127" s="31">
        <f t="shared" si="51"/>
        <v>0</v>
      </c>
      <c r="BK127" s="31">
        <f t="shared" si="52"/>
        <v>0</v>
      </c>
      <c r="BL127" s="255">
        <f t="shared" si="53"/>
        <v>0</v>
      </c>
      <c r="BM127" s="31">
        <f t="shared" si="54"/>
        <v>0</v>
      </c>
      <c r="BN127" s="255">
        <f t="shared" si="55"/>
        <v>0</v>
      </c>
    </row>
    <row r="128" spans="1:66" x14ac:dyDescent="0.25">
      <c r="A128" s="18" t="s">
        <v>1749</v>
      </c>
      <c r="B128" s="186" t="str">
        <f>VLOOKUP(A128,kurspris!$A$1:$B$877,2,FALSE)</f>
        <v>Engelska 2 för ämneslärare med inriktning mot gymnasiet</v>
      </c>
      <c r="C128" s="37"/>
      <c r="D128" s="31" t="s">
        <v>483</v>
      </c>
      <c r="E128" s="31" t="s">
        <v>1788</v>
      </c>
      <c r="F128" s="59" t="s">
        <v>1931</v>
      </c>
      <c r="G128" s="31" t="s">
        <v>2276</v>
      </c>
      <c r="J128" t="s">
        <v>771</v>
      </c>
      <c r="L128" s="31">
        <v>100</v>
      </c>
      <c r="M128" s="31">
        <v>30</v>
      </c>
      <c r="P128" s="31">
        <v>26</v>
      </c>
      <c r="Q128" s="232">
        <f t="shared" si="28"/>
        <v>13</v>
      </c>
      <c r="R128" s="40">
        <v>0.85</v>
      </c>
      <c r="S128" s="334">
        <f t="shared" si="29"/>
        <v>11.049999999999999</v>
      </c>
      <c r="T128" s="31">
        <f>VLOOKUP(A128,'Ansvar kurs'!$A$1:$C$1010,2,FALSE)</f>
        <v>1620</v>
      </c>
      <c r="U128" s="31" t="str">
        <f>VLOOKUP(T128,Orgenheter!$A$1:$C$165,2,FALSE)</f>
        <v>Inst för språkstudier</v>
      </c>
      <c r="V128" s="31" t="str">
        <f>VLOOKUP(T128,Orgenheter!$A$1:$C$165,3,FALSE)</f>
        <v>Hum</v>
      </c>
      <c r="W128" s="37" t="str">
        <f>VLOOKUP(D128,Program!$A$1:$B$34,2,FALSE)</f>
        <v>Ämneslärarprogrammet - Gy</v>
      </c>
      <c r="X128" s="42">
        <f>VLOOKUP(A128,kurspris!$A$1:$Q$798,15,FALSE)</f>
        <v>18405</v>
      </c>
      <c r="Y128" s="42">
        <f>VLOOKUP(A128,kurspris!$A$1:$Q$798,16,FALSE)</f>
        <v>15773</v>
      </c>
      <c r="Z128" s="42">
        <f t="shared" si="30"/>
        <v>413556.65</v>
      </c>
      <c r="AA128" s="42">
        <f>VLOOKUP(A128,kurspris!$A$1:$Q$798,17,FALSE)</f>
        <v>5800</v>
      </c>
      <c r="AB128" s="42">
        <f t="shared" si="31"/>
        <v>75400</v>
      </c>
      <c r="AC128" s="42">
        <f t="shared" si="32"/>
        <v>488956.65</v>
      </c>
      <c r="AD128" s="31">
        <f>VLOOKUP($A128,kurspris!$A$1:$Q$835,3,FALSE)</f>
        <v>0</v>
      </c>
      <c r="AE128" s="31">
        <f>VLOOKUP($A128,kurspris!$A$1:$Q$835,4,FALSE)</f>
        <v>1</v>
      </c>
      <c r="AF128" s="31">
        <f>VLOOKUP($A128,kurspris!$A$1:$Q$835,5,FALSE)</f>
        <v>0</v>
      </c>
      <c r="AG128" s="31">
        <f>VLOOKUP($A128,kurspris!$A$1:$Q$835,6,FALSE)</f>
        <v>0</v>
      </c>
      <c r="AH128" s="31">
        <f>VLOOKUP($A128,kurspris!$A$1:$Q$835,7,FALSE)</f>
        <v>0</v>
      </c>
      <c r="AI128" s="31">
        <f>VLOOKUP($A128,kurspris!$A$1:$Q$835,8,FALSE)</f>
        <v>0</v>
      </c>
      <c r="AJ128" s="31">
        <f>VLOOKUP($A128,kurspris!$A$1:$Q$835,9,FALSE)</f>
        <v>0</v>
      </c>
      <c r="AK128" s="31">
        <f>VLOOKUP($A128,kurspris!$A$1:$Q$835,10,FALSE)</f>
        <v>0</v>
      </c>
      <c r="AL128" s="31">
        <f>VLOOKUP($A128,kurspris!$A$1:$Q$835,11,FALSE)</f>
        <v>0</v>
      </c>
      <c r="AM128" s="31">
        <f>VLOOKUP($A128,kurspris!$A$1:$Q$835,12,FALSE)</f>
        <v>0</v>
      </c>
      <c r="AN128" s="31">
        <f>VLOOKUP($A128,kurspris!$A$1:$Q$835,13,FALSE)</f>
        <v>0</v>
      </c>
      <c r="AO128" s="31">
        <f>VLOOKUP($A128,kurspris!$A$1:$Q$835,14,FALSE)</f>
        <v>0</v>
      </c>
      <c r="AP128" s="39" t="s">
        <v>2326</v>
      </c>
      <c r="AQ128"/>
      <c r="AR128" s="31">
        <f t="shared" si="33"/>
        <v>0</v>
      </c>
      <c r="AS128" s="255">
        <f t="shared" si="34"/>
        <v>0</v>
      </c>
      <c r="AT128" s="31">
        <f t="shared" si="35"/>
        <v>13</v>
      </c>
      <c r="AU128" s="255">
        <f t="shared" si="36"/>
        <v>11.049999999999999</v>
      </c>
      <c r="AV128" s="31">
        <f t="shared" si="37"/>
        <v>0</v>
      </c>
      <c r="AW128" s="31">
        <f t="shared" si="38"/>
        <v>0</v>
      </c>
      <c r="AX128" s="31">
        <f t="shared" si="39"/>
        <v>0</v>
      </c>
      <c r="AY128" s="255">
        <f t="shared" si="40"/>
        <v>0</v>
      </c>
      <c r="AZ128" s="232">
        <f t="shared" si="41"/>
        <v>0</v>
      </c>
      <c r="BA128" s="255">
        <f t="shared" si="42"/>
        <v>0</v>
      </c>
      <c r="BB128" s="31">
        <f t="shared" si="43"/>
        <v>0</v>
      </c>
      <c r="BC128" s="255">
        <f t="shared" si="44"/>
        <v>0</v>
      </c>
      <c r="BD128" s="31">
        <f t="shared" si="45"/>
        <v>0</v>
      </c>
      <c r="BE128" s="255">
        <f t="shared" si="46"/>
        <v>0</v>
      </c>
      <c r="BF128" s="31">
        <f t="shared" si="47"/>
        <v>0</v>
      </c>
      <c r="BG128" s="255">
        <f t="shared" si="48"/>
        <v>0</v>
      </c>
      <c r="BH128" s="31">
        <f t="shared" si="49"/>
        <v>0</v>
      </c>
      <c r="BI128" s="255">
        <f t="shared" si="50"/>
        <v>0</v>
      </c>
      <c r="BJ128" s="31">
        <f t="shared" si="51"/>
        <v>0</v>
      </c>
      <c r="BK128" s="31">
        <f t="shared" si="52"/>
        <v>0</v>
      </c>
      <c r="BL128" s="255">
        <f t="shared" si="53"/>
        <v>0</v>
      </c>
      <c r="BM128" s="31">
        <f t="shared" si="54"/>
        <v>0</v>
      </c>
      <c r="BN128" s="255">
        <f t="shared" si="55"/>
        <v>0</v>
      </c>
    </row>
    <row r="129" spans="1:66" x14ac:dyDescent="0.25">
      <c r="A129" s="18" t="s">
        <v>1749</v>
      </c>
      <c r="B129" s="186" t="str">
        <f>VLOOKUP(A129,kurspris!$A$1:$B$877,2,FALSE)</f>
        <v>Engelska 2 för ämneslärare med inriktning mot gymnasiet</v>
      </c>
      <c r="C129" s="37"/>
      <c r="D129" s="31" t="s">
        <v>483</v>
      </c>
      <c r="E129" s="31" t="s">
        <v>1788</v>
      </c>
      <c r="F129" s="59" t="s">
        <v>1931</v>
      </c>
      <c r="G129" s="31" t="s">
        <v>2276</v>
      </c>
      <c r="J129" t="s">
        <v>772</v>
      </c>
      <c r="L129" s="31">
        <v>100</v>
      </c>
      <c r="M129" s="31">
        <v>30</v>
      </c>
      <c r="P129" s="31">
        <v>1</v>
      </c>
      <c r="Q129" s="232">
        <f t="shared" si="28"/>
        <v>0.5</v>
      </c>
      <c r="R129" s="40">
        <v>0.85</v>
      </c>
      <c r="S129" s="334">
        <f t="shared" si="29"/>
        <v>0.42499999999999999</v>
      </c>
      <c r="T129" s="31">
        <f>VLOOKUP(A129,'Ansvar kurs'!$A$1:$C$1010,2,FALSE)</f>
        <v>1620</v>
      </c>
      <c r="U129" s="31" t="str">
        <f>VLOOKUP(T129,Orgenheter!$A$1:$C$165,2,FALSE)</f>
        <v>Inst för språkstudier</v>
      </c>
      <c r="V129" s="31" t="str">
        <f>VLOOKUP(T129,Orgenheter!$A$1:$C$165,3,FALSE)</f>
        <v>Hum</v>
      </c>
      <c r="W129" s="37" t="str">
        <f>VLOOKUP(D129,Program!$A$1:$B$34,2,FALSE)</f>
        <v>Ämneslärarprogrammet - Gy</v>
      </c>
      <c r="X129" s="42">
        <f>VLOOKUP(A129,kurspris!$A$1:$Q$798,15,FALSE)</f>
        <v>18405</v>
      </c>
      <c r="Y129" s="42">
        <f>VLOOKUP(A129,kurspris!$A$1:$Q$798,16,FALSE)</f>
        <v>15773</v>
      </c>
      <c r="Z129" s="42">
        <f t="shared" si="30"/>
        <v>15906.025</v>
      </c>
      <c r="AA129" s="42">
        <f>VLOOKUP(A129,kurspris!$A$1:$Q$798,17,FALSE)</f>
        <v>5800</v>
      </c>
      <c r="AB129" s="42">
        <f t="shared" si="31"/>
        <v>2900</v>
      </c>
      <c r="AC129" s="42">
        <f t="shared" si="32"/>
        <v>18806.025000000001</v>
      </c>
      <c r="AD129" s="31">
        <f>VLOOKUP($A129,kurspris!$A$1:$Q$835,3,FALSE)</f>
        <v>0</v>
      </c>
      <c r="AE129" s="31">
        <f>VLOOKUP($A129,kurspris!$A$1:$Q$835,4,FALSE)</f>
        <v>1</v>
      </c>
      <c r="AF129" s="31">
        <f>VLOOKUP($A129,kurspris!$A$1:$Q$835,5,FALSE)</f>
        <v>0</v>
      </c>
      <c r="AG129" s="31">
        <f>VLOOKUP($A129,kurspris!$A$1:$Q$835,6,FALSE)</f>
        <v>0</v>
      </c>
      <c r="AH129" s="31">
        <f>VLOOKUP($A129,kurspris!$A$1:$Q$835,7,FALSE)</f>
        <v>0</v>
      </c>
      <c r="AI129" s="31">
        <f>VLOOKUP($A129,kurspris!$A$1:$Q$835,8,FALSE)</f>
        <v>0</v>
      </c>
      <c r="AJ129" s="31">
        <f>VLOOKUP($A129,kurspris!$A$1:$Q$835,9,FALSE)</f>
        <v>0</v>
      </c>
      <c r="AK129" s="31">
        <f>VLOOKUP($A129,kurspris!$A$1:$Q$835,10,FALSE)</f>
        <v>0</v>
      </c>
      <c r="AL129" s="31">
        <f>VLOOKUP($A129,kurspris!$A$1:$Q$835,11,FALSE)</f>
        <v>0</v>
      </c>
      <c r="AM129" s="31">
        <f>VLOOKUP($A129,kurspris!$A$1:$Q$835,12,FALSE)</f>
        <v>0</v>
      </c>
      <c r="AN129" s="31">
        <f>VLOOKUP($A129,kurspris!$A$1:$Q$835,13,FALSE)</f>
        <v>0</v>
      </c>
      <c r="AO129" s="31">
        <f>VLOOKUP($A129,kurspris!$A$1:$Q$835,14,FALSE)</f>
        <v>0</v>
      </c>
      <c r="AP129" s="39" t="s">
        <v>2326</v>
      </c>
      <c r="AQ129"/>
      <c r="AR129" s="31">
        <f t="shared" si="33"/>
        <v>0</v>
      </c>
      <c r="AS129" s="255">
        <f t="shared" si="34"/>
        <v>0</v>
      </c>
      <c r="AT129" s="31">
        <f t="shared" si="35"/>
        <v>0.5</v>
      </c>
      <c r="AU129" s="255">
        <f t="shared" si="36"/>
        <v>0.42499999999999999</v>
      </c>
      <c r="AV129" s="31">
        <f t="shared" si="37"/>
        <v>0</v>
      </c>
      <c r="AW129" s="31">
        <f t="shared" si="38"/>
        <v>0</v>
      </c>
      <c r="AX129" s="31">
        <f t="shared" si="39"/>
        <v>0</v>
      </c>
      <c r="AY129" s="255">
        <f t="shared" si="40"/>
        <v>0</v>
      </c>
      <c r="AZ129" s="232">
        <f t="shared" si="41"/>
        <v>0</v>
      </c>
      <c r="BA129" s="255">
        <f t="shared" si="42"/>
        <v>0</v>
      </c>
      <c r="BB129" s="31">
        <f t="shared" si="43"/>
        <v>0</v>
      </c>
      <c r="BC129" s="255">
        <f t="shared" si="44"/>
        <v>0</v>
      </c>
      <c r="BD129" s="31">
        <f t="shared" si="45"/>
        <v>0</v>
      </c>
      <c r="BE129" s="255">
        <f t="shared" si="46"/>
        <v>0</v>
      </c>
      <c r="BF129" s="31">
        <f t="shared" si="47"/>
        <v>0</v>
      </c>
      <c r="BG129" s="255">
        <f t="shared" si="48"/>
        <v>0</v>
      </c>
      <c r="BH129" s="31">
        <f t="shared" si="49"/>
        <v>0</v>
      </c>
      <c r="BI129" s="255">
        <f t="shared" si="50"/>
        <v>0</v>
      </c>
      <c r="BJ129" s="31">
        <f t="shared" si="51"/>
        <v>0</v>
      </c>
      <c r="BK129" s="31">
        <f t="shared" si="52"/>
        <v>0</v>
      </c>
      <c r="BL129" s="255">
        <f t="shared" si="53"/>
        <v>0</v>
      </c>
      <c r="BM129" s="31">
        <f t="shared" si="54"/>
        <v>0</v>
      </c>
      <c r="BN129" s="255">
        <f t="shared" si="55"/>
        <v>0</v>
      </c>
    </row>
    <row r="130" spans="1:66" x14ac:dyDescent="0.25">
      <c r="A130" s="18" t="s">
        <v>1897</v>
      </c>
      <c r="B130" s="186" t="str">
        <f>VLOOKUP(A130,kurspris!$A$1:$B$877,2,FALSE)</f>
        <v>Att undervisa i engelska (VFU)</v>
      </c>
      <c r="C130" s="37"/>
      <c r="D130" s="31" t="s">
        <v>483</v>
      </c>
      <c r="E130" s="31" t="s">
        <v>1973</v>
      </c>
      <c r="F130" s="59" t="s">
        <v>1931</v>
      </c>
      <c r="G130" s="31" t="s">
        <v>2272</v>
      </c>
      <c r="J130" t="s">
        <v>771</v>
      </c>
      <c r="L130" s="31">
        <v>100</v>
      </c>
      <c r="M130" s="31">
        <v>6</v>
      </c>
      <c r="P130" s="31">
        <v>1</v>
      </c>
      <c r="Q130" s="232">
        <f t="shared" ref="Q130:Q193" si="56">(M130/60)*P130</f>
        <v>0.1</v>
      </c>
      <c r="R130" s="40">
        <v>0.85</v>
      </c>
      <c r="S130" s="334">
        <f t="shared" ref="S130:S193" si="57">Q130*R130</f>
        <v>8.5000000000000006E-2</v>
      </c>
      <c r="T130" s="31">
        <f>VLOOKUP(A130,'Ansvar kurs'!$A$1:$C$1010,2,FALSE)</f>
        <v>1620</v>
      </c>
      <c r="U130" s="31" t="str">
        <f>VLOOKUP(T130,Orgenheter!$A$1:$C$165,2,FALSE)</f>
        <v>Inst för språkstudier</v>
      </c>
      <c r="V130" s="31" t="str">
        <f>VLOOKUP(T130,Orgenheter!$A$1:$C$165,3,FALSE)</f>
        <v>Hum</v>
      </c>
      <c r="W130" s="37" t="str">
        <f>VLOOKUP(D130,Program!$A$1:$B$34,2,FALSE)</f>
        <v>Ämneslärarprogrammet - Gy</v>
      </c>
      <c r="X130" s="42">
        <f>VLOOKUP(A130,kurspris!$A$1:$Q$798,15,FALSE)</f>
        <v>21634</v>
      </c>
      <c r="Y130" s="42">
        <f>VLOOKUP(A130,kurspris!$A$1:$Q$798,16,FALSE)</f>
        <v>26986</v>
      </c>
      <c r="Z130" s="42">
        <f t="shared" ref="Z130:Z193" si="58">X130*Q130+S130*Y130</f>
        <v>4457.21</v>
      </c>
      <c r="AA130" s="42">
        <f>VLOOKUP(A130,kurspris!$A$1:$Q$798,17,FALSE)</f>
        <v>3400</v>
      </c>
      <c r="AB130" s="42">
        <f t="shared" ref="AB130:AB193" si="59">AA130*Q130</f>
        <v>340</v>
      </c>
      <c r="AC130" s="42">
        <f t="shared" ref="AC130:AC193" si="60">Z130+AB130</f>
        <v>4797.21</v>
      </c>
      <c r="AD130" s="31">
        <f>VLOOKUP($A130,kurspris!$A$1:$Q$835,3,FALSE)</f>
        <v>0</v>
      </c>
      <c r="AE130" s="31">
        <f>VLOOKUP($A130,kurspris!$A$1:$Q$835,4,FALSE)</f>
        <v>0</v>
      </c>
      <c r="AF130" s="31">
        <f>VLOOKUP($A130,kurspris!$A$1:$Q$835,5,FALSE)</f>
        <v>0</v>
      </c>
      <c r="AG130" s="31">
        <f>VLOOKUP($A130,kurspris!$A$1:$Q$835,6,FALSE)</f>
        <v>0</v>
      </c>
      <c r="AH130" s="31">
        <f>VLOOKUP($A130,kurspris!$A$1:$Q$835,7,FALSE)</f>
        <v>0</v>
      </c>
      <c r="AI130" s="31">
        <f>VLOOKUP($A130,kurspris!$A$1:$Q$835,8,FALSE)</f>
        <v>0</v>
      </c>
      <c r="AJ130" s="31">
        <f>VLOOKUP($A130,kurspris!$A$1:$Q$835,9,FALSE)</f>
        <v>0</v>
      </c>
      <c r="AK130" s="31">
        <f>VLOOKUP($A130,kurspris!$A$1:$Q$835,10,FALSE)</f>
        <v>0</v>
      </c>
      <c r="AL130" s="31">
        <f>VLOOKUP($A130,kurspris!$A$1:$Q$835,11,FALSE)</f>
        <v>1</v>
      </c>
      <c r="AM130" s="31">
        <f>VLOOKUP($A130,kurspris!$A$1:$Q$835,12,FALSE)</f>
        <v>0</v>
      </c>
      <c r="AN130" s="31">
        <f>VLOOKUP($A130,kurspris!$A$1:$Q$835,13,FALSE)</f>
        <v>0</v>
      </c>
      <c r="AO130" s="31">
        <f>VLOOKUP($A130,kurspris!$A$1:$Q$835,14,FALSE)</f>
        <v>0</v>
      </c>
      <c r="AP130" s="39" t="s">
        <v>2326</v>
      </c>
      <c r="AQ130"/>
      <c r="AR130" s="31">
        <f t="shared" ref="AR130:AR193" si="61">$Q130*AD130</f>
        <v>0</v>
      </c>
      <c r="AS130" s="255">
        <f t="shared" ref="AS130:AS193" si="62">$S130*AD130</f>
        <v>0</v>
      </c>
      <c r="AT130" s="31">
        <f t="shared" ref="AT130:AT193" si="63">$Q130*AE130</f>
        <v>0</v>
      </c>
      <c r="AU130" s="255">
        <f t="shared" ref="AU130:AU193" si="64">$S130*AE130</f>
        <v>0</v>
      </c>
      <c r="AV130" s="31">
        <f t="shared" ref="AV130:AV193" si="65">$Q130*AF130</f>
        <v>0</v>
      </c>
      <c r="AW130" s="31">
        <f t="shared" ref="AW130:AW193" si="66">$S130*AF130</f>
        <v>0</v>
      </c>
      <c r="AX130" s="31">
        <f t="shared" ref="AX130:AX193" si="67">$Q130*AG130</f>
        <v>0</v>
      </c>
      <c r="AY130" s="255">
        <f t="shared" ref="AY130:AY193" si="68">$S130*AG130</f>
        <v>0</v>
      </c>
      <c r="AZ130" s="232">
        <f t="shared" ref="AZ130:AZ193" si="69">$Q130*AH130</f>
        <v>0</v>
      </c>
      <c r="BA130" s="255">
        <f t="shared" ref="BA130:BA193" si="70">$S130*AH130</f>
        <v>0</v>
      </c>
      <c r="BB130" s="31">
        <f t="shared" ref="BB130:BB193" si="71">$Q130*AI130</f>
        <v>0</v>
      </c>
      <c r="BC130" s="255">
        <f t="shared" ref="BC130:BC193" si="72">$S130*AI130</f>
        <v>0</v>
      </c>
      <c r="BD130" s="31">
        <f t="shared" ref="BD130:BD193" si="73">$Q130*AJ130</f>
        <v>0</v>
      </c>
      <c r="BE130" s="255">
        <f t="shared" ref="BE130:BE193" si="74">$S130*AJ130</f>
        <v>0</v>
      </c>
      <c r="BF130" s="31">
        <f t="shared" ref="BF130:BF193" si="75">$Q130*AK130</f>
        <v>0</v>
      </c>
      <c r="BG130" s="255">
        <f t="shared" ref="BG130:BG193" si="76">$S130*AK130</f>
        <v>0</v>
      </c>
      <c r="BH130" s="31">
        <f t="shared" ref="BH130:BH193" si="77">$Q130*AL130</f>
        <v>0.1</v>
      </c>
      <c r="BI130" s="255">
        <f t="shared" ref="BI130:BI193" si="78">$S130*AL130</f>
        <v>8.5000000000000006E-2</v>
      </c>
      <c r="BJ130" s="31">
        <f t="shared" ref="BJ130:BJ193" si="79">$Q130*AM130</f>
        <v>0</v>
      </c>
      <c r="BK130" s="31">
        <f t="shared" ref="BK130:BK193" si="80">$Q130*AN130</f>
        <v>0</v>
      </c>
      <c r="BL130" s="255">
        <f t="shared" ref="BL130:BL193" si="81">$S130*AN130</f>
        <v>0</v>
      </c>
      <c r="BM130" s="31">
        <f t="shared" ref="BM130:BM193" si="82">$Q130*AO130</f>
        <v>0</v>
      </c>
      <c r="BN130" s="255">
        <f t="shared" ref="BN130:BN193" si="83">$S130*AO130</f>
        <v>0</v>
      </c>
    </row>
    <row r="131" spans="1:66" x14ac:dyDescent="0.25">
      <c r="A131" s="18" t="s">
        <v>1897</v>
      </c>
      <c r="B131" s="186" t="str">
        <f>VLOOKUP(A131,kurspris!$A$1:$B$877,2,FALSE)</f>
        <v>Att undervisa i engelska (VFU)</v>
      </c>
      <c r="C131" s="37"/>
      <c r="D131" s="31" t="s">
        <v>483</v>
      </c>
      <c r="E131" s="31" t="s">
        <v>1609</v>
      </c>
      <c r="F131" s="59" t="s">
        <v>1931</v>
      </c>
      <c r="G131" s="31" t="s">
        <v>2272</v>
      </c>
      <c r="J131" t="s">
        <v>771</v>
      </c>
      <c r="L131" s="31">
        <v>100</v>
      </c>
      <c r="M131" s="31">
        <v>6</v>
      </c>
      <c r="P131" s="31">
        <v>16</v>
      </c>
      <c r="Q131" s="232">
        <f t="shared" si="56"/>
        <v>1.6</v>
      </c>
      <c r="R131" s="40">
        <v>0.85</v>
      </c>
      <c r="S131" s="334">
        <f t="shared" si="57"/>
        <v>1.36</v>
      </c>
      <c r="T131" s="31">
        <f>VLOOKUP(A131,'Ansvar kurs'!$A$1:$C$1010,2,FALSE)</f>
        <v>1620</v>
      </c>
      <c r="U131" s="31" t="str">
        <f>VLOOKUP(T131,Orgenheter!$A$1:$C$165,2,FALSE)</f>
        <v>Inst för språkstudier</v>
      </c>
      <c r="V131" s="31" t="str">
        <f>VLOOKUP(T131,Orgenheter!$A$1:$C$165,3,FALSE)</f>
        <v>Hum</v>
      </c>
      <c r="W131" s="37" t="str">
        <f>VLOOKUP(D131,Program!$A$1:$B$34,2,FALSE)</f>
        <v>Ämneslärarprogrammet - Gy</v>
      </c>
      <c r="X131" s="42">
        <f>VLOOKUP(A131,kurspris!$A$1:$Q$798,15,FALSE)</f>
        <v>21634</v>
      </c>
      <c r="Y131" s="42">
        <f>VLOOKUP(A131,kurspris!$A$1:$Q$798,16,FALSE)</f>
        <v>26986</v>
      </c>
      <c r="Z131" s="42">
        <f t="shared" si="58"/>
        <v>71315.360000000001</v>
      </c>
      <c r="AA131" s="42">
        <f>VLOOKUP(A131,kurspris!$A$1:$Q$798,17,FALSE)</f>
        <v>3400</v>
      </c>
      <c r="AB131" s="42">
        <f t="shared" si="59"/>
        <v>5440</v>
      </c>
      <c r="AC131" s="42">
        <f t="shared" si="60"/>
        <v>76755.360000000001</v>
      </c>
      <c r="AD131" s="31">
        <f>VLOOKUP($A131,kurspris!$A$1:$Q$835,3,FALSE)</f>
        <v>0</v>
      </c>
      <c r="AE131" s="31">
        <f>VLOOKUP($A131,kurspris!$A$1:$Q$835,4,FALSE)</f>
        <v>0</v>
      </c>
      <c r="AF131" s="31">
        <f>VLOOKUP($A131,kurspris!$A$1:$Q$835,5,FALSE)</f>
        <v>0</v>
      </c>
      <c r="AG131" s="31">
        <f>VLOOKUP($A131,kurspris!$A$1:$Q$835,6,FALSE)</f>
        <v>0</v>
      </c>
      <c r="AH131" s="31">
        <f>VLOOKUP($A131,kurspris!$A$1:$Q$835,7,FALSE)</f>
        <v>0</v>
      </c>
      <c r="AI131" s="31">
        <f>VLOOKUP($A131,kurspris!$A$1:$Q$835,8,FALSE)</f>
        <v>0</v>
      </c>
      <c r="AJ131" s="31">
        <f>VLOOKUP($A131,kurspris!$A$1:$Q$835,9,FALSE)</f>
        <v>0</v>
      </c>
      <c r="AK131" s="31">
        <f>VLOOKUP($A131,kurspris!$A$1:$Q$835,10,FALSE)</f>
        <v>0</v>
      </c>
      <c r="AL131" s="31">
        <f>VLOOKUP($A131,kurspris!$A$1:$Q$835,11,FALSE)</f>
        <v>1</v>
      </c>
      <c r="AM131" s="31">
        <f>VLOOKUP($A131,kurspris!$A$1:$Q$835,12,FALSE)</f>
        <v>0</v>
      </c>
      <c r="AN131" s="31">
        <f>VLOOKUP($A131,kurspris!$A$1:$Q$835,13,FALSE)</f>
        <v>0</v>
      </c>
      <c r="AO131" s="31">
        <f>VLOOKUP($A131,kurspris!$A$1:$Q$835,14,FALSE)</f>
        <v>0</v>
      </c>
      <c r="AP131" s="39" t="s">
        <v>2326</v>
      </c>
      <c r="AQ131"/>
      <c r="AR131" s="31">
        <f t="shared" si="61"/>
        <v>0</v>
      </c>
      <c r="AS131" s="255">
        <f t="shared" si="62"/>
        <v>0</v>
      </c>
      <c r="AT131" s="31">
        <f t="shared" si="63"/>
        <v>0</v>
      </c>
      <c r="AU131" s="255">
        <f t="shared" si="64"/>
        <v>0</v>
      </c>
      <c r="AV131" s="31">
        <f t="shared" si="65"/>
        <v>0</v>
      </c>
      <c r="AW131" s="31">
        <f t="shared" si="66"/>
        <v>0</v>
      </c>
      <c r="AX131" s="31">
        <f t="shared" si="67"/>
        <v>0</v>
      </c>
      <c r="AY131" s="255">
        <f t="shared" si="68"/>
        <v>0</v>
      </c>
      <c r="AZ131" s="232">
        <f t="shared" si="69"/>
        <v>0</v>
      </c>
      <c r="BA131" s="255">
        <f t="shared" si="70"/>
        <v>0</v>
      </c>
      <c r="BB131" s="31">
        <f t="shared" si="71"/>
        <v>0</v>
      </c>
      <c r="BC131" s="255">
        <f t="shared" si="72"/>
        <v>0</v>
      </c>
      <c r="BD131" s="31">
        <f t="shared" si="73"/>
        <v>0</v>
      </c>
      <c r="BE131" s="255">
        <f t="shared" si="74"/>
        <v>0</v>
      </c>
      <c r="BF131" s="31">
        <f t="shared" si="75"/>
        <v>0</v>
      </c>
      <c r="BG131" s="255">
        <f t="shared" si="76"/>
        <v>0</v>
      </c>
      <c r="BH131" s="31">
        <f t="shared" si="77"/>
        <v>1.6</v>
      </c>
      <c r="BI131" s="255">
        <f t="shared" si="78"/>
        <v>1.36</v>
      </c>
      <c r="BJ131" s="31">
        <f t="shared" si="79"/>
        <v>0</v>
      </c>
      <c r="BK131" s="31">
        <f t="shared" si="80"/>
        <v>0</v>
      </c>
      <c r="BL131" s="255">
        <f t="shared" si="81"/>
        <v>0</v>
      </c>
      <c r="BM131" s="31">
        <f t="shared" si="82"/>
        <v>0</v>
      </c>
      <c r="BN131" s="255">
        <f t="shared" si="83"/>
        <v>0</v>
      </c>
    </row>
    <row r="132" spans="1:66" x14ac:dyDescent="0.25">
      <c r="A132" s="18" t="s">
        <v>1897</v>
      </c>
      <c r="B132" s="186" t="str">
        <f>VLOOKUP(A132,kurspris!$A$1:$B$877,2,FALSE)</f>
        <v>Att undervisa i engelska (VFU)</v>
      </c>
      <c r="C132" s="37"/>
      <c r="D132" s="31" t="s">
        <v>483</v>
      </c>
      <c r="E132" s="31" t="s">
        <v>1609</v>
      </c>
      <c r="F132" s="59" t="s">
        <v>1931</v>
      </c>
      <c r="G132" s="31" t="s">
        <v>2272</v>
      </c>
      <c r="J132" t="s">
        <v>776</v>
      </c>
      <c r="L132" s="31">
        <v>100</v>
      </c>
      <c r="M132" s="31">
        <v>6</v>
      </c>
      <c r="P132" s="31">
        <v>1</v>
      </c>
      <c r="Q132" s="232">
        <f t="shared" si="56"/>
        <v>0.1</v>
      </c>
      <c r="R132" s="40">
        <v>0.85</v>
      </c>
      <c r="S132" s="334">
        <f t="shared" si="57"/>
        <v>8.5000000000000006E-2</v>
      </c>
      <c r="T132" s="31">
        <f>VLOOKUP(A132,'Ansvar kurs'!$A$1:$C$1010,2,FALSE)</f>
        <v>1620</v>
      </c>
      <c r="U132" s="31" t="str">
        <f>VLOOKUP(T132,Orgenheter!$A$1:$C$165,2,FALSE)</f>
        <v>Inst för språkstudier</v>
      </c>
      <c r="V132" s="31" t="str">
        <f>VLOOKUP(T132,Orgenheter!$A$1:$C$165,3,FALSE)</f>
        <v>Hum</v>
      </c>
      <c r="W132" s="37" t="str">
        <f>VLOOKUP(D132,Program!$A$1:$B$34,2,FALSE)</f>
        <v>Ämneslärarprogrammet - Gy</v>
      </c>
      <c r="X132" s="42">
        <f>VLOOKUP(A132,kurspris!$A$1:$Q$798,15,FALSE)</f>
        <v>21634</v>
      </c>
      <c r="Y132" s="42">
        <f>VLOOKUP(A132,kurspris!$A$1:$Q$798,16,FALSE)</f>
        <v>26986</v>
      </c>
      <c r="Z132" s="42">
        <f t="shared" si="58"/>
        <v>4457.21</v>
      </c>
      <c r="AA132" s="42">
        <f>VLOOKUP(A132,kurspris!$A$1:$Q$798,17,FALSE)</f>
        <v>3400</v>
      </c>
      <c r="AB132" s="42">
        <f t="shared" si="59"/>
        <v>340</v>
      </c>
      <c r="AC132" s="42">
        <f t="shared" si="60"/>
        <v>4797.21</v>
      </c>
      <c r="AD132" s="31">
        <f>VLOOKUP($A132,kurspris!$A$1:$Q$835,3,FALSE)</f>
        <v>0</v>
      </c>
      <c r="AE132" s="31">
        <f>VLOOKUP($A132,kurspris!$A$1:$Q$835,4,FALSE)</f>
        <v>0</v>
      </c>
      <c r="AF132" s="31">
        <f>VLOOKUP($A132,kurspris!$A$1:$Q$835,5,FALSE)</f>
        <v>0</v>
      </c>
      <c r="AG132" s="31">
        <f>VLOOKUP($A132,kurspris!$A$1:$Q$835,6,FALSE)</f>
        <v>0</v>
      </c>
      <c r="AH132" s="31">
        <f>VLOOKUP($A132,kurspris!$A$1:$Q$835,7,FALSE)</f>
        <v>0</v>
      </c>
      <c r="AI132" s="31">
        <f>VLOOKUP($A132,kurspris!$A$1:$Q$835,8,FALSE)</f>
        <v>0</v>
      </c>
      <c r="AJ132" s="31">
        <f>VLOOKUP($A132,kurspris!$A$1:$Q$835,9,FALSE)</f>
        <v>0</v>
      </c>
      <c r="AK132" s="31">
        <f>VLOOKUP($A132,kurspris!$A$1:$Q$835,10,FALSE)</f>
        <v>0</v>
      </c>
      <c r="AL132" s="31">
        <f>VLOOKUP($A132,kurspris!$A$1:$Q$835,11,FALSE)</f>
        <v>1</v>
      </c>
      <c r="AM132" s="31">
        <f>VLOOKUP($A132,kurspris!$A$1:$Q$835,12,FALSE)</f>
        <v>0</v>
      </c>
      <c r="AN132" s="31">
        <f>VLOOKUP($A132,kurspris!$A$1:$Q$835,13,FALSE)</f>
        <v>0</v>
      </c>
      <c r="AO132" s="31">
        <f>VLOOKUP($A132,kurspris!$A$1:$Q$835,14,FALSE)</f>
        <v>0</v>
      </c>
      <c r="AP132" s="39" t="s">
        <v>2326</v>
      </c>
      <c r="AQ132"/>
      <c r="AR132" s="31">
        <f t="shared" si="61"/>
        <v>0</v>
      </c>
      <c r="AS132" s="255">
        <f t="shared" si="62"/>
        <v>0</v>
      </c>
      <c r="AT132" s="31">
        <f t="shared" si="63"/>
        <v>0</v>
      </c>
      <c r="AU132" s="255">
        <f t="shared" si="64"/>
        <v>0</v>
      </c>
      <c r="AV132" s="31">
        <f t="shared" si="65"/>
        <v>0</v>
      </c>
      <c r="AW132" s="31">
        <f t="shared" si="66"/>
        <v>0</v>
      </c>
      <c r="AX132" s="31">
        <f t="shared" si="67"/>
        <v>0</v>
      </c>
      <c r="AY132" s="255">
        <f t="shared" si="68"/>
        <v>0</v>
      </c>
      <c r="AZ132" s="232">
        <f t="shared" si="69"/>
        <v>0</v>
      </c>
      <c r="BA132" s="255">
        <f t="shared" si="70"/>
        <v>0</v>
      </c>
      <c r="BB132" s="31">
        <f t="shared" si="71"/>
        <v>0</v>
      </c>
      <c r="BC132" s="255">
        <f t="shared" si="72"/>
        <v>0</v>
      </c>
      <c r="BD132" s="31">
        <f t="shared" si="73"/>
        <v>0</v>
      </c>
      <c r="BE132" s="255">
        <f t="shared" si="74"/>
        <v>0</v>
      </c>
      <c r="BF132" s="31">
        <f t="shared" si="75"/>
        <v>0</v>
      </c>
      <c r="BG132" s="255">
        <f t="shared" si="76"/>
        <v>0</v>
      </c>
      <c r="BH132" s="31">
        <f t="shared" si="77"/>
        <v>0.1</v>
      </c>
      <c r="BI132" s="255">
        <f t="shared" si="78"/>
        <v>8.5000000000000006E-2</v>
      </c>
      <c r="BJ132" s="31">
        <f t="shared" si="79"/>
        <v>0</v>
      </c>
      <c r="BK132" s="31">
        <f t="shared" si="80"/>
        <v>0</v>
      </c>
      <c r="BL132" s="255">
        <f t="shared" si="81"/>
        <v>0</v>
      </c>
      <c r="BM132" s="31">
        <f t="shared" si="82"/>
        <v>0</v>
      </c>
      <c r="BN132" s="255">
        <f t="shared" si="83"/>
        <v>0</v>
      </c>
    </row>
    <row r="133" spans="1:66" x14ac:dyDescent="0.25">
      <c r="A133" s="18" t="s">
        <v>1897</v>
      </c>
      <c r="B133" s="186" t="str">
        <f>VLOOKUP(A133,kurspris!$A$1:$B$877,2,FALSE)</f>
        <v>Att undervisa i engelska (VFU)</v>
      </c>
      <c r="C133" s="37"/>
      <c r="D133" s="31" t="s">
        <v>483</v>
      </c>
      <c r="E133" s="31" t="s">
        <v>1788</v>
      </c>
      <c r="F133" s="59" t="s">
        <v>1931</v>
      </c>
      <c r="G133" s="31" t="s">
        <v>2272</v>
      </c>
      <c r="J133" t="s">
        <v>1592</v>
      </c>
      <c r="L133" s="31">
        <v>100</v>
      </c>
      <c r="M133" s="31">
        <v>6</v>
      </c>
      <c r="P133" s="31">
        <v>1</v>
      </c>
      <c r="Q133" s="232">
        <f t="shared" si="56"/>
        <v>0.1</v>
      </c>
      <c r="R133" s="40">
        <v>0.85</v>
      </c>
      <c r="S133" s="334">
        <f t="shared" si="57"/>
        <v>8.5000000000000006E-2</v>
      </c>
      <c r="T133" s="31">
        <f>VLOOKUP(A133,'Ansvar kurs'!$A$1:$C$1010,2,FALSE)</f>
        <v>1620</v>
      </c>
      <c r="U133" s="31" t="str">
        <f>VLOOKUP(T133,Orgenheter!$A$1:$C$165,2,FALSE)</f>
        <v>Inst för språkstudier</v>
      </c>
      <c r="V133" s="31" t="str">
        <f>VLOOKUP(T133,Orgenheter!$A$1:$C$165,3,FALSE)</f>
        <v>Hum</v>
      </c>
      <c r="W133" s="37" t="str">
        <f>VLOOKUP(D133,Program!$A$1:$B$34,2,FALSE)</f>
        <v>Ämneslärarprogrammet - Gy</v>
      </c>
      <c r="X133" s="42">
        <f>VLOOKUP(A133,kurspris!$A$1:$Q$798,15,FALSE)</f>
        <v>21634</v>
      </c>
      <c r="Y133" s="42">
        <f>VLOOKUP(A133,kurspris!$A$1:$Q$798,16,FALSE)</f>
        <v>26986</v>
      </c>
      <c r="Z133" s="42">
        <f t="shared" si="58"/>
        <v>4457.21</v>
      </c>
      <c r="AA133" s="42">
        <f>VLOOKUP(A133,kurspris!$A$1:$Q$798,17,FALSE)</f>
        <v>3400</v>
      </c>
      <c r="AB133" s="42">
        <f t="shared" si="59"/>
        <v>340</v>
      </c>
      <c r="AC133" s="42">
        <f t="shared" si="60"/>
        <v>4797.21</v>
      </c>
      <c r="AD133" s="31">
        <f>VLOOKUP($A133,kurspris!$A$1:$Q$835,3,FALSE)</f>
        <v>0</v>
      </c>
      <c r="AE133" s="31">
        <f>VLOOKUP($A133,kurspris!$A$1:$Q$835,4,FALSE)</f>
        <v>0</v>
      </c>
      <c r="AF133" s="31">
        <f>VLOOKUP($A133,kurspris!$A$1:$Q$835,5,FALSE)</f>
        <v>0</v>
      </c>
      <c r="AG133" s="31">
        <f>VLOOKUP($A133,kurspris!$A$1:$Q$835,6,FALSE)</f>
        <v>0</v>
      </c>
      <c r="AH133" s="31">
        <f>VLOOKUP($A133,kurspris!$A$1:$Q$835,7,FALSE)</f>
        <v>0</v>
      </c>
      <c r="AI133" s="31">
        <f>VLOOKUP($A133,kurspris!$A$1:$Q$835,8,FALSE)</f>
        <v>0</v>
      </c>
      <c r="AJ133" s="31">
        <f>VLOOKUP($A133,kurspris!$A$1:$Q$835,9,FALSE)</f>
        <v>0</v>
      </c>
      <c r="AK133" s="31">
        <f>VLOOKUP($A133,kurspris!$A$1:$Q$835,10,FALSE)</f>
        <v>0</v>
      </c>
      <c r="AL133" s="31">
        <f>VLOOKUP($A133,kurspris!$A$1:$Q$835,11,FALSE)</f>
        <v>1</v>
      </c>
      <c r="AM133" s="31">
        <f>VLOOKUP($A133,kurspris!$A$1:$Q$835,12,FALSE)</f>
        <v>0</v>
      </c>
      <c r="AN133" s="31">
        <f>VLOOKUP($A133,kurspris!$A$1:$Q$835,13,FALSE)</f>
        <v>0</v>
      </c>
      <c r="AO133" s="31">
        <f>VLOOKUP($A133,kurspris!$A$1:$Q$835,14,FALSE)</f>
        <v>0</v>
      </c>
      <c r="AP133" s="39" t="s">
        <v>2326</v>
      </c>
      <c r="AQ133"/>
      <c r="AR133" s="31">
        <f t="shared" si="61"/>
        <v>0</v>
      </c>
      <c r="AS133" s="255">
        <f t="shared" si="62"/>
        <v>0</v>
      </c>
      <c r="AT133" s="31">
        <f t="shared" si="63"/>
        <v>0</v>
      </c>
      <c r="AU133" s="255">
        <f t="shared" si="64"/>
        <v>0</v>
      </c>
      <c r="AV133" s="31">
        <f t="shared" si="65"/>
        <v>0</v>
      </c>
      <c r="AW133" s="31">
        <f t="shared" si="66"/>
        <v>0</v>
      </c>
      <c r="AX133" s="31">
        <f t="shared" si="67"/>
        <v>0</v>
      </c>
      <c r="AY133" s="255">
        <f t="shared" si="68"/>
        <v>0</v>
      </c>
      <c r="AZ133" s="232">
        <f t="shared" si="69"/>
        <v>0</v>
      </c>
      <c r="BA133" s="255">
        <f t="shared" si="70"/>
        <v>0</v>
      </c>
      <c r="BB133" s="31">
        <f t="shared" si="71"/>
        <v>0</v>
      </c>
      <c r="BC133" s="255">
        <f t="shared" si="72"/>
        <v>0</v>
      </c>
      <c r="BD133" s="31">
        <f t="shared" si="73"/>
        <v>0</v>
      </c>
      <c r="BE133" s="255">
        <f t="shared" si="74"/>
        <v>0</v>
      </c>
      <c r="BF133" s="31">
        <f t="shared" si="75"/>
        <v>0</v>
      </c>
      <c r="BG133" s="255">
        <f t="shared" si="76"/>
        <v>0</v>
      </c>
      <c r="BH133" s="31">
        <f t="shared" si="77"/>
        <v>0.1</v>
      </c>
      <c r="BI133" s="255">
        <f t="shared" si="78"/>
        <v>8.5000000000000006E-2</v>
      </c>
      <c r="BJ133" s="31">
        <f t="shared" si="79"/>
        <v>0</v>
      </c>
      <c r="BK133" s="31">
        <f t="shared" si="80"/>
        <v>0</v>
      </c>
      <c r="BL133" s="255">
        <f t="shared" si="81"/>
        <v>0</v>
      </c>
      <c r="BM133" s="31">
        <f t="shared" si="82"/>
        <v>0</v>
      </c>
      <c r="BN133" s="255">
        <f t="shared" si="83"/>
        <v>0</v>
      </c>
    </row>
    <row r="134" spans="1:66" x14ac:dyDescent="0.25">
      <c r="A134" t="s">
        <v>1918</v>
      </c>
      <c r="B134" s="186" t="str">
        <f>VLOOKUP(A134,kurspris!$A$1:$B$877,2,FALSE)</f>
        <v>Engelska för F-3, kurs 1</v>
      </c>
      <c r="C134"/>
      <c r="D134" t="s">
        <v>486</v>
      </c>
      <c r="E134" t="s">
        <v>1788</v>
      </c>
      <c r="F134" s="59" t="s">
        <v>1930</v>
      </c>
      <c r="G134" t="s">
        <v>1932</v>
      </c>
      <c r="H134" t="s">
        <v>1910</v>
      </c>
      <c r="I134"/>
      <c r="J134"/>
      <c r="K134"/>
      <c r="L134">
        <v>100</v>
      </c>
      <c r="M134">
        <v>7.5</v>
      </c>
      <c r="N134"/>
      <c r="O134"/>
      <c r="P134" s="31">
        <v>47</v>
      </c>
      <c r="Q134" s="232">
        <f t="shared" si="56"/>
        <v>5.875</v>
      </c>
      <c r="R134" s="40">
        <v>0.85</v>
      </c>
      <c r="S134" s="334">
        <f t="shared" si="57"/>
        <v>4.9937499999999995</v>
      </c>
      <c r="T134" s="31">
        <f>VLOOKUP(A134,'Ansvar kurs'!$A$1:$C$1010,2,FALSE)</f>
        <v>1620</v>
      </c>
      <c r="U134" s="31" t="str">
        <f>VLOOKUP(T134,Orgenheter!$A$1:$C$165,2,FALSE)</f>
        <v>Inst för språkstudier</v>
      </c>
      <c r="V134" s="31" t="str">
        <f>VLOOKUP(T134,Orgenheter!$A$1:$C$165,3,FALSE)</f>
        <v>Hum</v>
      </c>
      <c r="W134" s="37" t="str">
        <f>VLOOKUP(D134,Program!$A$1:$B$34,2,FALSE)</f>
        <v>Grundlärarprogrammet - förskoleklass och åk 1-3</v>
      </c>
      <c r="X134" s="42">
        <f>VLOOKUP(A134,kurspris!$A$1:$Q$798,15,FALSE)</f>
        <v>18405</v>
      </c>
      <c r="Y134" s="42">
        <f>VLOOKUP(A134,kurspris!$A$1:$Q$798,16,FALSE)</f>
        <v>15773</v>
      </c>
      <c r="Z134" s="42">
        <f t="shared" si="58"/>
        <v>186895.79375000001</v>
      </c>
      <c r="AA134" s="42">
        <f>VLOOKUP(A134,kurspris!$A$1:$Q$798,17,FALSE)</f>
        <v>5800</v>
      </c>
      <c r="AB134" s="42">
        <f t="shared" si="59"/>
        <v>34075</v>
      </c>
      <c r="AC134" s="42">
        <f t="shared" si="60"/>
        <v>220970.79375000001</v>
      </c>
      <c r="AD134" s="31">
        <f>VLOOKUP($A134,kurspris!$A$1:$Q$835,3,FALSE)</f>
        <v>0</v>
      </c>
      <c r="AE134" s="31">
        <f>VLOOKUP($A134,kurspris!$A$1:$Q$835,4,FALSE)</f>
        <v>1</v>
      </c>
      <c r="AF134" s="31">
        <f>VLOOKUP($A134,kurspris!$A$1:$Q$835,5,FALSE)</f>
        <v>0</v>
      </c>
      <c r="AG134" s="31">
        <f>VLOOKUP($A134,kurspris!$A$1:$Q$835,6,FALSE)</f>
        <v>0</v>
      </c>
      <c r="AH134" s="31">
        <f>VLOOKUP($A134,kurspris!$A$1:$Q$835,7,FALSE)</f>
        <v>0</v>
      </c>
      <c r="AI134" s="31">
        <f>VLOOKUP($A134,kurspris!$A$1:$Q$835,8,FALSE)</f>
        <v>0</v>
      </c>
      <c r="AJ134" s="31">
        <f>VLOOKUP($A134,kurspris!$A$1:$Q$835,9,FALSE)</f>
        <v>0</v>
      </c>
      <c r="AK134" s="31">
        <f>VLOOKUP($A134,kurspris!$A$1:$Q$835,10,FALSE)</f>
        <v>0</v>
      </c>
      <c r="AL134" s="31">
        <f>VLOOKUP($A134,kurspris!$A$1:$Q$835,11,FALSE)</f>
        <v>0</v>
      </c>
      <c r="AM134" s="31">
        <f>VLOOKUP($A134,kurspris!$A$1:$Q$835,12,FALSE)</f>
        <v>0</v>
      </c>
      <c r="AN134" s="31">
        <f>VLOOKUP($A134,kurspris!$A$1:$Q$835,13,FALSE)</f>
        <v>0</v>
      </c>
      <c r="AO134" s="31">
        <f>VLOOKUP($A134,kurspris!$A$1:$Q$835,14,FALSE)</f>
        <v>0</v>
      </c>
      <c r="AP134" s="39" t="s">
        <v>2232</v>
      </c>
      <c r="AQ134"/>
      <c r="AR134" s="31">
        <f t="shared" si="61"/>
        <v>0</v>
      </c>
      <c r="AS134" s="255">
        <f t="shared" si="62"/>
        <v>0</v>
      </c>
      <c r="AT134" s="31">
        <f t="shared" si="63"/>
        <v>5.875</v>
      </c>
      <c r="AU134" s="255">
        <f t="shared" si="64"/>
        <v>4.9937499999999995</v>
      </c>
      <c r="AV134" s="31">
        <f t="shared" si="65"/>
        <v>0</v>
      </c>
      <c r="AW134" s="31">
        <f t="shared" si="66"/>
        <v>0</v>
      </c>
      <c r="AX134" s="31">
        <f t="shared" si="67"/>
        <v>0</v>
      </c>
      <c r="AY134" s="255">
        <f t="shared" si="68"/>
        <v>0</v>
      </c>
      <c r="AZ134" s="232">
        <f t="shared" si="69"/>
        <v>0</v>
      </c>
      <c r="BA134" s="255">
        <f t="shared" si="70"/>
        <v>0</v>
      </c>
      <c r="BB134" s="31">
        <f t="shared" si="71"/>
        <v>0</v>
      </c>
      <c r="BC134" s="255">
        <f t="shared" si="72"/>
        <v>0</v>
      </c>
      <c r="BD134" s="31">
        <f t="shared" si="73"/>
        <v>0</v>
      </c>
      <c r="BE134" s="255">
        <f t="shared" si="74"/>
        <v>0</v>
      </c>
      <c r="BF134" s="31">
        <f t="shared" si="75"/>
        <v>0</v>
      </c>
      <c r="BG134" s="255">
        <f t="shared" si="76"/>
        <v>0</v>
      </c>
      <c r="BH134" s="31">
        <f t="shared" si="77"/>
        <v>0</v>
      </c>
      <c r="BI134" s="255">
        <f t="shared" si="78"/>
        <v>0</v>
      </c>
      <c r="BJ134" s="31">
        <f t="shared" si="79"/>
        <v>0</v>
      </c>
      <c r="BK134" s="31">
        <f t="shared" si="80"/>
        <v>0</v>
      </c>
      <c r="BL134" s="255">
        <f t="shared" si="81"/>
        <v>0</v>
      </c>
      <c r="BM134" s="31">
        <f t="shared" si="82"/>
        <v>0</v>
      </c>
      <c r="BN134" s="255">
        <f t="shared" si="83"/>
        <v>0</v>
      </c>
    </row>
    <row r="135" spans="1:66" x14ac:dyDescent="0.25">
      <c r="A135" t="s">
        <v>1919</v>
      </c>
      <c r="B135" s="186" t="str">
        <f>VLOOKUP(A135,kurspris!$A$1:$B$877,2,FALSE)</f>
        <v>Engelska för åk 4-6, kurs 1</v>
      </c>
      <c r="C135"/>
      <c r="D135" t="s">
        <v>524</v>
      </c>
      <c r="E135" t="s">
        <v>1788</v>
      </c>
      <c r="F135" s="39" t="s">
        <v>1930</v>
      </c>
      <c r="G135" t="s">
        <v>1932</v>
      </c>
      <c r="H135" t="s">
        <v>1910</v>
      </c>
      <c r="I135"/>
      <c r="J135"/>
      <c r="K135"/>
      <c r="L135">
        <v>100</v>
      </c>
      <c r="M135">
        <v>7.5</v>
      </c>
      <c r="N135"/>
      <c r="O135"/>
      <c r="P135" s="31">
        <v>26</v>
      </c>
      <c r="Q135" s="232">
        <f t="shared" si="56"/>
        <v>3.25</v>
      </c>
      <c r="R135" s="40">
        <v>0.85</v>
      </c>
      <c r="S135" s="334">
        <f t="shared" si="57"/>
        <v>2.7624999999999997</v>
      </c>
      <c r="T135" s="31">
        <f>VLOOKUP(A135,'Ansvar kurs'!$A$1:$C$1010,2,FALSE)</f>
        <v>1620</v>
      </c>
      <c r="U135" s="31" t="str">
        <f>VLOOKUP(T135,Orgenheter!$A$1:$C$165,2,FALSE)</f>
        <v>Inst för språkstudier</v>
      </c>
      <c r="V135" s="31" t="str">
        <f>VLOOKUP(T135,Orgenheter!$A$1:$C$165,3,FALSE)</f>
        <v>Hum</v>
      </c>
      <c r="W135" s="37" t="str">
        <f>VLOOKUP(D135,Program!$A$1:$B$34,2,FALSE)</f>
        <v>Grundlärarprogrammet - grundskolans åk 4-6</v>
      </c>
      <c r="X135" s="42">
        <f>VLOOKUP(A135,kurspris!$A$1:$Q$798,15,FALSE)</f>
        <v>18405</v>
      </c>
      <c r="Y135" s="42">
        <f>VLOOKUP(A135,kurspris!$A$1:$Q$798,16,FALSE)</f>
        <v>15773</v>
      </c>
      <c r="Z135" s="42">
        <f t="shared" si="58"/>
        <v>103389.16250000001</v>
      </c>
      <c r="AA135" s="42">
        <f>VLOOKUP(A135,kurspris!$A$1:$Q$798,17,FALSE)</f>
        <v>5800</v>
      </c>
      <c r="AB135" s="42">
        <f t="shared" si="59"/>
        <v>18850</v>
      </c>
      <c r="AC135" s="42">
        <f t="shared" si="60"/>
        <v>122239.16250000001</v>
      </c>
      <c r="AD135" s="31">
        <f>VLOOKUP($A135,kurspris!$A$1:$Q$835,3,FALSE)</f>
        <v>0</v>
      </c>
      <c r="AE135" s="31">
        <f>VLOOKUP($A135,kurspris!$A$1:$Q$835,4,FALSE)</f>
        <v>1</v>
      </c>
      <c r="AF135" s="31">
        <f>VLOOKUP($A135,kurspris!$A$1:$Q$835,5,FALSE)</f>
        <v>0</v>
      </c>
      <c r="AG135" s="31">
        <f>VLOOKUP($A135,kurspris!$A$1:$Q$835,6,FALSE)</f>
        <v>0</v>
      </c>
      <c r="AH135" s="31">
        <f>VLOOKUP($A135,kurspris!$A$1:$Q$835,7,FALSE)</f>
        <v>0</v>
      </c>
      <c r="AI135" s="31">
        <f>VLOOKUP($A135,kurspris!$A$1:$Q$835,8,FALSE)</f>
        <v>0</v>
      </c>
      <c r="AJ135" s="31">
        <f>VLOOKUP($A135,kurspris!$A$1:$Q$835,9,FALSE)</f>
        <v>0</v>
      </c>
      <c r="AK135" s="31">
        <f>VLOOKUP($A135,kurspris!$A$1:$Q$835,10,FALSE)</f>
        <v>0</v>
      </c>
      <c r="AL135" s="31">
        <f>VLOOKUP($A135,kurspris!$A$1:$Q$835,11,FALSE)</f>
        <v>0</v>
      </c>
      <c r="AM135" s="31">
        <f>VLOOKUP($A135,kurspris!$A$1:$Q$835,12,FALSE)</f>
        <v>0</v>
      </c>
      <c r="AN135" s="31">
        <f>VLOOKUP($A135,kurspris!$A$1:$Q$835,13,FALSE)</f>
        <v>0</v>
      </c>
      <c r="AO135" s="31">
        <f>VLOOKUP($A135,kurspris!$A$1:$Q$835,14,FALSE)</f>
        <v>0</v>
      </c>
      <c r="AP135" s="39" t="s">
        <v>2232</v>
      </c>
      <c r="AQ135"/>
      <c r="AR135" s="31">
        <f t="shared" si="61"/>
        <v>0</v>
      </c>
      <c r="AS135" s="255">
        <f t="shared" si="62"/>
        <v>0</v>
      </c>
      <c r="AT135" s="31">
        <f t="shared" si="63"/>
        <v>3.25</v>
      </c>
      <c r="AU135" s="255">
        <f t="shared" si="64"/>
        <v>2.7624999999999997</v>
      </c>
      <c r="AV135" s="31">
        <f t="shared" si="65"/>
        <v>0</v>
      </c>
      <c r="AW135" s="31">
        <f t="shared" si="66"/>
        <v>0</v>
      </c>
      <c r="AX135" s="31">
        <f t="shared" si="67"/>
        <v>0</v>
      </c>
      <c r="AY135" s="255">
        <f t="shared" si="68"/>
        <v>0</v>
      </c>
      <c r="AZ135" s="232">
        <f t="shared" si="69"/>
        <v>0</v>
      </c>
      <c r="BA135" s="255">
        <f t="shared" si="70"/>
        <v>0</v>
      </c>
      <c r="BB135" s="31">
        <f t="shared" si="71"/>
        <v>0</v>
      </c>
      <c r="BC135" s="255">
        <f t="shared" si="72"/>
        <v>0</v>
      </c>
      <c r="BD135" s="31">
        <f t="shared" si="73"/>
        <v>0</v>
      </c>
      <c r="BE135" s="255">
        <f t="shared" si="74"/>
        <v>0</v>
      </c>
      <c r="BF135" s="31">
        <f t="shared" si="75"/>
        <v>0</v>
      </c>
      <c r="BG135" s="255">
        <f t="shared" si="76"/>
        <v>0</v>
      </c>
      <c r="BH135" s="31">
        <f t="shared" si="77"/>
        <v>0</v>
      </c>
      <c r="BI135" s="255">
        <f t="shared" si="78"/>
        <v>0</v>
      </c>
      <c r="BJ135" s="31">
        <f t="shared" si="79"/>
        <v>0</v>
      </c>
      <c r="BK135" s="31">
        <f t="shared" si="80"/>
        <v>0</v>
      </c>
      <c r="BL135" s="255">
        <f t="shared" si="81"/>
        <v>0</v>
      </c>
      <c r="BM135" s="31">
        <f t="shared" si="82"/>
        <v>0</v>
      </c>
      <c r="BN135" s="255">
        <f t="shared" si="83"/>
        <v>0</v>
      </c>
    </row>
    <row r="136" spans="1:66" x14ac:dyDescent="0.25">
      <c r="A136" s="18" t="s">
        <v>2045</v>
      </c>
      <c r="B136" s="186" t="str">
        <f>VLOOKUP(A136,kurspris!$A$1:$B$877,2,FALSE)</f>
        <v>Engelska för F-3, kurs 2</v>
      </c>
      <c r="C136" s="37"/>
      <c r="D136" s="31" t="s">
        <v>486</v>
      </c>
      <c r="E136" s="31" t="s">
        <v>1788</v>
      </c>
      <c r="F136" s="59" t="s">
        <v>1931</v>
      </c>
      <c r="G136" s="31" t="s">
        <v>2277</v>
      </c>
      <c r="L136" s="31">
        <v>100</v>
      </c>
      <c r="M136" s="31">
        <v>7.5</v>
      </c>
      <c r="P136" s="31">
        <v>44</v>
      </c>
      <c r="Q136" s="232">
        <f t="shared" si="56"/>
        <v>5.5</v>
      </c>
      <c r="R136" s="40">
        <v>0.85</v>
      </c>
      <c r="S136" s="334">
        <f t="shared" si="57"/>
        <v>4.6749999999999998</v>
      </c>
      <c r="T136" s="31">
        <f>VLOOKUP(A136,'Ansvar kurs'!$A$1:$C$1010,2,FALSE)</f>
        <v>1620</v>
      </c>
      <c r="U136" s="31" t="str">
        <f>VLOOKUP(T136,Orgenheter!$A$1:$C$165,2,FALSE)</f>
        <v>Inst för språkstudier</v>
      </c>
      <c r="V136" s="31" t="str">
        <f>VLOOKUP(T136,Orgenheter!$A$1:$C$165,3,FALSE)</f>
        <v>Hum</v>
      </c>
      <c r="W136" s="37" t="str">
        <f>VLOOKUP(D136,Program!$A$1:$B$34,2,FALSE)</f>
        <v>Grundlärarprogrammet - förskoleklass och åk 1-3</v>
      </c>
      <c r="X136" s="42">
        <f>VLOOKUP(A136,kurspris!$A$1:$Q$798,15,FALSE)</f>
        <v>18405</v>
      </c>
      <c r="Y136" s="42">
        <f>VLOOKUP(A136,kurspris!$A$1:$Q$798,16,FALSE)</f>
        <v>15773</v>
      </c>
      <c r="Z136" s="42">
        <f t="shared" si="58"/>
        <v>174966.27499999999</v>
      </c>
      <c r="AA136" s="42">
        <f>VLOOKUP(A136,kurspris!$A$1:$Q$798,17,FALSE)</f>
        <v>5800</v>
      </c>
      <c r="AB136" s="42">
        <f t="shared" si="59"/>
        <v>31900</v>
      </c>
      <c r="AC136" s="42">
        <f t="shared" si="60"/>
        <v>206866.27499999999</v>
      </c>
      <c r="AD136" s="31">
        <f>VLOOKUP($A136,kurspris!$A$1:$Q$835,3,FALSE)</f>
        <v>0</v>
      </c>
      <c r="AE136" s="31">
        <f>VLOOKUP($A136,kurspris!$A$1:$Q$835,4,FALSE)</f>
        <v>1</v>
      </c>
      <c r="AF136" s="31">
        <f>VLOOKUP($A136,kurspris!$A$1:$Q$835,5,FALSE)</f>
        <v>0</v>
      </c>
      <c r="AG136" s="31">
        <f>VLOOKUP($A136,kurspris!$A$1:$Q$835,6,FALSE)</f>
        <v>0</v>
      </c>
      <c r="AH136" s="31">
        <f>VLOOKUP($A136,kurspris!$A$1:$Q$835,7,FALSE)</f>
        <v>0</v>
      </c>
      <c r="AI136" s="31">
        <f>VLOOKUP($A136,kurspris!$A$1:$Q$835,8,FALSE)</f>
        <v>0</v>
      </c>
      <c r="AJ136" s="31">
        <f>VLOOKUP($A136,kurspris!$A$1:$Q$835,9,FALSE)</f>
        <v>0</v>
      </c>
      <c r="AK136" s="31">
        <f>VLOOKUP($A136,kurspris!$A$1:$Q$835,10,FALSE)</f>
        <v>0</v>
      </c>
      <c r="AL136" s="31">
        <f>VLOOKUP($A136,kurspris!$A$1:$Q$835,11,FALSE)</f>
        <v>0</v>
      </c>
      <c r="AM136" s="31">
        <f>VLOOKUP($A136,kurspris!$A$1:$Q$835,12,FALSE)</f>
        <v>0</v>
      </c>
      <c r="AN136" s="31">
        <f>VLOOKUP($A136,kurspris!$A$1:$Q$835,13,FALSE)</f>
        <v>0</v>
      </c>
      <c r="AO136" s="31">
        <f>VLOOKUP($A136,kurspris!$A$1:$Q$835,14,FALSE)</f>
        <v>0</v>
      </c>
      <c r="AP136" s="39" t="s">
        <v>2326</v>
      </c>
      <c r="AQ136"/>
      <c r="AR136" s="31">
        <f t="shared" si="61"/>
        <v>0</v>
      </c>
      <c r="AS136" s="255">
        <f t="shared" si="62"/>
        <v>0</v>
      </c>
      <c r="AT136" s="31">
        <f t="shared" si="63"/>
        <v>5.5</v>
      </c>
      <c r="AU136" s="255">
        <f t="shared" si="64"/>
        <v>4.6749999999999998</v>
      </c>
      <c r="AV136" s="31">
        <f t="shared" si="65"/>
        <v>0</v>
      </c>
      <c r="AW136" s="31">
        <f t="shared" si="66"/>
        <v>0</v>
      </c>
      <c r="AX136" s="31">
        <f t="shared" si="67"/>
        <v>0</v>
      </c>
      <c r="AY136" s="255">
        <f t="shared" si="68"/>
        <v>0</v>
      </c>
      <c r="AZ136" s="232">
        <f t="shared" si="69"/>
        <v>0</v>
      </c>
      <c r="BA136" s="255">
        <f t="shared" si="70"/>
        <v>0</v>
      </c>
      <c r="BB136" s="31">
        <f t="shared" si="71"/>
        <v>0</v>
      </c>
      <c r="BC136" s="255">
        <f t="shared" si="72"/>
        <v>0</v>
      </c>
      <c r="BD136" s="31">
        <f t="shared" si="73"/>
        <v>0</v>
      </c>
      <c r="BE136" s="255">
        <f t="shared" si="74"/>
        <v>0</v>
      </c>
      <c r="BF136" s="31">
        <f t="shared" si="75"/>
        <v>0</v>
      </c>
      <c r="BG136" s="255">
        <f t="shared" si="76"/>
        <v>0</v>
      </c>
      <c r="BH136" s="31">
        <f t="shared" si="77"/>
        <v>0</v>
      </c>
      <c r="BI136" s="255">
        <f t="shared" si="78"/>
        <v>0</v>
      </c>
      <c r="BJ136" s="31">
        <f t="shared" si="79"/>
        <v>0</v>
      </c>
      <c r="BK136" s="31">
        <f t="shared" si="80"/>
        <v>0</v>
      </c>
      <c r="BL136" s="255">
        <f t="shared" si="81"/>
        <v>0</v>
      </c>
      <c r="BM136" s="31">
        <f t="shared" si="82"/>
        <v>0</v>
      </c>
      <c r="BN136" s="255">
        <f t="shared" si="83"/>
        <v>0</v>
      </c>
    </row>
    <row r="137" spans="1:66" x14ac:dyDescent="0.25">
      <c r="A137" s="18" t="s">
        <v>2046</v>
      </c>
      <c r="B137" s="186" t="str">
        <f>VLOOKUP(A137,kurspris!$A$1:$B$877,2,FALSE)</f>
        <v>Engelska för åk 4-6, kurs 2</v>
      </c>
      <c r="C137" s="37"/>
      <c r="D137" s="31" t="s">
        <v>524</v>
      </c>
      <c r="E137" s="31" t="s">
        <v>1788</v>
      </c>
      <c r="F137" s="59" t="s">
        <v>1931</v>
      </c>
      <c r="G137" s="31" t="s">
        <v>2277</v>
      </c>
      <c r="L137" s="31">
        <v>100</v>
      </c>
      <c r="M137" s="31">
        <v>7.5</v>
      </c>
      <c r="P137" s="31">
        <v>21</v>
      </c>
      <c r="Q137" s="232">
        <f t="shared" si="56"/>
        <v>2.625</v>
      </c>
      <c r="R137" s="40">
        <v>0.85</v>
      </c>
      <c r="S137" s="334">
        <f t="shared" si="57"/>
        <v>2.2312499999999997</v>
      </c>
      <c r="T137" s="31">
        <f>VLOOKUP(A137,'Ansvar kurs'!$A$1:$C$1010,2,FALSE)</f>
        <v>1620</v>
      </c>
      <c r="U137" s="31" t="str">
        <f>VLOOKUP(T137,Orgenheter!$A$1:$C$165,2,FALSE)</f>
        <v>Inst för språkstudier</v>
      </c>
      <c r="V137" s="31" t="str">
        <f>VLOOKUP(T137,Orgenheter!$A$1:$C$165,3,FALSE)</f>
        <v>Hum</v>
      </c>
      <c r="W137" s="37" t="str">
        <f>VLOOKUP(D137,Program!$A$1:$B$34,2,FALSE)</f>
        <v>Grundlärarprogrammet - grundskolans åk 4-6</v>
      </c>
      <c r="X137" s="42">
        <f>VLOOKUP(A137,kurspris!$A$1:$Q$798,15,FALSE)</f>
        <v>18405</v>
      </c>
      <c r="Y137" s="42">
        <f>VLOOKUP(A137,kurspris!$A$1:$Q$798,16,FALSE)</f>
        <v>15773</v>
      </c>
      <c r="Z137" s="42">
        <f t="shared" si="58"/>
        <v>83506.631250000006</v>
      </c>
      <c r="AA137" s="42">
        <f>VLOOKUP(A137,kurspris!$A$1:$Q$798,17,FALSE)</f>
        <v>5800</v>
      </c>
      <c r="AB137" s="42">
        <f t="shared" si="59"/>
        <v>15225</v>
      </c>
      <c r="AC137" s="42">
        <f t="shared" si="60"/>
        <v>98731.631250000006</v>
      </c>
      <c r="AD137" s="31">
        <f>VLOOKUP($A137,kurspris!$A$1:$Q$835,3,FALSE)</f>
        <v>0</v>
      </c>
      <c r="AE137" s="31">
        <f>VLOOKUP($A137,kurspris!$A$1:$Q$835,4,FALSE)</f>
        <v>1</v>
      </c>
      <c r="AF137" s="31">
        <f>VLOOKUP($A137,kurspris!$A$1:$Q$835,5,FALSE)</f>
        <v>0</v>
      </c>
      <c r="AG137" s="31">
        <f>VLOOKUP($A137,kurspris!$A$1:$Q$835,6,FALSE)</f>
        <v>0</v>
      </c>
      <c r="AH137" s="31">
        <f>VLOOKUP($A137,kurspris!$A$1:$Q$835,7,FALSE)</f>
        <v>0</v>
      </c>
      <c r="AI137" s="31">
        <f>VLOOKUP($A137,kurspris!$A$1:$Q$835,8,FALSE)</f>
        <v>0</v>
      </c>
      <c r="AJ137" s="31">
        <f>VLOOKUP($A137,kurspris!$A$1:$Q$835,9,FALSE)</f>
        <v>0</v>
      </c>
      <c r="AK137" s="31">
        <f>VLOOKUP($A137,kurspris!$A$1:$Q$835,10,FALSE)</f>
        <v>0</v>
      </c>
      <c r="AL137" s="31">
        <f>VLOOKUP($A137,kurspris!$A$1:$Q$835,11,FALSE)</f>
        <v>0</v>
      </c>
      <c r="AM137" s="31">
        <f>VLOOKUP($A137,kurspris!$A$1:$Q$835,12,FALSE)</f>
        <v>0</v>
      </c>
      <c r="AN137" s="31">
        <f>VLOOKUP($A137,kurspris!$A$1:$Q$835,13,FALSE)</f>
        <v>0</v>
      </c>
      <c r="AO137" s="31">
        <f>VLOOKUP($A137,kurspris!$A$1:$Q$835,14,FALSE)</f>
        <v>0</v>
      </c>
      <c r="AP137" s="39" t="s">
        <v>2326</v>
      </c>
      <c r="AQ137"/>
      <c r="AR137" s="31">
        <f t="shared" si="61"/>
        <v>0</v>
      </c>
      <c r="AS137" s="255">
        <f t="shared" si="62"/>
        <v>0</v>
      </c>
      <c r="AT137" s="31">
        <f t="shared" si="63"/>
        <v>2.625</v>
      </c>
      <c r="AU137" s="255">
        <f t="shared" si="64"/>
        <v>2.2312499999999997</v>
      </c>
      <c r="AV137" s="31">
        <f t="shared" si="65"/>
        <v>0</v>
      </c>
      <c r="AW137" s="31">
        <f t="shared" si="66"/>
        <v>0</v>
      </c>
      <c r="AX137" s="31">
        <f t="shared" si="67"/>
        <v>0</v>
      </c>
      <c r="AY137" s="255">
        <f t="shared" si="68"/>
        <v>0</v>
      </c>
      <c r="AZ137" s="232">
        <f t="shared" si="69"/>
        <v>0</v>
      </c>
      <c r="BA137" s="255">
        <f t="shared" si="70"/>
        <v>0</v>
      </c>
      <c r="BB137" s="31">
        <f t="shared" si="71"/>
        <v>0</v>
      </c>
      <c r="BC137" s="255">
        <f t="shared" si="72"/>
        <v>0</v>
      </c>
      <c r="BD137" s="31">
        <f t="shared" si="73"/>
        <v>0</v>
      </c>
      <c r="BE137" s="255">
        <f t="shared" si="74"/>
        <v>0</v>
      </c>
      <c r="BF137" s="31">
        <f t="shared" si="75"/>
        <v>0</v>
      </c>
      <c r="BG137" s="255">
        <f t="shared" si="76"/>
        <v>0</v>
      </c>
      <c r="BH137" s="31">
        <f t="shared" si="77"/>
        <v>0</v>
      </c>
      <c r="BI137" s="255">
        <f t="shared" si="78"/>
        <v>0</v>
      </c>
      <c r="BJ137" s="31">
        <f t="shared" si="79"/>
        <v>0</v>
      </c>
      <c r="BK137" s="31">
        <f t="shared" si="80"/>
        <v>0</v>
      </c>
      <c r="BL137" s="255">
        <f t="shared" si="81"/>
        <v>0</v>
      </c>
      <c r="BM137" s="31">
        <f t="shared" si="82"/>
        <v>0</v>
      </c>
      <c r="BN137" s="255">
        <f t="shared" si="83"/>
        <v>0</v>
      </c>
    </row>
    <row r="138" spans="1:66" x14ac:dyDescent="0.25">
      <c r="A138" s="18" t="s">
        <v>2047</v>
      </c>
      <c r="B138" s="186" t="str">
        <f>VLOOKUP(A138,kurspris!$A$1:$B$877,2,FALSE)</f>
        <v>Engelska för åk 4-6, kurs 3</v>
      </c>
      <c r="C138" s="37"/>
      <c r="D138" s="31" t="s">
        <v>524</v>
      </c>
      <c r="E138" s="31" t="s">
        <v>1609</v>
      </c>
      <c r="F138" s="59" t="s">
        <v>1931</v>
      </c>
      <c r="G138" s="31" t="s">
        <v>2270</v>
      </c>
      <c r="L138" s="31">
        <v>100</v>
      </c>
      <c r="M138" s="31">
        <v>15</v>
      </c>
      <c r="P138" s="31">
        <v>28</v>
      </c>
      <c r="Q138" s="232">
        <f t="shared" si="56"/>
        <v>7</v>
      </c>
      <c r="R138" s="40">
        <v>0.85</v>
      </c>
      <c r="S138" s="334">
        <f t="shared" si="57"/>
        <v>5.95</v>
      </c>
      <c r="T138" s="31">
        <f>VLOOKUP(A138,'Ansvar kurs'!$A$1:$C$1010,2,FALSE)</f>
        <v>1620</v>
      </c>
      <c r="U138" s="31" t="str">
        <f>VLOOKUP(T138,Orgenheter!$A$1:$C$165,2,FALSE)</f>
        <v>Inst för språkstudier</v>
      </c>
      <c r="V138" s="31" t="str">
        <f>VLOOKUP(T138,Orgenheter!$A$1:$C$165,3,FALSE)</f>
        <v>Hum</v>
      </c>
      <c r="W138" s="37" t="str">
        <f>VLOOKUP(D138,Program!$A$1:$B$34,2,FALSE)</f>
        <v>Grundlärarprogrammet - grundskolans åk 4-6</v>
      </c>
      <c r="X138" s="42">
        <f>VLOOKUP(A138,kurspris!$A$1:$Q$798,15,FALSE)</f>
        <v>18405</v>
      </c>
      <c r="Y138" s="42">
        <f>VLOOKUP(A138,kurspris!$A$1:$Q$798,16,FALSE)</f>
        <v>15773</v>
      </c>
      <c r="Z138" s="42">
        <f t="shared" si="58"/>
        <v>222684.35</v>
      </c>
      <c r="AA138" s="42">
        <f>VLOOKUP(A138,kurspris!$A$1:$Q$798,17,FALSE)</f>
        <v>5800</v>
      </c>
      <c r="AB138" s="42">
        <f t="shared" si="59"/>
        <v>40600</v>
      </c>
      <c r="AC138" s="42">
        <f t="shared" si="60"/>
        <v>263284.34999999998</v>
      </c>
      <c r="AD138" s="31">
        <f>VLOOKUP($A138,kurspris!$A$1:$Q$835,3,FALSE)</f>
        <v>0</v>
      </c>
      <c r="AE138" s="31">
        <f>VLOOKUP($A138,kurspris!$A$1:$Q$835,4,FALSE)</f>
        <v>1</v>
      </c>
      <c r="AF138" s="31">
        <f>VLOOKUP($A138,kurspris!$A$1:$Q$835,5,FALSE)</f>
        <v>0</v>
      </c>
      <c r="AG138" s="31">
        <f>VLOOKUP($A138,kurspris!$A$1:$Q$835,6,FALSE)</f>
        <v>0</v>
      </c>
      <c r="AH138" s="31">
        <f>VLOOKUP($A138,kurspris!$A$1:$Q$835,7,FALSE)</f>
        <v>0</v>
      </c>
      <c r="AI138" s="31">
        <f>VLOOKUP($A138,kurspris!$A$1:$Q$835,8,FALSE)</f>
        <v>0</v>
      </c>
      <c r="AJ138" s="31">
        <f>VLOOKUP($A138,kurspris!$A$1:$Q$835,9,FALSE)</f>
        <v>0</v>
      </c>
      <c r="AK138" s="31">
        <f>VLOOKUP($A138,kurspris!$A$1:$Q$835,10,FALSE)</f>
        <v>0</v>
      </c>
      <c r="AL138" s="31">
        <f>VLOOKUP($A138,kurspris!$A$1:$Q$835,11,FALSE)</f>
        <v>0</v>
      </c>
      <c r="AM138" s="31">
        <f>VLOOKUP($A138,kurspris!$A$1:$Q$835,12,FALSE)</f>
        <v>0</v>
      </c>
      <c r="AN138" s="31">
        <f>VLOOKUP($A138,kurspris!$A$1:$Q$835,13,FALSE)</f>
        <v>0</v>
      </c>
      <c r="AO138" s="31">
        <f>VLOOKUP($A138,kurspris!$A$1:$Q$835,14,FALSE)</f>
        <v>0</v>
      </c>
      <c r="AP138" s="39" t="s">
        <v>2326</v>
      </c>
      <c r="AQ138"/>
      <c r="AR138" s="31">
        <f t="shared" si="61"/>
        <v>0</v>
      </c>
      <c r="AS138" s="255">
        <f t="shared" si="62"/>
        <v>0</v>
      </c>
      <c r="AT138" s="31">
        <f t="shared" si="63"/>
        <v>7</v>
      </c>
      <c r="AU138" s="255">
        <f t="shared" si="64"/>
        <v>5.95</v>
      </c>
      <c r="AV138" s="31">
        <f t="shared" si="65"/>
        <v>0</v>
      </c>
      <c r="AW138" s="31">
        <f t="shared" si="66"/>
        <v>0</v>
      </c>
      <c r="AX138" s="31">
        <f t="shared" si="67"/>
        <v>0</v>
      </c>
      <c r="AY138" s="255">
        <f t="shared" si="68"/>
        <v>0</v>
      </c>
      <c r="AZ138" s="232">
        <f t="shared" si="69"/>
        <v>0</v>
      </c>
      <c r="BA138" s="255">
        <f t="shared" si="70"/>
        <v>0</v>
      </c>
      <c r="BB138" s="31">
        <f t="shared" si="71"/>
        <v>0</v>
      </c>
      <c r="BC138" s="255">
        <f t="shared" si="72"/>
        <v>0</v>
      </c>
      <c r="BD138" s="31">
        <f t="shared" si="73"/>
        <v>0</v>
      </c>
      <c r="BE138" s="255">
        <f t="shared" si="74"/>
        <v>0</v>
      </c>
      <c r="BF138" s="31">
        <f t="shared" si="75"/>
        <v>0</v>
      </c>
      <c r="BG138" s="255">
        <f t="shared" si="76"/>
        <v>0</v>
      </c>
      <c r="BH138" s="31">
        <f t="shared" si="77"/>
        <v>0</v>
      </c>
      <c r="BI138" s="255">
        <f t="shared" si="78"/>
        <v>0</v>
      </c>
      <c r="BJ138" s="31">
        <f t="shared" si="79"/>
        <v>0</v>
      </c>
      <c r="BK138" s="31">
        <f t="shared" si="80"/>
        <v>0</v>
      </c>
      <c r="BL138" s="255">
        <f t="shared" si="81"/>
        <v>0</v>
      </c>
      <c r="BM138" s="31">
        <f t="shared" si="82"/>
        <v>0</v>
      </c>
      <c r="BN138" s="255">
        <f t="shared" si="83"/>
        <v>0</v>
      </c>
    </row>
    <row r="139" spans="1:66" x14ac:dyDescent="0.25">
      <c r="A139" s="64" t="s">
        <v>2253</v>
      </c>
      <c r="B139" s="186" t="str">
        <f>VLOOKUP(A139,kurspris!$A$1:$B$877,2,FALSE)</f>
        <v>Kommunikativ kompetens i engelska för grundlärare</v>
      </c>
      <c r="C139" s="37"/>
      <c r="D139" t="s">
        <v>117</v>
      </c>
      <c r="E139"/>
      <c r="F139" s="59" t="s">
        <v>2093</v>
      </c>
      <c r="G139" t="s">
        <v>2065</v>
      </c>
      <c r="H139"/>
      <c r="I139" s="18" t="s">
        <v>2066</v>
      </c>
      <c r="J139" s="159"/>
      <c r="K139" s="159"/>
      <c r="L139">
        <v>50</v>
      </c>
      <c r="M139">
        <v>7.5</v>
      </c>
      <c r="P139">
        <v>27</v>
      </c>
      <c r="Q139" s="232">
        <f t="shared" si="56"/>
        <v>3.375</v>
      </c>
      <c r="R139" s="40">
        <v>0.8</v>
      </c>
      <c r="S139" s="334">
        <f t="shared" si="57"/>
        <v>2.7</v>
      </c>
      <c r="T139" s="31">
        <f>VLOOKUP(A139,'Ansvar kurs'!$A$1:$C$1010,2,FALSE)</f>
        <v>1620</v>
      </c>
      <c r="U139" s="31" t="str">
        <f>VLOOKUP(T139,Orgenheter!$A$1:$C$165,2,FALSE)</f>
        <v>Inst för språkstudier</v>
      </c>
      <c r="V139" s="31" t="str">
        <f>VLOOKUP(T139,Orgenheter!$A$1:$C$165,3,FALSE)</f>
        <v>Hum</v>
      </c>
      <c r="W139" s="37" t="str">
        <f>VLOOKUP(D139,Program!$A$1:$B$34,2,FALSE)</f>
        <v>Fristående och övriga kurser</v>
      </c>
      <c r="X139" s="42">
        <f>VLOOKUP(A139,kurspris!$A$1:$Q$798,15,FALSE)</f>
        <v>18405</v>
      </c>
      <c r="Y139" s="42">
        <f>VLOOKUP(A139,kurspris!$A$1:$Q$798,16,FALSE)</f>
        <v>15773</v>
      </c>
      <c r="Z139" s="42">
        <f t="shared" si="58"/>
        <v>104703.97500000001</v>
      </c>
      <c r="AA139" s="42">
        <f>VLOOKUP(A139,kurspris!$A$1:$Q$798,17,FALSE)</f>
        <v>5800</v>
      </c>
      <c r="AB139" s="42">
        <f t="shared" si="59"/>
        <v>19575</v>
      </c>
      <c r="AC139" s="42">
        <f t="shared" si="60"/>
        <v>124278.97500000001</v>
      </c>
      <c r="AD139" s="31">
        <f>VLOOKUP($A139,kurspris!$A$1:$Q$835,3,FALSE)</f>
        <v>0</v>
      </c>
      <c r="AE139" s="31">
        <f>VLOOKUP($A139,kurspris!$A$1:$Q$835,4,FALSE)</f>
        <v>1</v>
      </c>
      <c r="AF139" s="31">
        <f>VLOOKUP($A139,kurspris!$A$1:$Q$835,5,FALSE)</f>
        <v>0</v>
      </c>
      <c r="AG139" s="31">
        <f>VLOOKUP($A139,kurspris!$A$1:$Q$835,6,FALSE)</f>
        <v>0</v>
      </c>
      <c r="AH139" s="31">
        <f>VLOOKUP($A139,kurspris!$A$1:$Q$835,7,FALSE)</f>
        <v>0</v>
      </c>
      <c r="AI139" s="31">
        <f>VLOOKUP($A139,kurspris!$A$1:$Q$835,8,FALSE)</f>
        <v>0</v>
      </c>
      <c r="AJ139" s="31">
        <f>VLOOKUP($A139,kurspris!$A$1:$Q$835,9,FALSE)</f>
        <v>0</v>
      </c>
      <c r="AK139" s="31">
        <f>VLOOKUP($A139,kurspris!$A$1:$Q$835,10,FALSE)</f>
        <v>0</v>
      </c>
      <c r="AL139" s="31">
        <f>VLOOKUP($A139,kurspris!$A$1:$Q$835,11,FALSE)</f>
        <v>0</v>
      </c>
      <c r="AM139" s="31">
        <f>VLOOKUP($A139,kurspris!$A$1:$Q$835,12,FALSE)</f>
        <v>0</v>
      </c>
      <c r="AN139" s="31">
        <f>VLOOKUP($A139,kurspris!$A$1:$Q$835,13,FALSE)</f>
        <v>0</v>
      </c>
      <c r="AO139" s="31">
        <f>VLOOKUP($A139,kurspris!$A$1:$Q$835,14,FALSE)</f>
        <v>0</v>
      </c>
      <c r="AP139" s="39" t="s">
        <v>2250</v>
      </c>
      <c r="AQ139" s="39" t="s">
        <v>2095</v>
      </c>
      <c r="AR139" s="31">
        <f t="shared" si="61"/>
        <v>0</v>
      </c>
      <c r="AS139" s="255">
        <f t="shared" si="62"/>
        <v>0</v>
      </c>
      <c r="AT139" s="31">
        <f t="shared" si="63"/>
        <v>3.375</v>
      </c>
      <c r="AU139" s="255">
        <f t="shared" si="64"/>
        <v>2.7</v>
      </c>
      <c r="AV139" s="31">
        <f t="shared" si="65"/>
        <v>0</v>
      </c>
      <c r="AW139" s="31">
        <f t="shared" si="66"/>
        <v>0</v>
      </c>
      <c r="AX139" s="31">
        <f t="shared" si="67"/>
        <v>0</v>
      </c>
      <c r="AY139" s="255">
        <f t="shared" si="68"/>
        <v>0</v>
      </c>
      <c r="AZ139" s="232">
        <f t="shared" si="69"/>
        <v>0</v>
      </c>
      <c r="BA139" s="255">
        <f t="shared" si="70"/>
        <v>0</v>
      </c>
      <c r="BB139" s="31">
        <f t="shared" si="71"/>
        <v>0</v>
      </c>
      <c r="BC139" s="255">
        <f t="shared" si="72"/>
        <v>0</v>
      </c>
      <c r="BD139" s="31">
        <f t="shared" si="73"/>
        <v>0</v>
      </c>
      <c r="BE139" s="255">
        <f t="shared" si="74"/>
        <v>0</v>
      </c>
      <c r="BF139" s="31">
        <f t="shared" si="75"/>
        <v>0</v>
      </c>
      <c r="BG139" s="255">
        <f t="shared" si="76"/>
        <v>0</v>
      </c>
      <c r="BH139" s="31">
        <f t="shared" si="77"/>
        <v>0</v>
      </c>
      <c r="BI139" s="255">
        <f t="shared" si="78"/>
        <v>0</v>
      </c>
      <c r="BJ139" s="31">
        <f t="shared" si="79"/>
        <v>0</v>
      </c>
      <c r="BK139" s="31">
        <f t="shared" si="80"/>
        <v>0</v>
      </c>
      <c r="BL139" s="255">
        <f t="shared" si="81"/>
        <v>0</v>
      </c>
      <c r="BM139" s="31">
        <f t="shared" si="82"/>
        <v>0</v>
      </c>
      <c r="BN139" s="255">
        <f t="shared" si="83"/>
        <v>0</v>
      </c>
    </row>
    <row r="140" spans="1:66" x14ac:dyDescent="0.25">
      <c r="A140" s="18" t="s">
        <v>400</v>
      </c>
      <c r="B140" s="186" t="str">
        <f>VLOOKUP(A140,kurspris!$A$1:$B$877,2,FALSE)</f>
        <v>Skapande bild, distans</v>
      </c>
      <c r="C140" s="37"/>
      <c r="D140" t="s">
        <v>117</v>
      </c>
      <c r="E140"/>
      <c r="F140" s="59" t="s">
        <v>1930</v>
      </c>
      <c r="G140"/>
      <c r="H140"/>
      <c r="I140" t="s">
        <v>2066</v>
      </c>
      <c r="L140">
        <v>50</v>
      </c>
      <c r="M140">
        <v>15</v>
      </c>
      <c r="P140" s="31">
        <v>17</v>
      </c>
      <c r="Q140" s="232">
        <f t="shared" si="56"/>
        <v>4.25</v>
      </c>
      <c r="R140" s="40">
        <v>0.8</v>
      </c>
      <c r="S140" s="334">
        <f t="shared" si="57"/>
        <v>3.4000000000000004</v>
      </c>
      <c r="T140" s="31">
        <f>VLOOKUP(A140,'Ansvar kurs'!$A$1:$C$1010,2,FALSE)</f>
        <v>1650</v>
      </c>
      <c r="U140" s="31" t="str">
        <f>VLOOKUP(T140,Orgenheter!$A$1:$C$165,2,FALSE)</f>
        <v xml:space="preserve">Estetiska ämnen               </v>
      </c>
      <c r="V140" s="31" t="str">
        <f>VLOOKUP(T140,Orgenheter!$A$1:$C$165,3,FALSE)</f>
        <v>Hum</v>
      </c>
      <c r="W140" s="37" t="str">
        <f>VLOOKUP(D140,Program!$A$1:$B$34,2,FALSE)</f>
        <v>Fristående och övriga kurser</v>
      </c>
      <c r="X140" s="42">
        <f>VLOOKUP(A140,kurspris!$A$1:$Q$798,15,FALSE)</f>
        <v>40569</v>
      </c>
      <c r="Y140" s="42">
        <f>VLOOKUP(A140,kurspris!$A$1:$Q$798,16,FALSE)</f>
        <v>46697.75</v>
      </c>
      <c r="Z140" s="42">
        <f t="shared" si="58"/>
        <v>331190.59999999998</v>
      </c>
      <c r="AA140" s="42">
        <f>VLOOKUP(A140,kurspris!$A$1:$Q$798,17,FALSE)</f>
        <v>53200</v>
      </c>
      <c r="AB140" s="42">
        <f t="shared" si="59"/>
        <v>226100</v>
      </c>
      <c r="AC140" s="42">
        <f t="shared" si="60"/>
        <v>557290.6</v>
      </c>
      <c r="AD140" s="31">
        <f>VLOOKUP($A140,kurspris!$A$1:$Q$835,3,FALSE)</f>
        <v>0.75</v>
      </c>
      <c r="AE140" s="31">
        <f>VLOOKUP($A140,kurspris!$A$1:$Q$835,4,FALSE)</f>
        <v>0.25</v>
      </c>
      <c r="AF140" s="31">
        <f>VLOOKUP($A140,kurspris!$A$1:$Q$835,5,FALSE)</f>
        <v>0</v>
      </c>
      <c r="AG140" s="31">
        <f>VLOOKUP($A140,kurspris!$A$1:$Q$835,6,FALSE)</f>
        <v>0</v>
      </c>
      <c r="AH140" s="31">
        <f>VLOOKUP($A140,kurspris!$A$1:$Q$835,7,FALSE)</f>
        <v>0</v>
      </c>
      <c r="AI140" s="31">
        <f>VLOOKUP($A140,kurspris!$A$1:$Q$835,8,FALSE)</f>
        <v>0</v>
      </c>
      <c r="AJ140" s="31">
        <f>VLOOKUP($A140,kurspris!$A$1:$Q$835,9,FALSE)</f>
        <v>0</v>
      </c>
      <c r="AK140" s="31">
        <f>VLOOKUP($A140,kurspris!$A$1:$Q$835,10,FALSE)</f>
        <v>0</v>
      </c>
      <c r="AL140" s="31">
        <f>VLOOKUP($A140,kurspris!$A$1:$Q$835,11,FALSE)</f>
        <v>0</v>
      </c>
      <c r="AM140" s="31">
        <f>VLOOKUP($A140,kurspris!$A$1:$Q$835,12,FALSE)</f>
        <v>0</v>
      </c>
      <c r="AN140" s="31">
        <f>VLOOKUP($A140,kurspris!$A$1:$Q$835,13,FALSE)</f>
        <v>0</v>
      </c>
      <c r="AO140" s="31">
        <f>VLOOKUP($A140,kurspris!$A$1:$Q$835,14,FALSE)</f>
        <v>0</v>
      </c>
      <c r="AP140" s="39" t="s">
        <v>2232</v>
      </c>
      <c r="AQ140" s="39" t="s">
        <v>2095</v>
      </c>
      <c r="AR140" s="31">
        <f t="shared" si="61"/>
        <v>3.1875</v>
      </c>
      <c r="AS140" s="255">
        <f t="shared" si="62"/>
        <v>2.5500000000000003</v>
      </c>
      <c r="AT140" s="31">
        <f t="shared" si="63"/>
        <v>1.0625</v>
      </c>
      <c r="AU140" s="255">
        <f t="shared" si="64"/>
        <v>0.85000000000000009</v>
      </c>
      <c r="AV140" s="31">
        <f t="shared" si="65"/>
        <v>0</v>
      </c>
      <c r="AW140" s="31">
        <f t="shared" si="66"/>
        <v>0</v>
      </c>
      <c r="AX140" s="31">
        <f t="shared" si="67"/>
        <v>0</v>
      </c>
      <c r="AY140" s="255">
        <f t="shared" si="68"/>
        <v>0</v>
      </c>
      <c r="AZ140" s="232">
        <f t="shared" si="69"/>
        <v>0</v>
      </c>
      <c r="BA140" s="255">
        <f t="shared" si="70"/>
        <v>0</v>
      </c>
      <c r="BB140" s="31">
        <f t="shared" si="71"/>
        <v>0</v>
      </c>
      <c r="BC140" s="255">
        <f t="shared" si="72"/>
        <v>0</v>
      </c>
      <c r="BD140" s="31">
        <f t="shared" si="73"/>
        <v>0</v>
      </c>
      <c r="BE140" s="255">
        <f t="shared" si="74"/>
        <v>0</v>
      </c>
      <c r="BF140" s="31">
        <f t="shared" si="75"/>
        <v>0</v>
      </c>
      <c r="BG140" s="255">
        <f t="shared" si="76"/>
        <v>0</v>
      </c>
      <c r="BH140" s="31">
        <f t="shared" si="77"/>
        <v>0</v>
      </c>
      <c r="BI140" s="255">
        <f t="shared" si="78"/>
        <v>0</v>
      </c>
      <c r="BJ140" s="31">
        <f t="shared" si="79"/>
        <v>0</v>
      </c>
      <c r="BK140" s="31">
        <f t="shared" si="80"/>
        <v>0</v>
      </c>
      <c r="BL140" s="255">
        <f t="shared" si="81"/>
        <v>0</v>
      </c>
      <c r="BM140" s="31">
        <f t="shared" si="82"/>
        <v>0</v>
      </c>
      <c r="BN140" s="255">
        <f t="shared" si="83"/>
        <v>0</v>
      </c>
    </row>
    <row r="141" spans="1:66" x14ac:dyDescent="0.25">
      <c r="A141" s="18" t="s">
        <v>400</v>
      </c>
      <c r="B141" s="186" t="str">
        <f>VLOOKUP(A141,kurspris!$A$1:$B$877,2,FALSE)</f>
        <v>Skapande bild, distans</v>
      </c>
      <c r="C141" s="37"/>
      <c r="D141" t="s">
        <v>117</v>
      </c>
      <c r="E141"/>
      <c r="F141" s="59" t="s">
        <v>1931</v>
      </c>
      <c r="G141"/>
      <c r="H141"/>
      <c r="I141" t="s">
        <v>2066</v>
      </c>
      <c r="L141">
        <v>50</v>
      </c>
      <c r="M141">
        <v>15</v>
      </c>
      <c r="P141">
        <v>18</v>
      </c>
      <c r="Q141" s="232">
        <f t="shared" si="56"/>
        <v>4.5</v>
      </c>
      <c r="R141" s="40">
        <v>0.8</v>
      </c>
      <c r="S141" s="334">
        <f t="shared" si="57"/>
        <v>3.6</v>
      </c>
      <c r="T141" s="31">
        <f>VLOOKUP(A141,'Ansvar kurs'!$A$1:$C$1010,2,FALSE)</f>
        <v>1650</v>
      </c>
      <c r="U141" s="31" t="str">
        <f>VLOOKUP(T141,Orgenheter!$A$1:$C$165,2,FALSE)</f>
        <v xml:space="preserve">Estetiska ämnen               </v>
      </c>
      <c r="V141" s="31" t="str">
        <f>VLOOKUP(T141,Orgenheter!$A$1:$C$165,3,FALSE)</f>
        <v>Hum</v>
      </c>
      <c r="W141" s="37" t="str">
        <f>VLOOKUP(D141,Program!$A$1:$B$34,2,FALSE)</f>
        <v>Fristående och övriga kurser</v>
      </c>
      <c r="X141" s="42">
        <f>VLOOKUP(A141,kurspris!$A$1:$Q$798,15,FALSE)</f>
        <v>40569</v>
      </c>
      <c r="Y141" s="42">
        <f>VLOOKUP(A141,kurspris!$A$1:$Q$798,16,FALSE)</f>
        <v>46697.75</v>
      </c>
      <c r="Z141" s="42">
        <f t="shared" si="58"/>
        <v>350672.4</v>
      </c>
      <c r="AA141" s="42">
        <f>VLOOKUP(A141,kurspris!$A$1:$Q$798,17,FALSE)</f>
        <v>53200</v>
      </c>
      <c r="AB141" s="42">
        <f t="shared" si="59"/>
        <v>239400</v>
      </c>
      <c r="AC141" s="42">
        <f t="shared" si="60"/>
        <v>590072.4</v>
      </c>
      <c r="AD141" s="31">
        <f>VLOOKUP($A141,kurspris!$A$1:$Q$835,3,FALSE)</f>
        <v>0.75</v>
      </c>
      <c r="AE141" s="31">
        <f>VLOOKUP($A141,kurspris!$A$1:$Q$835,4,FALSE)</f>
        <v>0.25</v>
      </c>
      <c r="AF141" s="31">
        <f>VLOOKUP($A141,kurspris!$A$1:$Q$835,5,FALSE)</f>
        <v>0</v>
      </c>
      <c r="AG141" s="31">
        <f>VLOOKUP($A141,kurspris!$A$1:$Q$835,6,FALSE)</f>
        <v>0</v>
      </c>
      <c r="AH141" s="31">
        <f>VLOOKUP($A141,kurspris!$A$1:$Q$835,7,FALSE)</f>
        <v>0</v>
      </c>
      <c r="AI141" s="31">
        <f>VLOOKUP($A141,kurspris!$A$1:$Q$835,8,FALSE)</f>
        <v>0</v>
      </c>
      <c r="AJ141" s="31">
        <f>VLOOKUP($A141,kurspris!$A$1:$Q$835,9,FALSE)</f>
        <v>0</v>
      </c>
      <c r="AK141" s="31">
        <f>VLOOKUP($A141,kurspris!$A$1:$Q$835,10,FALSE)</f>
        <v>0</v>
      </c>
      <c r="AL141" s="31">
        <f>VLOOKUP($A141,kurspris!$A$1:$Q$835,11,FALSE)</f>
        <v>0</v>
      </c>
      <c r="AM141" s="31">
        <f>VLOOKUP($A141,kurspris!$A$1:$Q$835,12,FALSE)</f>
        <v>0</v>
      </c>
      <c r="AN141" s="31">
        <f>VLOOKUP($A141,kurspris!$A$1:$Q$835,13,FALSE)</f>
        <v>0</v>
      </c>
      <c r="AO141" s="31">
        <f>VLOOKUP($A141,kurspris!$A$1:$Q$835,14,FALSE)</f>
        <v>0</v>
      </c>
      <c r="AP141" s="39" t="s">
        <v>2095</v>
      </c>
      <c r="AQ141"/>
      <c r="AR141" s="31">
        <f t="shared" si="61"/>
        <v>3.375</v>
      </c>
      <c r="AS141" s="255">
        <f t="shared" si="62"/>
        <v>2.7</v>
      </c>
      <c r="AT141" s="31">
        <f t="shared" si="63"/>
        <v>1.125</v>
      </c>
      <c r="AU141" s="255">
        <f t="shared" si="64"/>
        <v>0.9</v>
      </c>
      <c r="AV141" s="31">
        <f t="shared" si="65"/>
        <v>0</v>
      </c>
      <c r="AW141" s="31">
        <f t="shared" si="66"/>
        <v>0</v>
      </c>
      <c r="AX141" s="31">
        <f t="shared" si="67"/>
        <v>0</v>
      </c>
      <c r="AY141" s="255">
        <f t="shared" si="68"/>
        <v>0</v>
      </c>
      <c r="AZ141" s="232">
        <f t="shared" si="69"/>
        <v>0</v>
      </c>
      <c r="BA141" s="255">
        <f t="shared" si="70"/>
        <v>0</v>
      </c>
      <c r="BB141" s="31">
        <f t="shared" si="71"/>
        <v>0</v>
      </c>
      <c r="BC141" s="255">
        <f t="shared" si="72"/>
        <v>0</v>
      </c>
      <c r="BD141" s="31">
        <f t="shared" si="73"/>
        <v>0</v>
      </c>
      <c r="BE141" s="255">
        <f t="shared" si="74"/>
        <v>0</v>
      </c>
      <c r="BF141" s="31">
        <f t="shared" si="75"/>
        <v>0</v>
      </c>
      <c r="BG141" s="255">
        <f t="shared" si="76"/>
        <v>0</v>
      </c>
      <c r="BH141" s="31">
        <f t="shared" si="77"/>
        <v>0</v>
      </c>
      <c r="BI141" s="255">
        <f t="shared" si="78"/>
        <v>0</v>
      </c>
      <c r="BJ141" s="31">
        <f t="shared" si="79"/>
        <v>0</v>
      </c>
      <c r="BK141" s="31">
        <f t="shared" si="80"/>
        <v>0</v>
      </c>
      <c r="BL141" s="255">
        <f t="shared" si="81"/>
        <v>0</v>
      </c>
      <c r="BM141" s="31">
        <f t="shared" si="82"/>
        <v>0</v>
      </c>
      <c r="BN141" s="255">
        <f t="shared" si="83"/>
        <v>0</v>
      </c>
    </row>
    <row r="142" spans="1:66" x14ac:dyDescent="0.25">
      <c r="A142" t="s">
        <v>582</v>
      </c>
      <c r="B142" s="186" t="str">
        <f>VLOOKUP(A142,kurspris!$A$1:$B$877,2,FALSE)</f>
        <v>Bild 3</v>
      </c>
      <c r="C142"/>
      <c r="D142" t="s">
        <v>483</v>
      </c>
      <c r="E142" t="s">
        <v>1976</v>
      </c>
      <c r="F142" s="59" t="s">
        <v>1930</v>
      </c>
      <c r="G142" t="s">
        <v>1995</v>
      </c>
      <c r="H142" t="s">
        <v>1910</v>
      </c>
      <c r="I142"/>
      <c r="J142" t="s">
        <v>777</v>
      </c>
      <c r="K142"/>
      <c r="L142">
        <v>100</v>
      </c>
      <c r="M142">
        <v>30</v>
      </c>
      <c r="N142"/>
      <c r="O142"/>
      <c r="P142" s="31">
        <v>1</v>
      </c>
      <c r="Q142" s="232">
        <f t="shared" si="56"/>
        <v>0.5</v>
      </c>
      <c r="R142" s="40">
        <v>0.85</v>
      </c>
      <c r="S142" s="334">
        <f t="shared" si="57"/>
        <v>0.42499999999999999</v>
      </c>
      <c r="T142" s="31">
        <f>VLOOKUP(A142,'Ansvar kurs'!$A$1:$C$1010,2,FALSE)</f>
        <v>1650</v>
      </c>
      <c r="U142" s="31" t="str">
        <f>VLOOKUP(T142,Orgenheter!$A$1:$C$165,2,FALSE)</f>
        <v xml:space="preserve">Estetiska ämnen               </v>
      </c>
      <c r="V142" s="31" t="str">
        <f>VLOOKUP(T142,Orgenheter!$A$1:$C$165,3,FALSE)</f>
        <v>Hum</v>
      </c>
      <c r="W142" s="37" t="str">
        <f>VLOOKUP(D142,Program!$A$1:$B$34,2,FALSE)</f>
        <v>Ämneslärarprogrammet - Gy</v>
      </c>
      <c r="X142" s="42">
        <f>VLOOKUP(A142,kurspris!$A$1:$Q$798,15,FALSE)</f>
        <v>47957</v>
      </c>
      <c r="Y142" s="42">
        <f>VLOOKUP(A142,kurspris!$A$1:$Q$798,16,FALSE)</f>
        <v>57006</v>
      </c>
      <c r="Z142" s="42">
        <f t="shared" si="58"/>
        <v>48206.05</v>
      </c>
      <c r="AA142" s="42">
        <f>VLOOKUP(A142,kurspris!$A$1:$Q$798,17,FALSE)</f>
        <v>69000</v>
      </c>
      <c r="AB142" s="42">
        <f t="shared" si="59"/>
        <v>34500</v>
      </c>
      <c r="AC142" s="42">
        <f t="shared" si="60"/>
        <v>82706.05</v>
      </c>
      <c r="AD142" s="31">
        <f>VLOOKUP($A142,kurspris!$A$1:$Q$835,3,FALSE)</f>
        <v>1</v>
      </c>
      <c r="AE142" s="31">
        <f>VLOOKUP($A142,kurspris!$A$1:$Q$835,4,FALSE)</f>
        <v>0</v>
      </c>
      <c r="AF142" s="31">
        <f>VLOOKUP($A142,kurspris!$A$1:$Q$835,5,FALSE)</f>
        <v>0</v>
      </c>
      <c r="AG142" s="31">
        <f>VLOOKUP($A142,kurspris!$A$1:$Q$835,6,FALSE)</f>
        <v>0</v>
      </c>
      <c r="AH142" s="31">
        <f>VLOOKUP($A142,kurspris!$A$1:$Q$835,7,FALSE)</f>
        <v>0</v>
      </c>
      <c r="AI142" s="31">
        <f>VLOOKUP($A142,kurspris!$A$1:$Q$835,8,FALSE)</f>
        <v>0</v>
      </c>
      <c r="AJ142" s="31">
        <f>VLOOKUP($A142,kurspris!$A$1:$Q$835,9,FALSE)</f>
        <v>0</v>
      </c>
      <c r="AK142" s="31">
        <f>VLOOKUP($A142,kurspris!$A$1:$Q$835,10,FALSE)</f>
        <v>0</v>
      </c>
      <c r="AL142" s="31">
        <f>VLOOKUP($A142,kurspris!$A$1:$Q$835,11,FALSE)</f>
        <v>0</v>
      </c>
      <c r="AM142" s="31">
        <f>VLOOKUP($A142,kurspris!$A$1:$Q$835,12,FALSE)</f>
        <v>0</v>
      </c>
      <c r="AN142" s="31">
        <f>VLOOKUP($A142,kurspris!$A$1:$Q$835,13,FALSE)</f>
        <v>0</v>
      </c>
      <c r="AO142" s="31">
        <f>VLOOKUP($A142,kurspris!$A$1:$Q$835,14,FALSE)</f>
        <v>0</v>
      </c>
      <c r="AP142" s="39" t="s">
        <v>2204</v>
      </c>
      <c r="AQ142"/>
      <c r="AR142" s="31">
        <f t="shared" si="61"/>
        <v>0.5</v>
      </c>
      <c r="AS142" s="255">
        <f t="shared" si="62"/>
        <v>0.42499999999999999</v>
      </c>
      <c r="AT142" s="31">
        <f t="shared" si="63"/>
        <v>0</v>
      </c>
      <c r="AU142" s="255">
        <f t="shared" si="64"/>
        <v>0</v>
      </c>
      <c r="AV142" s="31">
        <f t="shared" si="65"/>
        <v>0</v>
      </c>
      <c r="AW142" s="31">
        <f t="shared" si="66"/>
        <v>0</v>
      </c>
      <c r="AX142" s="31">
        <f t="shared" si="67"/>
        <v>0</v>
      </c>
      <c r="AY142" s="255">
        <f t="shared" si="68"/>
        <v>0</v>
      </c>
      <c r="AZ142" s="232">
        <f t="shared" si="69"/>
        <v>0</v>
      </c>
      <c r="BA142" s="255">
        <f t="shared" si="70"/>
        <v>0</v>
      </c>
      <c r="BB142" s="31">
        <f t="shared" si="71"/>
        <v>0</v>
      </c>
      <c r="BC142" s="255">
        <f t="shared" si="72"/>
        <v>0</v>
      </c>
      <c r="BD142" s="31">
        <f t="shared" si="73"/>
        <v>0</v>
      </c>
      <c r="BE142" s="255">
        <f t="shared" si="74"/>
        <v>0</v>
      </c>
      <c r="BF142" s="31">
        <f t="shared" si="75"/>
        <v>0</v>
      </c>
      <c r="BG142" s="255">
        <f t="shared" si="76"/>
        <v>0</v>
      </c>
      <c r="BH142" s="31">
        <f t="shared" si="77"/>
        <v>0</v>
      </c>
      <c r="BI142" s="255">
        <f t="shared" si="78"/>
        <v>0</v>
      </c>
      <c r="BJ142" s="31">
        <f t="shared" si="79"/>
        <v>0</v>
      </c>
      <c r="BK142" s="31">
        <f t="shared" si="80"/>
        <v>0</v>
      </c>
      <c r="BL142" s="255">
        <f t="shared" si="81"/>
        <v>0</v>
      </c>
      <c r="BM142" s="31">
        <f t="shared" si="82"/>
        <v>0</v>
      </c>
      <c r="BN142" s="255">
        <f t="shared" si="83"/>
        <v>0</v>
      </c>
    </row>
    <row r="143" spans="1:66" x14ac:dyDescent="0.25">
      <c r="A143" t="s">
        <v>582</v>
      </c>
      <c r="B143" s="186" t="str">
        <f>VLOOKUP(A143,kurspris!$A$1:$B$877,2,FALSE)</f>
        <v>Bild 3</v>
      </c>
      <c r="C143"/>
      <c r="D143" t="s">
        <v>483</v>
      </c>
      <c r="E143" t="s">
        <v>1976</v>
      </c>
      <c r="F143" s="59" t="s">
        <v>1930</v>
      </c>
      <c r="G143" t="s">
        <v>1995</v>
      </c>
      <c r="H143" t="s">
        <v>1910</v>
      </c>
      <c r="I143"/>
      <c r="J143" t="s">
        <v>778</v>
      </c>
      <c r="K143"/>
      <c r="L143">
        <v>100</v>
      </c>
      <c r="M143">
        <v>30</v>
      </c>
      <c r="N143"/>
      <c r="O143"/>
      <c r="P143" s="31">
        <v>1</v>
      </c>
      <c r="Q143" s="232">
        <f t="shared" si="56"/>
        <v>0.5</v>
      </c>
      <c r="R143" s="40">
        <v>0.85</v>
      </c>
      <c r="S143" s="334">
        <f t="shared" si="57"/>
        <v>0.42499999999999999</v>
      </c>
      <c r="T143" s="31">
        <f>VLOOKUP(A143,'Ansvar kurs'!$A$1:$C$1010,2,FALSE)</f>
        <v>1650</v>
      </c>
      <c r="U143" s="31" t="str">
        <f>VLOOKUP(T143,Orgenheter!$A$1:$C$165,2,FALSE)</f>
        <v xml:space="preserve">Estetiska ämnen               </v>
      </c>
      <c r="V143" s="31" t="str">
        <f>VLOOKUP(T143,Orgenheter!$A$1:$C$165,3,FALSE)</f>
        <v>Hum</v>
      </c>
      <c r="W143" s="37" t="str">
        <f>VLOOKUP(D143,Program!$A$1:$B$34,2,FALSE)</f>
        <v>Ämneslärarprogrammet - Gy</v>
      </c>
      <c r="X143" s="42">
        <f>VLOOKUP(A143,kurspris!$A$1:$Q$798,15,FALSE)</f>
        <v>47957</v>
      </c>
      <c r="Y143" s="42">
        <f>VLOOKUP(A143,kurspris!$A$1:$Q$798,16,FALSE)</f>
        <v>57006</v>
      </c>
      <c r="Z143" s="42">
        <f t="shared" si="58"/>
        <v>48206.05</v>
      </c>
      <c r="AA143" s="42">
        <f>VLOOKUP(A143,kurspris!$A$1:$Q$798,17,FALSE)</f>
        <v>69000</v>
      </c>
      <c r="AB143" s="42">
        <f t="shared" si="59"/>
        <v>34500</v>
      </c>
      <c r="AC143" s="42">
        <f t="shared" si="60"/>
        <v>82706.05</v>
      </c>
      <c r="AD143" s="31">
        <f>VLOOKUP($A143,kurspris!$A$1:$Q$835,3,FALSE)</f>
        <v>1</v>
      </c>
      <c r="AE143" s="31">
        <f>VLOOKUP($A143,kurspris!$A$1:$Q$835,4,FALSE)</f>
        <v>0</v>
      </c>
      <c r="AF143" s="31">
        <f>VLOOKUP($A143,kurspris!$A$1:$Q$835,5,FALSE)</f>
        <v>0</v>
      </c>
      <c r="AG143" s="31">
        <f>VLOOKUP($A143,kurspris!$A$1:$Q$835,6,FALSE)</f>
        <v>0</v>
      </c>
      <c r="AH143" s="31">
        <f>VLOOKUP($A143,kurspris!$A$1:$Q$835,7,FALSE)</f>
        <v>0</v>
      </c>
      <c r="AI143" s="31">
        <f>VLOOKUP($A143,kurspris!$A$1:$Q$835,8,FALSE)</f>
        <v>0</v>
      </c>
      <c r="AJ143" s="31">
        <f>VLOOKUP($A143,kurspris!$A$1:$Q$835,9,FALSE)</f>
        <v>0</v>
      </c>
      <c r="AK143" s="31">
        <f>VLOOKUP($A143,kurspris!$A$1:$Q$835,10,FALSE)</f>
        <v>0</v>
      </c>
      <c r="AL143" s="31">
        <f>VLOOKUP($A143,kurspris!$A$1:$Q$835,11,FALSE)</f>
        <v>0</v>
      </c>
      <c r="AM143" s="31">
        <f>VLOOKUP($A143,kurspris!$A$1:$Q$835,12,FALSE)</f>
        <v>0</v>
      </c>
      <c r="AN143" s="31">
        <f>VLOOKUP($A143,kurspris!$A$1:$Q$835,13,FALSE)</f>
        <v>0</v>
      </c>
      <c r="AO143" s="31">
        <f>VLOOKUP($A143,kurspris!$A$1:$Q$835,14,FALSE)</f>
        <v>0</v>
      </c>
      <c r="AP143" s="39" t="s">
        <v>2204</v>
      </c>
      <c r="AQ143"/>
      <c r="AR143" s="31">
        <f t="shared" si="61"/>
        <v>0.5</v>
      </c>
      <c r="AS143" s="255">
        <f t="shared" si="62"/>
        <v>0.42499999999999999</v>
      </c>
      <c r="AT143" s="31">
        <f t="shared" si="63"/>
        <v>0</v>
      </c>
      <c r="AU143" s="255">
        <f t="shared" si="64"/>
        <v>0</v>
      </c>
      <c r="AV143" s="31">
        <f t="shared" si="65"/>
        <v>0</v>
      </c>
      <c r="AW143" s="31">
        <f t="shared" si="66"/>
        <v>0</v>
      </c>
      <c r="AX143" s="31">
        <f t="shared" si="67"/>
        <v>0</v>
      </c>
      <c r="AY143" s="255">
        <f t="shared" si="68"/>
        <v>0</v>
      </c>
      <c r="AZ143" s="232">
        <f t="shared" si="69"/>
        <v>0</v>
      </c>
      <c r="BA143" s="255">
        <f t="shared" si="70"/>
        <v>0</v>
      </c>
      <c r="BB143" s="31">
        <f t="shared" si="71"/>
        <v>0</v>
      </c>
      <c r="BC143" s="255">
        <f t="shared" si="72"/>
        <v>0</v>
      </c>
      <c r="BD143" s="31">
        <f t="shared" si="73"/>
        <v>0</v>
      </c>
      <c r="BE143" s="255">
        <f t="shared" si="74"/>
        <v>0</v>
      </c>
      <c r="BF143" s="31">
        <f t="shared" si="75"/>
        <v>0</v>
      </c>
      <c r="BG143" s="255">
        <f t="shared" si="76"/>
        <v>0</v>
      </c>
      <c r="BH143" s="31">
        <f t="shared" si="77"/>
        <v>0</v>
      </c>
      <c r="BI143" s="255">
        <f t="shared" si="78"/>
        <v>0</v>
      </c>
      <c r="BJ143" s="31">
        <f t="shared" si="79"/>
        <v>0</v>
      </c>
      <c r="BK143" s="31">
        <f t="shared" si="80"/>
        <v>0</v>
      </c>
      <c r="BL143" s="255">
        <f t="shared" si="81"/>
        <v>0</v>
      </c>
      <c r="BM143" s="31">
        <f t="shared" si="82"/>
        <v>0</v>
      </c>
      <c r="BN143" s="255">
        <f t="shared" si="83"/>
        <v>0</v>
      </c>
    </row>
    <row r="144" spans="1:66" x14ac:dyDescent="0.25">
      <c r="A144" s="18" t="s">
        <v>1029</v>
      </c>
      <c r="B144" s="186" t="str">
        <f>VLOOKUP(A144,kurspris!$A$1:$B$877,2,FALSE)</f>
        <v>Läraryrkets dimensioner (Estetiska ämnen)</v>
      </c>
      <c r="C144" s="37"/>
      <c r="D144" s="31" t="s">
        <v>482</v>
      </c>
      <c r="E144" s="31" t="s">
        <v>1975</v>
      </c>
      <c r="F144" s="59" t="s">
        <v>1931</v>
      </c>
      <c r="G144" s="31" t="s">
        <v>2267</v>
      </c>
      <c r="J144" s="31" t="s">
        <v>1952</v>
      </c>
      <c r="L144" s="31">
        <v>100</v>
      </c>
      <c r="M144" s="31">
        <v>22.5</v>
      </c>
      <c r="P144" s="31">
        <v>1</v>
      </c>
      <c r="Q144" s="232">
        <f t="shared" si="56"/>
        <v>0.375</v>
      </c>
      <c r="R144" s="40">
        <v>0.85</v>
      </c>
      <c r="S144" s="334">
        <f t="shared" si="57"/>
        <v>0.31874999999999998</v>
      </c>
      <c r="T144" s="31">
        <f>VLOOKUP(A144,'Ansvar kurs'!$A$1:$C$1010,2,FALSE)</f>
        <v>1650</v>
      </c>
      <c r="U144" s="31" t="str">
        <f>VLOOKUP(T144,Orgenheter!$A$1:$C$165,2,FALSE)</f>
        <v xml:space="preserve">Estetiska ämnen               </v>
      </c>
      <c r="V144" s="31" t="str">
        <f>VLOOKUP(T144,Orgenheter!$A$1:$C$165,3,FALSE)</f>
        <v>Hum</v>
      </c>
      <c r="W144" s="37" t="str">
        <f>VLOOKUP(D144,Program!$A$1:$B$34,2,FALSE)</f>
        <v>Ämneslärarprogrammet - åk 7-9</v>
      </c>
      <c r="X144" s="42">
        <f>VLOOKUP(A144,kurspris!$A$1:$Q$798,15,FALSE)</f>
        <v>21634</v>
      </c>
      <c r="Y144" s="42">
        <f>VLOOKUP(A144,kurspris!$A$1:$Q$798,16,FALSE)</f>
        <v>26986</v>
      </c>
      <c r="Z144" s="42">
        <f t="shared" si="58"/>
        <v>16714.537499999999</v>
      </c>
      <c r="AA144" s="42">
        <f>VLOOKUP(A144,kurspris!$A$1:$Q$798,17,FALSE)</f>
        <v>3400</v>
      </c>
      <c r="AB144" s="42">
        <f t="shared" si="59"/>
        <v>1275</v>
      </c>
      <c r="AC144" s="42">
        <f t="shared" si="60"/>
        <v>17989.537499999999</v>
      </c>
      <c r="AD144" s="31">
        <f>VLOOKUP($A144,kurspris!$A$1:$Q$835,3,FALSE)</f>
        <v>0</v>
      </c>
      <c r="AE144" s="31">
        <f>VLOOKUP($A144,kurspris!$A$1:$Q$835,4,FALSE)</f>
        <v>0</v>
      </c>
      <c r="AF144" s="31">
        <f>VLOOKUP($A144,kurspris!$A$1:$Q$835,5,FALSE)</f>
        <v>0</v>
      </c>
      <c r="AG144" s="31">
        <f>VLOOKUP($A144,kurspris!$A$1:$Q$835,6,FALSE)</f>
        <v>0</v>
      </c>
      <c r="AH144" s="31">
        <f>VLOOKUP($A144,kurspris!$A$1:$Q$835,7,FALSE)</f>
        <v>0</v>
      </c>
      <c r="AI144" s="31">
        <f>VLOOKUP($A144,kurspris!$A$1:$Q$835,8,FALSE)</f>
        <v>0</v>
      </c>
      <c r="AJ144" s="31">
        <f>VLOOKUP($A144,kurspris!$A$1:$Q$835,9,FALSE)</f>
        <v>0</v>
      </c>
      <c r="AK144" s="31">
        <f>VLOOKUP($A144,kurspris!$A$1:$Q$835,10,FALSE)</f>
        <v>0</v>
      </c>
      <c r="AL144" s="31">
        <f>VLOOKUP($A144,kurspris!$A$1:$Q$835,11,FALSE)</f>
        <v>1</v>
      </c>
      <c r="AM144" s="31">
        <f>VLOOKUP($A144,kurspris!$A$1:$Q$835,12,FALSE)</f>
        <v>0</v>
      </c>
      <c r="AN144" s="31">
        <f>VLOOKUP($A144,kurspris!$A$1:$Q$835,13,FALSE)</f>
        <v>0</v>
      </c>
      <c r="AO144" s="31">
        <f>VLOOKUP($A144,kurspris!$A$1:$Q$835,14,FALSE)</f>
        <v>0</v>
      </c>
      <c r="AP144" s="39" t="s">
        <v>2326</v>
      </c>
      <c r="AQ144"/>
      <c r="AR144" s="31">
        <f t="shared" si="61"/>
        <v>0</v>
      </c>
      <c r="AS144" s="255">
        <f t="shared" si="62"/>
        <v>0</v>
      </c>
      <c r="AT144" s="31">
        <f t="shared" si="63"/>
        <v>0</v>
      </c>
      <c r="AU144" s="255">
        <f t="shared" si="64"/>
        <v>0</v>
      </c>
      <c r="AV144" s="31">
        <f t="shared" si="65"/>
        <v>0</v>
      </c>
      <c r="AW144" s="31">
        <f t="shared" si="66"/>
        <v>0</v>
      </c>
      <c r="AX144" s="31">
        <f t="shared" si="67"/>
        <v>0</v>
      </c>
      <c r="AY144" s="255">
        <f t="shared" si="68"/>
        <v>0</v>
      </c>
      <c r="AZ144" s="232">
        <f t="shared" si="69"/>
        <v>0</v>
      </c>
      <c r="BA144" s="255">
        <f t="shared" si="70"/>
        <v>0</v>
      </c>
      <c r="BB144" s="31">
        <f t="shared" si="71"/>
        <v>0</v>
      </c>
      <c r="BC144" s="255">
        <f t="shared" si="72"/>
        <v>0</v>
      </c>
      <c r="BD144" s="31">
        <f t="shared" si="73"/>
        <v>0</v>
      </c>
      <c r="BE144" s="255">
        <f t="shared" si="74"/>
        <v>0</v>
      </c>
      <c r="BF144" s="31">
        <f t="shared" si="75"/>
        <v>0</v>
      </c>
      <c r="BG144" s="255">
        <f t="shared" si="76"/>
        <v>0</v>
      </c>
      <c r="BH144" s="31">
        <f t="shared" si="77"/>
        <v>0.375</v>
      </c>
      <c r="BI144" s="255">
        <f t="shared" si="78"/>
        <v>0.31874999999999998</v>
      </c>
      <c r="BJ144" s="31">
        <f t="shared" si="79"/>
        <v>0</v>
      </c>
      <c r="BK144" s="31">
        <f t="shared" si="80"/>
        <v>0</v>
      </c>
      <c r="BL144" s="255">
        <f t="shared" si="81"/>
        <v>0</v>
      </c>
      <c r="BM144" s="31">
        <f t="shared" si="82"/>
        <v>0</v>
      </c>
      <c r="BN144" s="255">
        <f t="shared" si="83"/>
        <v>0</v>
      </c>
    </row>
    <row r="145" spans="1:66" x14ac:dyDescent="0.25">
      <c r="A145" s="18" t="s">
        <v>1029</v>
      </c>
      <c r="B145" s="186" t="str">
        <f>VLOOKUP(A145,kurspris!$A$1:$B$877,2,FALSE)</f>
        <v>Läraryrkets dimensioner (Estetiska ämnen)</v>
      </c>
      <c r="C145" s="37"/>
      <c r="D145" s="31" t="s">
        <v>483</v>
      </c>
      <c r="E145" s="31" t="s">
        <v>1975</v>
      </c>
      <c r="F145" s="59" t="s">
        <v>1931</v>
      </c>
      <c r="G145" s="31" t="s">
        <v>2267</v>
      </c>
      <c r="J145" t="s">
        <v>1952</v>
      </c>
      <c r="L145" s="31">
        <v>100</v>
      </c>
      <c r="M145" s="31">
        <v>22.5</v>
      </c>
      <c r="P145" s="31">
        <v>2</v>
      </c>
      <c r="Q145" s="232">
        <f t="shared" si="56"/>
        <v>0.75</v>
      </c>
      <c r="R145" s="40">
        <v>0.85</v>
      </c>
      <c r="S145" s="334">
        <f t="shared" si="57"/>
        <v>0.63749999999999996</v>
      </c>
      <c r="T145" s="31">
        <f>VLOOKUP(A145,'Ansvar kurs'!$A$1:$C$1010,2,FALSE)</f>
        <v>1650</v>
      </c>
      <c r="U145" s="31" t="str">
        <f>VLOOKUP(T145,Orgenheter!$A$1:$C$165,2,FALSE)</f>
        <v xml:space="preserve">Estetiska ämnen               </v>
      </c>
      <c r="V145" s="31" t="str">
        <f>VLOOKUP(T145,Orgenheter!$A$1:$C$165,3,FALSE)</f>
        <v>Hum</v>
      </c>
      <c r="W145" s="37" t="str">
        <f>VLOOKUP(D145,Program!$A$1:$B$34,2,FALSE)</f>
        <v>Ämneslärarprogrammet - Gy</v>
      </c>
      <c r="X145" s="42">
        <f>VLOOKUP(A145,kurspris!$A$1:$Q$798,15,FALSE)</f>
        <v>21634</v>
      </c>
      <c r="Y145" s="42">
        <f>VLOOKUP(A145,kurspris!$A$1:$Q$798,16,FALSE)</f>
        <v>26986</v>
      </c>
      <c r="Z145" s="42">
        <f t="shared" si="58"/>
        <v>33429.074999999997</v>
      </c>
      <c r="AA145" s="42">
        <f>VLOOKUP(A145,kurspris!$A$1:$Q$798,17,FALSE)</f>
        <v>3400</v>
      </c>
      <c r="AB145" s="42">
        <f t="shared" si="59"/>
        <v>2550</v>
      </c>
      <c r="AC145" s="42">
        <f t="shared" si="60"/>
        <v>35979.074999999997</v>
      </c>
      <c r="AD145" s="31">
        <f>VLOOKUP($A145,kurspris!$A$1:$Q$835,3,FALSE)</f>
        <v>0</v>
      </c>
      <c r="AE145" s="31">
        <f>VLOOKUP($A145,kurspris!$A$1:$Q$835,4,FALSE)</f>
        <v>0</v>
      </c>
      <c r="AF145" s="31">
        <f>VLOOKUP($A145,kurspris!$A$1:$Q$835,5,FALSE)</f>
        <v>0</v>
      </c>
      <c r="AG145" s="31">
        <f>VLOOKUP($A145,kurspris!$A$1:$Q$835,6,FALSE)</f>
        <v>0</v>
      </c>
      <c r="AH145" s="31">
        <f>VLOOKUP($A145,kurspris!$A$1:$Q$835,7,FALSE)</f>
        <v>0</v>
      </c>
      <c r="AI145" s="31">
        <f>VLOOKUP($A145,kurspris!$A$1:$Q$835,8,FALSE)</f>
        <v>0</v>
      </c>
      <c r="AJ145" s="31">
        <f>VLOOKUP($A145,kurspris!$A$1:$Q$835,9,FALSE)</f>
        <v>0</v>
      </c>
      <c r="AK145" s="31">
        <f>VLOOKUP($A145,kurspris!$A$1:$Q$835,10,FALSE)</f>
        <v>0</v>
      </c>
      <c r="AL145" s="31">
        <f>VLOOKUP($A145,kurspris!$A$1:$Q$835,11,FALSE)</f>
        <v>1</v>
      </c>
      <c r="AM145" s="31">
        <f>VLOOKUP($A145,kurspris!$A$1:$Q$835,12,FALSE)</f>
        <v>0</v>
      </c>
      <c r="AN145" s="31">
        <f>VLOOKUP($A145,kurspris!$A$1:$Q$835,13,FALSE)</f>
        <v>0</v>
      </c>
      <c r="AO145" s="31">
        <f>VLOOKUP($A145,kurspris!$A$1:$Q$835,14,FALSE)</f>
        <v>0</v>
      </c>
      <c r="AP145" s="39" t="s">
        <v>2326</v>
      </c>
      <c r="AQ145"/>
      <c r="AR145" s="31">
        <f t="shared" si="61"/>
        <v>0</v>
      </c>
      <c r="AS145" s="255">
        <f t="shared" si="62"/>
        <v>0</v>
      </c>
      <c r="AT145" s="31">
        <f t="shared" si="63"/>
        <v>0</v>
      </c>
      <c r="AU145" s="255">
        <f t="shared" si="64"/>
        <v>0</v>
      </c>
      <c r="AV145" s="31">
        <f t="shared" si="65"/>
        <v>0</v>
      </c>
      <c r="AW145" s="31">
        <f t="shared" si="66"/>
        <v>0</v>
      </c>
      <c r="AX145" s="31">
        <f t="shared" si="67"/>
        <v>0</v>
      </c>
      <c r="AY145" s="255">
        <f t="shared" si="68"/>
        <v>0</v>
      </c>
      <c r="AZ145" s="232">
        <f t="shared" si="69"/>
        <v>0</v>
      </c>
      <c r="BA145" s="255">
        <f t="shared" si="70"/>
        <v>0</v>
      </c>
      <c r="BB145" s="31">
        <f t="shared" si="71"/>
        <v>0</v>
      </c>
      <c r="BC145" s="255">
        <f t="shared" si="72"/>
        <v>0</v>
      </c>
      <c r="BD145" s="31">
        <f t="shared" si="73"/>
        <v>0</v>
      </c>
      <c r="BE145" s="255">
        <f t="shared" si="74"/>
        <v>0</v>
      </c>
      <c r="BF145" s="31">
        <f t="shared" si="75"/>
        <v>0</v>
      </c>
      <c r="BG145" s="255">
        <f t="shared" si="76"/>
        <v>0</v>
      </c>
      <c r="BH145" s="31">
        <f t="shared" si="77"/>
        <v>0.75</v>
      </c>
      <c r="BI145" s="255">
        <f t="shared" si="78"/>
        <v>0.63749999999999996</v>
      </c>
      <c r="BJ145" s="31">
        <f t="shared" si="79"/>
        <v>0</v>
      </c>
      <c r="BK145" s="31">
        <f t="shared" si="80"/>
        <v>0</v>
      </c>
      <c r="BL145" s="255">
        <f t="shared" si="81"/>
        <v>0</v>
      </c>
      <c r="BM145" s="31">
        <f t="shared" si="82"/>
        <v>0</v>
      </c>
      <c r="BN145" s="255">
        <f t="shared" si="83"/>
        <v>0</v>
      </c>
    </row>
    <row r="146" spans="1:66" x14ac:dyDescent="0.25">
      <c r="A146" s="18" t="s">
        <v>1029</v>
      </c>
      <c r="B146" s="186" t="str">
        <f>VLOOKUP(A146,kurspris!$A$1:$B$877,2,FALSE)</f>
        <v>Läraryrkets dimensioner (Estetiska ämnen)</v>
      </c>
      <c r="C146" s="37"/>
      <c r="D146" s="31" t="s">
        <v>483</v>
      </c>
      <c r="E146" s="31" t="s">
        <v>1976</v>
      </c>
      <c r="F146" s="59" t="s">
        <v>1931</v>
      </c>
      <c r="G146" s="31" t="s">
        <v>2267</v>
      </c>
      <c r="J146" t="s">
        <v>1952</v>
      </c>
      <c r="L146" s="31">
        <v>100</v>
      </c>
      <c r="M146" s="31">
        <v>22.5</v>
      </c>
      <c r="P146" s="31">
        <v>6</v>
      </c>
      <c r="Q146" s="232">
        <f t="shared" si="56"/>
        <v>2.25</v>
      </c>
      <c r="R146" s="40">
        <v>0.85</v>
      </c>
      <c r="S146" s="334">
        <f t="shared" si="57"/>
        <v>1.9124999999999999</v>
      </c>
      <c r="T146" s="31">
        <f>VLOOKUP(A146,'Ansvar kurs'!$A$1:$C$1010,2,FALSE)</f>
        <v>1650</v>
      </c>
      <c r="U146" s="31" t="str">
        <f>VLOOKUP(T146,Orgenheter!$A$1:$C$165,2,FALSE)</f>
        <v xml:space="preserve">Estetiska ämnen               </v>
      </c>
      <c r="V146" s="31" t="str">
        <f>VLOOKUP(T146,Orgenheter!$A$1:$C$165,3,FALSE)</f>
        <v>Hum</v>
      </c>
      <c r="W146" s="37" t="str">
        <f>VLOOKUP(D146,Program!$A$1:$B$34,2,FALSE)</f>
        <v>Ämneslärarprogrammet - Gy</v>
      </c>
      <c r="X146" s="42">
        <f>VLOOKUP(A146,kurspris!$A$1:$Q$798,15,FALSE)</f>
        <v>21634</v>
      </c>
      <c r="Y146" s="42">
        <f>VLOOKUP(A146,kurspris!$A$1:$Q$798,16,FALSE)</f>
        <v>26986</v>
      </c>
      <c r="Z146" s="42">
        <f t="shared" si="58"/>
        <v>100287.22500000001</v>
      </c>
      <c r="AA146" s="42">
        <f>VLOOKUP(A146,kurspris!$A$1:$Q$798,17,FALSE)</f>
        <v>3400</v>
      </c>
      <c r="AB146" s="42">
        <f t="shared" si="59"/>
        <v>7650</v>
      </c>
      <c r="AC146" s="42">
        <f t="shared" si="60"/>
        <v>107937.22500000001</v>
      </c>
      <c r="AD146" s="31">
        <f>VLOOKUP($A146,kurspris!$A$1:$Q$835,3,FALSE)</f>
        <v>0</v>
      </c>
      <c r="AE146" s="31">
        <f>VLOOKUP($A146,kurspris!$A$1:$Q$835,4,FALSE)</f>
        <v>0</v>
      </c>
      <c r="AF146" s="31">
        <f>VLOOKUP($A146,kurspris!$A$1:$Q$835,5,FALSE)</f>
        <v>0</v>
      </c>
      <c r="AG146" s="31">
        <f>VLOOKUP($A146,kurspris!$A$1:$Q$835,6,FALSE)</f>
        <v>0</v>
      </c>
      <c r="AH146" s="31">
        <f>VLOOKUP($A146,kurspris!$A$1:$Q$835,7,FALSE)</f>
        <v>0</v>
      </c>
      <c r="AI146" s="31">
        <f>VLOOKUP($A146,kurspris!$A$1:$Q$835,8,FALSE)</f>
        <v>0</v>
      </c>
      <c r="AJ146" s="31">
        <f>VLOOKUP($A146,kurspris!$A$1:$Q$835,9,FALSE)</f>
        <v>0</v>
      </c>
      <c r="AK146" s="31">
        <f>VLOOKUP($A146,kurspris!$A$1:$Q$835,10,FALSE)</f>
        <v>0</v>
      </c>
      <c r="AL146" s="31">
        <f>VLOOKUP($A146,kurspris!$A$1:$Q$835,11,FALSE)</f>
        <v>1</v>
      </c>
      <c r="AM146" s="31">
        <f>VLOOKUP($A146,kurspris!$A$1:$Q$835,12,FALSE)</f>
        <v>0</v>
      </c>
      <c r="AN146" s="31">
        <f>VLOOKUP($A146,kurspris!$A$1:$Q$835,13,FALSE)</f>
        <v>0</v>
      </c>
      <c r="AO146" s="31">
        <f>VLOOKUP($A146,kurspris!$A$1:$Q$835,14,FALSE)</f>
        <v>0</v>
      </c>
      <c r="AP146" s="39" t="s">
        <v>2326</v>
      </c>
      <c r="AQ146"/>
      <c r="AR146" s="31">
        <f t="shared" si="61"/>
        <v>0</v>
      </c>
      <c r="AS146" s="255">
        <f t="shared" si="62"/>
        <v>0</v>
      </c>
      <c r="AT146" s="31">
        <f t="shared" si="63"/>
        <v>0</v>
      </c>
      <c r="AU146" s="255">
        <f t="shared" si="64"/>
        <v>0</v>
      </c>
      <c r="AV146" s="31">
        <f t="shared" si="65"/>
        <v>0</v>
      </c>
      <c r="AW146" s="31">
        <f t="shared" si="66"/>
        <v>0</v>
      </c>
      <c r="AX146" s="31">
        <f t="shared" si="67"/>
        <v>0</v>
      </c>
      <c r="AY146" s="255">
        <f t="shared" si="68"/>
        <v>0</v>
      </c>
      <c r="AZ146" s="232">
        <f t="shared" si="69"/>
        <v>0</v>
      </c>
      <c r="BA146" s="255">
        <f t="shared" si="70"/>
        <v>0</v>
      </c>
      <c r="BB146" s="31">
        <f t="shared" si="71"/>
        <v>0</v>
      </c>
      <c r="BC146" s="255">
        <f t="shared" si="72"/>
        <v>0</v>
      </c>
      <c r="BD146" s="31">
        <f t="shared" si="73"/>
        <v>0</v>
      </c>
      <c r="BE146" s="255">
        <f t="shared" si="74"/>
        <v>0</v>
      </c>
      <c r="BF146" s="31">
        <f t="shared" si="75"/>
        <v>0</v>
      </c>
      <c r="BG146" s="255">
        <f t="shared" si="76"/>
        <v>0</v>
      </c>
      <c r="BH146" s="31">
        <f t="shared" si="77"/>
        <v>2.25</v>
      </c>
      <c r="BI146" s="255">
        <f t="shared" si="78"/>
        <v>1.9124999999999999</v>
      </c>
      <c r="BJ146" s="31">
        <f t="shared" si="79"/>
        <v>0</v>
      </c>
      <c r="BK146" s="31">
        <f t="shared" si="80"/>
        <v>0</v>
      </c>
      <c r="BL146" s="255">
        <f t="shared" si="81"/>
        <v>0</v>
      </c>
      <c r="BM146" s="31">
        <f t="shared" si="82"/>
        <v>0</v>
      </c>
      <c r="BN146" s="255">
        <f t="shared" si="83"/>
        <v>0</v>
      </c>
    </row>
    <row r="147" spans="1:66" x14ac:dyDescent="0.25">
      <c r="A147" s="31" t="s">
        <v>1030</v>
      </c>
      <c r="B147" s="186" t="str">
        <f>VLOOKUP(A147,kurspris!$A$1:$B$877,2,FALSE)</f>
        <v>Examensarbete - estetiska ämnen</v>
      </c>
      <c r="D147" s="496" t="s">
        <v>117</v>
      </c>
      <c r="E147" s="31" t="s">
        <v>1975</v>
      </c>
      <c r="F147" s="59" t="s">
        <v>1930</v>
      </c>
      <c r="G147" s="31" t="s">
        <v>1993</v>
      </c>
      <c r="H147" s="31" t="s">
        <v>1910</v>
      </c>
      <c r="J147" s="31" t="s">
        <v>775</v>
      </c>
      <c r="L147" s="31">
        <v>100</v>
      </c>
      <c r="M147" s="295">
        <v>22.5</v>
      </c>
      <c r="N147"/>
      <c r="O147"/>
      <c r="P147" s="31">
        <v>1</v>
      </c>
      <c r="Q147" s="232">
        <f t="shared" si="56"/>
        <v>0.375</v>
      </c>
      <c r="R147" s="40">
        <v>0.85</v>
      </c>
      <c r="S147" s="334">
        <f t="shared" si="57"/>
        <v>0.31874999999999998</v>
      </c>
      <c r="T147" s="31">
        <f>VLOOKUP(A147,'Ansvar kurs'!$A$1:$C$1010,2,FALSE)</f>
        <v>1650</v>
      </c>
      <c r="U147" s="31" t="str">
        <f>VLOOKUP(T147,Orgenheter!$A$1:$C$165,2,FALSE)</f>
        <v xml:space="preserve">Estetiska ämnen               </v>
      </c>
      <c r="V147" s="31" t="str">
        <f>VLOOKUP(T147,Orgenheter!$A$1:$C$165,3,FALSE)</f>
        <v>Hum</v>
      </c>
      <c r="W147" s="37" t="str">
        <f>VLOOKUP(D147,Program!$A$1:$B$34,2,FALSE)</f>
        <v>Fristående och övriga kurser</v>
      </c>
      <c r="X147" s="42">
        <f>VLOOKUP(A147,kurspris!$A$1:$Q$798,15,FALSE)</f>
        <v>18405</v>
      </c>
      <c r="Y147" s="42">
        <f>VLOOKUP(A147,kurspris!$A$1:$Q$798,16,FALSE)</f>
        <v>15773</v>
      </c>
      <c r="Z147" s="42">
        <f t="shared" si="58"/>
        <v>11929.518749999999</v>
      </c>
      <c r="AA147" s="42">
        <f>VLOOKUP(A147,kurspris!$A$1:$Q$798,17,FALSE)</f>
        <v>5800</v>
      </c>
      <c r="AB147" s="42">
        <f t="shared" si="59"/>
        <v>2175</v>
      </c>
      <c r="AC147" s="42">
        <f t="shared" si="60"/>
        <v>14104.518749999999</v>
      </c>
      <c r="AD147" s="31">
        <f>VLOOKUP($A147,kurspris!$A$1:$Q$835,3,FALSE)</f>
        <v>0</v>
      </c>
      <c r="AE147" s="31">
        <f>VLOOKUP($A147,kurspris!$A$1:$Q$835,4,FALSE)</f>
        <v>1</v>
      </c>
      <c r="AF147" s="31">
        <f>VLOOKUP($A147,kurspris!$A$1:$Q$835,5,FALSE)</f>
        <v>0</v>
      </c>
      <c r="AG147" s="31">
        <f>VLOOKUP($A147,kurspris!$A$1:$Q$835,6,FALSE)</f>
        <v>0</v>
      </c>
      <c r="AH147" s="31">
        <f>VLOOKUP($A147,kurspris!$A$1:$Q$835,7,FALSE)</f>
        <v>0</v>
      </c>
      <c r="AI147" s="31">
        <f>VLOOKUP($A147,kurspris!$A$1:$Q$835,8,FALSE)</f>
        <v>0</v>
      </c>
      <c r="AJ147" s="31">
        <f>VLOOKUP($A147,kurspris!$A$1:$Q$835,9,FALSE)</f>
        <v>0</v>
      </c>
      <c r="AK147" s="31">
        <f>VLOOKUP($A147,kurspris!$A$1:$Q$835,10,FALSE)</f>
        <v>0</v>
      </c>
      <c r="AL147" s="31">
        <f>VLOOKUP($A147,kurspris!$A$1:$Q$835,11,FALSE)</f>
        <v>0</v>
      </c>
      <c r="AM147" s="31">
        <f>VLOOKUP($A147,kurspris!$A$1:$Q$835,12,FALSE)</f>
        <v>0</v>
      </c>
      <c r="AN147" s="31">
        <f>VLOOKUP($A147,kurspris!$A$1:$Q$835,13,FALSE)</f>
        <v>0</v>
      </c>
      <c r="AO147" s="31">
        <f>VLOOKUP($A147,kurspris!$A$1:$Q$835,14,FALSE)</f>
        <v>0</v>
      </c>
      <c r="AP147" s="39" t="s">
        <v>2232</v>
      </c>
      <c r="AQ147" s="39" t="s">
        <v>2035</v>
      </c>
      <c r="AR147" s="31">
        <f t="shared" si="61"/>
        <v>0</v>
      </c>
      <c r="AS147" s="255">
        <f t="shared" si="62"/>
        <v>0</v>
      </c>
      <c r="AT147" s="31">
        <f t="shared" si="63"/>
        <v>0.375</v>
      </c>
      <c r="AU147" s="255">
        <f t="shared" si="64"/>
        <v>0.31874999999999998</v>
      </c>
      <c r="AV147" s="31">
        <f t="shared" si="65"/>
        <v>0</v>
      </c>
      <c r="AW147" s="31">
        <f t="shared" si="66"/>
        <v>0</v>
      </c>
      <c r="AX147" s="31">
        <f t="shared" si="67"/>
        <v>0</v>
      </c>
      <c r="AY147" s="255">
        <f t="shared" si="68"/>
        <v>0</v>
      </c>
      <c r="AZ147" s="232">
        <f t="shared" si="69"/>
        <v>0</v>
      </c>
      <c r="BA147" s="255">
        <f t="shared" si="70"/>
        <v>0</v>
      </c>
      <c r="BB147" s="31">
        <f t="shared" si="71"/>
        <v>0</v>
      </c>
      <c r="BC147" s="255">
        <f t="shared" si="72"/>
        <v>0</v>
      </c>
      <c r="BD147" s="31">
        <f t="shared" si="73"/>
        <v>0</v>
      </c>
      <c r="BE147" s="255">
        <f t="shared" si="74"/>
        <v>0</v>
      </c>
      <c r="BF147" s="31">
        <f t="shared" si="75"/>
        <v>0</v>
      </c>
      <c r="BG147" s="255">
        <f t="shared" si="76"/>
        <v>0</v>
      </c>
      <c r="BH147" s="31">
        <f t="shared" si="77"/>
        <v>0</v>
      </c>
      <c r="BI147" s="255">
        <f t="shared" si="78"/>
        <v>0</v>
      </c>
      <c r="BJ147" s="31">
        <f t="shared" si="79"/>
        <v>0</v>
      </c>
      <c r="BK147" s="31">
        <f t="shared" si="80"/>
        <v>0</v>
      </c>
      <c r="BL147" s="255">
        <f t="shared" si="81"/>
        <v>0</v>
      </c>
      <c r="BM147" s="31">
        <f t="shared" si="82"/>
        <v>0</v>
      </c>
      <c r="BN147" s="255">
        <f t="shared" si="83"/>
        <v>0</v>
      </c>
    </row>
    <row r="148" spans="1:66" x14ac:dyDescent="0.25">
      <c r="A148" s="18" t="s">
        <v>1030</v>
      </c>
      <c r="B148" s="186" t="str">
        <f>VLOOKUP(A148,kurspris!$A$1:$B$877,2,FALSE)</f>
        <v>Examensarbete - estetiska ämnen</v>
      </c>
      <c r="C148" s="37"/>
      <c r="D148" s="31" t="s">
        <v>482</v>
      </c>
      <c r="E148" s="31" t="s">
        <v>1975</v>
      </c>
      <c r="F148" s="59" t="s">
        <v>1931</v>
      </c>
      <c r="G148" s="295" t="s">
        <v>2268</v>
      </c>
      <c r="J148" s="31" t="s">
        <v>1952</v>
      </c>
      <c r="L148" s="31">
        <v>100</v>
      </c>
      <c r="M148" s="31">
        <v>7.5</v>
      </c>
      <c r="P148" s="31">
        <v>1</v>
      </c>
      <c r="Q148" s="232">
        <f t="shared" si="56"/>
        <v>0.125</v>
      </c>
      <c r="R148" s="40">
        <v>0.85</v>
      </c>
      <c r="S148" s="334">
        <f t="shared" si="57"/>
        <v>0.10625</v>
      </c>
      <c r="T148" s="31">
        <f>VLOOKUP(A148,'Ansvar kurs'!$A$1:$C$1010,2,FALSE)</f>
        <v>1650</v>
      </c>
      <c r="U148" s="31" t="str">
        <f>VLOOKUP(T148,Orgenheter!$A$1:$C$165,2,FALSE)</f>
        <v xml:space="preserve">Estetiska ämnen               </v>
      </c>
      <c r="V148" s="31" t="str">
        <f>VLOOKUP(T148,Orgenheter!$A$1:$C$165,3,FALSE)</f>
        <v>Hum</v>
      </c>
      <c r="W148" s="37" t="str">
        <f>VLOOKUP(D148,Program!$A$1:$B$34,2,FALSE)</f>
        <v>Ämneslärarprogrammet - åk 7-9</v>
      </c>
      <c r="X148" s="42">
        <f>VLOOKUP(A148,kurspris!$A$1:$Q$798,15,FALSE)</f>
        <v>18405</v>
      </c>
      <c r="Y148" s="42">
        <f>VLOOKUP(A148,kurspris!$A$1:$Q$798,16,FALSE)</f>
        <v>15773</v>
      </c>
      <c r="Z148" s="42">
        <f t="shared" si="58"/>
        <v>3976.5062499999999</v>
      </c>
      <c r="AA148" s="42">
        <f>VLOOKUP(A148,kurspris!$A$1:$Q$798,17,FALSE)</f>
        <v>5800</v>
      </c>
      <c r="AB148" s="42">
        <f t="shared" si="59"/>
        <v>725</v>
      </c>
      <c r="AC148" s="42">
        <f t="shared" si="60"/>
        <v>4701.5062500000004</v>
      </c>
      <c r="AD148" s="31">
        <f>VLOOKUP($A148,kurspris!$A$1:$Q$835,3,FALSE)</f>
        <v>0</v>
      </c>
      <c r="AE148" s="31">
        <f>VLOOKUP($A148,kurspris!$A$1:$Q$835,4,FALSE)</f>
        <v>1</v>
      </c>
      <c r="AF148" s="31">
        <f>VLOOKUP($A148,kurspris!$A$1:$Q$835,5,FALSE)</f>
        <v>0</v>
      </c>
      <c r="AG148" s="31">
        <f>VLOOKUP($A148,kurspris!$A$1:$Q$835,6,FALSE)</f>
        <v>0</v>
      </c>
      <c r="AH148" s="31">
        <f>VLOOKUP($A148,kurspris!$A$1:$Q$835,7,FALSE)</f>
        <v>0</v>
      </c>
      <c r="AI148" s="31">
        <f>VLOOKUP($A148,kurspris!$A$1:$Q$835,8,FALSE)</f>
        <v>0</v>
      </c>
      <c r="AJ148" s="31">
        <f>VLOOKUP($A148,kurspris!$A$1:$Q$835,9,FALSE)</f>
        <v>0</v>
      </c>
      <c r="AK148" s="31">
        <f>VLOOKUP($A148,kurspris!$A$1:$Q$835,10,FALSE)</f>
        <v>0</v>
      </c>
      <c r="AL148" s="31">
        <f>VLOOKUP($A148,kurspris!$A$1:$Q$835,11,FALSE)</f>
        <v>0</v>
      </c>
      <c r="AM148" s="31">
        <f>VLOOKUP($A148,kurspris!$A$1:$Q$835,12,FALSE)</f>
        <v>0</v>
      </c>
      <c r="AN148" s="31">
        <f>VLOOKUP($A148,kurspris!$A$1:$Q$835,13,FALSE)</f>
        <v>0</v>
      </c>
      <c r="AO148" s="31">
        <f>VLOOKUP($A148,kurspris!$A$1:$Q$835,14,FALSE)</f>
        <v>0</v>
      </c>
      <c r="AP148" s="39" t="s">
        <v>2326</v>
      </c>
      <c r="AQ148" t="s">
        <v>2300</v>
      </c>
      <c r="AR148" s="31">
        <f t="shared" si="61"/>
        <v>0</v>
      </c>
      <c r="AS148" s="255">
        <f t="shared" si="62"/>
        <v>0</v>
      </c>
      <c r="AT148" s="31">
        <f t="shared" si="63"/>
        <v>0.125</v>
      </c>
      <c r="AU148" s="255">
        <f t="shared" si="64"/>
        <v>0.10625</v>
      </c>
      <c r="AV148" s="31">
        <f t="shared" si="65"/>
        <v>0</v>
      </c>
      <c r="AW148" s="31">
        <f t="shared" si="66"/>
        <v>0</v>
      </c>
      <c r="AX148" s="31">
        <f t="shared" si="67"/>
        <v>0</v>
      </c>
      <c r="AY148" s="255">
        <f t="shared" si="68"/>
        <v>0</v>
      </c>
      <c r="AZ148" s="232">
        <f t="shared" si="69"/>
        <v>0</v>
      </c>
      <c r="BA148" s="255">
        <f t="shared" si="70"/>
        <v>0</v>
      </c>
      <c r="BB148" s="31">
        <f t="shared" si="71"/>
        <v>0</v>
      </c>
      <c r="BC148" s="255">
        <f t="shared" si="72"/>
        <v>0</v>
      </c>
      <c r="BD148" s="31">
        <f t="shared" si="73"/>
        <v>0</v>
      </c>
      <c r="BE148" s="255">
        <f t="shared" si="74"/>
        <v>0</v>
      </c>
      <c r="BF148" s="31">
        <f t="shared" si="75"/>
        <v>0</v>
      </c>
      <c r="BG148" s="255">
        <f t="shared" si="76"/>
        <v>0</v>
      </c>
      <c r="BH148" s="31">
        <f t="shared" si="77"/>
        <v>0</v>
      </c>
      <c r="BI148" s="255">
        <f t="shared" si="78"/>
        <v>0</v>
      </c>
      <c r="BJ148" s="31">
        <f t="shared" si="79"/>
        <v>0</v>
      </c>
      <c r="BK148" s="31">
        <f t="shared" si="80"/>
        <v>0</v>
      </c>
      <c r="BL148" s="255">
        <f t="shared" si="81"/>
        <v>0</v>
      </c>
      <c r="BM148" s="31">
        <f t="shared" si="82"/>
        <v>0</v>
      </c>
      <c r="BN148" s="255">
        <f t="shared" si="83"/>
        <v>0</v>
      </c>
    </row>
    <row r="149" spans="1:66" x14ac:dyDescent="0.25">
      <c r="A149" t="s">
        <v>1030</v>
      </c>
      <c r="B149" s="186" t="str">
        <f>VLOOKUP(A149,kurspris!$A$1:$B$877,2,FALSE)</f>
        <v>Examensarbete - estetiska ämnen</v>
      </c>
      <c r="C149"/>
      <c r="D149" t="s">
        <v>483</v>
      </c>
      <c r="E149" t="s">
        <v>1992</v>
      </c>
      <c r="F149" s="39" t="s">
        <v>1930</v>
      </c>
      <c r="G149" t="s">
        <v>1993</v>
      </c>
      <c r="H149" t="s">
        <v>1910</v>
      </c>
      <c r="I149"/>
      <c r="J149" t="s">
        <v>775</v>
      </c>
      <c r="K149"/>
      <c r="L149">
        <v>100</v>
      </c>
      <c r="M149" s="295">
        <v>22.5</v>
      </c>
      <c r="N149"/>
      <c r="O149"/>
      <c r="P149" s="31">
        <v>1</v>
      </c>
      <c r="Q149" s="232">
        <f t="shared" si="56"/>
        <v>0.375</v>
      </c>
      <c r="R149" s="40">
        <v>0.85</v>
      </c>
      <c r="S149" s="334">
        <f t="shared" si="57"/>
        <v>0.31874999999999998</v>
      </c>
      <c r="T149" s="31">
        <f>VLOOKUP(A149,'Ansvar kurs'!$A$1:$C$1010,2,FALSE)</f>
        <v>1650</v>
      </c>
      <c r="U149" s="31" t="str">
        <f>VLOOKUP(T149,Orgenheter!$A$1:$C$165,2,FALSE)</f>
        <v xml:space="preserve">Estetiska ämnen               </v>
      </c>
      <c r="V149" s="31" t="str">
        <f>VLOOKUP(T149,Orgenheter!$A$1:$C$165,3,FALSE)</f>
        <v>Hum</v>
      </c>
      <c r="W149" s="37" t="str">
        <f>VLOOKUP(D149,Program!$A$1:$B$34,2,FALSE)</f>
        <v>Ämneslärarprogrammet - Gy</v>
      </c>
      <c r="X149" s="42">
        <f>VLOOKUP(A149,kurspris!$A$1:$Q$798,15,FALSE)</f>
        <v>18405</v>
      </c>
      <c r="Y149" s="42">
        <f>VLOOKUP(A149,kurspris!$A$1:$Q$798,16,FALSE)</f>
        <v>15773</v>
      </c>
      <c r="Z149" s="42">
        <f t="shared" si="58"/>
        <v>11929.518749999999</v>
      </c>
      <c r="AA149" s="42">
        <f>VLOOKUP(A149,kurspris!$A$1:$Q$798,17,FALSE)</f>
        <v>5800</v>
      </c>
      <c r="AB149" s="42">
        <f t="shared" si="59"/>
        <v>2175</v>
      </c>
      <c r="AC149" s="42">
        <f t="shared" si="60"/>
        <v>14104.518749999999</v>
      </c>
      <c r="AD149" s="31">
        <f>VLOOKUP($A149,kurspris!$A$1:$Q$835,3,FALSE)</f>
        <v>0</v>
      </c>
      <c r="AE149" s="31">
        <f>VLOOKUP($A149,kurspris!$A$1:$Q$835,4,FALSE)</f>
        <v>1</v>
      </c>
      <c r="AF149" s="31">
        <f>VLOOKUP($A149,kurspris!$A$1:$Q$835,5,FALSE)</f>
        <v>0</v>
      </c>
      <c r="AG149" s="31">
        <f>VLOOKUP($A149,kurspris!$A$1:$Q$835,6,FALSE)</f>
        <v>0</v>
      </c>
      <c r="AH149" s="31">
        <f>VLOOKUP($A149,kurspris!$A$1:$Q$835,7,FALSE)</f>
        <v>0</v>
      </c>
      <c r="AI149" s="31">
        <f>VLOOKUP($A149,kurspris!$A$1:$Q$835,8,FALSE)</f>
        <v>0</v>
      </c>
      <c r="AJ149" s="31">
        <f>VLOOKUP($A149,kurspris!$A$1:$Q$835,9,FALSE)</f>
        <v>0</v>
      </c>
      <c r="AK149" s="31">
        <f>VLOOKUP($A149,kurspris!$A$1:$Q$835,10,FALSE)</f>
        <v>0</v>
      </c>
      <c r="AL149" s="31">
        <f>VLOOKUP($A149,kurspris!$A$1:$Q$835,11,FALSE)</f>
        <v>0</v>
      </c>
      <c r="AM149" s="31">
        <f>VLOOKUP($A149,kurspris!$A$1:$Q$835,12,FALSE)</f>
        <v>0</v>
      </c>
      <c r="AN149" s="31">
        <f>VLOOKUP($A149,kurspris!$A$1:$Q$835,13,FALSE)</f>
        <v>0</v>
      </c>
      <c r="AO149" s="31">
        <f>VLOOKUP($A149,kurspris!$A$1:$Q$835,14,FALSE)</f>
        <v>0</v>
      </c>
      <c r="AP149" s="39" t="s">
        <v>2204</v>
      </c>
      <c r="AQ149" s="39" t="s">
        <v>2035</v>
      </c>
      <c r="AR149" s="31">
        <f t="shared" si="61"/>
        <v>0</v>
      </c>
      <c r="AS149" s="255">
        <f t="shared" si="62"/>
        <v>0</v>
      </c>
      <c r="AT149" s="31">
        <f t="shared" si="63"/>
        <v>0.375</v>
      </c>
      <c r="AU149" s="255">
        <f t="shared" si="64"/>
        <v>0.31874999999999998</v>
      </c>
      <c r="AV149" s="31">
        <f t="shared" si="65"/>
        <v>0</v>
      </c>
      <c r="AW149" s="31">
        <f t="shared" si="66"/>
        <v>0</v>
      </c>
      <c r="AX149" s="31">
        <f t="shared" si="67"/>
        <v>0</v>
      </c>
      <c r="AY149" s="255">
        <f t="shared" si="68"/>
        <v>0</v>
      </c>
      <c r="AZ149" s="232">
        <f t="shared" si="69"/>
        <v>0</v>
      </c>
      <c r="BA149" s="255">
        <f t="shared" si="70"/>
        <v>0</v>
      </c>
      <c r="BB149" s="31">
        <f t="shared" si="71"/>
        <v>0</v>
      </c>
      <c r="BC149" s="255">
        <f t="shared" si="72"/>
        <v>0</v>
      </c>
      <c r="BD149" s="31">
        <f t="shared" si="73"/>
        <v>0</v>
      </c>
      <c r="BE149" s="255">
        <f t="shared" si="74"/>
        <v>0</v>
      </c>
      <c r="BF149" s="31">
        <f t="shared" si="75"/>
        <v>0</v>
      </c>
      <c r="BG149" s="255">
        <f t="shared" si="76"/>
        <v>0</v>
      </c>
      <c r="BH149" s="31">
        <f t="shared" si="77"/>
        <v>0</v>
      </c>
      <c r="BI149" s="255">
        <f t="shared" si="78"/>
        <v>0</v>
      </c>
      <c r="BJ149" s="31">
        <f t="shared" si="79"/>
        <v>0</v>
      </c>
      <c r="BK149" s="31">
        <f t="shared" si="80"/>
        <v>0</v>
      </c>
      <c r="BL149" s="255">
        <f t="shared" si="81"/>
        <v>0</v>
      </c>
      <c r="BM149" s="31">
        <f t="shared" si="82"/>
        <v>0</v>
      </c>
      <c r="BN149" s="255">
        <f t="shared" si="83"/>
        <v>0</v>
      </c>
    </row>
    <row r="150" spans="1:66" x14ac:dyDescent="0.25">
      <c r="A150" t="s">
        <v>1030</v>
      </c>
      <c r="B150" s="186" t="str">
        <f>VLOOKUP(A150,kurspris!$A$1:$B$877,2,FALSE)</f>
        <v>Examensarbete - estetiska ämnen</v>
      </c>
      <c r="C150"/>
      <c r="D150" t="s">
        <v>483</v>
      </c>
      <c r="E150" t="s">
        <v>1975</v>
      </c>
      <c r="F150" s="39" t="s">
        <v>1930</v>
      </c>
      <c r="G150" t="s">
        <v>1993</v>
      </c>
      <c r="H150" t="s">
        <v>1910</v>
      </c>
      <c r="I150"/>
      <c r="J150" t="s">
        <v>775</v>
      </c>
      <c r="K150"/>
      <c r="L150">
        <v>100</v>
      </c>
      <c r="M150" s="295">
        <v>22.5</v>
      </c>
      <c r="N150"/>
      <c r="O150"/>
      <c r="P150" s="31">
        <v>1</v>
      </c>
      <c r="Q150" s="232">
        <f t="shared" si="56"/>
        <v>0.375</v>
      </c>
      <c r="R150" s="40">
        <v>0.85</v>
      </c>
      <c r="S150" s="334">
        <f t="shared" si="57"/>
        <v>0.31874999999999998</v>
      </c>
      <c r="T150" s="31">
        <f>VLOOKUP(A150,'Ansvar kurs'!$A$1:$C$1010,2,FALSE)</f>
        <v>1650</v>
      </c>
      <c r="U150" s="31" t="str">
        <f>VLOOKUP(T150,Orgenheter!$A$1:$C$165,2,FALSE)</f>
        <v xml:space="preserve">Estetiska ämnen               </v>
      </c>
      <c r="V150" s="31" t="str">
        <f>VLOOKUP(T150,Orgenheter!$A$1:$C$165,3,FALSE)</f>
        <v>Hum</v>
      </c>
      <c r="W150" s="37" t="str">
        <f>VLOOKUP(D150,Program!$A$1:$B$34,2,FALSE)</f>
        <v>Ämneslärarprogrammet - Gy</v>
      </c>
      <c r="X150" s="42">
        <f>VLOOKUP(A150,kurspris!$A$1:$Q$798,15,FALSE)</f>
        <v>18405</v>
      </c>
      <c r="Y150" s="42">
        <f>VLOOKUP(A150,kurspris!$A$1:$Q$798,16,FALSE)</f>
        <v>15773</v>
      </c>
      <c r="Z150" s="42">
        <f t="shared" si="58"/>
        <v>11929.518749999999</v>
      </c>
      <c r="AA150" s="42">
        <f>VLOOKUP(A150,kurspris!$A$1:$Q$798,17,FALSE)</f>
        <v>5800</v>
      </c>
      <c r="AB150" s="42">
        <f t="shared" si="59"/>
        <v>2175</v>
      </c>
      <c r="AC150" s="42">
        <f t="shared" si="60"/>
        <v>14104.518749999999</v>
      </c>
      <c r="AD150" s="31">
        <f>VLOOKUP($A150,kurspris!$A$1:$Q$835,3,FALSE)</f>
        <v>0</v>
      </c>
      <c r="AE150" s="31">
        <f>VLOOKUP($A150,kurspris!$A$1:$Q$835,4,FALSE)</f>
        <v>1</v>
      </c>
      <c r="AF150" s="31">
        <f>VLOOKUP($A150,kurspris!$A$1:$Q$835,5,FALSE)</f>
        <v>0</v>
      </c>
      <c r="AG150" s="31">
        <f>VLOOKUP($A150,kurspris!$A$1:$Q$835,6,FALSE)</f>
        <v>0</v>
      </c>
      <c r="AH150" s="31">
        <f>VLOOKUP($A150,kurspris!$A$1:$Q$835,7,FALSE)</f>
        <v>0</v>
      </c>
      <c r="AI150" s="31">
        <f>VLOOKUP($A150,kurspris!$A$1:$Q$835,8,FALSE)</f>
        <v>0</v>
      </c>
      <c r="AJ150" s="31">
        <f>VLOOKUP($A150,kurspris!$A$1:$Q$835,9,FALSE)</f>
        <v>0</v>
      </c>
      <c r="AK150" s="31">
        <f>VLOOKUP($A150,kurspris!$A$1:$Q$835,10,FALSE)</f>
        <v>0</v>
      </c>
      <c r="AL150" s="31">
        <f>VLOOKUP($A150,kurspris!$A$1:$Q$835,11,FALSE)</f>
        <v>0</v>
      </c>
      <c r="AM150" s="31">
        <f>VLOOKUP($A150,kurspris!$A$1:$Q$835,12,FALSE)</f>
        <v>0</v>
      </c>
      <c r="AN150" s="31">
        <f>VLOOKUP($A150,kurspris!$A$1:$Q$835,13,FALSE)</f>
        <v>0</v>
      </c>
      <c r="AO150" s="31">
        <f>VLOOKUP($A150,kurspris!$A$1:$Q$835,14,FALSE)</f>
        <v>0</v>
      </c>
      <c r="AP150" s="39" t="s">
        <v>2204</v>
      </c>
      <c r="AQ150" s="39" t="s">
        <v>2035</v>
      </c>
      <c r="AR150" s="31">
        <f t="shared" si="61"/>
        <v>0</v>
      </c>
      <c r="AS150" s="255">
        <f t="shared" si="62"/>
        <v>0</v>
      </c>
      <c r="AT150" s="31">
        <f t="shared" si="63"/>
        <v>0.375</v>
      </c>
      <c r="AU150" s="255">
        <f t="shared" si="64"/>
        <v>0.31874999999999998</v>
      </c>
      <c r="AV150" s="31">
        <f t="shared" si="65"/>
        <v>0</v>
      </c>
      <c r="AW150" s="31">
        <f t="shared" si="66"/>
        <v>0</v>
      </c>
      <c r="AX150" s="31">
        <f t="shared" si="67"/>
        <v>0</v>
      </c>
      <c r="AY150" s="255">
        <f t="shared" si="68"/>
        <v>0</v>
      </c>
      <c r="AZ150" s="232">
        <f t="shared" si="69"/>
        <v>0</v>
      </c>
      <c r="BA150" s="255">
        <f t="shared" si="70"/>
        <v>0</v>
      </c>
      <c r="BB150" s="31">
        <f t="shared" si="71"/>
        <v>0</v>
      </c>
      <c r="BC150" s="255">
        <f t="shared" si="72"/>
        <v>0</v>
      </c>
      <c r="BD150" s="31">
        <f t="shared" si="73"/>
        <v>0</v>
      </c>
      <c r="BE150" s="255">
        <f t="shared" si="74"/>
        <v>0</v>
      </c>
      <c r="BF150" s="31">
        <f t="shared" si="75"/>
        <v>0</v>
      </c>
      <c r="BG150" s="255">
        <f t="shared" si="76"/>
        <v>0</v>
      </c>
      <c r="BH150" s="31">
        <f t="shared" si="77"/>
        <v>0</v>
      </c>
      <c r="BI150" s="255">
        <f t="shared" si="78"/>
        <v>0</v>
      </c>
      <c r="BJ150" s="31">
        <f t="shared" si="79"/>
        <v>0</v>
      </c>
      <c r="BK150" s="31">
        <f t="shared" si="80"/>
        <v>0</v>
      </c>
      <c r="BL150" s="255">
        <f t="shared" si="81"/>
        <v>0</v>
      </c>
      <c r="BM150" s="31">
        <f t="shared" si="82"/>
        <v>0</v>
      </c>
      <c r="BN150" s="255">
        <f t="shared" si="83"/>
        <v>0</v>
      </c>
    </row>
    <row r="151" spans="1:66" x14ac:dyDescent="0.25">
      <c r="A151" s="18" t="s">
        <v>1030</v>
      </c>
      <c r="B151" s="186" t="str">
        <f>VLOOKUP(A151,kurspris!$A$1:$B$877,2,FALSE)</f>
        <v>Examensarbete - estetiska ämnen</v>
      </c>
      <c r="C151" s="37"/>
      <c r="D151" s="31" t="s">
        <v>483</v>
      </c>
      <c r="E151" s="31" t="s">
        <v>1975</v>
      </c>
      <c r="F151" s="59" t="s">
        <v>1931</v>
      </c>
      <c r="G151" s="295" t="s">
        <v>2268</v>
      </c>
      <c r="J151" t="s">
        <v>1952</v>
      </c>
      <c r="L151" s="31">
        <v>100</v>
      </c>
      <c r="M151" s="31">
        <v>7.5</v>
      </c>
      <c r="P151" s="31">
        <v>2</v>
      </c>
      <c r="Q151" s="232">
        <f t="shared" si="56"/>
        <v>0.25</v>
      </c>
      <c r="R151" s="40">
        <v>0.85</v>
      </c>
      <c r="S151" s="334">
        <f t="shared" si="57"/>
        <v>0.21249999999999999</v>
      </c>
      <c r="T151" s="31">
        <f>VLOOKUP(A151,'Ansvar kurs'!$A$1:$C$1010,2,FALSE)</f>
        <v>1650</v>
      </c>
      <c r="U151" s="31" t="str">
        <f>VLOOKUP(T151,Orgenheter!$A$1:$C$165,2,FALSE)</f>
        <v xml:space="preserve">Estetiska ämnen               </v>
      </c>
      <c r="V151" s="31" t="str">
        <f>VLOOKUP(T151,Orgenheter!$A$1:$C$165,3,FALSE)</f>
        <v>Hum</v>
      </c>
      <c r="W151" s="37" t="str">
        <f>VLOOKUP(D151,Program!$A$1:$B$34,2,FALSE)</f>
        <v>Ämneslärarprogrammet - Gy</v>
      </c>
      <c r="X151" s="42">
        <f>VLOOKUP(A151,kurspris!$A$1:$Q$798,15,FALSE)</f>
        <v>18405</v>
      </c>
      <c r="Y151" s="42">
        <f>VLOOKUP(A151,kurspris!$A$1:$Q$798,16,FALSE)</f>
        <v>15773</v>
      </c>
      <c r="Z151" s="42">
        <f t="shared" si="58"/>
        <v>7953.0124999999998</v>
      </c>
      <c r="AA151" s="42">
        <f>VLOOKUP(A151,kurspris!$A$1:$Q$798,17,FALSE)</f>
        <v>5800</v>
      </c>
      <c r="AB151" s="42">
        <f t="shared" si="59"/>
        <v>1450</v>
      </c>
      <c r="AC151" s="42">
        <f t="shared" si="60"/>
        <v>9403.0125000000007</v>
      </c>
      <c r="AD151" s="31">
        <f>VLOOKUP($A151,kurspris!$A$1:$Q$835,3,FALSE)</f>
        <v>0</v>
      </c>
      <c r="AE151" s="31">
        <f>VLOOKUP($A151,kurspris!$A$1:$Q$835,4,FALSE)</f>
        <v>1</v>
      </c>
      <c r="AF151" s="31">
        <f>VLOOKUP($A151,kurspris!$A$1:$Q$835,5,FALSE)</f>
        <v>0</v>
      </c>
      <c r="AG151" s="31">
        <f>VLOOKUP($A151,kurspris!$A$1:$Q$835,6,FALSE)</f>
        <v>0</v>
      </c>
      <c r="AH151" s="31">
        <f>VLOOKUP($A151,kurspris!$A$1:$Q$835,7,FALSE)</f>
        <v>0</v>
      </c>
      <c r="AI151" s="31">
        <f>VLOOKUP($A151,kurspris!$A$1:$Q$835,8,FALSE)</f>
        <v>0</v>
      </c>
      <c r="AJ151" s="31">
        <f>VLOOKUP($A151,kurspris!$A$1:$Q$835,9,FALSE)</f>
        <v>0</v>
      </c>
      <c r="AK151" s="31">
        <f>VLOOKUP($A151,kurspris!$A$1:$Q$835,10,FALSE)</f>
        <v>0</v>
      </c>
      <c r="AL151" s="31">
        <f>VLOOKUP($A151,kurspris!$A$1:$Q$835,11,FALSE)</f>
        <v>0</v>
      </c>
      <c r="AM151" s="31">
        <f>VLOOKUP($A151,kurspris!$A$1:$Q$835,12,FALSE)</f>
        <v>0</v>
      </c>
      <c r="AN151" s="31">
        <f>VLOOKUP($A151,kurspris!$A$1:$Q$835,13,FALSE)</f>
        <v>0</v>
      </c>
      <c r="AO151" s="31">
        <f>VLOOKUP($A151,kurspris!$A$1:$Q$835,14,FALSE)</f>
        <v>0</v>
      </c>
      <c r="AP151" s="39" t="s">
        <v>2326</v>
      </c>
      <c r="AQ151" t="s">
        <v>2300</v>
      </c>
      <c r="AR151" s="31">
        <f t="shared" si="61"/>
        <v>0</v>
      </c>
      <c r="AS151" s="255">
        <f t="shared" si="62"/>
        <v>0</v>
      </c>
      <c r="AT151" s="31">
        <f t="shared" si="63"/>
        <v>0.25</v>
      </c>
      <c r="AU151" s="255">
        <f t="shared" si="64"/>
        <v>0.21249999999999999</v>
      </c>
      <c r="AV151" s="31">
        <f t="shared" si="65"/>
        <v>0</v>
      </c>
      <c r="AW151" s="31">
        <f t="shared" si="66"/>
        <v>0</v>
      </c>
      <c r="AX151" s="31">
        <f t="shared" si="67"/>
        <v>0</v>
      </c>
      <c r="AY151" s="255">
        <f t="shared" si="68"/>
        <v>0</v>
      </c>
      <c r="AZ151" s="232">
        <f t="shared" si="69"/>
        <v>0</v>
      </c>
      <c r="BA151" s="255">
        <f t="shared" si="70"/>
        <v>0</v>
      </c>
      <c r="BB151" s="31">
        <f t="shared" si="71"/>
        <v>0</v>
      </c>
      <c r="BC151" s="255">
        <f t="shared" si="72"/>
        <v>0</v>
      </c>
      <c r="BD151" s="31">
        <f t="shared" si="73"/>
        <v>0</v>
      </c>
      <c r="BE151" s="255">
        <f t="shared" si="74"/>
        <v>0</v>
      </c>
      <c r="BF151" s="31">
        <f t="shared" si="75"/>
        <v>0</v>
      </c>
      <c r="BG151" s="255">
        <f t="shared" si="76"/>
        <v>0</v>
      </c>
      <c r="BH151" s="31">
        <f t="shared" si="77"/>
        <v>0</v>
      </c>
      <c r="BI151" s="255">
        <f t="shared" si="78"/>
        <v>0</v>
      </c>
      <c r="BJ151" s="31">
        <f t="shared" si="79"/>
        <v>0</v>
      </c>
      <c r="BK151" s="31">
        <f t="shared" si="80"/>
        <v>0</v>
      </c>
      <c r="BL151" s="255">
        <f t="shared" si="81"/>
        <v>0</v>
      </c>
      <c r="BM151" s="31">
        <f t="shared" si="82"/>
        <v>0</v>
      </c>
      <c r="BN151" s="255">
        <f t="shared" si="83"/>
        <v>0</v>
      </c>
    </row>
    <row r="152" spans="1:66" x14ac:dyDescent="0.25">
      <c r="A152" s="18" t="s">
        <v>1030</v>
      </c>
      <c r="B152" s="186" t="str">
        <f>VLOOKUP(A152,kurspris!$A$1:$B$877,2,FALSE)</f>
        <v>Examensarbete - estetiska ämnen</v>
      </c>
      <c r="C152" s="37"/>
      <c r="D152" s="31" t="s">
        <v>483</v>
      </c>
      <c r="E152" s="31" t="s">
        <v>1976</v>
      </c>
      <c r="F152" s="59" t="s">
        <v>1931</v>
      </c>
      <c r="G152" s="295" t="s">
        <v>2268</v>
      </c>
      <c r="J152" t="s">
        <v>1952</v>
      </c>
      <c r="L152" s="31">
        <v>100</v>
      </c>
      <c r="M152" s="31">
        <v>7.5</v>
      </c>
      <c r="P152" s="31">
        <v>6</v>
      </c>
      <c r="Q152" s="232">
        <f t="shared" si="56"/>
        <v>0.75</v>
      </c>
      <c r="R152" s="40">
        <v>0.85</v>
      </c>
      <c r="S152" s="334">
        <f t="shared" si="57"/>
        <v>0.63749999999999996</v>
      </c>
      <c r="T152" s="31">
        <f>VLOOKUP(A152,'Ansvar kurs'!$A$1:$C$1010,2,FALSE)</f>
        <v>1650</v>
      </c>
      <c r="U152" s="31" t="str">
        <f>VLOOKUP(T152,Orgenheter!$A$1:$C$165,2,FALSE)</f>
        <v xml:space="preserve">Estetiska ämnen               </v>
      </c>
      <c r="V152" s="31" t="str">
        <f>VLOOKUP(T152,Orgenheter!$A$1:$C$165,3,FALSE)</f>
        <v>Hum</v>
      </c>
      <c r="W152" s="37" t="str">
        <f>VLOOKUP(D152,Program!$A$1:$B$34,2,FALSE)</f>
        <v>Ämneslärarprogrammet - Gy</v>
      </c>
      <c r="X152" s="42">
        <f>VLOOKUP(A152,kurspris!$A$1:$Q$798,15,FALSE)</f>
        <v>18405</v>
      </c>
      <c r="Y152" s="42">
        <f>VLOOKUP(A152,kurspris!$A$1:$Q$798,16,FALSE)</f>
        <v>15773</v>
      </c>
      <c r="Z152" s="42">
        <f t="shared" si="58"/>
        <v>23859.037499999999</v>
      </c>
      <c r="AA152" s="42">
        <f>VLOOKUP(A152,kurspris!$A$1:$Q$798,17,FALSE)</f>
        <v>5800</v>
      </c>
      <c r="AB152" s="42">
        <f t="shared" si="59"/>
        <v>4350</v>
      </c>
      <c r="AC152" s="42">
        <f t="shared" si="60"/>
        <v>28209.037499999999</v>
      </c>
      <c r="AD152" s="31">
        <f>VLOOKUP($A152,kurspris!$A$1:$Q$835,3,FALSE)</f>
        <v>0</v>
      </c>
      <c r="AE152" s="31">
        <f>VLOOKUP($A152,kurspris!$A$1:$Q$835,4,FALSE)</f>
        <v>1</v>
      </c>
      <c r="AF152" s="31">
        <f>VLOOKUP($A152,kurspris!$A$1:$Q$835,5,FALSE)</f>
        <v>0</v>
      </c>
      <c r="AG152" s="31">
        <f>VLOOKUP($A152,kurspris!$A$1:$Q$835,6,FALSE)</f>
        <v>0</v>
      </c>
      <c r="AH152" s="31">
        <f>VLOOKUP($A152,kurspris!$A$1:$Q$835,7,FALSE)</f>
        <v>0</v>
      </c>
      <c r="AI152" s="31">
        <f>VLOOKUP($A152,kurspris!$A$1:$Q$835,8,FALSE)</f>
        <v>0</v>
      </c>
      <c r="AJ152" s="31">
        <f>VLOOKUP($A152,kurspris!$A$1:$Q$835,9,FALSE)</f>
        <v>0</v>
      </c>
      <c r="AK152" s="31">
        <f>VLOOKUP($A152,kurspris!$A$1:$Q$835,10,FALSE)</f>
        <v>0</v>
      </c>
      <c r="AL152" s="31">
        <f>VLOOKUP($A152,kurspris!$A$1:$Q$835,11,FALSE)</f>
        <v>0</v>
      </c>
      <c r="AM152" s="31">
        <f>VLOOKUP($A152,kurspris!$A$1:$Q$835,12,FALSE)</f>
        <v>0</v>
      </c>
      <c r="AN152" s="31">
        <f>VLOOKUP($A152,kurspris!$A$1:$Q$835,13,FALSE)</f>
        <v>0</v>
      </c>
      <c r="AO152" s="31">
        <f>VLOOKUP($A152,kurspris!$A$1:$Q$835,14,FALSE)</f>
        <v>0</v>
      </c>
      <c r="AP152" s="39" t="s">
        <v>2326</v>
      </c>
      <c r="AQ152" t="s">
        <v>2300</v>
      </c>
      <c r="AR152" s="31">
        <f t="shared" si="61"/>
        <v>0</v>
      </c>
      <c r="AS152" s="255">
        <f t="shared" si="62"/>
        <v>0</v>
      </c>
      <c r="AT152" s="31">
        <f t="shared" si="63"/>
        <v>0.75</v>
      </c>
      <c r="AU152" s="255">
        <f t="shared" si="64"/>
        <v>0.63749999999999996</v>
      </c>
      <c r="AV152" s="31">
        <f t="shared" si="65"/>
        <v>0</v>
      </c>
      <c r="AW152" s="31">
        <f t="shared" si="66"/>
        <v>0</v>
      </c>
      <c r="AX152" s="31">
        <f t="shared" si="67"/>
        <v>0</v>
      </c>
      <c r="AY152" s="255">
        <f t="shared" si="68"/>
        <v>0</v>
      </c>
      <c r="AZ152" s="232">
        <f t="shared" si="69"/>
        <v>0</v>
      </c>
      <c r="BA152" s="255">
        <f t="shared" si="70"/>
        <v>0</v>
      </c>
      <c r="BB152" s="31">
        <f t="shared" si="71"/>
        <v>0</v>
      </c>
      <c r="BC152" s="255">
        <f t="shared" si="72"/>
        <v>0</v>
      </c>
      <c r="BD152" s="31">
        <f t="shared" si="73"/>
        <v>0</v>
      </c>
      <c r="BE152" s="255">
        <f t="shared" si="74"/>
        <v>0</v>
      </c>
      <c r="BF152" s="31">
        <f t="shared" si="75"/>
        <v>0</v>
      </c>
      <c r="BG152" s="255">
        <f t="shared" si="76"/>
        <v>0</v>
      </c>
      <c r="BH152" s="31">
        <f t="shared" si="77"/>
        <v>0</v>
      </c>
      <c r="BI152" s="255">
        <f t="shared" si="78"/>
        <v>0</v>
      </c>
      <c r="BJ152" s="31">
        <f t="shared" si="79"/>
        <v>0</v>
      </c>
      <c r="BK152" s="31">
        <f t="shared" si="80"/>
        <v>0</v>
      </c>
      <c r="BL152" s="255">
        <f t="shared" si="81"/>
        <v>0</v>
      </c>
      <c r="BM152" s="31">
        <f t="shared" si="82"/>
        <v>0</v>
      </c>
      <c r="BN152" s="255">
        <f t="shared" si="83"/>
        <v>0</v>
      </c>
    </row>
    <row r="153" spans="1:66" x14ac:dyDescent="0.25">
      <c r="A153" s="18" t="s">
        <v>566</v>
      </c>
      <c r="B153" s="186" t="str">
        <f>VLOOKUP(A153,kurspris!$A$1:$B$877,2,FALSE)</f>
        <v>Bild 2a, distans</v>
      </c>
      <c r="C153" s="37"/>
      <c r="D153" t="s">
        <v>117</v>
      </c>
      <c r="E153"/>
      <c r="F153" s="59" t="s">
        <v>1931</v>
      </c>
      <c r="G153"/>
      <c r="H153"/>
      <c r="I153" t="s">
        <v>2066</v>
      </c>
      <c r="L153">
        <v>50</v>
      </c>
      <c r="M153">
        <v>15</v>
      </c>
      <c r="P153">
        <v>12</v>
      </c>
      <c r="Q153" s="232">
        <f t="shared" si="56"/>
        <v>3</v>
      </c>
      <c r="R153" s="40">
        <v>0.8</v>
      </c>
      <c r="S153" s="334">
        <f t="shared" si="57"/>
        <v>2.4000000000000004</v>
      </c>
      <c r="T153" s="31">
        <f>VLOOKUP(A153,'Ansvar kurs'!$A$1:$C$1010,2,FALSE)</f>
        <v>1650</v>
      </c>
      <c r="U153" s="31" t="str">
        <f>VLOOKUP(T153,Orgenheter!$A$1:$C$165,2,FALSE)</f>
        <v xml:space="preserve">Estetiska ämnen               </v>
      </c>
      <c r="V153" s="31" t="str">
        <f>VLOOKUP(T153,Orgenheter!$A$1:$C$165,3,FALSE)</f>
        <v>Hum</v>
      </c>
      <c r="W153" s="37" t="str">
        <f>VLOOKUP(D153,Program!$A$1:$B$34,2,FALSE)</f>
        <v>Fristående och övriga kurser</v>
      </c>
      <c r="X153" s="42">
        <f>VLOOKUP(A153,kurspris!$A$1:$Q$798,15,FALSE)</f>
        <v>47957</v>
      </c>
      <c r="Y153" s="42">
        <f>VLOOKUP(A153,kurspris!$A$1:$Q$798,16,FALSE)</f>
        <v>57006</v>
      </c>
      <c r="Z153" s="42">
        <f t="shared" si="58"/>
        <v>280685.40000000002</v>
      </c>
      <c r="AA153" s="42">
        <f>VLOOKUP(A153,kurspris!$A$1:$Q$798,17,FALSE)</f>
        <v>69000</v>
      </c>
      <c r="AB153" s="42">
        <f t="shared" si="59"/>
        <v>207000</v>
      </c>
      <c r="AC153" s="42">
        <f t="shared" si="60"/>
        <v>487685.4</v>
      </c>
      <c r="AD153" s="31">
        <f>VLOOKUP($A153,kurspris!$A$1:$Q$835,3,FALSE)</f>
        <v>1</v>
      </c>
      <c r="AE153" s="31">
        <f>VLOOKUP($A153,kurspris!$A$1:$Q$835,4,FALSE)</f>
        <v>0</v>
      </c>
      <c r="AF153" s="31">
        <f>VLOOKUP($A153,kurspris!$A$1:$Q$835,5,FALSE)</f>
        <v>0</v>
      </c>
      <c r="AG153" s="31">
        <f>VLOOKUP($A153,kurspris!$A$1:$Q$835,6,FALSE)</f>
        <v>0</v>
      </c>
      <c r="AH153" s="31">
        <f>VLOOKUP($A153,kurspris!$A$1:$Q$835,7,FALSE)</f>
        <v>0</v>
      </c>
      <c r="AI153" s="31">
        <f>VLOOKUP($A153,kurspris!$A$1:$Q$835,8,FALSE)</f>
        <v>0</v>
      </c>
      <c r="AJ153" s="31">
        <f>VLOOKUP($A153,kurspris!$A$1:$Q$835,9,FALSE)</f>
        <v>0</v>
      </c>
      <c r="AK153" s="31">
        <f>VLOOKUP($A153,kurspris!$A$1:$Q$835,10,FALSE)</f>
        <v>0</v>
      </c>
      <c r="AL153" s="31">
        <f>VLOOKUP($A153,kurspris!$A$1:$Q$835,11,FALSE)</f>
        <v>0</v>
      </c>
      <c r="AM153" s="31">
        <f>VLOOKUP($A153,kurspris!$A$1:$Q$835,12,FALSE)</f>
        <v>0</v>
      </c>
      <c r="AN153" s="31">
        <f>VLOOKUP($A153,kurspris!$A$1:$Q$835,13,FALSE)</f>
        <v>0</v>
      </c>
      <c r="AO153" s="31">
        <f>VLOOKUP($A153,kurspris!$A$1:$Q$835,14,FALSE)</f>
        <v>0</v>
      </c>
      <c r="AP153" s="39" t="s">
        <v>2095</v>
      </c>
      <c r="AQ153"/>
      <c r="AR153" s="31">
        <f t="shared" si="61"/>
        <v>3</v>
      </c>
      <c r="AS153" s="255">
        <f t="shared" si="62"/>
        <v>2.4000000000000004</v>
      </c>
      <c r="AT153" s="31">
        <f t="shared" si="63"/>
        <v>0</v>
      </c>
      <c r="AU153" s="255">
        <f t="shared" si="64"/>
        <v>0</v>
      </c>
      <c r="AV153" s="31">
        <f t="shared" si="65"/>
        <v>0</v>
      </c>
      <c r="AW153" s="31">
        <f t="shared" si="66"/>
        <v>0</v>
      </c>
      <c r="AX153" s="31">
        <f t="shared" si="67"/>
        <v>0</v>
      </c>
      <c r="AY153" s="255">
        <f t="shared" si="68"/>
        <v>0</v>
      </c>
      <c r="AZ153" s="232">
        <f t="shared" si="69"/>
        <v>0</v>
      </c>
      <c r="BA153" s="255">
        <f t="shared" si="70"/>
        <v>0</v>
      </c>
      <c r="BB153" s="31">
        <f t="shared" si="71"/>
        <v>0</v>
      </c>
      <c r="BC153" s="255">
        <f t="shared" si="72"/>
        <v>0</v>
      </c>
      <c r="BD153" s="31">
        <f t="shared" si="73"/>
        <v>0</v>
      </c>
      <c r="BE153" s="255">
        <f t="shared" si="74"/>
        <v>0</v>
      </c>
      <c r="BF153" s="31">
        <f t="shared" si="75"/>
        <v>0</v>
      </c>
      <c r="BG153" s="255">
        <f t="shared" si="76"/>
        <v>0</v>
      </c>
      <c r="BH153" s="31">
        <f t="shared" si="77"/>
        <v>0</v>
      </c>
      <c r="BI153" s="255">
        <f t="shared" si="78"/>
        <v>0</v>
      </c>
      <c r="BJ153" s="31">
        <f t="shared" si="79"/>
        <v>0</v>
      </c>
      <c r="BK153" s="31">
        <f t="shared" si="80"/>
        <v>0</v>
      </c>
      <c r="BL153" s="255">
        <f t="shared" si="81"/>
        <v>0</v>
      </c>
      <c r="BM153" s="31">
        <f t="shared" si="82"/>
        <v>0</v>
      </c>
      <c r="BN153" s="255">
        <f t="shared" si="83"/>
        <v>0</v>
      </c>
    </row>
    <row r="154" spans="1:66" x14ac:dyDescent="0.25">
      <c r="A154" t="s">
        <v>1378</v>
      </c>
      <c r="B154" s="186" t="str">
        <f>VLOOKUP(A154,kurspris!$A$1:$B$877,2,FALSE)</f>
        <v>Ämnesdidaktik i skolpraktiken, del 1</v>
      </c>
      <c r="C154"/>
      <c r="D154" t="s">
        <v>629</v>
      </c>
      <c r="E154" t="s">
        <v>1609</v>
      </c>
      <c r="F154" s="59" t="s">
        <v>1930</v>
      </c>
      <c r="G154" t="s">
        <v>1995</v>
      </c>
      <c r="H154" t="s">
        <v>1910</v>
      </c>
      <c r="I154"/>
      <c r="J154"/>
      <c r="K154"/>
      <c r="L154">
        <v>50</v>
      </c>
      <c r="M154">
        <v>15</v>
      </c>
      <c r="N154"/>
      <c r="O154"/>
      <c r="P154" s="31">
        <v>13</v>
      </c>
      <c r="Q154" s="232">
        <f t="shared" si="56"/>
        <v>3.25</v>
      </c>
      <c r="R154" s="40">
        <v>0.85</v>
      </c>
      <c r="S154" s="334">
        <f t="shared" si="57"/>
        <v>2.7624999999999997</v>
      </c>
      <c r="T154" s="31">
        <f>VLOOKUP(A154,'Ansvar kurs'!$A$1:$C$1010,2,FALSE)</f>
        <v>1650</v>
      </c>
      <c r="U154" s="31" t="str">
        <f>VLOOKUP(T154,Orgenheter!$A$1:$C$165,2,FALSE)</f>
        <v xml:space="preserve">Estetiska ämnen               </v>
      </c>
      <c r="V154" s="31" t="str">
        <f>VLOOKUP(T154,Orgenheter!$A$1:$C$165,3,FALSE)</f>
        <v>Hum</v>
      </c>
      <c r="W154" s="37" t="str">
        <f>VLOOKUP(D154,Program!$A$1:$B$34,2,FALSE)</f>
        <v>KPU - åk 7-9</v>
      </c>
      <c r="X154" s="42">
        <f>VLOOKUP(A154,kurspris!$A$1:$Q$798,15,FALSE)</f>
        <v>21634</v>
      </c>
      <c r="Y154" s="42">
        <f>VLOOKUP(A154,kurspris!$A$1:$Q$798,16,FALSE)</f>
        <v>26986</v>
      </c>
      <c r="Z154" s="42">
        <f t="shared" si="58"/>
        <v>144859.32500000001</v>
      </c>
      <c r="AA154" s="42">
        <f>VLOOKUP(A154,kurspris!$A$1:$Q$798,17,FALSE)</f>
        <v>3400</v>
      </c>
      <c r="AB154" s="42">
        <f t="shared" si="59"/>
        <v>11050</v>
      </c>
      <c r="AC154" s="42">
        <f t="shared" si="60"/>
        <v>155909.32500000001</v>
      </c>
      <c r="AD154" s="31">
        <f>VLOOKUP($A154,kurspris!$A$1:$Q$835,3,FALSE)</f>
        <v>0</v>
      </c>
      <c r="AE154" s="31">
        <f>VLOOKUP($A154,kurspris!$A$1:$Q$835,4,FALSE)</f>
        <v>0</v>
      </c>
      <c r="AF154" s="31">
        <f>VLOOKUP($A154,kurspris!$A$1:$Q$835,5,FALSE)</f>
        <v>0</v>
      </c>
      <c r="AG154" s="31">
        <f>VLOOKUP($A154,kurspris!$A$1:$Q$835,6,FALSE)</f>
        <v>0</v>
      </c>
      <c r="AH154" s="31">
        <f>VLOOKUP($A154,kurspris!$A$1:$Q$835,7,FALSE)</f>
        <v>0</v>
      </c>
      <c r="AI154" s="31">
        <f>VLOOKUP($A154,kurspris!$A$1:$Q$835,8,FALSE)</f>
        <v>0</v>
      </c>
      <c r="AJ154" s="31">
        <f>VLOOKUP($A154,kurspris!$A$1:$Q$835,9,FALSE)</f>
        <v>0</v>
      </c>
      <c r="AK154" s="31">
        <f>VLOOKUP($A154,kurspris!$A$1:$Q$835,10,FALSE)</f>
        <v>0</v>
      </c>
      <c r="AL154" s="31">
        <f>VLOOKUP($A154,kurspris!$A$1:$Q$835,11,FALSE)</f>
        <v>1</v>
      </c>
      <c r="AM154" s="31">
        <f>VLOOKUP($A154,kurspris!$A$1:$Q$835,12,FALSE)</f>
        <v>0</v>
      </c>
      <c r="AN154" s="31">
        <f>VLOOKUP($A154,kurspris!$A$1:$Q$835,13,FALSE)</f>
        <v>0</v>
      </c>
      <c r="AO154" s="31">
        <f>VLOOKUP($A154,kurspris!$A$1:$Q$835,14,FALSE)</f>
        <v>0</v>
      </c>
      <c r="AP154" s="39" t="s">
        <v>2204</v>
      </c>
      <c r="AQ154"/>
      <c r="AR154" s="31">
        <f t="shared" si="61"/>
        <v>0</v>
      </c>
      <c r="AS154" s="255">
        <f t="shared" si="62"/>
        <v>0</v>
      </c>
      <c r="AT154" s="31">
        <f t="shared" si="63"/>
        <v>0</v>
      </c>
      <c r="AU154" s="255">
        <f t="shared" si="64"/>
        <v>0</v>
      </c>
      <c r="AV154" s="31">
        <f t="shared" si="65"/>
        <v>0</v>
      </c>
      <c r="AW154" s="31">
        <f t="shared" si="66"/>
        <v>0</v>
      </c>
      <c r="AX154" s="31">
        <f t="shared" si="67"/>
        <v>0</v>
      </c>
      <c r="AY154" s="255">
        <f t="shared" si="68"/>
        <v>0</v>
      </c>
      <c r="AZ154" s="232">
        <f t="shared" si="69"/>
        <v>0</v>
      </c>
      <c r="BA154" s="255">
        <f t="shared" si="70"/>
        <v>0</v>
      </c>
      <c r="BB154" s="31">
        <f t="shared" si="71"/>
        <v>0</v>
      </c>
      <c r="BC154" s="255">
        <f t="shared" si="72"/>
        <v>0</v>
      </c>
      <c r="BD154" s="31">
        <f t="shared" si="73"/>
        <v>0</v>
      </c>
      <c r="BE154" s="255">
        <f t="shared" si="74"/>
        <v>0</v>
      </c>
      <c r="BF154" s="31">
        <f t="shared" si="75"/>
        <v>0</v>
      </c>
      <c r="BG154" s="255">
        <f t="shared" si="76"/>
        <v>0</v>
      </c>
      <c r="BH154" s="31">
        <f t="shared" si="77"/>
        <v>3.25</v>
      </c>
      <c r="BI154" s="255">
        <f t="shared" si="78"/>
        <v>2.7624999999999997</v>
      </c>
      <c r="BJ154" s="31">
        <f t="shared" si="79"/>
        <v>0</v>
      </c>
      <c r="BK154" s="31">
        <f t="shared" si="80"/>
        <v>0</v>
      </c>
      <c r="BL154" s="255">
        <f t="shared" si="81"/>
        <v>0</v>
      </c>
      <c r="BM154" s="31">
        <f t="shared" si="82"/>
        <v>0</v>
      </c>
      <c r="BN154" s="255">
        <f t="shared" si="83"/>
        <v>0</v>
      </c>
    </row>
    <row r="155" spans="1:66" x14ac:dyDescent="0.25">
      <c r="A155" t="s">
        <v>1378</v>
      </c>
      <c r="B155" s="186" t="str">
        <f>VLOOKUP(A155,kurspris!$A$1:$B$877,2,FALSE)</f>
        <v>Ämnesdidaktik i skolpraktiken, del 1</v>
      </c>
      <c r="C155"/>
      <c r="D155" t="s">
        <v>630</v>
      </c>
      <c r="E155" t="s">
        <v>1609</v>
      </c>
      <c r="F155" s="59" t="s">
        <v>1930</v>
      </c>
      <c r="G155" t="s">
        <v>1995</v>
      </c>
      <c r="H155" t="s">
        <v>1910</v>
      </c>
      <c r="I155"/>
      <c r="J155"/>
      <c r="K155"/>
      <c r="L155">
        <v>50</v>
      </c>
      <c r="M155">
        <v>15</v>
      </c>
      <c r="N155"/>
      <c r="O155"/>
      <c r="P155" s="31">
        <v>1</v>
      </c>
      <c r="Q155" s="232">
        <f t="shared" si="56"/>
        <v>0.25</v>
      </c>
      <c r="R155" s="40">
        <v>0.85</v>
      </c>
      <c r="S155" s="334">
        <f t="shared" si="57"/>
        <v>0.21249999999999999</v>
      </c>
      <c r="T155" s="31">
        <f>VLOOKUP(A155,'Ansvar kurs'!$A$1:$C$1010,2,FALSE)</f>
        <v>1650</v>
      </c>
      <c r="U155" s="31" t="str">
        <f>VLOOKUP(T155,Orgenheter!$A$1:$C$165,2,FALSE)</f>
        <v xml:space="preserve">Estetiska ämnen               </v>
      </c>
      <c r="V155" s="31" t="str">
        <f>VLOOKUP(T155,Orgenheter!$A$1:$C$165,3,FALSE)</f>
        <v>Hum</v>
      </c>
      <c r="W155" s="37" t="str">
        <f>VLOOKUP(D155,Program!$A$1:$B$34,2,FALSE)</f>
        <v>KPU - Gy</v>
      </c>
      <c r="X155" s="42">
        <f>VLOOKUP(A155,kurspris!$A$1:$Q$798,15,FALSE)</f>
        <v>21634</v>
      </c>
      <c r="Y155" s="42">
        <f>VLOOKUP(A155,kurspris!$A$1:$Q$798,16,FALSE)</f>
        <v>26986</v>
      </c>
      <c r="Z155" s="42">
        <f t="shared" si="58"/>
        <v>11143.025</v>
      </c>
      <c r="AA155" s="42">
        <f>VLOOKUP(A155,kurspris!$A$1:$Q$798,17,FALSE)</f>
        <v>3400</v>
      </c>
      <c r="AB155" s="42">
        <f t="shared" si="59"/>
        <v>850</v>
      </c>
      <c r="AC155" s="42">
        <f t="shared" si="60"/>
        <v>11993.025</v>
      </c>
      <c r="AD155" s="31">
        <f>VLOOKUP($A155,kurspris!$A$1:$Q$835,3,FALSE)</f>
        <v>0</v>
      </c>
      <c r="AE155" s="31">
        <f>VLOOKUP($A155,kurspris!$A$1:$Q$835,4,FALSE)</f>
        <v>0</v>
      </c>
      <c r="AF155" s="31">
        <f>VLOOKUP($A155,kurspris!$A$1:$Q$835,5,FALSE)</f>
        <v>0</v>
      </c>
      <c r="AG155" s="31">
        <f>VLOOKUP($A155,kurspris!$A$1:$Q$835,6,FALSE)</f>
        <v>0</v>
      </c>
      <c r="AH155" s="31">
        <f>VLOOKUP($A155,kurspris!$A$1:$Q$835,7,FALSE)</f>
        <v>0</v>
      </c>
      <c r="AI155" s="31">
        <f>VLOOKUP($A155,kurspris!$A$1:$Q$835,8,FALSE)</f>
        <v>0</v>
      </c>
      <c r="AJ155" s="31">
        <f>VLOOKUP($A155,kurspris!$A$1:$Q$835,9,FALSE)</f>
        <v>0</v>
      </c>
      <c r="AK155" s="31">
        <f>VLOOKUP($A155,kurspris!$A$1:$Q$835,10,FALSE)</f>
        <v>0</v>
      </c>
      <c r="AL155" s="31">
        <f>VLOOKUP($A155,kurspris!$A$1:$Q$835,11,FALSE)</f>
        <v>1</v>
      </c>
      <c r="AM155" s="31">
        <f>VLOOKUP($A155,kurspris!$A$1:$Q$835,12,FALSE)</f>
        <v>0</v>
      </c>
      <c r="AN155" s="31">
        <f>VLOOKUP($A155,kurspris!$A$1:$Q$835,13,FALSE)</f>
        <v>0</v>
      </c>
      <c r="AO155" s="31">
        <f>VLOOKUP($A155,kurspris!$A$1:$Q$835,14,FALSE)</f>
        <v>0</v>
      </c>
      <c r="AP155" s="39" t="s">
        <v>2204</v>
      </c>
      <c r="AQ155"/>
      <c r="AR155" s="31">
        <f t="shared" si="61"/>
        <v>0</v>
      </c>
      <c r="AS155" s="255">
        <f t="shared" si="62"/>
        <v>0</v>
      </c>
      <c r="AT155" s="31">
        <f t="shared" si="63"/>
        <v>0</v>
      </c>
      <c r="AU155" s="255">
        <f t="shared" si="64"/>
        <v>0</v>
      </c>
      <c r="AV155" s="31">
        <f t="shared" si="65"/>
        <v>0</v>
      </c>
      <c r="AW155" s="31">
        <f t="shared" si="66"/>
        <v>0</v>
      </c>
      <c r="AX155" s="31">
        <f t="shared" si="67"/>
        <v>0</v>
      </c>
      <c r="AY155" s="255">
        <f t="shared" si="68"/>
        <v>0</v>
      </c>
      <c r="AZ155" s="232">
        <f t="shared" si="69"/>
        <v>0</v>
      </c>
      <c r="BA155" s="255">
        <f t="shared" si="70"/>
        <v>0</v>
      </c>
      <c r="BB155" s="31">
        <f t="shared" si="71"/>
        <v>0</v>
      </c>
      <c r="BC155" s="255">
        <f t="shared" si="72"/>
        <v>0</v>
      </c>
      <c r="BD155" s="31">
        <f t="shared" si="73"/>
        <v>0</v>
      </c>
      <c r="BE155" s="255">
        <f t="shared" si="74"/>
        <v>0</v>
      </c>
      <c r="BF155" s="31">
        <f t="shared" si="75"/>
        <v>0</v>
      </c>
      <c r="BG155" s="255">
        <f t="shared" si="76"/>
        <v>0</v>
      </c>
      <c r="BH155" s="31">
        <f t="shared" si="77"/>
        <v>0.25</v>
      </c>
      <c r="BI155" s="255">
        <f t="shared" si="78"/>
        <v>0.21249999999999999</v>
      </c>
      <c r="BJ155" s="31">
        <f t="shared" si="79"/>
        <v>0</v>
      </c>
      <c r="BK155" s="31">
        <f t="shared" si="80"/>
        <v>0</v>
      </c>
      <c r="BL155" s="255">
        <f t="shared" si="81"/>
        <v>0</v>
      </c>
      <c r="BM155" s="31">
        <f t="shared" si="82"/>
        <v>0</v>
      </c>
      <c r="BN155" s="255">
        <f t="shared" si="83"/>
        <v>0</v>
      </c>
    </row>
    <row r="156" spans="1:66" x14ac:dyDescent="0.25">
      <c r="A156" t="s">
        <v>1378</v>
      </c>
      <c r="B156" s="186" t="str">
        <f>VLOOKUP(A156,kurspris!$A$1:$B$877,2,FALSE)</f>
        <v>Ämnesdidaktik i skolpraktiken, del 1</v>
      </c>
      <c r="C156"/>
      <c r="D156" t="s">
        <v>630</v>
      </c>
      <c r="E156" t="s">
        <v>1609</v>
      </c>
      <c r="F156" s="59" t="s">
        <v>1930</v>
      </c>
      <c r="G156" t="s">
        <v>1995</v>
      </c>
      <c r="H156" t="s">
        <v>1910</v>
      </c>
      <c r="I156"/>
      <c r="J156"/>
      <c r="K156"/>
      <c r="L156">
        <v>50</v>
      </c>
      <c r="M156">
        <v>15</v>
      </c>
      <c r="N156"/>
      <c r="O156"/>
      <c r="P156" s="31">
        <v>8</v>
      </c>
      <c r="Q156" s="232">
        <f t="shared" si="56"/>
        <v>2</v>
      </c>
      <c r="R156" s="40">
        <v>0.85</v>
      </c>
      <c r="S156" s="334">
        <f t="shared" si="57"/>
        <v>1.7</v>
      </c>
      <c r="T156" s="31">
        <f>VLOOKUP(A156,'Ansvar kurs'!$A$1:$C$1010,2,FALSE)</f>
        <v>1650</v>
      </c>
      <c r="U156" s="31" t="str">
        <f>VLOOKUP(T156,Orgenheter!$A$1:$C$165,2,FALSE)</f>
        <v xml:space="preserve">Estetiska ämnen               </v>
      </c>
      <c r="V156" s="31" t="str">
        <f>VLOOKUP(T156,Orgenheter!$A$1:$C$165,3,FALSE)</f>
        <v>Hum</v>
      </c>
      <c r="W156" s="37" t="str">
        <f>VLOOKUP(D156,Program!$A$1:$B$34,2,FALSE)</f>
        <v>KPU - Gy</v>
      </c>
      <c r="X156" s="42">
        <f>VLOOKUP(A156,kurspris!$A$1:$Q$798,15,FALSE)</f>
        <v>21634</v>
      </c>
      <c r="Y156" s="42">
        <f>VLOOKUP(A156,kurspris!$A$1:$Q$798,16,FALSE)</f>
        <v>26986</v>
      </c>
      <c r="Z156" s="42">
        <f t="shared" si="58"/>
        <v>89144.2</v>
      </c>
      <c r="AA156" s="42">
        <f>VLOOKUP(A156,kurspris!$A$1:$Q$798,17,FALSE)</f>
        <v>3400</v>
      </c>
      <c r="AB156" s="42">
        <f t="shared" si="59"/>
        <v>6800</v>
      </c>
      <c r="AC156" s="42">
        <f t="shared" si="60"/>
        <v>95944.2</v>
      </c>
      <c r="AD156" s="31">
        <f>VLOOKUP($A156,kurspris!$A$1:$Q$835,3,FALSE)</f>
        <v>0</v>
      </c>
      <c r="AE156" s="31">
        <f>VLOOKUP($A156,kurspris!$A$1:$Q$835,4,FALSE)</f>
        <v>0</v>
      </c>
      <c r="AF156" s="31">
        <f>VLOOKUP($A156,kurspris!$A$1:$Q$835,5,FALSE)</f>
        <v>0</v>
      </c>
      <c r="AG156" s="31">
        <f>VLOOKUP($A156,kurspris!$A$1:$Q$835,6,FALSE)</f>
        <v>0</v>
      </c>
      <c r="AH156" s="31">
        <f>VLOOKUP($A156,kurspris!$A$1:$Q$835,7,FALSE)</f>
        <v>0</v>
      </c>
      <c r="AI156" s="31">
        <f>VLOOKUP($A156,kurspris!$A$1:$Q$835,8,FALSE)</f>
        <v>0</v>
      </c>
      <c r="AJ156" s="31">
        <f>VLOOKUP($A156,kurspris!$A$1:$Q$835,9,FALSE)</f>
        <v>0</v>
      </c>
      <c r="AK156" s="31">
        <f>VLOOKUP($A156,kurspris!$A$1:$Q$835,10,FALSE)</f>
        <v>0</v>
      </c>
      <c r="AL156" s="31">
        <f>VLOOKUP($A156,kurspris!$A$1:$Q$835,11,FALSE)</f>
        <v>1</v>
      </c>
      <c r="AM156" s="31">
        <f>VLOOKUP($A156,kurspris!$A$1:$Q$835,12,FALSE)</f>
        <v>0</v>
      </c>
      <c r="AN156" s="31">
        <f>VLOOKUP($A156,kurspris!$A$1:$Q$835,13,FALSE)</f>
        <v>0</v>
      </c>
      <c r="AO156" s="31">
        <f>VLOOKUP($A156,kurspris!$A$1:$Q$835,14,FALSE)</f>
        <v>0</v>
      </c>
      <c r="AP156" s="39" t="s">
        <v>2204</v>
      </c>
      <c r="AQ156"/>
      <c r="AR156" s="31">
        <f t="shared" si="61"/>
        <v>0</v>
      </c>
      <c r="AS156" s="255">
        <f t="shared" si="62"/>
        <v>0</v>
      </c>
      <c r="AT156" s="31">
        <f t="shared" si="63"/>
        <v>0</v>
      </c>
      <c r="AU156" s="255">
        <f t="shared" si="64"/>
        <v>0</v>
      </c>
      <c r="AV156" s="31">
        <f t="shared" si="65"/>
        <v>0</v>
      </c>
      <c r="AW156" s="31">
        <f t="shared" si="66"/>
        <v>0</v>
      </c>
      <c r="AX156" s="31">
        <f t="shared" si="67"/>
        <v>0</v>
      </c>
      <c r="AY156" s="255">
        <f t="shared" si="68"/>
        <v>0</v>
      </c>
      <c r="AZ156" s="232">
        <f t="shared" si="69"/>
        <v>0</v>
      </c>
      <c r="BA156" s="255">
        <f t="shared" si="70"/>
        <v>0</v>
      </c>
      <c r="BB156" s="31">
        <f t="shared" si="71"/>
        <v>0</v>
      </c>
      <c r="BC156" s="255">
        <f t="shared" si="72"/>
        <v>0</v>
      </c>
      <c r="BD156" s="31">
        <f t="shared" si="73"/>
        <v>0</v>
      </c>
      <c r="BE156" s="255">
        <f t="shared" si="74"/>
        <v>0</v>
      </c>
      <c r="BF156" s="31">
        <f t="shared" si="75"/>
        <v>0</v>
      </c>
      <c r="BG156" s="255">
        <f t="shared" si="76"/>
        <v>0</v>
      </c>
      <c r="BH156" s="31">
        <f t="shared" si="77"/>
        <v>2</v>
      </c>
      <c r="BI156" s="255">
        <f t="shared" si="78"/>
        <v>1.7</v>
      </c>
      <c r="BJ156" s="31">
        <f t="shared" si="79"/>
        <v>0</v>
      </c>
      <c r="BK156" s="31">
        <f t="shared" si="80"/>
        <v>0</v>
      </c>
      <c r="BL156" s="255">
        <f t="shared" si="81"/>
        <v>0</v>
      </c>
      <c r="BM156" s="31">
        <f t="shared" si="82"/>
        <v>0</v>
      </c>
      <c r="BN156" s="255">
        <f t="shared" si="83"/>
        <v>0</v>
      </c>
    </row>
    <row r="157" spans="1:66" x14ac:dyDescent="0.25">
      <c r="A157" s="18" t="s">
        <v>1379</v>
      </c>
      <c r="B157" s="186" t="str">
        <f>VLOOKUP(A157,kurspris!$A$1:$B$877,2,FALSE)</f>
        <v>Ämnesdidaktik i skolpraktiken, del 2</v>
      </c>
      <c r="C157" s="37"/>
      <c r="D157" s="31" t="s">
        <v>524</v>
      </c>
      <c r="E157" s="31" t="s">
        <v>1609</v>
      </c>
      <c r="F157" s="59" t="s">
        <v>1931</v>
      </c>
      <c r="G157" s="31" t="s">
        <v>2276</v>
      </c>
      <c r="L157" s="31">
        <v>50</v>
      </c>
      <c r="M157" s="31">
        <v>15</v>
      </c>
      <c r="P157" s="31">
        <v>1</v>
      </c>
      <c r="Q157" s="232">
        <f t="shared" si="56"/>
        <v>0.25</v>
      </c>
      <c r="R157" s="40">
        <v>0.85</v>
      </c>
      <c r="S157" s="334">
        <f t="shared" si="57"/>
        <v>0.21249999999999999</v>
      </c>
      <c r="T157" s="31">
        <f>VLOOKUP(A157,'Ansvar kurs'!$A$1:$C$1010,2,FALSE)</f>
        <v>1650</v>
      </c>
      <c r="U157" s="31" t="str">
        <f>VLOOKUP(T157,Orgenheter!$A$1:$C$165,2,FALSE)</f>
        <v xml:space="preserve">Estetiska ämnen               </v>
      </c>
      <c r="V157" s="31" t="str">
        <f>VLOOKUP(T157,Orgenheter!$A$1:$C$165,3,FALSE)</f>
        <v>Hum</v>
      </c>
      <c r="W157" s="37" t="str">
        <f>VLOOKUP(D157,Program!$A$1:$B$34,2,FALSE)</f>
        <v>Grundlärarprogrammet - grundskolans åk 4-6</v>
      </c>
      <c r="X157" s="42">
        <f>VLOOKUP(A157,kurspris!$A$1:$Q$798,15,FALSE)</f>
        <v>21634</v>
      </c>
      <c r="Y157" s="42">
        <f>VLOOKUP(A157,kurspris!$A$1:$Q$798,16,FALSE)</f>
        <v>26986</v>
      </c>
      <c r="Z157" s="42">
        <f t="shared" si="58"/>
        <v>11143.025</v>
      </c>
      <c r="AA157" s="42">
        <f>VLOOKUP(A157,kurspris!$A$1:$Q$798,17,FALSE)</f>
        <v>3400</v>
      </c>
      <c r="AB157" s="42">
        <f t="shared" si="59"/>
        <v>850</v>
      </c>
      <c r="AC157" s="42">
        <f t="shared" si="60"/>
        <v>11993.025</v>
      </c>
      <c r="AD157" s="31">
        <f>VLOOKUP($A157,kurspris!$A$1:$Q$835,3,FALSE)</f>
        <v>0</v>
      </c>
      <c r="AE157" s="31">
        <f>VLOOKUP($A157,kurspris!$A$1:$Q$835,4,FALSE)</f>
        <v>0</v>
      </c>
      <c r="AF157" s="31">
        <f>VLOOKUP($A157,kurspris!$A$1:$Q$835,5,FALSE)</f>
        <v>0</v>
      </c>
      <c r="AG157" s="31">
        <f>VLOOKUP($A157,kurspris!$A$1:$Q$835,6,FALSE)</f>
        <v>0</v>
      </c>
      <c r="AH157" s="31">
        <f>VLOOKUP($A157,kurspris!$A$1:$Q$835,7,FALSE)</f>
        <v>0</v>
      </c>
      <c r="AI157" s="31">
        <f>VLOOKUP($A157,kurspris!$A$1:$Q$835,8,FALSE)</f>
        <v>0</v>
      </c>
      <c r="AJ157" s="31">
        <f>VLOOKUP($A157,kurspris!$A$1:$Q$835,9,FALSE)</f>
        <v>0</v>
      </c>
      <c r="AK157" s="31">
        <f>VLOOKUP($A157,kurspris!$A$1:$Q$835,10,FALSE)</f>
        <v>0</v>
      </c>
      <c r="AL157" s="31">
        <f>VLOOKUP($A157,kurspris!$A$1:$Q$835,11,FALSE)</f>
        <v>1</v>
      </c>
      <c r="AM157" s="31">
        <f>VLOOKUP($A157,kurspris!$A$1:$Q$835,12,FALSE)</f>
        <v>0</v>
      </c>
      <c r="AN157" s="31">
        <f>VLOOKUP($A157,kurspris!$A$1:$Q$835,13,FALSE)</f>
        <v>0</v>
      </c>
      <c r="AO157" s="31">
        <f>VLOOKUP($A157,kurspris!$A$1:$Q$835,14,FALSE)</f>
        <v>0</v>
      </c>
      <c r="AP157" s="39" t="s">
        <v>2326</v>
      </c>
      <c r="AQ157"/>
      <c r="AR157" s="31">
        <f t="shared" si="61"/>
        <v>0</v>
      </c>
      <c r="AS157" s="255">
        <f t="shared" si="62"/>
        <v>0</v>
      </c>
      <c r="AT157" s="31">
        <f t="shared" si="63"/>
        <v>0</v>
      </c>
      <c r="AU157" s="255">
        <f t="shared" si="64"/>
        <v>0</v>
      </c>
      <c r="AV157" s="31">
        <f t="shared" si="65"/>
        <v>0</v>
      </c>
      <c r="AW157" s="31">
        <f t="shared" si="66"/>
        <v>0</v>
      </c>
      <c r="AX157" s="31">
        <f t="shared" si="67"/>
        <v>0</v>
      </c>
      <c r="AY157" s="255">
        <f t="shared" si="68"/>
        <v>0</v>
      </c>
      <c r="AZ157" s="232">
        <f t="shared" si="69"/>
        <v>0</v>
      </c>
      <c r="BA157" s="255">
        <f t="shared" si="70"/>
        <v>0</v>
      </c>
      <c r="BB157" s="31">
        <f t="shared" si="71"/>
        <v>0</v>
      </c>
      <c r="BC157" s="255">
        <f t="shared" si="72"/>
        <v>0</v>
      </c>
      <c r="BD157" s="31">
        <f t="shared" si="73"/>
        <v>0</v>
      </c>
      <c r="BE157" s="255">
        <f t="shared" si="74"/>
        <v>0</v>
      </c>
      <c r="BF157" s="31">
        <f t="shared" si="75"/>
        <v>0</v>
      </c>
      <c r="BG157" s="255">
        <f t="shared" si="76"/>
        <v>0</v>
      </c>
      <c r="BH157" s="31">
        <f t="shared" si="77"/>
        <v>0.25</v>
      </c>
      <c r="BI157" s="255">
        <f t="shared" si="78"/>
        <v>0.21249999999999999</v>
      </c>
      <c r="BJ157" s="31">
        <f t="shared" si="79"/>
        <v>0</v>
      </c>
      <c r="BK157" s="31">
        <f t="shared" si="80"/>
        <v>0</v>
      </c>
      <c r="BL157" s="255">
        <f t="shared" si="81"/>
        <v>0</v>
      </c>
      <c r="BM157" s="31">
        <f t="shared" si="82"/>
        <v>0</v>
      </c>
      <c r="BN157" s="255">
        <f t="shared" si="83"/>
        <v>0</v>
      </c>
    </row>
    <row r="158" spans="1:66" x14ac:dyDescent="0.25">
      <c r="A158" s="39" t="s">
        <v>1379</v>
      </c>
      <c r="B158" s="186" t="str">
        <f>VLOOKUP(A158,kurspris!$A$1:$B$877,2,FALSE)</f>
        <v>Ämnesdidaktik i skolpraktiken, del 2</v>
      </c>
      <c r="C158" s="37"/>
      <c r="D158" s="59" t="s">
        <v>629</v>
      </c>
      <c r="E158" s="62" t="s">
        <v>1609</v>
      </c>
      <c r="F158" s="59" t="s">
        <v>1931</v>
      </c>
      <c r="G158" s="31" t="s">
        <v>2276</v>
      </c>
      <c r="J158" t="s">
        <v>2303</v>
      </c>
      <c r="L158" s="31">
        <v>50</v>
      </c>
      <c r="M158" s="376">
        <v>15</v>
      </c>
      <c r="N158" s="40"/>
      <c r="P158" s="377">
        <v>12</v>
      </c>
      <c r="Q158" s="232">
        <f t="shared" si="56"/>
        <v>3</v>
      </c>
      <c r="R158" s="40">
        <v>0.85</v>
      </c>
      <c r="S158" s="334">
        <f t="shared" si="57"/>
        <v>2.5499999999999998</v>
      </c>
      <c r="T158" s="31">
        <f>VLOOKUP(A158,'Ansvar kurs'!$A$1:$C$1010,2,FALSE)</f>
        <v>1650</v>
      </c>
      <c r="U158" s="31" t="str">
        <f>VLOOKUP(T158,Orgenheter!$A$1:$C$165,2,FALSE)</f>
        <v xml:space="preserve">Estetiska ämnen               </v>
      </c>
      <c r="V158" s="31" t="str">
        <f>VLOOKUP(T158,Orgenheter!$A$1:$C$165,3,FALSE)</f>
        <v>Hum</v>
      </c>
      <c r="W158" s="37" t="str">
        <f>VLOOKUP(D158,Program!$A$1:$B$34,2,FALSE)</f>
        <v>KPU - åk 7-9</v>
      </c>
      <c r="X158" s="42">
        <f>VLOOKUP(A158,kurspris!$A$1:$Q$798,15,FALSE)</f>
        <v>21634</v>
      </c>
      <c r="Y158" s="42">
        <f>VLOOKUP(A158,kurspris!$A$1:$Q$798,16,FALSE)</f>
        <v>26986</v>
      </c>
      <c r="Z158" s="42">
        <f t="shared" si="58"/>
        <v>133716.29999999999</v>
      </c>
      <c r="AA158" s="42">
        <f>VLOOKUP(A158,kurspris!$A$1:$Q$798,17,FALSE)</f>
        <v>3400</v>
      </c>
      <c r="AB158" s="42">
        <f t="shared" si="59"/>
        <v>10200</v>
      </c>
      <c r="AC158" s="42">
        <f t="shared" si="60"/>
        <v>143916.29999999999</v>
      </c>
      <c r="AD158" s="31">
        <f>VLOOKUP($A158,kurspris!$A$1:$Q$835,3,FALSE)</f>
        <v>0</v>
      </c>
      <c r="AE158" s="31">
        <f>VLOOKUP($A158,kurspris!$A$1:$Q$835,4,FALSE)</f>
        <v>0</v>
      </c>
      <c r="AF158" s="31">
        <f>VLOOKUP($A158,kurspris!$A$1:$Q$835,5,FALSE)</f>
        <v>0</v>
      </c>
      <c r="AG158" s="31">
        <f>VLOOKUP($A158,kurspris!$A$1:$Q$835,6,FALSE)</f>
        <v>0</v>
      </c>
      <c r="AH158" s="31">
        <f>VLOOKUP($A158,kurspris!$A$1:$Q$835,7,FALSE)</f>
        <v>0</v>
      </c>
      <c r="AI158" s="31">
        <f>VLOOKUP($A158,kurspris!$A$1:$Q$835,8,FALSE)</f>
        <v>0</v>
      </c>
      <c r="AJ158" s="31">
        <f>VLOOKUP($A158,kurspris!$A$1:$Q$835,9,FALSE)</f>
        <v>0</v>
      </c>
      <c r="AK158" s="31">
        <f>VLOOKUP($A158,kurspris!$A$1:$Q$835,10,FALSE)</f>
        <v>0</v>
      </c>
      <c r="AL158" s="31">
        <f>VLOOKUP($A158,kurspris!$A$1:$Q$835,11,FALSE)</f>
        <v>1</v>
      </c>
      <c r="AM158" s="31">
        <f>VLOOKUP($A158,kurspris!$A$1:$Q$835,12,FALSE)</f>
        <v>0</v>
      </c>
      <c r="AN158" s="31">
        <f>VLOOKUP($A158,kurspris!$A$1:$Q$835,13,FALSE)</f>
        <v>0</v>
      </c>
      <c r="AO158" s="31">
        <f>VLOOKUP($A158,kurspris!$A$1:$Q$835,14,FALSE)</f>
        <v>0</v>
      </c>
      <c r="AP158" s="39" t="s">
        <v>2326</v>
      </c>
      <c r="AQ158"/>
      <c r="AR158" s="31">
        <f t="shared" si="61"/>
        <v>0</v>
      </c>
      <c r="AS158" s="255">
        <f t="shared" si="62"/>
        <v>0</v>
      </c>
      <c r="AT158" s="31">
        <f t="shared" si="63"/>
        <v>0</v>
      </c>
      <c r="AU158" s="255">
        <f t="shared" si="64"/>
        <v>0</v>
      </c>
      <c r="AV158" s="31">
        <f t="shared" si="65"/>
        <v>0</v>
      </c>
      <c r="AW158" s="31">
        <f t="shared" si="66"/>
        <v>0</v>
      </c>
      <c r="AX158" s="31">
        <f t="shared" si="67"/>
        <v>0</v>
      </c>
      <c r="AY158" s="255">
        <f t="shared" si="68"/>
        <v>0</v>
      </c>
      <c r="AZ158" s="232">
        <f t="shared" si="69"/>
        <v>0</v>
      </c>
      <c r="BA158" s="255">
        <f t="shared" si="70"/>
        <v>0</v>
      </c>
      <c r="BB158" s="31">
        <f t="shared" si="71"/>
        <v>0</v>
      </c>
      <c r="BC158" s="255">
        <f t="shared" si="72"/>
        <v>0</v>
      </c>
      <c r="BD158" s="31">
        <f t="shared" si="73"/>
        <v>0</v>
      </c>
      <c r="BE158" s="255">
        <f t="shared" si="74"/>
        <v>0</v>
      </c>
      <c r="BF158" s="31">
        <f t="shared" si="75"/>
        <v>0</v>
      </c>
      <c r="BG158" s="255">
        <f t="shared" si="76"/>
        <v>0</v>
      </c>
      <c r="BH158" s="31">
        <f t="shared" si="77"/>
        <v>3</v>
      </c>
      <c r="BI158" s="255">
        <f t="shared" si="78"/>
        <v>2.5499999999999998</v>
      </c>
      <c r="BJ158" s="31">
        <f t="shared" si="79"/>
        <v>0</v>
      </c>
      <c r="BK158" s="31">
        <f t="shared" si="80"/>
        <v>0</v>
      </c>
      <c r="BL158" s="255">
        <f t="shared" si="81"/>
        <v>0</v>
      </c>
      <c r="BM158" s="31">
        <f t="shared" si="82"/>
        <v>0</v>
      </c>
      <c r="BN158" s="255">
        <f t="shared" si="83"/>
        <v>0</v>
      </c>
    </row>
    <row r="159" spans="1:66" x14ac:dyDescent="0.25">
      <c r="A159" s="18" t="s">
        <v>1379</v>
      </c>
      <c r="B159" s="186" t="str">
        <f>VLOOKUP(A159,kurspris!$A$1:$B$877,2,FALSE)</f>
        <v>Ämnesdidaktik i skolpraktiken, del 2</v>
      </c>
      <c r="C159" s="37"/>
      <c r="D159" s="31" t="s">
        <v>629</v>
      </c>
      <c r="E159" s="31" t="s">
        <v>1788</v>
      </c>
      <c r="F159" s="59" t="s">
        <v>1931</v>
      </c>
      <c r="G159" s="31" t="s">
        <v>2276</v>
      </c>
      <c r="J159" t="s">
        <v>2303</v>
      </c>
      <c r="L159" s="31">
        <v>50</v>
      </c>
      <c r="M159" s="31">
        <v>15</v>
      </c>
      <c r="P159" s="31">
        <v>1</v>
      </c>
      <c r="Q159" s="232">
        <f t="shared" si="56"/>
        <v>0.25</v>
      </c>
      <c r="R159" s="40">
        <v>0.85</v>
      </c>
      <c r="S159" s="334">
        <f t="shared" si="57"/>
        <v>0.21249999999999999</v>
      </c>
      <c r="T159" s="31">
        <f>VLOOKUP(A159,'Ansvar kurs'!$A$1:$C$1010,2,FALSE)</f>
        <v>1650</v>
      </c>
      <c r="U159" s="31" t="str">
        <f>VLOOKUP(T159,Orgenheter!$A$1:$C$165,2,FALSE)</f>
        <v xml:space="preserve">Estetiska ämnen               </v>
      </c>
      <c r="V159" s="31" t="str">
        <f>VLOOKUP(T159,Orgenheter!$A$1:$C$165,3,FALSE)</f>
        <v>Hum</v>
      </c>
      <c r="W159" s="37" t="str">
        <f>VLOOKUP(D159,Program!$A$1:$B$34,2,FALSE)</f>
        <v>KPU - åk 7-9</v>
      </c>
      <c r="X159" s="42">
        <f>VLOOKUP(A159,kurspris!$A$1:$Q$798,15,FALSE)</f>
        <v>21634</v>
      </c>
      <c r="Y159" s="42">
        <f>VLOOKUP(A159,kurspris!$A$1:$Q$798,16,FALSE)</f>
        <v>26986</v>
      </c>
      <c r="Z159" s="42">
        <f t="shared" si="58"/>
        <v>11143.025</v>
      </c>
      <c r="AA159" s="42">
        <f>VLOOKUP(A159,kurspris!$A$1:$Q$798,17,FALSE)</f>
        <v>3400</v>
      </c>
      <c r="AB159" s="42">
        <f t="shared" si="59"/>
        <v>850</v>
      </c>
      <c r="AC159" s="42">
        <f t="shared" si="60"/>
        <v>11993.025</v>
      </c>
      <c r="AD159" s="31">
        <f>VLOOKUP($A159,kurspris!$A$1:$Q$835,3,FALSE)</f>
        <v>0</v>
      </c>
      <c r="AE159" s="31">
        <f>VLOOKUP($A159,kurspris!$A$1:$Q$835,4,FALSE)</f>
        <v>0</v>
      </c>
      <c r="AF159" s="31">
        <f>VLOOKUP($A159,kurspris!$A$1:$Q$835,5,FALSE)</f>
        <v>0</v>
      </c>
      <c r="AG159" s="31">
        <f>VLOOKUP($A159,kurspris!$A$1:$Q$835,6,FALSE)</f>
        <v>0</v>
      </c>
      <c r="AH159" s="31">
        <f>VLOOKUP($A159,kurspris!$A$1:$Q$835,7,FALSE)</f>
        <v>0</v>
      </c>
      <c r="AI159" s="31">
        <f>VLOOKUP($A159,kurspris!$A$1:$Q$835,8,FALSE)</f>
        <v>0</v>
      </c>
      <c r="AJ159" s="31">
        <f>VLOOKUP($A159,kurspris!$A$1:$Q$835,9,FALSE)</f>
        <v>0</v>
      </c>
      <c r="AK159" s="31">
        <f>VLOOKUP($A159,kurspris!$A$1:$Q$835,10,FALSE)</f>
        <v>0</v>
      </c>
      <c r="AL159" s="31">
        <f>VLOOKUP($A159,kurspris!$A$1:$Q$835,11,FALSE)</f>
        <v>1</v>
      </c>
      <c r="AM159" s="31">
        <f>VLOOKUP($A159,kurspris!$A$1:$Q$835,12,FALSE)</f>
        <v>0</v>
      </c>
      <c r="AN159" s="31">
        <f>VLOOKUP($A159,kurspris!$A$1:$Q$835,13,FALSE)</f>
        <v>0</v>
      </c>
      <c r="AO159" s="31">
        <f>VLOOKUP($A159,kurspris!$A$1:$Q$835,14,FALSE)</f>
        <v>0</v>
      </c>
      <c r="AP159" s="39" t="s">
        <v>2326</v>
      </c>
      <c r="AQ159"/>
      <c r="AR159" s="31">
        <f t="shared" si="61"/>
        <v>0</v>
      </c>
      <c r="AS159" s="255">
        <f t="shared" si="62"/>
        <v>0</v>
      </c>
      <c r="AT159" s="31">
        <f t="shared" si="63"/>
        <v>0</v>
      </c>
      <c r="AU159" s="255">
        <f t="shared" si="64"/>
        <v>0</v>
      </c>
      <c r="AV159" s="31">
        <f t="shared" si="65"/>
        <v>0</v>
      </c>
      <c r="AW159" s="31">
        <f t="shared" si="66"/>
        <v>0</v>
      </c>
      <c r="AX159" s="31">
        <f t="shared" si="67"/>
        <v>0</v>
      </c>
      <c r="AY159" s="255">
        <f t="shared" si="68"/>
        <v>0</v>
      </c>
      <c r="AZ159" s="232">
        <f t="shared" si="69"/>
        <v>0</v>
      </c>
      <c r="BA159" s="255">
        <f t="shared" si="70"/>
        <v>0</v>
      </c>
      <c r="BB159" s="31">
        <f t="shared" si="71"/>
        <v>0</v>
      </c>
      <c r="BC159" s="255">
        <f t="shared" si="72"/>
        <v>0</v>
      </c>
      <c r="BD159" s="31">
        <f t="shared" si="73"/>
        <v>0</v>
      </c>
      <c r="BE159" s="255">
        <f t="shared" si="74"/>
        <v>0</v>
      </c>
      <c r="BF159" s="31">
        <f t="shared" si="75"/>
        <v>0</v>
      </c>
      <c r="BG159" s="255">
        <f t="shared" si="76"/>
        <v>0</v>
      </c>
      <c r="BH159" s="31">
        <f t="shared" si="77"/>
        <v>0.25</v>
      </c>
      <c r="BI159" s="255">
        <f t="shared" si="78"/>
        <v>0.21249999999999999</v>
      </c>
      <c r="BJ159" s="31">
        <f t="shared" si="79"/>
        <v>0</v>
      </c>
      <c r="BK159" s="31">
        <f t="shared" si="80"/>
        <v>0</v>
      </c>
      <c r="BL159" s="255">
        <f t="shared" si="81"/>
        <v>0</v>
      </c>
      <c r="BM159" s="31">
        <f t="shared" si="82"/>
        <v>0</v>
      </c>
      <c r="BN159" s="255">
        <f t="shared" si="83"/>
        <v>0</v>
      </c>
    </row>
    <row r="160" spans="1:66" x14ac:dyDescent="0.25">
      <c r="A160" s="59" t="s">
        <v>1379</v>
      </c>
      <c r="B160" s="186" t="str">
        <f>VLOOKUP(A160,kurspris!$A$1:$B$877,2,FALSE)</f>
        <v>Ämnesdidaktik i skolpraktiken, del 2</v>
      </c>
      <c r="C160" s="37"/>
      <c r="D160" s="59" t="s">
        <v>630</v>
      </c>
      <c r="E160" s="62" t="s">
        <v>1609</v>
      </c>
      <c r="F160" s="59" t="s">
        <v>1931</v>
      </c>
      <c r="G160" s="31" t="s">
        <v>2276</v>
      </c>
      <c r="I160" s="62"/>
      <c r="J160" t="s">
        <v>2306</v>
      </c>
      <c r="L160" s="31">
        <v>50</v>
      </c>
      <c r="M160" s="378">
        <v>15</v>
      </c>
      <c r="N160" s="40"/>
      <c r="P160" s="377">
        <v>1</v>
      </c>
      <c r="Q160" s="232">
        <f t="shared" si="56"/>
        <v>0.25</v>
      </c>
      <c r="R160" s="40">
        <v>0.85</v>
      </c>
      <c r="S160" s="334">
        <f t="shared" si="57"/>
        <v>0.21249999999999999</v>
      </c>
      <c r="T160" s="31">
        <f>VLOOKUP(A160,'Ansvar kurs'!$A$1:$C$1010,2,FALSE)</f>
        <v>1650</v>
      </c>
      <c r="U160" s="31" t="str">
        <f>VLOOKUP(T160,Orgenheter!$A$1:$C$165,2,FALSE)</f>
        <v xml:space="preserve">Estetiska ämnen               </v>
      </c>
      <c r="V160" s="31" t="str">
        <f>VLOOKUP(T160,Orgenheter!$A$1:$C$165,3,FALSE)</f>
        <v>Hum</v>
      </c>
      <c r="W160" s="37" t="str">
        <f>VLOOKUP(D160,Program!$A$1:$B$34,2,FALSE)</f>
        <v>KPU - Gy</v>
      </c>
      <c r="X160" s="42">
        <f>VLOOKUP(A160,kurspris!$A$1:$Q$798,15,FALSE)</f>
        <v>21634</v>
      </c>
      <c r="Y160" s="42">
        <f>VLOOKUP(A160,kurspris!$A$1:$Q$798,16,FALSE)</f>
        <v>26986</v>
      </c>
      <c r="Z160" s="42">
        <f t="shared" si="58"/>
        <v>11143.025</v>
      </c>
      <c r="AA160" s="42">
        <f>VLOOKUP(A160,kurspris!$A$1:$Q$798,17,FALSE)</f>
        <v>3400</v>
      </c>
      <c r="AB160" s="42">
        <f t="shared" si="59"/>
        <v>850</v>
      </c>
      <c r="AC160" s="42">
        <f t="shared" si="60"/>
        <v>11993.025</v>
      </c>
      <c r="AD160" s="31">
        <f>VLOOKUP($A160,kurspris!$A$1:$Q$835,3,FALSE)</f>
        <v>0</v>
      </c>
      <c r="AE160" s="31">
        <f>VLOOKUP($A160,kurspris!$A$1:$Q$835,4,FALSE)</f>
        <v>0</v>
      </c>
      <c r="AF160" s="31">
        <f>VLOOKUP($A160,kurspris!$A$1:$Q$835,5,FALSE)</f>
        <v>0</v>
      </c>
      <c r="AG160" s="31">
        <f>VLOOKUP($A160,kurspris!$A$1:$Q$835,6,FALSE)</f>
        <v>0</v>
      </c>
      <c r="AH160" s="31">
        <f>VLOOKUP($A160,kurspris!$A$1:$Q$835,7,FALSE)</f>
        <v>0</v>
      </c>
      <c r="AI160" s="31">
        <f>VLOOKUP($A160,kurspris!$A$1:$Q$835,8,FALSE)</f>
        <v>0</v>
      </c>
      <c r="AJ160" s="31">
        <f>VLOOKUP($A160,kurspris!$A$1:$Q$835,9,FALSE)</f>
        <v>0</v>
      </c>
      <c r="AK160" s="31">
        <f>VLOOKUP($A160,kurspris!$A$1:$Q$835,10,FALSE)</f>
        <v>0</v>
      </c>
      <c r="AL160" s="31">
        <f>VLOOKUP($A160,kurspris!$A$1:$Q$835,11,FALSE)</f>
        <v>1</v>
      </c>
      <c r="AM160" s="31">
        <f>VLOOKUP($A160,kurspris!$A$1:$Q$835,12,FALSE)</f>
        <v>0</v>
      </c>
      <c r="AN160" s="31">
        <f>VLOOKUP($A160,kurspris!$A$1:$Q$835,13,FALSE)</f>
        <v>0</v>
      </c>
      <c r="AO160" s="31">
        <f>VLOOKUP($A160,kurspris!$A$1:$Q$835,14,FALSE)</f>
        <v>0</v>
      </c>
      <c r="AP160" s="39" t="s">
        <v>2326</v>
      </c>
      <c r="AQ160"/>
      <c r="AR160" s="31">
        <f t="shared" si="61"/>
        <v>0</v>
      </c>
      <c r="AS160" s="255">
        <f t="shared" si="62"/>
        <v>0</v>
      </c>
      <c r="AT160" s="31">
        <f t="shared" si="63"/>
        <v>0</v>
      </c>
      <c r="AU160" s="255">
        <f t="shared" si="64"/>
        <v>0</v>
      </c>
      <c r="AV160" s="31">
        <f t="shared" si="65"/>
        <v>0</v>
      </c>
      <c r="AW160" s="31">
        <f t="shared" si="66"/>
        <v>0</v>
      </c>
      <c r="AX160" s="31">
        <f t="shared" si="67"/>
        <v>0</v>
      </c>
      <c r="AY160" s="255">
        <f t="shared" si="68"/>
        <v>0</v>
      </c>
      <c r="AZ160" s="232">
        <f t="shared" si="69"/>
        <v>0</v>
      </c>
      <c r="BA160" s="255">
        <f t="shared" si="70"/>
        <v>0</v>
      </c>
      <c r="BB160" s="31">
        <f t="shared" si="71"/>
        <v>0</v>
      </c>
      <c r="BC160" s="255">
        <f t="shared" si="72"/>
        <v>0</v>
      </c>
      <c r="BD160" s="31">
        <f t="shared" si="73"/>
        <v>0</v>
      </c>
      <c r="BE160" s="255">
        <f t="shared" si="74"/>
        <v>0</v>
      </c>
      <c r="BF160" s="31">
        <f t="shared" si="75"/>
        <v>0</v>
      </c>
      <c r="BG160" s="255">
        <f t="shared" si="76"/>
        <v>0</v>
      </c>
      <c r="BH160" s="31">
        <f t="shared" si="77"/>
        <v>0.25</v>
      </c>
      <c r="BI160" s="255">
        <f t="shared" si="78"/>
        <v>0.21249999999999999</v>
      </c>
      <c r="BJ160" s="31">
        <f t="shared" si="79"/>
        <v>0</v>
      </c>
      <c r="BK160" s="31">
        <f t="shared" si="80"/>
        <v>0</v>
      </c>
      <c r="BL160" s="255">
        <f t="shared" si="81"/>
        <v>0</v>
      </c>
      <c r="BM160" s="31">
        <f t="shared" si="82"/>
        <v>0</v>
      </c>
      <c r="BN160" s="255">
        <f t="shared" si="83"/>
        <v>0</v>
      </c>
    </row>
    <row r="161" spans="1:66" x14ac:dyDescent="0.25">
      <c r="A161" s="59" t="s">
        <v>1379</v>
      </c>
      <c r="B161" s="186" t="str">
        <f>VLOOKUP(A161,kurspris!$A$1:$B$877,2,FALSE)</f>
        <v>Ämnesdidaktik i skolpraktiken, del 2</v>
      </c>
      <c r="C161" s="37"/>
      <c r="D161" s="59" t="s">
        <v>630</v>
      </c>
      <c r="E161" s="62" t="s">
        <v>1609</v>
      </c>
      <c r="F161" s="59" t="s">
        <v>1931</v>
      </c>
      <c r="G161" s="31" t="s">
        <v>2276</v>
      </c>
      <c r="I161" s="62"/>
      <c r="J161" t="s">
        <v>2307</v>
      </c>
      <c r="L161" s="31">
        <v>50</v>
      </c>
      <c r="M161" s="378">
        <v>15</v>
      </c>
      <c r="N161" s="40"/>
      <c r="P161" s="377">
        <v>8</v>
      </c>
      <c r="Q161" s="232">
        <f t="shared" si="56"/>
        <v>2</v>
      </c>
      <c r="R161" s="40">
        <v>0.85</v>
      </c>
      <c r="S161" s="334">
        <f t="shared" si="57"/>
        <v>1.7</v>
      </c>
      <c r="T161" s="31">
        <f>VLOOKUP(A161,'Ansvar kurs'!$A$1:$C$1010,2,FALSE)</f>
        <v>1650</v>
      </c>
      <c r="U161" s="31" t="str">
        <f>VLOOKUP(T161,Orgenheter!$A$1:$C$165,2,FALSE)</f>
        <v xml:space="preserve">Estetiska ämnen               </v>
      </c>
      <c r="V161" s="31" t="str">
        <f>VLOOKUP(T161,Orgenheter!$A$1:$C$165,3,FALSE)</f>
        <v>Hum</v>
      </c>
      <c r="W161" s="37" t="str">
        <f>VLOOKUP(D161,Program!$A$1:$B$34,2,FALSE)</f>
        <v>KPU - Gy</v>
      </c>
      <c r="X161" s="42">
        <f>VLOOKUP(A161,kurspris!$A$1:$Q$798,15,FALSE)</f>
        <v>21634</v>
      </c>
      <c r="Y161" s="42">
        <f>VLOOKUP(A161,kurspris!$A$1:$Q$798,16,FALSE)</f>
        <v>26986</v>
      </c>
      <c r="Z161" s="42">
        <f t="shared" si="58"/>
        <v>89144.2</v>
      </c>
      <c r="AA161" s="42">
        <f>VLOOKUP(A161,kurspris!$A$1:$Q$798,17,FALSE)</f>
        <v>3400</v>
      </c>
      <c r="AB161" s="42">
        <f t="shared" si="59"/>
        <v>6800</v>
      </c>
      <c r="AC161" s="42">
        <f t="shared" si="60"/>
        <v>95944.2</v>
      </c>
      <c r="AD161" s="31">
        <f>VLOOKUP($A161,kurspris!$A$1:$Q$835,3,FALSE)</f>
        <v>0</v>
      </c>
      <c r="AE161" s="31">
        <f>VLOOKUP($A161,kurspris!$A$1:$Q$835,4,FALSE)</f>
        <v>0</v>
      </c>
      <c r="AF161" s="31">
        <f>VLOOKUP($A161,kurspris!$A$1:$Q$835,5,FALSE)</f>
        <v>0</v>
      </c>
      <c r="AG161" s="31">
        <f>VLOOKUP($A161,kurspris!$A$1:$Q$835,6,FALSE)</f>
        <v>0</v>
      </c>
      <c r="AH161" s="31">
        <f>VLOOKUP($A161,kurspris!$A$1:$Q$835,7,FALSE)</f>
        <v>0</v>
      </c>
      <c r="AI161" s="31">
        <f>VLOOKUP($A161,kurspris!$A$1:$Q$835,8,FALSE)</f>
        <v>0</v>
      </c>
      <c r="AJ161" s="31">
        <f>VLOOKUP($A161,kurspris!$A$1:$Q$835,9,FALSE)</f>
        <v>0</v>
      </c>
      <c r="AK161" s="31">
        <f>VLOOKUP($A161,kurspris!$A$1:$Q$835,10,FALSE)</f>
        <v>0</v>
      </c>
      <c r="AL161" s="31">
        <f>VLOOKUP($A161,kurspris!$A$1:$Q$835,11,FALSE)</f>
        <v>1</v>
      </c>
      <c r="AM161" s="31">
        <f>VLOOKUP($A161,kurspris!$A$1:$Q$835,12,FALSE)</f>
        <v>0</v>
      </c>
      <c r="AN161" s="31">
        <f>VLOOKUP($A161,kurspris!$A$1:$Q$835,13,FALSE)</f>
        <v>0</v>
      </c>
      <c r="AO161" s="31">
        <f>VLOOKUP($A161,kurspris!$A$1:$Q$835,14,FALSE)</f>
        <v>0</v>
      </c>
      <c r="AP161" s="39" t="s">
        <v>2326</v>
      </c>
      <c r="AQ161"/>
      <c r="AR161" s="31">
        <f t="shared" si="61"/>
        <v>0</v>
      </c>
      <c r="AS161" s="255">
        <f t="shared" si="62"/>
        <v>0</v>
      </c>
      <c r="AT161" s="31">
        <f t="shared" si="63"/>
        <v>0</v>
      </c>
      <c r="AU161" s="255">
        <f t="shared" si="64"/>
        <v>0</v>
      </c>
      <c r="AV161" s="31">
        <f t="shared" si="65"/>
        <v>0</v>
      </c>
      <c r="AW161" s="31">
        <f t="shared" si="66"/>
        <v>0</v>
      </c>
      <c r="AX161" s="31">
        <f t="shared" si="67"/>
        <v>0</v>
      </c>
      <c r="AY161" s="255">
        <f t="shared" si="68"/>
        <v>0</v>
      </c>
      <c r="AZ161" s="232">
        <f t="shared" si="69"/>
        <v>0</v>
      </c>
      <c r="BA161" s="255">
        <f t="shared" si="70"/>
        <v>0</v>
      </c>
      <c r="BB161" s="31">
        <f t="shared" si="71"/>
        <v>0</v>
      </c>
      <c r="BC161" s="255">
        <f t="shared" si="72"/>
        <v>0</v>
      </c>
      <c r="BD161" s="31">
        <f t="shared" si="73"/>
        <v>0</v>
      </c>
      <c r="BE161" s="255">
        <f t="shared" si="74"/>
        <v>0</v>
      </c>
      <c r="BF161" s="31">
        <f t="shared" si="75"/>
        <v>0</v>
      </c>
      <c r="BG161" s="255">
        <f t="shared" si="76"/>
        <v>0</v>
      </c>
      <c r="BH161" s="31">
        <f t="shared" si="77"/>
        <v>2</v>
      </c>
      <c r="BI161" s="255">
        <f t="shared" si="78"/>
        <v>1.7</v>
      </c>
      <c r="BJ161" s="31">
        <f t="shared" si="79"/>
        <v>0</v>
      </c>
      <c r="BK161" s="31">
        <f t="shared" si="80"/>
        <v>0</v>
      </c>
      <c r="BL161" s="255">
        <f t="shared" si="81"/>
        <v>0</v>
      </c>
      <c r="BM161" s="31">
        <f t="shared" si="82"/>
        <v>0</v>
      </c>
      <c r="BN161" s="255">
        <f t="shared" si="83"/>
        <v>0</v>
      </c>
    </row>
    <row r="162" spans="1:66" x14ac:dyDescent="0.25">
      <c r="A162" t="s">
        <v>1380</v>
      </c>
      <c r="B162" s="186" t="str">
        <f>VLOOKUP(A162,kurspris!$A$1:$B$877,2,FALSE)</f>
        <v>Examensarbete med ämnesdidaktisk inriktning</v>
      </c>
      <c r="C162"/>
      <c r="D162" t="s">
        <v>629</v>
      </c>
      <c r="E162" t="s">
        <v>1976</v>
      </c>
      <c r="F162" s="59" t="s">
        <v>1930</v>
      </c>
      <c r="G162" t="s">
        <v>1995</v>
      </c>
      <c r="H162" t="s">
        <v>1910</v>
      </c>
      <c r="I162"/>
      <c r="J162"/>
      <c r="K162"/>
      <c r="L162">
        <v>50</v>
      </c>
      <c r="M162">
        <v>15</v>
      </c>
      <c r="N162"/>
      <c r="O162"/>
      <c r="P162" s="31">
        <v>1</v>
      </c>
      <c r="Q162" s="232">
        <f t="shared" si="56"/>
        <v>0.25</v>
      </c>
      <c r="R162" s="40">
        <v>0.85</v>
      </c>
      <c r="S162" s="334">
        <f t="shared" si="57"/>
        <v>0.21249999999999999</v>
      </c>
      <c r="T162" s="31">
        <f>VLOOKUP(A162,'Ansvar kurs'!$A$1:$C$1010,2,FALSE)</f>
        <v>1650</v>
      </c>
      <c r="U162" s="31" t="str">
        <f>VLOOKUP(T162,Orgenheter!$A$1:$C$165,2,FALSE)</f>
        <v xml:space="preserve">Estetiska ämnen               </v>
      </c>
      <c r="V162" s="31" t="str">
        <f>VLOOKUP(T162,Orgenheter!$A$1:$C$165,3,FALSE)</f>
        <v>Hum</v>
      </c>
      <c r="W162" s="37" t="str">
        <f>VLOOKUP(D162,Program!$A$1:$B$34,2,FALSE)</f>
        <v>KPU - åk 7-9</v>
      </c>
      <c r="X162" s="42">
        <f>VLOOKUP(A162,kurspris!$A$1:$Q$798,15,FALSE)</f>
        <v>23641</v>
      </c>
      <c r="Y162" s="42">
        <f>VLOOKUP(A162,kurspris!$A$1:$Q$798,16,FALSE)</f>
        <v>28786</v>
      </c>
      <c r="Z162" s="42">
        <f t="shared" si="58"/>
        <v>12027.275</v>
      </c>
      <c r="AA162" s="42">
        <f>VLOOKUP(A162,kurspris!$A$1:$Q$798,17,FALSE)</f>
        <v>5800</v>
      </c>
      <c r="AB162" s="42">
        <f t="shared" si="59"/>
        <v>1450</v>
      </c>
      <c r="AC162" s="42">
        <f t="shared" si="60"/>
        <v>13477.275</v>
      </c>
      <c r="AD162" s="31">
        <f>VLOOKUP($A162,kurspris!$A$1:$Q$835,3,FALSE)</f>
        <v>0</v>
      </c>
      <c r="AE162" s="31">
        <f>VLOOKUP($A162,kurspris!$A$1:$Q$835,4,FALSE)</f>
        <v>0</v>
      </c>
      <c r="AF162" s="31">
        <f>VLOOKUP($A162,kurspris!$A$1:$Q$835,5,FALSE)</f>
        <v>0</v>
      </c>
      <c r="AG162" s="31">
        <f>VLOOKUP($A162,kurspris!$A$1:$Q$835,6,FALSE)</f>
        <v>1</v>
      </c>
      <c r="AH162" s="31">
        <f>VLOOKUP($A162,kurspris!$A$1:$Q$835,7,FALSE)</f>
        <v>0</v>
      </c>
      <c r="AI162" s="31">
        <f>VLOOKUP($A162,kurspris!$A$1:$Q$835,8,FALSE)</f>
        <v>0</v>
      </c>
      <c r="AJ162" s="31">
        <f>VLOOKUP($A162,kurspris!$A$1:$Q$835,9,FALSE)</f>
        <v>0</v>
      </c>
      <c r="AK162" s="31">
        <f>VLOOKUP($A162,kurspris!$A$1:$Q$835,10,FALSE)</f>
        <v>0</v>
      </c>
      <c r="AL162" s="31">
        <f>VLOOKUP($A162,kurspris!$A$1:$Q$835,11,FALSE)</f>
        <v>0</v>
      </c>
      <c r="AM162" s="31">
        <f>VLOOKUP($A162,kurspris!$A$1:$Q$835,12,FALSE)</f>
        <v>0</v>
      </c>
      <c r="AN162" s="31">
        <f>VLOOKUP($A162,kurspris!$A$1:$Q$835,13,FALSE)</f>
        <v>0</v>
      </c>
      <c r="AO162" s="31">
        <f>VLOOKUP($A162,kurspris!$A$1:$Q$835,14,FALSE)</f>
        <v>0</v>
      </c>
      <c r="AP162" s="39" t="s">
        <v>2204</v>
      </c>
      <c r="AQ162"/>
      <c r="AR162" s="31">
        <f t="shared" si="61"/>
        <v>0</v>
      </c>
      <c r="AS162" s="255">
        <f t="shared" si="62"/>
        <v>0</v>
      </c>
      <c r="AT162" s="31">
        <f t="shared" si="63"/>
        <v>0</v>
      </c>
      <c r="AU162" s="255">
        <f t="shared" si="64"/>
        <v>0</v>
      </c>
      <c r="AV162" s="31">
        <f t="shared" si="65"/>
        <v>0</v>
      </c>
      <c r="AW162" s="31">
        <f t="shared" si="66"/>
        <v>0</v>
      </c>
      <c r="AX162" s="31">
        <f t="shared" si="67"/>
        <v>0.25</v>
      </c>
      <c r="AY162" s="255">
        <f t="shared" si="68"/>
        <v>0.21249999999999999</v>
      </c>
      <c r="AZ162" s="232">
        <f t="shared" si="69"/>
        <v>0</v>
      </c>
      <c r="BA162" s="255">
        <f t="shared" si="70"/>
        <v>0</v>
      </c>
      <c r="BB162" s="31">
        <f t="shared" si="71"/>
        <v>0</v>
      </c>
      <c r="BC162" s="255">
        <f t="shared" si="72"/>
        <v>0</v>
      </c>
      <c r="BD162" s="31">
        <f t="shared" si="73"/>
        <v>0</v>
      </c>
      <c r="BE162" s="255">
        <f t="shared" si="74"/>
        <v>0</v>
      </c>
      <c r="BF162" s="31">
        <f t="shared" si="75"/>
        <v>0</v>
      </c>
      <c r="BG162" s="255">
        <f t="shared" si="76"/>
        <v>0</v>
      </c>
      <c r="BH162" s="31">
        <f t="shared" si="77"/>
        <v>0</v>
      </c>
      <c r="BI162" s="255">
        <f t="shared" si="78"/>
        <v>0</v>
      </c>
      <c r="BJ162" s="31">
        <f t="shared" si="79"/>
        <v>0</v>
      </c>
      <c r="BK162" s="31">
        <f t="shared" si="80"/>
        <v>0</v>
      </c>
      <c r="BL162" s="255">
        <f t="shared" si="81"/>
        <v>0</v>
      </c>
      <c r="BM162" s="31">
        <f t="shared" si="82"/>
        <v>0</v>
      </c>
      <c r="BN162" s="255">
        <f t="shared" si="83"/>
        <v>0</v>
      </c>
    </row>
    <row r="163" spans="1:66" x14ac:dyDescent="0.25">
      <c r="A163" t="s">
        <v>1380</v>
      </c>
      <c r="B163" s="186" t="str">
        <f>VLOOKUP(A163,kurspris!$A$1:$B$877,2,FALSE)</f>
        <v>Examensarbete med ämnesdidaktisk inriktning</v>
      </c>
      <c r="C163"/>
      <c r="D163" t="s">
        <v>629</v>
      </c>
      <c r="E163" t="s">
        <v>1973</v>
      </c>
      <c r="F163" s="59" t="s">
        <v>1930</v>
      </c>
      <c r="G163" t="s">
        <v>1995</v>
      </c>
      <c r="H163" t="s">
        <v>1910</v>
      </c>
      <c r="I163"/>
      <c r="J163"/>
      <c r="K163"/>
      <c r="L163">
        <v>50</v>
      </c>
      <c r="M163">
        <v>15</v>
      </c>
      <c r="N163"/>
      <c r="O163"/>
      <c r="P163" s="31">
        <v>4</v>
      </c>
      <c r="Q163" s="232">
        <f t="shared" si="56"/>
        <v>1</v>
      </c>
      <c r="R163" s="40">
        <v>0.85</v>
      </c>
      <c r="S163" s="334">
        <f t="shared" si="57"/>
        <v>0.85</v>
      </c>
      <c r="T163" s="31">
        <f>VLOOKUP(A163,'Ansvar kurs'!$A$1:$C$1010,2,FALSE)</f>
        <v>1650</v>
      </c>
      <c r="U163" s="31" t="str">
        <f>VLOOKUP(T163,Orgenheter!$A$1:$C$165,2,FALSE)</f>
        <v xml:space="preserve">Estetiska ämnen               </v>
      </c>
      <c r="V163" s="31" t="str">
        <f>VLOOKUP(T163,Orgenheter!$A$1:$C$165,3,FALSE)</f>
        <v>Hum</v>
      </c>
      <c r="W163" s="37" t="str">
        <f>VLOOKUP(D163,Program!$A$1:$B$34,2,FALSE)</f>
        <v>KPU - åk 7-9</v>
      </c>
      <c r="X163" s="42">
        <f>VLOOKUP(A163,kurspris!$A$1:$Q$798,15,FALSE)</f>
        <v>23641</v>
      </c>
      <c r="Y163" s="42">
        <f>VLOOKUP(A163,kurspris!$A$1:$Q$798,16,FALSE)</f>
        <v>28786</v>
      </c>
      <c r="Z163" s="42">
        <f t="shared" si="58"/>
        <v>48109.1</v>
      </c>
      <c r="AA163" s="42">
        <f>VLOOKUP(A163,kurspris!$A$1:$Q$798,17,FALSE)</f>
        <v>5800</v>
      </c>
      <c r="AB163" s="42">
        <f t="shared" si="59"/>
        <v>5800</v>
      </c>
      <c r="AC163" s="42">
        <f t="shared" si="60"/>
        <v>53909.1</v>
      </c>
      <c r="AD163" s="31">
        <f>VLOOKUP($A163,kurspris!$A$1:$Q$835,3,FALSE)</f>
        <v>0</v>
      </c>
      <c r="AE163" s="31">
        <f>VLOOKUP($A163,kurspris!$A$1:$Q$835,4,FALSE)</f>
        <v>0</v>
      </c>
      <c r="AF163" s="31">
        <f>VLOOKUP($A163,kurspris!$A$1:$Q$835,5,FALSE)</f>
        <v>0</v>
      </c>
      <c r="AG163" s="31">
        <f>VLOOKUP($A163,kurspris!$A$1:$Q$835,6,FALSE)</f>
        <v>1</v>
      </c>
      <c r="AH163" s="31">
        <f>VLOOKUP($A163,kurspris!$A$1:$Q$835,7,FALSE)</f>
        <v>0</v>
      </c>
      <c r="AI163" s="31">
        <f>VLOOKUP($A163,kurspris!$A$1:$Q$835,8,FALSE)</f>
        <v>0</v>
      </c>
      <c r="AJ163" s="31">
        <f>VLOOKUP($A163,kurspris!$A$1:$Q$835,9,FALSE)</f>
        <v>0</v>
      </c>
      <c r="AK163" s="31">
        <f>VLOOKUP($A163,kurspris!$A$1:$Q$835,10,FALSE)</f>
        <v>0</v>
      </c>
      <c r="AL163" s="31">
        <f>VLOOKUP($A163,kurspris!$A$1:$Q$835,11,FALSE)</f>
        <v>0</v>
      </c>
      <c r="AM163" s="31">
        <f>VLOOKUP($A163,kurspris!$A$1:$Q$835,12,FALSE)</f>
        <v>0</v>
      </c>
      <c r="AN163" s="31">
        <f>VLOOKUP($A163,kurspris!$A$1:$Q$835,13,FALSE)</f>
        <v>0</v>
      </c>
      <c r="AO163" s="31">
        <f>VLOOKUP($A163,kurspris!$A$1:$Q$835,14,FALSE)</f>
        <v>0</v>
      </c>
      <c r="AP163" s="39" t="s">
        <v>2204</v>
      </c>
      <c r="AQ163"/>
      <c r="AR163" s="31">
        <f t="shared" si="61"/>
        <v>0</v>
      </c>
      <c r="AS163" s="255">
        <f t="shared" si="62"/>
        <v>0</v>
      </c>
      <c r="AT163" s="31">
        <f t="shared" si="63"/>
        <v>0</v>
      </c>
      <c r="AU163" s="255">
        <f t="shared" si="64"/>
        <v>0</v>
      </c>
      <c r="AV163" s="31">
        <f t="shared" si="65"/>
        <v>0</v>
      </c>
      <c r="AW163" s="31">
        <f t="shared" si="66"/>
        <v>0</v>
      </c>
      <c r="AX163" s="31">
        <f t="shared" si="67"/>
        <v>1</v>
      </c>
      <c r="AY163" s="255">
        <f t="shared" si="68"/>
        <v>0.85</v>
      </c>
      <c r="AZ163" s="232">
        <f t="shared" si="69"/>
        <v>0</v>
      </c>
      <c r="BA163" s="255">
        <f t="shared" si="70"/>
        <v>0</v>
      </c>
      <c r="BB163" s="31">
        <f t="shared" si="71"/>
        <v>0</v>
      </c>
      <c r="BC163" s="255">
        <f t="shared" si="72"/>
        <v>0</v>
      </c>
      <c r="BD163" s="31">
        <f t="shared" si="73"/>
        <v>0</v>
      </c>
      <c r="BE163" s="255">
        <f t="shared" si="74"/>
        <v>0</v>
      </c>
      <c r="BF163" s="31">
        <f t="shared" si="75"/>
        <v>0</v>
      </c>
      <c r="BG163" s="255">
        <f t="shared" si="76"/>
        <v>0</v>
      </c>
      <c r="BH163" s="31">
        <f t="shared" si="77"/>
        <v>0</v>
      </c>
      <c r="BI163" s="255">
        <f t="shared" si="78"/>
        <v>0</v>
      </c>
      <c r="BJ163" s="31">
        <f t="shared" si="79"/>
        <v>0</v>
      </c>
      <c r="BK163" s="31">
        <f t="shared" si="80"/>
        <v>0</v>
      </c>
      <c r="BL163" s="255">
        <f t="shared" si="81"/>
        <v>0</v>
      </c>
      <c r="BM163" s="31">
        <f t="shared" si="82"/>
        <v>0</v>
      </c>
      <c r="BN163" s="255">
        <f t="shared" si="83"/>
        <v>0</v>
      </c>
    </row>
    <row r="164" spans="1:66" x14ac:dyDescent="0.25">
      <c r="A164" t="s">
        <v>1380</v>
      </c>
      <c r="B164" s="186" t="str">
        <f>VLOOKUP(A164,kurspris!$A$1:$B$877,2,FALSE)</f>
        <v>Examensarbete med ämnesdidaktisk inriktning</v>
      </c>
      <c r="C164"/>
      <c r="D164" t="s">
        <v>629</v>
      </c>
      <c r="E164" t="s">
        <v>1973</v>
      </c>
      <c r="F164" s="59" t="s">
        <v>1930</v>
      </c>
      <c r="G164" t="s">
        <v>1995</v>
      </c>
      <c r="H164" t="s">
        <v>1910</v>
      </c>
      <c r="I164"/>
      <c r="J164"/>
      <c r="K164"/>
      <c r="L164">
        <v>50</v>
      </c>
      <c r="M164">
        <v>15</v>
      </c>
      <c r="N164"/>
      <c r="O164"/>
      <c r="P164" s="31">
        <v>1</v>
      </c>
      <c r="Q164" s="232">
        <f t="shared" si="56"/>
        <v>0.25</v>
      </c>
      <c r="R164" s="40">
        <v>0.85</v>
      </c>
      <c r="S164" s="334">
        <f t="shared" si="57"/>
        <v>0.21249999999999999</v>
      </c>
      <c r="T164" s="31">
        <f>VLOOKUP(A164,'Ansvar kurs'!$A$1:$C$1010,2,FALSE)</f>
        <v>1650</v>
      </c>
      <c r="U164" s="31" t="str">
        <f>VLOOKUP(T164,Orgenheter!$A$1:$C$165,2,FALSE)</f>
        <v xml:space="preserve">Estetiska ämnen               </v>
      </c>
      <c r="V164" s="31" t="str">
        <f>VLOOKUP(T164,Orgenheter!$A$1:$C$165,3,FALSE)</f>
        <v>Hum</v>
      </c>
      <c r="W164" s="37" t="str">
        <f>VLOOKUP(D164,Program!$A$1:$B$34,2,FALSE)</f>
        <v>KPU - åk 7-9</v>
      </c>
      <c r="X164" s="42">
        <f>VLOOKUP(A164,kurspris!$A$1:$Q$798,15,FALSE)</f>
        <v>23641</v>
      </c>
      <c r="Y164" s="42">
        <f>VLOOKUP(A164,kurspris!$A$1:$Q$798,16,FALSE)</f>
        <v>28786</v>
      </c>
      <c r="Z164" s="42">
        <f t="shared" si="58"/>
        <v>12027.275</v>
      </c>
      <c r="AA164" s="42">
        <f>VLOOKUP(A164,kurspris!$A$1:$Q$798,17,FALSE)</f>
        <v>5800</v>
      </c>
      <c r="AB164" s="42">
        <f t="shared" si="59"/>
        <v>1450</v>
      </c>
      <c r="AC164" s="42">
        <f t="shared" si="60"/>
        <v>13477.275</v>
      </c>
      <c r="AD164" s="31">
        <f>VLOOKUP($A164,kurspris!$A$1:$Q$835,3,FALSE)</f>
        <v>0</v>
      </c>
      <c r="AE164" s="31">
        <f>VLOOKUP($A164,kurspris!$A$1:$Q$835,4,FALSE)</f>
        <v>0</v>
      </c>
      <c r="AF164" s="31">
        <f>VLOOKUP($A164,kurspris!$A$1:$Q$835,5,FALSE)</f>
        <v>0</v>
      </c>
      <c r="AG164" s="31">
        <f>VLOOKUP($A164,kurspris!$A$1:$Q$835,6,FALSE)</f>
        <v>1</v>
      </c>
      <c r="AH164" s="31">
        <f>VLOOKUP($A164,kurspris!$A$1:$Q$835,7,FALSE)</f>
        <v>0</v>
      </c>
      <c r="AI164" s="31">
        <f>VLOOKUP($A164,kurspris!$A$1:$Q$835,8,FALSE)</f>
        <v>0</v>
      </c>
      <c r="AJ164" s="31">
        <f>VLOOKUP($A164,kurspris!$A$1:$Q$835,9,FALSE)</f>
        <v>0</v>
      </c>
      <c r="AK164" s="31">
        <f>VLOOKUP($A164,kurspris!$A$1:$Q$835,10,FALSE)</f>
        <v>0</v>
      </c>
      <c r="AL164" s="31">
        <f>VLOOKUP($A164,kurspris!$A$1:$Q$835,11,FALSE)</f>
        <v>0</v>
      </c>
      <c r="AM164" s="31">
        <f>VLOOKUP($A164,kurspris!$A$1:$Q$835,12,FALSE)</f>
        <v>0</v>
      </c>
      <c r="AN164" s="31">
        <f>VLOOKUP($A164,kurspris!$A$1:$Q$835,13,FALSE)</f>
        <v>0</v>
      </c>
      <c r="AO164" s="31">
        <f>VLOOKUP($A164,kurspris!$A$1:$Q$835,14,FALSE)</f>
        <v>0</v>
      </c>
      <c r="AP164" s="39" t="s">
        <v>2204</v>
      </c>
      <c r="AQ164"/>
      <c r="AR164" s="31">
        <f t="shared" si="61"/>
        <v>0</v>
      </c>
      <c r="AS164" s="255">
        <f t="shared" si="62"/>
        <v>0</v>
      </c>
      <c r="AT164" s="31">
        <f t="shared" si="63"/>
        <v>0</v>
      </c>
      <c r="AU164" s="255">
        <f t="shared" si="64"/>
        <v>0</v>
      </c>
      <c r="AV164" s="31">
        <f t="shared" si="65"/>
        <v>0</v>
      </c>
      <c r="AW164" s="31">
        <f t="shared" si="66"/>
        <v>0</v>
      </c>
      <c r="AX164" s="31">
        <f t="shared" si="67"/>
        <v>0.25</v>
      </c>
      <c r="AY164" s="255">
        <f t="shared" si="68"/>
        <v>0.21249999999999999</v>
      </c>
      <c r="AZ164" s="232">
        <f t="shared" si="69"/>
        <v>0</v>
      </c>
      <c r="BA164" s="255">
        <f t="shared" si="70"/>
        <v>0</v>
      </c>
      <c r="BB164" s="31">
        <f t="shared" si="71"/>
        <v>0</v>
      </c>
      <c r="BC164" s="255">
        <f t="shared" si="72"/>
        <v>0</v>
      </c>
      <c r="BD164" s="31">
        <f t="shared" si="73"/>
        <v>0</v>
      </c>
      <c r="BE164" s="255">
        <f t="shared" si="74"/>
        <v>0</v>
      </c>
      <c r="BF164" s="31">
        <f t="shared" si="75"/>
        <v>0</v>
      </c>
      <c r="BG164" s="255">
        <f t="shared" si="76"/>
        <v>0</v>
      </c>
      <c r="BH164" s="31">
        <f t="shared" si="77"/>
        <v>0</v>
      </c>
      <c r="BI164" s="255">
        <f t="shared" si="78"/>
        <v>0</v>
      </c>
      <c r="BJ164" s="31">
        <f t="shared" si="79"/>
        <v>0</v>
      </c>
      <c r="BK164" s="31">
        <f t="shared" si="80"/>
        <v>0</v>
      </c>
      <c r="BL164" s="255">
        <f t="shared" si="81"/>
        <v>0</v>
      </c>
      <c r="BM164" s="31">
        <f t="shared" si="82"/>
        <v>0</v>
      </c>
      <c r="BN164" s="255">
        <f t="shared" si="83"/>
        <v>0</v>
      </c>
    </row>
    <row r="165" spans="1:66" x14ac:dyDescent="0.25">
      <c r="A165" t="s">
        <v>1380</v>
      </c>
      <c r="B165" s="186" t="str">
        <f>VLOOKUP(A165,kurspris!$A$1:$B$877,2,FALSE)</f>
        <v>Examensarbete med ämnesdidaktisk inriktning</v>
      </c>
      <c r="C165"/>
      <c r="D165" t="s">
        <v>629</v>
      </c>
      <c r="E165" t="s">
        <v>1609</v>
      </c>
      <c r="F165" s="59" t="s">
        <v>1930</v>
      </c>
      <c r="G165" t="s">
        <v>1995</v>
      </c>
      <c r="H165" t="s">
        <v>1910</v>
      </c>
      <c r="I165"/>
      <c r="J165"/>
      <c r="K165"/>
      <c r="L165">
        <v>50</v>
      </c>
      <c r="M165">
        <v>15</v>
      </c>
      <c r="N165"/>
      <c r="O165"/>
      <c r="P165" s="31">
        <v>1</v>
      </c>
      <c r="Q165" s="232">
        <f t="shared" si="56"/>
        <v>0.25</v>
      </c>
      <c r="R165" s="40">
        <v>0.85</v>
      </c>
      <c r="S165" s="334">
        <f t="shared" si="57"/>
        <v>0.21249999999999999</v>
      </c>
      <c r="T165" s="31">
        <f>VLOOKUP(A165,'Ansvar kurs'!$A$1:$C$1010,2,FALSE)</f>
        <v>1650</v>
      </c>
      <c r="U165" s="31" t="str">
        <f>VLOOKUP(T165,Orgenheter!$A$1:$C$165,2,FALSE)</f>
        <v xml:space="preserve">Estetiska ämnen               </v>
      </c>
      <c r="V165" s="31" t="str">
        <f>VLOOKUP(T165,Orgenheter!$A$1:$C$165,3,FALSE)</f>
        <v>Hum</v>
      </c>
      <c r="W165" s="37" t="str">
        <f>VLOOKUP(D165,Program!$A$1:$B$34,2,FALSE)</f>
        <v>KPU - åk 7-9</v>
      </c>
      <c r="X165" s="42">
        <f>VLOOKUP(A165,kurspris!$A$1:$Q$798,15,FALSE)</f>
        <v>23641</v>
      </c>
      <c r="Y165" s="42">
        <f>VLOOKUP(A165,kurspris!$A$1:$Q$798,16,FALSE)</f>
        <v>28786</v>
      </c>
      <c r="Z165" s="42">
        <f t="shared" si="58"/>
        <v>12027.275</v>
      </c>
      <c r="AA165" s="42">
        <f>VLOOKUP(A165,kurspris!$A$1:$Q$798,17,FALSE)</f>
        <v>5800</v>
      </c>
      <c r="AB165" s="42">
        <f t="shared" si="59"/>
        <v>1450</v>
      </c>
      <c r="AC165" s="42">
        <f t="shared" si="60"/>
        <v>13477.275</v>
      </c>
      <c r="AD165" s="31">
        <f>VLOOKUP($A165,kurspris!$A$1:$Q$835,3,FALSE)</f>
        <v>0</v>
      </c>
      <c r="AE165" s="31">
        <f>VLOOKUP($A165,kurspris!$A$1:$Q$835,4,FALSE)</f>
        <v>0</v>
      </c>
      <c r="AF165" s="31">
        <f>VLOOKUP($A165,kurspris!$A$1:$Q$835,5,FALSE)</f>
        <v>0</v>
      </c>
      <c r="AG165" s="31">
        <f>VLOOKUP($A165,kurspris!$A$1:$Q$835,6,FALSE)</f>
        <v>1</v>
      </c>
      <c r="AH165" s="31">
        <f>VLOOKUP($A165,kurspris!$A$1:$Q$835,7,FALSE)</f>
        <v>0</v>
      </c>
      <c r="AI165" s="31">
        <f>VLOOKUP($A165,kurspris!$A$1:$Q$835,8,FALSE)</f>
        <v>0</v>
      </c>
      <c r="AJ165" s="31">
        <f>VLOOKUP($A165,kurspris!$A$1:$Q$835,9,FALSE)</f>
        <v>0</v>
      </c>
      <c r="AK165" s="31">
        <f>VLOOKUP($A165,kurspris!$A$1:$Q$835,10,FALSE)</f>
        <v>0</v>
      </c>
      <c r="AL165" s="31">
        <f>VLOOKUP($A165,kurspris!$A$1:$Q$835,11,FALSE)</f>
        <v>0</v>
      </c>
      <c r="AM165" s="31">
        <f>VLOOKUP($A165,kurspris!$A$1:$Q$835,12,FALSE)</f>
        <v>0</v>
      </c>
      <c r="AN165" s="31">
        <f>VLOOKUP($A165,kurspris!$A$1:$Q$835,13,FALSE)</f>
        <v>0</v>
      </c>
      <c r="AO165" s="31">
        <f>VLOOKUP($A165,kurspris!$A$1:$Q$835,14,FALSE)</f>
        <v>0</v>
      </c>
      <c r="AP165" s="39" t="s">
        <v>2204</v>
      </c>
      <c r="AQ165"/>
      <c r="AR165" s="31">
        <f t="shared" si="61"/>
        <v>0</v>
      </c>
      <c r="AS165" s="255">
        <f t="shared" si="62"/>
        <v>0</v>
      </c>
      <c r="AT165" s="31">
        <f t="shared" si="63"/>
        <v>0</v>
      </c>
      <c r="AU165" s="255">
        <f t="shared" si="64"/>
        <v>0</v>
      </c>
      <c r="AV165" s="31">
        <f t="shared" si="65"/>
        <v>0</v>
      </c>
      <c r="AW165" s="31">
        <f t="shared" si="66"/>
        <v>0</v>
      </c>
      <c r="AX165" s="31">
        <f t="shared" si="67"/>
        <v>0.25</v>
      </c>
      <c r="AY165" s="255">
        <f t="shared" si="68"/>
        <v>0.21249999999999999</v>
      </c>
      <c r="AZ165" s="232">
        <f t="shared" si="69"/>
        <v>0</v>
      </c>
      <c r="BA165" s="255">
        <f t="shared" si="70"/>
        <v>0</v>
      </c>
      <c r="BB165" s="31">
        <f t="shared" si="71"/>
        <v>0</v>
      </c>
      <c r="BC165" s="255">
        <f t="shared" si="72"/>
        <v>0</v>
      </c>
      <c r="BD165" s="31">
        <f t="shared" si="73"/>
        <v>0</v>
      </c>
      <c r="BE165" s="255">
        <f t="shared" si="74"/>
        <v>0</v>
      </c>
      <c r="BF165" s="31">
        <f t="shared" si="75"/>
        <v>0</v>
      </c>
      <c r="BG165" s="255">
        <f t="shared" si="76"/>
        <v>0</v>
      </c>
      <c r="BH165" s="31">
        <f t="shared" si="77"/>
        <v>0</v>
      </c>
      <c r="BI165" s="255">
        <f t="shared" si="78"/>
        <v>0</v>
      </c>
      <c r="BJ165" s="31">
        <f t="shared" si="79"/>
        <v>0</v>
      </c>
      <c r="BK165" s="31">
        <f t="shared" si="80"/>
        <v>0</v>
      </c>
      <c r="BL165" s="255">
        <f t="shared" si="81"/>
        <v>0</v>
      </c>
      <c r="BM165" s="31">
        <f t="shared" si="82"/>
        <v>0</v>
      </c>
      <c r="BN165" s="255">
        <f t="shared" si="83"/>
        <v>0</v>
      </c>
    </row>
    <row r="166" spans="1:66" x14ac:dyDescent="0.25">
      <c r="A166" t="s">
        <v>1380</v>
      </c>
      <c r="B166" s="186" t="str">
        <f>VLOOKUP(A166,kurspris!$A$1:$B$877,2,FALSE)</f>
        <v>Examensarbete med ämnesdidaktisk inriktning</v>
      </c>
      <c r="C166"/>
      <c r="D166" t="s">
        <v>630</v>
      </c>
      <c r="E166" t="s">
        <v>1976</v>
      </c>
      <c r="F166" s="59" t="s">
        <v>1930</v>
      </c>
      <c r="G166" t="s">
        <v>1995</v>
      </c>
      <c r="H166" t="s">
        <v>1910</v>
      </c>
      <c r="I166"/>
      <c r="J166"/>
      <c r="K166"/>
      <c r="L166">
        <v>50</v>
      </c>
      <c r="M166">
        <v>15</v>
      </c>
      <c r="N166"/>
      <c r="O166"/>
      <c r="P166" s="31">
        <v>1</v>
      </c>
      <c r="Q166" s="232">
        <f t="shared" si="56"/>
        <v>0.25</v>
      </c>
      <c r="R166" s="40">
        <v>0.85</v>
      </c>
      <c r="S166" s="334">
        <f t="shared" si="57"/>
        <v>0.21249999999999999</v>
      </c>
      <c r="T166" s="31">
        <f>VLOOKUP(A166,'Ansvar kurs'!$A$1:$C$1010,2,FALSE)</f>
        <v>1650</v>
      </c>
      <c r="U166" s="31" t="str">
        <f>VLOOKUP(T166,Orgenheter!$A$1:$C$165,2,FALSE)</f>
        <v xml:space="preserve">Estetiska ämnen               </v>
      </c>
      <c r="V166" s="31" t="str">
        <f>VLOOKUP(T166,Orgenheter!$A$1:$C$165,3,FALSE)</f>
        <v>Hum</v>
      </c>
      <c r="W166" s="37" t="str">
        <f>VLOOKUP(D166,Program!$A$1:$B$34,2,FALSE)</f>
        <v>KPU - Gy</v>
      </c>
      <c r="X166" s="42">
        <f>VLOOKUP(A166,kurspris!$A$1:$Q$798,15,FALSE)</f>
        <v>23641</v>
      </c>
      <c r="Y166" s="42">
        <f>VLOOKUP(A166,kurspris!$A$1:$Q$798,16,FALSE)</f>
        <v>28786</v>
      </c>
      <c r="Z166" s="42">
        <f t="shared" si="58"/>
        <v>12027.275</v>
      </c>
      <c r="AA166" s="42">
        <f>VLOOKUP(A166,kurspris!$A$1:$Q$798,17,FALSE)</f>
        <v>5800</v>
      </c>
      <c r="AB166" s="42">
        <f t="shared" si="59"/>
        <v>1450</v>
      </c>
      <c r="AC166" s="42">
        <f t="shared" si="60"/>
        <v>13477.275</v>
      </c>
      <c r="AD166" s="31">
        <f>VLOOKUP($A166,kurspris!$A$1:$Q$835,3,FALSE)</f>
        <v>0</v>
      </c>
      <c r="AE166" s="31">
        <f>VLOOKUP($A166,kurspris!$A$1:$Q$835,4,FALSE)</f>
        <v>0</v>
      </c>
      <c r="AF166" s="31">
        <f>VLOOKUP($A166,kurspris!$A$1:$Q$835,5,FALSE)</f>
        <v>0</v>
      </c>
      <c r="AG166" s="31">
        <f>VLOOKUP($A166,kurspris!$A$1:$Q$835,6,FALSE)</f>
        <v>1</v>
      </c>
      <c r="AH166" s="31">
        <f>VLOOKUP($A166,kurspris!$A$1:$Q$835,7,FALSE)</f>
        <v>0</v>
      </c>
      <c r="AI166" s="31">
        <f>VLOOKUP($A166,kurspris!$A$1:$Q$835,8,FALSE)</f>
        <v>0</v>
      </c>
      <c r="AJ166" s="31">
        <f>VLOOKUP($A166,kurspris!$A$1:$Q$835,9,FALSE)</f>
        <v>0</v>
      </c>
      <c r="AK166" s="31">
        <f>VLOOKUP($A166,kurspris!$A$1:$Q$835,10,FALSE)</f>
        <v>0</v>
      </c>
      <c r="AL166" s="31">
        <f>VLOOKUP($A166,kurspris!$A$1:$Q$835,11,FALSE)</f>
        <v>0</v>
      </c>
      <c r="AM166" s="31">
        <f>VLOOKUP($A166,kurspris!$A$1:$Q$835,12,FALSE)</f>
        <v>0</v>
      </c>
      <c r="AN166" s="31">
        <f>VLOOKUP($A166,kurspris!$A$1:$Q$835,13,FALSE)</f>
        <v>0</v>
      </c>
      <c r="AO166" s="31">
        <f>VLOOKUP($A166,kurspris!$A$1:$Q$835,14,FALSE)</f>
        <v>0</v>
      </c>
      <c r="AP166" s="39" t="s">
        <v>2204</v>
      </c>
      <c r="AQ166"/>
      <c r="AR166" s="31">
        <f t="shared" si="61"/>
        <v>0</v>
      </c>
      <c r="AS166" s="255">
        <f t="shared" si="62"/>
        <v>0</v>
      </c>
      <c r="AT166" s="31">
        <f t="shared" si="63"/>
        <v>0</v>
      </c>
      <c r="AU166" s="255">
        <f t="shared" si="64"/>
        <v>0</v>
      </c>
      <c r="AV166" s="31">
        <f t="shared" si="65"/>
        <v>0</v>
      </c>
      <c r="AW166" s="31">
        <f t="shared" si="66"/>
        <v>0</v>
      </c>
      <c r="AX166" s="31">
        <f t="shared" si="67"/>
        <v>0.25</v>
      </c>
      <c r="AY166" s="255">
        <f t="shared" si="68"/>
        <v>0.21249999999999999</v>
      </c>
      <c r="AZ166" s="232">
        <f t="shared" si="69"/>
        <v>0</v>
      </c>
      <c r="BA166" s="255">
        <f t="shared" si="70"/>
        <v>0</v>
      </c>
      <c r="BB166" s="31">
        <f t="shared" si="71"/>
        <v>0</v>
      </c>
      <c r="BC166" s="255">
        <f t="shared" si="72"/>
        <v>0</v>
      </c>
      <c r="BD166" s="31">
        <f t="shared" si="73"/>
        <v>0</v>
      </c>
      <c r="BE166" s="255">
        <f t="shared" si="74"/>
        <v>0</v>
      </c>
      <c r="BF166" s="31">
        <f t="shared" si="75"/>
        <v>0</v>
      </c>
      <c r="BG166" s="255">
        <f t="shared" si="76"/>
        <v>0</v>
      </c>
      <c r="BH166" s="31">
        <f t="shared" si="77"/>
        <v>0</v>
      </c>
      <c r="BI166" s="255">
        <f t="shared" si="78"/>
        <v>0</v>
      </c>
      <c r="BJ166" s="31">
        <f t="shared" si="79"/>
        <v>0</v>
      </c>
      <c r="BK166" s="31">
        <f t="shared" si="80"/>
        <v>0</v>
      </c>
      <c r="BL166" s="255">
        <f t="shared" si="81"/>
        <v>0</v>
      </c>
      <c r="BM166" s="31">
        <f t="shared" si="82"/>
        <v>0</v>
      </c>
      <c r="BN166" s="255">
        <f t="shared" si="83"/>
        <v>0</v>
      </c>
    </row>
    <row r="167" spans="1:66" x14ac:dyDescent="0.25">
      <c r="A167" t="s">
        <v>1380</v>
      </c>
      <c r="B167" s="186" t="str">
        <f>VLOOKUP(A167,kurspris!$A$1:$B$877,2,FALSE)</f>
        <v>Examensarbete med ämnesdidaktisk inriktning</v>
      </c>
      <c r="C167"/>
      <c r="D167" t="s">
        <v>630</v>
      </c>
      <c r="E167" t="s">
        <v>1973</v>
      </c>
      <c r="F167" s="59" t="s">
        <v>1930</v>
      </c>
      <c r="G167" t="s">
        <v>1995</v>
      </c>
      <c r="H167" t="s">
        <v>1910</v>
      </c>
      <c r="I167"/>
      <c r="J167"/>
      <c r="K167"/>
      <c r="L167">
        <v>50</v>
      </c>
      <c r="M167">
        <v>15</v>
      </c>
      <c r="N167"/>
      <c r="O167"/>
      <c r="P167" s="31">
        <v>8</v>
      </c>
      <c r="Q167" s="232">
        <f t="shared" si="56"/>
        <v>2</v>
      </c>
      <c r="R167" s="40">
        <v>0.85</v>
      </c>
      <c r="S167" s="334">
        <f t="shared" si="57"/>
        <v>1.7</v>
      </c>
      <c r="T167" s="31">
        <f>VLOOKUP(A167,'Ansvar kurs'!$A$1:$C$1010,2,FALSE)</f>
        <v>1650</v>
      </c>
      <c r="U167" s="31" t="str">
        <f>VLOOKUP(T167,Orgenheter!$A$1:$C$165,2,FALSE)</f>
        <v xml:space="preserve">Estetiska ämnen               </v>
      </c>
      <c r="V167" s="31" t="str">
        <f>VLOOKUP(T167,Orgenheter!$A$1:$C$165,3,FALSE)</f>
        <v>Hum</v>
      </c>
      <c r="W167" s="37" t="str">
        <f>VLOOKUP(D167,Program!$A$1:$B$34,2,FALSE)</f>
        <v>KPU - Gy</v>
      </c>
      <c r="X167" s="42">
        <f>VLOOKUP(A167,kurspris!$A$1:$Q$798,15,FALSE)</f>
        <v>23641</v>
      </c>
      <c r="Y167" s="42">
        <f>VLOOKUP(A167,kurspris!$A$1:$Q$798,16,FALSE)</f>
        <v>28786</v>
      </c>
      <c r="Z167" s="42">
        <f t="shared" si="58"/>
        <v>96218.2</v>
      </c>
      <c r="AA167" s="42">
        <f>VLOOKUP(A167,kurspris!$A$1:$Q$798,17,FALSE)</f>
        <v>5800</v>
      </c>
      <c r="AB167" s="42">
        <f t="shared" si="59"/>
        <v>11600</v>
      </c>
      <c r="AC167" s="42">
        <f t="shared" si="60"/>
        <v>107818.2</v>
      </c>
      <c r="AD167" s="31">
        <f>VLOOKUP($A167,kurspris!$A$1:$Q$835,3,FALSE)</f>
        <v>0</v>
      </c>
      <c r="AE167" s="31">
        <f>VLOOKUP($A167,kurspris!$A$1:$Q$835,4,FALSE)</f>
        <v>0</v>
      </c>
      <c r="AF167" s="31">
        <f>VLOOKUP($A167,kurspris!$A$1:$Q$835,5,FALSE)</f>
        <v>0</v>
      </c>
      <c r="AG167" s="31">
        <f>VLOOKUP($A167,kurspris!$A$1:$Q$835,6,FALSE)</f>
        <v>1</v>
      </c>
      <c r="AH167" s="31">
        <f>VLOOKUP($A167,kurspris!$A$1:$Q$835,7,FALSE)</f>
        <v>0</v>
      </c>
      <c r="AI167" s="31">
        <f>VLOOKUP($A167,kurspris!$A$1:$Q$835,8,FALSE)</f>
        <v>0</v>
      </c>
      <c r="AJ167" s="31">
        <f>VLOOKUP($A167,kurspris!$A$1:$Q$835,9,FALSE)</f>
        <v>0</v>
      </c>
      <c r="AK167" s="31">
        <f>VLOOKUP($A167,kurspris!$A$1:$Q$835,10,FALSE)</f>
        <v>0</v>
      </c>
      <c r="AL167" s="31">
        <f>VLOOKUP($A167,kurspris!$A$1:$Q$835,11,FALSE)</f>
        <v>0</v>
      </c>
      <c r="AM167" s="31">
        <f>VLOOKUP($A167,kurspris!$A$1:$Q$835,12,FALSE)</f>
        <v>0</v>
      </c>
      <c r="AN167" s="31">
        <f>VLOOKUP($A167,kurspris!$A$1:$Q$835,13,FALSE)</f>
        <v>0</v>
      </c>
      <c r="AO167" s="31">
        <f>VLOOKUP($A167,kurspris!$A$1:$Q$835,14,FALSE)</f>
        <v>0</v>
      </c>
      <c r="AP167" s="39" t="s">
        <v>2204</v>
      </c>
      <c r="AQ167"/>
      <c r="AR167" s="31">
        <f t="shared" si="61"/>
        <v>0</v>
      </c>
      <c r="AS167" s="255">
        <f t="shared" si="62"/>
        <v>0</v>
      </c>
      <c r="AT167" s="31">
        <f t="shared" si="63"/>
        <v>0</v>
      </c>
      <c r="AU167" s="255">
        <f t="shared" si="64"/>
        <v>0</v>
      </c>
      <c r="AV167" s="31">
        <f t="shared" si="65"/>
        <v>0</v>
      </c>
      <c r="AW167" s="31">
        <f t="shared" si="66"/>
        <v>0</v>
      </c>
      <c r="AX167" s="31">
        <f t="shared" si="67"/>
        <v>2</v>
      </c>
      <c r="AY167" s="255">
        <f t="shared" si="68"/>
        <v>1.7</v>
      </c>
      <c r="AZ167" s="232">
        <f t="shared" si="69"/>
        <v>0</v>
      </c>
      <c r="BA167" s="255">
        <f t="shared" si="70"/>
        <v>0</v>
      </c>
      <c r="BB167" s="31">
        <f t="shared" si="71"/>
        <v>0</v>
      </c>
      <c r="BC167" s="255">
        <f t="shared" si="72"/>
        <v>0</v>
      </c>
      <c r="BD167" s="31">
        <f t="shared" si="73"/>
        <v>0</v>
      </c>
      <c r="BE167" s="255">
        <f t="shared" si="74"/>
        <v>0</v>
      </c>
      <c r="BF167" s="31">
        <f t="shared" si="75"/>
        <v>0</v>
      </c>
      <c r="BG167" s="255">
        <f t="shared" si="76"/>
        <v>0</v>
      </c>
      <c r="BH167" s="31">
        <f t="shared" si="77"/>
        <v>0</v>
      </c>
      <c r="BI167" s="255">
        <f t="shared" si="78"/>
        <v>0</v>
      </c>
      <c r="BJ167" s="31">
        <f t="shared" si="79"/>
        <v>0</v>
      </c>
      <c r="BK167" s="31">
        <f t="shared" si="80"/>
        <v>0</v>
      </c>
      <c r="BL167" s="255">
        <f t="shared" si="81"/>
        <v>0</v>
      </c>
      <c r="BM167" s="31">
        <f t="shared" si="82"/>
        <v>0</v>
      </c>
      <c r="BN167" s="255">
        <f t="shared" si="83"/>
        <v>0</v>
      </c>
    </row>
    <row r="168" spans="1:66" x14ac:dyDescent="0.25">
      <c r="A168" s="18" t="s">
        <v>1636</v>
      </c>
      <c r="B168" s="186" t="str">
        <f>VLOOKUP(A168,kurspris!$A$1:$B$877,2,FALSE)</f>
        <v xml:space="preserve">Bild 2, fristående </v>
      </c>
      <c r="C168" s="37"/>
      <c r="D168" t="s">
        <v>117</v>
      </c>
      <c r="E168"/>
      <c r="F168" s="59" t="s">
        <v>1931</v>
      </c>
      <c r="G168"/>
      <c r="H168"/>
      <c r="I168" t="s">
        <v>1634</v>
      </c>
      <c r="L168">
        <v>100</v>
      </c>
      <c r="M168">
        <v>30</v>
      </c>
      <c r="P168">
        <v>3</v>
      </c>
      <c r="Q168" s="232">
        <f t="shared" si="56"/>
        <v>1.5</v>
      </c>
      <c r="R168" s="40">
        <v>0.8</v>
      </c>
      <c r="S168" s="334">
        <f t="shared" si="57"/>
        <v>1.2000000000000002</v>
      </c>
      <c r="T168" s="31">
        <f>VLOOKUP(A168,'Ansvar kurs'!$A$1:$C$1010,2,FALSE)</f>
        <v>1650</v>
      </c>
      <c r="U168" s="31" t="str">
        <f>VLOOKUP(T168,Orgenheter!$A$1:$C$165,2,FALSE)</f>
        <v xml:space="preserve">Estetiska ämnen               </v>
      </c>
      <c r="V168" s="31" t="str">
        <f>VLOOKUP(T168,Orgenheter!$A$1:$C$165,3,FALSE)</f>
        <v>Hum</v>
      </c>
      <c r="W168" s="37" t="str">
        <f>VLOOKUP(D168,Program!$A$1:$B$34,2,FALSE)</f>
        <v>Fristående och övriga kurser</v>
      </c>
      <c r="X168" s="42">
        <f>VLOOKUP(A168,kurspris!$A$1:$Q$798,15,FALSE)</f>
        <v>47957</v>
      </c>
      <c r="Y168" s="42">
        <f>VLOOKUP(A168,kurspris!$A$1:$Q$798,16,FALSE)</f>
        <v>57006</v>
      </c>
      <c r="Z168" s="42">
        <f t="shared" si="58"/>
        <v>140342.70000000001</v>
      </c>
      <c r="AA168" s="42">
        <f>VLOOKUP(A168,kurspris!$A$1:$Q$798,17,FALSE)</f>
        <v>69000</v>
      </c>
      <c r="AB168" s="42">
        <f t="shared" si="59"/>
        <v>103500</v>
      </c>
      <c r="AC168" s="42">
        <f t="shared" si="60"/>
        <v>243842.7</v>
      </c>
      <c r="AD168" s="31">
        <f>VLOOKUP($A168,kurspris!$A$1:$Q$835,3,FALSE)</f>
        <v>1</v>
      </c>
      <c r="AE168" s="31">
        <f>VLOOKUP($A168,kurspris!$A$1:$Q$835,4,FALSE)</f>
        <v>0</v>
      </c>
      <c r="AF168" s="31">
        <f>VLOOKUP($A168,kurspris!$A$1:$Q$835,5,FALSE)</f>
        <v>0</v>
      </c>
      <c r="AG168" s="31">
        <f>VLOOKUP($A168,kurspris!$A$1:$Q$835,6,FALSE)</f>
        <v>0</v>
      </c>
      <c r="AH168" s="31">
        <f>VLOOKUP($A168,kurspris!$A$1:$Q$835,7,FALSE)</f>
        <v>0</v>
      </c>
      <c r="AI168" s="31">
        <f>VLOOKUP($A168,kurspris!$A$1:$Q$835,8,FALSE)</f>
        <v>0</v>
      </c>
      <c r="AJ168" s="31">
        <f>VLOOKUP($A168,kurspris!$A$1:$Q$835,9,FALSE)</f>
        <v>0</v>
      </c>
      <c r="AK168" s="31">
        <f>VLOOKUP($A168,kurspris!$A$1:$Q$835,10,FALSE)</f>
        <v>0</v>
      </c>
      <c r="AL168" s="31">
        <f>VLOOKUP($A168,kurspris!$A$1:$Q$835,11,FALSE)</f>
        <v>0</v>
      </c>
      <c r="AM168" s="31">
        <f>VLOOKUP($A168,kurspris!$A$1:$Q$835,12,FALSE)</f>
        <v>0</v>
      </c>
      <c r="AN168" s="31">
        <f>VLOOKUP($A168,kurspris!$A$1:$Q$835,13,FALSE)</f>
        <v>0</v>
      </c>
      <c r="AO168" s="31">
        <f>VLOOKUP($A168,kurspris!$A$1:$Q$835,14,FALSE)</f>
        <v>0</v>
      </c>
      <c r="AP168" s="39" t="s">
        <v>2095</v>
      </c>
      <c r="AQ168"/>
      <c r="AR168" s="31">
        <f t="shared" si="61"/>
        <v>1.5</v>
      </c>
      <c r="AS168" s="255">
        <f t="shared" si="62"/>
        <v>1.2000000000000002</v>
      </c>
      <c r="AT168" s="31">
        <f t="shared" si="63"/>
        <v>0</v>
      </c>
      <c r="AU168" s="255">
        <f t="shared" si="64"/>
        <v>0</v>
      </c>
      <c r="AV168" s="31">
        <f t="shared" si="65"/>
        <v>0</v>
      </c>
      <c r="AW168" s="31">
        <f t="shared" si="66"/>
        <v>0</v>
      </c>
      <c r="AX168" s="31">
        <f t="shared" si="67"/>
        <v>0</v>
      </c>
      <c r="AY168" s="255">
        <f t="shared" si="68"/>
        <v>0</v>
      </c>
      <c r="AZ168" s="232">
        <f t="shared" si="69"/>
        <v>0</v>
      </c>
      <c r="BA168" s="255">
        <f t="shared" si="70"/>
        <v>0</v>
      </c>
      <c r="BB168" s="31">
        <f t="shared" si="71"/>
        <v>0</v>
      </c>
      <c r="BC168" s="255">
        <f t="shared" si="72"/>
        <v>0</v>
      </c>
      <c r="BD168" s="31">
        <f t="shared" si="73"/>
        <v>0</v>
      </c>
      <c r="BE168" s="255">
        <f t="shared" si="74"/>
        <v>0</v>
      </c>
      <c r="BF168" s="31">
        <f t="shared" si="75"/>
        <v>0</v>
      </c>
      <c r="BG168" s="255">
        <f t="shared" si="76"/>
        <v>0</v>
      </c>
      <c r="BH168" s="31">
        <f t="shared" si="77"/>
        <v>0</v>
      </c>
      <c r="BI168" s="255">
        <f t="shared" si="78"/>
        <v>0</v>
      </c>
      <c r="BJ168" s="31">
        <f t="shared" si="79"/>
        <v>0</v>
      </c>
      <c r="BK168" s="31">
        <f t="shared" si="80"/>
        <v>0</v>
      </c>
      <c r="BL168" s="255">
        <f t="shared" si="81"/>
        <v>0</v>
      </c>
      <c r="BM168" s="31">
        <f t="shared" si="82"/>
        <v>0</v>
      </c>
      <c r="BN168" s="255">
        <f t="shared" si="83"/>
        <v>0</v>
      </c>
    </row>
    <row r="169" spans="1:66" x14ac:dyDescent="0.25">
      <c r="A169" s="18" t="s">
        <v>1637</v>
      </c>
      <c r="B169" s="186" t="str">
        <f>VLOOKUP(A169,kurspris!$A$1:$B$877,2,FALSE)</f>
        <v>Forskning och utvecklingsarbete i skolan 1</v>
      </c>
      <c r="C169" s="37"/>
      <c r="D169" t="s">
        <v>117</v>
      </c>
      <c r="E169"/>
      <c r="F169" s="59" t="s">
        <v>1931</v>
      </c>
      <c r="G169"/>
      <c r="H169" t="s">
        <v>2177</v>
      </c>
      <c r="I169" t="s">
        <v>2066</v>
      </c>
      <c r="L169">
        <v>25</v>
      </c>
      <c r="M169">
        <v>7.5</v>
      </c>
      <c r="P169">
        <v>5</v>
      </c>
      <c r="Q169" s="232">
        <f t="shared" si="56"/>
        <v>0.625</v>
      </c>
      <c r="R169" s="40">
        <v>0.8</v>
      </c>
      <c r="S169" s="334">
        <f t="shared" si="57"/>
        <v>0.5</v>
      </c>
      <c r="T169" s="31">
        <f>VLOOKUP(A169,'Ansvar kurs'!$A$1:$C$1010,2,FALSE)</f>
        <v>1650</v>
      </c>
      <c r="U169" s="31" t="str">
        <f>VLOOKUP(T169,Orgenheter!$A$1:$C$165,2,FALSE)</f>
        <v xml:space="preserve">Estetiska ämnen               </v>
      </c>
      <c r="V169" s="31" t="str">
        <f>VLOOKUP(T169,Orgenheter!$A$1:$C$165,3,FALSE)</f>
        <v>Hum</v>
      </c>
      <c r="W169" s="37" t="str">
        <f>VLOOKUP(D169,Program!$A$1:$B$34,2,FALSE)</f>
        <v>Fristående och övriga kurser</v>
      </c>
      <c r="X169" s="42">
        <f>VLOOKUP(A169,kurspris!$A$1:$Q$798,15,FALSE)</f>
        <v>18405</v>
      </c>
      <c r="Y169" s="42">
        <f>VLOOKUP(A169,kurspris!$A$1:$Q$798,16,FALSE)</f>
        <v>15773</v>
      </c>
      <c r="Z169" s="42">
        <f t="shared" si="58"/>
        <v>19389.625</v>
      </c>
      <c r="AA169" s="42">
        <f>VLOOKUP(A169,kurspris!$A$1:$Q$798,17,FALSE)</f>
        <v>5800</v>
      </c>
      <c r="AB169" s="42">
        <f t="shared" si="59"/>
        <v>3625</v>
      </c>
      <c r="AC169" s="42">
        <f t="shared" si="60"/>
        <v>23014.625</v>
      </c>
      <c r="AD169" s="31">
        <f>VLOOKUP($A169,kurspris!$A$1:$Q$835,3,FALSE)</f>
        <v>0</v>
      </c>
      <c r="AE169" s="31">
        <f>VLOOKUP($A169,kurspris!$A$1:$Q$835,4,FALSE)</f>
        <v>1</v>
      </c>
      <c r="AF169" s="31">
        <f>VLOOKUP($A169,kurspris!$A$1:$Q$835,5,FALSE)</f>
        <v>0</v>
      </c>
      <c r="AG169" s="31">
        <f>VLOOKUP($A169,kurspris!$A$1:$Q$835,6,FALSE)</f>
        <v>0</v>
      </c>
      <c r="AH169" s="31">
        <f>VLOOKUP($A169,kurspris!$A$1:$Q$835,7,FALSE)</f>
        <v>0</v>
      </c>
      <c r="AI169" s="31">
        <f>VLOOKUP($A169,kurspris!$A$1:$Q$835,8,FALSE)</f>
        <v>0</v>
      </c>
      <c r="AJ169" s="31">
        <f>VLOOKUP($A169,kurspris!$A$1:$Q$835,9,FALSE)</f>
        <v>0</v>
      </c>
      <c r="AK169" s="31">
        <f>VLOOKUP($A169,kurspris!$A$1:$Q$835,10,FALSE)</f>
        <v>0</v>
      </c>
      <c r="AL169" s="31">
        <f>VLOOKUP($A169,kurspris!$A$1:$Q$835,11,FALSE)</f>
        <v>0</v>
      </c>
      <c r="AM169" s="31">
        <f>VLOOKUP($A169,kurspris!$A$1:$Q$835,12,FALSE)</f>
        <v>0</v>
      </c>
      <c r="AN169" s="31">
        <f>VLOOKUP($A169,kurspris!$A$1:$Q$835,13,FALSE)</f>
        <v>0</v>
      </c>
      <c r="AO169" s="31">
        <f>VLOOKUP($A169,kurspris!$A$1:$Q$835,14,FALSE)</f>
        <v>0</v>
      </c>
      <c r="AP169" s="39" t="s">
        <v>2095</v>
      </c>
      <c r="AQ169"/>
      <c r="AR169" s="31">
        <f t="shared" si="61"/>
        <v>0</v>
      </c>
      <c r="AS169" s="255">
        <f t="shared" si="62"/>
        <v>0</v>
      </c>
      <c r="AT169" s="31">
        <f t="shared" si="63"/>
        <v>0.625</v>
      </c>
      <c r="AU169" s="255">
        <f t="shared" si="64"/>
        <v>0.5</v>
      </c>
      <c r="AV169" s="31">
        <f t="shared" si="65"/>
        <v>0</v>
      </c>
      <c r="AW169" s="31">
        <f t="shared" si="66"/>
        <v>0</v>
      </c>
      <c r="AX169" s="31">
        <f t="shared" si="67"/>
        <v>0</v>
      </c>
      <c r="AY169" s="255">
        <f t="shared" si="68"/>
        <v>0</v>
      </c>
      <c r="AZ169" s="232">
        <f t="shared" si="69"/>
        <v>0</v>
      </c>
      <c r="BA169" s="255">
        <f t="shared" si="70"/>
        <v>0</v>
      </c>
      <c r="BB169" s="31">
        <f t="shared" si="71"/>
        <v>0</v>
      </c>
      <c r="BC169" s="255">
        <f t="shared" si="72"/>
        <v>0</v>
      </c>
      <c r="BD169" s="31">
        <f t="shared" si="73"/>
        <v>0</v>
      </c>
      <c r="BE169" s="255">
        <f t="shared" si="74"/>
        <v>0</v>
      </c>
      <c r="BF169" s="31">
        <f t="shared" si="75"/>
        <v>0</v>
      </c>
      <c r="BG169" s="255">
        <f t="shared" si="76"/>
        <v>0</v>
      </c>
      <c r="BH169" s="31">
        <f t="shared" si="77"/>
        <v>0</v>
      </c>
      <c r="BI169" s="255">
        <f t="shared" si="78"/>
        <v>0</v>
      </c>
      <c r="BJ169" s="31">
        <f t="shared" si="79"/>
        <v>0</v>
      </c>
      <c r="BK169" s="31">
        <f t="shared" si="80"/>
        <v>0</v>
      </c>
      <c r="BL169" s="255">
        <f t="shared" si="81"/>
        <v>0</v>
      </c>
      <c r="BM169" s="31">
        <f t="shared" si="82"/>
        <v>0</v>
      </c>
      <c r="BN169" s="255">
        <f t="shared" si="83"/>
        <v>0</v>
      </c>
    </row>
    <row r="170" spans="1:66" x14ac:dyDescent="0.25">
      <c r="A170" s="18" t="s">
        <v>1568</v>
      </c>
      <c r="B170" s="186" t="str">
        <f>VLOOKUP(A170,kurspris!$A$1:$B$877,2,FALSE)</f>
        <v>Skapande lek i förskolan 1</v>
      </c>
      <c r="C170" s="37"/>
      <c r="D170" s="31" t="s">
        <v>484</v>
      </c>
      <c r="E170" s="31" t="s">
        <v>1609</v>
      </c>
      <c r="F170" s="59" t="s">
        <v>1931</v>
      </c>
      <c r="G170" s="31" t="s">
        <v>2269</v>
      </c>
      <c r="L170" s="31">
        <v>100</v>
      </c>
      <c r="M170" s="31">
        <v>7.5</v>
      </c>
      <c r="P170" s="31">
        <v>1</v>
      </c>
      <c r="Q170" s="232">
        <f t="shared" si="56"/>
        <v>0.125</v>
      </c>
      <c r="R170" s="40">
        <v>0.85</v>
      </c>
      <c r="S170" s="334">
        <f t="shared" si="57"/>
        <v>0.10625</v>
      </c>
      <c r="T170" s="31">
        <f>VLOOKUP(A170,'Ansvar kurs'!$A$1:$C$1010,2,FALSE)</f>
        <v>1650</v>
      </c>
      <c r="U170" s="31" t="str">
        <f>VLOOKUP(T170,Orgenheter!$A$1:$C$165,2,FALSE)</f>
        <v xml:space="preserve">Estetiska ämnen               </v>
      </c>
      <c r="V170" s="31" t="str">
        <f>VLOOKUP(T170,Orgenheter!$A$1:$C$165,3,FALSE)</f>
        <v>Hum</v>
      </c>
      <c r="W170" s="37" t="str">
        <f>VLOOKUP(D170,Program!$A$1:$B$34,2,FALSE)</f>
        <v>Förskollärarprogrammet</v>
      </c>
      <c r="X170" s="42">
        <f>VLOOKUP(A170,kurspris!$A$1:$Q$798,15,FALSE)</f>
        <v>15846</v>
      </c>
      <c r="Y170" s="42">
        <f>VLOOKUP(A170,kurspris!$A$1:$Q$798,16,FALSE)</f>
        <v>26926</v>
      </c>
      <c r="Z170" s="42">
        <f t="shared" si="58"/>
        <v>4841.6374999999998</v>
      </c>
      <c r="AA170" s="42">
        <f>VLOOKUP(A170,kurspris!$A$1:$Q$798,17,FALSE)</f>
        <v>17300</v>
      </c>
      <c r="AB170" s="42">
        <f t="shared" si="59"/>
        <v>2162.5</v>
      </c>
      <c r="AC170" s="42">
        <f t="shared" si="60"/>
        <v>7004.1374999999998</v>
      </c>
      <c r="AD170" s="31">
        <f>VLOOKUP($A170,kurspris!$A$1:$Q$835,3,FALSE)</f>
        <v>0</v>
      </c>
      <c r="AE170" s="31">
        <f>VLOOKUP($A170,kurspris!$A$1:$Q$835,4,FALSE)</f>
        <v>0</v>
      </c>
      <c r="AF170" s="31">
        <f>VLOOKUP($A170,kurspris!$A$1:$Q$835,5,FALSE)</f>
        <v>0</v>
      </c>
      <c r="AG170" s="31">
        <f>VLOOKUP($A170,kurspris!$A$1:$Q$835,6,FALSE)</f>
        <v>0</v>
      </c>
      <c r="AH170" s="31">
        <f>VLOOKUP($A170,kurspris!$A$1:$Q$835,7,FALSE)</f>
        <v>0</v>
      </c>
      <c r="AI170" s="31">
        <f>VLOOKUP($A170,kurspris!$A$1:$Q$835,8,FALSE)</f>
        <v>0</v>
      </c>
      <c r="AJ170" s="31">
        <f>VLOOKUP($A170,kurspris!$A$1:$Q$835,9,FALSE)</f>
        <v>0</v>
      </c>
      <c r="AK170" s="31">
        <f>VLOOKUP($A170,kurspris!$A$1:$Q$835,10,FALSE)</f>
        <v>0</v>
      </c>
      <c r="AL170" s="31">
        <f>VLOOKUP($A170,kurspris!$A$1:$Q$835,11,FALSE)</f>
        <v>0</v>
      </c>
      <c r="AM170" s="31">
        <f>VLOOKUP($A170,kurspris!$A$1:$Q$835,12,FALSE)</f>
        <v>0</v>
      </c>
      <c r="AN170" s="31">
        <f>VLOOKUP($A170,kurspris!$A$1:$Q$835,13,FALSE)</f>
        <v>1</v>
      </c>
      <c r="AO170" s="31">
        <f>VLOOKUP($A170,kurspris!$A$1:$Q$835,14,FALSE)</f>
        <v>0</v>
      </c>
      <c r="AP170" s="39" t="s">
        <v>2326</v>
      </c>
      <c r="AQ170"/>
      <c r="AR170" s="31">
        <f t="shared" si="61"/>
        <v>0</v>
      </c>
      <c r="AS170" s="255">
        <f t="shared" si="62"/>
        <v>0</v>
      </c>
      <c r="AT170" s="31">
        <f t="shared" si="63"/>
        <v>0</v>
      </c>
      <c r="AU170" s="255">
        <f t="shared" si="64"/>
        <v>0</v>
      </c>
      <c r="AV170" s="31">
        <f t="shared" si="65"/>
        <v>0</v>
      </c>
      <c r="AW170" s="31">
        <f t="shared" si="66"/>
        <v>0</v>
      </c>
      <c r="AX170" s="31">
        <f t="shared" si="67"/>
        <v>0</v>
      </c>
      <c r="AY170" s="255">
        <f t="shared" si="68"/>
        <v>0</v>
      </c>
      <c r="AZ170" s="232">
        <f t="shared" si="69"/>
        <v>0</v>
      </c>
      <c r="BA170" s="255">
        <f t="shared" si="70"/>
        <v>0</v>
      </c>
      <c r="BB170" s="31">
        <f t="shared" si="71"/>
        <v>0</v>
      </c>
      <c r="BC170" s="255">
        <f t="shared" si="72"/>
        <v>0</v>
      </c>
      <c r="BD170" s="31">
        <f t="shared" si="73"/>
        <v>0</v>
      </c>
      <c r="BE170" s="255">
        <f t="shared" si="74"/>
        <v>0</v>
      </c>
      <c r="BF170" s="31">
        <f t="shared" si="75"/>
        <v>0</v>
      </c>
      <c r="BG170" s="255">
        <f t="shared" si="76"/>
        <v>0</v>
      </c>
      <c r="BH170" s="31">
        <f t="shared" si="77"/>
        <v>0</v>
      </c>
      <c r="BI170" s="255">
        <f t="shared" si="78"/>
        <v>0</v>
      </c>
      <c r="BJ170" s="31">
        <f t="shared" si="79"/>
        <v>0</v>
      </c>
      <c r="BK170" s="31">
        <f t="shared" si="80"/>
        <v>0.125</v>
      </c>
      <c r="BL170" s="255">
        <f t="shared" si="81"/>
        <v>0.10625</v>
      </c>
      <c r="BM170" s="31">
        <f t="shared" si="82"/>
        <v>0</v>
      </c>
      <c r="BN170" s="255">
        <f t="shared" si="83"/>
        <v>0</v>
      </c>
    </row>
    <row r="171" spans="1:66" x14ac:dyDescent="0.25">
      <c r="A171" s="39" t="s">
        <v>1568</v>
      </c>
      <c r="B171" s="186" t="str">
        <f>VLOOKUP(A171,kurspris!$A$1:$B$877,2,FALSE)</f>
        <v>Skapande lek i förskolan 1</v>
      </c>
      <c r="C171" s="37"/>
      <c r="D171" s="59" t="s">
        <v>484</v>
      </c>
      <c r="E171" s="59" t="s">
        <v>1788</v>
      </c>
      <c r="F171" s="59" t="s">
        <v>1931</v>
      </c>
      <c r="G171" s="31" t="s">
        <v>2269</v>
      </c>
      <c r="L171" s="31">
        <v>100</v>
      </c>
      <c r="M171" s="376">
        <v>7.5</v>
      </c>
      <c r="N171" s="40"/>
      <c r="P171" s="377">
        <v>46</v>
      </c>
      <c r="Q171" s="232">
        <f t="shared" si="56"/>
        <v>5.75</v>
      </c>
      <c r="R171" s="40">
        <v>0.85</v>
      </c>
      <c r="S171" s="334">
        <f t="shared" si="57"/>
        <v>4.8875000000000002</v>
      </c>
      <c r="T171" s="31">
        <f>VLOOKUP(A171,'Ansvar kurs'!$A$1:$C$1010,2,FALSE)</f>
        <v>1650</v>
      </c>
      <c r="U171" s="31" t="str">
        <f>VLOOKUP(T171,Orgenheter!$A$1:$C$165,2,FALSE)</f>
        <v xml:space="preserve">Estetiska ämnen               </v>
      </c>
      <c r="V171" s="31" t="str">
        <f>VLOOKUP(T171,Orgenheter!$A$1:$C$165,3,FALSE)</f>
        <v>Hum</v>
      </c>
      <c r="W171" s="37" t="str">
        <f>VLOOKUP(D171,Program!$A$1:$B$34,2,FALSE)</f>
        <v>Förskollärarprogrammet</v>
      </c>
      <c r="X171" s="42">
        <f>VLOOKUP(A171,kurspris!$A$1:$Q$798,15,FALSE)</f>
        <v>15846</v>
      </c>
      <c r="Y171" s="42">
        <f>VLOOKUP(A171,kurspris!$A$1:$Q$798,16,FALSE)</f>
        <v>26926</v>
      </c>
      <c r="Z171" s="42">
        <f t="shared" si="58"/>
        <v>222715.32500000001</v>
      </c>
      <c r="AA171" s="42">
        <f>VLOOKUP(A171,kurspris!$A$1:$Q$798,17,FALSE)</f>
        <v>17300</v>
      </c>
      <c r="AB171" s="42">
        <f t="shared" si="59"/>
        <v>99475</v>
      </c>
      <c r="AC171" s="42">
        <f t="shared" si="60"/>
        <v>322190.32500000001</v>
      </c>
      <c r="AD171" s="31">
        <f>VLOOKUP($A171,kurspris!$A$1:$Q$835,3,FALSE)</f>
        <v>0</v>
      </c>
      <c r="AE171" s="31">
        <f>VLOOKUP($A171,kurspris!$A$1:$Q$835,4,FALSE)</f>
        <v>0</v>
      </c>
      <c r="AF171" s="31">
        <f>VLOOKUP($A171,kurspris!$A$1:$Q$835,5,FALSE)</f>
        <v>0</v>
      </c>
      <c r="AG171" s="31">
        <f>VLOOKUP($A171,kurspris!$A$1:$Q$835,6,FALSE)</f>
        <v>0</v>
      </c>
      <c r="AH171" s="31">
        <f>VLOOKUP($A171,kurspris!$A$1:$Q$835,7,FALSE)</f>
        <v>0</v>
      </c>
      <c r="AI171" s="31">
        <f>VLOOKUP($A171,kurspris!$A$1:$Q$835,8,FALSE)</f>
        <v>0</v>
      </c>
      <c r="AJ171" s="31">
        <f>VLOOKUP($A171,kurspris!$A$1:$Q$835,9,FALSE)</f>
        <v>0</v>
      </c>
      <c r="AK171" s="31">
        <f>VLOOKUP($A171,kurspris!$A$1:$Q$835,10,FALSE)</f>
        <v>0</v>
      </c>
      <c r="AL171" s="31">
        <f>VLOOKUP($A171,kurspris!$A$1:$Q$835,11,FALSE)</f>
        <v>0</v>
      </c>
      <c r="AM171" s="31">
        <f>VLOOKUP($A171,kurspris!$A$1:$Q$835,12,FALSE)</f>
        <v>0</v>
      </c>
      <c r="AN171" s="31">
        <f>VLOOKUP($A171,kurspris!$A$1:$Q$835,13,FALSE)</f>
        <v>1</v>
      </c>
      <c r="AO171" s="31">
        <f>VLOOKUP($A171,kurspris!$A$1:$Q$835,14,FALSE)</f>
        <v>0</v>
      </c>
      <c r="AP171" s="39" t="s">
        <v>2326</v>
      </c>
      <c r="AQ171"/>
      <c r="AR171" s="31">
        <f t="shared" si="61"/>
        <v>0</v>
      </c>
      <c r="AS171" s="255">
        <f t="shared" si="62"/>
        <v>0</v>
      </c>
      <c r="AT171" s="31">
        <f t="shared" si="63"/>
        <v>0</v>
      </c>
      <c r="AU171" s="255">
        <f t="shared" si="64"/>
        <v>0</v>
      </c>
      <c r="AV171" s="31">
        <f t="shared" si="65"/>
        <v>0</v>
      </c>
      <c r="AW171" s="31">
        <f t="shared" si="66"/>
        <v>0</v>
      </c>
      <c r="AX171" s="31">
        <f t="shared" si="67"/>
        <v>0</v>
      </c>
      <c r="AY171" s="255">
        <f t="shared" si="68"/>
        <v>0</v>
      </c>
      <c r="AZ171" s="232">
        <f t="shared" si="69"/>
        <v>0</v>
      </c>
      <c r="BA171" s="255">
        <f t="shared" si="70"/>
        <v>0</v>
      </c>
      <c r="BB171" s="31">
        <f t="shared" si="71"/>
        <v>0</v>
      </c>
      <c r="BC171" s="255">
        <f t="shared" si="72"/>
        <v>0</v>
      </c>
      <c r="BD171" s="31">
        <f t="shared" si="73"/>
        <v>0</v>
      </c>
      <c r="BE171" s="255">
        <f t="shared" si="74"/>
        <v>0</v>
      </c>
      <c r="BF171" s="31">
        <f t="shared" si="75"/>
        <v>0</v>
      </c>
      <c r="BG171" s="255">
        <f t="shared" si="76"/>
        <v>0</v>
      </c>
      <c r="BH171" s="31">
        <f t="shared" si="77"/>
        <v>0</v>
      </c>
      <c r="BI171" s="255">
        <f t="shared" si="78"/>
        <v>0</v>
      </c>
      <c r="BJ171" s="31">
        <f t="shared" si="79"/>
        <v>0</v>
      </c>
      <c r="BK171" s="31">
        <f t="shared" si="80"/>
        <v>5.75</v>
      </c>
      <c r="BL171" s="255">
        <f t="shared" si="81"/>
        <v>4.8875000000000002</v>
      </c>
      <c r="BM171" s="31">
        <f t="shared" si="82"/>
        <v>0</v>
      </c>
      <c r="BN171" s="255">
        <f t="shared" si="83"/>
        <v>0</v>
      </c>
    </row>
    <row r="172" spans="1:66" x14ac:dyDescent="0.25">
      <c r="A172" t="s">
        <v>1568</v>
      </c>
      <c r="B172" s="186" t="str">
        <f>VLOOKUP(A172,kurspris!$A$1:$B$877,2,FALSE)</f>
        <v>Skapande lek i förskolan 1</v>
      </c>
      <c r="C172"/>
      <c r="D172" t="s">
        <v>484</v>
      </c>
      <c r="E172" t="s">
        <v>1787</v>
      </c>
      <c r="F172" s="39" t="s">
        <v>1930</v>
      </c>
      <c r="G172" t="s">
        <v>1933</v>
      </c>
      <c r="H172" t="s">
        <v>1910</v>
      </c>
      <c r="I172"/>
      <c r="J172"/>
      <c r="K172"/>
      <c r="L172">
        <v>100</v>
      </c>
      <c r="M172">
        <v>7.5</v>
      </c>
      <c r="N172"/>
      <c r="O172"/>
      <c r="P172" s="31">
        <v>21</v>
      </c>
      <c r="Q172" s="232">
        <f t="shared" si="56"/>
        <v>2.625</v>
      </c>
      <c r="R172" s="40">
        <v>0.85</v>
      </c>
      <c r="S172" s="334">
        <f t="shared" si="57"/>
        <v>2.2312499999999997</v>
      </c>
      <c r="T172" s="31">
        <f>VLOOKUP(A172,'Ansvar kurs'!$A$1:$C$1010,2,FALSE)</f>
        <v>1650</v>
      </c>
      <c r="U172" s="31" t="str">
        <f>VLOOKUP(T172,Orgenheter!$A$1:$C$165,2,FALSE)</f>
        <v xml:space="preserve">Estetiska ämnen               </v>
      </c>
      <c r="V172" s="31" t="str">
        <f>VLOOKUP(T172,Orgenheter!$A$1:$C$165,3,FALSE)</f>
        <v>Hum</v>
      </c>
      <c r="W172" s="37" t="str">
        <f>VLOOKUP(D172,Program!$A$1:$B$34,2,FALSE)</f>
        <v>Förskollärarprogrammet</v>
      </c>
      <c r="X172" s="42">
        <f>VLOOKUP(A172,kurspris!$A$1:$Q$798,15,FALSE)</f>
        <v>15846</v>
      </c>
      <c r="Y172" s="42">
        <f>VLOOKUP(A172,kurspris!$A$1:$Q$798,16,FALSE)</f>
        <v>26926</v>
      </c>
      <c r="Z172" s="42">
        <f t="shared" si="58"/>
        <v>101674.38749999998</v>
      </c>
      <c r="AA172" s="42">
        <f>VLOOKUP(A172,kurspris!$A$1:$Q$798,17,FALSE)</f>
        <v>17300</v>
      </c>
      <c r="AB172" s="42">
        <f t="shared" si="59"/>
        <v>45412.5</v>
      </c>
      <c r="AC172" s="42">
        <f t="shared" si="60"/>
        <v>147086.88749999998</v>
      </c>
      <c r="AD172" s="31">
        <f>VLOOKUP($A172,kurspris!$A$1:$Q$835,3,FALSE)</f>
        <v>0</v>
      </c>
      <c r="AE172" s="31">
        <f>VLOOKUP($A172,kurspris!$A$1:$Q$835,4,FALSE)</f>
        <v>0</v>
      </c>
      <c r="AF172" s="31">
        <f>VLOOKUP($A172,kurspris!$A$1:$Q$835,5,FALSE)</f>
        <v>0</v>
      </c>
      <c r="AG172" s="31">
        <f>VLOOKUP($A172,kurspris!$A$1:$Q$835,6,FALSE)</f>
        <v>0</v>
      </c>
      <c r="AH172" s="31">
        <f>VLOOKUP($A172,kurspris!$A$1:$Q$835,7,FALSE)</f>
        <v>0</v>
      </c>
      <c r="AI172" s="31">
        <f>VLOOKUP($A172,kurspris!$A$1:$Q$835,8,FALSE)</f>
        <v>0</v>
      </c>
      <c r="AJ172" s="31">
        <f>VLOOKUP($A172,kurspris!$A$1:$Q$835,9,FALSE)</f>
        <v>0</v>
      </c>
      <c r="AK172" s="31">
        <f>VLOOKUP($A172,kurspris!$A$1:$Q$835,10,FALSE)</f>
        <v>0</v>
      </c>
      <c r="AL172" s="31">
        <f>VLOOKUP($A172,kurspris!$A$1:$Q$835,11,FALSE)</f>
        <v>0</v>
      </c>
      <c r="AM172" s="31">
        <f>VLOOKUP($A172,kurspris!$A$1:$Q$835,12,FALSE)</f>
        <v>0</v>
      </c>
      <c r="AN172" s="31">
        <f>VLOOKUP($A172,kurspris!$A$1:$Q$835,13,FALSE)</f>
        <v>1</v>
      </c>
      <c r="AO172" s="31">
        <f>VLOOKUP($A172,kurspris!$A$1:$Q$835,14,FALSE)</f>
        <v>0</v>
      </c>
      <c r="AP172" s="39" t="s">
        <v>2232</v>
      </c>
      <c r="AQ172"/>
      <c r="AR172" s="31">
        <f t="shared" si="61"/>
        <v>0</v>
      </c>
      <c r="AS172" s="255">
        <f t="shared" si="62"/>
        <v>0</v>
      </c>
      <c r="AT172" s="31">
        <f t="shared" si="63"/>
        <v>0</v>
      </c>
      <c r="AU172" s="255">
        <f t="shared" si="64"/>
        <v>0</v>
      </c>
      <c r="AV172" s="31">
        <f t="shared" si="65"/>
        <v>0</v>
      </c>
      <c r="AW172" s="31">
        <f t="shared" si="66"/>
        <v>0</v>
      </c>
      <c r="AX172" s="31">
        <f t="shared" si="67"/>
        <v>0</v>
      </c>
      <c r="AY172" s="255">
        <f t="shared" si="68"/>
        <v>0</v>
      </c>
      <c r="AZ172" s="232">
        <f t="shared" si="69"/>
        <v>0</v>
      </c>
      <c r="BA172" s="255">
        <f t="shared" si="70"/>
        <v>0</v>
      </c>
      <c r="BB172" s="31">
        <f t="shared" si="71"/>
        <v>0</v>
      </c>
      <c r="BC172" s="255">
        <f t="shared" si="72"/>
        <v>0</v>
      </c>
      <c r="BD172" s="31">
        <f t="shared" si="73"/>
        <v>0</v>
      </c>
      <c r="BE172" s="255">
        <f t="shared" si="74"/>
        <v>0</v>
      </c>
      <c r="BF172" s="31">
        <f t="shared" si="75"/>
        <v>0</v>
      </c>
      <c r="BG172" s="255">
        <f t="shared" si="76"/>
        <v>0</v>
      </c>
      <c r="BH172" s="31">
        <f t="shared" si="77"/>
        <v>0</v>
      </c>
      <c r="BI172" s="255">
        <f t="shared" si="78"/>
        <v>0</v>
      </c>
      <c r="BJ172" s="31">
        <f t="shared" si="79"/>
        <v>0</v>
      </c>
      <c r="BK172" s="31">
        <f t="shared" si="80"/>
        <v>2.625</v>
      </c>
      <c r="BL172" s="255">
        <f t="shared" si="81"/>
        <v>2.2312499999999997</v>
      </c>
      <c r="BM172" s="31">
        <f t="shared" si="82"/>
        <v>0</v>
      </c>
      <c r="BN172" s="255">
        <f t="shared" si="83"/>
        <v>0</v>
      </c>
    </row>
    <row r="173" spans="1:66" x14ac:dyDescent="0.25">
      <c r="A173" t="s">
        <v>1568</v>
      </c>
      <c r="B173" s="186" t="str">
        <f>VLOOKUP(A173,kurspris!$A$1:$B$877,2,FALSE)</f>
        <v>Skapande lek i förskolan 1</v>
      </c>
      <c r="C173"/>
      <c r="D173" t="s">
        <v>484</v>
      </c>
      <c r="E173" t="s">
        <v>1787</v>
      </c>
      <c r="F173" s="39" t="s">
        <v>1930</v>
      </c>
      <c r="G173" t="s">
        <v>1933</v>
      </c>
      <c r="H173" t="s">
        <v>1977</v>
      </c>
      <c r="I173"/>
      <c r="J173"/>
      <c r="K173"/>
      <c r="L173">
        <v>100</v>
      </c>
      <c r="M173">
        <v>7.5</v>
      </c>
      <c r="N173"/>
      <c r="O173"/>
      <c r="P173" s="31">
        <v>15</v>
      </c>
      <c r="Q173" s="232">
        <f t="shared" si="56"/>
        <v>1.875</v>
      </c>
      <c r="R173" s="40">
        <v>0.85</v>
      </c>
      <c r="S173" s="334">
        <f t="shared" si="57"/>
        <v>1.59375</v>
      </c>
      <c r="T173" s="31">
        <f>VLOOKUP(A173,'Ansvar kurs'!$A$1:$C$1010,2,FALSE)</f>
        <v>1650</v>
      </c>
      <c r="U173" s="31" t="str">
        <f>VLOOKUP(T173,Orgenheter!$A$1:$C$165,2,FALSE)</f>
        <v xml:space="preserve">Estetiska ämnen               </v>
      </c>
      <c r="V173" s="31" t="str">
        <f>VLOOKUP(T173,Orgenheter!$A$1:$C$165,3,FALSE)</f>
        <v>Hum</v>
      </c>
      <c r="W173" s="37" t="str">
        <f>VLOOKUP(D173,Program!$A$1:$B$34,2,FALSE)</f>
        <v>Förskollärarprogrammet</v>
      </c>
      <c r="X173" s="42">
        <f>VLOOKUP(A173,kurspris!$A$1:$Q$798,15,FALSE)</f>
        <v>15846</v>
      </c>
      <c r="Y173" s="42">
        <f>VLOOKUP(A173,kurspris!$A$1:$Q$798,16,FALSE)</f>
        <v>26926</v>
      </c>
      <c r="Z173" s="42">
        <f t="shared" si="58"/>
        <v>72624.5625</v>
      </c>
      <c r="AA173" s="42">
        <f>VLOOKUP(A173,kurspris!$A$1:$Q$798,17,FALSE)</f>
        <v>17300</v>
      </c>
      <c r="AB173" s="42">
        <f t="shared" si="59"/>
        <v>32437.5</v>
      </c>
      <c r="AC173" s="42">
        <f t="shared" si="60"/>
        <v>105062.0625</v>
      </c>
      <c r="AD173" s="31">
        <f>VLOOKUP($A173,kurspris!$A$1:$Q$835,3,FALSE)</f>
        <v>0</v>
      </c>
      <c r="AE173" s="31">
        <f>VLOOKUP($A173,kurspris!$A$1:$Q$835,4,FALSE)</f>
        <v>0</v>
      </c>
      <c r="AF173" s="31">
        <f>VLOOKUP($A173,kurspris!$A$1:$Q$835,5,FALSE)</f>
        <v>0</v>
      </c>
      <c r="AG173" s="31">
        <f>VLOOKUP($A173,kurspris!$A$1:$Q$835,6,FALSE)</f>
        <v>0</v>
      </c>
      <c r="AH173" s="31">
        <f>VLOOKUP($A173,kurspris!$A$1:$Q$835,7,FALSE)</f>
        <v>0</v>
      </c>
      <c r="AI173" s="31">
        <f>VLOOKUP($A173,kurspris!$A$1:$Q$835,8,FALSE)</f>
        <v>0</v>
      </c>
      <c r="AJ173" s="31">
        <f>VLOOKUP($A173,kurspris!$A$1:$Q$835,9,FALSE)</f>
        <v>0</v>
      </c>
      <c r="AK173" s="31">
        <f>VLOOKUP($A173,kurspris!$A$1:$Q$835,10,FALSE)</f>
        <v>0</v>
      </c>
      <c r="AL173" s="31">
        <f>VLOOKUP($A173,kurspris!$A$1:$Q$835,11,FALSE)</f>
        <v>0</v>
      </c>
      <c r="AM173" s="31">
        <f>VLOOKUP($A173,kurspris!$A$1:$Q$835,12,FALSE)</f>
        <v>0</v>
      </c>
      <c r="AN173" s="31">
        <f>VLOOKUP($A173,kurspris!$A$1:$Q$835,13,FALSE)</f>
        <v>1</v>
      </c>
      <c r="AO173" s="31">
        <f>VLOOKUP($A173,kurspris!$A$1:$Q$835,14,FALSE)</f>
        <v>0</v>
      </c>
      <c r="AP173" s="39" t="s">
        <v>2232</v>
      </c>
      <c r="AQ173"/>
      <c r="AR173" s="31">
        <f t="shared" si="61"/>
        <v>0</v>
      </c>
      <c r="AS173" s="255">
        <f t="shared" si="62"/>
        <v>0</v>
      </c>
      <c r="AT173" s="31">
        <f t="shared" si="63"/>
        <v>0</v>
      </c>
      <c r="AU173" s="255">
        <f t="shared" si="64"/>
        <v>0</v>
      </c>
      <c r="AV173" s="31">
        <f t="shared" si="65"/>
        <v>0</v>
      </c>
      <c r="AW173" s="31">
        <f t="shared" si="66"/>
        <v>0</v>
      </c>
      <c r="AX173" s="31">
        <f t="shared" si="67"/>
        <v>0</v>
      </c>
      <c r="AY173" s="255">
        <f t="shared" si="68"/>
        <v>0</v>
      </c>
      <c r="AZ173" s="232">
        <f t="shared" si="69"/>
        <v>0</v>
      </c>
      <c r="BA173" s="255">
        <f t="shared" si="70"/>
        <v>0</v>
      </c>
      <c r="BB173" s="31">
        <f t="shared" si="71"/>
        <v>0</v>
      </c>
      <c r="BC173" s="255">
        <f t="shared" si="72"/>
        <v>0</v>
      </c>
      <c r="BD173" s="31">
        <f t="shared" si="73"/>
        <v>0</v>
      </c>
      <c r="BE173" s="255">
        <f t="shared" si="74"/>
        <v>0</v>
      </c>
      <c r="BF173" s="31">
        <f t="shared" si="75"/>
        <v>0</v>
      </c>
      <c r="BG173" s="255">
        <f t="shared" si="76"/>
        <v>0</v>
      </c>
      <c r="BH173" s="31">
        <f t="shared" si="77"/>
        <v>0</v>
      </c>
      <c r="BI173" s="255">
        <f t="shared" si="78"/>
        <v>0</v>
      </c>
      <c r="BJ173" s="31">
        <f t="shared" si="79"/>
        <v>0</v>
      </c>
      <c r="BK173" s="31">
        <f t="shared" si="80"/>
        <v>1.875</v>
      </c>
      <c r="BL173" s="255">
        <f t="shared" si="81"/>
        <v>1.59375</v>
      </c>
      <c r="BM173" s="31">
        <f t="shared" si="82"/>
        <v>0</v>
      </c>
      <c r="BN173" s="255">
        <f t="shared" si="83"/>
        <v>0</v>
      </c>
    </row>
    <row r="174" spans="1:66" x14ac:dyDescent="0.25">
      <c r="A174" s="18" t="s">
        <v>1469</v>
      </c>
      <c r="B174" s="186" t="str">
        <f>VLOOKUP(A174,kurspris!$A$1:$B$877,2,FALSE)</f>
        <v>Praktiskt estetiskt ämne - Bild 1</v>
      </c>
      <c r="C174" s="37"/>
      <c r="D174" s="31" t="s">
        <v>485</v>
      </c>
      <c r="E174" s="31" t="s">
        <v>1788</v>
      </c>
      <c r="F174" s="59" t="s">
        <v>1931</v>
      </c>
      <c r="G174" s="31" t="s">
        <v>2271</v>
      </c>
      <c r="L174" s="31">
        <v>100</v>
      </c>
      <c r="M174" s="31">
        <v>15</v>
      </c>
      <c r="P174" s="31">
        <v>7</v>
      </c>
      <c r="Q174" s="232">
        <f t="shared" si="56"/>
        <v>1.75</v>
      </c>
      <c r="R174" s="40">
        <v>0.85</v>
      </c>
      <c r="S174" s="334">
        <f t="shared" si="57"/>
        <v>1.4875</v>
      </c>
      <c r="T174" s="31">
        <f>VLOOKUP(A174,'Ansvar kurs'!$A$1:$C$1010,2,FALSE)</f>
        <v>1650</v>
      </c>
      <c r="U174" s="31" t="str">
        <f>VLOOKUP(T174,Orgenheter!$A$1:$C$165,2,FALSE)</f>
        <v xml:space="preserve">Estetiska ämnen               </v>
      </c>
      <c r="V174" s="31" t="str">
        <f>VLOOKUP(T174,Orgenheter!$A$1:$C$165,3,FALSE)</f>
        <v>Hum</v>
      </c>
      <c r="W174" s="37" t="str">
        <f>VLOOKUP(D174,Program!$A$1:$B$34,2,FALSE)</f>
        <v>Grundlärarprogrammet - fritidshem</v>
      </c>
      <c r="X174" s="42">
        <f>VLOOKUP(A174,kurspris!$A$1:$Q$798,15,FALSE)</f>
        <v>15846</v>
      </c>
      <c r="Y174" s="42">
        <f>VLOOKUP(A174,kurspris!$A$1:$Q$798,16,FALSE)</f>
        <v>26926</v>
      </c>
      <c r="Z174" s="42">
        <f t="shared" si="58"/>
        <v>67782.925000000003</v>
      </c>
      <c r="AA174" s="42">
        <f>VLOOKUP(A174,kurspris!$A$1:$Q$798,17,FALSE)</f>
        <v>17300</v>
      </c>
      <c r="AB174" s="42">
        <f t="shared" si="59"/>
        <v>30275</v>
      </c>
      <c r="AC174" s="42">
        <f t="shared" si="60"/>
        <v>98057.925000000003</v>
      </c>
      <c r="AD174" s="31">
        <f>VLOOKUP($A174,kurspris!$A$1:$Q$835,3,FALSE)</f>
        <v>0</v>
      </c>
      <c r="AE174" s="31">
        <f>VLOOKUP($A174,kurspris!$A$1:$Q$835,4,FALSE)</f>
        <v>0</v>
      </c>
      <c r="AF174" s="31">
        <f>VLOOKUP($A174,kurspris!$A$1:$Q$835,5,FALSE)</f>
        <v>0</v>
      </c>
      <c r="AG174" s="31">
        <f>VLOOKUP($A174,kurspris!$A$1:$Q$835,6,FALSE)</f>
        <v>0</v>
      </c>
      <c r="AH174" s="31">
        <f>VLOOKUP($A174,kurspris!$A$1:$Q$835,7,FALSE)</f>
        <v>0</v>
      </c>
      <c r="AI174" s="31">
        <f>VLOOKUP($A174,kurspris!$A$1:$Q$835,8,FALSE)</f>
        <v>0</v>
      </c>
      <c r="AJ174" s="31">
        <f>VLOOKUP($A174,kurspris!$A$1:$Q$835,9,FALSE)</f>
        <v>0</v>
      </c>
      <c r="AK174" s="31">
        <f>VLOOKUP($A174,kurspris!$A$1:$Q$835,10,FALSE)</f>
        <v>0</v>
      </c>
      <c r="AL174" s="31">
        <f>VLOOKUP($A174,kurspris!$A$1:$Q$835,11,FALSE)</f>
        <v>0</v>
      </c>
      <c r="AM174" s="31">
        <f>VLOOKUP($A174,kurspris!$A$1:$Q$835,12,FALSE)</f>
        <v>0</v>
      </c>
      <c r="AN174" s="31">
        <f>VLOOKUP($A174,kurspris!$A$1:$Q$835,13,FALSE)</f>
        <v>1</v>
      </c>
      <c r="AO174" s="31">
        <f>VLOOKUP($A174,kurspris!$A$1:$Q$835,14,FALSE)</f>
        <v>0</v>
      </c>
      <c r="AP174" s="39" t="s">
        <v>2326</v>
      </c>
      <c r="AQ174"/>
      <c r="AR174" s="31">
        <f t="shared" si="61"/>
        <v>0</v>
      </c>
      <c r="AS174" s="255">
        <f t="shared" si="62"/>
        <v>0</v>
      </c>
      <c r="AT174" s="31">
        <f t="shared" si="63"/>
        <v>0</v>
      </c>
      <c r="AU174" s="255">
        <f t="shared" si="64"/>
        <v>0</v>
      </c>
      <c r="AV174" s="31">
        <f t="shared" si="65"/>
        <v>0</v>
      </c>
      <c r="AW174" s="31">
        <f t="shared" si="66"/>
        <v>0</v>
      </c>
      <c r="AX174" s="31">
        <f t="shared" si="67"/>
        <v>0</v>
      </c>
      <c r="AY174" s="255">
        <f t="shared" si="68"/>
        <v>0</v>
      </c>
      <c r="AZ174" s="232">
        <f t="shared" si="69"/>
        <v>0</v>
      </c>
      <c r="BA174" s="255">
        <f t="shared" si="70"/>
        <v>0</v>
      </c>
      <c r="BB174" s="31">
        <f t="shared" si="71"/>
        <v>0</v>
      </c>
      <c r="BC174" s="255">
        <f t="shared" si="72"/>
        <v>0</v>
      </c>
      <c r="BD174" s="31">
        <f t="shared" si="73"/>
        <v>0</v>
      </c>
      <c r="BE174" s="255">
        <f t="shared" si="74"/>
        <v>0</v>
      </c>
      <c r="BF174" s="31">
        <f t="shared" si="75"/>
        <v>0</v>
      </c>
      <c r="BG174" s="255">
        <f t="shared" si="76"/>
        <v>0</v>
      </c>
      <c r="BH174" s="31">
        <f t="shared" si="77"/>
        <v>0</v>
      </c>
      <c r="BI174" s="255">
        <f t="shared" si="78"/>
        <v>0</v>
      </c>
      <c r="BJ174" s="31">
        <f t="shared" si="79"/>
        <v>0</v>
      </c>
      <c r="BK174" s="31">
        <f t="shared" si="80"/>
        <v>1.75</v>
      </c>
      <c r="BL174" s="255">
        <f t="shared" si="81"/>
        <v>1.4875</v>
      </c>
      <c r="BM174" s="31">
        <f t="shared" si="82"/>
        <v>0</v>
      </c>
      <c r="BN174" s="255">
        <f t="shared" si="83"/>
        <v>0</v>
      </c>
    </row>
    <row r="175" spans="1:66" x14ac:dyDescent="0.25">
      <c r="A175" s="18" t="s">
        <v>1723</v>
      </c>
      <c r="B175" s="186" t="str">
        <f>VLOOKUP(A175,kurspris!$A$1:$B$877,2,FALSE)</f>
        <v>Praktiskt estetiskt ämne - Bild 2</v>
      </c>
      <c r="C175" s="37"/>
      <c r="D175" s="31" t="s">
        <v>485</v>
      </c>
      <c r="E175" s="31" t="s">
        <v>1609</v>
      </c>
      <c r="F175" s="59" t="s">
        <v>1931</v>
      </c>
      <c r="G175" s="31" t="s">
        <v>2270</v>
      </c>
      <c r="L175" s="31">
        <v>100</v>
      </c>
      <c r="M175" s="31">
        <v>15</v>
      </c>
      <c r="P175" s="31">
        <v>6</v>
      </c>
      <c r="Q175" s="232">
        <f t="shared" si="56"/>
        <v>1.5</v>
      </c>
      <c r="R175" s="40">
        <v>0.85</v>
      </c>
      <c r="S175" s="334">
        <f t="shared" si="57"/>
        <v>1.2749999999999999</v>
      </c>
      <c r="T175" s="31">
        <f>VLOOKUP(A175,'Ansvar kurs'!$A$1:$C$1010,2,FALSE)</f>
        <v>1650</v>
      </c>
      <c r="U175" s="31" t="str">
        <f>VLOOKUP(T175,Orgenheter!$A$1:$C$165,2,FALSE)</f>
        <v xml:space="preserve">Estetiska ämnen               </v>
      </c>
      <c r="V175" s="31" t="str">
        <f>VLOOKUP(T175,Orgenheter!$A$1:$C$165,3,FALSE)</f>
        <v>Hum</v>
      </c>
      <c r="W175" s="37" t="str">
        <f>VLOOKUP(D175,Program!$A$1:$B$34,2,FALSE)</f>
        <v>Grundlärarprogrammet - fritidshem</v>
      </c>
      <c r="X175" s="42">
        <f>VLOOKUP(A175,kurspris!$A$1:$Q$798,15,FALSE)</f>
        <v>15846</v>
      </c>
      <c r="Y175" s="42">
        <f>VLOOKUP(A175,kurspris!$A$1:$Q$798,16,FALSE)</f>
        <v>26926</v>
      </c>
      <c r="Z175" s="42">
        <f t="shared" si="58"/>
        <v>58099.649999999994</v>
      </c>
      <c r="AA175" s="42">
        <f>VLOOKUP(A175,kurspris!$A$1:$Q$798,17,FALSE)</f>
        <v>17300</v>
      </c>
      <c r="AB175" s="42">
        <f t="shared" si="59"/>
        <v>25950</v>
      </c>
      <c r="AC175" s="42">
        <f t="shared" si="60"/>
        <v>84049.65</v>
      </c>
      <c r="AD175" s="31">
        <f>VLOOKUP($A175,kurspris!$A$1:$Q$835,3,FALSE)</f>
        <v>0</v>
      </c>
      <c r="AE175" s="31">
        <f>VLOOKUP($A175,kurspris!$A$1:$Q$835,4,FALSE)</f>
        <v>0</v>
      </c>
      <c r="AF175" s="31">
        <f>VLOOKUP($A175,kurspris!$A$1:$Q$835,5,FALSE)</f>
        <v>0</v>
      </c>
      <c r="AG175" s="31">
        <f>VLOOKUP($A175,kurspris!$A$1:$Q$835,6,FALSE)</f>
        <v>0</v>
      </c>
      <c r="AH175" s="31">
        <f>VLOOKUP($A175,kurspris!$A$1:$Q$835,7,FALSE)</f>
        <v>0</v>
      </c>
      <c r="AI175" s="31">
        <f>VLOOKUP($A175,kurspris!$A$1:$Q$835,8,FALSE)</f>
        <v>0</v>
      </c>
      <c r="AJ175" s="31">
        <f>VLOOKUP($A175,kurspris!$A$1:$Q$835,9,FALSE)</f>
        <v>0</v>
      </c>
      <c r="AK175" s="31">
        <f>VLOOKUP($A175,kurspris!$A$1:$Q$835,10,FALSE)</f>
        <v>0</v>
      </c>
      <c r="AL175" s="31">
        <f>VLOOKUP($A175,kurspris!$A$1:$Q$835,11,FALSE)</f>
        <v>0</v>
      </c>
      <c r="AM175" s="31">
        <f>VLOOKUP($A175,kurspris!$A$1:$Q$835,12,FALSE)</f>
        <v>0</v>
      </c>
      <c r="AN175" s="31">
        <f>VLOOKUP($A175,kurspris!$A$1:$Q$835,13,FALSE)</f>
        <v>1</v>
      </c>
      <c r="AO175" s="31">
        <f>VLOOKUP($A175,kurspris!$A$1:$Q$835,14,FALSE)</f>
        <v>0</v>
      </c>
      <c r="AP175" s="39" t="s">
        <v>2326</v>
      </c>
      <c r="AQ175"/>
      <c r="AR175" s="31">
        <f t="shared" si="61"/>
        <v>0</v>
      </c>
      <c r="AS175" s="255">
        <f t="shared" si="62"/>
        <v>0</v>
      </c>
      <c r="AT175" s="31">
        <f t="shared" si="63"/>
        <v>0</v>
      </c>
      <c r="AU175" s="255">
        <f t="shared" si="64"/>
        <v>0</v>
      </c>
      <c r="AV175" s="31">
        <f t="shared" si="65"/>
        <v>0</v>
      </c>
      <c r="AW175" s="31">
        <f t="shared" si="66"/>
        <v>0</v>
      </c>
      <c r="AX175" s="31">
        <f t="shared" si="67"/>
        <v>0</v>
      </c>
      <c r="AY175" s="255">
        <f t="shared" si="68"/>
        <v>0</v>
      </c>
      <c r="AZ175" s="232">
        <f t="shared" si="69"/>
        <v>0</v>
      </c>
      <c r="BA175" s="255">
        <f t="shared" si="70"/>
        <v>0</v>
      </c>
      <c r="BB175" s="31">
        <f t="shared" si="71"/>
        <v>0</v>
      </c>
      <c r="BC175" s="255">
        <f t="shared" si="72"/>
        <v>0</v>
      </c>
      <c r="BD175" s="31">
        <f t="shared" si="73"/>
        <v>0</v>
      </c>
      <c r="BE175" s="255">
        <f t="shared" si="74"/>
        <v>0</v>
      </c>
      <c r="BF175" s="31">
        <f t="shared" si="75"/>
        <v>0</v>
      </c>
      <c r="BG175" s="255">
        <f t="shared" si="76"/>
        <v>0</v>
      </c>
      <c r="BH175" s="31">
        <f t="shared" si="77"/>
        <v>0</v>
      </c>
      <c r="BI175" s="255">
        <f t="shared" si="78"/>
        <v>0</v>
      </c>
      <c r="BJ175" s="31">
        <f t="shared" si="79"/>
        <v>0</v>
      </c>
      <c r="BK175" s="31">
        <f t="shared" si="80"/>
        <v>1.5</v>
      </c>
      <c r="BL175" s="255">
        <f t="shared" si="81"/>
        <v>1.2749999999999999</v>
      </c>
      <c r="BM175" s="31">
        <f t="shared" si="82"/>
        <v>0</v>
      </c>
      <c r="BN175" s="255">
        <f t="shared" si="83"/>
        <v>0</v>
      </c>
    </row>
    <row r="176" spans="1:66" x14ac:dyDescent="0.25">
      <c r="A176" s="18" t="s">
        <v>1736</v>
      </c>
      <c r="B176" s="186" t="str">
        <f>VLOOKUP(A176,kurspris!$A$1:$B$877,2,FALSE)</f>
        <v>Undervisning och lärande 1</v>
      </c>
      <c r="C176" s="37"/>
      <c r="D176" t="s">
        <v>117</v>
      </c>
      <c r="E176"/>
      <c r="F176" s="59" t="s">
        <v>1931</v>
      </c>
      <c r="G176"/>
      <c r="H176" t="s">
        <v>2177</v>
      </c>
      <c r="I176" t="s">
        <v>2066</v>
      </c>
      <c r="L176">
        <v>25</v>
      </c>
      <c r="M176">
        <v>7.5</v>
      </c>
      <c r="P176">
        <v>5</v>
      </c>
      <c r="Q176" s="232">
        <f t="shared" si="56"/>
        <v>0.625</v>
      </c>
      <c r="R176" s="40">
        <v>0.8</v>
      </c>
      <c r="S176" s="334">
        <f t="shared" si="57"/>
        <v>0.5</v>
      </c>
      <c r="T176" s="31">
        <f>VLOOKUP(A176,'Ansvar kurs'!$A$1:$C$1010,2,FALSE)</f>
        <v>1650</v>
      </c>
      <c r="U176" s="31" t="str">
        <f>VLOOKUP(T176,Orgenheter!$A$1:$C$165,2,FALSE)</f>
        <v xml:space="preserve">Estetiska ämnen               </v>
      </c>
      <c r="V176" s="31" t="str">
        <f>VLOOKUP(T176,Orgenheter!$A$1:$C$165,3,FALSE)</f>
        <v>Hum</v>
      </c>
      <c r="W176" s="37" t="str">
        <f>VLOOKUP(D176,Program!$A$1:$B$34,2,FALSE)</f>
        <v>Fristående och övriga kurser</v>
      </c>
      <c r="X176" s="42">
        <f>VLOOKUP(A176,kurspris!$A$1:$Q$798,15,FALSE)</f>
        <v>18405</v>
      </c>
      <c r="Y176" s="42">
        <f>VLOOKUP(A176,kurspris!$A$1:$Q$798,16,FALSE)</f>
        <v>15773</v>
      </c>
      <c r="Z176" s="42">
        <f t="shared" si="58"/>
        <v>19389.625</v>
      </c>
      <c r="AA176" s="42">
        <f>VLOOKUP(A176,kurspris!$A$1:$Q$798,17,FALSE)</f>
        <v>5800</v>
      </c>
      <c r="AB176" s="42">
        <f t="shared" si="59"/>
        <v>3625</v>
      </c>
      <c r="AC176" s="42">
        <f t="shared" si="60"/>
        <v>23014.625</v>
      </c>
      <c r="AD176" s="31">
        <f>VLOOKUP($A176,kurspris!$A$1:$Q$835,3,FALSE)</f>
        <v>0</v>
      </c>
      <c r="AE176" s="31">
        <f>VLOOKUP($A176,kurspris!$A$1:$Q$835,4,FALSE)</f>
        <v>1</v>
      </c>
      <c r="AF176" s="31">
        <f>VLOOKUP($A176,kurspris!$A$1:$Q$835,5,FALSE)</f>
        <v>0</v>
      </c>
      <c r="AG176" s="31">
        <f>VLOOKUP($A176,kurspris!$A$1:$Q$835,6,FALSE)</f>
        <v>0</v>
      </c>
      <c r="AH176" s="31">
        <f>VLOOKUP($A176,kurspris!$A$1:$Q$835,7,FALSE)</f>
        <v>0</v>
      </c>
      <c r="AI176" s="31">
        <f>VLOOKUP($A176,kurspris!$A$1:$Q$835,8,FALSE)</f>
        <v>0</v>
      </c>
      <c r="AJ176" s="31">
        <f>VLOOKUP($A176,kurspris!$A$1:$Q$835,9,FALSE)</f>
        <v>0</v>
      </c>
      <c r="AK176" s="31">
        <f>VLOOKUP($A176,kurspris!$A$1:$Q$835,10,FALSE)</f>
        <v>0</v>
      </c>
      <c r="AL176" s="31">
        <f>VLOOKUP($A176,kurspris!$A$1:$Q$835,11,FALSE)</f>
        <v>0</v>
      </c>
      <c r="AM176" s="31">
        <f>VLOOKUP($A176,kurspris!$A$1:$Q$835,12,FALSE)</f>
        <v>0</v>
      </c>
      <c r="AN176" s="31">
        <f>VLOOKUP($A176,kurspris!$A$1:$Q$835,13,FALSE)</f>
        <v>0</v>
      </c>
      <c r="AO176" s="31">
        <f>VLOOKUP($A176,kurspris!$A$1:$Q$835,14,FALSE)</f>
        <v>0</v>
      </c>
      <c r="AP176" s="39" t="s">
        <v>2095</v>
      </c>
      <c r="AQ176"/>
      <c r="AR176" s="31">
        <f t="shared" si="61"/>
        <v>0</v>
      </c>
      <c r="AS176" s="255">
        <f t="shared" si="62"/>
        <v>0</v>
      </c>
      <c r="AT176" s="31">
        <f t="shared" si="63"/>
        <v>0.625</v>
      </c>
      <c r="AU176" s="255">
        <f t="shared" si="64"/>
        <v>0.5</v>
      </c>
      <c r="AV176" s="31">
        <f t="shared" si="65"/>
        <v>0</v>
      </c>
      <c r="AW176" s="31">
        <f t="shared" si="66"/>
        <v>0</v>
      </c>
      <c r="AX176" s="31">
        <f t="shared" si="67"/>
        <v>0</v>
      </c>
      <c r="AY176" s="255">
        <f t="shared" si="68"/>
        <v>0</v>
      </c>
      <c r="AZ176" s="232">
        <f t="shared" si="69"/>
        <v>0</v>
      </c>
      <c r="BA176" s="255">
        <f t="shared" si="70"/>
        <v>0</v>
      </c>
      <c r="BB176" s="31">
        <f t="shared" si="71"/>
        <v>0</v>
      </c>
      <c r="BC176" s="255">
        <f t="shared" si="72"/>
        <v>0</v>
      </c>
      <c r="BD176" s="31">
        <f t="shared" si="73"/>
        <v>0</v>
      </c>
      <c r="BE176" s="255">
        <f t="shared" si="74"/>
        <v>0</v>
      </c>
      <c r="BF176" s="31">
        <f t="shared" si="75"/>
        <v>0</v>
      </c>
      <c r="BG176" s="255">
        <f t="shared" si="76"/>
        <v>0</v>
      </c>
      <c r="BH176" s="31">
        <f t="shared" si="77"/>
        <v>0</v>
      </c>
      <c r="BI176" s="255">
        <f t="shared" si="78"/>
        <v>0</v>
      </c>
      <c r="BJ176" s="31">
        <f t="shared" si="79"/>
        <v>0</v>
      </c>
      <c r="BK176" s="31">
        <f t="shared" si="80"/>
        <v>0</v>
      </c>
      <c r="BL176" s="255">
        <f t="shared" si="81"/>
        <v>0</v>
      </c>
      <c r="BM176" s="31">
        <f t="shared" si="82"/>
        <v>0</v>
      </c>
      <c r="BN176" s="255">
        <f t="shared" si="83"/>
        <v>0</v>
      </c>
    </row>
    <row r="177" spans="1:66" x14ac:dyDescent="0.25">
      <c r="A177" s="18" t="s">
        <v>1729</v>
      </c>
      <c r="B177" s="186" t="str">
        <f>VLOOKUP(A177,kurspris!$A$1:$B$877,2,FALSE)</f>
        <v>Läraryrkets dimensioner för fritidshem 2 (VFU)</v>
      </c>
      <c r="C177" s="37"/>
      <c r="D177" s="31" t="s">
        <v>485</v>
      </c>
      <c r="E177" s="31" t="s">
        <v>1609</v>
      </c>
      <c r="F177" s="59" t="s">
        <v>1931</v>
      </c>
      <c r="G177" s="31" t="s">
        <v>2288</v>
      </c>
      <c r="L177" s="31">
        <v>100</v>
      </c>
      <c r="M177" s="31">
        <v>2.5</v>
      </c>
      <c r="P177" s="31">
        <v>6</v>
      </c>
      <c r="Q177" s="232">
        <f t="shared" si="56"/>
        <v>0.25</v>
      </c>
      <c r="R177" s="40">
        <v>0.85</v>
      </c>
      <c r="S177" s="334">
        <f t="shared" si="57"/>
        <v>0.21249999999999999</v>
      </c>
      <c r="T177" s="31">
        <f>VLOOKUP(A177,'Ansvar kurs'!$A$1:$C$1010,2,FALSE)</f>
        <v>1650</v>
      </c>
      <c r="U177" s="31" t="str">
        <f>VLOOKUP(T177,Orgenheter!$A$1:$C$165,2,FALSE)</f>
        <v xml:space="preserve">Estetiska ämnen               </v>
      </c>
      <c r="V177" s="31" t="str">
        <f>VLOOKUP(T177,Orgenheter!$A$1:$C$165,3,FALSE)</f>
        <v>Hum</v>
      </c>
      <c r="W177" s="37" t="str">
        <f>VLOOKUP(D177,Program!$A$1:$B$34,2,FALSE)</f>
        <v>Grundlärarprogrammet - fritidshem</v>
      </c>
      <c r="X177" s="42">
        <f>VLOOKUP(A177,kurspris!$A$1:$Q$798,15,FALSE)</f>
        <v>21634</v>
      </c>
      <c r="Y177" s="42">
        <f>VLOOKUP(A177,kurspris!$A$1:$Q$798,16,FALSE)</f>
        <v>26986</v>
      </c>
      <c r="Z177" s="42">
        <f t="shared" si="58"/>
        <v>11143.025</v>
      </c>
      <c r="AA177" s="42">
        <f>VLOOKUP(A177,kurspris!$A$1:$Q$798,17,FALSE)</f>
        <v>3400</v>
      </c>
      <c r="AB177" s="42">
        <f t="shared" si="59"/>
        <v>850</v>
      </c>
      <c r="AC177" s="42">
        <f t="shared" si="60"/>
        <v>11993.025</v>
      </c>
      <c r="AD177" s="31">
        <f>VLOOKUP($A177,kurspris!$A$1:$Q$835,3,FALSE)</f>
        <v>0</v>
      </c>
      <c r="AE177" s="31">
        <f>VLOOKUP($A177,kurspris!$A$1:$Q$835,4,FALSE)</f>
        <v>0</v>
      </c>
      <c r="AF177" s="31">
        <f>VLOOKUP($A177,kurspris!$A$1:$Q$835,5,FALSE)</f>
        <v>0</v>
      </c>
      <c r="AG177" s="31">
        <f>VLOOKUP($A177,kurspris!$A$1:$Q$835,6,FALSE)</f>
        <v>0</v>
      </c>
      <c r="AH177" s="31">
        <f>VLOOKUP($A177,kurspris!$A$1:$Q$835,7,FALSE)</f>
        <v>0</v>
      </c>
      <c r="AI177" s="31">
        <f>VLOOKUP($A177,kurspris!$A$1:$Q$835,8,FALSE)</f>
        <v>0</v>
      </c>
      <c r="AJ177" s="31">
        <f>VLOOKUP($A177,kurspris!$A$1:$Q$835,9,FALSE)</f>
        <v>0</v>
      </c>
      <c r="AK177" s="31">
        <f>VLOOKUP($A177,kurspris!$A$1:$Q$835,10,FALSE)</f>
        <v>0</v>
      </c>
      <c r="AL177" s="31">
        <f>VLOOKUP($A177,kurspris!$A$1:$Q$835,11,FALSE)</f>
        <v>1</v>
      </c>
      <c r="AM177" s="31">
        <f>VLOOKUP($A177,kurspris!$A$1:$Q$835,12,FALSE)</f>
        <v>0</v>
      </c>
      <c r="AN177" s="31">
        <f>VLOOKUP($A177,kurspris!$A$1:$Q$835,13,FALSE)</f>
        <v>0</v>
      </c>
      <c r="AO177" s="31">
        <f>VLOOKUP($A177,kurspris!$A$1:$Q$835,14,FALSE)</f>
        <v>0</v>
      </c>
      <c r="AP177" s="39" t="s">
        <v>2326</v>
      </c>
      <c r="AQ177"/>
      <c r="AR177" s="31">
        <f t="shared" si="61"/>
        <v>0</v>
      </c>
      <c r="AS177" s="255">
        <f t="shared" si="62"/>
        <v>0</v>
      </c>
      <c r="AT177" s="31">
        <f t="shared" si="63"/>
        <v>0</v>
      </c>
      <c r="AU177" s="255">
        <f t="shared" si="64"/>
        <v>0</v>
      </c>
      <c r="AV177" s="31">
        <f t="shared" si="65"/>
        <v>0</v>
      </c>
      <c r="AW177" s="31">
        <f t="shared" si="66"/>
        <v>0</v>
      </c>
      <c r="AX177" s="31">
        <f t="shared" si="67"/>
        <v>0</v>
      </c>
      <c r="AY177" s="255">
        <f t="shared" si="68"/>
        <v>0</v>
      </c>
      <c r="AZ177" s="232">
        <f t="shared" si="69"/>
        <v>0</v>
      </c>
      <c r="BA177" s="255">
        <f t="shared" si="70"/>
        <v>0</v>
      </c>
      <c r="BB177" s="31">
        <f t="shared" si="71"/>
        <v>0</v>
      </c>
      <c r="BC177" s="255">
        <f t="shared" si="72"/>
        <v>0</v>
      </c>
      <c r="BD177" s="31">
        <f t="shared" si="73"/>
        <v>0</v>
      </c>
      <c r="BE177" s="255">
        <f t="shared" si="74"/>
        <v>0</v>
      </c>
      <c r="BF177" s="31">
        <f t="shared" si="75"/>
        <v>0</v>
      </c>
      <c r="BG177" s="255">
        <f t="shared" si="76"/>
        <v>0</v>
      </c>
      <c r="BH177" s="31">
        <f t="shared" si="77"/>
        <v>0.25</v>
      </c>
      <c r="BI177" s="255">
        <f t="shared" si="78"/>
        <v>0.21249999999999999</v>
      </c>
      <c r="BJ177" s="31">
        <f t="shared" si="79"/>
        <v>0</v>
      </c>
      <c r="BK177" s="31">
        <f t="shared" si="80"/>
        <v>0</v>
      </c>
      <c r="BL177" s="255">
        <f t="shared" si="81"/>
        <v>0</v>
      </c>
      <c r="BM177" s="31">
        <f t="shared" si="82"/>
        <v>0</v>
      </c>
      <c r="BN177" s="255">
        <f t="shared" si="83"/>
        <v>0</v>
      </c>
    </row>
    <row r="178" spans="1:66" x14ac:dyDescent="0.25">
      <c r="A178" s="18" t="s">
        <v>1821</v>
      </c>
      <c r="B178" s="186" t="str">
        <f>VLOOKUP(A178,kurspris!$A$1:$B$877,2,FALSE)</f>
        <v>Bild 1, distans</v>
      </c>
      <c r="C178" s="37"/>
      <c r="D178" t="s">
        <v>117</v>
      </c>
      <c r="E178"/>
      <c r="F178" s="59" t="s">
        <v>1930</v>
      </c>
      <c r="G178"/>
      <c r="H178"/>
      <c r="I178" t="s">
        <v>2066</v>
      </c>
      <c r="L178">
        <v>50</v>
      </c>
      <c r="M178">
        <v>15</v>
      </c>
      <c r="P178" s="31">
        <v>15</v>
      </c>
      <c r="Q178" s="232">
        <f t="shared" si="56"/>
        <v>3.75</v>
      </c>
      <c r="R178" s="40">
        <v>0.8</v>
      </c>
      <c r="S178" s="334">
        <f t="shared" si="57"/>
        <v>3</v>
      </c>
      <c r="T178" s="31">
        <f>VLOOKUP(A178,'Ansvar kurs'!$A$1:$C$1010,2,FALSE)</f>
        <v>1650</v>
      </c>
      <c r="U178" s="31" t="str">
        <f>VLOOKUP(T178,Orgenheter!$A$1:$C$165,2,FALSE)</f>
        <v xml:space="preserve">Estetiska ämnen               </v>
      </c>
      <c r="V178" s="31" t="str">
        <f>VLOOKUP(T178,Orgenheter!$A$1:$C$165,3,FALSE)</f>
        <v>Hum</v>
      </c>
      <c r="W178" s="37" t="str">
        <f>VLOOKUP(D178,Program!$A$1:$B$34,2,FALSE)</f>
        <v>Fristående och övriga kurser</v>
      </c>
      <c r="X178" s="42">
        <f>VLOOKUP(A178,kurspris!$A$1:$Q$798,15,FALSE)</f>
        <v>47957</v>
      </c>
      <c r="Y178" s="42">
        <f>VLOOKUP(A178,kurspris!$A$1:$Q$798,16,FALSE)</f>
        <v>57006</v>
      </c>
      <c r="Z178" s="42">
        <f t="shared" si="58"/>
        <v>350856.75</v>
      </c>
      <c r="AA178" s="42">
        <f>VLOOKUP(A178,kurspris!$A$1:$Q$798,17,FALSE)</f>
        <v>69000</v>
      </c>
      <c r="AB178" s="42">
        <f t="shared" si="59"/>
        <v>258750</v>
      </c>
      <c r="AC178" s="42">
        <f t="shared" si="60"/>
        <v>609606.75</v>
      </c>
      <c r="AD178" s="31">
        <f>VLOOKUP($A178,kurspris!$A$1:$Q$835,3,FALSE)</f>
        <v>1</v>
      </c>
      <c r="AE178" s="31">
        <f>VLOOKUP($A178,kurspris!$A$1:$Q$835,4,FALSE)</f>
        <v>0</v>
      </c>
      <c r="AF178" s="31">
        <f>VLOOKUP($A178,kurspris!$A$1:$Q$835,5,FALSE)</f>
        <v>0</v>
      </c>
      <c r="AG178" s="31">
        <f>VLOOKUP($A178,kurspris!$A$1:$Q$835,6,FALSE)</f>
        <v>0</v>
      </c>
      <c r="AH178" s="31">
        <f>VLOOKUP($A178,kurspris!$A$1:$Q$835,7,FALSE)</f>
        <v>0</v>
      </c>
      <c r="AI178" s="31">
        <f>VLOOKUP($A178,kurspris!$A$1:$Q$835,8,FALSE)</f>
        <v>0</v>
      </c>
      <c r="AJ178" s="31">
        <f>VLOOKUP($A178,kurspris!$A$1:$Q$835,9,FALSE)</f>
        <v>0</v>
      </c>
      <c r="AK178" s="31">
        <f>VLOOKUP($A178,kurspris!$A$1:$Q$835,10,FALSE)</f>
        <v>0</v>
      </c>
      <c r="AL178" s="31">
        <f>VLOOKUP($A178,kurspris!$A$1:$Q$835,11,FALSE)</f>
        <v>0</v>
      </c>
      <c r="AM178" s="31">
        <f>VLOOKUP($A178,kurspris!$A$1:$Q$835,12,FALSE)</f>
        <v>0</v>
      </c>
      <c r="AN178" s="31">
        <f>VLOOKUP($A178,kurspris!$A$1:$Q$835,13,FALSE)</f>
        <v>0</v>
      </c>
      <c r="AO178" s="31">
        <f>VLOOKUP($A178,kurspris!$A$1:$Q$835,14,FALSE)</f>
        <v>0</v>
      </c>
      <c r="AP178" s="39" t="s">
        <v>2232</v>
      </c>
      <c r="AQ178" s="39" t="s">
        <v>2095</v>
      </c>
      <c r="AR178" s="31">
        <f t="shared" si="61"/>
        <v>3.75</v>
      </c>
      <c r="AS178" s="255">
        <f t="shared" si="62"/>
        <v>3</v>
      </c>
      <c r="AT178" s="31">
        <f t="shared" si="63"/>
        <v>0</v>
      </c>
      <c r="AU178" s="255">
        <f t="shared" si="64"/>
        <v>0</v>
      </c>
      <c r="AV178" s="31">
        <f t="shared" si="65"/>
        <v>0</v>
      </c>
      <c r="AW178" s="31">
        <f t="shared" si="66"/>
        <v>0</v>
      </c>
      <c r="AX178" s="31">
        <f t="shared" si="67"/>
        <v>0</v>
      </c>
      <c r="AY178" s="255">
        <f t="shared" si="68"/>
        <v>0</v>
      </c>
      <c r="AZ178" s="232">
        <f t="shared" si="69"/>
        <v>0</v>
      </c>
      <c r="BA178" s="255">
        <f t="shared" si="70"/>
        <v>0</v>
      </c>
      <c r="BB178" s="31">
        <f t="shared" si="71"/>
        <v>0</v>
      </c>
      <c r="BC178" s="255">
        <f t="shared" si="72"/>
        <v>0</v>
      </c>
      <c r="BD178" s="31">
        <f t="shared" si="73"/>
        <v>0</v>
      </c>
      <c r="BE178" s="255">
        <f t="shared" si="74"/>
        <v>0</v>
      </c>
      <c r="BF178" s="31">
        <f t="shared" si="75"/>
        <v>0</v>
      </c>
      <c r="BG178" s="255">
        <f t="shared" si="76"/>
        <v>0</v>
      </c>
      <c r="BH178" s="31">
        <f t="shared" si="77"/>
        <v>0</v>
      </c>
      <c r="BI178" s="255">
        <f t="shared" si="78"/>
        <v>0</v>
      </c>
      <c r="BJ178" s="31">
        <f t="shared" si="79"/>
        <v>0</v>
      </c>
      <c r="BK178" s="31">
        <f t="shared" si="80"/>
        <v>0</v>
      </c>
      <c r="BL178" s="255">
        <f t="shared" si="81"/>
        <v>0</v>
      </c>
      <c r="BM178" s="31">
        <f t="shared" si="82"/>
        <v>0</v>
      </c>
      <c r="BN178" s="255">
        <f t="shared" si="83"/>
        <v>0</v>
      </c>
    </row>
    <row r="179" spans="1:66" x14ac:dyDescent="0.25">
      <c r="A179" s="18" t="s">
        <v>1821</v>
      </c>
      <c r="B179" s="186" t="str">
        <f>VLOOKUP(A179,kurspris!$A$1:$B$877,2,FALSE)</f>
        <v>Bild 1, distans</v>
      </c>
      <c r="C179" s="37"/>
      <c r="D179" t="s">
        <v>117</v>
      </c>
      <c r="E179"/>
      <c r="F179" s="59" t="s">
        <v>1931</v>
      </c>
      <c r="G179"/>
      <c r="H179"/>
      <c r="I179" t="s">
        <v>2066</v>
      </c>
      <c r="L179">
        <v>50</v>
      </c>
      <c r="M179">
        <v>15</v>
      </c>
      <c r="P179">
        <v>15</v>
      </c>
      <c r="Q179" s="232">
        <f t="shared" si="56"/>
        <v>3.75</v>
      </c>
      <c r="R179" s="40">
        <v>0.8</v>
      </c>
      <c r="S179" s="334">
        <f t="shared" si="57"/>
        <v>3</v>
      </c>
      <c r="T179" s="31">
        <f>VLOOKUP(A179,'Ansvar kurs'!$A$1:$C$1010,2,FALSE)</f>
        <v>1650</v>
      </c>
      <c r="U179" s="31" t="str">
        <f>VLOOKUP(T179,Orgenheter!$A$1:$C$165,2,FALSE)</f>
        <v xml:space="preserve">Estetiska ämnen               </v>
      </c>
      <c r="V179" s="31" t="str">
        <f>VLOOKUP(T179,Orgenheter!$A$1:$C$165,3,FALSE)</f>
        <v>Hum</v>
      </c>
      <c r="W179" s="37" t="str">
        <f>VLOOKUP(D179,Program!$A$1:$B$34,2,FALSE)</f>
        <v>Fristående och övriga kurser</v>
      </c>
      <c r="X179" s="42">
        <f>VLOOKUP(A179,kurspris!$A$1:$Q$798,15,FALSE)</f>
        <v>47957</v>
      </c>
      <c r="Y179" s="42">
        <f>VLOOKUP(A179,kurspris!$A$1:$Q$798,16,FALSE)</f>
        <v>57006</v>
      </c>
      <c r="Z179" s="42">
        <f t="shared" si="58"/>
        <v>350856.75</v>
      </c>
      <c r="AA179" s="42">
        <f>VLOOKUP(A179,kurspris!$A$1:$Q$798,17,FALSE)</f>
        <v>69000</v>
      </c>
      <c r="AB179" s="42">
        <f t="shared" si="59"/>
        <v>258750</v>
      </c>
      <c r="AC179" s="42">
        <f t="shared" si="60"/>
        <v>609606.75</v>
      </c>
      <c r="AD179" s="31">
        <f>VLOOKUP($A179,kurspris!$A$1:$Q$835,3,FALSE)</f>
        <v>1</v>
      </c>
      <c r="AE179" s="31">
        <f>VLOOKUP($A179,kurspris!$A$1:$Q$835,4,FALSE)</f>
        <v>0</v>
      </c>
      <c r="AF179" s="31">
        <f>VLOOKUP($A179,kurspris!$A$1:$Q$835,5,FALSE)</f>
        <v>0</v>
      </c>
      <c r="AG179" s="31">
        <f>VLOOKUP($A179,kurspris!$A$1:$Q$835,6,FALSE)</f>
        <v>0</v>
      </c>
      <c r="AH179" s="31">
        <f>VLOOKUP($A179,kurspris!$A$1:$Q$835,7,FALSE)</f>
        <v>0</v>
      </c>
      <c r="AI179" s="31">
        <f>VLOOKUP($A179,kurspris!$A$1:$Q$835,8,FALSE)</f>
        <v>0</v>
      </c>
      <c r="AJ179" s="31">
        <f>VLOOKUP($A179,kurspris!$A$1:$Q$835,9,FALSE)</f>
        <v>0</v>
      </c>
      <c r="AK179" s="31">
        <f>VLOOKUP($A179,kurspris!$A$1:$Q$835,10,FALSE)</f>
        <v>0</v>
      </c>
      <c r="AL179" s="31">
        <f>VLOOKUP($A179,kurspris!$A$1:$Q$835,11,FALSE)</f>
        <v>0</v>
      </c>
      <c r="AM179" s="31">
        <f>VLOOKUP($A179,kurspris!$A$1:$Q$835,12,FALSE)</f>
        <v>0</v>
      </c>
      <c r="AN179" s="31">
        <f>VLOOKUP($A179,kurspris!$A$1:$Q$835,13,FALSE)</f>
        <v>0</v>
      </c>
      <c r="AO179" s="31">
        <f>VLOOKUP($A179,kurspris!$A$1:$Q$835,14,FALSE)</f>
        <v>0</v>
      </c>
      <c r="AP179" s="39" t="s">
        <v>2095</v>
      </c>
      <c r="AQ179"/>
      <c r="AR179" s="31">
        <f t="shared" si="61"/>
        <v>3.75</v>
      </c>
      <c r="AS179" s="255">
        <f t="shared" si="62"/>
        <v>3</v>
      </c>
      <c r="AT179" s="31">
        <f t="shared" si="63"/>
        <v>0</v>
      </c>
      <c r="AU179" s="255">
        <f t="shared" si="64"/>
        <v>0</v>
      </c>
      <c r="AV179" s="31">
        <f t="shared" si="65"/>
        <v>0</v>
      </c>
      <c r="AW179" s="31">
        <f t="shared" si="66"/>
        <v>0</v>
      </c>
      <c r="AX179" s="31">
        <f t="shared" si="67"/>
        <v>0</v>
      </c>
      <c r="AY179" s="255">
        <f t="shared" si="68"/>
        <v>0</v>
      </c>
      <c r="AZ179" s="232">
        <f t="shared" si="69"/>
        <v>0</v>
      </c>
      <c r="BA179" s="255">
        <f t="shared" si="70"/>
        <v>0</v>
      </c>
      <c r="BB179" s="31">
        <f t="shared" si="71"/>
        <v>0</v>
      </c>
      <c r="BC179" s="255">
        <f t="shared" si="72"/>
        <v>0</v>
      </c>
      <c r="BD179" s="31">
        <f t="shared" si="73"/>
        <v>0</v>
      </c>
      <c r="BE179" s="255">
        <f t="shared" si="74"/>
        <v>0</v>
      </c>
      <c r="BF179" s="31">
        <f t="shared" si="75"/>
        <v>0</v>
      </c>
      <c r="BG179" s="255">
        <f t="shared" si="76"/>
        <v>0</v>
      </c>
      <c r="BH179" s="31">
        <f t="shared" si="77"/>
        <v>0</v>
      </c>
      <c r="BI179" s="255">
        <f t="shared" si="78"/>
        <v>0</v>
      </c>
      <c r="BJ179" s="31">
        <f t="shared" si="79"/>
        <v>0</v>
      </c>
      <c r="BK179" s="31">
        <f t="shared" si="80"/>
        <v>0</v>
      </c>
      <c r="BL179" s="255">
        <f t="shared" si="81"/>
        <v>0</v>
      </c>
      <c r="BM179" s="31">
        <f t="shared" si="82"/>
        <v>0</v>
      </c>
      <c r="BN179" s="255">
        <f t="shared" si="83"/>
        <v>0</v>
      </c>
    </row>
    <row r="180" spans="1:66" x14ac:dyDescent="0.25">
      <c r="A180" s="18" t="s">
        <v>1883</v>
      </c>
      <c r="B180" s="186" t="str">
        <f>VLOOKUP(A180,kurspris!$A$1:$B$877,2,FALSE)</f>
        <v>Undervisning och lärande 2</v>
      </c>
      <c r="C180" s="37"/>
      <c r="D180" t="s">
        <v>117</v>
      </c>
      <c r="E180"/>
      <c r="F180" s="59" t="s">
        <v>1930</v>
      </c>
      <c r="G180"/>
      <c r="H180" t="s">
        <v>2177</v>
      </c>
      <c r="I180" t="s">
        <v>2066</v>
      </c>
      <c r="L180">
        <v>25</v>
      </c>
      <c r="M180">
        <v>7.5</v>
      </c>
      <c r="P180" s="31">
        <v>5</v>
      </c>
      <c r="Q180" s="232">
        <f t="shared" si="56"/>
        <v>0.625</v>
      </c>
      <c r="R180" s="40">
        <v>0.8</v>
      </c>
      <c r="S180" s="334">
        <f t="shared" si="57"/>
        <v>0.5</v>
      </c>
      <c r="T180" s="31">
        <f>VLOOKUP(A180,'Ansvar kurs'!$A$1:$C$1010,2,FALSE)</f>
        <v>1650</v>
      </c>
      <c r="U180" s="31" t="str">
        <f>VLOOKUP(T180,Orgenheter!$A$1:$C$165,2,FALSE)</f>
        <v xml:space="preserve">Estetiska ämnen               </v>
      </c>
      <c r="V180" s="31" t="str">
        <f>VLOOKUP(T180,Orgenheter!$A$1:$C$165,3,FALSE)</f>
        <v>Hum</v>
      </c>
      <c r="W180" s="37" t="str">
        <f>VLOOKUP(D180,Program!$A$1:$B$34,2,FALSE)</f>
        <v>Fristående och övriga kurser</v>
      </c>
      <c r="X180" s="42">
        <f>VLOOKUP(A180,kurspris!$A$1:$Q$798,15,FALSE)</f>
        <v>18405</v>
      </c>
      <c r="Y180" s="42">
        <f>VLOOKUP(A180,kurspris!$A$1:$Q$798,16,FALSE)</f>
        <v>15773</v>
      </c>
      <c r="Z180" s="42">
        <f t="shared" si="58"/>
        <v>19389.625</v>
      </c>
      <c r="AA180" s="42">
        <f>VLOOKUP(A180,kurspris!$A$1:$Q$798,17,FALSE)</f>
        <v>5800</v>
      </c>
      <c r="AB180" s="42">
        <f t="shared" si="59"/>
        <v>3625</v>
      </c>
      <c r="AC180" s="42">
        <f t="shared" si="60"/>
        <v>23014.625</v>
      </c>
      <c r="AD180" s="31">
        <f>VLOOKUP($A180,kurspris!$A$1:$Q$835,3,FALSE)</f>
        <v>0</v>
      </c>
      <c r="AE180" s="31">
        <f>VLOOKUP($A180,kurspris!$A$1:$Q$835,4,FALSE)</f>
        <v>1</v>
      </c>
      <c r="AF180" s="31">
        <f>VLOOKUP($A180,kurspris!$A$1:$Q$835,5,FALSE)</f>
        <v>0</v>
      </c>
      <c r="AG180" s="31">
        <f>VLOOKUP($A180,kurspris!$A$1:$Q$835,6,FALSE)</f>
        <v>0</v>
      </c>
      <c r="AH180" s="31">
        <f>VLOOKUP($A180,kurspris!$A$1:$Q$835,7,FALSE)</f>
        <v>0</v>
      </c>
      <c r="AI180" s="31">
        <f>VLOOKUP($A180,kurspris!$A$1:$Q$835,8,FALSE)</f>
        <v>0</v>
      </c>
      <c r="AJ180" s="31">
        <f>VLOOKUP($A180,kurspris!$A$1:$Q$835,9,FALSE)</f>
        <v>0</v>
      </c>
      <c r="AK180" s="31">
        <f>VLOOKUP($A180,kurspris!$A$1:$Q$835,10,FALSE)</f>
        <v>0</v>
      </c>
      <c r="AL180" s="31">
        <f>VLOOKUP($A180,kurspris!$A$1:$Q$835,11,FALSE)</f>
        <v>0</v>
      </c>
      <c r="AM180" s="31">
        <f>VLOOKUP($A180,kurspris!$A$1:$Q$835,12,FALSE)</f>
        <v>0</v>
      </c>
      <c r="AN180" s="31">
        <f>VLOOKUP($A180,kurspris!$A$1:$Q$835,13,FALSE)</f>
        <v>0</v>
      </c>
      <c r="AO180" s="31">
        <f>VLOOKUP($A180,kurspris!$A$1:$Q$835,14,FALSE)</f>
        <v>0</v>
      </c>
      <c r="AP180" s="39" t="s">
        <v>2232</v>
      </c>
      <c r="AQ180" s="39" t="s">
        <v>2095</v>
      </c>
      <c r="AR180" s="31">
        <f t="shared" si="61"/>
        <v>0</v>
      </c>
      <c r="AS180" s="255">
        <f t="shared" si="62"/>
        <v>0</v>
      </c>
      <c r="AT180" s="31">
        <f t="shared" si="63"/>
        <v>0.625</v>
      </c>
      <c r="AU180" s="255">
        <f t="shared" si="64"/>
        <v>0.5</v>
      </c>
      <c r="AV180" s="31">
        <f t="shared" si="65"/>
        <v>0</v>
      </c>
      <c r="AW180" s="31">
        <f t="shared" si="66"/>
        <v>0</v>
      </c>
      <c r="AX180" s="31">
        <f t="shared" si="67"/>
        <v>0</v>
      </c>
      <c r="AY180" s="255">
        <f t="shared" si="68"/>
        <v>0</v>
      </c>
      <c r="AZ180" s="232">
        <f t="shared" si="69"/>
        <v>0</v>
      </c>
      <c r="BA180" s="255">
        <f t="shared" si="70"/>
        <v>0</v>
      </c>
      <c r="BB180" s="31">
        <f t="shared" si="71"/>
        <v>0</v>
      </c>
      <c r="BC180" s="255">
        <f t="shared" si="72"/>
        <v>0</v>
      </c>
      <c r="BD180" s="31">
        <f t="shared" si="73"/>
        <v>0</v>
      </c>
      <c r="BE180" s="255">
        <f t="shared" si="74"/>
        <v>0</v>
      </c>
      <c r="BF180" s="31">
        <f t="shared" si="75"/>
        <v>0</v>
      </c>
      <c r="BG180" s="255">
        <f t="shared" si="76"/>
        <v>0</v>
      </c>
      <c r="BH180" s="31">
        <f t="shared" si="77"/>
        <v>0</v>
      </c>
      <c r="BI180" s="255">
        <f t="shared" si="78"/>
        <v>0</v>
      </c>
      <c r="BJ180" s="31">
        <f t="shared" si="79"/>
        <v>0</v>
      </c>
      <c r="BK180" s="31">
        <f t="shared" si="80"/>
        <v>0</v>
      </c>
      <c r="BL180" s="255">
        <f t="shared" si="81"/>
        <v>0</v>
      </c>
      <c r="BM180" s="31">
        <f t="shared" si="82"/>
        <v>0</v>
      </c>
      <c r="BN180" s="255">
        <f t="shared" si="83"/>
        <v>0</v>
      </c>
    </row>
    <row r="181" spans="1:66" x14ac:dyDescent="0.25">
      <c r="A181" s="18" t="s">
        <v>1881</v>
      </c>
      <c r="B181" s="186" t="str">
        <f>VLOOKUP(A181,kurspris!$A$1:$B$877,2,FALSE)</f>
        <v>Bild 3, fristående</v>
      </c>
      <c r="C181" s="37"/>
      <c r="D181" t="s">
        <v>117</v>
      </c>
      <c r="E181"/>
      <c r="F181" s="59" t="s">
        <v>1930</v>
      </c>
      <c r="G181"/>
      <c r="H181"/>
      <c r="I181" t="s">
        <v>1634</v>
      </c>
      <c r="L181">
        <v>100</v>
      </c>
      <c r="M181">
        <v>30</v>
      </c>
      <c r="P181" s="31">
        <v>1</v>
      </c>
      <c r="Q181" s="232">
        <f t="shared" si="56"/>
        <v>0.5</v>
      </c>
      <c r="R181" s="40">
        <v>0.8</v>
      </c>
      <c r="S181" s="334">
        <f t="shared" si="57"/>
        <v>0.4</v>
      </c>
      <c r="T181" s="31">
        <f>VLOOKUP(A181,'Ansvar kurs'!$A$1:$C$1010,2,FALSE)</f>
        <v>1650</v>
      </c>
      <c r="U181" s="31" t="str">
        <f>VLOOKUP(T181,Orgenheter!$A$1:$C$165,2,FALSE)</f>
        <v xml:space="preserve">Estetiska ämnen               </v>
      </c>
      <c r="V181" s="31" t="str">
        <f>VLOOKUP(T181,Orgenheter!$A$1:$C$165,3,FALSE)</f>
        <v>Hum</v>
      </c>
      <c r="W181" s="37" t="str">
        <f>VLOOKUP(D181,Program!$A$1:$B$34,2,FALSE)</f>
        <v>Fristående och övriga kurser</v>
      </c>
      <c r="X181" s="42">
        <f>VLOOKUP(A181,kurspris!$A$1:$Q$798,15,FALSE)</f>
        <v>47957</v>
      </c>
      <c r="Y181" s="42">
        <f>VLOOKUP(A181,kurspris!$A$1:$Q$798,16,FALSE)</f>
        <v>57006</v>
      </c>
      <c r="Z181" s="42">
        <f t="shared" si="58"/>
        <v>46780.9</v>
      </c>
      <c r="AA181" s="42">
        <f>VLOOKUP(A181,kurspris!$A$1:$Q$798,17,FALSE)</f>
        <v>69000</v>
      </c>
      <c r="AB181" s="42">
        <f t="shared" si="59"/>
        <v>34500</v>
      </c>
      <c r="AC181" s="42">
        <f t="shared" si="60"/>
        <v>81280.899999999994</v>
      </c>
      <c r="AD181" s="31">
        <f>VLOOKUP($A181,kurspris!$A$1:$Q$835,3,FALSE)</f>
        <v>1</v>
      </c>
      <c r="AE181" s="31">
        <f>VLOOKUP($A181,kurspris!$A$1:$Q$835,4,FALSE)</f>
        <v>0</v>
      </c>
      <c r="AF181" s="31">
        <f>VLOOKUP($A181,kurspris!$A$1:$Q$835,5,FALSE)</f>
        <v>0</v>
      </c>
      <c r="AG181" s="31">
        <f>VLOOKUP($A181,kurspris!$A$1:$Q$835,6,FALSE)</f>
        <v>0</v>
      </c>
      <c r="AH181" s="31">
        <f>VLOOKUP($A181,kurspris!$A$1:$Q$835,7,FALSE)</f>
        <v>0</v>
      </c>
      <c r="AI181" s="31">
        <f>VLOOKUP($A181,kurspris!$A$1:$Q$835,8,FALSE)</f>
        <v>0</v>
      </c>
      <c r="AJ181" s="31">
        <f>VLOOKUP($A181,kurspris!$A$1:$Q$835,9,FALSE)</f>
        <v>0</v>
      </c>
      <c r="AK181" s="31">
        <f>VLOOKUP($A181,kurspris!$A$1:$Q$835,10,FALSE)</f>
        <v>0</v>
      </c>
      <c r="AL181" s="31">
        <f>VLOOKUP($A181,kurspris!$A$1:$Q$835,11,FALSE)</f>
        <v>0</v>
      </c>
      <c r="AM181" s="31">
        <f>VLOOKUP($A181,kurspris!$A$1:$Q$835,12,FALSE)</f>
        <v>0</v>
      </c>
      <c r="AN181" s="31">
        <f>VLOOKUP($A181,kurspris!$A$1:$Q$835,13,FALSE)</f>
        <v>0</v>
      </c>
      <c r="AO181" s="31">
        <f>VLOOKUP($A181,kurspris!$A$1:$Q$835,14,FALSE)</f>
        <v>0</v>
      </c>
      <c r="AP181" s="39" t="s">
        <v>2204</v>
      </c>
      <c r="AQ181" s="39" t="s">
        <v>2095</v>
      </c>
      <c r="AR181" s="31">
        <f t="shared" si="61"/>
        <v>0.5</v>
      </c>
      <c r="AS181" s="255">
        <f t="shared" si="62"/>
        <v>0.4</v>
      </c>
      <c r="AT181" s="31">
        <f t="shared" si="63"/>
        <v>0</v>
      </c>
      <c r="AU181" s="255">
        <f t="shared" si="64"/>
        <v>0</v>
      </c>
      <c r="AV181" s="31">
        <f t="shared" si="65"/>
        <v>0</v>
      </c>
      <c r="AW181" s="31">
        <f t="shared" si="66"/>
        <v>0</v>
      </c>
      <c r="AX181" s="31">
        <f t="shared" si="67"/>
        <v>0</v>
      </c>
      <c r="AY181" s="255">
        <f t="shared" si="68"/>
        <v>0</v>
      </c>
      <c r="AZ181" s="232">
        <f t="shared" si="69"/>
        <v>0</v>
      </c>
      <c r="BA181" s="255">
        <f t="shared" si="70"/>
        <v>0</v>
      </c>
      <c r="BB181" s="31">
        <f t="shared" si="71"/>
        <v>0</v>
      </c>
      <c r="BC181" s="255">
        <f t="shared" si="72"/>
        <v>0</v>
      </c>
      <c r="BD181" s="31">
        <f t="shared" si="73"/>
        <v>0</v>
      </c>
      <c r="BE181" s="255">
        <f t="shared" si="74"/>
        <v>0</v>
      </c>
      <c r="BF181" s="31">
        <f t="shared" si="75"/>
        <v>0</v>
      </c>
      <c r="BG181" s="255">
        <f t="shared" si="76"/>
        <v>0</v>
      </c>
      <c r="BH181" s="31">
        <f t="shared" si="77"/>
        <v>0</v>
      </c>
      <c r="BI181" s="255">
        <f t="shared" si="78"/>
        <v>0</v>
      </c>
      <c r="BJ181" s="31">
        <f t="shared" si="79"/>
        <v>0</v>
      </c>
      <c r="BK181" s="31">
        <f t="shared" si="80"/>
        <v>0</v>
      </c>
      <c r="BL181" s="255">
        <f t="shared" si="81"/>
        <v>0</v>
      </c>
      <c r="BM181" s="31">
        <f t="shared" si="82"/>
        <v>0</v>
      </c>
      <c r="BN181" s="255">
        <f t="shared" si="83"/>
        <v>0</v>
      </c>
    </row>
    <row r="182" spans="1:66" x14ac:dyDescent="0.25">
      <c r="A182" s="18" t="s">
        <v>2061</v>
      </c>
      <c r="B182" s="186" t="str">
        <f>VLOOKUP(A182,kurspris!$A$1:$B$877,2,FALSE)</f>
        <v>Vetenskaplig teori och metod 1</v>
      </c>
      <c r="C182" s="37"/>
      <c r="D182" t="s">
        <v>117</v>
      </c>
      <c r="E182"/>
      <c r="F182" s="59" t="s">
        <v>1931</v>
      </c>
      <c r="G182"/>
      <c r="H182" t="s">
        <v>2177</v>
      </c>
      <c r="I182" t="s">
        <v>2066</v>
      </c>
      <c r="L182">
        <v>25</v>
      </c>
      <c r="M182">
        <v>7.5</v>
      </c>
      <c r="P182">
        <v>4</v>
      </c>
      <c r="Q182" s="232">
        <f t="shared" si="56"/>
        <v>0.5</v>
      </c>
      <c r="R182" s="40">
        <v>0.8</v>
      </c>
      <c r="S182" s="334">
        <f t="shared" si="57"/>
        <v>0.4</v>
      </c>
      <c r="T182" s="31">
        <f>VLOOKUP(A182,'Ansvar kurs'!$A$1:$C$1010,2,FALSE)</f>
        <v>1650</v>
      </c>
      <c r="U182" s="31" t="str">
        <f>VLOOKUP(T182,Orgenheter!$A$1:$C$165,2,FALSE)</f>
        <v xml:space="preserve">Estetiska ämnen               </v>
      </c>
      <c r="V182" s="31" t="str">
        <f>VLOOKUP(T182,Orgenheter!$A$1:$C$165,3,FALSE)</f>
        <v>Hum</v>
      </c>
      <c r="W182" s="37" t="str">
        <f>VLOOKUP(D182,Program!$A$1:$B$34,2,FALSE)</f>
        <v>Fristående och övriga kurser</v>
      </c>
      <c r="X182" s="42">
        <f>VLOOKUP(A182,kurspris!$A$1:$Q$798,15,FALSE)</f>
        <v>18405</v>
      </c>
      <c r="Y182" s="42">
        <f>VLOOKUP(A182,kurspris!$A$1:$Q$798,16,FALSE)</f>
        <v>15773</v>
      </c>
      <c r="Z182" s="42">
        <f t="shared" si="58"/>
        <v>15511.7</v>
      </c>
      <c r="AA182" s="42">
        <f>VLOOKUP(A182,kurspris!$A$1:$Q$798,17,FALSE)</f>
        <v>5800</v>
      </c>
      <c r="AB182" s="42">
        <f t="shared" si="59"/>
        <v>2900</v>
      </c>
      <c r="AC182" s="42">
        <f t="shared" si="60"/>
        <v>18411.7</v>
      </c>
      <c r="AD182" s="31">
        <f>VLOOKUP($A182,kurspris!$A$1:$Q$835,3,FALSE)</f>
        <v>0</v>
      </c>
      <c r="AE182" s="31">
        <f>VLOOKUP($A182,kurspris!$A$1:$Q$835,4,FALSE)</f>
        <v>1</v>
      </c>
      <c r="AF182" s="31">
        <f>VLOOKUP($A182,kurspris!$A$1:$Q$835,5,FALSE)</f>
        <v>0</v>
      </c>
      <c r="AG182" s="31">
        <f>VLOOKUP($A182,kurspris!$A$1:$Q$835,6,FALSE)</f>
        <v>0</v>
      </c>
      <c r="AH182" s="31">
        <f>VLOOKUP($A182,kurspris!$A$1:$Q$835,7,FALSE)</f>
        <v>0</v>
      </c>
      <c r="AI182" s="31">
        <f>VLOOKUP($A182,kurspris!$A$1:$Q$835,8,FALSE)</f>
        <v>0</v>
      </c>
      <c r="AJ182" s="31">
        <f>VLOOKUP($A182,kurspris!$A$1:$Q$835,9,FALSE)</f>
        <v>0</v>
      </c>
      <c r="AK182" s="31">
        <f>VLOOKUP($A182,kurspris!$A$1:$Q$835,10,FALSE)</f>
        <v>0</v>
      </c>
      <c r="AL182" s="31">
        <f>VLOOKUP($A182,kurspris!$A$1:$Q$835,11,FALSE)</f>
        <v>0</v>
      </c>
      <c r="AM182" s="31">
        <f>VLOOKUP($A182,kurspris!$A$1:$Q$835,12,FALSE)</f>
        <v>0</v>
      </c>
      <c r="AN182" s="31">
        <f>VLOOKUP($A182,kurspris!$A$1:$Q$835,13,FALSE)</f>
        <v>0</v>
      </c>
      <c r="AO182" s="31">
        <f>VLOOKUP($A182,kurspris!$A$1:$Q$835,14,FALSE)</f>
        <v>0</v>
      </c>
      <c r="AP182" s="39" t="s">
        <v>2095</v>
      </c>
      <c r="AQ182"/>
      <c r="AR182" s="31">
        <f t="shared" si="61"/>
        <v>0</v>
      </c>
      <c r="AS182" s="255">
        <f t="shared" si="62"/>
        <v>0</v>
      </c>
      <c r="AT182" s="31">
        <f t="shared" si="63"/>
        <v>0.5</v>
      </c>
      <c r="AU182" s="255">
        <f t="shared" si="64"/>
        <v>0.4</v>
      </c>
      <c r="AV182" s="31">
        <f t="shared" si="65"/>
        <v>0</v>
      </c>
      <c r="AW182" s="31">
        <f t="shared" si="66"/>
        <v>0</v>
      </c>
      <c r="AX182" s="31">
        <f t="shared" si="67"/>
        <v>0</v>
      </c>
      <c r="AY182" s="255">
        <f t="shared" si="68"/>
        <v>0</v>
      </c>
      <c r="AZ182" s="232">
        <f t="shared" si="69"/>
        <v>0</v>
      </c>
      <c r="BA182" s="255">
        <f t="shared" si="70"/>
        <v>0</v>
      </c>
      <c r="BB182" s="31">
        <f t="shared" si="71"/>
        <v>0</v>
      </c>
      <c r="BC182" s="255">
        <f t="shared" si="72"/>
        <v>0</v>
      </c>
      <c r="BD182" s="31">
        <f t="shared" si="73"/>
        <v>0</v>
      </c>
      <c r="BE182" s="255">
        <f t="shared" si="74"/>
        <v>0</v>
      </c>
      <c r="BF182" s="31">
        <f t="shared" si="75"/>
        <v>0</v>
      </c>
      <c r="BG182" s="255">
        <f t="shared" si="76"/>
        <v>0</v>
      </c>
      <c r="BH182" s="31">
        <f t="shared" si="77"/>
        <v>0</v>
      </c>
      <c r="BI182" s="255">
        <f t="shared" si="78"/>
        <v>0</v>
      </c>
      <c r="BJ182" s="31">
        <f t="shared" si="79"/>
        <v>0</v>
      </c>
      <c r="BK182" s="31">
        <f t="shared" si="80"/>
        <v>0</v>
      </c>
      <c r="BL182" s="255">
        <f t="shared" si="81"/>
        <v>0</v>
      </c>
      <c r="BM182" s="31">
        <f t="shared" si="82"/>
        <v>0</v>
      </c>
      <c r="BN182" s="255">
        <f t="shared" si="83"/>
        <v>0</v>
      </c>
    </row>
    <row r="183" spans="1:66" x14ac:dyDescent="0.25">
      <c r="A183" s="18" t="s">
        <v>2060</v>
      </c>
      <c r="B183" s="186" t="str">
        <f>VLOOKUP(A183,kurspris!$A$1:$B$877,2,FALSE)</f>
        <v>Bild fördjupning 2 fristående</v>
      </c>
      <c r="C183" s="37"/>
      <c r="D183" t="s">
        <v>117</v>
      </c>
      <c r="E183"/>
      <c r="F183" s="59" t="s">
        <v>1931</v>
      </c>
      <c r="G183"/>
      <c r="H183"/>
      <c r="I183" t="s">
        <v>1634</v>
      </c>
      <c r="L183">
        <v>100</v>
      </c>
      <c r="M183">
        <v>30</v>
      </c>
      <c r="P183">
        <v>2</v>
      </c>
      <c r="Q183" s="232">
        <f t="shared" si="56"/>
        <v>1</v>
      </c>
      <c r="R183" s="40">
        <v>0.8</v>
      </c>
      <c r="S183" s="334">
        <f t="shared" si="57"/>
        <v>0.8</v>
      </c>
      <c r="T183" s="31">
        <f>VLOOKUP(A183,'Ansvar kurs'!$A$1:$C$1010,2,FALSE)</f>
        <v>1650</v>
      </c>
      <c r="U183" s="31" t="str">
        <f>VLOOKUP(T183,Orgenheter!$A$1:$C$165,2,FALSE)</f>
        <v xml:space="preserve">Estetiska ämnen               </v>
      </c>
      <c r="V183" s="31" t="str">
        <f>VLOOKUP(T183,Orgenheter!$A$1:$C$165,3,FALSE)</f>
        <v>Hum</v>
      </c>
      <c r="W183" s="37" t="str">
        <f>VLOOKUP(D183,Program!$A$1:$B$34,2,FALSE)</f>
        <v>Fristående och övriga kurser</v>
      </c>
      <c r="X183" s="42">
        <f>VLOOKUP(A183,kurspris!$A$1:$Q$798,15,FALSE)</f>
        <v>47957</v>
      </c>
      <c r="Y183" s="42">
        <f>VLOOKUP(A183,kurspris!$A$1:$Q$798,16,FALSE)</f>
        <v>57006</v>
      </c>
      <c r="Z183" s="42">
        <f t="shared" si="58"/>
        <v>93561.8</v>
      </c>
      <c r="AA183" s="42">
        <f>VLOOKUP(A183,kurspris!$A$1:$Q$798,17,FALSE)</f>
        <v>69000</v>
      </c>
      <c r="AB183" s="42">
        <f t="shared" si="59"/>
        <v>69000</v>
      </c>
      <c r="AC183" s="42">
        <f t="shared" si="60"/>
        <v>162561.79999999999</v>
      </c>
      <c r="AD183" s="31">
        <f>VLOOKUP($A183,kurspris!$A$1:$Q$835,3,FALSE)</f>
        <v>1</v>
      </c>
      <c r="AE183" s="31">
        <f>VLOOKUP($A183,kurspris!$A$1:$Q$835,4,FALSE)</f>
        <v>0</v>
      </c>
      <c r="AF183" s="31">
        <f>VLOOKUP($A183,kurspris!$A$1:$Q$835,5,FALSE)</f>
        <v>0</v>
      </c>
      <c r="AG183" s="31">
        <f>VLOOKUP($A183,kurspris!$A$1:$Q$835,6,FALSE)</f>
        <v>0</v>
      </c>
      <c r="AH183" s="31">
        <f>VLOOKUP($A183,kurspris!$A$1:$Q$835,7,FALSE)</f>
        <v>0</v>
      </c>
      <c r="AI183" s="31">
        <f>VLOOKUP($A183,kurspris!$A$1:$Q$835,8,FALSE)</f>
        <v>0</v>
      </c>
      <c r="AJ183" s="31">
        <f>VLOOKUP($A183,kurspris!$A$1:$Q$835,9,FALSE)</f>
        <v>0</v>
      </c>
      <c r="AK183" s="31">
        <f>VLOOKUP($A183,kurspris!$A$1:$Q$835,10,FALSE)</f>
        <v>0</v>
      </c>
      <c r="AL183" s="31">
        <f>VLOOKUP($A183,kurspris!$A$1:$Q$835,11,FALSE)</f>
        <v>0</v>
      </c>
      <c r="AM183" s="31">
        <f>VLOOKUP($A183,kurspris!$A$1:$Q$835,12,FALSE)</f>
        <v>0</v>
      </c>
      <c r="AN183" s="31">
        <f>VLOOKUP($A183,kurspris!$A$1:$Q$835,13,FALSE)</f>
        <v>0</v>
      </c>
      <c r="AO183" s="31">
        <f>VLOOKUP($A183,kurspris!$A$1:$Q$835,14,FALSE)</f>
        <v>0</v>
      </c>
      <c r="AP183" s="39" t="s">
        <v>2095</v>
      </c>
      <c r="AQ183"/>
      <c r="AR183" s="31">
        <f t="shared" si="61"/>
        <v>1</v>
      </c>
      <c r="AS183" s="255">
        <f t="shared" si="62"/>
        <v>0.8</v>
      </c>
      <c r="AT183" s="31">
        <f t="shared" si="63"/>
        <v>0</v>
      </c>
      <c r="AU183" s="255">
        <f t="shared" si="64"/>
        <v>0</v>
      </c>
      <c r="AV183" s="31">
        <f t="shared" si="65"/>
        <v>0</v>
      </c>
      <c r="AW183" s="31">
        <f t="shared" si="66"/>
        <v>0</v>
      </c>
      <c r="AX183" s="31">
        <f t="shared" si="67"/>
        <v>0</v>
      </c>
      <c r="AY183" s="255">
        <f t="shared" si="68"/>
        <v>0</v>
      </c>
      <c r="AZ183" s="232">
        <f t="shared" si="69"/>
        <v>0</v>
      </c>
      <c r="BA183" s="255">
        <f t="shared" si="70"/>
        <v>0</v>
      </c>
      <c r="BB183" s="31">
        <f t="shared" si="71"/>
        <v>0</v>
      </c>
      <c r="BC183" s="255">
        <f t="shared" si="72"/>
        <v>0</v>
      </c>
      <c r="BD183" s="31">
        <f t="shared" si="73"/>
        <v>0</v>
      </c>
      <c r="BE183" s="255">
        <f t="shared" si="74"/>
        <v>0</v>
      </c>
      <c r="BF183" s="31">
        <f t="shared" si="75"/>
        <v>0</v>
      </c>
      <c r="BG183" s="255">
        <f t="shared" si="76"/>
        <v>0</v>
      </c>
      <c r="BH183" s="31">
        <f t="shared" si="77"/>
        <v>0</v>
      </c>
      <c r="BI183" s="255">
        <f t="shared" si="78"/>
        <v>0</v>
      </c>
      <c r="BJ183" s="31">
        <f t="shared" si="79"/>
        <v>0</v>
      </c>
      <c r="BK183" s="31">
        <f t="shared" si="80"/>
        <v>0</v>
      </c>
      <c r="BL183" s="255">
        <f t="shared" si="81"/>
        <v>0</v>
      </c>
      <c r="BM183" s="31">
        <f t="shared" si="82"/>
        <v>0</v>
      </c>
      <c r="BN183" s="255">
        <f t="shared" si="83"/>
        <v>0</v>
      </c>
    </row>
    <row r="184" spans="1:66" x14ac:dyDescent="0.25">
      <c r="A184" s="31" t="s">
        <v>2200</v>
      </c>
      <c r="B184" s="186" t="str">
        <f>VLOOKUP(A184,kurspris!$A$1:$B$877,2,FALSE)</f>
        <v>Bild 2b, distans</v>
      </c>
      <c r="C184" s="37"/>
      <c r="D184" t="s">
        <v>117</v>
      </c>
      <c r="E184"/>
      <c r="F184" s="59" t="s">
        <v>1930</v>
      </c>
      <c r="G184"/>
      <c r="H184"/>
      <c r="I184" t="s">
        <v>2066</v>
      </c>
      <c r="L184">
        <v>50</v>
      </c>
      <c r="M184">
        <v>15</v>
      </c>
      <c r="P184" s="31">
        <v>8</v>
      </c>
      <c r="Q184" s="232">
        <f t="shared" si="56"/>
        <v>2</v>
      </c>
      <c r="R184" s="40">
        <v>0.8</v>
      </c>
      <c r="S184" s="334">
        <f t="shared" si="57"/>
        <v>1.6</v>
      </c>
      <c r="T184" s="31">
        <f>VLOOKUP(A184,'Ansvar kurs'!$A$1:$C$1010,2,FALSE)</f>
        <v>1650</v>
      </c>
      <c r="U184" s="31" t="str">
        <f>VLOOKUP(T184,Orgenheter!$A$1:$C$165,2,FALSE)</f>
        <v xml:space="preserve">Estetiska ämnen               </v>
      </c>
      <c r="V184" s="31" t="str">
        <f>VLOOKUP(T184,Orgenheter!$A$1:$C$165,3,FALSE)</f>
        <v>Hum</v>
      </c>
      <c r="W184" s="37" t="str">
        <f>VLOOKUP(D184,Program!$A$1:$B$34,2,FALSE)</f>
        <v>Fristående och övriga kurser</v>
      </c>
      <c r="X184" s="42">
        <f>VLOOKUP(A184,kurspris!$A$1:$Q$798,15,FALSE)</f>
        <v>47957</v>
      </c>
      <c r="Y184" s="42">
        <f>VLOOKUP(A184,kurspris!$A$1:$Q$798,16,FALSE)</f>
        <v>57006</v>
      </c>
      <c r="Z184" s="42">
        <f t="shared" si="58"/>
        <v>187123.6</v>
      </c>
      <c r="AA184" s="42">
        <f>VLOOKUP(A184,kurspris!$A$1:$Q$798,17,FALSE)</f>
        <v>69000</v>
      </c>
      <c r="AB184" s="42">
        <f t="shared" si="59"/>
        <v>138000</v>
      </c>
      <c r="AC184" s="42">
        <f t="shared" si="60"/>
        <v>325123.59999999998</v>
      </c>
      <c r="AD184" s="31">
        <f>VLOOKUP($A184,kurspris!$A$1:$Q$835,3,FALSE)</f>
        <v>1</v>
      </c>
      <c r="AE184" s="31">
        <f>VLOOKUP($A184,kurspris!$A$1:$Q$835,4,FALSE)</f>
        <v>0</v>
      </c>
      <c r="AF184" s="31">
        <f>VLOOKUP($A184,kurspris!$A$1:$Q$835,5,FALSE)</f>
        <v>0</v>
      </c>
      <c r="AG184" s="31">
        <f>VLOOKUP($A184,kurspris!$A$1:$Q$835,6,FALSE)</f>
        <v>0</v>
      </c>
      <c r="AH184" s="31">
        <f>VLOOKUP($A184,kurspris!$A$1:$Q$835,7,FALSE)</f>
        <v>0</v>
      </c>
      <c r="AI184" s="31">
        <f>VLOOKUP($A184,kurspris!$A$1:$Q$835,8,FALSE)</f>
        <v>0</v>
      </c>
      <c r="AJ184" s="31">
        <f>VLOOKUP($A184,kurspris!$A$1:$Q$835,9,FALSE)</f>
        <v>0</v>
      </c>
      <c r="AK184" s="31">
        <f>VLOOKUP($A184,kurspris!$A$1:$Q$835,10,FALSE)</f>
        <v>0</v>
      </c>
      <c r="AL184" s="31">
        <f>VLOOKUP($A184,kurspris!$A$1:$Q$835,11,FALSE)</f>
        <v>0</v>
      </c>
      <c r="AM184" s="31">
        <f>VLOOKUP($A184,kurspris!$A$1:$Q$835,12,FALSE)</f>
        <v>0</v>
      </c>
      <c r="AN184" s="31">
        <f>VLOOKUP($A184,kurspris!$A$1:$Q$835,13,FALSE)</f>
        <v>0</v>
      </c>
      <c r="AO184" s="31">
        <f>VLOOKUP($A184,kurspris!$A$1:$Q$835,14,FALSE)</f>
        <v>0</v>
      </c>
      <c r="AP184" s="39" t="s">
        <v>2204</v>
      </c>
      <c r="AQ184" s="39" t="s">
        <v>2095</v>
      </c>
      <c r="AR184" s="31">
        <f t="shared" si="61"/>
        <v>2</v>
      </c>
      <c r="AS184" s="255">
        <f t="shared" si="62"/>
        <v>1.6</v>
      </c>
      <c r="AT184" s="31">
        <f t="shared" si="63"/>
        <v>0</v>
      </c>
      <c r="AU184" s="255">
        <f t="shared" si="64"/>
        <v>0</v>
      </c>
      <c r="AV184" s="31">
        <f t="shared" si="65"/>
        <v>0</v>
      </c>
      <c r="AW184" s="31">
        <f t="shared" si="66"/>
        <v>0</v>
      </c>
      <c r="AX184" s="31">
        <f t="shared" si="67"/>
        <v>0</v>
      </c>
      <c r="AY184" s="255">
        <f t="shared" si="68"/>
        <v>0</v>
      </c>
      <c r="AZ184" s="232">
        <f t="shared" si="69"/>
        <v>0</v>
      </c>
      <c r="BA184" s="255">
        <f t="shared" si="70"/>
        <v>0</v>
      </c>
      <c r="BB184" s="31">
        <f t="shared" si="71"/>
        <v>0</v>
      </c>
      <c r="BC184" s="255">
        <f t="shared" si="72"/>
        <v>0</v>
      </c>
      <c r="BD184" s="31">
        <f t="shared" si="73"/>
        <v>0</v>
      </c>
      <c r="BE184" s="255">
        <f t="shared" si="74"/>
        <v>0</v>
      </c>
      <c r="BF184" s="31">
        <f t="shared" si="75"/>
        <v>0</v>
      </c>
      <c r="BG184" s="255">
        <f t="shared" si="76"/>
        <v>0</v>
      </c>
      <c r="BH184" s="31">
        <f t="shared" si="77"/>
        <v>0</v>
      </c>
      <c r="BI184" s="255">
        <f t="shared" si="78"/>
        <v>0</v>
      </c>
      <c r="BJ184" s="31">
        <f t="shared" si="79"/>
        <v>0</v>
      </c>
      <c r="BK184" s="31">
        <f t="shared" si="80"/>
        <v>0</v>
      </c>
      <c r="BL184" s="255">
        <f t="shared" si="81"/>
        <v>0</v>
      </c>
      <c r="BM184" s="31">
        <f t="shared" si="82"/>
        <v>0</v>
      </c>
      <c r="BN184" s="255">
        <f t="shared" si="83"/>
        <v>0</v>
      </c>
    </row>
    <row r="185" spans="1:66" x14ac:dyDescent="0.25">
      <c r="A185" s="18" t="s">
        <v>2119</v>
      </c>
      <c r="B185" s="186" t="str">
        <f>VLOOKUP(A185,kurspris!$A$1:$B$877,2,FALSE)</f>
        <v>Bild 2a</v>
      </c>
      <c r="C185" s="37"/>
      <c r="D185" s="31" t="s">
        <v>482</v>
      </c>
      <c r="E185" s="31" t="s">
        <v>1973</v>
      </c>
      <c r="F185" s="59" t="s">
        <v>1931</v>
      </c>
      <c r="G185" s="31" t="s">
        <v>2270</v>
      </c>
      <c r="J185" s="31" t="s">
        <v>1999</v>
      </c>
      <c r="L185" s="31">
        <v>100</v>
      </c>
      <c r="M185" s="31">
        <v>15</v>
      </c>
      <c r="P185" s="31">
        <v>1</v>
      </c>
      <c r="Q185" s="232">
        <f t="shared" si="56"/>
        <v>0.25</v>
      </c>
      <c r="R185" s="40">
        <v>0.85</v>
      </c>
      <c r="S185" s="334">
        <f t="shared" si="57"/>
        <v>0.21249999999999999</v>
      </c>
      <c r="T185" s="31">
        <f>VLOOKUP(A185,'Ansvar kurs'!$A$1:$C$1010,2,FALSE)</f>
        <v>1650</v>
      </c>
      <c r="U185" s="31" t="str">
        <f>VLOOKUP(T185,Orgenheter!$A$1:$C$165,2,FALSE)</f>
        <v xml:space="preserve">Estetiska ämnen               </v>
      </c>
      <c r="V185" s="31" t="str">
        <f>VLOOKUP(T185,Orgenheter!$A$1:$C$165,3,FALSE)</f>
        <v>Hum</v>
      </c>
      <c r="W185" s="37" t="str">
        <f>VLOOKUP(D185,Program!$A$1:$B$34,2,FALSE)</f>
        <v>Ämneslärarprogrammet - åk 7-9</v>
      </c>
      <c r="X185" s="42">
        <f>VLOOKUP(A185,kurspris!$A$1:$Q$798,15,FALSE)</f>
        <v>47957</v>
      </c>
      <c r="Y185" s="42">
        <f>VLOOKUP(A185,kurspris!$A$1:$Q$798,16,FALSE)</f>
        <v>57006</v>
      </c>
      <c r="Z185" s="42">
        <f t="shared" si="58"/>
        <v>24103.025000000001</v>
      </c>
      <c r="AA185" s="42">
        <f>VLOOKUP(A185,kurspris!$A$1:$Q$798,17,FALSE)</f>
        <v>69000</v>
      </c>
      <c r="AB185" s="42">
        <f t="shared" si="59"/>
        <v>17250</v>
      </c>
      <c r="AC185" s="42">
        <f t="shared" si="60"/>
        <v>41353.025000000001</v>
      </c>
      <c r="AD185" s="31">
        <f>VLOOKUP($A185,kurspris!$A$1:$Q$835,3,FALSE)</f>
        <v>1</v>
      </c>
      <c r="AE185" s="31">
        <f>VLOOKUP($A185,kurspris!$A$1:$Q$835,4,FALSE)</f>
        <v>0</v>
      </c>
      <c r="AF185" s="31">
        <f>VLOOKUP($A185,kurspris!$A$1:$Q$835,5,FALSE)</f>
        <v>0</v>
      </c>
      <c r="AG185" s="31">
        <f>VLOOKUP($A185,kurspris!$A$1:$Q$835,6,FALSE)</f>
        <v>0</v>
      </c>
      <c r="AH185" s="31">
        <f>VLOOKUP($A185,kurspris!$A$1:$Q$835,7,FALSE)</f>
        <v>0</v>
      </c>
      <c r="AI185" s="31">
        <f>VLOOKUP($A185,kurspris!$A$1:$Q$835,8,FALSE)</f>
        <v>0</v>
      </c>
      <c r="AJ185" s="31">
        <f>VLOOKUP($A185,kurspris!$A$1:$Q$835,9,FALSE)</f>
        <v>0</v>
      </c>
      <c r="AK185" s="31">
        <f>VLOOKUP($A185,kurspris!$A$1:$Q$835,10,FALSE)</f>
        <v>0</v>
      </c>
      <c r="AL185" s="31">
        <f>VLOOKUP($A185,kurspris!$A$1:$Q$835,11,FALSE)</f>
        <v>0</v>
      </c>
      <c r="AM185" s="31">
        <f>VLOOKUP($A185,kurspris!$A$1:$Q$835,12,FALSE)</f>
        <v>0</v>
      </c>
      <c r="AN185" s="31">
        <f>VLOOKUP($A185,kurspris!$A$1:$Q$835,13,FALSE)</f>
        <v>0</v>
      </c>
      <c r="AO185" s="31">
        <f>VLOOKUP($A185,kurspris!$A$1:$Q$835,14,FALSE)</f>
        <v>0</v>
      </c>
      <c r="AP185" s="39" t="s">
        <v>2326</v>
      </c>
      <c r="AQ185"/>
      <c r="AR185" s="31">
        <f t="shared" si="61"/>
        <v>0.25</v>
      </c>
      <c r="AS185" s="255">
        <f t="shared" si="62"/>
        <v>0.21249999999999999</v>
      </c>
      <c r="AT185" s="31">
        <f t="shared" si="63"/>
        <v>0</v>
      </c>
      <c r="AU185" s="255">
        <f t="shared" si="64"/>
        <v>0</v>
      </c>
      <c r="AV185" s="31">
        <f t="shared" si="65"/>
        <v>0</v>
      </c>
      <c r="AW185" s="31">
        <f t="shared" si="66"/>
        <v>0</v>
      </c>
      <c r="AX185" s="31">
        <f t="shared" si="67"/>
        <v>0</v>
      </c>
      <c r="AY185" s="255">
        <f t="shared" si="68"/>
        <v>0</v>
      </c>
      <c r="AZ185" s="232">
        <f t="shared" si="69"/>
        <v>0</v>
      </c>
      <c r="BA185" s="255">
        <f t="shared" si="70"/>
        <v>0</v>
      </c>
      <c r="BB185" s="31">
        <f t="shared" si="71"/>
        <v>0</v>
      </c>
      <c r="BC185" s="255">
        <f t="shared" si="72"/>
        <v>0</v>
      </c>
      <c r="BD185" s="31">
        <f t="shared" si="73"/>
        <v>0</v>
      </c>
      <c r="BE185" s="255">
        <f t="shared" si="74"/>
        <v>0</v>
      </c>
      <c r="BF185" s="31">
        <f t="shared" si="75"/>
        <v>0</v>
      </c>
      <c r="BG185" s="255">
        <f t="shared" si="76"/>
        <v>0</v>
      </c>
      <c r="BH185" s="31">
        <f t="shared" si="77"/>
        <v>0</v>
      </c>
      <c r="BI185" s="255">
        <f t="shared" si="78"/>
        <v>0</v>
      </c>
      <c r="BJ185" s="31">
        <f t="shared" si="79"/>
        <v>0</v>
      </c>
      <c r="BK185" s="31">
        <f t="shared" si="80"/>
        <v>0</v>
      </c>
      <c r="BL185" s="255">
        <f t="shared" si="81"/>
        <v>0</v>
      </c>
      <c r="BM185" s="31">
        <f t="shared" si="82"/>
        <v>0</v>
      </c>
      <c r="BN185" s="255">
        <f t="shared" si="83"/>
        <v>0</v>
      </c>
    </row>
    <row r="186" spans="1:66" x14ac:dyDescent="0.25">
      <c r="A186" s="18" t="s">
        <v>2119</v>
      </c>
      <c r="B186" s="186" t="str">
        <f>VLOOKUP(A186,kurspris!$A$1:$B$877,2,FALSE)</f>
        <v>Bild 2a</v>
      </c>
      <c r="C186" s="37"/>
      <c r="D186" s="31" t="s">
        <v>482</v>
      </c>
      <c r="E186" s="31" t="s">
        <v>1973</v>
      </c>
      <c r="F186" s="59" t="s">
        <v>1931</v>
      </c>
      <c r="G186" s="31" t="s">
        <v>2270</v>
      </c>
      <c r="J186" s="31" t="s">
        <v>1595</v>
      </c>
      <c r="L186" s="31">
        <v>100</v>
      </c>
      <c r="M186" s="31">
        <v>15</v>
      </c>
      <c r="P186" s="31">
        <v>2</v>
      </c>
      <c r="Q186" s="232">
        <f t="shared" si="56"/>
        <v>0.5</v>
      </c>
      <c r="R186" s="40">
        <v>0.85</v>
      </c>
      <c r="S186" s="334">
        <f t="shared" si="57"/>
        <v>0.42499999999999999</v>
      </c>
      <c r="T186" s="31">
        <f>VLOOKUP(A186,'Ansvar kurs'!$A$1:$C$1010,2,FALSE)</f>
        <v>1650</v>
      </c>
      <c r="U186" s="31" t="str">
        <f>VLOOKUP(T186,Orgenheter!$A$1:$C$165,2,FALSE)</f>
        <v xml:space="preserve">Estetiska ämnen               </v>
      </c>
      <c r="V186" s="31" t="str">
        <f>VLOOKUP(T186,Orgenheter!$A$1:$C$165,3,FALSE)</f>
        <v>Hum</v>
      </c>
      <c r="W186" s="37" t="str">
        <f>VLOOKUP(D186,Program!$A$1:$B$34,2,FALSE)</f>
        <v>Ämneslärarprogrammet - åk 7-9</v>
      </c>
      <c r="X186" s="42">
        <f>VLOOKUP(A186,kurspris!$A$1:$Q$798,15,FALSE)</f>
        <v>47957</v>
      </c>
      <c r="Y186" s="42">
        <f>VLOOKUP(A186,kurspris!$A$1:$Q$798,16,FALSE)</f>
        <v>57006</v>
      </c>
      <c r="Z186" s="42">
        <f t="shared" si="58"/>
        <v>48206.05</v>
      </c>
      <c r="AA186" s="42">
        <f>VLOOKUP(A186,kurspris!$A$1:$Q$798,17,FALSE)</f>
        <v>69000</v>
      </c>
      <c r="AB186" s="42">
        <f t="shared" si="59"/>
        <v>34500</v>
      </c>
      <c r="AC186" s="42">
        <f t="shared" si="60"/>
        <v>82706.05</v>
      </c>
      <c r="AD186" s="31">
        <f>VLOOKUP($A186,kurspris!$A$1:$Q$835,3,FALSE)</f>
        <v>1</v>
      </c>
      <c r="AE186" s="31">
        <f>VLOOKUP($A186,kurspris!$A$1:$Q$835,4,FALSE)</f>
        <v>0</v>
      </c>
      <c r="AF186" s="31">
        <f>VLOOKUP($A186,kurspris!$A$1:$Q$835,5,FALSE)</f>
        <v>0</v>
      </c>
      <c r="AG186" s="31">
        <f>VLOOKUP($A186,kurspris!$A$1:$Q$835,6,FALSE)</f>
        <v>0</v>
      </c>
      <c r="AH186" s="31">
        <f>VLOOKUP($A186,kurspris!$A$1:$Q$835,7,FALSE)</f>
        <v>0</v>
      </c>
      <c r="AI186" s="31">
        <f>VLOOKUP($A186,kurspris!$A$1:$Q$835,8,FALSE)</f>
        <v>0</v>
      </c>
      <c r="AJ186" s="31">
        <f>VLOOKUP($A186,kurspris!$A$1:$Q$835,9,FALSE)</f>
        <v>0</v>
      </c>
      <c r="AK186" s="31">
        <f>VLOOKUP($A186,kurspris!$A$1:$Q$835,10,FALSE)</f>
        <v>0</v>
      </c>
      <c r="AL186" s="31">
        <f>VLOOKUP($A186,kurspris!$A$1:$Q$835,11,FALSE)</f>
        <v>0</v>
      </c>
      <c r="AM186" s="31">
        <f>VLOOKUP($A186,kurspris!$A$1:$Q$835,12,FALSE)</f>
        <v>0</v>
      </c>
      <c r="AN186" s="31">
        <f>VLOOKUP($A186,kurspris!$A$1:$Q$835,13,FALSE)</f>
        <v>0</v>
      </c>
      <c r="AO186" s="31">
        <f>VLOOKUP($A186,kurspris!$A$1:$Q$835,14,FALSE)</f>
        <v>0</v>
      </c>
      <c r="AP186" s="39" t="s">
        <v>2326</v>
      </c>
      <c r="AQ186"/>
      <c r="AR186" s="31">
        <f t="shared" si="61"/>
        <v>0.5</v>
      </c>
      <c r="AS186" s="255">
        <f t="shared" si="62"/>
        <v>0.42499999999999999</v>
      </c>
      <c r="AT186" s="31">
        <f t="shared" si="63"/>
        <v>0</v>
      </c>
      <c r="AU186" s="255">
        <f t="shared" si="64"/>
        <v>0</v>
      </c>
      <c r="AV186" s="31">
        <f t="shared" si="65"/>
        <v>0</v>
      </c>
      <c r="AW186" s="31">
        <f t="shared" si="66"/>
        <v>0</v>
      </c>
      <c r="AX186" s="31">
        <f t="shared" si="67"/>
        <v>0</v>
      </c>
      <c r="AY186" s="255">
        <f t="shared" si="68"/>
        <v>0</v>
      </c>
      <c r="AZ186" s="232">
        <f t="shared" si="69"/>
        <v>0</v>
      </c>
      <c r="BA186" s="255">
        <f t="shared" si="70"/>
        <v>0</v>
      </c>
      <c r="BB186" s="31">
        <f t="shared" si="71"/>
        <v>0</v>
      </c>
      <c r="BC186" s="255">
        <f t="shared" si="72"/>
        <v>0</v>
      </c>
      <c r="BD186" s="31">
        <f t="shared" si="73"/>
        <v>0</v>
      </c>
      <c r="BE186" s="255">
        <f t="shared" si="74"/>
        <v>0</v>
      </c>
      <c r="BF186" s="31">
        <f t="shared" si="75"/>
        <v>0</v>
      </c>
      <c r="BG186" s="255">
        <f t="shared" si="76"/>
        <v>0</v>
      </c>
      <c r="BH186" s="31">
        <f t="shared" si="77"/>
        <v>0</v>
      </c>
      <c r="BI186" s="255">
        <f t="shared" si="78"/>
        <v>0</v>
      </c>
      <c r="BJ186" s="31">
        <f t="shared" si="79"/>
        <v>0</v>
      </c>
      <c r="BK186" s="31">
        <f t="shared" si="80"/>
        <v>0</v>
      </c>
      <c r="BL186" s="255">
        <f t="shared" si="81"/>
        <v>0</v>
      </c>
      <c r="BM186" s="31">
        <f t="shared" si="82"/>
        <v>0</v>
      </c>
      <c r="BN186" s="255">
        <f t="shared" si="83"/>
        <v>0</v>
      </c>
    </row>
    <row r="187" spans="1:66" x14ac:dyDescent="0.25">
      <c r="A187" s="18" t="s">
        <v>2119</v>
      </c>
      <c r="B187" s="186" t="str">
        <f>VLOOKUP(A187,kurspris!$A$1:$B$877,2,FALSE)</f>
        <v>Bild 2a</v>
      </c>
      <c r="C187" s="37"/>
      <c r="D187" s="31" t="s">
        <v>483</v>
      </c>
      <c r="E187" s="31" t="s">
        <v>1973</v>
      </c>
      <c r="F187" s="59" t="s">
        <v>1931</v>
      </c>
      <c r="G187" s="31" t="s">
        <v>2270</v>
      </c>
      <c r="J187" t="s">
        <v>776</v>
      </c>
      <c r="L187" s="31">
        <v>100</v>
      </c>
      <c r="M187" s="31">
        <v>15</v>
      </c>
      <c r="P187" s="31">
        <v>1</v>
      </c>
      <c r="Q187" s="232">
        <f t="shared" si="56"/>
        <v>0.25</v>
      </c>
      <c r="R187" s="40">
        <v>0.85</v>
      </c>
      <c r="S187" s="334">
        <f t="shared" si="57"/>
        <v>0.21249999999999999</v>
      </c>
      <c r="T187" s="31">
        <f>VLOOKUP(A187,'Ansvar kurs'!$A$1:$C$1010,2,FALSE)</f>
        <v>1650</v>
      </c>
      <c r="U187" s="31" t="str">
        <f>VLOOKUP(T187,Orgenheter!$A$1:$C$165,2,FALSE)</f>
        <v xml:space="preserve">Estetiska ämnen               </v>
      </c>
      <c r="V187" s="31" t="str">
        <f>VLOOKUP(T187,Orgenheter!$A$1:$C$165,3,FALSE)</f>
        <v>Hum</v>
      </c>
      <c r="W187" s="37" t="str">
        <f>VLOOKUP(D187,Program!$A$1:$B$34,2,FALSE)</f>
        <v>Ämneslärarprogrammet - Gy</v>
      </c>
      <c r="X187" s="42">
        <f>VLOOKUP(A187,kurspris!$A$1:$Q$798,15,FALSE)</f>
        <v>47957</v>
      </c>
      <c r="Y187" s="42">
        <f>VLOOKUP(A187,kurspris!$A$1:$Q$798,16,FALSE)</f>
        <v>57006</v>
      </c>
      <c r="Z187" s="42">
        <f t="shared" si="58"/>
        <v>24103.025000000001</v>
      </c>
      <c r="AA187" s="42">
        <f>VLOOKUP(A187,kurspris!$A$1:$Q$798,17,FALSE)</f>
        <v>69000</v>
      </c>
      <c r="AB187" s="42">
        <f t="shared" si="59"/>
        <v>17250</v>
      </c>
      <c r="AC187" s="42">
        <f t="shared" si="60"/>
        <v>41353.025000000001</v>
      </c>
      <c r="AD187" s="31">
        <f>VLOOKUP($A187,kurspris!$A$1:$Q$835,3,FALSE)</f>
        <v>1</v>
      </c>
      <c r="AE187" s="31">
        <f>VLOOKUP($A187,kurspris!$A$1:$Q$835,4,FALSE)</f>
        <v>0</v>
      </c>
      <c r="AF187" s="31">
        <f>VLOOKUP($A187,kurspris!$A$1:$Q$835,5,FALSE)</f>
        <v>0</v>
      </c>
      <c r="AG187" s="31">
        <f>VLOOKUP($A187,kurspris!$A$1:$Q$835,6,FALSE)</f>
        <v>0</v>
      </c>
      <c r="AH187" s="31">
        <f>VLOOKUP($A187,kurspris!$A$1:$Q$835,7,FALSE)</f>
        <v>0</v>
      </c>
      <c r="AI187" s="31">
        <f>VLOOKUP($A187,kurspris!$A$1:$Q$835,8,FALSE)</f>
        <v>0</v>
      </c>
      <c r="AJ187" s="31">
        <f>VLOOKUP($A187,kurspris!$A$1:$Q$835,9,FALSE)</f>
        <v>0</v>
      </c>
      <c r="AK187" s="31">
        <f>VLOOKUP($A187,kurspris!$A$1:$Q$835,10,FALSE)</f>
        <v>0</v>
      </c>
      <c r="AL187" s="31">
        <f>VLOOKUP($A187,kurspris!$A$1:$Q$835,11,FALSE)</f>
        <v>0</v>
      </c>
      <c r="AM187" s="31">
        <f>VLOOKUP($A187,kurspris!$A$1:$Q$835,12,FALSE)</f>
        <v>0</v>
      </c>
      <c r="AN187" s="31">
        <f>VLOOKUP($A187,kurspris!$A$1:$Q$835,13,FALSE)</f>
        <v>0</v>
      </c>
      <c r="AO187" s="31">
        <f>VLOOKUP($A187,kurspris!$A$1:$Q$835,14,FALSE)</f>
        <v>0</v>
      </c>
      <c r="AP187" s="39" t="s">
        <v>2326</v>
      </c>
      <c r="AQ187"/>
      <c r="AR187" s="31">
        <f t="shared" si="61"/>
        <v>0.25</v>
      </c>
      <c r="AS187" s="255">
        <f t="shared" si="62"/>
        <v>0.21249999999999999</v>
      </c>
      <c r="AT187" s="31">
        <f t="shared" si="63"/>
        <v>0</v>
      </c>
      <c r="AU187" s="255">
        <f t="shared" si="64"/>
        <v>0</v>
      </c>
      <c r="AV187" s="31">
        <f t="shared" si="65"/>
        <v>0</v>
      </c>
      <c r="AW187" s="31">
        <f t="shared" si="66"/>
        <v>0</v>
      </c>
      <c r="AX187" s="31">
        <f t="shared" si="67"/>
        <v>0</v>
      </c>
      <c r="AY187" s="255">
        <f t="shared" si="68"/>
        <v>0</v>
      </c>
      <c r="AZ187" s="232">
        <f t="shared" si="69"/>
        <v>0</v>
      </c>
      <c r="BA187" s="255">
        <f t="shared" si="70"/>
        <v>0</v>
      </c>
      <c r="BB187" s="31">
        <f t="shared" si="71"/>
        <v>0</v>
      </c>
      <c r="BC187" s="255">
        <f t="shared" si="72"/>
        <v>0</v>
      </c>
      <c r="BD187" s="31">
        <f t="shared" si="73"/>
        <v>0</v>
      </c>
      <c r="BE187" s="255">
        <f t="shared" si="74"/>
        <v>0</v>
      </c>
      <c r="BF187" s="31">
        <f t="shared" si="75"/>
        <v>0</v>
      </c>
      <c r="BG187" s="255">
        <f t="shared" si="76"/>
        <v>0</v>
      </c>
      <c r="BH187" s="31">
        <f t="shared" si="77"/>
        <v>0</v>
      </c>
      <c r="BI187" s="255">
        <f t="shared" si="78"/>
        <v>0</v>
      </c>
      <c r="BJ187" s="31">
        <f t="shared" si="79"/>
        <v>0</v>
      </c>
      <c r="BK187" s="31">
        <f t="shared" si="80"/>
        <v>0</v>
      </c>
      <c r="BL187" s="255">
        <f t="shared" si="81"/>
        <v>0</v>
      </c>
      <c r="BM187" s="31">
        <f t="shared" si="82"/>
        <v>0</v>
      </c>
      <c r="BN187" s="255">
        <f t="shared" si="83"/>
        <v>0</v>
      </c>
    </row>
    <row r="188" spans="1:66" x14ac:dyDescent="0.25">
      <c r="A188" s="18" t="s">
        <v>2119</v>
      </c>
      <c r="B188" s="186" t="str">
        <f>VLOOKUP(A188,kurspris!$A$1:$B$877,2,FALSE)</f>
        <v>Bild 2a</v>
      </c>
      <c r="C188" s="37"/>
      <c r="D188" s="31" t="s">
        <v>483</v>
      </c>
      <c r="E188" s="31" t="s">
        <v>1973</v>
      </c>
      <c r="F188" s="59" t="s">
        <v>1931</v>
      </c>
      <c r="G188" s="31" t="s">
        <v>2270</v>
      </c>
      <c r="J188" t="s">
        <v>778</v>
      </c>
      <c r="L188" s="31">
        <v>100</v>
      </c>
      <c r="M188" s="31">
        <v>15</v>
      </c>
      <c r="P188" s="31">
        <v>1</v>
      </c>
      <c r="Q188" s="232">
        <f t="shared" si="56"/>
        <v>0.25</v>
      </c>
      <c r="R188" s="40">
        <v>0.85</v>
      </c>
      <c r="S188" s="334">
        <f t="shared" si="57"/>
        <v>0.21249999999999999</v>
      </c>
      <c r="T188" s="31">
        <f>VLOOKUP(A188,'Ansvar kurs'!$A$1:$C$1010,2,FALSE)</f>
        <v>1650</v>
      </c>
      <c r="U188" s="31" t="str">
        <f>VLOOKUP(T188,Orgenheter!$A$1:$C$165,2,FALSE)</f>
        <v xml:space="preserve">Estetiska ämnen               </v>
      </c>
      <c r="V188" s="31" t="str">
        <f>VLOOKUP(T188,Orgenheter!$A$1:$C$165,3,FALSE)</f>
        <v>Hum</v>
      </c>
      <c r="W188" s="37" t="str">
        <f>VLOOKUP(D188,Program!$A$1:$B$34,2,FALSE)</f>
        <v>Ämneslärarprogrammet - Gy</v>
      </c>
      <c r="X188" s="42">
        <f>VLOOKUP(A188,kurspris!$A$1:$Q$798,15,FALSE)</f>
        <v>47957</v>
      </c>
      <c r="Y188" s="42">
        <f>VLOOKUP(A188,kurspris!$A$1:$Q$798,16,FALSE)</f>
        <v>57006</v>
      </c>
      <c r="Z188" s="42">
        <f t="shared" si="58"/>
        <v>24103.025000000001</v>
      </c>
      <c r="AA188" s="42">
        <f>VLOOKUP(A188,kurspris!$A$1:$Q$798,17,FALSE)</f>
        <v>69000</v>
      </c>
      <c r="AB188" s="42">
        <f t="shared" si="59"/>
        <v>17250</v>
      </c>
      <c r="AC188" s="42">
        <f t="shared" si="60"/>
        <v>41353.025000000001</v>
      </c>
      <c r="AD188" s="31">
        <f>VLOOKUP($A188,kurspris!$A$1:$Q$835,3,FALSE)</f>
        <v>1</v>
      </c>
      <c r="AE188" s="31">
        <f>VLOOKUP($A188,kurspris!$A$1:$Q$835,4,FALSE)</f>
        <v>0</v>
      </c>
      <c r="AF188" s="31">
        <f>VLOOKUP($A188,kurspris!$A$1:$Q$835,5,FALSE)</f>
        <v>0</v>
      </c>
      <c r="AG188" s="31">
        <f>VLOOKUP($A188,kurspris!$A$1:$Q$835,6,FALSE)</f>
        <v>0</v>
      </c>
      <c r="AH188" s="31">
        <f>VLOOKUP($A188,kurspris!$A$1:$Q$835,7,FALSE)</f>
        <v>0</v>
      </c>
      <c r="AI188" s="31">
        <f>VLOOKUP($A188,kurspris!$A$1:$Q$835,8,FALSE)</f>
        <v>0</v>
      </c>
      <c r="AJ188" s="31">
        <f>VLOOKUP($A188,kurspris!$A$1:$Q$835,9,FALSE)</f>
        <v>0</v>
      </c>
      <c r="AK188" s="31">
        <f>VLOOKUP($A188,kurspris!$A$1:$Q$835,10,FALSE)</f>
        <v>0</v>
      </c>
      <c r="AL188" s="31">
        <f>VLOOKUP($A188,kurspris!$A$1:$Q$835,11,FALSE)</f>
        <v>0</v>
      </c>
      <c r="AM188" s="31">
        <f>VLOOKUP($A188,kurspris!$A$1:$Q$835,12,FALSE)</f>
        <v>0</v>
      </c>
      <c r="AN188" s="31">
        <f>VLOOKUP($A188,kurspris!$A$1:$Q$835,13,FALSE)</f>
        <v>0</v>
      </c>
      <c r="AO188" s="31">
        <f>VLOOKUP($A188,kurspris!$A$1:$Q$835,14,FALSE)</f>
        <v>0</v>
      </c>
      <c r="AP188" s="39" t="s">
        <v>2326</v>
      </c>
      <c r="AQ188"/>
      <c r="AR188" s="31">
        <f t="shared" si="61"/>
        <v>0.25</v>
      </c>
      <c r="AS188" s="255">
        <f t="shared" si="62"/>
        <v>0.21249999999999999</v>
      </c>
      <c r="AT188" s="31">
        <f t="shared" si="63"/>
        <v>0</v>
      </c>
      <c r="AU188" s="255">
        <f t="shared" si="64"/>
        <v>0</v>
      </c>
      <c r="AV188" s="31">
        <f t="shared" si="65"/>
        <v>0</v>
      </c>
      <c r="AW188" s="31">
        <f t="shared" si="66"/>
        <v>0</v>
      </c>
      <c r="AX188" s="31">
        <f t="shared" si="67"/>
        <v>0</v>
      </c>
      <c r="AY188" s="255">
        <f t="shared" si="68"/>
        <v>0</v>
      </c>
      <c r="AZ188" s="232">
        <f t="shared" si="69"/>
        <v>0</v>
      </c>
      <c r="BA188" s="255">
        <f t="shared" si="70"/>
        <v>0</v>
      </c>
      <c r="BB188" s="31">
        <f t="shared" si="71"/>
        <v>0</v>
      </c>
      <c r="BC188" s="255">
        <f t="shared" si="72"/>
        <v>0</v>
      </c>
      <c r="BD188" s="31">
        <f t="shared" si="73"/>
        <v>0</v>
      </c>
      <c r="BE188" s="255">
        <f t="shared" si="74"/>
        <v>0</v>
      </c>
      <c r="BF188" s="31">
        <f t="shared" si="75"/>
        <v>0</v>
      </c>
      <c r="BG188" s="255">
        <f t="shared" si="76"/>
        <v>0</v>
      </c>
      <c r="BH188" s="31">
        <f t="shared" si="77"/>
        <v>0</v>
      </c>
      <c r="BI188" s="255">
        <f t="shared" si="78"/>
        <v>0</v>
      </c>
      <c r="BJ188" s="31">
        <f t="shared" si="79"/>
        <v>0</v>
      </c>
      <c r="BK188" s="31">
        <f t="shared" si="80"/>
        <v>0</v>
      </c>
      <c r="BL188" s="255">
        <f t="shared" si="81"/>
        <v>0</v>
      </c>
      <c r="BM188" s="31">
        <f t="shared" si="82"/>
        <v>0</v>
      </c>
      <c r="BN188" s="255">
        <f t="shared" si="83"/>
        <v>0</v>
      </c>
    </row>
    <row r="189" spans="1:66" x14ac:dyDescent="0.25">
      <c r="A189" s="18" t="s">
        <v>2119</v>
      </c>
      <c r="B189" s="186" t="str">
        <f>VLOOKUP(A189,kurspris!$A$1:$B$877,2,FALSE)</f>
        <v>Bild 2a</v>
      </c>
      <c r="C189" s="37"/>
      <c r="D189" s="31" t="s">
        <v>483</v>
      </c>
      <c r="E189" s="31" t="s">
        <v>1788</v>
      </c>
      <c r="F189" s="59" t="s">
        <v>1931</v>
      </c>
      <c r="G189" s="31" t="s">
        <v>2270</v>
      </c>
      <c r="J189" t="s">
        <v>1952</v>
      </c>
      <c r="L189" s="31">
        <v>100</v>
      </c>
      <c r="M189" s="31">
        <v>15</v>
      </c>
      <c r="P189" s="31">
        <v>10</v>
      </c>
      <c r="Q189" s="232">
        <f t="shared" si="56"/>
        <v>2.5</v>
      </c>
      <c r="R189" s="40">
        <v>0.85</v>
      </c>
      <c r="S189" s="334">
        <f t="shared" si="57"/>
        <v>2.125</v>
      </c>
      <c r="T189" s="31">
        <f>VLOOKUP(A189,'Ansvar kurs'!$A$1:$C$1010,2,FALSE)</f>
        <v>1650</v>
      </c>
      <c r="U189" s="31" t="str">
        <f>VLOOKUP(T189,Orgenheter!$A$1:$C$165,2,FALSE)</f>
        <v xml:space="preserve">Estetiska ämnen               </v>
      </c>
      <c r="V189" s="31" t="str">
        <f>VLOOKUP(T189,Orgenheter!$A$1:$C$165,3,FALSE)</f>
        <v>Hum</v>
      </c>
      <c r="W189" s="37" t="str">
        <f>VLOOKUP(D189,Program!$A$1:$B$34,2,FALSE)</f>
        <v>Ämneslärarprogrammet - Gy</v>
      </c>
      <c r="X189" s="42">
        <f>VLOOKUP(A189,kurspris!$A$1:$Q$798,15,FALSE)</f>
        <v>47957</v>
      </c>
      <c r="Y189" s="42">
        <f>VLOOKUP(A189,kurspris!$A$1:$Q$798,16,FALSE)</f>
        <v>57006</v>
      </c>
      <c r="Z189" s="42">
        <f t="shared" si="58"/>
        <v>241030.25</v>
      </c>
      <c r="AA189" s="42">
        <f>VLOOKUP(A189,kurspris!$A$1:$Q$798,17,FALSE)</f>
        <v>69000</v>
      </c>
      <c r="AB189" s="42">
        <f t="shared" si="59"/>
        <v>172500</v>
      </c>
      <c r="AC189" s="42">
        <f t="shared" si="60"/>
        <v>413530.25</v>
      </c>
      <c r="AD189" s="31">
        <f>VLOOKUP($A189,kurspris!$A$1:$Q$835,3,FALSE)</f>
        <v>1</v>
      </c>
      <c r="AE189" s="31">
        <f>VLOOKUP($A189,kurspris!$A$1:$Q$835,4,FALSE)</f>
        <v>0</v>
      </c>
      <c r="AF189" s="31">
        <f>VLOOKUP($A189,kurspris!$A$1:$Q$835,5,FALSE)</f>
        <v>0</v>
      </c>
      <c r="AG189" s="31">
        <f>VLOOKUP($A189,kurspris!$A$1:$Q$835,6,FALSE)</f>
        <v>0</v>
      </c>
      <c r="AH189" s="31">
        <f>VLOOKUP($A189,kurspris!$A$1:$Q$835,7,FALSE)</f>
        <v>0</v>
      </c>
      <c r="AI189" s="31">
        <f>VLOOKUP($A189,kurspris!$A$1:$Q$835,8,FALSE)</f>
        <v>0</v>
      </c>
      <c r="AJ189" s="31">
        <f>VLOOKUP($A189,kurspris!$A$1:$Q$835,9,FALSE)</f>
        <v>0</v>
      </c>
      <c r="AK189" s="31">
        <f>VLOOKUP($A189,kurspris!$A$1:$Q$835,10,FALSE)</f>
        <v>0</v>
      </c>
      <c r="AL189" s="31">
        <f>VLOOKUP($A189,kurspris!$A$1:$Q$835,11,FALSE)</f>
        <v>0</v>
      </c>
      <c r="AM189" s="31">
        <f>VLOOKUP($A189,kurspris!$A$1:$Q$835,12,FALSE)</f>
        <v>0</v>
      </c>
      <c r="AN189" s="31">
        <f>VLOOKUP($A189,kurspris!$A$1:$Q$835,13,FALSE)</f>
        <v>0</v>
      </c>
      <c r="AO189" s="31">
        <f>VLOOKUP($A189,kurspris!$A$1:$Q$835,14,FALSE)</f>
        <v>0</v>
      </c>
      <c r="AP189" s="39" t="s">
        <v>2326</v>
      </c>
      <c r="AQ189"/>
      <c r="AR189" s="31">
        <f t="shared" si="61"/>
        <v>2.5</v>
      </c>
      <c r="AS189" s="255">
        <f t="shared" si="62"/>
        <v>2.125</v>
      </c>
      <c r="AT189" s="31">
        <f t="shared" si="63"/>
        <v>0</v>
      </c>
      <c r="AU189" s="255">
        <f t="shared" si="64"/>
        <v>0</v>
      </c>
      <c r="AV189" s="31">
        <f t="shared" si="65"/>
        <v>0</v>
      </c>
      <c r="AW189" s="31">
        <f t="shared" si="66"/>
        <v>0</v>
      </c>
      <c r="AX189" s="31">
        <f t="shared" si="67"/>
        <v>0</v>
      </c>
      <c r="AY189" s="255">
        <f t="shared" si="68"/>
        <v>0</v>
      </c>
      <c r="AZ189" s="232">
        <f t="shared" si="69"/>
        <v>0</v>
      </c>
      <c r="BA189" s="255">
        <f t="shared" si="70"/>
        <v>0</v>
      </c>
      <c r="BB189" s="31">
        <f t="shared" si="71"/>
        <v>0</v>
      </c>
      <c r="BC189" s="255">
        <f t="shared" si="72"/>
        <v>0</v>
      </c>
      <c r="BD189" s="31">
        <f t="shared" si="73"/>
        <v>0</v>
      </c>
      <c r="BE189" s="255">
        <f t="shared" si="74"/>
        <v>0</v>
      </c>
      <c r="BF189" s="31">
        <f t="shared" si="75"/>
        <v>0</v>
      </c>
      <c r="BG189" s="255">
        <f t="shared" si="76"/>
        <v>0</v>
      </c>
      <c r="BH189" s="31">
        <f t="shared" si="77"/>
        <v>0</v>
      </c>
      <c r="BI189" s="255">
        <f t="shared" si="78"/>
        <v>0</v>
      </c>
      <c r="BJ189" s="31">
        <f t="shared" si="79"/>
        <v>0</v>
      </c>
      <c r="BK189" s="31">
        <f t="shared" si="80"/>
        <v>0</v>
      </c>
      <c r="BL189" s="255">
        <f t="shared" si="81"/>
        <v>0</v>
      </c>
      <c r="BM189" s="31">
        <f t="shared" si="82"/>
        <v>0</v>
      </c>
      <c r="BN189" s="255">
        <f t="shared" si="83"/>
        <v>0</v>
      </c>
    </row>
    <row r="190" spans="1:66" x14ac:dyDescent="0.25">
      <c r="A190" s="18" t="s">
        <v>2120</v>
      </c>
      <c r="B190" s="186" t="str">
        <f>VLOOKUP(A190,kurspris!$A$1:$B$877,2,FALSE)</f>
        <v>Bild 2b</v>
      </c>
      <c r="C190" s="37"/>
      <c r="D190" s="31" t="s">
        <v>482</v>
      </c>
      <c r="E190" s="31" t="s">
        <v>1973</v>
      </c>
      <c r="F190" s="59" t="s">
        <v>1931</v>
      </c>
      <c r="G190" s="31" t="s">
        <v>2271</v>
      </c>
      <c r="J190" s="31" t="s">
        <v>1999</v>
      </c>
      <c r="L190" s="31">
        <v>100</v>
      </c>
      <c r="M190" s="31">
        <v>15</v>
      </c>
      <c r="P190" s="31">
        <v>1</v>
      </c>
      <c r="Q190" s="232">
        <f t="shared" si="56"/>
        <v>0.25</v>
      </c>
      <c r="R190" s="40">
        <v>0.85</v>
      </c>
      <c r="S190" s="334">
        <f t="shared" si="57"/>
        <v>0.21249999999999999</v>
      </c>
      <c r="T190" s="31">
        <f>VLOOKUP(A190,'Ansvar kurs'!$A$1:$C$1010,2,FALSE)</f>
        <v>1650</v>
      </c>
      <c r="U190" s="31" t="str">
        <f>VLOOKUP(T190,Orgenheter!$A$1:$C$165,2,FALSE)</f>
        <v xml:space="preserve">Estetiska ämnen               </v>
      </c>
      <c r="V190" s="31" t="str">
        <f>VLOOKUP(T190,Orgenheter!$A$1:$C$165,3,FALSE)</f>
        <v>Hum</v>
      </c>
      <c r="W190" s="37" t="str">
        <f>VLOOKUP(D190,Program!$A$1:$B$34,2,FALSE)</f>
        <v>Ämneslärarprogrammet - åk 7-9</v>
      </c>
      <c r="X190" s="42">
        <f>VLOOKUP(A190,kurspris!$A$1:$Q$798,15,FALSE)</f>
        <v>47957</v>
      </c>
      <c r="Y190" s="42">
        <f>VLOOKUP(A190,kurspris!$A$1:$Q$798,16,FALSE)</f>
        <v>57006</v>
      </c>
      <c r="Z190" s="42">
        <f t="shared" si="58"/>
        <v>24103.025000000001</v>
      </c>
      <c r="AA190" s="42">
        <f>VLOOKUP(A190,kurspris!$A$1:$Q$798,17,FALSE)</f>
        <v>69000</v>
      </c>
      <c r="AB190" s="42">
        <f t="shared" si="59"/>
        <v>17250</v>
      </c>
      <c r="AC190" s="42">
        <f t="shared" si="60"/>
        <v>41353.025000000001</v>
      </c>
      <c r="AD190" s="31">
        <f>VLOOKUP($A190,kurspris!$A$1:$Q$835,3,FALSE)</f>
        <v>1</v>
      </c>
      <c r="AE190" s="31">
        <f>VLOOKUP($A190,kurspris!$A$1:$Q$835,4,FALSE)</f>
        <v>0</v>
      </c>
      <c r="AF190" s="31">
        <f>VLOOKUP($A190,kurspris!$A$1:$Q$835,5,FALSE)</f>
        <v>0</v>
      </c>
      <c r="AG190" s="31">
        <f>VLOOKUP($A190,kurspris!$A$1:$Q$835,6,FALSE)</f>
        <v>0</v>
      </c>
      <c r="AH190" s="31">
        <f>VLOOKUP($A190,kurspris!$A$1:$Q$835,7,FALSE)</f>
        <v>0</v>
      </c>
      <c r="AI190" s="31">
        <f>VLOOKUP($A190,kurspris!$A$1:$Q$835,8,FALSE)</f>
        <v>0</v>
      </c>
      <c r="AJ190" s="31">
        <f>VLOOKUP($A190,kurspris!$A$1:$Q$835,9,FALSE)</f>
        <v>0</v>
      </c>
      <c r="AK190" s="31">
        <f>VLOOKUP($A190,kurspris!$A$1:$Q$835,10,FALSE)</f>
        <v>0</v>
      </c>
      <c r="AL190" s="31">
        <f>VLOOKUP($A190,kurspris!$A$1:$Q$835,11,FALSE)</f>
        <v>0</v>
      </c>
      <c r="AM190" s="31">
        <f>VLOOKUP($A190,kurspris!$A$1:$Q$835,12,FALSE)</f>
        <v>0</v>
      </c>
      <c r="AN190" s="31">
        <f>VLOOKUP($A190,kurspris!$A$1:$Q$835,13,FALSE)</f>
        <v>0</v>
      </c>
      <c r="AO190" s="31">
        <f>VLOOKUP($A190,kurspris!$A$1:$Q$835,14,FALSE)</f>
        <v>0</v>
      </c>
      <c r="AP190" s="39" t="s">
        <v>2326</v>
      </c>
      <c r="AQ190"/>
      <c r="AR190" s="31">
        <f t="shared" si="61"/>
        <v>0.25</v>
      </c>
      <c r="AS190" s="255">
        <f t="shared" si="62"/>
        <v>0.21249999999999999</v>
      </c>
      <c r="AT190" s="31">
        <f t="shared" si="63"/>
        <v>0</v>
      </c>
      <c r="AU190" s="255">
        <f t="shared" si="64"/>
        <v>0</v>
      </c>
      <c r="AV190" s="31">
        <f t="shared" si="65"/>
        <v>0</v>
      </c>
      <c r="AW190" s="31">
        <f t="shared" si="66"/>
        <v>0</v>
      </c>
      <c r="AX190" s="31">
        <f t="shared" si="67"/>
        <v>0</v>
      </c>
      <c r="AY190" s="255">
        <f t="shared" si="68"/>
        <v>0</v>
      </c>
      <c r="AZ190" s="232">
        <f t="shared" si="69"/>
        <v>0</v>
      </c>
      <c r="BA190" s="255">
        <f t="shared" si="70"/>
        <v>0</v>
      </c>
      <c r="BB190" s="31">
        <f t="shared" si="71"/>
        <v>0</v>
      </c>
      <c r="BC190" s="255">
        <f t="shared" si="72"/>
        <v>0</v>
      </c>
      <c r="BD190" s="31">
        <f t="shared" si="73"/>
        <v>0</v>
      </c>
      <c r="BE190" s="255">
        <f t="shared" si="74"/>
        <v>0</v>
      </c>
      <c r="BF190" s="31">
        <f t="shared" si="75"/>
        <v>0</v>
      </c>
      <c r="BG190" s="255">
        <f t="shared" si="76"/>
        <v>0</v>
      </c>
      <c r="BH190" s="31">
        <f t="shared" si="77"/>
        <v>0</v>
      </c>
      <c r="BI190" s="255">
        <f t="shared" si="78"/>
        <v>0</v>
      </c>
      <c r="BJ190" s="31">
        <f t="shared" si="79"/>
        <v>0</v>
      </c>
      <c r="BK190" s="31">
        <f t="shared" si="80"/>
        <v>0</v>
      </c>
      <c r="BL190" s="255">
        <f t="shared" si="81"/>
        <v>0</v>
      </c>
      <c r="BM190" s="31">
        <f t="shared" si="82"/>
        <v>0</v>
      </c>
      <c r="BN190" s="255">
        <f t="shared" si="83"/>
        <v>0</v>
      </c>
    </row>
    <row r="191" spans="1:66" x14ac:dyDescent="0.25">
      <c r="A191" s="18" t="s">
        <v>2120</v>
      </c>
      <c r="B191" s="186" t="str">
        <f>VLOOKUP(A191,kurspris!$A$1:$B$877,2,FALSE)</f>
        <v>Bild 2b</v>
      </c>
      <c r="C191" s="37"/>
      <c r="D191" s="31" t="s">
        <v>482</v>
      </c>
      <c r="E191" s="31" t="s">
        <v>1973</v>
      </c>
      <c r="F191" s="59" t="s">
        <v>1931</v>
      </c>
      <c r="G191" s="31" t="s">
        <v>2271</v>
      </c>
      <c r="J191" s="31" t="s">
        <v>1595</v>
      </c>
      <c r="L191" s="31">
        <v>100</v>
      </c>
      <c r="M191" s="31">
        <v>15</v>
      </c>
      <c r="P191" s="31">
        <v>2</v>
      </c>
      <c r="Q191" s="232">
        <f t="shared" si="56"/>
        <v>0.5</v>
      </c>
      <c r="R191" s="40">
        <v>0.85</v>
      </c>
      <c r="S191" s="334">
        <f t="shared" si="57"/>
        <v>0.42499999999999999</v>
      </c>
      <c r="T191" s="31">
        <f>VLOOKUP(A191,'Ansvar kurs'!$A$1:$C$1010,2,FALSE)</f>
        <v>1650</v>
      </c>
      <c r="U191" s="31" t="str">
        <f>VLOOKUP(T191,Orgenheter!$A$1:$C$165,2,FALSE)</f>
        <v xml:space="preserve">Estetiska ämnen               </v>
      </c>
      <c r="V191" s="31" t="str">
        <f>VLOOKUP(T191,Orgenheter!$A$1:$C$165,3,FALSE)</f>
        <v>Hum</v>
      </c>
      <c r="W191" s="37" t="str">
        <f>VLOOKUP(D191,Program!$A$1:$B$34,2,FALSE)</f>
        <v>Ämneslärarprogrammet - åk 7-9</v>
      </c>
      <c r="X191" s="42">
        <f>VLOOKUP(A191,kurspris!$A$1:$Q$798,15,FALSE)</f>
        <v>47957</v>
      </c>
      <c r="Y191" s="42">
        <f>VLOOKUP(A191,kurspris!$A$1:$Q$798,16,FALSE)</f>
        <v>57006</v>
      </c>
      <c r="Z191" s="42">
        <f t="shared" si="58"/>
        <v>48206.05</v>
      </c>
      <c r="AA191" s="42">
        <f>VLOOKUP(A191,kurspris!$A$1:$Q$798,17,FALSE)</f>
        <v>69000</v>
      </c>
      <c r="AB191" s="42">
        <f t="shared" si="59"/>
        <v>34500</v>
      </c>
      <c r="AC191" s="42">
        <f t="shared" si="60"/>
        <v>82706.05</v>
      </c>
      <c r="AD191" s="31">
        <f>VLOOKUP($A191,kurspris!$A$1:$Q$835,3,FALSE)</f>
        <v>1</v>
      </c>
      <c r="AE191" s="31">
        <f>VLOOKUP($A191,kurspris!$A$1:$Q$835,4,FALSE)</f>
        <v>0</v>
      </c>
      <c r="AF191" s="31">
        <f>VLOOKUP($A191,kurspris!$A$1:$Q$835,5,FALSE)</f>
        <v>0</v>
      </c>
      <c r="AG191" s="31">
        <f>VLOOKUP($A191,kurspris!$A$1:$Q$835,6,FALSE)</f>
        <v>0</v>
      </c>
      <c r="AH191" s="31">
        <f>VLOOKUP($A191,kurspris!$A$1:$Q$835,7,FALSE)</f>
        <v>0</v>
      </c>
      <c r="AI191" s="31">
        <f>VLOOKUP($A191,kurspris!$A$1:$Q$835,8,FALSE)</f>
        <v>0</v>
      </c>
      <c r="AJ191" s="31">
        <f>VLOOKUP($A191,kurspris!$A$1:$Q$835,9,FALSE)</f>
        <v>0</v>
      </c>
      <c r="AK191" s="31">
        <f>VLOOKUP($A191,kurspris!$A$1:$Q$835,10,FALSE)</f>
        <v>0</v>
      </c>
      <c r="AL191" s="31">
        <f>VLOOKUP($A191,kurspris!$A$1:$Q$835,11,FALSE)</f>
        <v>0</v>
      </c>
      <c r="AM191" s="31">
        <f>VLOOKUP($A191,kurspris!$A$1:$Q$835,12,FALSE)</f>
        <v>0</v>
      </c>
      <c r="AN191" s="31">
        <f>VLOOKUP($A191,kurspris!$A$1:$Q$835,13,FALSE)</f>
        <v>0</v>
      </c>
      <c r="AO191" s="31">
        <f>VLOOKUP($A191,kurspris!$A$1:$Q$835,14,FALSE)</f>
        <v>0</v>
      </c>
      <c r="AP191" s="39" t="s">
        <v>2326</v>
      </c>
      <c r="AQ191"/>
      <c r="AR191" s="31">
        <f t="shared" si="61"/>
        <v>0.5</v>
      </c>
      <c r="AS191" s="255">
        <f t="shared" si="62"/>
        <v>0.42499999999999999</v>
      </c>
      <c r="AT191" s="31">
        <f t="shared" si="63"/>
        <v>0</v>
      </c>
      <c r="AU191" s="255">
        <f t="shared" si="64"/>
        <v>0</v>
      </c>
      <c r="AV191" s="31">
        <f t="shared" si="65"/>
        <v>0</v>
      </c>
      <c r="AW191" s="31">
        <f t="shared" si="66"/>
        <v>0</v>
      </c>
      <c r="AX191" s="31">
        <f t="shared" si="67"/>
        <v>0</v>
      </c>
      <c r="AY191" s="255">
        <f t="shared" si="68"/>
        <v>0</v>
      </c>
      <c r="AZ191" s="232">
        <f t="shared" si="69"/>
        <v>0</v>
      </c>
      <c r="BA191" s="255">
        <f t="shared" si="70"/>
        <v>0</v>
      </c>
      <c r="BB191" s="31">
        <f t="shared" si="71"/>
        <v>0</v>
      </c>
      <c r="BC191" s="255">
        <f t="shared" si="72"/>
        <v>0</v>
      </c>
      <c r="BD191" s="31">
        <f t="shared" si="73"/>
        <v>0</v>
      </c>
      <c r="BE191" s="255">
        <f t="shared" si="74"/>
        <v>0</v>
      </c>
      <c r="BF191" s="31">
        <f t="shared" si="75"/>
        <v>0</v>
      </c>
      <c r="BG191" s="255">
        <f t="shared" si="76"/>
        <v>0</v>
      </c>
      <c r="BH191" s="31">
        <f t="shared" si="77"/>
        <v>0</v>
      </c>
      <c r="BI191" s="255">
        <f t="shared" si="78"/>
        <v>0</v>
      </c>
      <c r="BJ191" s="31">
        <f t="shared" si="79"/>
        <v>0</v>
      </c>
      <c r="BK191" s="31">
        <f t="shared" si="80"/>
        <v>0</v>
      </c>
      <c r="BL191" s="255">
        <f t="shared" si="81"/>
        <v>0</v>
      </c>
      <c r="BM191" s="31">
        <f t="shared" si="82"/>
        <v>0</v>
      </c>
      <c r="BN191" s="255">
        <f t="shared" si="83"/>
        <v>0</v>
      </c>
    </row>
    <row r="192" spans="1:66" x14ac:dyDescent="0.25">
      <c r="A192" s="18" t="s">
        <v>2120</v>
      </c>
      <c r="B192" s="186" t="str">
        <f>VLOOKUP(A192,kurspris!$A$1:$B$877,2,FALSE)</f>
        <v>Bild 2b</v>
      </c>
      <c r="C192" s="37"/>
      <c r="D192" s="31" t="s">
        <v>483</v>
      </c>
      <c r="E192" s="31" t="s">
        <v>1973</v>
      </c>
      <c r="F192" s="59" t="s">
        <v>1931</v>
      </c>
      <c r="G192" s="31" t="s">
        <v>2271</v>
      </c>
      <c r="J192" t="s">
        <v>776</v>
      </c>
      <c r="L192" s="31">
        <v>100</v>
      </c>
      <c r="M192" s="31">
        <v>15</v>
      </c>
      <c r="P192" s="31">
        <v>1</v>
      </c>
      <c r="Q192" s="232">
        <f t="shared" si="56"/>
        <v>0.25</v>
      </c>
      <c r="R192" s="40">
        <v>0.85</v>
      </c>
      <c r="S192" s="334">
        <f t="shared" si="57"/>
        <v>0.21249999999999999</v>
      </c>
      <c r="T192" s="31">
        <f>VLOOKUP(A192,'Ansvar kurs'!$A$1:$C$1010,2,FALSE)</f>
        <v>1650</v>
      </c>
      <c r="U192" s="31" t="str">
        <f>VLOOKUP(T192,Orgenheter!$A$1:$C$165,2,FALSE)</f>
        <v xml:space="preserve">Estetiska ämnen               </v>
      </c>
      <c r="V192" s="31" t="str">
        <f>VLOOKUP(T192,Orgenheter!$A$1:$C$165,3,FALSE)</f>
        <v>Hum</v>
      </c>
      <c r="W192" s="37" t="str">
        <f>VLOOKUP(D192,Program!$A$1:$B$34,2,FALSE)</f>
        <v>Ämneslärarprogrammet - Gy</v>
      </c>
      <c r="X192" s="42">
        <f>VLOOKUP(A192,kurspris!$A$1:$Q$798,15,FALSE)</f>
        <v>47957</v>
      </c>
      <c r="Y192" s="42">
        <f>VLOOKUP(A192,kurspris!$A$1:$Q$798,16,FALSE)</f>
        <v>57006</v>
      </c>
      <c r="Z192" s="42">
        <f t="shared" si="58"/>
        <v>24103.025000000001</v>
      </c>
      <c r="AA192" s="42">
        <f>VLOOKUP(A192,kurspris!$A$1:$Q$798,17,FALSE)</f>
        <v>69000</v>
      </c>
      <c r="AB192" s="42">
        <f t="shared" si="59"/>
        <v>17250</v>
      </c>
      <c r="AC192" s="42">
        <f t="shared" si="60"/>
        <v>41353.025000000001</v>
      </c>
      <c r="AD192" s="31">
        <f>VLOOKUP($A192,kurspris!$A$1:$Q$835,3,FALSE)</f>
        <v>1</v>
      </c>
      <c r="AE192" s="31">
        <f>VLOOKUP($A192,kurspris!$A$1:$Q$835,4,FALSE)</f>
        <v>0</v>
      </c>
      <c r="AF192" s="31">
        <f>VLOOKUP($A192,kurspris!$A$1:$Q$835,5,FALSE)</f>
        <v>0</v>
      </c>
      <c r="AG192" s="31">
        <f>VLOOKUP($A192,kurspris!$A$1:$Q$835,6,FALSE)</f>
        <v>0</v>
      </c>
      <c r="AH192" s="31">
        <f>VLOOKUP($A192,kurspris!$A$1:$Q$835,7,FALSE)</f>
        <v>0</v>
      </c>
      <c r="AI192" s="31">
        <f>VLOOKUP($A192,kurspris!$A$1:$Q$835,8,FALSE)</f>
        <v>0</v>
      </c>
      <c r="AJ192" s="31">
        <f>VLOOKUP($A192,kurspris!$A$1:$Q$835,9,FALSE)</f>
        <v>0</v>
      </c>
      <c r="AK192" s="31">
        <f>VLOOKUP($A192,kurspris!$A$1:$Q$835,10,FALSE)</f>
        <v>0</v>
      </c>
      <c r="AL192" s="31">
        <f>VLOOKUP($A192,kurspris!$A$1:$Q$835,11,FALSE)</f>
        <v>0</v>
      </c>
      <c r="AM192" s="31">
        <f>VLOOKUP($A192,kurspris!$A$1:$Q$835,12,FALSE)</f>
        <v>0</v>
      </c>
      <c r="AN192" s="31">
        <f>VLOOKUP($A192,kurspris!$A$1:$Q$835,13,FALSE)</f>
        <v>0</v>
      </c>
      <c r="AO192" s="31">
        <f>VLOOKUP($A192,kurspris!$A$1:$Q$835,14,FALSE)</f>
        <v>0</v>
      </c>
      <c r="AP192" s="39" t="s">
        <v>2326</v>
      </c>
      <c r="AQ192"/>
      <c r="AR192" s="31">
        <f t="shared" si="61"/>
        <v>0.25</v>
      </c>
      <c r="AS192" s="255">
        <f t="shared" si="62"/>
        <v>0.21249999999999999</v>
      </c>
      <c r="AT192" s="31">
        <f t="shared" si="63"/>
        <v>0</v>
      </c>
      <c r="AU192" s="255">
        <f t="shared" si="64"/>
        <v>0</v>
      </c>
      <c r="AV192" s="31">
        <f t="shared" si="65"/>
        <v>0</v>
      </c>
      <c r="AW192" s="31">
        <f t="shared" si="66"/>
        <v>0</v>
      </c>
      <c r="AX192" s="31">
        <f t="shared" si="67"/>
        <v>0</v>
      </c>
      <c r="AY192" s="255">
        <f t="shared" si="68"/>
        <v>0</v>
      </c>
      <c r="AZ192" s="232">
        <f t="shared" si="69"/>
        <v>0</v>
      </c>
      <c r="BA192" s="255">
        <f t="shared" si="70"/>
        <v>0</v>
      </c>
      <c r="BB192" s="31">
        <f t="shared" si="71"/>
        <v>0</v>
      </c>
      <c r="BC192" s="255">
        <f t="shared" si="72"/>
        <v>0</v>
      </c>
      <c r="BD192" s="31">
        <f t="shared" si="73"/>
        <v>0</v>
      </c>
      <c r="BE192" s="255">
        <f t="shared" si="74"/>
        <v>0</v>
      </c>
      <c r="BF192" s="31">
        <f t="shared" si="75"/>
        <v>0</v>
      </c>
      <c r="BG192" s="255">
        <f t="shared" si="76"/>
        <v>0</v>
      </c>
      <c r="BH192" s="31">
        <f t="shared" si="77"/>
        <v>0</v>
      </c>
      <c r="BI192" s="255">
        <f t="shared" si="78"/>
        <v>0</v>
      </c>
      <c r="BJ192" s="31">
        <f t="shared" si="79"/>
        <v>0</v>
      </c>
      <c r="BK192" s="31">
        <f t="shared" si="80"/>
        <v>0</v>
      </c>
      <c r="BL192" s="255">
        <f t="shared" si="81"/>
        <v>0</v>
      </c>
      <c r="BM192" s="31">
        <f t="shared" si="82"/>
        <v>0</v>
      </c>
      <c r="BN192" s="255">
        <f t="shared" si="83"/>
        <v>0</v>
      </c>
    </row>
    <row r="193" spans="1:66" x14ac:dyDescent="0.25">
      <c r="A193" s="18" t="s">
        <v>2120</v>
      </c>
      <c r="B193" s="186" t="str">
        <f>VLOOKUP(A193,kurspris!$A$1:$B$877,2,FALSE)</f>
        <v>Bild 2b</v>
      </c>
      <c r="C193" s="37"/>
      <c r="D193" s="31" t="s">
        <v>483</v>
      </c>
      <c r="E193" s="31" t="s">
        <v>1973</v>
      </c>
      <c r="F193" s="59" t="s">
        <v>1931</v>
      </c>
      <c r="G193" s="31" t="s">
        <v>2271</v>
      </c>
      <c r="J193" t="s">
        <v>778</v>
      </c>
      <c r="L193" s="31">
        <v>100</v>
      </c>
      <c r="M193" s="31">
        <v>15</v>
      </c>
      <c r="P193" s="31">
        <v>1</v>
      </c>
      <c r="Q193" s="232">
        <f t="shared" si="56"/>
        <v>0.25</v>
      </c>
      <c r="R193" s="40">
        <v>0.85</v>
      </c>
      <c r="S193" s="334">
        <f t="shared" si="57"/>
        <v>0.21249999999999999</v>
      </c>
      <c r="T193" s="31">
        <f>VLOOKUP(A193,'Ansvar kurs'!$A$1:$C$1010,2,FALSE)</f>
        <v>1650</v>
      </c>
      <c r="U193" s="31" t="str">
        <f>VLOOKUP(T193,Orgenheter!$A$1:$C$165,2,FALSE)</f>
        <v xml:space="preserve">Estetiska ämnen               </v>
      </c>
      <c r="V193" s="31" t="str">
        <f>VLOOKUP(T193,Orgenheter!$A$1:$C$165,3,FALSE)</f>
        <v>Hum</v>
      </c>
      <c r="W193" s="37" t="str">
        <f>VLOOKUP(D193,Program!$A$1:$B$34,2,FALSE)</f>
        <v>Ämneslärarprogrammet - Gy</v>
      </c>
      <c r="X193" s="42">
        <f>VLOOKUP(A193,kurspris!$A$1:$Q$798,15,FALSE)</f>
        <v>47957</v>
      </c>
      <c r="Y193" s="42">
        <f>VLOOKUP(A193,kurspris!$A$1:$Q$798,16,FALSE)</f>
        <v>57006</v>
      </c>
      <c r="Z193" s="42">
        <f t="shared" si="58"/>
        <v>24103.025000000001</v>
      </c>
      <c r="AA193" s="42">
        <f>VLOOKUP(A193,kurspris!$A$1:$Q$798,17,FALSE)</f>
        <v>69000</v>
      </c>
      <c r="AB193" s="42">
        <f t="shared" si="59"/>
        <v>17250</v>
      </c>
      <c r="AC193" s="42">
        <f t="shared" si="60"/>
        <v>41353.025000000001</v>
      </c>
      <c r="AD193" s="31">
        <f>VLOOKUP($A193,kurspris!$A$1:$Q$835,3,FALSE)</f>
        <v>1</v>
      </c>
      <c r="AE193" s="31">
        <f>VLOOKUP($A193,kurspris!$A$1:$Q$835,4,FALSE)</f>
        <v>0</v>
      </c>
      <c r="AF193" s="31">
        <f>VLOOKUP($A193,kurspris!$A$1:$Q$835,5,FALSE)</f>
        <v>0</v>
      </c>
      <c r="AG193" s="31">
        <f>VLOOKUP($A193,kurspris!$A$1:$Q$835,6,FALSE)</f>
        <v>0</v>
      </c>
      <c r="AH193" s="31">
        <f>VLOOKUP($A193,kurspris!$A$1:$Q$835,7,FALSE)</f>
        <v>0</v>
      </c>
      <c r="AI193" s="31">
        <f>VLOOKUP($A193,kurspris!$A$1:$Q$835,8,FALSE)</f>
        <v>0</v>
      </c>
      <c r="AJ193" s="31">
        <f>VLOOKUP($A193,kurspris!$A$1:$Q$835,9,FALSE)</f>
        <v>0</v>
      </c>
      <c r="AK193" s="31">
        <f>VLOOKUP($A193,kurspris!$A$1:$Q$835,10,FALSE)</f>
        <v>0</v>
      </c>
      <c r="AL193" s="31">
        <f>VLOOKUP($A193,kurspris!$A$1:$Q$835,11,FALSE)</f>
        <v>0</v>
      </c>
      <c r="AM193" s="31">
        <f>VLOOKUP($A193,kurspris!$A$1:$Q$835,12,FALSE)</f>
        <v>0</v>
      </c>
      <c r="AN193" s="31">
        <f>VLOOKUP($A193,kurspris!$A$1:$Q$835,13,FALSE)</f>
        <v>0</v>
      </c>
      <c r="AO193" s="31">
        <f>VLOOKUP($A193,kurspris!$A$1:$Q$835,14,FALSE)</f>
        <v>0</v>
      </c>
      <c r="AP193" s="39" t="s">
        <v>2326</v>
      </c>
      <c r="AQ193"/>
      <c r="AR193" s="31">
        <f t="shared" si="61"/>
        <v>0.25</v>
      </c>
      <c r="AS193" s="255">
        <f t="shared" si="62"/>
        <v>0.21249999999999999</v>
      </c>
      <c r="AT193" s="31">
        <f t="shared" si="63"/>
        <v>0</v>
      </c>
      <c r="AU193" s="255">
        <f t="shared" si="64"/>
        <v>0</v>
      </c>
      <c r="AV193" s="31">
        <f t="shared" si="65"/>
        <v>0</v>
      </c>
      <c r="AW193" s="31">
        <f t="shared" si="66"/>
        <v>0</v>
      </c>
      <c r="AX193" s="31">
        <f t="shared" si="67"/>
        <v>0</v>
      </c>
      <c r="AY193" s="255">
        <f t="shared" si="68"/>
        <v>0</v>
      </c>
      <c r="AZ193" s="232">
        <f t="shared" si="69"/>
        <v>0</v>
      </c>
      <c r="BA193" s="255">
        <f t="shared" si="70"/>
        <v>0</v>
      </c>
      <c r="BB193" s="31">
        <f t="shared" si="71"/>
        <v>0</v>
      </c>
      <c r="BC193" s="255">
        <f t="shared" si="72"/>
        <v>0</v>
      </c>
      <c r="BD193" s="31">
        <f t="shared" si="73"/>
        <v>0</v>
      </c>
      <c r="BE193" s="255">
        <f t="shared" si="74"/>
        <v>0</v>
      </c>
      <c r="BF193" s="31">
        <f t="shared" si="75"/>
        <v>0</v>
      </c>
      <c r="BG193" s="255">
        <f t="shared" si="76"/>
        <v>0</v>
      </c>
      <c r="BH193" s="31">
        <f t="shared" si="77"/>
        <v>0</v>
      </c>
      <c r="BI193" s="255">
        <f t="shared" si="78"/>
        <v>0</v>
      </c>
      <c r="BJ193" s="31">
        <f t="shared" si="79"/>
        <v>0</v>
      </c>
      <c r="BK193" s="31">
        <f t="shared" si="80"/>
        <v>0</v>
      </c>
      <c r="BL193" s="255">
        <f t="shared" si="81"/>
        <v>0</v>
      </c>
      <c r="BM193" s="31">
        <f t="shared" si="82"/>
        <v>0</v>
      </c>
      <c r="BN193" s="255">
        <f t="shared" si="83"/>
        <v>0</v>
      </c>
    </row>
    <row r="194" spans="1:66" x14ac:dyDescent="0.25">
      <c r="A194" s="18" t="s">
        <v>2120</v>
      </c>
      <c r="B194" s="186" t="str">
        <f>VLOOKUP(A194,kurspris!$A$1:$B$877,2,FALSE)</f>
        <v>Bild 2b</v>
      </c>
      <c r="C194" s="37"/>
      <c r="D194" s="31" t="s">
        <v>483</v>
      </c>
      <c r="E194" s="31" t="s">
        <v>1788</v>
      </c>
      <c r="F194" s="59" t="s">
        <v>1931</v>
      </c>
      <c r="G194" s="31" t="s">
        <v>2271</v>
      </c>
      <c r="J194" t="s">
        <v>1952</v>
      </c>
      <c r="L194" s="31">
        <v>100</v>
      </c>
      <c r="M194" s="31">
        <v>15</v>
      </c>
      <c r="P194" s="31">
        <v>10</v>
      </c>
      <c r="Q194" s="232">
        <f t="shared" ref="Q194:Q256" si="84">(M194/60)*P194</f>
        <v>2.5</v>
      </c>
      <c r="R194" s="40">
        <v>0.85</v>
      </c>
      <c r="S194" s="334">
        <f t="shared" ref="S194:S256" si="85">Q194*R194</f>
        <v>2.125</v>
      </c>
      <c r="T194" s="31">
        <f>VLOOKUP(A194,'Ansvar kurs'!$A$1:$C$1010,2,FALSE)</f>
        <v>1650</v>
      </c>
      <c r="U194" s="31" t="str">
        <f>VLOOKUP(T194,Orgenheter!$A$1:$C$165,2,FALSE)</f>
        <v xml:space="preserve">Estetiska ämnen               </v>
      </c>
      <c r="V194" s="31" t="str">
        <f>VLOOKUP(T194,Orgenheter!$A$1:$C$165,3,FALSE)</f>
        <v>Hum</v>
      </c>
      <c r="W194" s="37" t="str">
        <f>VLOOKUP(D194,Program!$A$1:$B$34,2,FALSE)</f>
        <v>Ämneslärarprogrammet - Gy</v>
      </c>
      <c r="X194" s="42">
        <f>VLOOKUP(A194,kurspris!$A$1:$Q$798,15,FALSE)</f>
        <v>47957</v>
      </c>
      <c r="Y194" s="42">
        <f>VLOOKUP(A194,kurspris!$A$1:$Q$798,16,FALSE)</f>
        <v>57006</v>
      </c>
      <c r="Z194" s="42">
        <f t="shared" ref="Z194:Z256" si="86">X194*Q194+S194*Y194</f>
        <v>241030.25</v>
      </c>
      <c r="AA194" s="42">
        <f>VLOOKUP(A194,kurspris!$A$1:$Q$798,17,FALSE)</f>
        <v>69000</v>
      </c>
      <c r="AB194" s="42">
        <f t="shared" ref="AB194:AB256" si="87">AA194*Q194</f>
        <v>172500</v>
      </c>
      <c r="AC194" s="42">
        <f t="shared" ref="AC194:AC256" si="88">Z194+AB194</f>
        <v>413530.25</v>
      </c>
      <c r="AD194" s="31">
        <f>VLOOKUP($A194,kurspris!$A$1:$Q$835,3,FALSE)</f>
        <v>1</v>
      </c>
      <c r="AE194" s="31">
        <f>VLOOKUP($A194,kurspris!$A$1:$Q$835,4,FALSE)</f>
        <v>0</v>
      </c>
      <c r="AF194" s="31">
        <f>VLOOKUP($A194,kurspris!$A$1:$Q$835,5,FALSE)</f>
        <v>0</v>
      </c>
      <c r="AG194" s="31">
        <f>VLOOKUP($A194,kurspris!$A$1:$Q$835,6,FALSE)</f>
        <v>0</v>
      </c>
      <c r="AH194" s="31">
        <f>VLOOKUP($A194,kurspris!$A$1:$Q$835,7,FALSE)</f>
        <v>0</v>
      </c>
      <c r="AI194" s="31">
        <f>VLOOKUP($A194,kurspris!$A$1:$Q$835,8,FALSE)</f>
        <v>0</v>
      </c>
      <c r="AJ194" s="31">
        <f>VLOOKUP($A194,kurspris!$A$1:$Q$835,9,FALSE)</f>
        <v>0</v>
      </c>
      <c r="AK194" s="31">
        <f>VLOOKUP($A194,kurspris!$A$1:$Q$835,10,FALSE)</f>
        <v>0</v>
      </c>
      <c r="AL194" s="31">
        <f>VLOOKUP($A194,kurspris!$A$1:$Q$835,11,FALSE)</f>
        <v>0</v>
      </c>
      <c r="AM194" s="31">
        <f>VLOOKUP($A194,kurspris!$A$1:$Q$835,12,FALSE)</f>
        <v>0</v>
      </c>
      <c r="AN194" s="31">
        <f>VLOOKUP($A194,kurspris!$A$1:$Q$835,13,FALSE)</f>
        <v>0</v>
      </c>
      <c r="AO194" s="31">
        <f>VLOOKUP($A194,kurspris!$A$1:$Q$835,14,FALSE)</f>
        <v>0</v>
      </c>
      <c r="AP194" s="39" t="s">
        <v>2326</v>
      </c>
      <c r="AQ194"/>
      <c r="AR194" s="31">
        <f t="shared" ref="AR194:AR256" si="89">$Q194*AD194</f>
        <v>2.5</v>
      </c>
      <c r="AS194" s="255">
        <f t="shared" ref="AS194:AS256" si="90">$S194*AD194</f>
        <v>2.125</v>
      </c>
      <c r="AT194" s="31">
        <f t="shared" ref="AT194:AT256" si="91">$Q194*AE194</f>
        <v>0</v>
      </c>
      <c r="AU194" s="255">
        <f t="shared" ref="AU194:AU256" si="92">$S194*AE194</f>
        <v>0</v>
      </c>
      <c r="AV194" s="31">
        <f t="shared" ref="AV194:AV256" si="93">$Q194*AF194</f>
        <v>0</v>
      </c>
      <c r="AW194" s="31">
        <f t="shared" ref="AW194:AW256" si="94">$S194*AF194</f>
        <v>0</v>
      </c>
      <c r="AX194" s="31">
        <f t="shared" ref="AX194:AX256" si="95">$Q194*AG194</f>
        <v>0</v>
      </c>
      <c r="AY194" s="255">
        <f t="shared" ref="AY194:AY256" si="96">$S194*AG194</f>
        <v>0</v>
      </c>
      <c r="AZ194" s="232">
        <f t="shared" ref="AZ194:AZ256" si="97">$Q194*AH194</f>
        <v>0</v>
      </c>
      <c r="BA194" s="255">
        <f t="shared" ref="BA194:BA256" si="98">$S194*AH194</f>
        <v>0</v>
      </c>
      <c r="BB194" s="31">
        <f t="shared" ref="BB194:BB256" si="99">$Q194*AI194</f>
        <v>0</v>
      </c>
      <c r="BC194" s="255">
        <f t="shared" ref="BC194:BC256" si="100">$S194*AI194</f>
        <v>0</v>
      </c>
      <c r="BD194" s="31">
        <f t="shared" ref="BD194:BD256" si="101">$Q194*AJ194</f>
        <v>0</v>
      </c>
      <c r="BE194" s="255">
        <f t="shared" ref="BE194:BE256" si="102">$S194*AJ194</f>
        <v>0</v>
      </c>
      <c r="BF194" s="31">
        <f t="shared" ref="BF194:BF256" si="103">$Q194*AK194</f>
        <v>0</v>
      </c>
      <c r="BG194" s="255">
        <f t="shared" ref="BG194:BG256" si="104">$S194*AK194</f>
        <v>0</v>
      </c>
      <c r="BH194" s="31">
        <f t="shared" ref="BH194:BH256" si="105">$Q194*AL194</f>
        <v>0</v>
      </c>
      <c r="BI194" s="255">
        <f t="shared" ref="BI194:BI256" si="106">$S194*AL194</f>
        <v>0</v>
      </c>
      <c r="BJ194" s="31">
        <f t="shared" ref="BJ194:BJ256" si="107">$Q194*AM194</f>
        <v>0</v>
      </c>
      <c r="BK194" s="31">
        <f t="shared" ref="BK194:BK256" si="108">$Q194*AN194</f>
        <v>0</v>
      </c>
      <c r="BL194" s="255">
        <f t="shared" ref="BL194:BL256" si="109">$S194*AN194</f>
        <v>0</v>
      </c>
      <c r="BM194" s="31">
        <f t="shared" ref="BM194:BM256" si="110">$Q194*AO194</f>
        <v>0</v>
      </c>
      <c r="BN194" s="255">
        <f t="shared" ref="BN194:BN256" si="111">$S194*AO194</f>
        <v>0</v>
      </c>
    </row>
    <row r="195" spans="1:66" x14ac:dyDescent="0.25">
      <c r="A195" t="s">
        <v>2109</v>
      </c>
      <c r="B195" s="186" t="str">
        <f>VLOOKUP(A195,kurspris!$A$1:$B$877,2,FALSE)</f>
        <v>Skapande och lek för förskolan 2</v>
      </c>
      <c r="C195"/>
      <c r="D195" t="s">
        <v>484</v>
      </c>
      <c r="E195" t="s">
        <v>1976</v>
      </c>
      <c r="F195" s="39" t="s">
        <v>1930</v>
      </c>
      <c r="G195" t="s">
        <v>1980</v>
      </c>
      <c r="H195" t="s">
        <v>1910</v>
      </c>
      <c r="I195"/>
      <c r="J195"/>
      <c r="K195"/>
      <c r="L195">
        <v>100</v>
      </c>
      <c r="M195">
        <v>15</v>
      </c>
      <c r="N195"/>
      <c r="O195"/>
      <c r="P195" s="31">
        <v>1</v>
      </c>
      <c r="Q195" s="232">
        <f t="shared" si="84"/>
        <v>0.25</v>
      </c>
      <c r="R195" s="40">
        <v>0.85</v>
      </c>
      <c r="S195" s="334">
        <f t="shared" si="85"/>
        <v>0.21249999999999999</v>
      </c>
      <c r="T195" s="31">
        <f>VLOOKUP(A195,'Ansvar kurs'!$A$1:$C$1010,2,FALSE)</f>
        <v>1650</v>
      </c>
      <c r="U195" s="31" t="str">
        <f>VLOOKUP(T195,Orgenheter!$A$1:$C$165,2,FALSE)</f>
        <v xml:space="preserve">Estetiska ämnen               </v>
      </c>
      <c r="V195" s="31" t="str">
        <f>VLOOKUP(T195,Orgenheter!$A$1:$C$165,3,FALSE)</f>
        <v>Hum</v>
      </c>
      <c r="W195" s="37" t="str">
        <f>VLOOKUP(D195,Program!$A$1:$B$34,2,FALSE)</f>
        <v>Förskollärarprogrammet</v>
      </c>
      <c r="X195" s="42">
        <f>VLOOKUP(A195,kurspris!$A$1:$Q$798,15,FALSE)</f>
        <v>15846</v>
      </c>
      <c r="Y195" s="42">
        <f>VLOOKUP(A195,kurspris!$A$1:$Q$798,16,FALSE)</f>
        <v>26926</v>
      </c>
      <c r="Z195" s="42">
        <f t="shared" si="86"/>
        <v>9683.2749999999996</v>
      </c>
      <c r="AA195" s="42">
        <f>VLOOKUP(A195,kurspris!$A$1:$Q$798,17,FALSE)</f>
        <v>17300</v>
      </c>
      <c r="AB195" s="42">
        <f t="shared" si="87"/>
        <v>4325</v>
      </c>
      <c r="AC195" s="42">
        <f t="shared" si="88"/>
        <v>14008.275</v>
      </c>
      <c r="AD195" s="31">
        <f>VLOOKUP($A195,kurspris!$A$1:$Q$835,3,FALSE)</f>
        <v>0</v>
      </c>
      <c r="AE195" s="31">
        <f>VLOOKUP($A195,kurspris!$A$1:$Q$835,4,FALSE)</f>
        <v>0</v>
      </c>
      <c r="AF195" s="31">
        <f>VLOOKUP($A195,kurspris!$A$1:$Q$835,5,FALSE)</f>
        <v>0</v>
      </c>
      <c r="AG195" s="31">
        <f>VLOOKUP($A195,kurspris!$A$1:$Q$835,6,FALSE)</f>
        <v>0</v>
      </c>
      <c r="AH195" s="31">
        <f>VLOOKUP($A195,kurspris!$A$1:$Q$835,7,FALSE)</f>
        <v>0</v>
      </c>
      <c r="AI195" s="31">
        <f>VLOOKUP($A195,kurspris!$A$1:$Q$835,8,FALSE)</f>
        <v>0</v>
      </c>
      <c r="AJ195" s="31">
        <f>VLOOKUP($A195,kurspris!$A$1:$Q$835,9,FALSE)</f>
        <v>0</v>
      </c>
      <c r="AK195" s="31">
        <f>VLOOKUP($A195,kurspris!$A$1:$Q$835,10,FALSE)</f>
        <v>0</v>
      </c>
      <c r="AL195" s="31">
        <f>VLOOKUP($A195,kurspris!$A$1:$Q$835,11,FALSE)</f>
        <v>0</v>
      </c>
      <c r="AM195" s="31">
        <f>VLOOKUP($A195,kurspris!$A$1:$Q$835,12,FALSE)</f>
        <v>0</v>
      </c>
      <c r="AN195" s="31">
        <f>VLOOKUP($A195,kurspris!$A$1:$Q$835,13,FALSE)</f>
        <v>1</v>
      </c>
      <c r="AO195" s="31">
        <f>VLOOKUP($A195,kurspris!$A$1:$Q$835,14,FALSE)</f>
        <v>0</v>
      </c>
      <c r="AP195" s="39" t="s">
        <v>2232</v>
      </c>
      <c r="AQ195"/>
      <c r="AR195" s="31">
        <f t="shared" si="89"/>
        <v>0</v>
      </c>
      <c r="AS195" s="255">
        <f t="shared" si="90"/>
        <v>0</v>
      </c>
      <c r="AT195" s="31">
        <f t="shared" si="91"/>
        <v>0</v>
      </c>
      <c r="AU195" s="255">
        <f t="shared" si="92"/>
        <v>0</v>
      </c>
      <c r="AV195" s="31">
        <f t="shared" si="93"/>
        <v>0</v>
      </c>
      <c r="AW195" s="31">
        <f t="shared" si="94"/>
        <v>0</v>
      </c>
      <c r="AX195" s="31">
        <f t="shared" si="95"/>
        <v>0</v>
      </c>
      <c r="AY195" s="255">
        <f t="shared" si="96"/>
        <v>0</v>
      </c>
      <c r="AZ195" s="232">
        <f t="shared" si="97"/>
        <v>0</v>
      </c>
      <c r="BA195" s="255">
        <f t="shared" si="98"/>
        <v>0</v>
      </c>
      <c r="BB195" s="31">
        <f t="shared" si="99"/>
        <v>0</v>
      </c>
      <c r="BC195" s="255">
        <f t="shared" si="100"/>
        <v>0</v>
      </c>
      <c r="BD195" s="31">
        <f t="shared" si="101"/>
        <v>0</v>
      </c>
      <c r="BE195" s="255">
        <f t="shared" si="102"/>
        <v>0</v>
      </c>
      <c r="BF195" s="31">
        <f t="shared" si="103"/>
        <v>0</v>
      </c>
      <c r="BG195" s="255">
        <f t="shared" si="104"/>
        <v>0</v>
      </c>
      <c r="BH195" s="31">
        <f t="shared" si="105"/>
        <v>0</v>
      </c>
      <c r="BI195" s="255">
        <f t="shared" si="106"/>
        <v>0</v>
      </c>
      <c r="BJ195" s="31">
        <f t="shared" si="107"/>
        <v>0</v>
      </c>
      <c r="BK195" s="31">
        <f t="shared" si="108"/>
        <v>0.25</v>
      </c>
      <c r="BL195" s="255">
        <f t="shared" si="109"/>
        <v>0.21249999999999999</v>
      </c>
      <c r="BM195" s="31">
        <f t="shared" si="110"/>
        <v>0</v>
      </c>
      <c r="BN195" s="255">
        <f t="shared" si="111"/>
        <v>0</v>
      </c>
    </row>
    <row r="196" spans="1:66" x14ac:dyDescent="0.25">
      <c r="A196" t="s">
        <v>2109</v>
      </c>
      <c r="B196" s="186" t="str">
        <f>VLOOKUP(A196,kurspris!$A$1:$B$877,2,FALSE)</f>
        <v>Skapande och lek för förskolan 2</v>
      </c>
      <c r="C196"/>
      <c r="D196" t="s">
        <v>484</v>
      </c>
      <c r="E196" t="s">
        <v>1973</v>
      </c>
      <c r="F196" s="39" t="s">
        <v>1930</v>
      </c>
      <c r="G196" t="s">
        <v>1980</v>
      </c>
      <c r="H196" t="s">
        <v>1910</v>
      </c>
      <c r="I196"/>
      <c r="J196"/>
      <c r="K196"/>
      <c r="L196">
        <v>100</v>
      </c>
      <c r="M196">
        <v>15</v>
      </c>
      <c r="N196"/>
      <c r="O196"/>
      <c r="P196" s="31">
        <v>57</v>
      </c>
      <c r="Q196" s="232">
        <f t="shared" si="84"/>
        <v>14.25</v>
      </c>
      <c r="R196" s="40">
        <v>0.85</v>
      </c>
      <c r="S196" s="334">
        <f t="shared" si="85"/>
        <v>12.112499999999999</v>
      </c>
      <c r="T196" s="31">
        <f>VLOOKUP(A196,'Ansvar kurs'!$A$1:$C$1010,2,FALSE)</f>
        <v>1650</v>
      </c>
      <c r="U196" s="31" t="str">
        <f>VLOOKUP(T196,Orgenheter!$A$1:$C$165,2,FALSE)</f>
        <v xml:space="preserve">Estetiska ämnen               </v>
      </c>
      <c r="V196" s="31" t="str">
        <f>VLOOKUP(T196,Orgenheter!$A$1:$C$165,3,FALSE)</f>
        <v>Hum</v>
      </c>
      <c r="W196" s="37" t="str">
        <f>VLOOKUP(D196,Program!$A$1:$B$34,2,FALSE)</f>
        <v>Förskollärarprogrammet</v>
      </c>
      <c r="X196" s="42">
        <f>VLOOKUP(A196,kurspris!$A$1:$Q$798,15,FALSE)</f>
        <v>15846</v>
      </c>
      <c r="Y196" s="42">
        <f>VLOOKUP(A196,kurspris!$A$1:$Q$798,16,FALSE)</f>
        <v>26926</v>
      </c>
      <c r="Z196" s="42">
        <f t="shared" si="86"/>
        <v>551946.67500000005</v>
      </c>
      <c r="AA196" s="42">
        <f>VLOOKUP(A196,kurspris!$A$1:$Q$798,17,FALSE)</f>
        <v>17300</v>
      </c>
      <c r="AB196" s="42">
        <f t="shared" si="87"/>
        <v>246525</v>
      </c>
      <c r="AC196" s="42">
        <f t="shared" si="88"/>
        <v>798471.67500000005</v>
      </c>
      <c r="AD196" s="31">
        <f>VLOOKUP($A196,kurspris!$A$1:$Q$835,3,FALSE)</f>
        <v>0</v>
      </c>
      <c r="AE196" s="31">
        <f>VLOOKUP($A196,kurspris!$A$1:$Q$835,4,FALSE)</f>
        <v>0</v>
      </c>
      <c r="AF196" s="31">
        <f>VLOOKUP($A196,kurspris!$A$1:$Q$835,5,FALSE)</f>
        <v>0</v>
      </c>
      <c r="AG196" s="31">
        <f>VLOOKUP($A196,kurspris!$A$1:$Q$835,6,FALSE)</f>
        <v>0</v>
      </c>
      <c r="AH196" s="31">
        <f>VLOOKUP($A196,kurspris!$A$1:$Q$835,7,FALSE)</f>
        <v>0</v>
      </c>
      <c r="AI196" s="31">
        <f>VLOOKUP($A196,kurspris!$A$1:$Q$835,8,FALSE)</f>
        <v>0</v>
      </c>
      <c r="AJ196" s="31">
        <f>VLOOKUP($A196,kurspris!$A$1:$Q$835,9,FALSE)</f>
        <v>0</v>
      </c>
      <c r="AK196" s="31">
        <f>VLOOKUP($A196,kurspris!$A$1:$Q$835,10,FALSE)</f>
        <v>0</v>
      </c>
      <c r="AL196" s="31">
        <f>VLOOKUP($A196,kurspris!$A$1:$Q$835,11,FALSE)</f>
        <v>0</v>
      </c>
      <c r="AM196" s="31">
        <f>VLOOKUP($A196,kurspris!$A$1:$Q$835,12,FALSE)</f>
        <v>0</v>
      </c>
      <c r="AN196" s="31">
        <f>VLOOKUP($A196,kurspris!$A$1:$Q$835,13,FALSE)</f>
        <v>1</v>
      </c>
      <c r="AO196" s="31">
        <f>VLOOKUP($A196,kurspris!$A$1:$Q$835,14,FALSE)</f>
        <v>0</v>
      </c>
      <c r="AP196" s="39" t="s">
        <v>2232</v>
      </c>
      <c r="AQ196"/>
      <c r="AR196" s="31">
        <f t="shared" si="89"/>
        <v>0</v>
      </c>
      <c r="AS196" s="255">
        <f t="shared" si="90"/>
        <v>0</v>
      </c>
      <c r="AT196" s="31">
        <f t="shared" si="91"/>
        <v>0</v>
      </c>
      <c r="AU196" s="255">
        <f t="shared" si="92"/>
        <v>0</v>
      </c>
      <c r="AV196" s="31">
        <f t="shared" si="93"/>
        <v>0</v>
      </c>
      <c r="AW196" s="31">
        <f t="shared" si="94"/>
        <v>0</v>
      </c>
      <c r="AX196" s="31">
        <f t="shared" si="95"/>
        <v>0</v>
      </c>
      <c r="AY196" s="255">
        <f t="shared" si="96"/>
        <v>0</v>
      </c>
      <c r="AZ196" s="232">
        <f t="shared" si="97"/>
        <v>0</v>
      </c>
      <c r="BA196" s="255">
        <f t="shared" si="98"/>
        <v>0</v>
      </c>
      <c r="BB196" s="31">
        <f t="shared" si="99"/>
        <v>0</v>
      </c>
      <c r="BC196" s="255">
        <f t="shared" si="100"/>
        <v>0</v>
      </c>
      <c r="BD196" s="31">
        <f t="shared" si="101"/>
        <v>0</v>
      </c>
      <c r="BE196" s="255">
        <f t="shared" si="102"/>
        <v>0</v>
      </c>
      <c r="BF196" s="31">
        <f t="shared" si="103"/>
        <v>0</v>
      </c>
      <c r="BG196" s="255">
        <f t="shared" si="104"/>
        <v>0</v>
      </c>
      <c r="BH196" s="31">
        <f t="shared" si="105"/>
        <v>0</v>
      </c>
      <c r="BI196" s="255">
        <f t="shared" si="106"/>
        <v>0</v>
      </c>
      <c r="BJ196" s="31">
        <f t="shared" si="107"/>
        <v>0</v>
      </c>
      <c r="BK196" s="31">
        <f t="shared" si="108"/>
        <v>14.25</v>
      </c>
      <c r="BL196" s="255">
        <f t="shared" si="109"/>
        <v>12.112499999999999</v>
      </c>
      <c r="BM196" s="31">
        <f t="shared" si="110"/>
        <v>0</v>
      </c>
      <c r="BN196" s="255">
        <f t="shared" si="111"/>
        <v>0</v>
      </c>
    </row>
    <row r="197" spans="1:66" x14ac:dyDescent="0.25">
      <c r="A197" s="18" t="s">
        <v>2109</v>
      </c>
      <c r="B197" s="186" t="str">
        <f>VLOOKUP(A197,kurspris!$A$1:$B$877,2,FALSE)</f>
        <v>Skapande och lek för förskolan 2</v>
      </c>
      <c r="C197" s="37"/>
      <c r="D197" s="31" t="s">
        <v>484</v>
      </c>
      <c r="E197" s="31" t="s">
        <v>1973</v>
      </c>
      <c r="F197" s="59" t="s">
        <v>1931</v>
      </c>
      <c r="G197" s="31" t="s">
        <v>2271</v>
      </c>
      <c r="L197" s="31">
        <v>100</v>
      </c>
      <c r="M197" s="31">
        <v>15</v>
      </c>
      <c r="P197" s="31">
        <v>3</v>
      </c>
      <c r="Q197" s="232">
        <f t="shared" si="84"/>
        <v>0.75</v>
      </c>
      <c r="R197" s="40">
        <v>0.85</v>
      </c>
      <c r="S197" s="334">
        <f t="shared" si="85"/>
        <v>0.63749999999999996</v>
      </c>
      <c r="T197" s="31">
        <f>VLOOKUP(A197,'Ansvar kurs'!$A$1:$C$1010,2,FALSE)</f>
        <v>1650</v>
      </c>
      <c r="U197" s="31" t="str">
        <f>VLOOKUP(T197,Orgenheter!$A$1:$C$165,2,FALSE)</f>
        <v xml:space="preserve">Estetiska ämnen               </v>
      </c>
      <c r="V197" s="31" t="str">
        <f>VLOOKUP(T197,Orgenheter!$A$1:$C$165,3,FALSE)</f>
        <v>Hum</v>
      </c>
      <c r="W197" s="37" t="str">
        <f>VLOOKUP(D197,Program!$A$1:$B$34,2,FALSE)</f>
        <v>Förskollärarprogrammet</v>
      </c>
      <c r="X197" s="42">
        <f>VLOOKUP(A197,kurspris!$A$1:$Q$798,15,FALSE)</f>
        <v>15846</v>
      </c>
      <c r="Y197" s="42">
        <f>VLOOKUP(A197,kurspris!$A$1:$Q$798,16,FALSE)</f>
        <v>26926</v>
      </c>
      <c r="Z197" s="42">
        <f t="shared" si="86"/>
        <v>29049.824999999997</v>
      </c>
      <c r="AA197" s="42">
        <f>VLOOKUP(A197,kurspris!$A$1:$Q$798,17,FALSE)</f>
        <v>17300</v>
      </c>
      <c r="AB197" s="42">
        <f t="shared" si="87"/>
        <v>12975</v>
      </c>
      <c r="AC197" s="42">
        <f t="shared" si="88"/>
        <v>42024.824999999997</v>
      </c>
      <c r="AD197" s="31">
        <f>VLOOKUP($A197,kurspris!$A$1:$Q$835,3,FALSE)</f>
        <v>0</v>
      </c>
      <c r="AE197" s="31">
        <f>VLOOKUP($A197,kurspris!$A$1:$Q$835,4,FALSE)</f>
        <v>0</v>
      </c>
      <c r="AF197" s="31">
        <f>VLOOKUP($A197,kurspris!$A$1:$Q$835,5,FALSE)</f>
        <v>0</v>
      </c>
      <c r="AG197" s="31">
        <f>VLOOKUP($A197,kurspris!$A$1:$Q$835,6,FALSE)</f>
        <v>0</v>
      </c>
      <c r="AH197" s="31">
        <f>VLOOKUP($A197,kurspris!$A$1:$Q$835,7,FALSE)</f>
        <v>0</v>
      </c>
      <c r="AI197" s="31">
        <f>VLOOKUP($A197,kurspris!$A$1:$Q$835,8,FALSE)</f>
        <v>0</v>
      </c>
      <c r="AJ197" s="31">
        <f>VLOOKUP($A197,kurspris!$A$1:$Q$835,9,FALSE)</f>
        <v>0</v>
      </c>
      <c r="AK197" s="31">
        <f>VLOOKUP($A197,kurspris!$A$1:$Q$835,10,FALSE)</f>
        <v>0</v>
      </c>
      <c r="AL197" s="31">
        <f>VLOOKUP($A197,kurspris!$A$1:$Q$835,11,FALSE)</f>
        <v>0</v>
      </c>
      <c r="AM197" s="31">
        <f>VLOOKUP($A197,kurspris!$A$1:$Q$835,12,FALSE)</f>
        <v>0</v>
      </c>
      <c r="AN197" s="31">
        <f>VLOOKUP($A197,kurspris!$A$1:$Q$835,13,FALSE)</f>
        <v>1</v>
      </c>
      <c r="AO197" s="31">
        <f>VLOOKUP($A197,kurspris!$A$1:$Q$835,14,FALSE)</f>
        <v>0</v>
      </c>
      <c r="AP197" s="39" t="s">
        <v>2326</v>
      </c>
      <c r="AQ197"/>
      <c r="AR197" s="31">
        <f t="shared" si="89"/>
        <v>0</v>
      </c>
      <c r="AS197" s="255">
        <f t="shared" si="90"/>
        <v>0</v>
      </c>
      <c r="AT197" s="31">
        <f t="shared" si="91"/>
        <v>0</v>
      </c>
      <c r="AU197" s="255">
        <f t="shared" si="92"/>
        <v>0</v>
      </c>
      <c r="AV197" s="31">
        <f t="shared" si="93"/>
        <v>0</v>
      </c>
      <c r="AW197" s="31">
        <f t="shared" si="94"/>
        <v>0</v>
      </c>
      <c r="AX197" s="31">
        <f t="shared" si="95"/>
        <v>0</v>
      </c>
      <c r="AY197" s="255">
        <f t="shared" si="96"/>
        <v>0</v>
      </c>
      <c r="AZ197" s="232">
        <f t="shared" si="97"/>
        <v>0</v>
      </c>
      <c r="BA197" s="255">
        <f t="shared" si="98"/>
        <v>0</v>
      </c>
      <c r="BB197" s="31">
        <f t="shared" si="99"/>
        <v>0</v>
      </c>
      <c r="BC197" s="255">
        <f t="shared" si="100"/>
        <v>0</v>
      </c>
      <c r="BD197" s="31">
        <f t="shared" si="101"/>
        <v>0</v>
      </c>
      <c r="BE197" s="255">
        <f t="shared" si="102"/>
        <v>0</v>
      </c>
      <c r="BF197" s="31">
        <f t="shared" si="103"/>
        <v>0</v>
      </c>
      <c r="BG197" s="255">
        <f t="shared" si="104"/>
        <v>0</v>
      </c>
      <c r="BH197" s="31">
        <f t="shared" si="105"/>
        <v>0</v>
      </c>
      <c r="BI197" s="255">
        <f t="shared" si="106"/>
        <v>0</v>
      </c>
      <c r="BJ197" s="31">
        <f t="shared" si="107"/>
        <v>0</v>
      </c>
      <c r="BK197" s="31">
        <f t="shared" si="108"/>
        <v>0.75</v>
      </c>
      <c r="BL197" s="255">
        <f t="shared" si="109"/>
        <v>0.63749999999999996</v>
      </c>
      <c r="BM197" s="31">
        <f t="shared" si="110"/>
        <v>0</v>
      </c>
      <c r="BN197" s="255">
        <f t="shared" si="111"/>
        <v>0</v>
      </c>
    </row>
    <row r="198" spans="1:66" x14ac:dyDescent="0.25">
      <c r="A198" t="s">
        <v>2109</v>
      </c>
      <c r="B198" s="186" t="str">
        <f>VLOOKUP(A198,kurspris!$A$1:$B$877,2,FALSE)</f>
        <v>Skapande och lek för förskolan 2</v>
      </c>
      <c r="C198"/>
      <c r="D198" t="s">
        <v>484</v>
      </c>
      <c r="E198" t="s">
        <v>1974</v>
      </c>
      <c r="F198" s="39" t="s">
        <v>1930</v>
      </c>
      <c r="G198" t="s">
        <v>1980</v>
      </c>
      <c r="H198" t="s">
        <v>1910</v>
      </c>
      <c r="I198"/>
      <c r="J198"/>
      <c r="K198"/>
      <c r="L198">
        <v>100</v>
      </c>
      <c r="M198">
        <v>15</v>
      </c>
      <c r="N198"/>
      <c r="O198"/>
      <c r="P198" s="31">
        <v>1</v>
      </c>
      <c r="Q198" s="232">
        <f t="shared" si="84"/>
        <v>0.25</v>
      </c>
      <c r="R198" s="40">
        <v>0.85</v>
      </c>
      <c r="S198" s="334">
        <f t="shared" si="85"/>
        <v>0.21249999999999999</v>
      </c>
      <c r="T198" s="31">
        <f>VLOOKUP(A198,'Ansvar kurs'!$A$1:$C$1010,2,FALSE)</f>
        <v>1650</v>
      </c>
      <c r="U198" s="31" t="str">
        <f>VLOOKUP(T198,Orgenheter!$A$1:$C$165,2,FALSE)</f>
        <v xml:space="preserve">Estetiska ämnen               </v>
      </c>
      <c r="V198" s="31" t="str">
        <f>VLOOKUP(T198,Orgenheter!$A$1:$C$165,3,FALSE)</f>
        <v>Hum</v>
      </c>
      <c r="W198" s="37" t="str">
        <f>VLOOKUP(D198,Program!$A$1:$B$34,2,FALSE)</f>
        <v>Förskollärarprogrammet</v>
      </c>
      <c r="X198" s="42">
        <f>VLOOKUP(A198,kurspris!$A$1:$Q$798,15,FALSE)</f>
        <v>15846</v>
      </c>
      <c r="Y198" s="42">
        <f>VLOOKUP(A198,kurspris!$A$1:$Q$798,16,FALSE)</f>
        <v>26926</v>
      </c>
      <c r="Z198" s="42">
        <f t="shared" si="86"/>
        <v>9683.2749999999996</v>
      </c>
      <c r="AA198" s="42">
        <f>VLOOKUP(A198,kurspris!$A$1:$Q$798,17,FALSE)</f>
        <v>17300</v>
      </c>
      <c r="AB198" s="42">
        <f t="shared" si="87"/>
        <v>4325</v>
      </c>
      <c r="AC198" s="42">
        <f t="shared" si="88"/>
        <v>14008.275</v>
      </c>
      <c r="AD198" s="31">
        <f>VLOOKUP($A198,kurspris!$A$1:$Q$835,3,FALSE)</f>
        <v>0</v>
      </c>
      <c r="AE198" s="31">
        <f>VLOOKUP($A198,kurspris!$A$1:$Q$835,4,FALSE)</f>
        <v>0</v>
      </c>
      <c r="AF198" s="31">
        <f>VLOOKUP($A198,kurspris!$A$1:$Q$835,5,FALSE)</f>
        <v>0</v>
      </c>
      <c r="AG198" s="31">
        <f>VLOOKUP($A198,kurspris!$A$1:$Q$835,6,FALSE)</f>
        <v>0</v>
      </c>
      <c r="AH198" s="31">
        <f>VLOOKUP($A198,kurspris!$A$1:$Q$835,7,FALSE)</f>
        <v>0</v>
      </c>
      <c r="AI198" s="31">
        <f>VLOOKUP($A198,kurspris!$A$1:$Q$835,8,FALSE)</f>
        <v>0</v>
      </c>
      <c r="AJ198" s="31">
        <f>VLOOKUP($A198,kurspris!$A$1:$Q$835,9,FALSE)</f>
        <v>0</v>
      </c>
      <c r="AK198" s="31">
        <f>VLOOKUP($A198,kurspris!$A$1:$Q$835,10,FALSE)</f>
        <v>0</v>
      </c>
      <c r="AL198" s="31">
        <f>VLOOKUP($A198,kurspris!$A$1:$Q$835,11,FALSE)</f>
        <v>0</v>
      </c>
      <c r="AM198" s="31">
        <f>VLOOKUP($A198,kurspris!$A$1:$Q$835,12,FALSE)</f>
        <v>0</v>
      </c>
      <c r="AN198" s="31">
        <f>VLOOKUP($A198,kurspris!$A$1:$Q$835,13,FALSE)</f>
        <v>1</v>
      </c>
      <c r="AO198" s="31">
        <f>VLOOKUP($A198,kurspris!$A$1:$Q$835,14,FALSE)</f>
        <v>0</v>
      </c>
      <c r="AP198" s="39" t="s">
        <v>2232</v>
      </c>
      <c r="AQ198"/>
      <c r="AR198" s="31">
        <f t="shared" si="89"/>
        <v>0</v>
      </c>
      <c r="AS198" s="255">
        <f t="shared" si="90"/>
        <v>0</v>
      </c>
      <c r="AT198" s="31">
        <f t="shared" si="91"/>
        <v>0</v>
      </c>
      <c r="AU198" s="255">
        <f t="shared" si="92"/>
        <v>0</v>
      </c>
      <c r="AV198" s="31">
        <f t="shared" si="93"/>
        <v>0</v>
      </c>
      <c r="AW198" s="31">
        <f t="shared" si="94"/>
        <v>0</v>
      </c>
      <c r="AX198" s="31">
        <f t="shared" si="95"/>
        <v>0</v>
      </c>
      <c r="AY198" s="255">
        <f t="shared" si="96"/>
        <v>0</v>
      </c>
      <c r="AZ198" s="232">
        <f t="shared" si="97"/>
        <v>0</v>
      </c>
      <c r="BA198" s="255">
        <f t="shared" si="98"/>
        <v>0</v>
      </c>
      <c r="BB198" s="31">
        <f t="shared" si="99"/>
        <v>0</v>
      </c>
      <c r="BC198" s="255">
        <f t="shared" si="100"/>
        <v>0</v>
      </c>
      <c r="BD198" s="31">
        <f t="shared" si="101"/>
        <v>0</v>
      </c>
      <c r="BE198" s="255">
        <f t="shared" si="102"/>
        <v>0</v>
      </c>
      <c r="BF198" s="31">
        <f t="shared" si="103"/>
        <v>0</v>
      </c>
      <c r="BG198" s="255">
        <f t="shared" si="104"/>
        <v>0</v>
      </c>
      <c r="BH198" s="31">
        <f t="shared" si="105"/>
        <v>0</v>
      </c>
      <c r="BI198" s="255">
        <f t="shared" si="106"/>
        <v>0</v>
      </c>
      <c r="BJ198" s="31">
        <f t="shared" si="107"/>
        <v>0</v>
      </c>
      <c r="BK198" s="31">
        <f t="shared" si="108"/>
        <v>0.25</v>
      </c>
      <c r="BL198" s="255">
        <f t="shared" si="109"/>
        <v>0.21249999999999999</v>
      </c>
      <c r="BM198" s="31">
        <f t="shared" si="110"/>
        <v>0</v>
      </c>
      <c r="BN198" s="255">
        <f t="shared" si="111"/>
        <v>0</v>
      </c>
    </row>
    <row r="199" spans="1:66" x14ac:dyDescent="0.25">
      <c r="A199" t="s">
        <v>2109</v>
      </c>
      <c r="B199" s="186" t="str">
        <f>VLOOKUP(A199,kurspris!$A$1:$B$877,2,FALSE)</f>
        <v>Skapande och lek för förskolan 2</v>
      </c>
      <c r="C199"/>
      <c r="D199" t="s">
        <v>484</v>
      </c>
      <c r="E199" t="s">
        <v>1974</v>
      </c>
      <c r="F199" s="39" t="s">
        <v>1930</v>
      </c>
      <c r="G199" t="s">
        <v>1980</v>
      </c>
      <c r="H199" t="s">
        <v>1910</v>
      </c>
      <c r="I199"/>
      <c r="J199"/>
      <c r="K199"/>
      <c r="L199">
        <v>100</v>
      </c>
      <c r="M199">
        <v>15</v>
      </c>
      <c r="N199"/>
      <c r="O199"/>
      <c r="P199" s="31">
        <v>2</v>
      </c>
      <c r="Q199" s="232">
        <f t="shared" si="84"/>
        <v>0.5</v>
      </c>
      <c r="R199" s="40">
        <v>0.85</v>
      </c>
      <c r="S199" s="334">
        <f t="shared" si="85"/>
        <v>0.42499999999999999</v>
      </c>
      <c r="T199" s="31">
        <f>VLOOKUP(A199,'Ansvar kurs'!$A$1:$C$1010,2,FALSE)</f>
        <v>1650</v>
      </c>
      <c r="U199" s="31" t="str">
        <f>VLOOKUP(T199,Orgenheter!$A$1:$C$165,2,FALSE)</f>
        <v xml:space="preserve">Estetiska ämnen               </v>
      </c>
      <c r="V199" s="31" t="str">
        <f>VLOOKUP(T199,Orgenheter!$A$1:$C$165,3,FALSE)</f>
        <v>Hum</v>
      </c>
      <c r="W199" s="37" t="str">
        <f>VLOOKUP(D199,Program!$A$1:$B$34,2,FALSE)</f>
        <v>Förskollärarprogrammet</v>
      </c>
      <c r="X199" s="42">
        <f>VLOOKUP(A199,kurspris!$A$1:$Q$798,15,FALSE)</f>
        <v>15846</v>
      </c>
      <c r="Y199" s="42">
        <f>VLOOKUP(A199,kurspris!$A$1:$Q$798,16,FALSE)</f>
        <v>26926</v>
      </c>
      <c r="Z199" s="42">
        <f t="shared" si="86"/>
        <v>19366.55</v>
      </c>
      <c r="AA199" s="42">
        <f>VLOOKUP(A199,kurspris!$A$1:$Q$798,17,FALSE)</f>
        <v>17300</v>
      </c>
      <c r="AB199" s="42">
        <f t="shared" si="87"/>
        <v>8650</v>
      </c>
      <c r="AC199" s="42">
        <f t="shared" si="88"/>
        <v>28016.55</v>
      </c>
      <c r="AD199" s="31">
        <f>VLOOKUP($A199,kurspris!$A$1:$Q$835,3,FALSE)</f>
        <v>0</v>
      </c>
      <c r="AE199" s="31">
        <f>VLOOKUP($A199,kurspris!$A$1:$Q$835,4,FALSE)</f>
        <v>0</v>
      </c>
      <c r="AF199" s="31">
        <f>VLOOKUP($A199,kurspris!$A$1:$Q$835,5,FALSE)</f>
        <v>0</v>
      </c>
      <c r="AG199" s="31">
        <f>VLOOKUP($A199,kurspris!$A$1:$Q$835,6,FALSE)</f>
        <v>0</v>
      </c>
      <c r="AH199" s="31">
        <f>VLOOKUP($A199,kurspris!$A$1:$Q$835,7,FALSE)</f>
        <v>0</v>
      </c>
      <c r="AI199" s="31">
        <f>VLOOKUP($A199,kurspris!$A$1:$Q$835,8,FALSE)</f>
        <v>0</v>
      </c>
      <c r="AJ199" s="31">
        <f>VLOOKUP($A199,kurspris!$A$1:$Q$835,9,FALSE)</f>
        <v>0</v>
      </c>
      <c r="AK199" s="31">
        <f>VLOOKUP($A199,kurspris!$A$1:$Q$835,10,FALSE)</f>
        <v>0</v>
      </c>
      <c r="AL199" s="31">
        <f>VLOOKUP($A199,kurspris!$A$1:$Q$835,11,FALSE)</f>
        <v>0</v>
      </c>
      <c r="AM199" s="31">
        <f>VLOOKUP($A199,kurspris!$A$1:$Q$835,12,FALSE)</f>
        <v>0</v>
      </c>
      <c r="AN199" s="31">
        <f>VLOOKUP($A199,kurspris!$A$1:$Q$835,13,FALSE)</f>
        <v>1</v>
      </c>
      <c r="AO199" s="31">
        <f>VLOOKUP($A199,kurspris!$A$1:$Q$835,14,FALSE)</f>
        <v>0</v>
      </c>
      <c r="AP199" s="39" t="s">
        <v>2232</v>
      </c>
      <c r="AQ199"/>
      <c r="AR199" s="31">
        <f t="shared" si="89"/>
        <v>0</v>
      </c>
      <c r="AS199" s="255">
        <f t="shared" si="90"/>
        <v>0</v>
      </c>
      <c r="AT199" s="31">
        <f t="shared" si="91"/>
        <v>0</v>
      </c>
      <c r="AU199" s="255">
        <f t="shared" si="92"/>
        <v>0</v>
      </c>
      <c r="AV199" s="31">
        <f t="shared" si="93"/>
        <v>0</v>
      </c>
      <c r="AW199" s="31">
        <f t="shared" si="94"/>
        <v>0</v>
      </c>
      <c r="AX199" s="31">
        <f t="shared" si="95"/>
        <v>0</v>
      </c>
      <c r="AY199" s="255">
        <f t="shared" si="96"/>
        <v>0</v>
      </c>
      <c r="AZ199" s="232">
        <f t="shared" si="97"/>
        <v>0</v>
      </c>
      <c r="BA199" s="255">
        <f t="shared" si="98"/>
        <v>0</v>
      </c>
      <c r="BB199" s="31">
        <f t="shared" si="99"/>
        <v>0</v>
      </c>
      <c r="BC199" s="255">
        <f t="shared" si="100"/>
        <v>0</v>
      </c>
      <c r="BD199" s="31">
        <f t="shared" si="101"/>
        <v>0</v>
      </c>
      <c r="BE199" s="255">
        <f t="shared" si="102"/>
        <v>0</v>
      </c>
      <c r="BF199" s="31">
        <f t="shared" si="103"/>
        <v>0</v>
      </c>
      <c r="BG199" s="255">
        <f t="shared" si="104"/>
        <v>0</v>
      </c>
      <c r="BH199" s="31">
        <f t="shared" si="105"/>
        <v>0</v>
      </c>
      <c r="BI199" s="255">
        <f t="shared" si="106"/>
        <v>0</v>
      </c>
      <c r="BJ199" s="31">
        <f t="shared" si="107"/>
        <v>0</v>
      </c>
      <c r="BK199" s="31">
        <f t="shared" si="108"/>
        <v>0.5</v>
      </c>
      <c r="BL199" s="255">
        <f t="shared" si="109"/>
        <v>0.42499999999999999</v>
      </c>
      <c r="BM199" s="31">
        <f t="shared" si="110"/>
        <v>0</v>
      </c>
      <c r="BN199" s="255">
        <f t="shared" si="111"/>
        <v>0</v>
      </c>
    </row>
    <row r="200" spans="1:66" x14ac:dyDescent="0.25">
      <c r="A200" s="18" t="s">
        <v>2109</v>
      </c>
      <c r="B200" s="186" t="str">
        <f>VLOOKUP(A200,kurspris!$A$1:$B$877,2,FALSE)</f>
        <v>Skapande och lek för förskolan 2</v>
      </c>
      <c r="C200" s="37"/>
      <c r="D200" s="31" t="s">
        <v>484</v>
      </c>
      <c r="E200" s="31" t="s">
        <v>1974</v>
      </c>
      <c r="F200" s="59" t="s">
        <v>1931</v>
      </c>
      <c r="G200" s="31" t="s">
        <v>2271</v>
      </c>
      <c r="L200" s="31">
        <v>100</v>
      </c>
      <c r="M200" s="31">
        <v>15</v>
      </c>
      <c r="P200" s="31">
        <v>1</v>
      </c>
      <c r="Q200" s="232">
        <f t="shared" si="84"/>
        <v>0.25</v>
      </c>
      <c r="R200" s="40">
        <v>0.85</v>
      </c>
      <c r="S200" s="334">
        <f t="shared" si="85"/>
        <v>0.21249999999999999</v>
      </c>
      <c r="T200" s="31">
        <f>VLOOKUP(A200,'Ansvar kurs'!$A$1:$C$1010,2,FALSE)</f>
        <v>1650</v>
      </c>
      <c r="U200" s="31" t="str">
        <f>VLOOKUP(T200,Orgenheter!$A$1:$C$165,2,FALSE)</f>
        <v xml:space="preserve">Estetiska ämnen               </v>
      </c>
      <c r="V200" s="31" t="str">
        <f>VLOOKUP(T200,Orgenheter!$A$1:$C$165,3,FALSE)</f>
        <v>Hum</v>
      </c>
      <c r="W200" s="37" t="str">
        <f>VLOOKUP(D200,Program!$A$1:$B$34,2,FALSE)</f>
        <v>Förskollärarprogrammet</v>
      </c>
      <c r="X200" s="42">
        <f>VLOOKUP(A200,kurspris!$A$1:$Q$798,15,FALSE)</f>
        <v>15846</v>
      </c>
      <c r="Y200" s="42">
        <f>VLOOKUP(A200,kurspris!$A$1:$Q$798,16,FALSE)</f>
        <v>26926</v>
      </c>
      <c r="Z200" s="42">
        <f t="shared" si="86"/>
        <v>9683.2749999999996</v>
      </c>
      <c r="AA200" s="42">
        <f>VLOOKUP(A200,kurspris!$A$1:$Q$798,17,FALSE)</f>
        <v>17300</v>
      </c>
      <c r="AB200" s="42">
        <f t="shared" si="87"/>
        <v>4325</v>
      </c>
      <c r="AC200" s="42">
        <f t="shared" si="88"/>
        <v>14008.275</v>
      </c>
      <c r="AD200" s="31">
        <f>VLOOKUP($A200,kurspris!$A$1:$Q$835,3,FALSE)</f>
        <v>0</v>
      </c>
      <c r="AE200" s="31">
        <f>VLOOKUP($A200,kurspris!$A$1:$Q$835,4,FALSE)</f>
        <v>0</v>
      </c>
      <c r="AF200" s="31">
        <f>VLOOKUP($A200,kurspris!$A$1:$Q$835,5,FALSE)</f>
        <v>0</v>
      </c>
      <c r="AG200" s="31">
        <f>VLOOKUP($A200,kurspris!$A$1:$Q$835,6,FALSE)</f>
        <v>0</v>
      </c>
      <c r="AH200" s="31">
        <f>VLOOKUP($A200,kurspris!$A$1:$Q$835,7,FALSE)</f>
        <v>0</v>
      </c>
      <c r="AI200" s="31">
        <f>VLOOKUP($A200,kurspris!$A$1:$Q$835,8,FALSE)</f>
        <v>0</v>
      </c>
      <c r="AJ200" s="31">
        <f>VLOOKUP($A200,kurspris!$A$1:$Q$835,9,FALSE)</f>
        <v>0</v>
      </c>
      <c r="AK200" s="31">
        <f>VLOOKUP($A200,kurspris!$A$1:$Q$835,10,FALSE)</f>
        <v>0</v>
      </c>
      <c r="AL200" s="31">
        <f>VLOOKUP($A200,kurspris!$A$1:$Q$835,11,FALSE)</f>
        <v>0</v>
      </c>
      <c r="AM200" s="31">
        <f>VLOOKUP($A200,kurspris!$A$1:$Q$835,12,FALSE)</f>
        <v>0</v>
      </c>
      <c r="AN200" s="31">
        <f>VLOOKUP($A200,kurspris!$A$1:$Q$835,13,FALSE)</f>
        <v>1</v>
      </c>
      <c r="AO200" s="31">
        <f>VLOOKUP($A200,kurspris!$A$1:$Q$835,14,FALSE)</f>
        <v>0</v>
      </c>
      <c r="AP200" s="39" t="s">
        <v>2326</v>
      </c>
      <c r="AQ200"/>
      <c r="AR200" s="31">
        <f t="shared" si="89"/>
        <v>0</v>
      </c>
      <c r="AS200" s="255">
        <f t="shared" si="90"/>
        <v>0</v>
      </c>
      <c r="AT200" s="31">
        <f t="shared" si="91"/>
        <v>0</v>
      </c>
      <c r="AU200" s="255">
        <f t="shared" si="92"/>
        <v>0</v>
      </c>
      <c r="AV200" s="31">
        <f t="shared" si="93"/>
        <v>0</v>
      </c>
      <c r="AW200" s="31">
        <f t="shared" si="94"/>
        <v>0</v>
      </c>
      <c r="AX200" s="31">
        <f t="shared" si="95"/>
        <v>0</v>
      </c>
      <c r="AY200" s="255">
        <f t="shared" si="96"/>
        <v>0</v>
      </c>
      <c r="AZ200" s="232">
        <f t="shared" si="97"/>
        <v>0</v>
      </c>
      <c r="BA200" s="255">
        <f t="shared" si="98"/>
        <v>0</v>
      </c>
      <c r="BB200" s="31">
        <f t="shared" si="99"/>
        <v>0</v>
      </c>
      <c r="BC200" s="255">
        <f t="shared" si="100"/>
        <v>0</v>
      </c>
      <c r="BD200" s="31">
        <f t="shared" si="101"/>
        <v>0</v>
      </c>
      <c r="BE200" s="255">
        <f t="shared" si="102"/>
        <v>0</v>
      </c>
      <c r="BF200" s="31">
        <f t="shared" si="103"/>
        <v>0</v>
      </c>
      <c r="BG200" s="255">
        <f t="shared" si="104"/>
        <v>0</v>
      </c>
      <c r="BH200" s="31">
        <f t="shared" si="105"/>
        <v>0</v>
      </c>
      <c r="BI200" s="255">
        <f t="shared" si="106"/>
        <v>0</v>
      </c>
      <c r="BJ200" s="31">
        <f t="shared" si="107"/>
        <v>0</v>
      </c>
      <c r="BK200" s="31">
        <f t="shared" si="108"/>
        <v>0.25</v>
      </c>
      <c r="BL200" s="255">
        <f t="shared" si="109"/>
        <v>0.21249999999999999</v>
      </c>
      <c r="BM200" s="31">
        <f t="shared" si="110"/>
        <v>0</v>
      </c>
      <c r="BN200" s="255">
        <f t="shared" si="111"/>
        <v>0</v>
      </c>
    </row>
    <row r="201" spans="1:66" x14ac:dyDescent="0.25">
      <c r="A201" s="18" t="s">
        <v>2109</v>
      </c>
      <c r="B201" s="186" t="str">
        <f>VLOOKUP(A201,kurspris!$A$1:$B$877,2,FALSE)</f>
        <v>Skapande och lek för förskolan 2</v>
      </c>
      <c r="C201" s="37"/>
      <c r="D201" s="31" t="s">
        <v>484</v>
      </c>
      <c r="E201" s="31" t="s">
        <v>1608</v>
      </c>
      <c r="F201" s="59" t="s">
        <v>1931</v>
      </c>
      <c r="G201" s="31" t="s">
        <v>2271</v>
      </c>
      <c r="L201" s="31">
        <v>100</v>
      </c>
      <c r="M201" s="31">
        <v>15</v>
      </c>
      <c r="P201" s="31">
        <v>19</v>
      </c>
      <c r="Q201" s="232">
        <f t="shared" si="84"/>
        <v>4.75</v>
      </c>
      <c r="R201" s="40">
        <v>0.85</v>
      </c>
      <c r="S201" s="334">
        <f t="shared" si="85"/>
        <v>4.0374999999999996</v>
      </c>
      <c r="T201" s="31">
        <f>VLOOKUP(A201,'Ansvar kurs'!$A$1:$C$1010,2,FALSE)</f>
        <v>1650</v>
      </c>
      <c r="U201" s="31" t="str">
        <f>VLOOKUP(T201,Orgenheter!$A$1:$C$165,2,FALSE)</f>
        <v xml:space="preserve">Estetiska ämnen               </v>
      </c>
      <c r="V201" s="31" t="str">
        <f>VLOOKUP(T201,Orgenheter!$A$1:$C$165,3,FALSE)</f>
        <v>Hum</v>
      </c>
      <c r="W201" s="37" t="str">
        <f>VLOOKUP(D201,Program!$A$1:$B$34,2,FALSE)</f>
        <v>Förskollärarprogrammet</v>
      </c>
      <c r="X201" s="42">
        <f>VLOOKUP(A201,kurspris!$A$1:$Q$798,15,FALSE)</f>
        <v>15846</v>
      </c>
      <c r="Y201" s="42">
        <f>VLOOKUP(A201,kurspris!$A$1:$Q$798,16,FALSE)</f>
        <v>26926</v>
      </c>
      <c r="Z201" s="42">
        <f t="shared" si="86"/>
        <v>183982.22499999998</v>
      </c>
      <c r="AA201" s="42">
        <f>VLOOKUP(A201,kurspris!$A$1:$Q$798,17,FALSE)</f>
        <v>17300</v>
      </c>
      <c r="AB201" s="42">
        <f t="shared" si="87"/>
        <v>82175</v>
      </c>
      <c r="AC201" s="42">
        <f t="shared" si="88"/>
        <v>266157.22499999998</v>
      </c>
      <c r="AD201" s="31">
        <f>VLOOKUP($A201,kurspris!$A$1:$Q$835,3,FALSE)</f>
        <v>0</v>
      </c>
      <c r="AE201" s="31">
        <f>VLOOKUP($A201,kurspris!$A$1:$Q$835,4,FALSE)</f>
        <v>0</v>
      </c>
      <c r="AF201" s="31">
        <f>VLOOKUP($A201,kurspris!$A$1:$Q$835,5,FALSE)</f>
        <v>0</v>
      </c>
      <c r="AG201" s="31">
        <f>VLOOKUP($A201,kurspris!$A$1:$Q$835,6,FALSE)</f>
        <v>0</v>
      </c>
      <c r="AH201" s="31">
        <f>VLOOKUP($A201,kurspris!$A$1:$Q$835,7,FALSE)</f>
        <v>0</v>
      </c>
      <c r="AI201" s="31">
        <f>VLOOKUP($A201,kurspris!$A$1:$Q$835,8,FALSE)</f>
        <v>0</v>
      </c>
      <c r="AJ201" s="31">
        <f>VLOOKUP($A201,kurspris!$A$1:$Q$835,9,FALSE)</f>
        <v>0</v>
      </c>
      <c r="AK201" s="31">
        <f>VLOOKUP($A201,kurspris!$A$1:$Q$835,10,FALSE)</f>
        <v>0</v>
      </c>
      <c r="AL201" s="31">
        <f>VLOOKUP($A201,kurspris!$A$1:$Q$835,11,FALSE)</f>
        <v>0</v>
      </c>
      <c r="AM201" s="31">
        <f>VLOOKUP($A201,kurspris!$A$1:$Q$835,12,FALSE)</f>
        <v>0</v>
      </c>
      <c r="AN201" s="31">
        <f>VLOOKUP($A201,kurspris!$A$1:$Q$835,13,FALSE)</f>
        <v>1</v>
      </c>
      <c r="AO201" s="31">
        <f>VLOOKUP($A201,kurspris!$A$1:$Q$835,14,FALSE)</f>
        <v>0</v>
      </c>
      <c r="AP201" s="39" t="s">
        <v>2326</v>
      </c>
      <c r="AQ201"/>
      <c r="AR201" s="31">
        <f t="shared" si="89"/>
        <v>0</v>
      </c>
      <c r="AS201" s="255">
        <f t="shared" si="90"/>
        <v>0</v>
      </c>
      <c r="AT201" s="31">
        <f t="shared" si="91"/>
        <v>0</v>
      </c>
      <c r="AU201" s="255">
        <f t="shared" si="92"/>
        <v>0</v>
      </c>
      <c r="AV201" s="31">
        <f t="shared" si="93"/>
        <v>0</v>
      </c>
      <c r="AW201" s="31">
        <f t="shared" si="94"/>
        <v>0</v>
      </c>
      <c r="AX201" s="31">
        <f t="shared" si="95"/>
        <v>0</v>
      </c>
      <c r="AY201" s="255">
        <f t="shared" si="96"/>
        <v>0</v>
      </c>
      <c r="AZ201" s="232">
        <f t="shared" si="97"/>
        <v>0</v>
      </c>
      <c r="BA201" s="255">
        <f t="shared" si="98"/>
        <v>0</v>
      </c>
      <c r="BB201" s="31">
        <f t="shared" si="99"/>
        <v>0</v>
      </c>
      <c r="BC201" s="255">
        <f t="shared" si="100"/>
        <v>0</v>
      </c>
      <c r="BD201" s="31">
        <f t="shared" si="101"/>
        <v>0</v>
      </c>
      <c r="BE201" s="255">
        <f t="shared" si="102"/>
        <v>0</v>
      </c>
      <c r="BF201" s="31">
        <f t="shared" si="103"/>
        <v>0</v>
      </c>
      <c r="BG201" s="255">
        <f t="shared" si="104"/>
        <v>0</v>
      </c>
      <c r="BH201" s="31">
        <f t="shared" si="105"/>
        <v>0</v>
      </c>
      <c r="BI201" s="255">
        <f t="shared" si="106"/>
        <v>0</v>
      </c>
      <c r="BJ201" s="31">
        <f t="shared" si="107"/>
        <v>0</v>
      </c>
      <c r="BK201" s="31">
        <f t="shared" si="108"/>
        <v>4.75</v>
      </c>
      <c r="BL201" s="255">
        <f t="shared" si="109"/>
        <v>4.0374999999999996</v>
      </c>
      <c r="BM201" s="31">
        <f t="shared" si="110"/>
        <v>0</v>
      </c>
      <c r="BN201" s="255">
        <f t="shared" si="111"/>
        <v>0</v>
      </c>
    </row>
    <row r="202" spans="1:66" x14ac:dyDescent="0.25">
      <c r="A202" s="18" t="s">
        <v>2121</v>
      </c>
      <c r="B202" s="186" t="str">
        <f>VLOOKUP(A202,kurspris!$A$1:$B$877,2,FALSE)</f>
        <v>Att undervisa i musik</v>
      </c>
      <c r="C202" s="37"/>
      <c r="D202" s="31" t="s">
        <v>483</v>
      </c>
      <c r="E202" s="31" t="s">
        <v>1976</v>
      </c>
      <c r="F202" s="59" t="s">
        <v>1931</v>
      </c>
      <c r="G202" s="31" t="s">
        <v>2272</v>
      </c>
      <c r="J202" t="s">
        <v>775</v>
      </c>
      <c r="L202" s="31">
        <v>100</v>
      </c>
      <c r="M202" s="31">
        <v>6</v>
      </c>
      <c r="P202" s="31">
        <v>1</v>
      </c>
      <c r="Q202" s="232">
        <f t="shared" si="84"/>
        <v>0.1</v>
      </c>
      <c r="R202" s="40">
        <v>0.85</v>
      </c>
      <c r="S202" s="334">
        <f t="shared" si="85"/>
        <v>8.5000000000000006E-2</v>
      </c>
      <c r="T202" s="31">
        <f>VLOOKUP(A202,'Ansvar kurs'!$A$1:$C$1010,2,FALSE)</f>
        <v>1650</v>
      </c>
      <c r="U202" s="31" t="str">
        <f>VLOOKUP(T202,Orgenheter!$A$1:$C$165,2,FALSE)</f>
        <v xml:space="preserve">Estetiska ämnen               </v>
      </c>
      <c r="V202" s="31" t="str">
        <f>VLOOKUP(T202,Orgenheter!$A$1:$C$165,3,FALSE)</f>
        <v>Hum</v>
      </c>
      <c r="W202" s="37" t="str">
        <f>VLOOKUP(D202,Program!$A$1:$B$34,2,FALSE)</f>
        <v>Ämneslärarprogrammet - Gy</v>
      </c>
      <c r="X202" s="42">
        <f>VLOOKUP(A202,kurspris!$A$1:$Q$798,15,FALSE)</f>
        <v>21634</v>
      </c>
      <c r="Y202" s="42">
        <f>VLOOKUP(A202,kurspris!$A$1:$Q$798,16,FALSE)</f>
        <v>26986</v>
      </c>
      <c r="Z202" s="42">
        <f t="shared" si="86"/>
        <v>4457.21</v>
      </c>
      <c r="AA202" s="42">
        <f>VLOOKUP(A202,kurspris!$A$1:$Q$798,17,FALSE)</f>
        <v>3400</v>
      </c>
      <c r="AB202" s="42">
        <f t="shared" si="87"/>
        <v>340</v>
      </c>
      <c r="AC202" s="42">
        <f t="shared" si="88"/>
        <v>4797.21</v>
      </c>
      <c r="AD202" s="31">
        <f>VLOOKUP($A202,kurspris!$A$1:$Q$835,3,FALSE)</f>
        <v>0</v>
      </c>
      <c r="AE202" s="31">
        <f>VLOOKUP($A202,kurspris!$A$1:$Q$835,4,FALSE)</f>
        <v>0</v>
      </c>
      <c r="AF202" s="31">
        <f>VLOOKUP($A202,kurspris!$A$1:$Q$835,5,FALSE)</f>
        <v>0</v>
      </c>
      <c r="AG202" s="31">
        <f>VLOOKUP($A202,kurspris!$A$1:$Q$835,6,FALSE)</f>
        <v>0</v>
      </c>
      <c r="AH202" s="31">
        <f>VLOOKUP($A202,kurspris!$A$1:$Q$835,7,FALSE)</f>
        <v>0</v>
      </c>
      <c r="AI202" s="31">
        <f>VLOOKUP($A202,kurspris!$A$1:$Q$835,8,FALSE)</f>
        <v>0</v>
      </c>
      <c r="AJ202" s="31">
        <f>VLOOKUP($A202,kurspris!$A$1:$Q$835,9,FALSE)</f>
        <v>0</v>
      </c>
      <c r="AK202" s="31">
        <f>VLOOKUP($A202,kurspris!$A$1:$Q$835,10,FALSE)</f>
        <v>0</v>
      </c>
      <c r="AL202" s="31">
        <f>VLOOKUP($A202,kurspris!$A$1:$Q$835,11,FALSE)</f>
        <v>1</v>
      </c>
      <c r="AM202" s="31">
        <f>VLOOKUP($A202,kurspris!$A$1:$Q$835,12,FALSE)</f>
        <v>0</v>
      </c>
      <c r="AN202" s="31">
        <f>VLOOKUP($A202,kurspris!$A$1:$Q$835,13,FALSE)</f>
        <v>0</v>
      </c>
      <c r="AO202" s="31">
        <f>VLOOKUP($A202,kurspris!$A$1:$Q$835,14,FALSE)</f>
        <v>0</v>
      </c>
      <c r="AP202" s="39" t="s">
        <v>2326</v>
      </c>
      <c r="AQ202"/>
      <c r="AR202" s="31">
        <f t="shared" si="89"/>
        <v>0</v>
      </c>
      <c r="AS202" s="255">
        <f t="shared" si="90"/>
        <v>0</v>
      </c>
      <c r="AT202" s="31">
        <f t="shared" si="91"/>
        <v>0</v>
      </c>
      <c r="AU202" s="255">
        <f t="shared" si="92"/>
        <v>0</v>
      </c>
      <c r="AV202" s="31">
        <f t="shared" si="93"/>
        <v>0</v>
      </c>
      <c r="AW202" s="31">
        <f t="shared" si="94"/>
        <v>0</v>
      </c>
      <c r="AX202" s="31">
        <f t="shared" si="95"/>
        <v>0</v>
      </c>
      <c r="AY202" s="255">
        <f t="shared" si="96"/>
        <v>0</v>
      </c>
      <c r="AZ202" s="232">
        <f t="shared" si="97"/>
        <v>0</v>
      </c>
      <c r="BA202" s="255">
        <f t="shared" si="98"/>
        <v>0</v>
      </c>
      <c r="BB202" s="31">
        <f t="shared" si="99"/>
        <v>0</v>
      </c>
      <c r="BC202" s="255">
        <f t="shared" si="100"/>
        <v>0</v>
      </c>
      <c r="BD202" s="31">
        <f t="shared" si="101"/>
        <v>0</v>
      </c>
      <c r="BE202" s="255">
        <f t="shared" si="102"/>
        <v>0</v>
      </c>
      <c r="BF202" s="31">
        <f t="shared" si="103"/>
        <v>0</v>
      </c>
      <c r="BG202" s="255">
        <f t="shared" si="104"/>
        <v>0</v>
      </c>
      <c r="BH202" s="31">
        <f t="shared" si="105"/>
        <v>0.1</v>
      </c>
      <c r="BI202" s="255">
        <f t="shared" si="106"/>
        <v>8.5000000000000006E-2</v>
      </c>
      <c r="BJ202" s="31">
        <f t="shared" si="107"/>
        <v>0</v>
      </c>
      <c r="BK202" s="31">
        <f t="shared" si="108"/>
        <v>0</v>
      </c>
      <c r="BL202" s="255">
        <f t="shared" si="109"/>
        <v>0</v>
      </c>
      <c r="BM202" s="31">
        <f t="shared" si="110"/>
        <v>0</v>
      </c>
      <c r="BN202" s="255">
        <f t="shared" si="111"/>
        <v>0</v>
      </c>
    </row>
    <row r="203" spans="1:66" x14ac:dyDescent="0.25">
      <c r="A203" s="18" t="s">
        <v>2121</v>
      </c>
      <c r="B203" s="186" t="str">
        <f>VLOOKUP(A203,kurspris!$A$1:$B$877,2,FALSE)</f>
        <v>Att undervisa i musik</v>
      </c>
      <c r="C203" s="37"/>
      <c r="D203" s="31" t="s">
        <v>483</v>
      </c>
      <c r="E203" s="31" t="s">
        <v>1973</v>
      </c>
      <c r="F203" s="59" t="s">
        <v>1931</v>
      </c>
      <c r="G203" s="31" t="s">
        <v>2272</v>
      </c>
      <c r="J203" t="s">
        <v>775</v>
      </c>
      <c r="L203" s="31">
        <v>100</v>
      </c>
      <c r="M203" s="31">
        <v>6</v>
      </c>
      <c r="P203" s="31">
        <v>1</v>
      </c>
      <c r="Q203" s="232">
        <f t="shared" si="84"/>
        <v>0.1</v>
      </c>
      <c r="R203" s="40">
        <v>0.85</v>
      </c>
      <c r="S203" s="334">
        <f t="shared" si="85"/>
        <v>8.5000000000000006E-2</v>
      </c>
      <c r="T203" s="31">
        <f>VLOOKUP(A203,'Ansvar kurs'!$A$1:$C$1010,2,FALSE)</f>
        <v>1650</v>
      </c>
      <c r="U203" s="31" t="str">
        <f>VLOOKUP(T203,Orgenheter!$A$1:$C$165,2,FALSE)</f>
        <v xml:space="preserve">Estetiska ämnen               </v>
      </c>
      <c r="V203" s="31" t="str">
        <f>VLOOKUP(T203,Orgenheter!$A$1:$C$165,3,FALSE)</f>
        <v>Hum</v>
      </c>
      <c r="W203" s="37" t="str">
        <f>VLOOKUP(D203,Program!$A$1:$B$34,2,FALSE)</f>
        <v>Ämneslärarprogrammet - Gy</v>
      </c>
      <c r="X203" s="42">
        <f>VLOOKUP(A203,kurspris!$A$1:$Q$798,15,FALSE)</f>
        <v>21634</v>
      </c>
      <c r="Y203" s="42">
        <f>VLOOKUP(A203,kurspris!$A$1:$Q$798,16,FALSE)</f>
        <v>26986</v>
      </c>
      <c r="Z203" s="42">
        <f t="shared" si="86"/>
        <v>4457.21</v>
      </c>
      <c r="AA203" s="42">
        <f>VLOOKUP(A203,kurspris!$A$1:$Q$798,17,FALSE)</f>
        <v>3400</v>
      </c>
      <c r="AB203" s="42">
        <f t="shared" si="87"/>
        <v>340</v>
      </c>
      <c r="AC203" s="42">
        <f t="shared" si="88"/>
        <v>4797.21</v>
      </c>
      <c r="AD203" s="31">
        <f>VLOOKUP($A203,kurspris!$A$1:$Q$835,3,FALSE)</f>
        <v>0</v>
      </c>
      <c r="AE203" s="31">
        <f>VLOOKUP($A203,kurspris!$A$1:$Q$835,4,FALSE)</f>
        <v>0</v>
      </c>
      <c r="AF203" s="31">
        <f>VLOOKUP($A203,kurspris!$A$1:$Q$835,5,FALSE)</f>
        <v>0</v>
      </c>
      <c r="AG203" s="31">
        <f>VLOOKUP($A203,kurspris!$A$1:$Q$835,6,FALSE)</f>
        <v>0</v>
      </c>
      <c r="AH203" s="31">
        <f>VLOOKUP($A203,kurspris!$A$1:$Q$835,7,FALSE)</f>
        <v>0</v>
      </c>
      <c r="AI203" s="31">
        <f>VLOOKUP($A203,kurspris!$A$1:$Q$835,8,FALSE)</f>
        <v>0</v>
      </c>
      <c r="AJ203" s="31">
        <f>VLOOKUP($A203,kurspris!$A$1:$Q$835,9,FALSE)</f>
        <v>0</v>
      </c>
      <c r="AK203" s="31">
        <f>VLOOKUP($A203,kurspris!$A$1:$Q$835,10,FALSE)</f>
        <v>0</v>
      </c>
      <c r="AL203" s="31">
        <f>VLOOKUP($A203,kurspris!$A$1:$Q$835,11,FALSE)</f>
        <v>1</v>
      </c>
      <c r="AM203" s="31">
        <f>VLOOKUP($A203,kurspris!$A$1:$Q$835,12,FALSE)</f>
        <v>0</v>
      </c>
      <c r="AN203" s="31">
        <f>VLOOKUP($A203,kurspris!$A$1:$Q$835,13,FALSE)</f>
        <v>0</v>
      </c>
      <c r="AO203" s="31">
        <f>VLOOKUP($A203,kurspris!$A$1:$Q$835,14,FALSE)</f>
        <v>0</v>
      </c>
      <c r="AP203" s="39" t="s">
        <v>2326</v>
      </c>
      <c r="AQ203"/>
      <c r="AR203" s="31">
        <f t="shared" si="89"/>
        <v>0</v>
      </c>
      <c r="AS203" s="255">
        <f t="shared" si="90"/>
        <v>0</v>
      </c>
      <c r="AT203" s="31">
        <f t="shared" si="91"/>
        <v>0</v>
      </c>
      <c r="AU203" s="255">
        <f t="shared" si="92"/>
        <v>0</v>
      </c>
      <c r="AV203" s="31">
        <f t="shared" si="93"/>
        <v>0</v>
      </c>
      <c r="AW203" s="31">
        <f t="shared" si="94"/>
        <v>0</v>
      </c>
      <c r="AX203" s="31">
        <f t="shared" si="95"/>
        <v>0</v>
      </c>
      <c r="AY203" s="255">
        <f t="shared" si="96"/>
        <v>0</v>
      </c>
      <c r="AZ203" s="232">
        <f t="shared" si="97"/>
        <v>0</v>
      </c>
      <c r="BA203" s="255">
        <f t="shared" si="98"/>
        <v>0</v>
      </c>
      <c r="BB203" s="31">
        <f t="shared" si="99"/>
        <v>0</v>
      </c>
      <c r="BC203" s="255">
        <f t="shared" si="100"/>
        <v>0</v>
      </c>
      <c r="BD203" s="31">
        <f t="shared" si="101"/>
        <v>0</v>
      </c>
      <c r="BE203" s="255">
        <f t="shared" si="102"/>
        <v>0</v>
      </c>
      <c r="BF203" s="31">
        <f t="shared" si="103"/>
        <v>0</v>
      </c>
      <c r="BG203" s="255">
        <f t="shared" si="104"/>
        <v>0</v>
      </c>
      <c r="BH203" s="31">
        <f t="shared" si="105"/>
        <v>0.1</v>
      </c>
      <c r="BI203" s="255">
        <f t="shared" si="106"/>
        <v>8.5000000000000006E-2</v>
      </c>
      <c r="BJ203" s="31">
        <f t="shared" si="107"/>
        <v>0</v>
      </c>
      <c r="BK203" s="31">
        <f t="shared" si="108"/>
        <v>0</v>
      </c>
      <c r="BL203" s="255">
        <f t="shared" si="109"/>
        <v>0</v>
      </c>
      <c r="BM203" s="31">
        <f t="shared" si="110"/>
        <v>0</v>
      </c>
      <c r="BN203" s="255">
        <f t="shared" si="111"/>
        <v>0</v>
      </c>
    </row>
    <row r="204" spans="1:66" x14ac:dyDescent="0.25">
      <c r="A204" s="18" t="s">
        <v>2121</v>
      </c>
      <c r="B204" s="186" t="str">
        <f>VLOOKUP(A204,kurspris!$A$1:$B$877,2,FALSE)</f>
        <v>Att undervisa i musik</v>
      </c>
      <c r="C204" s="37"/>
      <c r="D204" s="31" t="s">
        <v>483</v>
      </c>
      <c r="E204" s="31" t="s">
        <v>1609</v>
      </c>
      <c r="F204" s="59" t="s">
        <v>1931</v>
      </c>
      <c r="G204" s="31" t="s">
        <v>2272</v>
      </c>
      <c r="J204" t="s">
        <v>775</v>
      </c>
      <c r="L204" s="31">
        <v>100</v>
      </c>
      <c r="M204" s="31">
        <v>6</v>
      </c>
      <c r="P204" s="31">
        <v>2</v>
      </c>
      <c r="Q204" s="232">
        <f t="shared" si="84"/>
        <v>0.2</v>
      </c>
      <c r="R204" s="40">
        <v>0.85</v>
      </c>
      <c r="S204" s="334">
        <f t="shared" si="85"/>
        <v>0.17</v>
      </c>
      <c r="T204" s="31">
        <f>VLOOKUP(A204,'Ansvar kurs'!$A$1:$C$1010,2,FALSE)</f>
        <v>1650</v>
      </c>
      <c r="U204" s="31" t="str">
        <f>VLOOKUP(T204,Orgenheter!$A$1:$C$165,2,FALSE)</f>
        <v xml:space="preserve">Estetiska ämnen               </v>
      </c>
      <c r="V204" s="31" t="str">
        <f>VLOOKUP(T204,Orgenheter!$A$1:$C$165,3,FALSE)</f>
        <v>Hum</v>
      </c>
      <c r="W204" s="37" t="str">
        <f>VLOOKUP(D204,Program!$A$1:$B$34,2,FALSE)</f>
        <v>Ämneslärarprogrammet - Gy</v>
      </c>
      <c r="X204" s="42">
        <f>VLOOKUP(A204,kurspris!$A$1:$Q$798,15,FALSE)</f>
        <v>21634</v>
      </c>
      <c r="Y204" s="42">
        <f>VLOOKUP(A204,kurspris!$A$1:$Q$798,16,FALSE)</f>
        <v>26986</v>
      </c>
      <c r="Z204" s="42">
        <f t="shared" si="86"/>
        <v>8914.42</v>
      </c>
      <c r="AA204" s="42">
        <f>VLOOKUP(A204,kurspris!$A$1:$Q$798,17,FALSE)</f>
        <v>3400</v>
      </c>
      <c r="AB204" s="42">
        <f t="shared" si="87"/>
        <v>680</v>
      </c>
      <c r="AC204" s="42">
        <f t="shared" si="88"/>
        <v>9594.42</v>
      </c>
      <c r="AD204" s="31">
        <f>VLOOKUP($A204,kurspris!$A$1:$Q$835,3,FALSE)</f>
        <v>0</v>
      </c>
      <c r="AE204" s="31">
        <f>VLOOKUP($A204,kurspris!$A$1:$Q$835,4,FALSE)</f>
        <v>0</v>
      </c>
      <c r="AF204" s="31">
        <f>VLOOKUP($A204,kurspris!$A$1:$Q$835,5,FALSE)</f>
        <v>0</v>
      </c>
      <c r="AG204" s="31">
        <f>VLOOKUP($A204,kurspris!$A$1:$Q$835,6,FALSE)</f>
        <v>0</v>
      </c>
      <c r="AH204" s="31">
        <f>VLOOKUP($A204,kurspris!$A$1:$Q$835,7,FALSE)</f>
        <v>0</v>
      </c>
      <c r="AI204" s="31">
        <f>VLOOKUP($A204,kurspris!$A$1:$Q$835,8,FALSE)</f>
        <v>0</v>
      </c>
      <c r="AJ204" s="31">
        <f>VLOOKUP($A204,kurspris!$A$1:$Q$835,9,FALSE)</f>
        <v>0</v>
      </c>
      <c r="AK204" s="31">
        <f>VLOOKUP($A204,kurspris!$A$1:$Q$835,10,FALSE)</f>
        <v>0</v>
      </c>
      <c r="AL204" s="31">
        <f>VLOOKUP($A204,kurspris!$A$1:$Q$835,11,FALSE)</f>
        <v>1</v>
      </c>
      <c r="AM204" s="31">
        <f>VLOOKUP($A204,kurspris!$A$1:$Q$835,12,FALSE)</f>
        <v>0</v>
      </c>
      <c r="AN204" s="31">
        <f>VLOOKUP($A204,kurspris!$A$1:$Q$835,13,FALSE)</f>
        <v>0</v>
      </c>
      <c r="AO204" s="31">
        <f>VLOOKUP($A204,kurspris!$A$1:$Q$835,14,FALSE)</f>
        <v>0</v>
      </c>
      <c r="AP204" s="39" t="s">
        <v>2326</v>
      </c>
      <c r="AQ204"/>
      <c r="AR204" s="31">
        <f t="shared" si="89"/>
        <v>0</v>
      </c>
      <c r="AS204" s="255">
        <f t="shared" si="90"/>
        <v>0</v>
      </c>
      <c r="AT204" s="31">
        <f t="shared" si="91"/>
        <v>0</v>
      </c>
      <c r="AU204" s="255">
        <f t="shared" si="92"/>
        <v>0</v>
      </c>
      <c r="AV204" s="31">
        <f t="shared" si="93"/>
        <v>0</v>
      </c>
      <c r="AW204" s="31">
        <f t="shared" si="94"/>
        <v>0</v>
      </c>
      <c r="AX204" s="31">
        <f t="shared" si="95"/>
        <v>0</v>
      </c>
      <c r="AY204" s="255">
        <f t="shared" si="96"/>
        <v>0</v>
      </c>
      <c r="AZ204" s="232">
        <f t="shared" si="97"/>
        <v>0</v>
      </c>
      <c r="BA204" s="255">
        <f t="shared" si="98"/>
        <v>0</v>
      </c>
      <c r="BB204" s="31">
        <f t="shared" si="99"/>
        <v>0</v>
      </c>
      <c r="BC204" s="255">
        <f t="shared" si="100"/>
        <v>0</v>
      </c>
      <c r="BD204" s="31">
        <f t="shared" si="101"/>
        <v>0</v>
      </c>
      <c r="BE204" s="255">
        <f t="shared" si="102"/>
        <v>0</v>
      </c>
      <c r="BF204" s="31">
        <f t="shared" si="103"/>
        <v>0</v>
      </c>
      <c r="BG204" s="255">
        <f t="shared" si="104"/>
        <v>0</v>
      </c>
      <c r="BH204" s="31">
        <f t="shared" si="105"/>
        <v>0.2</v>
      </c>
      <c r="BI204" s="255">
        <f t="shared" si="106"/>
        <v>0.17</v>
      </c>
      <c r="BJ204" s="31">
        <f t="shared" si="107"/>
        <v>0</v>
      </c>
      <c r="BK204" s="31">
        <f t="shared" si="108"/>
        <v>0</v>
      </c>
      <c r="BL204" s="255">
        <f t="shared" si="109"/>
        <v>0</v>
      </c>
      <c r="BM204" s="31">
        <f t="shared" si="110"/>
        <v>0</v>
      </c>
      <c r="BN204" s="255">
        <f t="shared" si="111"/>
        <v>0</v>
      </c>
    </row>
    <row r="205" spans="1:66" x14ac:dyDescent="0.25">
      <c r="A205" s="18" t="s">
        <v>2122</v>
      </c>
      <c r="B205" s="186" t="str">
        <f>VLOOKUP(A205,kurspris!$A$1:$B$877,2,FALSE)</f>
        <v>Att undervisa i slöjd - textil</v>
      </c>
      <c r="C205" s="37"/>
      <c r="D205" s="31" t="s">
        <v>482</v>
      </c>
      <c r="E205" s="31" t="s">
        <v>1609</v>
      </c>
      <c r="F205" s="59" t="s">
        <v>1931</v>
      </c>
      <c r="G205" s="31" t="s">
        <v>2272</v>
      </c>
      <c r="J205" s="31" t="s">
        <v>1595</v>
      </c>
      <c r="L205" s="31">
        <v>100</v>
      </c>
      <c r="M205" s="31">
        <v>6</v>
      </c>
      <c r="P205" s="31">
        <v>4</v>
      </c>
      <c r="Q205" s="232">
        <f t="shared" si="84"/>
        <v>0.4</v>
      </c>
      <c r="R205" s="40">
        <v>0.85</v>
      </c>
      <c r="S205" s="334">
        <f t="shared" si="85"/>
        <v>0.34</v>
      </c>
      <c r="T205" s="31">
        <f>VLOOKUP(A205,'Ansvar kurs'!$A$1:$C$1010,2,FALSE)</f>
        <v>1650</v>
      </c>
      <c r="U205" s="31" t="str">
        <f>VLOOKUP(T205,Orgenheter!$A$1:$C$165,2,FALSE)</f>
        <v xml:space="preserve">Estetiska ämnen               </v>
      </c>
      <c r="V205" s="31" t="str">
        <f>VLOOKUP(T205,Orgenheter!$A$1:$C$165,3,FALSE)</f>
        <v>Hum</v>
      </c>
      <c r="W205" s="37" t="str">
        <f>VLOOKUP(D205,Program!$A$1:$B$34,2,FALSE)</f>
        <v>Ämneslärarprogrammet - åk 7-9</v>
      </c>
      <c r="X205" s="42">
        <f>VLOOKUP(A205,kurspris!$A$1:$Q$798,15,FALSE)</f>
        <v>21634</v>
      </c>
      <c r="Y205" s="42">
        <f>VLOOKUP(A205,kurspris!$A$1:$Q$798,16,FALSE)</f>
        <v>26986</v>
      </c>
      <c r="Z205" s="42">
        <f t="shared" si="86"/>
        <v>17828.84</v>
      </c>
      <c r="AA205" s="42">
        <f>VLOOKUP(A205,kurspris!$A$1:$Q$798,17,FALSE)</f>
        <v>3400</v>
      </c>
      <c r="AB205" s="42">
        <f t="shared" si="87"/>
        <v>1360</v>
      </c>
      <c r="AC205" s="42">
        <f t="shared" si="88"/>
        <v>19188.84</v>
      </c>
      <c r="AD205" s="31">
        <f>VLOOKUP($A205,kurspris!$A$1:$Q$835,3,FALSE)</f>
        <v>0</v>
      </c>
      <c r="AE205" s="31">
        <f>VLOOKUP($A205,kurspris!$A$1:$Q$835,4,FALSE)</f>
        <v>0</v>
      </c>
      <c r="AF205" s="31">
        <f>VLOOKUP($A205,kurspris!$A$1:$Q$835,5,FALSE)</f>
        <v>0</v>
      </c>
      <c r="AG205" s="31">
        <f>VLOOKUP($A205,kurspris!$A$1:$Q$835,6,FALSE)</f>
        <v>0</v>
      </c>
      <c r="AH205" s="31">
        <f>VLOOKUP($A205,kurspris!$A$1:$Q$835,7,FALSE)</f>
        <v>0</v>
      </c>
      <c r="AI205" s="31">
        <f>VLOOKUP($A205,kurspris!$A$1:$Q$835,8,FALSE)</f>
        <v>0</v>
      </c>
      <c r="AJ205" s="31">
        <f>VLOOKUP($A205,kurspris!$A$1:$Q$835,9,FALSE)</f>
        <v>0</v>
      </c>
      <c r="AK205" s="31">
        <f>VLOOKUP($A205,kurspris!$A$1:$Q$835,10,FALSE)</f>
        <v>0</v>
      </c>
      <c r="AL205" s="31">
        <f>VLOOKUP($A205,kurspris!$A$1:$Q$835,11,FALSE)</f>
        <v>1</v>
      </c>
      <c r="AM205" s="31">
        <f>VLOOKUP($A205,kurspris!$A$1:$Q$835,12,FALSE)</f>
        <v>0</v>
      </c>
      <c r="AN205" s="31">
        <f>VLOOKUP($A205,kurspris!$A$1:$Q$835,13,FALSE)</f>
        <v>0</v>
      </c>
      <c r="AO205" s="31">
        <f>VLOOKUP($A205,kurspris!$A$1:$Q$835,14,FALSE)</f>
        <v>0</v>
      </c>
      <c r="AP205" s="39" t="s">
        <v>2326</v>
      </c>
      <c r="AQ205"/>
      <c r="AR205" s="31">
        <f t="shared" si="89"/>
        <v>0</v>
      </c>
      <c r="AS205" s="255">
        <f t="shared" si="90"/>
        <v>0</v>
      </c>
      <c r="AT205" s="31">
        <f t="shared" si="91"/>
        <v>0</v>
      </c>
      <c r="AU205" s="255">
        <f t="shared" si="92"/>
        <v>0</v>
      </c>
      <c r="AV205" s="31">
        <f t="shared" si="93"/>
        <v>0</v>
      </c>
      <c r="AW205" s="31">
        <f t="shared" si="94"/>
        <v>0</v>
      </c>
      <c r="AX205" s="31">
        <f t="shared" si="95"/>
        <v>0</v>
      </c>
      <c r="AY205" s="255">
        <f t="shared" si="96"/>
        <v>0</v>
      </c>
      <c r="AZ205" s="232">
        <f t="shared" si="97"/>
        <v>0</v>
      </c>
      <c r="BA205" s="255">
        <f t="shared" si="98"/>
        <v>0</v>
      </c>
      <c r="BB205" s="31">
        <f t="shared" si="99"/>
        <v>0</v>
      </c>
      <c r="BC205" s="255">
        <f t="shared" si="100"/>
        <v>0</v>
      </c>
      <c r="BD205" s="31">
        <f t="shared" si="101"/>
        <v>0</v>
      </c>
      <c r="BE205" s="255">
        <f t="shared" si="102"/>
        <v>0</v>
      </c>
      <c r="BF205" s="31">
        <f t="shared" si="103"/>
        <v>0</v>
      </c>
      <c r="BG205" s="255">
        <f t="shared" si="104"/>
        <v>0</v>
      </c>
      <c r="BH205" s="31">
        <f t="shared" si="105"/>
        <v>0.4</v>
      </c>
      <c r="BI205" s="255">
        <f t="shared" si="106"/>
        <v>0.34</v>
      </c>
      <c r="BJ205" s="31">
        <f t="shared" si="107"/>
        <v>0</v>
      </c>
      <c r="BK205" s="31">
        <f t="shared" si="108"/>
        <v>0</v>
      </c>
      <c r="BL205" s="255">
        <f t="shared" si="109"/>
        <v>0</v>
      </c>
      <c r="BM205" s="31">
        <f t="shared" si="110"/>
        <v>0</v>
      </c>
      <c r="BN205" s="255">
        <f t="shared" si="111"/>
        <v>0</v>
      </c>
    </row>
    <row r="206" spans="1:66" x14ac:dyDescent="0.25">
      <c r="A206" s="64" t="s">
        <v>2178</v>
      </c>
      <c r="B206" s="186" t="str">
        <f>VLOOKUP(A206,kurspris!$A$1:$B$877,2,FALSE)</f>
        <v>Magisteruppsats i pedagogisk yrkesverksamhet</v>
      </c>
      <c r="C206" s="37"/>
      <c r="D206" t="s">
        <v>117</v>
      </c>
      <c r="E206"/>
      <c r="F206" s="59" t="s">
        <v>1931</v>
      </c>
      <c r="G206"/>
      <c r="H206" t="s">
        <v>2177</v>
      </c>
      <c r="I206" t="s">
        <v>2066</v>
      </c>
      <c r="L206">
        <v>25</v>
      </c>
      <c r="M206">
        <v>7.5</v>
      </c>
      <c r="P206">
        <v>14</v>
      </c>
      <c r="Q206" s="232">
        <f t="shared" si="84"/>
        <v>1.75</v>
      </c>
      <c r="R206" s="40">
        <v>0.8</v>
      </c>
      <c r="S206" s="334">
        <f t="shared" si="85"/>
        <v>1.4000000000000001</v>
      </c>
      <c r="T206" s="31">
        <f>VLOOKUP(A206,'Ansvar kurs'!$A$1:$C$1010,2,FALSE)</f>
        <v>1650</v>
      </c>
      <c r="U206" s="31" t="str">
        <f>VLOOKUP(T206,Orgenheter!$A$1:$C$165,2,FALSE)</f>
        <v xml:space="preserve">Estetiska ämnen               </v>
      </c>
      <c r="V206" s="31" t="str">
        <f>VLOOKUP(T206,Orgenheter!$A$1:$C$165,3,FALSE)</f>
        <v>Hum</v>
      </c>
      <c r="W206" s="37" t="str">
        <f>VLOOKUP(D206,Program!$A$1:$B$34,2,FALSE)</f>
        <v>Fristående och övriga kurser</v>
      </c>
      <c r="X206" s="42">
        <f>VLOOKUP(A206,kurspris!$A$1:$Q$798,15,FALSE)</f>
        <v>18405</v>
      </c>
      <c r="Y206" s="42">
        <f>VLOOKUP(A206,kurspris!$A$1:$Q$798,16,FALSE)</f>
        <v>15773</v>
      </c>
      <c r="Z206" s="42">
        <f t="shared" si="86"/>
        <v>54290.95</v>
      </c>
      <c r="AA206" s="42">
        <f>VLOOKUP(A206,kurspris!$A$1:$Q$798,17,FALSE)</f>
        <v>5800</v>
      </c>
      <c r="AB206" s="42">
        <f t="shared" si="87"/>
        <v>10150</v>
      </c>
      <c r="AC206" s="42">
        <f t="shared" si="88"/>
        <v>64440.95</v>
      </c>
      <c r="AD206" s="31">
        <f>VLOOKUP($A206,kurspris!$A$1:$Q$835,3,FALSE)</f>
        <v>0</v>
      </c>
      <c r="AE206" s="31">
        <f>VLOOKUP($A206,kurspris!$A$1:$Q$835,4,FALSE)</f>
        <v>1</v>
      </c>
      <c r="AF206" s="31">
        <f>VLOOKUP($A206,kurspris!$A$1:$Q$835,5,FALSE)</f>
        <v>0</v>
      </c>
      <c r="AG206" s="31">
        <f>VLOOKUP($A206,kurspris!$A$1:$Q$835,6,FALSE)</f>
        <v>0</v>
      </c>
      <c r="AH206" s="31">
        <f>VLOOKUP($A206,kurspris!$A$1:$Q$835,7,FALSE)</f>
        <v>0</v>
      </c>
      <c r="AI206" s="31">
        <f>VLOOKUP($A206,kurspris!$A$1:$Q$835,8,FALSE)</f>
        <v>0</v>
      </c>
      <c r="AJ206" s="31">
        <f>VLOOKUP($A206,kurspris!$A$1:$Q$835,9,FALSE)</f>
        <v>0</v>
      </c>
      <c r="AK206" s="31">
        <f>VLOOKUP($A206,kurspris!$A$1:$Q$835,10,FALSE)</f>
        <v>0</v>
      </c>
      <c r="AL206" s="31">
        <f>VLOOKUP($A206,kurspris!$A$1:$Q$835,11,FALSE)</f>
        <v>0</v>
      </c>
      <c r="AM206" s="31">
        <f>VLOOKUP($A206,kurspris!$A$1:$Q$835,12,FALSE)</f>
        <v>0</v>
      </c>
      <c r="AN206" s="31">
        <f>VLOOKUP($A206,kurspris!$A$1:$Q$835,13,FALSE)</f>
        <v>0</v>
      </c>
      <c r="AO206" s="31">
        <f>VLOOKUP($A206,kurspris!$A$1:$Q$835,14,FALSE)</f>
        <v>0</v>
      </c>
      <c r="AP206" s="39" t="s">
        <v>2095</v>
      </c>
      <c r="AQ206"/>
      <c r="AR206" s="31">
        <f t="shared" si="89"/>
        <v>0</v>
      </c>
      <c r="AS206" s="255">
        <f t="shared" si="90"/>
        <v>0</v>
      </c>
      <c r="AT206" s="31">
        <f t="shared" si="91"/>
        <v>1.75</v>
      </c>
      <c r="AU206" s="255">
        <f t="shared" si="92"/>
        <v>1.4000000000000001</v>
      </c>
      <c r="AV206" s="31">
        <f t="shared" si="93"/>
        <v>0</v>
      </c>
      <c r="AW206" s="31">
        <f t="shared" si="94"/>
        <v>0</v>
      </c>
      <c r="AX206" s="31">
        <f t="shared" si="95"/>
        <v>0</v>
      </c>
      <c r="AY206" s="255">
        <f t="shared" si="96"/>
        <v>0</v>
      </c>
      <c r="AZ206" s="232">
        <f t="shared" si="97"/>
        <v>0</v>
      </c>
      <c r="BA206" s="255">
        <f t="shared" si="98"/>
        <v>0</v>
      </c>
      <c r="BB206" s="31">
        <f t="shared" si="99"/>
        <v>0</v>
      </c>
      <c r="BC206" s="255">
        <f t="shared" si="100"/>
        <v>0</v>
      </c>
      <c r="BD206" s="31">
        <f t="shared" si="101"/>
        <v>0</v>
      </c>
      <c r="BE206" s="255">
        <f t="shared" si="102"/>
        <v>0</v>
      </c>
      <c r="BF206" s="31">
        <f t="shared" si="103"/>
        <v>0</v>
      </c>
      <c r="BG206" s="255">
        <f t="shared" si="104"/>
        <v>0</v>
      </c>
      <c r="BH206" s="31">
        <f t="shared" si="105"/>
        <v>0</v>
      </c>
      <c r="BI206" s="255">
        <f t="shared" si="106"/>
        <v>0</v>
      </c>
      <c r="BJ206" s="31">
        <f t="shared" si="107"/>
        <v>0</v>
      </c>
      <c r="BK206" s="31">
        <f t="shared" si="108"/>
        <v>0</v>
      </c>
      <c r="BL206" s="255">
        <f t="shared" si="109"/>
        <v>0</v>
      </c>
      <c r="BM206" s="31">
        <f t="shared" si="110"/>
        <v>0</v>
      </c>
      <c r="BN206" s="255">
        <f t="shared" si="111"/>
        <v>0</v>
      </c>
    </row>
    <row r="207" spans="1:66" x14ac:dyDescent="0.25">
      <c r="A207" t="s">
        <v>2157</v>
      </c>
      <c r="B207" s="186" t="str">
        <f>VLOOKUP(A207,kurspris!$A$1:$B$877,2,FALSE)</f>
        <v>Bild 1</v>
      </c>
      <c r="C207"/>
      <c r="D207" t="s">
        <v>482</v>
      </c>
      <c r="E207" t="s">
        <v>1973</v>
      </c>
      <c r="F207" s="59" t="s">
        <v>1930</v>
      </c>
      <c r="G207" t="s">
        <v>1995</v>
      </c>
      <c r="H207" t="s">
        <v>1910</v>
      </c>
      <c r="I207"/>
      <c r="J207" t="s">
        <v>1999</v>
      </c>
      <c r="K207"/>
      <c r="L207">
        <v>100</v>
      </c>
      <c r="M207">
        <v>30</v>
      </c>
      <c r="N207"/>
      <c r="O207"/>
      <c r="P207" s="31">
        <v>1</v>
      </c>
      <c r="Q207" s="232">
        <f t="shared" si="84"/>
        <v>0.5</v>
      </c>
      <c r="R207" s="40">
        <v>0.85</v>
      </c>
      <c r="S207" s="334">
        <f t="shared" si="85"/>
        <v>0.42499999999999999</v>
      </c>
      <c r="T207" s="31">
        <f>VLOOKUP(A207,'Ansvar kurs'!$A$1:$C$1010,2,FALSE)</f>
        <v>1650</v>
      </c>
      <c r="U207" s="31" t="str">
        <f>VLOOKUP(T207,Orgenheter!$A$1:$C$165,2,FALSE)</f>
        <v xml:space="preserve">Estetiska ämnen               </v>
      </c>
      <c r="V207" s="31" t="str">
        <f>VLOOKUP(T207,Orgenheter!$A$1:$C$165,3,FALSE)</f>
        <v>Hum</v>
      </c>
      <c r="W207" s="37" t="str">
        <f>VLOOKUP(D207,Program!$A$1:$B$34,2,FALSE)</f>
        <v>Ämneslärarprogrammet - åk 7-9</v>
      </c>
      <c r="X207" s="42">
        <f>VLOOKUP(A207,kurspris!$A$1:$Q$798,15,FALSE)</f>
        <v>47957</v>
      </c>
      <c r="Y207" s="42">
        <f>VLOOKUP(A207,kurspris!$A$1:$Q$798,16,FALSE)</f>
        <v>57006</v>
      </c>
      <c r="Z207" s="42">
        <f t="shared" si="86"/>
        <v>48206.05</v>
      </c>
      <c r="AA207" s="42">
        <f>VLOOKUP(A207,kurspris!$A$1:$Q$798,17,FALSE)</f>
        <v>69000</v>
      </c>
      <c r="AB207" s="42">
        <f t="shared" si="87"/>
        <v>34500</v>
      </c>
      <c r="AC207" s="42">
        <f t="shared" si="88"/>
        <v>82706.05</v>
      </c>
      <c r="AD207" s="31">
        <f>VLOOKUP($A207,kurspris!$A$1:$Q$835,3,FALSE)</f>
        <v>1</v>
      </c>
      <c r="AE207" s="31">
        <f>VLOOKUP($A207,kurspris!$A$1:$Q$835,4,FALSE)</f>
        <v>0</v>
      </c>
      <c r="AF207" s="31">
        <f>VLOOKUP($A207,kurspris!$A$1:$Q$835,5,FALSE)</f>
        <v>0</v>
      </c>
      <c r="AG207" s="31">
        <f>VLOOKUP($A207,kurspris!$A$1:$Q$835,6,FALSE)</f>
        <v>0</v>
      </c>
      <c r="AH207" s="31">
        <f>VLOOKUP($A207,kurspris!$A$1:$Q$835,7,FALSE)</f>
        <v>0</v>
      </c>
      <c r="AI207" s="31">
        <f>VLOOKUP($A207,kurspris!$A$1:$Q$835,8,FALSE)</f>
        <v>0</v>
      </c>
      <c r="AJ207" s="31">
        <f>VLOOKUP($A207,kurspris!$A$1:$Q$835,9,FALSE)</f>
        <v>0</v>
      </c>
      <c r="AK207" s="31">
        <f>VLOOKUP($A207,kurspris!$A$1:$Q$835,10,FALSE)</f>
        <v>0</v>
      </c>
      <c r="AL207" s="31">
        <f>VLOOKUP($A207,kurspris!$A$1:$Q$835,11,FALSE)</f>
        <v>0</v>
      </c>
      <c r="AM207" s="31">
        <f>VLOOKUP($A207,kurspris!$A$1:$Q$835,12,FALSE)</f>
        <v>0</v>
      </c>
      <c r="AN207" s="31">
        <f>VLOOKUP($A207,kurspris!$A$1:$Q$835,13,FALSE)</f>
        <v>0</v>
      </c>
      <c r="AO207" s="31">
        <f>VLOOKUP($A207,kurspris!$A$1:$Q$835,14,FALSE)</f>
        <v>0</v>
      </c>
      <c r="AP207" s="39" t="s">
        <v>2204</v>
      </c>
      <c r="AQ207"/>
      <c r="AR207" s="31">
        <f t="shared" si="89"/>
        <v>0.5</v>
      </c>
      <c r="AS207" s="255">
        <f t="shared" si="90"/>
        <v>0.42499999999999999</v>
      </c>
      <c r="AT207" s="31">
        <f t="shared" si="91"/>
        <v>0</v>
      </c>
      <c r="AU207" s="255">
        <f t="shared" si="92"/>
        <v>0</v>
      </c>
      <c r="AV207" s="31">
        <f t="shared" si="93"/>
        <v>0</v>
      </c>
      <c r="AW207" s="31">
        <f t="shared" si="94"/>
        <v>0</v>
      </c>
      <c r="AX207" s="31">
        <f t="shared" si="95"/>
        <v>0</v>
      </c>
      <c r="AY207" s="255">
        <f t="shared" si="96"/>
        <v>0</v>
      </c>
      <c r="AZ207" s="232">
        <f t="shared" si="97"/>
        <v>0</v>
      </c>
      <c r="BA207" s="255">
        <f t="shared" si="98"/>
        <v>0</v>
      </c>
      <c r="BB207" s="31">
        <f t="shared" si="99"/>
        <v>0</v>
      </c>
      <c r="BC207" s="255">
        <f t="shared" si="100"/>
        <v>0</v>
      </c>
      <c r="BD207" s="31">
        <f t="shared" si="101"/>
        <v>0</v>
      </c>
      <c r="BE207" s="255">
        <f t="shared" si="102"/>
        <v>0</v>
      </c>
      <c r="BF207" s="31">
        <f t="shared" si="103"/>
        <v>0</v>
      </c>
      <c r="BG207" s="255">
        <f t="shared" si="104"/>
        <v>0</v>
      </c>
      <c r="BH207" s="31">
        <f t="shared" si="105"/>
        <v>0</v>
      </c>
      <c r="BI207" s="255">
        <f t="shared" si="106"/>
        <v>0</v>
      </c>
      <c r="BJ207" s="31">
        <f t="shared" si="107"/>
        <v>0</v>
      </c>
      <c r="BK207" s="31">
        <f t="shared" si="108"/>
        <v>0</v>
      </c>
      <c r="BL207" s="255">
        <f t="shared" si="109"/>
        <v>0</v>
      </c>
      <c r="BM207" s="31">
        <f t="shared" si="110"/>
        <v>0</v>
      </c>
      <c r="BN207" s="255">
        <f t="shared" si="111"/>
        <v>0</v>
      </c>
    </row>
    <row r="208" spans="1:66" x14ac:dyDescent="0.25">
      <c r="A208" t="s">
        <v>2157</v>
      </c>
      <c r="B208" s="186" t="str">
        <f>VLOOKUP(A208,kurspris!$A$1:$B$877,2,FALSE)</f>
        <v>Bild 1</v>
      </c>
      <c r="C208"/>
      <c r="D208" t="s">
        <v>482</v>
      </c>
      <c r="E208" t="s">
        <v>1973</v>
      </c>
      <c r="F208" s="59" t="s">
        <v>1930</v>
      </c>
      <c r="G208" t="s">
        <v>1995</v>
      </c>
      <c r="H208" t="s">
        <v>1910</v>
      </c>
      <c r="I208"/>
      <c r="J208" t="s">
        <v>1595</v>
      </c>
      <c r="K208"/>
      <c r="L208">
        <v>100</v>
      </c>
      <c r="M208">
        <v>30</v>
      </c>
      <c r="N208"/>
      <c r="O208"/>
      <c r="P208" s="31">
        <v>2</v>
      </c>
      <c r="Q208" s="232">
        <f t="shared" si="84"/>
        <v>1</v>
      </c>
      <c r="R208" s="40">
        <v>0.85</v>
      </c>
      <c r="S208" s="334">
        <f t="shared" si="85"/>
        <v>0.85</v>
      </c>
      <c r="T208" s="31">
        <f>VLOOKUP(A208,'Ansvar kurs'!$A$1:$C$1010,2,FALSE)</f>
        <v>1650</v>
      </c>
      <c r="U208" s="31" t="str">
        <f>VLOOKUP(T208,Orgenheter!$A$1:$C$165,2,FALSE)</f>
        <v xml:space="preserve">Estetiska ämnen               </v>
      </c>
      <c r="V208" s="31" t="str">
        <f>VLOOKUP(T208,Orgenheter!$A$1:$C$165,3,FALSE)</f>
        <v>Hum</v>
      </c>
      <c r="W208" s="37" t="str">
        <f>VLOOKUP(D208,Program!$A$1:$B$34,2,FALSE)</f>
        <v>Ämneslärarprogrammet - åk 7-9</v>
      </c>
      <c r="X208" s="42">
        <f>VLOOKUP(A208,kurspris!$A$1:$Q$798,15,FALSE)</f>
        <v>47957</v>
      </c>
      <c r="Y208" s="42">
        <f>VLOOKUP(A208,kurspris!$A$1:$Q$798,16,FALSE)</f>
        <v>57006</v>
      </c>
      <c r="Z208" s="42">
        <f t="shared" si="86"/>
        <v>96412.1</v>
      </c>
      <c r="AA208" s="42">
        <f>VLOOKUP(A208,kurspris!$A$1:$Q$798,17,FALSE)</f>
        <v>69000</v>
      </c>
      <c r="AB208" s="42">
        <f t="shared" si="87"/>
        <v>69000</v>
      </c>
      <c r="AC208" s="42">
        <f t="shared" si="88"/>
        <v>165412.1</v>
      </c>
      <c r="AD208" s="31">
        <f>VLOOKUP($A208,kurspris!$A$1:$Q$835,3,FALSE)</f>
        <v>1</v>
      </c>
      <c r="AE208" s="31">
        <f>VLOOKUP($A208,kurspris!$A$1:$Q$835,4,FALSE)</f>
        <v>0</v>
      </c>
      <c r="AF208" s="31">
        <f>VLOOKUP($A208,kurspris!$A$1:$Q$835,5,FALSE)</f>
        <v>0</v>
      </c>
      <c r="AG208" s="31">
        <f>VLOOKUP($A208,kurspris!$A$1:$Q$835,6,FALSE)</f>
        <v>0</v>
      </c>
      <c r="AH208" s="31">
        <f>VLOOKUP($A208,kurspris!$A$1:$Q$835,7,FALSE)</f>
        <v>0</v>
      </c>
      <c r="AI208" s="31">
        <f>VLOOKUP($A208,kurspris!$A$1:$Q$835,8,FALSE)</f>
        <v>0</v>
      </c>
      <c r="AJ208" s="31">
        <f>VLOOKUP($A208,kurspris!$A$1:$Q$835,9,FALSE)</f>
        <v>0</v>
      </c>
      <c r="AK208" s="31">
        <f>VLOOKUP($A208,kurspris!$A$1:$Q$835,10,FALSE)</f>
        <v>0</v>
      </c>
      <c r="AL208" s="31">
        <f>VLOOKUP($A208,kurspris!$A$1:$Q$835,11,FALSE)</f>
        <v>0</v>
      </c>
      <c r="AM208" s="31">
        <f>VLOOKUP($A208,kurspris!$A$1:$Q$835,12,FALSE)</f>
        <v>0</v>
      </c>
      <c r="AN208" s="31">
        <f>VLOOKUP($A208,kurspris!$A$1:$Q$835,13,FALSE)</f>
        <v>0</v>
      </c>
      <c r="AO208" s="31">
        <f>VLOOKUP($A208,kurspris!$A$1:$Q$835,14,FALSE)</f>
        <v>0</v>
      </c>
      <c r="AP208" s="39" t="s">
        <v>2204</v>
      </c>
      <c r="AQ208"/>
      <c r="AR208" s="31">
        <f t="shared" si="89"/>
        <v>1</v>
      </c>
      <c r="AS208" s="255">
        <f t="shared" si="90"/>
        <v>0.85</v>
      </c>
      <c r="AT208" s="31">
        <f t="shared" si="91"/>
        <v>0</v>
      </c>
      <c r="AU208" s="255">
        <f t="shared" si="92"/>
        <v>0</v>
      </c>
      <c r="AV208" s="31">
        <f t="shared" si="93"/>
        <v>0</v>
      </c>
      <c r="AW208" s="31">
        <f t="shared" si="94"/>
        <v>0</v>
      </c>
      <c r="AX208" s="31">
        <f t="shared" si="95"/>
        <v>0</v>
      </c>
      <c r="AY208" s="255">
        <f t="shared" si="96"/>
        <v>0</v>
      </c>
      <c r="AZ208" s="232">
        <f t="shared" si="97"/>
        <v>0</v>
      </c>
      <c r="BA208" s="255">
        <f t="shared" si="98"/>
        <v>0</v>
      </c>
      <c r="BB208" s="31">
        <f t="shared" si="99"/>
        <v>0</v>
      </c>
      <c r="BC208" s="255">
        <f t="shared" si="100"/>
        <v>0</v>
      </c>
      <c r="BD208" s="31">
        <f t="shared" si="101"/>
        <v>0</v>
      </c>
      <c r="BE208" s="255">
        <f t="shared" si="102"/>
        <v>0</v>
      </c>
      <c r="BF208" s="31">
        <f t="shared" si="103"/>
        <v>0</v>
      </c>
      <c r="BG208" s="255">
        <f t="shared" si="104"/>
        <v>0</v>
      </c>
      <c r="BH208" s="31">
        <f t="shared" si="105"/>
        <v>0</v>
      </c>
      <c r="BI208" s="255">
        <f t="shared" si="106"/>
        <v>0</v>
      </c>
      <c r="BJ208" s="31">
        <f t="shared" si="107"/>
        <v>0</v>
      </c>
      <c r="BK208" s="31">
        <f t="shared" si="108"/>
        <v>0</v>
      </c>
      <c r="BL208" s="255">
        <f t="shared" si="109"/>
        <v>0</v>
      </c>
      <c r="BM208" s="31">
        <f t="shared" si="110"/>
        <v>0</v>
      </c>
      <c r="BN208" s="255">
        <f t="shared" si="111"/>
        <v>0</v>
      </c>
    </row>
    <row r="209" spans="1:66" x14ac:dyDescent="0.25">
      <c r="A209" t="s">
        <v>2157</v>
      </c>
      <c r="B209" s="186" t="str">
        <f>VLOOKUP(A209,kurspris!$A$1:$B$877,2,FALSE)</f>
        <v>Bild 1</v>
      </c>
      <c r="C209"/>
      <c r="D209" t="s">
        <v>483</v>
      </c>
      <c r="E209" t="s">
        <v>1973</v>
      </c>
      <c r="F209" s="59" t="s">
        <v>1930</v>
      </c>
      <c r="G209" t="s">
        <v>1995</v>
      </c>
      <c r="H209" t="s">
        <v>1910</v>
      </c>
      <c r="I209"/>
      <c r="J209" t="s">
        <v>776</v>
      </c>
      <c r="K209"/>
      <c r="L209">
        <v>100</v>
      </c>
      <c r="M209">
        <v>30</v>
      </c>
      <c r="N209"/>
      <c r="O209"/>
      <c r="P209" s="31">
        <v>1</v>
      </c>
      <c r="Q209" s="232">
        <f t="shared" si="84"/>
        <v>0.5</v>
      </c>
      <c r="R209" s="40">
        <v>0.85</v>
      </c>
      <c r="S209" s="334">
        <f t="shared" si="85"/>
        <v>0.42499999999999999</v>
      </c>
      <c r="T209" s="31">
        <f>VLOOKUP(A209,'Ansvar kurs'!$A$1:$C$1010,2,FALSE)</f>
        <v>1650</v>
      </c>
      <c r="U209" s="31" t="str">
        <f>VLOOKUP(T209,Orgenheter!$A$1:$C$165,2,FALSE)</f>
        <v xml:space="preserve">Estetiska ämnen               </v>
      </c>
      <c r="V209" s="31" t="str">
        <f>VLOOKUP(T209,Orgenheter!$A$1:$C$165,3,FALSE)</f>
        <v>Hum</v>
      </c>
      <c r="W209" s="37" t="str">
        <f>VLOOKUP(D209,Program!$A$1:$B$34,2,FALSE)</f>
        <v>Ämneslärarprogrammet - Gy</v>
      </c>
      <c r="X209" s="42">
        <f>VLOOKUP(A209,kurspris!$A$1:$Q$798,15,FALSE)</f>
        <v>47957</v>
      </c>
      <c r="Y209" s="42">
        <f>VLOOKUP(A209,kurspris!$A$1:$Q$798,16,FALSE)</f>
        <v>57006</v>
      </c>
      <c r="Z209" s="42">
        <f t="shared" si="86"/>
        <v>48206.05</v>
      </c>
      <c r="AA209" s="42">
        <f>VLOOKUP(A209,kurspris!$A$1:$Q$798,17,FALSE)</f>
        <v>69000</v>
      </c>
      <c r="AB209" s="42">
        <f t="shared" si="87"/>
        <v>34500</v>
      </c>
      <c r="AC209" s="42">
        <f t="shared" si="88"/>
        <v>82706.05</v>
      </c>
      <c r="AD209" s="31">
        <f>VLOOKUP($A209,kurspris!$A$1:$Q$835,3,FALSE)</f>
        <v>1</v>
      </c>
      <c r="AE209" s="31">
        <f>VLOOKUP($A209,kurspris!$A$1:$Q$835,4,FALSE)</f>
        <v>0</v>
      </c>
      <c r="AF209" s="31">
        <f>VLOOKUP($A209,kurspris!$A$1:$Q$835,5,FALSE)</f>
        <v>0</v>
      </c>
      <c r="AG209" s="31">
        <f>VLOOKUP($A209,kurspris!$A$1:$Q$835,6,FALSE)</f>
        <v>0</v>
      </c>
      <c r="AH209" s="31">
        <f>VLOOKUP($A209,kurspris!$A$1:$Q$835,7,FALSE)</f>
        <v>0</v>
      </c>
      <c r="AI209" s="31">
        <f>VLOOKUP($A209,kurspris!$A$1:$Q$835,8,FALSE)</f>
        <v>0</v>
      </c>
      <c r="AJ209" s="31">
        <f>VLOOKUP($A209,kurspris!$A$1:$Q$835,9,FALSE)</f>
        <v>0</v>
      </c>
      <c r="AK209" s="31">
        <f>VLOOKUP($A209,kurspris!$A$1:$Q$835,10,FALSE)</f>
        <v>0</v>
      </c>
      <c r="AL209" s="31">
        <f>VLOOKUP($A209,kurspris!$A$1:$Q$835,11,FALSE)</f>
        <v>0</v>
      </c>
      <c r="AM209" s="31">
        <f>VLOOKUP($A209,kurspris!$A$1:$Q$835,12,FALSE)</f>
        <v>0</v>
      </c>
      <c r="AN209" s="31">
        <f>VLOOKUP($A209,kurspris!$A$1:$Q$835,13,FALSE)</f>
        <v>0</v>
      </c>
      <c r="AO209" s="31">
        <f>VLOOKUP($A209,kurspris!$A$1:$Q$835,14,FALSE)</f>
        <v>0</v>
      </c>
      <c r="AP209" s="39" t="s">
        <v>2204</v>
      </c>
      <c r="AQ209"/>
      <c r="AR209" s="31">
        <f t="shared" si="89"/>
        <v>0.5</v>
      </c>
      <c r="AS209" s="255">
        <f t="shared" si="90"/>
        <v>0.42499999999999999</v>
      </c>
      <c r="AT209" s="31">
        <f t="shared" si="91"/>
        <v>0</v>
      </c>
      <c r="AU209" s="255">
        <f t="shared" si="92"/>
        <v>0</v>
      </c>
      <c r="AV209" s="31">
        <f t="shared" si="93"/>
        <v>0</v>
      </c>
      <c r="AW209" s="31">
        <f t="shared" si="94"/>
        <v>0</v>
      </c>
      <c r="AX209" s="31">
        <f t="shared" si="95"/>
        <v>0</v>
      </c>
      <c r="AY209" s="255">
        <f t="shared" si="96"/>
        <v>0</v>
      </c>
      <c r="AZ209" s="232">
        <f t="shared" si="97"/>
        <v>0</v>
      </c>
      <c r="BA209" s="255">
        <f t="shared" si="98"/>
        <v>0</v>
      </c>
      <c r="BB209" s="31">
        <f t="shared" si="99"/>
        <v>0</v>
      </c>
      <c r="BC209" s="255">
        <f t="shared" si="100"/>
        <v>0</v>
      </c>
      <c r="BD209" s="31">
        <f t="shared" si="101"/>
        <v>0</v>
      </c>
      <c r="BE209" s="255">
        <f t="shared" si="102"/>
        <v>0</v>
      </c>
      <c r="BF209" s="31">
        <f t="shared" si="103"/>
        <v>0</v>
      </c>
      <c r="BG209" s="255">
        <f t="shared" si="104"/>
        <v>0</v>
      </c>
      <c r="BH209" s="31">
        <f t="shared" si="105"/>
        <v>0</v>
      </c>
      <c r="BI209" s="255">
        <f t="shared" si="106"/>
        <v>0</v>
      </c>
      <c r="BJ209" s="31">
        <f t="shared" si="107"/>
        <v>0</v>
      </c>
      <c r="BK209" s="31">
        <f t="shared" si="108"/>
        <v>0</v>
      </c>
      <c r="BL209" s="255">
        <f t="shared" si="109"/>
        <v>0</v>
      </c>
      <c r="BM209" s="31">
        <f t="shared" si="110"/>
        <v>0</v>
      </c>
      <c r="BN209" s="255">
        <f t="shared" si="111"/>
        <v>0</v>
      </c>
    </row>
    <row r="210" spans="1:66" x14ac:dyDescent="0.25">
      <c r="A210" t="s">
        <v>2157</v>
      </c>
      <c r="B210" s="186" t="str">
        <f>VLOOKUP(A210,kurspris!$A$1:$B$877,2,FALSE)</f>
        <v>Bild 1</v>
      </c>
      <c r="C210"/>
      <c r="D210" t="s">
        <v>483</v>
      </c>
      <c r="E210" t="s">
        <v>1973</v>
      </c>
      <c r="F210" s="59" t="s">
        <v>1930</v>
      </c>
      <c r="G210" t="s">
        <v>1995</v>
      </c>
      <c r="H210" t="s">
        <v>1910</v>
      </c>
      <c r="I210"/>
      <c r="J210" t="s">
        <v>778</v>
      </c>
      <c r="K210"/>
      <c r="L210">
        <v>100</v>
      </c>
      <c r="M210">
        <v>30</v>
      </c>
      <c r="N210"/>
      <c r="O210"/>
      <c r="P210" s="31">
        <v>1</v>
      </c>
      <c r="Q210" s="232">
        <f t="shared" si="84"/>
        <v>0.5</v>
      </c>
      <c r="R210" s="40">
        <v>0.85</v>
      </c>
      <c r="S210" s="334">
        <f t="shared" si="85"/>
        <v>0.42499999999999999</v>
      </c>
      <c r="T210" s="31">
        <f>VLOOKUP(A210,'Ansvar kurs'!$A$1:$C$1010,2,FALSE)</f>
        <v>1650</v>
      </c>
      <c r="U210" s="31" t="str">
        <f>VLOOKUP(T210,Orgenheter!$A$1:$C$165,2,FALSE)</f>
        <v xml:space="preserve">Estetiska ämnen               </v>
      </c>
      <c r="V210" s="31" t="str">
        <f>VLOOKUP(T210,Orgenheter!$A$1:$C$165,3,FALSE)</f>
        <v>Hum</v>
      </c>
      <c r="W210" s="37" t="str">
        <f>VLOOKUP(D210,Program!$A$1:$B$34,2,FALSE)</f>
        <v>Ämneslärarprogrammet - Gy</v>
      </c>
      <c r="X210" s="42">
        <f>VLOOKUP(A210,kurspris!$A$1:$Q$798,15,FALSE)</f>
        <v>47957</v>
      </c>
      <c r="Y210" s="42">
        <f>VLOOKUP(A210,kurspris!$A$1:$Q$798,16,FALSE)</f>
        <v>57006</v>
      </c>
      <c r="Z210" s="42">
        <f t="shared" si="86"/>
        <v>48206.05</v>
      </c>
      <c r="AA210" s="42">
        <f>VLOOKUP(A210,kurspris!$A$1:$Q$798,17,FALSE)</f>
        <v>69000</v>
      </c>
      <c r="AB210" s="42">
        <f t="shared" si="87"/>
        <v>34500</v>
      </c>
      <c r="AC210" s="42">
        <f t="shared" si="88"/>
        <v>82706.05</v>
      </c>
      <c r="AD210" s="31">
        <f>VLOOKUP($A210,kurspris!$A$1:$Q$835,3,FALSE)</f>
        <v>1</v>
      </c>
      <c r="AE210" s="31">
        <f>VLOOKUP($A210,kurspris!$A$1:$Q$835,4,FALSE)</f>
        <v>0</v>
      </c>
      <c r="AF210" s="31">
        <f>VLOOKUP($A210,kurspris!$A$1:$Q$835,5,FALSE)</f>
        <v>0</v>
      </c>
      <c r="AG210" s="31">
        <f>VLOOKUP($A210,kurspris!$A$1:$Q$835,6,FALSE)</f>
        <v>0</v>
      </c>
      <c r="AH210" s="31">
        <f>VLOOKUP($A210,kurspris!$A$1:$Q$835,7,FALSE)</f>
        <v>0</v>
      </c>
      <c r="AI210" s="31">
        <f>VLOOKUP($A210,kurspris!$A$1:$Q$835,8,FALSE)</f>
        <v>0</v>
      </c>
      <c r="AJ210" s="31">
        <f>VLOOKUP($A210,kurspris!$A$1:$Q$835,9,FALSE)</f>
        <v>0</v>
      </c>
      <c r="AK210" s="31">
        <f>VLOOKUP($A210,kurspris!$A$1:$Q$835,10,FALSE)</f>
        <v>0</v>
      </c>
      <c r="AL210" s="31">
        <f>VLOOKUP($A210,kurspris!$A$1:$Q$835,11,FALSE)</f>
        <v>0</v>
      </c>
      <c r="AM210" s="31">
        <f>VLOOKUP($A210,kurspris!$A$1:$Q$835,12,FALSE)</f>
        <v>0</v>
      </c>
      <c r="AN210" s="31">
        <f>VLOOKUP($A210,kurspris!$A$1:$Q$835,13,FALSE)</f>
        <v>0</v>
      </c>
      <c r="AO210" s="31">
        <f>VLOOKUP($A210,kurspris!$A$1:$Q$835,14,FALSE)</f>
        <v>0</v>
      </c>
      <c r="AP210" s="39" t="s">
        <v>2204</v>
      </c>
      <c r="AQ210"/>
      <c r="AR210" s="31">
        <f t="shared" si="89"/>
        <v>0.5</v>
      </c>
      <c r="AS210" s="255">
        <f t="shared" si="90"/>
        <v>0.42499999999999999</v>
      </c>
      <c r="AT210" s="31">
        <f t="shared" si="91"/>
        <v>0</v>
      </c>
      <c r="AU210" s="255">
        <f t="shared" si="92"/>
        <v>0</v>
      </c>
      <c r="AV210" s="31">
        <f t="shared" si="93"/>
        <v>0</v>
      </c>
      <c r="AW210" s="31">
        <f t="shared" si="94"/>
        <v>0</v>
      </c>
      <c r="AX210" s="31">
        <f t="shared" si="95"/>
        <v>0</v>
      </c>
      <c r="AY210" s="255">
        <f t="shared" si="96"/>
        <v>0</v>
      </c>
      <c r="AZ210" s="232">
        <f t="shared" si="97"/>
        <v>0</v>
      </c>
      <c r="BA210" s="255">
        <f t="shared" si="98"/>
        <v>0</v>
      </c>
      <c r="BB210" s="31">
        <f t="shared" si="99"/>
        <v>0</v>
      </c>
      <c r="BC210" s="255">
        <f t="shared" si="100"/>
        <v>0</v>
      </c>
      <c r="BD210" s="31">
        <f t="shared" si="101"/>
        <v>0</v>
      </c>
      <c r="BE210" s="255">
        <f t="shared" si="102"/>
        <v>0</v>
      </c>
      <c r="BF210" s="31">
        <f t="shared" si="103"/>
        <v>0</v>
      </c>
      <c r="BG210" s="255">
        <f t="shared" si="104"/>
        <v>0</v>
      </c>
      <c r="BH210" s="31">
        <f t="shared" si="105"/>
        <v>0</v>
      </c>
      <c r="BI210" s="255">
        <f t="shared" si="106"/>
        <v>0</v>
      </c>
      <c r="BJ210" s="31">
        <f t="shared" si="107"/>
        <v>0</v>
      </c>
      <c r="BK210" s="31">
        <f t="shared" si="108"/>
        <v>0</v>
      </c>
      <c r="BL210" s="255">
        <f t="shared" si="109"/>
        <v>0</v>
      </c>
      <c r="BM210" s="31">
        <f t="shared" si="110"/>
        <v>0</v>
      </c>
      <c r="BN210" s="255">
        <f t="shared" si="111"/>
        <v>0</v>
      </c>
    </row>
    <row r="211" spans="1:66" x14ac:dyDescent="0.25">
      <c r="A211" t="s">
        <v>2157</v>
      </c>
      <c r="B211" s="186" t="str">
        <f>VLOOKUP(A211,kurspris!$A$1:$B$877,2,FALSE)</f>
        <v>Bild 1</v>
      </c>
      <c r="C211"/>
      <c r="D211" t="s">
        <v>483</v>
      </c>
      <c r="E211" t="s">
        <v>1788</v>
      </c>
      <c r="F211" s="59" t="s">
        <v>1930</v>
      </c>
      <c r="G211" t="s">
        <v>1995</v>
      </c>
      <c r="H211" t="s">
        <v>1910</v>
      </c>
      <c r="I211"/>
      <c r="J211" t="s">
        <v>1952</v>
      </c>
      <c r="K211"/>
      <c r="L211">
        <v>100</v>
      </c>
      <c r="M211">
        <v>30</v>
      </c>
      <c r="N211"/>
      <c r="O211"/>
      <c r="P211" s="31">
        <v>11</v>
      </c>
      <c r="Q211" s="232">
        <f t="shared" si="84"/>
        <v>5.5</v>
      </c>
      <c r="R211" s="40">
        <v>0.85</v>
      </c>
      <c r="S211" s="334">
        <f t="shared" si="85"/>
        <v>4.6749999999999998</v>
      </c>
      <c r="T211" s="31">
        <f>VLOOKUP(A211,'Ansvar kurs'!$A$1:$C$1010,2,FALSE)</f>
        <v>1650</v>
      </c>
      <c r="U211" s="31" t="str">
        <f>VLOOKUP(T211,Orgenheter!$A$1:$C$165,2,FALSE)</f>
        <v xml:space="preserve">Estetiska ämnen               </v>
      </c>
      <c r="V211" s="31" t="str">
        <f>VLOOKUP(T211,Orgenheter!$A$1:$C$165,3,FALSE)</f>
        <v>Hum</v>
      </c>
      <c r="W211" s="37" t="str">
        <f>VLOOKUP(D211,Program!$A$1:$B$34,2,FALSE)</f>
        <v>Ämneslärarprogrammet - Gy</v>
      </c>
      <c r="X211" s="42">
        <f>VLOOKUP(A211,kurspris!$A$1:$Q$798,15,FALSE)</f>
        <v>47957</v>
      </c>
      <c r="Y211" s="42">
        <f>VLOOKUP(A211,kurspris!$A$1:$Q$798,16,FALSE)</f>
        <v>57006</v>
      </c>
      <c r="Z211" s="42">
        <f t="shared" si="86"/>
        <v>530266.55000000005</v>
      </c>
      <c r="AA211" s="42">
        <f>VLOOKUP(A211,kurspris!$A$1:$Q$798,17,FALSE)</f>
        <v>69000</v>
      </c>
      <c r="AB211" s="42">
        <f t="shared" si="87"/>
        <v>379500</v>
      </c>
      <c r="AC211" s="42">
        <f t="shared" si="88"/>
        <v>909766.55</v>
      </c>
      <c r="AD211" s="31">
        <f>VLOOKUP($A211,kurspris!$A$1:$Q$835,3,FALSE)</f>
        <v>1</v>
      </c>
      <c r="AE211" s="31">
        <f>VLOOKUP($A211,kurspris!$A$1:$Q$835,4,FALSE)</f>
        <v>0</v>
      </c>
      <c r="AF211" s="31">
        <f>VLOOKUP($A211,kurspris!$A$1:$Q$835,5,FALSE)</f>
        <v>0</v>
      </c>
      <c r="AG211" s="31">
        <f>VLOOKUP($A211,kurspris!$A$1:$Q$835,6,FALSE)</f>
        <v>0</v>
      </c>
      <c r="AH211" s="31">
        <f>VLOOKUP($A211,kurspris!$A$1:$Q$835,7,FALSE)</f>
        <v>0</v>
      </c>
      <c r="AI211" s="31">
        <f>VLOOKUP($A211,kurspris!$A$1:$Q$835,8,FALSE)</f>
        <v>0</v>
      </c>
      <c r="AJ211" s="31">
        <f>VLOOKUP($A211,kurspris!$A$1:$Q$835,9,FALSE)</f>
        <v>0</v>
      </c>
      <c r="AK211" s="31">
        <f>VLOOKUP($A211,kurspris!$A$1:$Q$835,10,FALSE)</f>
        <v>0</v>
      </c>
      <c r="AL211" s="31">
        <f>VLOOKUP($A211,kurspris!$A$1:$Q$835,11,FALSE)</f>
        <v>0</v>
      </c>
      <c r="AM211" s="31">
        <f>VLOOKUP($A211,kurspris!$A$1:$Q$835,12,FALSE)</f>
        <v>0</v>
      </c>
      <c r="AN211" s="31">
        <f>VLOOKUP($A211,kurspris!$A$1:$Q$835,13,FALSE)</f>
        <v>0</v>
      </c>
      <c r="AO211" s="31">
        <f>VLOOKUP($A211,kurspris!$A$1:$Q$835,14,FALSE)</f>
        <v>0</v>
      </c>
      <c r="AP211" s="39" t="s">
        <v>2204</v>
      </c>
      <c r="AQ211"/>
      <c r="AR211" s="31">
        <f t="shared" si="89"/>
        <v>5.5</v>
      </c>
      <c r="AS211" s="255">
        <f t="shared" si="90"/>
        <v>4.6749999999999998</v>
      </c>
      <c r="AT211" s="31">
        <f t="shared" si="91"/>
        <v>0</v>
      </c>
      <c r="AU211" s="255">
        <f t="shared" si="92"/>
        <v>0</v>
      </c>
      <c r="AV211" s="31">
        <f t="shared" si="93"/>
        <v>0</v>
      </c>
      <c r="AW211" s="31">
        <f t="shared" si="94"/>
        <v>0</v>
      </c>
      <c r="AX211" s="31">
        <f t="shared" si="95"/>
        <v>0</v>
      </c>
      <c r="AY211" s="255">
        <f t="shared" si="96"/>
        <v>0</v>
      </c>
      <c r="AZ211" s="232">
        <f t="shared" si="97"/>
        <v>0</v>
      </c>
      <c r="BA211" s="255">
        <f t="shared" si="98"/>
        <v>0</v>
      </c>
      <c r="BB211" s="31">
        <f t="shared" si="99"/>
        <v>0</v>
      </c>
      <c r="BC211" s="255">
        <f t="shared" si="100"/>
        <v>0</v>
      </c>
      <c r="BD211" s="31">
        <f t="shared" si="101"/>
        <v>0</v>
      </c>
      <c r="BE211" s="255">
        <f t="shared" si="102"/>
        <v>0</v>
      </c>
      <c r="BF211" s="31">
        <f t="shared" si="103"/>
        <v>0</v>
      </c>
      <c r="BG211" s="255">
        <f t="shared" si="104"/>
        <v>0</v>
      </c>
      <c r="BH211" s="31">
        <f t="shared" si="105"/>
        <v>0</v>
      </c>
      <c r="BI211" s="255">
        <f t="shared" si="106"/>
        <v>0</v>
      </c>
      <c r="BJ211" s="31">
        <f t="shared" si="107"/>
        <v>0</v>
      </c>
      <c r="BK211" s="31">
        <f t="shared" si="108"/>
        <v>0</v>
      </c>
      <c r="BL211" s="255">
        <f t="shared" si="109"/>
        <v>0</v>
      </c>
      <c r="BM211" s="31">
        <f t="shared" si="110"/>
        <v>0</v>
      </c>
      <c r="BN211" s="255">
        <f t="shared" si="111"/>
        <v>0</v>
      </c>
    </row>
    <row r="212" spans="1:66" x14ac:dyDescent="0.25">
      <c r="A212" s="18" t="s">
        <v>2201</v>
      </c>
      <c r="B212" s="186" t="str">
        <f>VLOOKUP(A212,kurspris!$A$1:$B$877,2,FALSE)</f>
        <v xml:space="preserve">Bild 1, fristående </v>
      </c>
      <c r="C212" s="37"/>
      <c r="D212" t="s">
        <v>117</v>
      </c>
      <c r="E212"/>
      <c r="F212" s="59" t="s">
        <v>1930</v>
      </c>
      <c r="G212"/>
      <c r="H212"/>
      <c r="I212" t="s">
        <v>1634</v>
      </c>
      <c r="L212">
        <v>100</v>
      </c>
      <c r="M212">
        <v>30</v>
      </c>
      <c r="P212" s="31">
        <v>1</v>
      </c>
      <c r="Q212" s="232">
        <f t="shared" si="84"/>
        <v>0.5</v>
      </c>
      <c r="R212" s="40">
        <v>0.8</v>
      </c>
      <c r="S212" s="334">
        <f t="shared" si="85"/>
        <v>0.4</v>
      </c>
      <c r="T212" s="31">
        <f>VLOOKUP(A212,'Ansvar kurs'!$A$1:$C$1010,2,FALSE)</f>
        <v>1650</v>
      </c>
      <c r="U212" s="31" t="str">
        <f>VLOOKUP(T212,Orgenheter!$A$1:$C$165,2,FALSE)</f>
        <v xml:space="preserve">Estetiska ämnen               </v>
      </c>
      <c r="V212" s="31" t="str">
        <f>VLOOKUP(T212,Orgenheter!$A$1:$C$165,3,FALSE)</f>
        <v>Hum</v>
      </c>
      <c r="W212" s="37" t="str">
        <f>VLOOKUP(D212,Program!$A$1:$B$34,2,FALSE)</f>
        <v>Fristående och övriga kurser</v>
      </c>
      <c r="X212" s="42">
        <f>VLOOKUP(A212,kurspris!$A$1:$Q$798,15,FALSE)</f>
        <v>47957</v>
      </c>
      <c r="Y212" s="42">
        <f>VLOOKUP(A212,kurspris!$A$1:$Q$798,16,FALSE)</f>
        <v>57006</v>
      </c>
      <c r="Z212" s="42">
        <f t="shared" si="86"/>
        <v>46780.9</v>
      </c>
      <c r="AA212" s="42">
        <f>VLOOKUP(A212,kurspris!$A$1:$Q$798,17,FALSE)</f>
        <v>69000</v>
      </c>
      <c r="AB212" s="42">
        <f t="shared" si="87"/>
        <v>34500</v>
      </c>
      <c r="AC212" s="42">
        <f t="shared" si="88"/>
        <v>81280.899999999994</v>
      </c>
      <c r="AD212" s="31">
        <f>VLOOKUP($A212,kurspris!$A$1:$Q$835,3,FALSE)</f>
        <v>1</v>
      </c>
      <c r="AE212" s="31">
        <f>VLOOKUP($A212,kurspris!$A$1:$Q$835,4,FALSE)</f>
        <v>0</v>
      </c>
      <c r="AF212" s="31">
        <f>VLOOKUP($A212,kurspris!$A$1:$Q$835,5,FALSE)</f>
        <v>0</v>
      </c>
      <c r="AG212" s="31">
        <f>VLOOKUP($A212,kurspris!$A$1:$Q$835,6,FALSE)</f>
        <v>0</v>
      </c>
      <c r="AH212" s="31">
        <f>VLOOKUP($A212,kurspris!$A$1:$Q$835,7,FALSE)</f>
        <v>0</v>
      </c>
      <c r="AI212" s="31">
        <f>VLOOKUP($A212,kurspris!$A$1:$Q$835,8,FALSE)</f>
        <v>0</v>
      </c>
      <c r="AJ212" s="31">
        <f>VLOOKUP($A212,kurspris!$A$1:$Q$835,9,FALSE)</f>
        <v>0</v>
      </c>
      <c r="AK212" s="31">
        <f>VLOOKUP($A212,kurspris!$A$1:$Q$835,10,FALSE)</f>
        <v>0</v>
      </c>
      <c r="AL212" s="31">
        <f>VLOOKUP($A212,kurspris!$A$1:$Q$835,11,FALSE)</f>
        <v>0</v>
      </c>
      <c r="AM212" s="31">
        <f>VLOOKUP($A212,kurspris!$A$1:$Q$835,12,FALSE)</f>
        <v>0</v>
      </c>
      <c r="AN212" s="31">
        <f>VLOOKUP($A212,kurspris!$A$1:$Q$835,13,FALSE)</f>
        <v>0</v>
      </c>
      <c r="AO212" s="31">
        <f>VLOOKUP($A212,kurspris!$A$1:$Q$835,14,FALSE)</f>
        <v>0</v>
      </c>
      <c r="AP212" s="39" t="s">
        <v>2204</v>
      </c>
      <c r="AQ212" s="39" t="s">
        <v>2095</v>
      </c>
      <c r="AR212" s="31">
        <f t="shared" si="89"/>
        <v>0.5</v>
      </c>
      <c r="AS212" s="255">
        <f t="shared" si="90"/>
        <v>0.4</v>
      </c>
      <c r="AT212" s="31">
        <f t="shared" si="91"/>
        <v>0</v>
      </c>
      <c r="AU212" s="255">
        <f t="shared" si="92"/>
        <v>0</v>
      </c>
      <c r="AV212" s="31">
        <f t="shared" si="93"/>
        <v>0</v>
      </c>
      <c r="AW212" s="31">
        <f t="shared" si="94"/>
        <v>0</v>
      </c>
      <c r="AX212" s="31">
        <f t="shared" si="95"/>
        <v>0</v>
      </c>
      <c r="AY212" s="255">
        <f t="shared" si="96"/>
        <v>0</v>
      </c>
      <c r="AZ212" s="232">
        <f t="shared" si="97"/>
        <v>0</v>
      </c>
      <c r="BA212" s="255">
        <f t="shared" si="98"/>
        <v>0</v>
      </c>
      <c r="BB212" s="31">
        <f t="shared" si="99"/>
        <v>0</v>
      </c>
      <c r="BC212" s="255">
        <f t="shared" si="100"/>
        <v>0</v>
      </c>
      <c r="BD212" s="31">
        <f t="shared" si="101"/>
        <v>0</v>
      </c>
      <c r="BE212" s="255">
        <f t="shared" si="102"/>
        <v>0</v>
      </c>
      <c r="BF212" s="31">
        <f t="shared" si="103"/>
        <v>0</v>
      </c>
      <c r="BG212" s="255">
        <f t="shared" si="104"/>
        <v>0</v>
      </c>
      <c r="BH212" s="31">
        <f t="shared" si="105"/>
        <v>0</v>
      </c>
      <c r="BI212" s="255">
        <f t="shared" si="106"/>
        <v>0</v>
      </c>
      <c r="BJ212" s="31">
        <f t="shared" si="107"/>
        <v>0</v>
      </c>
      <c r="BK212" s="31">
        <f t="shared" si="108"/>
        <v>0</v>
      </c>
      <c r="BL212" s="255">
        <f t="shared" si="109"/>
        <v>0</v>
      </c>
      <c r="BM212" s="31">
        <f t="shared" si="110"/>
        <v>0</v>
      </c>
      <c r="BN212" s="255">
        <f t="shared" si="111"/>
        <v>0</v>
      </c>
    </row>
    <row r="213" spans="1:66" x14ac:dyDescent="0.25">
      <c r="A213" s="159" t="s">
        <v>2183</v>
      </c>
      <c r="B213" s="186" t="str">
        <f>VLOOKUP(A213,kurspris!$A$1:$B$877,2,FALSE)</f>
        <v>Vetenskaplig teori och metod 2</v>
      </c>
      <c r="C213" s="37"/>
      <c r="D213" t="s">
        <v>117</v>
      </c>
      <c r="E213"/>
      <c r="F213" s="59" t="s">
        <v>1930</v>
      </c>
      <c r="G213"/>
      <c r="H213" t="s">
        <v>2177</v>
      </c>
      <c r="I213" t="s">
        <v>2066</v>
      </c>
      <c r="L213">
        <v>25</v>
      </c>
      <c r="M213">
        <v>7.5</v>
      </c>
      <c r="P213" s="31">
        <v>15</v>
      </c>
      <c r="Q213" s="232">
        <f t="shared" si="84"/>
        <v>1.875</v>
      </c>
      <c r="R213" s="40">
        <v>0.8</v>
      </c>
      <c r="S213" s="334">
        <f t="shared" si="85"/>
        <v>1.5</v>
      </c>
      <c r="T213" s="31">
        <f>VLOOKUP(A213,'Ansvar kurs'!$A$1:$C$1010,2,FALSE)</f>
        <v>1650</v>
      </c>
      <c r="U213" s="31" t="str">
        <f>VLOOKUP(T213,Orgenheter!$A$1:$C$165,2,FALSE)</f>
        <v xml:space="preserve">Estetiska ämnen               </v>
      </c>
      <c r="V213" s="31" t="str">
        <f>VLOOKUP(T213,Orgenheter!$A$1:$C$165,3,FALSE)</f>
        <v>Hum</v>
      </c>
      <c r="W213" s="37" t="str">
        <f>VLOOKUP(D213,Program!$A$1:$B$34,2,FALSE)</f>
        <v>Fristående och övriga kurser</v>
      </c>
      <c r="X213" s="42">
        <f>VLOOKUP(A213,kurspris!$A$1:$Q$798,15,FALSE)</f>
        <v>18405</v>
      </c>
      <c r="Y213" s="42">
        <f>VLOOKUP(A213,kurspris!$A$1:$Q$798,16,FALSE)</f>
        <v>15773</v>
      </c>
      <c r="Z213" s="42">
        <f t="shared" si="86"/>
        <v>58168.875</v>
      </c>
      <c r="AA213" s="42">
        <f>VLOOKUP(A213,kurspris!$A$1:$Q$798,17,FALSE)</f>
        <v>5800</v>
      </c>
      <c r="AB213" s="42">
        <f t="shared" si="87"/>
        <v>10875</v>
      </c>
      <c r="AC213" s="42">
        <f t="shared" si="88"/>
        <v>69043.875</v>
      </c>
      <c r="AD213" s="31">
        <f>VLOOKUP($A213,kurspris!$A$1:$Q$835,3,FALSE)</f>
        <v>0</v>
      </c>
      <c r="AE213" s="31">
        <f>VLOOKUP($A213,kurspris!$A$1:$Q$835,4,FALSE)</f>
        <v>1</v>
      </c>
      <c r="AF213" s="31">
        <f>VLOOKUP($A213,kurspris!$A$1:$Q$835,5,FALSE)</f>
        <v>0</v>
      </c>
      <c r="AG213" s="31">
        <f>VLOOKUP($A213,kurspris!$A$1:$Q$835,6,FALSE)</f>
        <v>0</v>
      </c>
      <c r="AH213" s="31">
        <f>VLOOKUP($A213,kurspris!$A$1:$Q$835,7,FALSE)</f>
        <v>0</v>
      </c>
      <c r="AI213" s="31">
        <f>VLOOKUP($A213,kurspris!$A$1:$Q$835,8,FALSE)</f>
        <v>0</v>
      </c>
      <c r="AJ213" s="31">
        <f>VLOOKUP($A213,kurspris!$A$1:$Q$835,9,FALSE)</f>
        <v>0</v>
      </c>
      <c r="AK213" s="31">
        <f>VLOOKUP($A213,kurspris!$A$1:$Q$835,10,FALSE)</f>
        <v>0</v>
      </c>
      <c r="AL213" s="31">
        <f>VLOOKUP($A213,kurspris!$A$1:$Q$835,11,FALSE)</f>
        <v>0</v>
      </c>
      <c r="AM213" s="31">
        <f>VLOOKUP($A213,kurspris!$A$1:$Q$835,12,FALSE)</f>
        <v>0</v>
      </c>
      <c r="AN213" s="31">
        <f>VLOOKUP($A213,kurspris!$A$1:$Q$835,13,FALSE)</f>
        <v>0</v>
      </c>
      <c r="AO213" s="31">
        <f>VLOOKUP($A213,kurspris!$A$1:$Q$835,14,FALSE)</f>
        <v>0</v>
      </c>
      <c r="AP213" s="39" t="s">
        <v>2232</v>
      </c>
      <c r="AQ213" s="39" t="s">
        <v>2095</v>
      </c>
      <c r="AR213" s="31">
        <f t="shared" si="89"/>
        <v>0</v>
      </c>
      <c r="AS213" s="255">
        <f t="shared" si="90"/>
        <v>0</v>
      </c>
      <c r="AT213" s="31">
        <f t="shared" si="91"/>
        <v>1.875</v>
      </c>
      <c r="AU213" s="255">
        <f t="shared" si="92"/>
        <v>1.5</v>
      </c>
      <c r="AV213" s="31">
        <f t="shared" si="93"/>
        <v>0</v>
      </c>
      <c r="AW213" s="31">
        <f t="shared" si="94"/>
        <v>0</v>
      </c>
      <c r="AX213" s="31">
        <f t="shared" si="95"/>
        <v>0</v>
      </c>
      <c r="AY213" s="255">
        <f t="shared" si="96"/>
        <v>0</v>
      </c>
      <c r="AZ213" s="232">
        <f t="shared" si="97"/>
        <v>0</v>
      </c>
      <c r="BA213" s="255">
        <f t="shared" si="98"/>
        <v>0</v>
      </c>
      <c r="BB213" s="31">
        <f t="shared" si="99"/>
        <v>0</v>
      </c>
      <c r="BC213" s="255">
        <f t="shared" si="100"/>
        <v>0</v>
      </c>
      <c r="BD213" s="31">
        <f t="shared" si="101"/>
        <v>0</v>
      </c>
      <c r="BE213" s="255">
        <f t="shared" si="102"/>
        <v>0</v>
      </c>
      <c r="BF213" s="31">
        <f t="shared" si="103"/>
        <v>0</v>
      </c>
      <c r="BG213" s="255">
        <f t="shared" si="104"/>
        <v>0</v>
      </c>
      <c r="BH213" s="31">
        <f t="shared" si="105"/>
        <v>0</v>
      </c>
      <c r="BI213" s="255">
        <f t="shared" si="106"/>
        <v>0</v>
      </c>
      <c r="BJ213" s="31">
        <f t="shared" si="107"/>
        <v>0</v>
      </c>
      <c r="BK213" s="31">
        <f t="shared" si="108"/>
        <v>0</v>
      </c>
      <c r="BL213" s="255">
        <f t="shared" si="109"/>
        <v>0</v>
      </c>
      <c r="BM213" s="31">
        <f t="shared" si="110"/>
        <v>0</v>
      </c>
      <c r="BN213" s="255">
        <f t="shared" si="111"/>
        <v>0</v>
      </c>
    </row>
    <row r="214" spans="1:66" x14ac:dyDescent="0.25">
      <c r="A214" t="s">
        <v>2105</v>
      </c>
      <c r="B214" s="186" t="str">
        <f>VLOOKUP(A214,kurspris!$A$1:$B$877,2,FALSE)</f>
        <v>Bild fördjupning 3</v>
      </c>
      <c r="C214"/>
      <c r="D214" t="s">
        <v>483</v>
      </c>
      <c r="E214" t="s">
        <v>1975</v>
      </c>
      <c r="F214" s="59" t="s">
        <v>1930</v>
      </c>
      <c r="G214" t="s">
        <v>1995</v>
      </c>
      <c r="H214" t="s">
        <v>1910</v>
      </c>
      <c r="I214"/>
      <c r="J214" t="s">
        <v>1952</v>
      </c>
      <c r="K214"/>
      <c r="L214">
        <v>100</v>
      </c>
      <c r="M214">
        <v>30</v>
      </c>
      <c r="N214"/>
      <c r="O214"/>
      <c r="P214" s="31">
        <v>0</v>
      </c>
      <c r="Q214" s="232">
        <f t="shared" si="84"/>
        <v>0</v>
      </c>
      <c r="R214" s="40">
        <v>0.85</v>
      </c>
      <c r="S214" s="334">
        <f t="shared" si="85"/>
        <v>0</v>
      </c>
      <c r="T214" s="31">
        <f>VLOOKUP(A214,'Ansvar kurs'!$A$1:$C$1010,2,FALSE)</f>
        <v>1650</v>
      </c>
      <c r="U214" s="31" t="str">
        <f>VLOOKUP(T214,Orgenheter!$A$1:$C$165,2,FALSE)</f>
        <v xml:space="preserve">Estetiska ämnen               </v>
      </c>
      <c r="V214" s="31" t="str">
        <f>VLOOKUP(T214,Orgenheter!$A$1:$C$165,3,FALSE)</f>
        <v>Hum</v>
      </c>
      <c r="W214" s="37" t="str">
        <f>VLOOKUP(D214,Program!$A$1:$B$34,2,FALSE)</f>
        <v>Ämneslärarprogrammet - Gy</v>
      </c>
      <c r="X214" s="42">
        <f>VLOOKUP(A214,kurspris!$A$1:$Q$798,15,FALSE)</f>
        <v>47957</v>
      </c>
      <c r="Y214" s="42">
        <f>VLOOKUP(A214,kurspris!$A$1:$Q$798,16,FALSE)</f>
        <v>57006</v>
      </c>
      <c r="Z214" s="42">
        <f t="shared" si="86"/>
        <v>0</v>
      </c>
      <c r="AA214" s="42">
        <f>VLOOKUP(A214,kurspris!$A$1:$Q$798,17,FALSE)</f>
        <v>69000</v>
      </c>
      <c r="AB214" s="42">
        <f t="shared" si="87"/>
        <v>0</v>
      </c>
      <c r="AC214" s="42">
        <f t="shared" si="88"/>
        <v>0</v>
      </c>
      <c r="AD214" s="31">
        <f>VLOOKUP($A214,kurspris!$A$1:$Q$835,3,FALSE)</f>
        <v>1</v>
      </c>
      <c r="AE214" s="31">
        <f>VLOOKUP($A214,kurspris!$A$1:$Q$835,4,FALSE)</f>
        <v>0</v>
      </c>
      <c r="AF214" s="31">
        <f>VLOOKUP($A214,kurspris!$A$1:$Q$835,5,FALSE)</f>
        <v>0</v>
      </c>
      <c r="AG214" s="31">
        <f>VLOOKUP($A214,kurspris!$A$1:$Q$835,6,FALSE)</f>
        <v>0</v>
      </c>
      <c r="AH214" s="31">
        <f>VLOOKUP($A214,kurspris!$A$1:$Q$835,7,FALSE)</f>
        <v>0</v>
      </c>
      <c r="AI214" s="31">
        <f>VLOOKUP($A214,kurspris!$A$1:$Q$835,8,FALSE)</f>
        <v>0</v>
      </c>
      <c r="AJ214" s="31">
        <f>VLOOKUP($A214,kurspris!$A$1:$Q$835,9,FALSE)</f>
        <v>0</v>
      </c>
      <c r="AK214" s="31">
        <f>VLOOKUP($A214,kurspris!$A$1:$Q$835,10,FALSE)</f>
        <v>0</v>
      </c>
      <c r="AL214" s="31">
        <f>VLOOKUP($A214,kurspris!$A$1:$Q$835,11,FALSE)</f>
        <v>0</v>
      </c>
      <c r="AM214" s="31">
        <f>VLOOKUP($A214,kurspris!$A$1:$Q$835,12,FALSE)</f>
        <v>0</v>
      </c>
      <c r="AN214" s="31">
        <f>VLOOKUP($A214,kurspris!$A$1:$Q$835,13,FALSE)</f>
        <v>0</v>
      </c>
      <c r="AO214" s="31">
        <f>VLOOKUP($A214,kurspris!$A$1:$Q$835,14,FALSE)</f>
        <v>0</v>
      </c>
      <c r="AP214" s="39" t="s">
        <v>2204</v>
      </c>
      <c r="AQ214"/>
      <c r="AR214" s="31">
        <f t="shared" si="89"/>
        <v>0</v>
      </c>
      <c r="AS214" s="255">
        <f t="shared" si="90"/>
        <v>0</v>
      </c>
      <c r="AT214" s="31">
        <f t="shared" si="91"/>
        <v>0</v>
      </c>
      <c r="AU214" s="255">
        <f t="shared" si="92"/>
        <v>0</v>
      </c>
      <c r="AV214" s="31">
        <f t="shared" si="93"/>
        <v>0</v>
      </c>
      <c r="AW214" s="31">
        <f t="shared" si="94"/>
        <v>0</v>
      </c>
      <c r="AX214" s="31">
        <f t="shared" si="95"/>
        <v>0</v>
      </c>
      <c r="AY214" s="255">
        <f t="shared" si="96"/>
        <v>0</v>
      </c>
      <c r="AZ214" s="232">
        <f t="shared" si="97"/>
        <v>0</v>
      </c>
      <c r="BA214" s="255">
        <f t="shared" si="98"/>
        <v>0</v>
      </c>
      <c r="BB214" s="31">
        <f t="shared" si="99"/>
        <v>0</v>
      </c>
      <c r="BC214" s="255">
        <f t="shared" si="100"/>
        <v>0</v>
      </c>
      <c r="BD214" s="31">
        <f t="shared" si="101"/>
        <v>0</v>
      </c>
      <c r="BE214" s="255">
        <f t="shared" si="102"/>
        <v>0</v>
      </c>
      <c r="BF214" s="31">
        <f t="shared" si="103"/>
        <v>0</v>
      </c>
      <c r="BG214" s="255">
        <f t="shared" si="104"/>
        <v>0</v>
      </c>
      <c r="BH214" s="31">
        <f t="shared" si="105"/>
        <v>0</v>
      </c>
      <c r="BI214" s="255">
        <f t="shared" si="106"/>
        <v>0</v>
      </c>
      <c r="BJ214" s="31">
        <f t="shared" si="107"/>
        <v>0</v>
      </c>
      <c r="BK214" s="31">
        <f t="shared" si="108"/>
        <v>0</v>
      </c>
      <c r="BL214" s="255">
        <f t="shared" si="109"/>
        <v>0</v>
      </c>
      <c r="BM214" s="31">
        <f t="shared" si="110"/>
        <v>0</v>
      </c>
      <c r="BN214" s="255">
        <f t="shared" si="111"/>
        <v>0</v>
      </c>
    </row>
    <row r="215" spans="1:66" x14ac:dyDescent="0.25">
      <c r="A215" t="s">
        <v>2105</v>
      </c>
      <c r="B215" s="186" t="str">
        <f>VLOOKUP(A215,kurspris!$A$1:$B$877,2,FALSE)</f>
        <v>Bild fördjupning 3</v>
      </c>
      <c r="C215"/>
      <c r="D215" t="s">
        <v>483</v>
      </c>
      <c r="E215" t="s">
        <v>1976</v>
      </c>
      <c r="F215" s="59" t="s">
        <v>1930</v>
      </c>
      <c r="G215" t="s">
        <v>1995</v>
      </c>
      <c r="H215" t="s">
        <v>1910</v>
      </c>
      <c r="I215"/>
      <c r="J215" t="s">
        <v>1952</v>
      </c>
      <c r="K215"/>
      <c r="L215">
        <v>100</v>
      </c>
      <c r="M215">
        <v>30</v>
      </c>
      <c r="N215"/>
      <c r="O215"/>
      <c r="P215" s="31">
        <v>5</v>
      </c>
      <c r="Q215" s="232">
        <f t="shared" si="84"/>
        <v>2.5</v>
      </c>
      <c r="R215" s="40">
        <v>0.85</v>
      </c>
      <c r="S215" s="334">
        <f t="shared" si="85"/>
        <v>2.125</v>
      </c>
      <c r="T215" s="31">
        <f>VLOOKUP(A215,'Ansvar kurs'!$A$1:$C$1010,2,FALSE)</f>
        <v>1650</v>
      </c>
      <c r="U215" s="31" t="str">
        <f>VLOOKUP(T215,Orgenheter!$A$1:$C$165,2,FALSE)</f>
        <v xml:space="preserve">Estetiska ämnen               </v>
      </c>
      <c r="V215" s="31" t="str">
        <f>VLOOKUP(T215,Orgenheter!$A$1:$C$165,3,FALSE)</f>
        <v>Hum</v>
      </c>
      <c r="W215" s="37" t="str">
        <f>VLOOKUP(D215,Program!$A$1:$B$34,2,FALSE)</f>
        <v>Ämneslärarprogrammet - Gy</v>
      </c>
      <c r="X215" s="42">
        <f>VLOOKUP(A215,kurspris!$A$1:$Q$798,15,FALSE)</f>
        <v>47957</v>
      </c>
      <c r="Y215" s="42">
        <f>VLOOKUP(A215,kurspris!$A$1:$Q$798,16,FALSE)</f>
        <v>57006</v>
      </c>
      <c r="Z215" s="42">
        <f t="shared" si="86"/>
        <v>241030.25</v>
      </c>
      <c r="AA215" s="42">
        <f>VLOOKUP(A215,kurspris!$A$1:$Q$798,17,FALSE)</f>
        <v>69000</v>
      </c>
      <c r="AB215" s="42">
        <f t="shared" si="87"/>
        <v>172500</v>
      </c>
      <c r="AC215" s="42">
        <f t="shared" si="88"/>
        <v>413530.25</v>
      </c>
      <c r="AD215" s="31">
        <f>VLOOKUP($A215,kurspris!$A$1:$Q$835,3,FALSE)</f>
        <v>1</v>
      </c>
      <c r="AE215" s="31">
        <f>VLOOKUP($A215,kurspris!$A$1:$Q$835,4,FALSE)</f>
        <v>0</v>
      </c>
      <c r="AF215" s="31">
        <f>VLOOKUP($A215,kurspris!$A$1:$Q$835,5,FALSE)</f>
        <v>0</v>
      </c>
      <c r="AG215" s="31">
        <f>VLOOKUP($A215,kurspris!$A$1:$Q$835,6,FALSE)</f>
        <v>0</v>
      </c>
      <c r="AH215" s="31">
        <f>VLOOKUP($A215,kurspris!$A$1:$Q$835,7,FALSE)</f>
        <v>0</v>
      </c>
      <c r="AI215" s="31">
        <f>VLOOKUP($A215,kurspris!$A$1:$Q$835,8,FALSE)</f>
        <v>0</v>
      </c>
      <c r="AJ215" s="31">
        <f>VLOOKUP($A215,kurspris!$A$1:$Q$835,9,FALSE)</f>
        <v>0</v>
      </c>
      <c r="AK215" s="31">
        <f>VLOOKUP($A215,kurspris!$A$1:$Q$835,10,FALSE)</f>
        <v>0</v>
      </c>
      <c r="AL215" s="31">
        <f>VLOOKUP($A215,kurspris!$A$1:$Q$835,11,FALSE)</f>
        <v>0</v>
      </c>
      <c r="AM215" s="31">
        <f>VLOOKUP($A215,kurspris!$A$1:$Q$835,12,FALSE)</f>
        <v>0</v>
      </c>
      <c r="AN215" s="31">
        <f>VLOOKUP($A215,kurspris!$A$1:$Q$835,13,FALSE)</f>
        <v>0</v>
      </c>
      <c r="AO215" s="31">
        <f>VLOOKUP($A215,kurspris!$A$1:$Q$835,14,FALSE)</f>
        <v>0</v>
      </c>
      <c r="AP215" s="39" t="s">
        <v>2204</v>
      </c>
      <c r="AQ215"/>
      <c r="AR215" s="31">
        <f t="shared" si="89"/>
        <v>2.5</v>
      </c>
      <c r="AS215" s="255">
        <f t="shared" si="90"/>
        <v>2.125</v>
      </c>
      <c r="AT215" s="31">
        <f t="shared" si="91"/>
        <v>0</v>
      </c>
      <c r="AU215" s="255">
        <f t="shared" si="92"/>
        <v>0</v>
      </c>
      <c r="AV215" s="31">
        <f t="shared" si="93"/>
        <v>0</v>
      </c>
      <c r="AW215" s="31">
        <f t="shared" si="94"/>
        <v>0</v>
      </c>
      <c r="AX215" s="31">
        <f t="shared" si="95"/>
        <v>0</v>
      </c>
      <c r="AY215" s="255">
        <f t="shared" si="96"/>
        <v>0</v>
      </c>
      <c r="AZ215" s="232">
        <f t="shared" si="97"/>
        <v>0</v>
      </c>
      <c r="BA215" s="255">
        <f t="shared" si="98"/>
        <v>0</v>
      </c>
      <c r="BB215" s="31">
        <f t="shared" si="99"/>
        <v>0</v>
      </c>
      <c r="BC215" s="255">
        <f t="shared" si="100"/>
        <v>0</v>
      </c>
      <c r="BD215" s="31">
        <f t="shared" si="101"/>
        <v>0</v>
      </c>
      <c r="BE215" s="255">
        <f t="shared" si="102"/>
        <v>0</v>
      </c>
      <c r="BF215" s="31">
        <f t="shared" si="103"/>
        <v>0</v>
      </c>
      <c r="BG215" s="255">
        <f t="shared" si="104"/>
        <v>0</v>
      </c>
      <c r="BH215" s="31">
        <f t="shared" si="105"/>
        <v>0</v>
      </c>
      <c r="BI215" s="255">
        <f t="shared" si="106"/>
        <v>0</v>
      </c>
      <c r="BJ215" s="31">
        <f t="shared" si="107"/>
        <v>0</v>
      </c>
      <c r="BK215" s="31">
        <f t="shared" si="108"/>
        <v>0</v>
      </c>
      <c r="BL215" s="255">
        <f t="shared" si="109"/>
        <v>0</v>
      </c>
      <c r="BM215" s="31">
        <f t="shared" si="110"/>
        <v>0</v>
      </c>
      <c r="BN215" s="255">
        <f t="shared" si="111"/>
        <v>0</v>
      </c>
    </row>
    <row r="216" spans="1:66" x14ac:dyDescent="0.25">
      <c r="A216" s="159" t="s">
        <v>2182</v>
      </c>
      <c r="B216" s="186" t="str">
        <f>VLOOKUP(A216,kurspris!$A$1:$B$877,2,FALSE)</f>
        <v>Bild fördjupning 3, fristående</v>
      </c>
      <c r="C216" s="37"/>
      <c r="D216" t="s">
        <v>117</v>
      </c>
      <c r="E216"/>
      <c r="F216" s="59" t="s">
        <v>1930</v>
      </c>
      <c r="G216"/>
      <c r="H216"/>
      <c r="I216" t="s">
        <v>1634</v>
      </c>
      <c r="L216">
        <v>100</v>
      </c>
      <c r="M216">
        <v>30</v>
      </c>
      <c r="P216" s="31">
        <v>1</v>
      </c>
      <c r="Q216" s="232">
        <f t="shared" si="84"/>
        <v>0.5</v>
      </c>
      <c r="R216" s="40">
        <v>0.8</v>
      </c>
      <c r="S216" s="334">
        <f t="shared" si="85"/>
        <v>0.4</v>
      </c>
      <c r="T216" s="31">
        <f>VLOOKUP(A216,'Ansvar kurs'!$A$1:$C$1010,2,FALSE)</f>
        <v>1650</v>
      </c>
      <c r="U216" s="31" t="str">
        <f>VLOOKUP(T216,Orgenheter!$A$1:$C$165,2,FALSE)</f>
        <v xml:space="preserve">Estetiska ämnen               </v>
      </c>
      <c r="V216" s="31" t="str">
        <f>VLOOKUP(T216,Orgenheter!$A$1:$C$165,3,FALSE)</f>
        <v>Hum</v>
      </c>
      <c r="W216" s="37" t="str">
        <f>VLOOKUP(D216,Program!$A$1:$B$34,2,FALSE)</f>
        <v>Fristående och övriga kurser</v>
      </c>
      <c r="X216" s="42">
        <f>VLOOKUP(A216,kurspris!$A$1:$Q$798,15,FALSE)</f>
        <v>47957</v>
      </c>
      <c r="Y216" s="42">
        <f>VLOOKUP(A216,kurspris!$A$1:$Q$798,16,FALSE)</f>
        <v>57006</v>
      </c>
      <c r="Z216" s="42">
        <f t="shared" si="86"/>
        <v>46780.9</v>
      </c>
      <c r="AA216" s="42">
        <f>VLOOKUP(A216,kurspris!$A$1:$Q$798,17,FALSE)</f>
        <v>69000</v>
      </c>
      <c r="AB216" s="42">
        <f t="shared" si="87"/>
        <v>34500</v>
      </c>
      <c r="AC216" s="42">
        <f t="shared" si="88"/>
        <v>81280.899999999994</v>
      </c>
      <c r="AD216" s="31">
        <f>VLOOKUP($A216,kurspris!$A$1:$Q$835,3,FALSE)</f>
        <v>1</v>
      </c>
      <c r="AE216" s="31">
        <f>VLOOKUP($A216,kurspris!$A$1:$Q$835,4,FALSE)</f>
        <v>0</v>
      </c>
      <c r="AF216" s="31">
        <f>VLOOKUP($A216,kurspris!$A$1:$Q$835,5,FALSE)</f>
        <v>0</v>
      </c>
      <c r="AG216" s="31">
        <f>VLOOKUP($A216,kurspris!$A$1:$Q$835,6,FALSE)</f>
        <v>0</v>
      </c>
      <c r="AH216" s="31">
        <f>VLOOKUP($A216,kurspris!$A$1:$Q$835,7,FALSE)</f>
        <v>0</v>
      </c>
      <c r="AI216" s="31">
        <f>VLOOKUP($A216,kurspris!$A$1:$Q$835,8,FALSE)</f>
        <v>0</v>
      </c>
      <c r="AJ216" s="31">
        <f>VLOOKUP($A216,kurspris!$A$1:$Q$835,9,FALSE)</f>
        <v>0</v>
      </c>
      <c r="AK216" s="31">
        <f>VLOOKUP($A216,kurspris!$A$1:$Q$835,10,FALSE)</f>
        <v>0</v>
      </c>
      <c r="AL216" s="31">
        <f>VLOOKUP($A216,kurspris!$A$1:$Q$835,11,FALSE)</f>
        <v>0</v>
      </c>
      <c r="AM216" s="31">
        <f>VLOOKUP($A216,kurspris!$A$1:$Q$835,12,FALSE)</f>
        <v>0</v>
      </c>
      <c r="AN216" s="31">
        <f>VLOOKUP($A216,kurspris!$A$1:$Q$835,13,FALSE)</f>
        <v>0</v>
      </c>
      <c r="AO216" s="31">
        <f>VLOOKUP($A216,kurspris!$A$1:$Q$835,14,FALSE)</f>
        <v>0</v>
      </c>
      <c r="AP216" s="39" t="s">
        <v>2204</v>
      </c>
      <c r="AQ216" s="39" t="s">
        <v>2095</v>
      </c>
      <c r="AR216" s="31">
        <f t="shared" si="89"/>
        <v>0.5</v>
      </c>
      <c r="AS216" s="255">
        <f t="shared" si="90"/>
        <v>0.4</v>
      </c>
      <c r="AT216" s="31">
        <f t="shared" si="91"/>
        <v>0</v>
      </c>
      <c r="AU216" s="255">
        <f t="shared" si="92"/>
        <v>0</v>
      </c>
      <c r="AV216" s="31">
        <f t="shared" si="93"/>
        <v>0</v>
      </c>
      <c r="AW216" s="31">
        <f t="shared" si="94"/>
        <v>0</v>
      </c>
      <c r="AX216" s="31">
        <f t="shared" si="95"/>
        <v>0</v>
      </c>
      <c r="AY216" s="255">
        <f t="shared" si="96"/>
        <v>0</v>
      </c>
      <c r="AZ216" s="232">
        <f t="shared" si="97"/>
        <v>0</v>
      </c>
      <c r="BA216" s="255">
        <f t="shared" si="98"/>
        <v>0</v>
      </c>
      <c r="BB216" s="31">
        <f t="shared" si="99"/>
        <v>0</v>
      </c>
      <c r="BC216" s="255">
        <f t="shared" si="100"/>
        <v>0</v>
      </c>
      <c r="BD216" s="31">
        <f t="shared" si="101"/>
        <v>0</v>
      </c>
      <c r="BE216" s="255">
        <f t="shared" si="102"/>
        <v>0</v>
      </c>
      <c r="BF216" s="31">
        <f t="shared" si="103"/>
        <v>0</v>
      </c>
      <c r="BG216" s="255">
        <f t="shared" si="104"/>
        <v>0</v>
      </c>
      <c r="BH216" s="31">
        <f t="shared" si="105"/>
        <v>0</v>
      </c>
      <c r="BI216" s="255">
        <f t="shared" si="106"/>
        <v>0</v>
      </c>
      <c r="BJ216" s="31">
        <f t="shared" si="107"/>
        <v>0</v>
      </c>
      <c r="BK216" s="31">
        <f t="shared" si="108"/>
        <v>0</v>
      </c>
      <c r="BL216" s="255">
        <f t="shared" si="109"/>
        <v>0</v>
      </c>
      <c r="BM216" s="31">
        <f t="shared" si="110"/>
        <v>0</v>
      </c>
      <c r="BN216" s="255">
        <f t="shared" si="111"/>
        <v>0</v>
      </c>
    </row>
    <row r="217" spans="1:66" x14ac:dyDescent="0.25">
      <c r="A217" s="159" t="s">
        <v>2196</v>
      </c>
      <c r="B217" s="186" t="str">
        <f>VLOOKUP(A217,kurspris!$A$1:$B$877,2,FALSE)</f>
        <v>Bild 3</v>
      </c>
      <c r="C217" s="37"/>
      <c r="D217" t="s">
        <v>483</v>
      </c>
      <c r="E217"/>
      <c r="F217" s="59" t="s">
        <v>1930</v>
      </c>
      <c r="G217"/>
      <c r="H217" t="s">
        <v>1910</v>
      </c>
      <c r="I217"/>
      <c r="L217">
        <v>100</v>
      </c>
      <c r="M217">
        <v>30</v>
      </c>
      <c r="P217" s="31">
        <v>1</v>
      </c>
      <c r="Q217" s="232">
        <f t="shared" si="84"/>
        <v>0.5</v>
      </c>
      <c r="R217" s="40">
        <v>0.85</v>
      </c>
      <c r="S217" s="334">
        <f t="shared" si="85"/>
        <v>0.42499999999999999</v>
      </c>
      <c r="T217" s="31">
        <f>VLOOKUP(A217,'Ansvar kurs'!$A$1:$C$1010,2,FALSE)</f>
        <v>1650</v>
      </c>
      <c r="U217" s="31" t="str">
        <f>VLOOKUP(T217,Orgenheter!$A$1:$C$165,2,FALSE)</f>
        <v xml:space="preserve">Estetiska ämnen               </v>
      </c>
      <c r="V217" s="31" t="str">
        <f>VLOOKUP(T217,Orgenheter!$A$1:$C$165,3,FALSE)</f>
        <v>Hum</v>
      </c>
      <c r="W217" s="37" t="str">
        <f>VLOOKUP(D217,Program!$A$1:$B$34,2,FALSE)</f>
        <v>Ämneslärarprogrammet - Gy</v>
      </c>
      <c r="X217" s="42">
        <f>VLOOKUP(A217,kurspris!$A$1:$Q$798,15,FALSE)</f>
        <v>47957</v>
      </c>
      <c r="Y217" s="42">
        <f>VLOOKUP(A217,kurspris!$A$1:$Q$798,16,FALSE)</f>
        <v>57006</v>
      </c>
      <c r="Z217" s="42">
        <f t="shared" si="86"/>
        <v>48206.05</v>
      </c>
      <c r="AA217" s="42">
        <f>VLOOKUP(A217,kurspris!$A$1:$Q$798,17,FALSE)</f>
        <v>69000</v>
      </c>
      <c r="AB217" s="42">
        <f t="shared" si="87"/>
        <v>34500</v>
      </c>
      <c r="AC217" s="42">
        <f t="shared" si="88"/>
        <v>82706.05</v>
      </c>
      <c r="AD217" s="31">
        <f>VLOOKUP($A217,kurspris!$A$1:$Q$835,3,FALSE)</f>
        <v>1</v>
      </c>
      <c r="AE217" s="31">
        <f>VLOOKUP($A217,kurspris!$A$1:$Q$835,4,FALSE)</f>
        <v>0</v>
      </c>
      <c r="AF217" s="31">
        <f>VLOOKUP($A217,kurspris!$A$1:$Q$835,5,FALSE)</f>
        <v>0</v>
      </c>
      <c r="AG217" s="31">
        <f>VLOOKUP($A217,kurspris!$A$1:$Q$835,6,FALSE)</f>
        <v>0</v>
      </c>
      <c r="AH217" s="31">
        <f>VLOOKUP($A217,kurspris!$A$1:$Q$835,7,FALSE)</f>
        <v>0</v>
      </c>
      <c r="AI217" s="31">
        <f>VLOOKUP($A217,kurspris!$A$1:$Q$835,8,FALSE)</f>
        <v>0</v>
      </c>
      <c r="AJ217" s="31">
        <f>VLOOKUP($A217,kurspris!$A$1:$Q$835,9,FALSE)</f>
        <v>0</v>
      </c>
      <c r="AK217" s="31">
        <f>VLOOKUP($A217,kurspris!$A$1:$Q$835,10,FALSE)</f>
        <v>0</v>
      </c>
      <c r="AL217" s="31">
        <f>VLOOKUP($A217,kurspris!$A$1:$Q$835,11,FALSE)</f>
        <v>0</v>
      </c>
      <c r="AM217" s="31">
        <f>VLOOKUP($A217,kurspris!$A$1:$Q$835,12,FALSE)</f>
        <v>0</v>
      </c>
      <c r="AN217" s="31">
        <f>VLOOKUP($A217,kurspris!$A$1:$Q$835,13,FALSE)</f>
        <v>0</v>
      </c>
      <c r="AO217" s="31">
        <f>VLOOKUP($A217,kurspris!$A$1:$Q$835,14,FALSE)</f>
        <v>0</v>
      </c>
      <c r="AP217" s="39" t="s">
        <v>2204</v>
      </c>
      <c r="AQ217"/>
      <c r="AR217" s="31">
        <f t="shared" si="89"/>
        <v>0.5</v>
      </c>
      <c r="AS217" s="255">
        <f t="shared" si="90"/>
        <v>0.42499999999999999</v>
      </c>
      <c r="AT217" s="31">
        <f t="shared" si="91"/>
        <v>0</v>
      </c>
      <c r="AU217" s="255">
        <f t="shared" si="92"/>
        <v>0</v>
      </c>
      <c r="AV217" s="31">
        <f t="shared" si="93"/>
        <v>0</v>
      </c>
      <c r="AW217" s="31">
        <f t="shared" si="94"/>
        <v>0</v>
      </c>
      <c r="AX217" s="31">
        <f t="shared" si="95"/>
        <v>0</v>
      </c>
      <c r="AY217" s="255">
        <f t="shared" si="96"/>
        <v>0</v>
      </c>
      <c r="AZ217" s="232">
        <f t="shared" si="97"/>
        <v>0</v>
      </c>
      <c r="BA217" s="255">
        <f t="shared" si="98"/>
        <v>0</v>
      </c>
      <c r="BB217" s="31">
        <f t="shared" si="99"/>
        <v>0</v>
      </c>
      <c r="BC217" s="255">
        <f t="shared" si="100"/>
        <v>0</v>
      </c>
      <c r="BD217" s="31">
        <f t="shared" si="101"/>
        <v>0</v>
      </c>
      <c r="BE217" s="255">
        <f t="shared" si="102"/>
        <v>0</v>
      </c>
      <c r="BF217" s="31">
        <f t="shared" si="103"/>
        <v>0</v>
      </c>
      <c r="BG217" s="255">
        <f t="shared" si="104"/>
        <v>0</v>
      </c>
      <c r="BH217" s="31">
        <f t="shared" si="105"/>
        <v>0</v>
      </c>
      <c r="BI217" s="255">
        <f t="shared" si="106"/>
        <v>0</v>
      </c>
      <c r="BJ217" s="31">
        <f t="shared" si="107"/>
        <v>0</v>
      </c>
      <c r="BK217" s="31">
        <f t="shared" si="108"/>
        <v>0</v>
      </c>
      <c r="BL217" s="255">
        <f t="shared" si="109"/>
        <v>0</v>
      </c>
      <c r="BM217" s="31">
        <f t="shared" si="110"/>
        <v>0</v>
      </c>
      <c r="BN217" s="255">
        <f t="shared" si="111"/>
        <v>0</v>
      </c>
    </row>
    <row r="218" spans="1:66" x14ac:dyDescent="0.25">
      <c r="A218" s="159" t="s">
        <v>2196</v>
      </c>
      <c r="B218" s="186" t="str">
        <f>VLOOKUP(A218,kurspris!$A$1:$B$877,2,FALSE)</f>
        <v>Bild 3</v>
      </c>
      <c r="C218" s="37"/>
      <c r="D218" t="s">
        <v>483</v>
      </c>
      <c r="E218"/>
      <c r="F218" s="59" t="s">
        <v>1930</v>
      </c>
      <c r="G218"/>
      <c r="H218" t="s">
        <v>1910</v>
      </c>
      <c r="I218"/>
      <c r="L218">
        <v>100</v>
      </c>
      <c r="M218">
        <v>30</v>
      </c>
      <c r="P218" s="31">
        <v>1</v>
      </c>
      <c r="Q218" s="232">
        <f t="shared" si="84"/>
        <v>0.5</v>
      </c>
      <c r="R218" s="40">
        <v>0.85</v>
      </c>
      <c r="S218" s="334">
        <f t="shared" si="85"/>
        <v>0.42499999999999999</v>
      </c>
      <c r="T218" s="31">
        <f>VLOOKUP(A218,'Ansvar kurs'!$A$1:$C$1010,2,FALSE)</f>
        <v>1650</v>
      </c>
      <c r="U218" s="31" t="str">
        <f>VLOOKUP(T218,Orgenheter!$A$1:$C$165,2,FALSE)</f>
        <v xml:space="preserve">Estetiska ämnen               </v>
      </c>
      <c r="V218" s="31" t="str">
        <f>VLOOKUP(T218,Orgenheter!$A$1:$C$165,3,FALSE)</f>
        <v>Hum</v>
      </c>
      <c r="W218" s="37" t="str">
        <f>VLOOKUP(D218,Program!$A$1:$B$34,2,FALSE)</f>
        <v>Ämneslärarprogrammet - Gy</v>
      </c>
      <c r="X218" s="42">
        <f>VLOOKUP(A218,kurspris!$A$1:$Q$798,15,FALSE)</f>
        <v>47957</v>
      </c>
      <c r="Y218" s="42">
        <f>VLOOKUP(A218,kurspris!$A$1:$Q$798,16,FALSE)</f>
        <v>57006</v>
      </c>
      <c r="Z218" s="42">
        <f t="shared" si="86"/>
        <v>48206.05</v>
      </c>
      <c r="AA218" s="42">
        <f>VLOOKUP(A218,kurspris!$A$1:$Q$798,17,FALSE)</f>
        <v>69000</v>
      </c>
      <c r="AB218" s="42">
        <f t="shared" si="87"/>
        <v>34500</v>
      </c>
      <c r="AC218" s="42">
        <f t="shared" si="88"/>
        <v>82706.05</v>
      </c>
      <c r="AD218" s="31">
        <f>VLOOKUP($A218,kurspris!$A$1:$Q$835,3,FALSE)</f>
        <v>1</v>
      </c>
      <c r="AE218" s="31">
        <f>VLOOKUP($A218,kurspris!$A$1:$Q$835,4,FALSE)</f>
        <v>0</v>
      </c>
      <c r="AF218" s="31">
        <f>VLOOKUP($A218,kurspris!$A$1:$Q$835,5,FALSE)</f>
        <v>0</v>
      </c>
      <c r="AG218" s="31">
        <f>VLOOKUP($A218,kurspris!$A$1:$Q$835,6,FALSE)</f>
        <v>0</v>
      </c>
      <c r="AH218" s="31">
        <f>VLOOKUP($A218,kurspris!$A$1:$Q$835,7,FALSE)</f>
        <v>0</v>
      </c>
      <c r="AI218" s="31">
        <f>VLOOKUP($A218,kurspris!$A$1:$Q$835,8,FALSE)</f>
        <v>0</v>
      </c>
      <c r="AJ218" s="31">
        <f>VLOOKUP($A218,kurspris!$A$1:$Q$835,9,FALSE)</f>
        <v>0</v>
      </c>
      <c r="AK218" s="31">
        <f>VLOOKUP($A218,kurspris!$A$1:$Q$835,10,FALSE)</f>
        <v>0</v>
      </c>
      <c r="AL218" s="31">
        <f>VLOOKUP($A218,kurspris!$A$1:$Q$835,11,FALSE)</f>
        <v>0</v>
      </c>
      <c r="AM218" s="31">
        <f>VLOOKUP($A218,kurspris!$A$1:$Q$835,12,FALSE)</f>
        <v>0</v>
      </c>
      <c r="AN218" s="31">
        <f>VLOOKUP($A218,kurspris!$A$1:$Q$835,13,FALSE)</f>
        <v>0</v>
      </c>
      <c r="AO218" s="31">
        <f>VLOOKUP($A218,kurspris!$A$1:$Q$835,14,FALSE)</f>
        <v>0</v>
      </c>
      <c r="AP218" s="39" t="s">
        <v>2204</v>
      </c>
      <c r="AQ218"/>
      <c r="AR218" s="31">
        <f t="shared" si="89"/>
        <v>0.5</v>
      </c>
      <c r="AS218" s="255">
        <f t="shared" si="90"/>
        <v>0.42499999999999999</v>
      </c>
      <c r="AT218" s="31">
        <f t="shared" si="91"/>
        <v>0</v>
      </c>
      <c r="AU218" s="255">
        <f t="shared" si="92"/>
        <v>0</v>
      </c>
      <c r="AV218" s="31">
        <f t="shared" si="93"/>
        <v>0</v>
      </c>
      <c r="AW218" s="31">
        <f t="shared" si="94"/>
        <v>0</v>
      </c>
      <c r="AX218" s="31">
        <f t="shared" si="95"/>
        <v>0</v>
      </c>
      <c r="AY218" s="255">
        <f t="shared" si="96"/>
        <v>0</v>
      </c>
      <c r="AZ218" s="232">
        <f t="shared" si="97"/>
        <v>0</v>
      </c>
      <c r="BA218" s="255">
        <f t="shared" si="98"/>
        <v>0</v>
      </c>
      <c r="BB218" s="31">
        <f t="shared" si="99"/>
        <v>0</v>
      </c>
      <c r="BC218" s="255">
        <f t="shared" si="100"/>
        <v>0</v>
      </c>
      <c r="BD218" s="31">
        <f t="shared" si="101"/>
        <v>0</v>
      </c>
      <c r="BE218" s="255">
        <f t="shared" si="102"/>
        <v>0</v>
      </c>
      <c r="BF218" s="31">
        <f t="shared" si="103"/>
        <v>0</v>
      </c>
      <c r="BG218" s="255">
        <f t="shared" si="104"/>
        <v>0</v>
      </c>
      <c r="BH218" s="31">
        <f t="shared" si="105"/>
        <v>0</v>
      </c>
      <c r="BI218" s="255">
        <f t="shared" si="106"/>
        <v>0</v>
      </c>
      <c r="BJ218" s="31">
        <f t="shared" si="107"/>
        <v>0</v>
      </c>
      <c r="BK218" s="31">
        <f t="shared" si="108"/>
        <v>0</v>
      </c>
      <c r="BL218" s="255">
        <f t="shared" si="109"/>
        <v>0</v>
      </c>
      <c r="BM218" s="31">
        <f t="shared" si="110"/>
        <v>0</v>
      </c>
      <c r="BN218" s="255">
        <f t="shared" si="111"/>
        <v>0</v>
      </c>
    </row>
    <row r="219" spans="1:66" x14ac:dyDescent="0.25">
      <c r="A219" s="18" t="s">
        <v>866</v>
      </c>
      <c r="B219" s="186" t="str">
        <f>VLOOKUP(A219,kurspris!$A$1:$B$877,2,FALSE)</f>
        <v>Franska II för ämneslärare</v>
      </c>
      <c r="C219" s="37"/>
      <c r="D219" t="s">
        <v>117</v>
      </c>
      <c r="E219"/>
      <c r="F219" s="59" t="s">
        <v>1931</v>
      </c>
      <c r="G219"/>
      <c r="H219"/>
      <c r="I219" t="s">
        <v>1634</v>
      </c>
      <c r="L219">
        <v>100</v>
      </c>
      <c r="M219">
        <v>30</v>
      </c>
      <c r="P219">
        <v>1</v>
      </c>
      <c r="Q219" s="232">
        <f t="shared" si="84"/>
        <v>0.5</v>
      </c>
      <c r="R219" s="40">
        <v>0.8</v>
      </c>
      <c r="S219" s="334">
        <f t="shared" si="85"/>
        <v>0.4</v>
      </c>
      <c r="T219" s="31">
        <f>VLOOKUP(A219,'Ansvar kurs'!$A$1:$C$1010,2,FALSE)</f>
        <v>1620</v>
      </c>
      <c r="U219" s="31" t="str">
        <f>VLOOKUP(T219,Orgenheter!$A$1:$C$165,2,FALSE)</f>
        <v>Inst för språkstudier</v>
      </c>
      <c r="V219" s="31" t="str">
        <f>VLOOKUP(T219,Orgenheter!$A$1:$C$165,3,FALSE)</f>
        <v>Hum</v>
      </c>
      <c r="W219" s="37" t="str">
        <f>VLOOKUP(D219,Program!$A$1:$B$34,2,FALSE)</f>
        <v>Fristående och övriga kurser</v>
      </c>
      <c r="X219" s="42">
        <f>VLOOKUP(A219,kurspris!$A$1:$Q$798,15,FALSE)</f>
        <v>18405</v>
      </c>
      <c r="Y219" s="42">
        <f>VLOOKUP(A219,kurspris!$A$1:$Q$798,16,FALSE)</f>
        <v>15773</v>
      </c>
      <c r="Z219" s="42">
        <f t="shared" si="86"/>
        <v>15511.7</v>
      </c>
      <c r="AA219" s="42">
        <f>VLOOKUP(A219,kurspris!$A$1:$Q$798,17,FALSE)</f>
        <v>5800</v>
      </c>
      <c r="AB219" s="42">
        <f t="shared" si="87"/>
        <v>2900</v>
      </c>
      <c r="AC219" s="42">
        <f t="shared" si="88"/>
        <v>18411.7</v>
      </c>
      <c r="AD219" s="31">
        <f>VLOOKUP($A219,kurspris!$A$1:$Q$835,3,FALSE)</f>
        <v>0</v>
      </c>
      <c r="AE219" s="31">
        <f>VLOOKUP($A219,kurspris!$A$1:$Q$835,4,FALSE)</f>
        <v>1</v>
      </c>
      <c r="AF219" s="31">
        <f>VLOOKUP($A219,kurspris!$A$1:$Q$835,5,FALSE)</f>
        <v>0</v>
      </c>
      <c r="AG219" s="31">
        <f>VLOOKUP($A219,kurspris!$A$1:$Q$835,6,FALSE)</f>
        <v>0</v>
      </c>
      <c r="AH219" s="31">
        <f>VLOOKUP($A219,kurspris!$A$1:$Q$835,7,FALSE)</f>
        <v>0</v>
      </c>
      <c r="AI219" s="31">
        <f>VLOOKUP($A219,kurspris!$A$1:$Q$835,8,FALSE)</f>
        <v>0</v>
      </c>
      <c r="AJ219" s="31">
        <f>VLOOKUP($A219,kurspris!$A$1:$Q$835,9,FALSE)</f>
        <v>0</v>
      </c>
      <c r="AK219" s="31">
        <f>VLOOKUP($A219,kurspris!$A$1:$Q$835,10,FALSE)</f>
        <v>0</v>
      </c>
      <c r="AL219" s="31">
        <f>VLOOKUP($A219,kurspris!$A$1:$Q$835,11,FALSE)</f>
        <v>0</v>
      </c>
      <c r="AM219" s="31">
        <f>VLOOKUP($A219,kurspris!$A$1:$Q$835,12,FALSE)</f>
        <v>0</v>
      </c>
      <c r="AN219" s="31">
        <f>VLOOKUP($A219,kurspris!$A$1:$Q$835,13,FALSE)</f>
        <v>0</v>
      </c>
      <c r="AO219" s="31">
        <f>VLOOKUP($A219,kurspris!$A$1:$Q$835,14,FALSE)</f>
        <v>0</v>
      </c>
      <c r="AP219" s="39" t="s">
        <v>2095</v>
      </c>
      <c r="AQ219"/>
      <c r="AR219" s="31">
        <f t="shared" si="89"/>
        <v>0</v>
      </c>
      <c r="AS219" s="255">
        <f t="shared" si="90"/>
        <v>0</v>
      </c>
      <c r="AT219" s="31">
        <f t="shared" si="91"/>
        <v>0.5</v>
      </c>
      <c r="AU219" s="255">
        <f t="shared" si="92"/>
        <v>0.4</v>
      </c>
      <c r="AV219" s="31">
        <f t="shared" si="93"/>
        <v>0</v>
      </c>
      <c r="AW219" s="31">
        <f t="shared" si="94"/>
        <v>0</v>
      </c>
      <c r="AX219" s="31">
        <f t="shared" si="95"/>
        <v>0</v>
      </c>
      <c r="AY219" s="255">
        <f t="shared" si="96"/>
        <v>0</v>
      </c>
      <c r="AZ219" s="232">
        <f t="shared" si="97"/>
        <v>0</v>
      </c>
      <c r="BA219" s="255">
        <f t="shared" si="98"/>
        <v>0</v>
      </c>
      <c r="BB219" s="31">
        <f t="shared" si="99"/>
        <v>0</v>
      </c>
      <c r="BC219" s="255">
        <f t="shared" si="100"/>
        <v>0</v>
      </c>
      <c r="BD219" s="31">
        <f t="shared" si="101"/>
        <v>0</v>
      </c>
      <c r="BE219" s="255">
        <f t="shared" si="102"/>
        <v>0</v>
      </c>
      <c r="BF219" s="31">
        <f t="shared" si="103"/>
        <v>0</v>
      </c>
      <c r="BG219" s="255">
        <f t="shared" si="104"/>
        <v>0</v>
      </c>
      <c r="BH219" s="31">
        <f t="shared" si="105"/>
        <v>0</v>
      </c>
      <c r="BI219" s="255">
        <f t="shared" si="106"/>
        <v>0</v>
      </c>
      <c r="BJ219" s="31">
        <f t="shared" si="107"/>
        <v>0</v>
      </c>
      <c r="BK219" s="31">
        <f t="shared" si="108"/>
        <v>0</v>
      </c>
      <c r="BL219" s="255">
        <f t="shared" si="109"/>
        <v>0</v>
      </c>
      <c r="BM219" s="31">
        <f t="shared" si="110"/>
        <v>0</v>
      </c>
      <c r="BN219" s="255">
        <f t="shared" si="111"/>
        <v>0</v>
      </c>
    </row>
    <row r="220" spans="1:66" x14ac:dyDescent="0.25">
      <c r="A220" s="18" t="s">
        <v>2202</v>
      </c>
      <c r="B220" s="186" t="str">
        <f>VLOOKUP(A220,kurspris!$A$1:$B$877,2,FALSE)</f>
        <v>Franska för ämneslärare, kurs 1</v>
      </c>
      <c r="C220" s="37"/>
      <c r="D220" t="s">
        <v>117</v>
      </c>
      <c r="E220"/>
      <c r="F220" s="59" t="s">
        <v>1930</v>
      </c>
      <c r="G220"/>
      <c r="H220"/>
      <c r="I220" t="s">
        <v>1634</v>
      </c>
      <c r="L220">
        <v>100</v>
      </c>
      <c r="M220">
        <v>30</v>
      </c>
      <c r="P220" s="31">
        <v>2</v>
      </c>
      <c r="Q220" s="232">
        <f t="shared" si="84"/>
        <v>1</v>
      </c>
      <c r="R220" s="40">
        <v>0.8</v>
      </c>
      <c r="S220" s="334">
        <f t="shared" si="85"/>
        <v>0.8</v>
      </c>
      <c r="T220" s="31">
        <f>VLOOKUP(A220,'Ansvar kurs'!$A$1:$C$1010,2,FALSE)</f>
        <v>1620</v>
      </c>
      <c r="U220" s="31" t="str">
        <f>VLOOKUP(T220,Orgenheter!$A$1:$C$165,2,FALSE)</f>
        <v>Inst för språkstudier</v>
      </c>
      <c r="V220" s="31" t="str">
        <f>VLOOKUP(T220,Orgenheter!$A$1:$C$165,3,FALSE)</f>
        <v>Hum</v>
      </c>
      <c r="W220" s="37" t="str">
        <f>VLOOKUP(D220,Program!$A$1:$B$34,2,FALSE)</f>
        <v>Fristående och övriga kurser</v>
      </c>
      <c r="X220" s="42">
        <f>VLOOKUP(A220,kurspris!$A$1:$Q$798,15,FALSE)</f>
        <v>18405</v>
      </c>
      <c r="Y220" s="42">
        <f>VLOOKUP(A220,kurspris!$A$1:$Q$798,16,FALSE)</f>
        <v>15773</v>
      </c>
      <c r="Z220" s="42">
        <f t="shared" si="86"/>
        <v>31023.4</v>
      </c>
      <c r="AA220" s="42">
        <f>VLOOKUP(A220,kurspris!$A$1:$Q$798,17,FALSE)</f>
        <v>5800</v>
      </c>
      <c r="AB220" s="42">
        <f t="shared" si="87"/>
        <v>5800</v>
      </c>
      <c r="AC220" s="42">
        <f t="shared" si="88"/>
        <v>36823.4</v>
      </c>
      <c r="AD220" s="31">
        <f>VLOOKUP($A220,kurspris!$A$1:$Q$835,3,FALSE)</f>
        <v>0</v>
      </c>
      <c r="AE220" s="31">
        <f>VLOOKUP($A220,kurspris!$A$1:$Q$835,4,FALSE)</f>
        <v>1</v>
      </c>
      <c r="AF220" s="31">
        <f>VLOOKUP($A220,kurspris!$A$1:$Q$835,5,FALSE)</f>
        <v>0</v>
      </c>
      <c r="AG220" s="31">
        <f>VLOOKUP($A220,kurspris!$A$1:$Q$835,6,FALSE)</f>
        <v>0</v>
      </c>
      <c r="AH220" s="31">
        <f>VLOOKUP($A220,kurspris!$A$1:$Q$835,7,FALSE)</f>
        <v>0</v>
      </c>
      <c r="AI220" s="31">
        <f>VLOOKUP($A220,kurspris!$A$1:$Q$835,8,FALSE)</f>
        <v>0</v>
      </c>
      <c r="AJ220" s="31">
        <f>VLOOKUP($A220,kurspris!$A$1:$Q$835,9,FALSE)</f>
        <v>0</v>
      </c>
      <c r="AK220" s="31">
        <f>VLOOKUP($A220,kurspris!$A$1:$Q$835,10,FALSE)</f>
        <v>0</v>
      </c>
      <c r="AL220" s="31">
        <f>VLOOKUP($A220,kurspris!$A$1:$Q$835,11,FALSE)</f>
        <v>0</v>
      </c>
      <c r="AM220" s="31">
        <f>VLOOKUP($A220,kurspris!$A$1:$Q$835,12,FALSE)</f>
        <v>0</v>
      </c>
      <c r="AN220" s="31">
        <f>VLOOKUP($A220,kurspris!$A$1:$Q$835,13,FALSE)</f>
        <v>0</v>
      </c>
      <c r="AO220" s="31">
        <f>VLOOKUP($A220,kurspris!$A$1:$Q$835,14,FALSE)</f>
        <v>0</v>
      </c>
      <c r="AP220" s="39" t="s">
        <v>2204</v>
      </c>
      <c r="AQ220" s="39" t="s">
        <v>2095</v>
      </c>
      <c r="AR220" s="31">
        <f t="shared" si="89"/>
        <v>0</v>
      </c>
      <c r="AS220" s="255">
        <f t="shared" si="90"/>
        <v>0</v>
      </c>
      <c r="AT220" s="31">
        <f t="shared" si="91"/>
        <v>1</v>
      </c>
      <c r="AU220" s="255">
        <f t="shared" si="92"/>
        <v>0.8</v>
      </c>
      <c r="AV220" s="31">
        <f t="shared" si="93"/>
        <v>0</v>
      </c>
      <c r="AW220" s="31">
        <f t="shared" si="94"/>
        <v>0</v>
      </c>
      <c r="AX220" s="31">
        <f t="shared" si="95"/>
        <v>0</v>
      </c>
      <c r="AY220" s="255">
        <f t="shared" si="96"/>
        <v>0</v>
      </c>
      <c r="AZ220" s="232">
        <f t="shared" si="97"/>
        <v>0</v>
      </c>
      <c r="BA220" s="255">
        <f t="shared" si="98"/>
        <v>0</v>
      </c>
      <c r="BB220" s="31">
        <f t="shared" si="99"/>
        <v>0</v>
      </c>
      <c r="BC220" s="255">
        <f t="shared" si="100"/>
        <v>0</v>
      </c>
      <c r="BD220" s="31">
        <f t="shared" si="101"/>
        <v>0</v>
      </c>
      <c r="BE220" s="255">
        <f t="shared" si="102"/>
        <v>0</v>
      </c>
      <c r="BF220" s="31">
        <f t="shared" si="103"/>
        <v>0</v>
      </c>
      <c r="BG220" s="255">
        <f t="shared" si="104"/>
        <v>0</v>
      </c>
      <c r="BH220" s="31">
        <f t="shared" si="105"/>
        <v>0</v>
      </c>
      <c r="BI220" s="255">
        <f t="shared" si="106"/>
        <v>0</v>
      </c>
      <c r="BJ220" s="31">
        <f t="shared" si="107"/>
        <v>0</v>
      </c>
      <c r="BK220" s="31">
        <f t="shared" si="108"/>
        <v>0</v>
      </c>
      <c r="BL220" s="255">
        <f t="shared" si="109"/>
        <v>0</v>
      </c>
      <c r="BM220" s="31">
        <f t="shared" si="110"/>
        <v>0</v>
      </c>
      <c r="BN220" s="255">
        <f t="shared" si="111"/>
        <v>0</v>
      </c>
    </row>
    <row r="221" spans="1:66" x14ac:dyDescent="0.25">
      <c r="A221" s="420" t="s">
        <v>1845</v>
      </c>
      <c r="B221" s="420" t="str">
        <f>VLOOKUP(A221,kurspris!$A$1:$B$877,2,FALSE)</f>
        <v>Idrott, fostran och socialisation</v>
      </c>
      <c r="C221" s="421"/>
      <c r="D221" s="295" t="s">
        <v>117</v>
      </c>
      <c r="E221" s="295"/>
      <c r="F221" s="333" t="s">
        <v>1931</v>
      </c>
      <c r="G221" s="295"/>
      <c r="H221" s="295"/>
      <c r="I221" s="295" t="s">
        <v>1634</v>
      </c>
      <c r="J221" s="295"/>
      <c r="K221" s="295"/>
      <c r="L221" s="295">
        <v>100</v>
      </c>
      <c r="M221" s="295">
        <v>7.5</v>
      </c>
      <c r="N221" s="295"/>
      <c r="O221" s="295"/>
      <c r="P221" s="295">
        <v>5</v>
      </c>
      <c r="Q221" s="232">
        <f t="shared" si="84"/>
        <v>0.625</v>
      </c>
      <c r="R221" s="40">
        <v>0.8</v>
      </c>
      <c r="S221" s="334">
        <f t="shared" si="85"/>
        <v>0.5</v>
      </c>
      <c r="T221" s="31">
        <f>VLOOKUP(A221,'Ansvar kurs'!$A$1:$C$1010,2,FALSE)</f>
        <v>2180</v>
      </c>
      <c r="U221" s="31" t="str">
        <f>VLOOKUP(T221,Orgenheter!$A$1:$C$165,2,FALSE)</f>
        <v xml:space="preserve">Pedagogik                     </v>
      </c>
      <c r="V221" s="31" t="str">
        <f>VLOOKUP(T221,Orgenheter!$A$1:$C$165,3,FALSE)</f>
        <v>Sam</v>
      </c>
      <c r="W221" s="37" t="str">
        <f>VLOOKUP(D221,Program!$A$1:$B$34,2,FALSE)</f>
        <v>Fristående och övriga kurser</v>
      </c>
      <c r="X221" s="42">
        <f>VLOOKUP(A221,kurspris!$A$1:$Q$798,15,FALSE)</f>
        <v>18405</v>
      </c>
      <c r="Y221" s="42">
        <f>VLOOKUP(A221,kurspris!$A$1:$Q$798,16,FALSE)</f>
        <v>15773</v>
      </c>
      <c r="Z221" s="42">
        <f t="shared" si="86"/>
        <v>19389.625</v>
      </c>
      <c r="AA221" s="42">
        <f>VLOOKUP(A221,kurspris!$A$1:$Q$798,17,FALSE)</f>
        <v>5800</v>
      </c>
      <c r="AB221" s="42">
        <f t="shared" si="87"/>
        <v>3625</v>
      </c>
      <c r="AC221" s="42">
        <f t="shared" si="88"/>
        <v>23014.625</v>
      </c>
      <c r="AD221" s="31">
        <f>VLOOKUP($A221,kurspris!$A$1:$Q$835,3,FALSE)</f>
        <v>0</v>
      </c>
      <c r="AE221" s="31">
        <f>VLOOKUP($A221,kurspris!$A$1:$Q$835,4,FALSE)</f>
        <v>0</v>
      </c>
      <c r="AF221" s="31">
        <f>VLOOKUP($A221,kurspris!$A$1:$Q$835,5,FALSE)</f>
        <v>0</v>
      </c>
      <c r="AG221" s="31">
        <f>VLOOKUP($A221,kurspris!$A$1:$Q$835,6,FALSE)</f>
        <v>0</v>
      </c>
      <c r="AH221" s="31">
        <f>VLOOKUP($A221,kurspris!$A$1:$Q$835,7,FALSE)</f>
        <v>0</v>
      </c>
      <c r="AI221" s="31">
        <f>VLOOKUP($A221,kurspris!$A$1:$Q$835,8,FALSE)</f>
        <v>0</v>
      </c>
      <c r="AJ221" s="31">
        <f>VLOOKUP($A221,kurspris!$A$1:$Q$835,9,FALSE)</f>
        <v>1</v>
      </c>
      <c r="AK221" s="31">
        <f>VLOOKUP($A221,kurspris!$A$1:$Q$835,10,FALSE)</f>
        <v>0</v>
      </c>
      <c r="AL221" s="31">
        <f>VLOOKUP($A221,kurspris!$A$1:$Q$835,11,FALSE)</f>
        <v>0</v>
      </c>
      <c r="AM221" s="31">
        <f>VLOOKUP($A221,kurspris!$A$1:$Q$835,12,FALSE)</f>
        <v>0</v>
      </c>
      <c r="AN221" s="31">
        <f>VLOOKUP($A221,kurspris!$A$1:$Q$835,13,FALSE)</f>
        <v>0</v>
      </c>
      <c r="AO221" s="31">
        <f>VLOOKUP($A221,kurspris!$A$1:$Q$835,14,FALSE)</f>
        <v>0</v>
      </c>
      <c r="AP221" s="39" t="s">
        <v>2095</v>
      </c>
      <c r="AQ221" s="39" t="s">
        <v>2094</v>
      </c>
      <c r="AR221" s="31">
        <f t="shared" si="89"/>
        <v>0</v>
      </c>
      <c r="AS221" s="255">
        <f t="shared" si="90"/>
        <v>0</v>
      </c>
      <c r="AT221" s="31">
        <f t="shared" si="91"/>
        <v>0</v>
      </c>
      <c r="AU221" s="255">
        <f t="shared" si="92"/>
        <v>0</v>
      </c>
      <c r="AV221" s="31">
        <f t="shared" si="93"/>
        <v>0</v>
      </c>
      <c r="AW221" s="31">
        <f t="shared" si="94"/>
        <v>0</v>
      </c>
      <c r="AX221" s="31">
        <f t="shared" si="95"/>
        <v>0</v>
      </c>
      <c r="AY221" s="255">
        <f t="shared" si="96"/>
        <v>0</v>
      </c>
      <c r="AZ221" s="232">
        <f t="shared" si="97"/>
        <v>0</v>
      </c>
      <c r="BA221" s="255">
        <f t="shared" si="98"/>
        <v>0</v>
      </c>
      <c r="BB221" s="31">
        <f t="shared" si="99"/>
        <v>0</v>
      </c>
      <c r="BC221" s="255">
        <f t="shared" si="100"/>
        <v>0</v>
      </c>
      <c r="BD221" s="31">
        <f t="shared" si="101"/>
        <v>0.625</v>
      </c>
      <c r="BE221" s="255">
        <f t="shared" si="102"/>
        <v>0.5</v>
      </c>
      <c r="BF221" s="31">
        <f t="shared" si="103"/>
        <v>0</v>
      </c>
      <c r="BG221" s="255">
        <f t="shared" si="104"/>
        <v>0</v>
      </c>
      <c r="BH221" s="31">
        <f t="shared" si="105"/>
        <v>0</v>
      </c>
      <c r="BI221" s="255">
        <f t="shared" si="106"/>
        <v>0</v>
      </c>
      <c r="BJ221" s="31">
        <f t="shared" si="107"/>
        <v>0</v>
      </c>
      <c r="BK221" s="31">
        <f t="shared" si="108"/>
        <v>0</v>
      </c>
      <c r="BL221" s="255">
        <f t="shared" si="109"/>
        <v>0</v>
      </c>
      <c r="BM221" s="31">
        <f t="shared" si="110"/>
        <v>0</v>
      </c>
      <c r="BN221" s="255">
        <f t="shared" si="111"/>
        <v>0</v>
      </c>
    </row>
    <row r="222" spans="1:66" x14ac:dyDescent="0.25">
      <c r="A222" s="420" t="s">
        <v>1844</v>
      </c>
      <c r="B222" s="186" t="str">
        <f>VLOOKUP(A222,kurspris!$A$1:$B$877,2,FALSE)</f>
        <v>Svenska som andraspråk A, del 1</v>
      </c>
      <c r="C222" s="37"/>
      <c r="D222" t="s">
        <v>117</v>
      </c>
      <c r="E222"/>
      <c r="F222" s="59" t="s">
        <v>1931</v>
      </c>
      <c r="G222"/>
      <c r="H222"/>
      <c r="I222" t="s">
        <v>1634</v>
      </c>
      <c r="L222">
        <v>50</v>
      </c>
      <c r="M222">
        <v>15</v>
      </c>
      <c r="P222">
        <v>15</v>
      </c>
      <c r="Q222" s="232">
        <f t="shared" si="84"/>
        <v>3.75</v>
      </c>
      <c r="R222" s="40">
        <v>0.8</v>
      </c>
      <c r="S222" s="334">
        <f t="shared" si="85"/>
        <v>3</v>
      </c>
      <c r="T222" s="31">
        <f>VLOOKUP(A222,'Ansvar kurs'!$A$1:$C$1010,2,FALSE)</f>
        <v>1620</v>
      </c>
      <c r="U222" s="31" t="str">
        <f>VLOOKUP(T222,Orgenheter!$A$1:$C$165,2,FALSE)</f>
        <v>Inst för språkstudier</v>
      </c>
      <c r="V222" s="31" t="str">
        <f>VLOOKUP(T222,Orgenheter!$A$1:$C$165,3,FALSE)</f>
        <v>Hum</v>
      </c>
      <c r="W222" s="37" t="str">
        <f>VLOOKUP(D222,Program!$A$1:$B$34,2,FALSE)</f>
        <v>Fristående och övriga kurser</v>
      </c>
      <c r="X222" s="42">
        <f>VLOOKUP(A222,kurspris!$A$1:$Q$798,15,FALSE)</f>
        <v>18405</v>
      </c>
      <c r="Y222" s="42">
        <f>VLOOKUP(A222,kurspris!$A$1:$Q$798,16,FALSE)</f>
        <v>15773</v>
      </c>
      <c r="Z222" s="42">
        <f t="shared" si="86"/>
        <v>116337.75</v>
      </c>
      <c r="AA222" s="42">
        <f>VLOOKUP(A222,kurspris!$A$1:$Q$798,17,FALSE)</f>
        <v>5800</v>
      </c>
      <c r="AB222" s="42">
        <f t="shared" si="87"/>
        <v>21750</v>
      </c>
      <c r="AC222" s="42">
        <f t="shared" si="88"/>
        <v>138087.75</v>
      </c>
      <c r="AD222" s="31">
        <f>VLOOKUP($A222,kurspris!$A$1:$Q$835,3,FALSE)</f>
        <v>0</v>
      </c>
      <c r="AE222" s="31">
        <f>VLOOKUP($A222,kurspris!$A$1:$Q$835,4,FALSE)</f>
        <v>1</v>
      </c>
      <c r="AF222" s="31">
        <f>VLOOKUP($A222,kurspris!$A$1:$Q$835,5,FALSE)</f>
        <v>0</v>
      </c>
      <c r="AG222" s="31">
        <f>VLOOKUP($A222,kurspris!$A$1:$Q$835,6,FALSE)</f>
        <v>0</v>
      </c>
      <c r="AH222" s="31">
        <f>VLOOKUP($A222,kurspris!$A$1:$Q$835,7,FALSE)</f>
        <v>0</v>
      </c>
      <c r="AI222" s="31">
        <f>VLOOKUP($A222,kurspris!$A$1:$Q$835,8,FALSE)</f>
        <v>0</v>
      </c>
      <c r="AJ222" s="31">
        <f>VLOOKUP($A222,kurspris!$A$1:$Q$835,9,FALSE)</f>
        <v>0</v>
      </c>
      <c r="AK222" s="31">
        <f>VLOOKUP($A222,kurspris!$A$1:$Q$835,10,FALSE)</f>
        <v>0</v>
      </c>
      <c r="AL222" s="31">
        <f>VLOOKUP($A222,kurspris!$A$1:$Q$835,11,FALSE)</f>
        <v>0</v>
      </c>
      <c r="AM222" s="31">
        <f>VLOOKUP($A222,kurspris!$A$1:$Q$835,12,FALSE)</f>
        <v>0</v>
      </c>
      <c r="AN222" s="31">
        <f>VLOOKUP($A222,kurspris!$A$1:$Q$835,13,FALSE)</f>
        <v>0</v>
      </c>
      <c r="AO222" s="31">
        <f>VLOOKUP($A222,kurspris!$A$1:$Q$835,14,FALSE)</f>
        <v>0</v>
      </c>
      <c r="AP222" s="39" t="s">
        <v>2095</v>
      </c>
      <c r="AQ222"/>
      <c r="AR222" s="31">
        <f t="shared" si="89"/>
        <v>0</v>
      </c>
      <c r="AS222" s="255">
        <f t="shared" si="90"/>
        <v>0</v>
      </c>
      <c r="AT222" s="31">
        <f t="shared" si="91"/>
        <v>3.75</v>
      </c>
      <c r="AU222" s="255">
        <f t="shared" si="92"/>
        <v>3</v>
      </c>
      <c r="AV222" s="31">
        <f t="shared" si="93"/>
        <v>0</v>
      </c>
      <c r="AW222" s="31">
        <f t="shared" si="94"/>
        <v>0</v>
      </c>
      <c r="AX222" s="31">
        <f t="shared" si="95"/>
        <v>0</v>
      </c>
      <c r="AY222" s="255">
        <f t="shared" si="96"/>
        <v>0</v>
      </c>
      <c r="AZ222" s="232">
        <f t="shared" si="97"/>
        <v>0</v>
      </c>
      <c r="BA222" s="255">
        <f t="shared" si="98"/>
        <v>0</v>
      </c>
      <c r="BB222" s="31">
        <f t="shared" si="99"/>
        <v>0</v>
      </c>
      <c r="BC222" s="255">
        <f t="shared" si="100"/>
        <v>0</v>
      </c>
      <c r="BD222" s="31">
        <f t="shared" si="101"/>
        <v>0</v>
      </c>
      <c r="BE222" s="255">
        <f t="shared" si="102"/>
        <v>0</v>
      </c>
      <c r="BF222" s="31">
        <f t="shared" si="103"/>
        <v>0</v>
      </c>
      <c r="BG222" s="255">
        <f t="shared" si="104"/>
        <v>0</v>
      </c>
      <c r="BH222" s="31">
        <f t="shared" si="105"/>
        <v>0</v>
      </c>
      <c r="BI222" s="255">
        <f t="shared" si="106"/>
        <v>0</v>
      </c>
      <c r="BJ222" s="31">
        <f t="shared" si="107"/>
        <v>0</v>
      </c>
      <c r="BK222" s="31">
        <f t="shared" si="108"/>
        <v>0</v>
      </c>
      <c r="BL222" s="255">
        <f t="shared" si="109"/>
        <v>0</v>
      </c>
      <c r="BM222" s="31">
        <f t="shared" si="110"/>
        <v>0</v>
      </c>
      <c r="BN222" s="255">
        <f t="shared" si="111"/>
        <v>0</v>
      </c>
    </row>
    <row r="223" spans="1:66" x14ac:dyDescent="0.25">
      <c r="A223" s="420" t="s">
        <v>2090</v>
      </c>
      <c r="B223" s="186" t="str">
        <f>VLOOKUP(A223,kurspris!$A$1:$B$877,2,FALSE)</f>
        <v>Språkdidaktik: Undervisning för elever i språk-,  läs- och skrivsvårigheter</v>
      </c>
      <c r="C223" s="37"/>
      <c r="D223" t="s">
        <v>117</v>
      </c>
      <c r="E223"/>
      <c r="F223" s="59" t="s">
        <v>1930</v>
      </c>
      <c r="G223"/>
      <c r="H223"/>
      <c r="I223" t="s">
        <v>2066</v>
      </c>
      <c r="L223">
        <v>25</v>
      </c>
      <c r="M223">
        <v>7.5</v>
      </c>
      <c r="P223" s="31">
        <v>0</v>
      </c>
      <c r="Q223" s="232">
        <f t="shared" si="84"/>
        <v>0</v>
      </c>
      <c r="R223" s="40">
        <v>0.8</v>
      </c>
      <c r="S223" s="334">
        <f t="shared" si="85"/>
        <v>0</v>
      </c>
      <c r="T223" s="31">
        <f>VLOOKUP(A223,'Ansvar kurs'!$A$1:$C$1010,2,FALSE)</f>
        <v>1620</v>
      </c>
      <c r="U223" s="31" t="str">
        <f>VLOOKUP(T223,Orgenheter!$A$1:$C$165,2,FALSE)</f>
        <v>Inst för språkstudier</v>
      </c>
      <c r="V223" s="31" t="str">
        <f>VLOOKUP(T223,Orgenheter!$A$1:$C$165,3,FALSE)</f>
        <v>Hum</v>
      </c>
      <c r="W223" s="37" t="str">
        <f>VLOOKUP(D223,Program!$A$1:$B$34,2,FALSE)</f>
        <v>Fristående och övriga kurser</v>
      </c>
      <c r="X223" s="42">
        <f>VLOOKUP(A223,kurspris!$A$1:$Q$798,15,FALSE)</f>
        <v>18405</v>
      </c>
      <c r="Y223" s="42">
        <f>VLOOKUP(A223,kurspris!$A$1:$Q$798,16,FALSE)</f>
        <v>15773</v>
      </c>
      <c r="Z223" s="42">
        <f t="shared" si="86"/>
        <v>0</v>
      </c>
      <c r="AA223" s="42">
        <f>VLOOKUP(A223,kurspris!$A$1:$Q$798,17,FALSE)</f>
        <v>5800</v>
      </c>
      <c r="AB223" s="42">
        <f t="shared" si="87"/>
        <v>0</v>
      </c>
      <c r="AC223" s="42">
        <f t="shared" si="88"/>
        <v>0</v>
      </c>
      <c r="AD223" s="31">
        <f>VLOOKUP($A223,kurspris!$A$1:$Q$835,3,FALSE)</f>
        <v>0</v>
      </c>
      <c r="AE223" s="31">
        <f>VLOOKUP($A223,kurspris!$A$1:$Q$835,4,FALSE)</f>
        <v>1</v>
      </c>
      <c r="AF223" s="31">
        <f>VLOOKUP($A223,kurspris!$A$1:$Q$835,5,FALSE)</f>
        <v>0</v>
      </c>
      <c r="AG223" s="31">
        <f>VLOOKUP($A223,kurspris!$A$1:$Q$835,6,FALSE)</f>
        <v>0</v>
      </c>
      <c r="AH223" s="31">
        <f>VLOOKUP($A223,kurspris!$A$1:$Q$835,7,FALSE)</f>
        <v>0</v>
      </c>
      <c r="AI223" s="31">
        <f>VLOOKUP($A223,kurspris!$A$1:$Q$835,8,FALSE)</f>
        <v>0</v>
      </c>
      <c r="AJ223" s="31">
        <f>VLOOKUP($A223,kurspris!$A$1:$Q$835,9,FALSE)</f>
        <v>0</v>
      </c>
      <c r="AK223" s="31">
        <f>VLOOKUP($A223,kurspris!$A$1:$Q$835,10,FALSE)</f>
        <v>0</v>
      </c>
      <c r="AL223" s="31">
        <f>VLOOKUP($A223,kurspris!$A$1:$Q$835,11,FALSE)</f>
        <v>0</v>
      </c>
      <c r="AM223" s="31">
        <f>VLOOKUP($A223,kurspris!$A$1:$Q$835,12,FALSE)</f>
        <v>0</v>
      </c>
      <c r="AN223" s="31">
        <f>VLOOKUP($A223,kurspris!$A$1:$Q$835,13,FALSE)</f>
        <v>0</v>
      </c>
      <c r="AO223" s="31">
        <f>VLOOKUP($A223,kurspris!$A$1:$Q$835,14,FALSE)</f>
        <v>0</v>
      </c>
      <c r="AP223" s="39" t="s">
        <v>2232</v>
      </c>
      <c r="AQ223" s="39" t="s">
        <v>2095</v>
      </c>
      <c r="AR223" s="31">
        <f t="shared" si="89"/>
        <v>0</v>
      </c>
      <c r="AS223" s="255">
        <f t="shared" si="90"/>
        <v>0</v>
      </c>
      <c r="AT223" s="31">
        <f t="shared" si="91"/>
        <v>0</v>
      </c>
      <c r="AU223" s="255">
        <f t="shared" si="92"/>
        <v>0</v>
      </c>
      <c r="AV223" s="31">
        <f t="shared" si="93"/>
        <v>0</v>
      </c>
      <c r="AW223" s="31">
        <f t="shared" si="94"/>
        <v>0</v>
      </c>
      <c r="AX223" s="31">
        <f t="shared" si="95"/>
        <v>0</v>
      </c>
      <c r="AY223" s="255">
        <f t="shared" si="96"/>
        <v>0</v>
      </c>
      <c r="AZ223" s="232">
        <f t="shared" si="97"/>
        <v>0</v>
      </c>
      <c r="BA223" s="255">
        <f t="shared" si="98"/>
        <v>0</v>
      </c>
      <c r="BB223" s="31">
        <f t="shared" si="99"/>
        <v>0</v>
      </c>
      <c r="BC223" s="255">
        <f t="shared" si="100"/>
        <v>0</v>
      </c>
      <c r="BD223" s="31">
        <f t="shared" si="101"/>
        <v>0</v>
      </c>
      <c r="BE223" s="255">
        <f t="shared" si="102"/>
        <v>0</v>
      </c>
      <c r="BF223" s="31">
        <f t="shared" si="103"/>
        <v>0</v>
      </c>
      <c r="BG223" s="255">
        <f t="shared" si="104"/>
        <v>0</v>
      </c>
      <c r="BH223" s="31">
        <f t="shared" si="105"/>
        <v>0</v>
      </c>
      <c r="BI223" s="255">
        <f t="shared" si="106"/>
        <v>0</v>
      </c>
      <c r="BJ223" s="31">
        <f t="shared" si="107"/>
        <v>0</v>
      </c>
      <c r="BK223" s="31">
        <f t="shared" si="108"/>
        <v>0</v>
      </c>
      <c r="BL223" s="255">
        <f t="shared" si="109"/>
        <v>0</v>
      </c>
      <c r="BM223" s="31">
        <f t="shared" si="110"/>
        <v>0</v>
      </c>
      <c r="BN223" s="255">
        <f t="shared" si="111"/>
        <v>0</v>
      </c>
    </row>
    <row r="224" spans="1:66" x14ac:dyDescent="0.25">
      <c r="A224" s="420" t="s">
        <v>2140</v>
      </c>
      <c r="B224" s="186" t="str">
        <f>VLOOKUP(A224,kurspris!$A$1:$B$877,2,FALSE)</f>
        <v>Språkdidaktik, Examensarbete för magisterexamen</v>
      </c>
      <c r="C224" s="37"/>
      <c r="D224" t="s">
        <v>117</v>
      </c>
      <c r="E224"/>
      <c r="F224" s="59" t="s">
        <v>1931</v>
      </c>
      <c r="G224"/>
      <c r="H224"/>
      <c r="I224"/>
      <c r="L224">
        <v>25</v>
      </c>
      <c r="M224" s="182">
        <v>7.5</v>
      </c>
      <c r="P224" s="295">
        <v>0</v>
      </c>
      <c r="Q224" s="232">
        <f t="shared" si="84"/>
        <v>0</v>
      </c>
      <c r="R224" s="40">
        <v>0.8</v>
      </c>
      <c r="S224" s="334">
        <f t="shared" si="85"/>
        <v>0</v>
      </c>
      <c r="T224" s="31">
        <f>VLOOKUP(A224,'Ansvar kurs'!$A$1:$C$1010,2,FALSE)</f>
        <v>1620</v>
      </c>
      <c r="U224" s="31" t="str">
        <f>VLOOKUP(T224,Orgenheter!$A$1:$C$165,2,FALSE)</f>
        <v>Inst för språkstudier</v>
      </c>
      <c r="V224" s="31" t="str">
        <f>VLOOKUP(T224,Orgenheter!$A$1:$C$165,3,FALSE)</f>
        <v>Hum</v>
      </c>
      <c r="W224" s="37" t="str">
        <f>VLOOKUP(D224,Program!$A$1:$B$34,2,FALSE)</f>
        <v>Fristående och övriga kurser</v>
      </c>
      <c r="X224" s="42">
        <f>VLOOKUP(A224,kurspris!$A$1:$Q$798,15,FALSE)</f>
        <v>18405</v>
      </c>
      <c r="Y224" s="42">
        <f>VLOOKUP(A224,kurspris!$A$1:$Q$798,16,FALSE)</f>
        <v>15773</v>
      </c>
      <c r="Z224" s="42">
        <f t="shared" si="86"/>
        <v>0</v>
      </c>
      <c r="AA224" s="42">
        <f>VLOOKUP(A224,kurspris!$A$1:$Q$798,17,FALSE)</f>
        <v>5800</v>
      </c>
      <c r="AB224" s="42">
        <f t="shared" si="87"/>
        <v>0</v>
      </c>
      <c r="AC224" s="42">
        <f t="shared" si="88"/>
        <v>0</v>
      </c>
      <c r="AD224" s="31">
        <f>VLOOKUP($A224,kurspris!$A$1:$Q$835,3,FALSE)</f>
        <v>0</v>
      </c>
      <c r="AE224" s="31">
        <f>VLOOKUP($A224,kurspris!$A$1:$Q$835,4,FALSE)</f>
        <v>1</v>
      </c>
      <c r="AF224" s="31">
        <f>VLOOKUP($A224,kurspris!$A$1:$Q$835,5,FALSE)</f>
        <v>0</v>
      </c>
      <c r="AG224" s="31">
        <f>VLOOKUP($A224,kurspris!$A$1:$Q$835,6,FALSE)</f>
        <v>0</v>
      </c>
      <c r="AH224" s="31">
        <f>VLOOKUP($A224,kurspris!$A$1:$Q$835,7,FALSE)</f>
        <v>0</v>
      </c>
      <c r="AI224" s="31">
        <f>VLOOKUP($A224,kurspris!$A$1:$Q$835,8,FALSE)</f>
        <v>0</v>
      </c>
      <c r="AJ224" s="31">
        <f>VLOOKUP($A224,kurspris!$A$1:$Q$835,9,FALSE)</f>
        <v>0</v>
      </c>
      <c r="AK224" s="31">
        <f>VLOOKUP($A224,kurspris!$A$1:$Q$835,10,FALSE)</f>
        <v>0</v>
      </c>
      <c r="AL224" s="31">
        <f>VLOOKUP($A224,kurspris!$A$1:$Q$835,11,FALSE)</f>
        <v>0</v>
      </c>
      <c r="AM224" s="31">
        <f>VLOOKUP($A224,kurspris!$A$1:$Q$835,12,FALSE)</f>
        <v>0</v>
      </c>
      <c r="AN224" s="31">
        <f>VLOOKUP($A224,kurspris!$A$1:$Q$835,13,FALSE)</f>
        <v>0</v>
      </c>
      <c r="AO224" s="31">
        <f>VLOOKUP($A224,kurspris!$A$1:$Q$835,14,FALSE)</f>
        <v>0</v>
      </c>
      <c r="AP224" s="39" t="s">
        <v>2142</v>
      </c>
      <c r="AQ224" s="39" t="s">
        <v>2170</v>
      </c>
      <c r="AR224" s="31">
        <f t="shared" si="89"/>
        <v>0</v>
      </c>
      <c r="AS224" s="255">
        <f t="shared" si="90"/>
        <v>0</v>
      </c>
      <c r="AT224" s="31">
        <f t="shared" si="91"/>
        <v>0</v>
      </c>
      <c r="AU224" s="255">
        <f t="shared" si="92"/>
        <v>0</v>
      </c>
      <c r="AV224" s="31">
        <f t="shared" si="93"/>
        <v>0</v>
      </c>
      <c r="AW224" s="31">
        <f t="shared" si="94"/>
        <v>0</v>
      </c>
      <c r="AX224" s="31">
        <f t="shared" si="95"/>
        <v>0</v>
      </c>
      <c r="AY224" s="255">
        <f t="shared" si="96"/>
        <v>0</v>
      </c>
      <c r="AZ224" s="232">
        <f t="shared" si="97"/>
        <v>0</v>
      </c>
      <c r="BA224" s="255">
        <f t="shared" si="98"/>
        <v>0</v>
      </c>
      <c r="BB224" s="31">
        <f t="shared" si="99"/>
        <v>0</v>
      </c>
      <c r="BC224" s="255">
        <f t="shared" si="100"/>
        <v>0</v>
      </c>
      <c r="BD224" s="31">
        <f t="shared" si="101"/>
        <v>0</v>
      </c>
      <c r="BE224" s="255">
        <f t="shared" si="102"/>
        <v>0</v>
      </c>
      <c r="BF224" s="31">
        <f t="shared" si="103"/>
        <v>0</v>
      </c>
      <c r="BG224" s="255">
        <f t="shared" si="104"/>
        <v>0</v>
      </c>
      <c r="BH224" s="31">
        <f t="shared" si="105"/>
        <v>0</v>
      </c>
      <c r="BI224" s="255">
        <f t="shared" si="106"/>
        <v>0</v>
      </c>
      <c r="BJ224" s="31">
        <f t="shared" si="107"/>
        <v>0</v>
      </c>
      <c r="BK224" s="31">
        <f t="shared" si="108"/>
        <v>0</v>
      </c>
      <c r="BL224" s="255">
        <f t="shared" si="109"/>
        <v>0</v>
      </c>
      <c r="BM224" s="31">
        <f t="shared" si="110"/>
        <v>0</v>
      </c>
      <c r="BN224" s="255">
        <f t="shared" si="111"/>
        <v>0</v>
      </c>
    </row>
    <row r="225" spans="1:66" x14ac:dyDescent="0.25">
      <c r="A225" s="39" t="s">
        <v>1489</v>
      </c>
      <c r="B225" s="186" t="str">
        <f>VLOOKUP(A225,kurspris!$A$1:$B$877,2,FALSE)</f>
        <v>Examensarbete för ämneslärarexamen - Fysik</v>
      </c>
      <c r="C225" s="37"/>
      <c r="D225" s="59" t="s">
        <v>483</v>
      </c>
      <c r="E225" s="62" t="s">
        <v>1976</v>
      </c>
      <c r="F225" s="62" t="s">
        <v>1931</v>
      </c>
      <c r="G225" s="295" t="s">
        <v>2268</v>
      </c>
      <c r="J225" t="s">
        <v>774</v>
      </c>
      <c r="L225" s="31">
        <v>100</v>
      </c>
      <c r="M225" s="376">
        <v>7.5</v>
      </c>
      <c r="N225" s="40"/>
      <c r="P225" s="31">
        <v>2</v>
      </c>
      <c r="Q225" s="232">
        <f t="shared" si="84"/>
        <v>0.25</v>
      </c>
      <c r="R225" s="40">
        <v>0.85</v>
      </c>
      <c r="S225" s="334">
        <f t="shared" si="85"/>
        <v>0.21249999999999999</v>
      </c>
      <c r="T225" s="31">
        <f>VLOOKUP(A225,'Ansvar kurs'!$A$1:$C$1010,2,FALSE)</f>
        <v>5740</v>
      </c>
      <c r="U225" s="31" t="str">
        <f>VLOOKUP(T225,Orgenheter!$A$1:$C$165,2,FALSE)</f>
        <v>NMD</v>
      </c>
      <c r="V225" s="31" t="str">
        <f>VLOOKUP(T225,Orgenheter!$A$1:$C$165,3,FALSE)</f>
        <v>TekNat</v>
      </c>
      <c r="W225" s="37" t="str">
        <f>VLOOKUP(D225,Program!$A$1:$B$34,2,FALSE)</f>
        <v>Ämneslärarprogrammet - Gy</v>
      </c>
      <c r="X225" s="42">
        <f>VLOOKUP(A225,kurspris!$A$1:$Q$798,15,FALSE)</f>
        <v>19473</v>
      </c>
      <c r="Y225" s="42">
        <f>VLOOKUP(A225,kurspris!$A$1:$Q$798,16,FALSE)</f>
        <v>34806</v>
      </c>
      <c r="Z225" s="42">
        <f t="shared" si="86"/>
        <v>12264.525</v>
      </c>
      <c r="AA225" s="42">
        <f>VLOOKUP(A225,kurspris!$A$1:$Q$798,17,FALSE)</f>
        <v>21800</v>
      </c>
      <c r="AB225" s="42">
        <f t="shared" si="87"/>
        <v>5450</v>
      </c>
      <c r="AC225" s="42">
        <f t="shared" si="88"/>
        <v>17714.525000000001</v>
      </c>
      <c r="AD225" s="31">
        <f>VLOOKUP($A225,kurspris!$A$1:$Q$835,3,FALSE)</f>
        <v>0</v>
      </c>
      <c r="AE225" s="31">
        <f>VLOOKUP($A225,kurspris!$A$1:$Q$835,4,FALSE)</f>
        <v>0</v>
      </c>
      <c r="AF225" s="31">
        <f>VLOOKUP($A225,kurspris!$A$1:$Q$835,5,FALSE)</f>
        <v>0</v>
      </c>
      <c r="AG225" s="31">
        <f>VLOOKUP($A225,kurspris!$A$1:$Q$835,6,FALSE)</f>
        <v>0</v>
      </c>
      <c r="AH225" s="31">
        <f>VLOOKUP($A225,kurspris!$A$1:$Q$835,7,FALSE)</f>
        <v>0</v>
      </c>
      <c r="AI225" s="31">
        <f>VLOOKUP($A225,kurspris!$A$1:$Q$835,8,FALSE)</f>
        <v>1</v>
      </c>
      <c r="AJ225" s="31">
        <f>VLOOKUP($A225,kurspris!$A$1:$Q$835,9,FALSE)</f>
        <v>0</v>
      </c>
      <c r="AK225" s="31">
        <f>VLOOKUP($A225,kurspris!$A$1:$Q$835,10,FALSE)</f>
        <v>0</v>
      </c>
      <c r="AL225" s="31">
        <f>VLOOKUP($A225,kurspris!$A$1:$Q$835,11,FALSE)</f>
        <v>0</v>
      </c>
      <c r="AM225" s="31">
        <f>VLOOKUP($A225,kurspris!$A$1:$Q$835,12,FALSE)</f>
        <v>0</v>
      </c>
      <c r="AN225" s="31">
        <f>VLOOKUP($A225,kurspris!$A$1:$Q$835,13,FALSE)</f>
        <v>0</v>
      </c>
      <c r="AO225" s="31">
        <f>VLOOKUP($A225,kurspris!$A$1:$Q$835,14,FALSE)</f>
        <v>0</v>
      </c>
      <c r="AP225" s="39" t="s">
        <v>2326</v>
      </c>
      <c r="AQ225" t="s">
        <v>2300</v>
      </c>
      <c r="AR225" s="31">
        <f t="shared" si="89"/>
        <v>0</v>
      </c>
      <c r="AS225" s="255">
        <f t="shared" si="90"/>
        <v>0</v>
      </c>
      <c r="AT225" s="31">
        <f t="shared" si="91"/>
        <v>0</v>
      </c>
      <c r="AU225" s="255">
        <f t="shared" si="92"/>
        <v>0</v>
      </c>
      <c r="AV225" s="31">
        <f t="shared" si="93"/>
        <v>0</v>
      </c>
      <c r="AW225" s="31">
        <f t="shared" si="94"/>
        <v>0</v>
      </c>
      <c r="AX225" s="31">
        <f t="shared" si="95"/>
        <v>0</v>
      </c>
      <c r="AY225" s="255">
        <f t="shared" si="96"/>
        <v>0</v>
      </c>
      <c r="AZ225" s="232">
        <f t="shared" si="97"/>
        <v>0</v>
      </c>
      <c r="BA225" s="255">
        <f t="shared" si="98"/>
        <v>0</v>
      </c>
      <c r="BB225" s="31">
        <f t="shared" si="99"/>
        <v>0.25</v>
      </c>
      <c r="BC225" s="255">
        <f t="shared" si="100"/>
        <v>0.21249999999999999</v>
      </c>
      <c r="BD225" s="31">
        <f t="shared" si="101"/>
        <v>0</v>
      </c>
      <c r="BE225" s="255">
        <f t="shared" si="102"/>
        <v>0</v>
      </c>
      <c r="BF225" s="31">
        <f t="shared" si="103"/>
        <v>0</v>
      </c>
      <c r="BG225" s="255">
        <f t="shared" si="104"/>
        <v>0</v>
      </c>
      <c r="BH225" s="31">
        <f t="shared" si="105"/>
        <v>0</v>
      </c>
      <c r="BI225" s="255">
        <f t="shared" si="106"/>
        <v>0</v>
      </c>
      <c r="BJ225" s="31">
        <f t="shared" si="107"/>
        <v>0</v>
      </c>
      <c r="BK225" s="31">
        <f t="shared" si="108"/>
        <v>0</v>
      </c>
      <c r="BL225" s="255">
        <f t="shared" si="109"/>
        <v>0</v>
      </c>
      <c r="BM225" s="31">
        <f t="shared" si="110"/>
        <v>0</v>
      </c>
      <c r="BN225" s="255">
        <f t="shared" si="111"/>
        <v>0</v>
      </c>
    </row>
    <row r="226" spans="1:66" x14ac:dyDescent="0.25">
      <c r="A226" s="18" t="s">
        <v>1747</v>
      </c>
      <c r="B226" s="186" t="str">
        <f>VLOOKUP(A226,kurspris!$A$1:$B$877,2,FALSE)</f>
        <v>Astronomi och meteorologi</v>
      </c>
      <c r="C226" s="37"/>
      <c r="D226" s="31" t="s">
        <v>483</v>
      </c>
      <c r="E226" s="31" t="s">
        <v>1994</v>
      </c>
      <c r="F226" s="59" t="s">
        <v>1931</v>
      </c>
      <c r="G226" s="31" t="s">
        <v>2276</v>
      </c>
      <c r="J226" t="s">
        <v>774</v>
      </c>
      <c r="L226" s="31">
        <v>25</v>
      </c>
      <c r="M226" s="31">
        <v>7.5</v>
      </c>
      <c r="P226" s="31">
        <v>1</v>
      </c>
      <c r="Q226" s="232">
        <f t="shared" si="84"/>
        <v>0.125</v>
      </c>
      <c r="R226" s="40">
        <v>0.85</v>
      </c>
      <c r="S226" s="334">
        <f t="shared" si="85"/>
        <v>0.10625</v>
      </c>
      <c r="T226" s="31">
        <f>VLOOKUP(A226,'Ansvar kurs'!$A$1:$C$1010,2,FALSE)</f>
        <v>5400</v>
      </c>
      <c r="U226" s="31" t="str">
        <f>VLOOKUP(T226,Orgenheter!$A$1:$C$165,2,FALSE)</f>
        <v xml:space="preserve">Inst för Fysik                </v>
      </c>
      <c r="V226" s="31" t="str">
        <f>VLOOKUP(T226,Orgenheter!$A$1:$C$165,3,FALSE)</f>
        <v>TekNat</v>
      </c>
      <c r="W226" s="37" t="str">
        <f>VLOOKUP(D226,Program!$A$1:$B$34,2,FALSE)</f>
        <v>Ämneslärarprogrammet - Gy</v>
      </c>
      <c r="X226" s="42">
        <f>VLOOKUP(A226,kurspris!$A$1:$Q$798,15,FALSE)</f>
        <v>19473</v>
      </c>
      <c r="Y226" s="42">
        <f>VLOOKUP(A226,kurspris!$A$1:$Q$798,16,FALSE)</f>
        <v>34806</v>
      </c>
      <c r="Z226" s="42">
        <f t="shared" si="86"/>
        <v>6132.2624999999998</v>
      </c>
      <c r="AA226" s="42">
        <f>VLOOKUP(A226,kurspris!$A$1:$Q$798,17,FALSE)</f>
        <v>21800</v>
      </c>
      <c r="AB226" s="42">
        <f t="shared" si="87"/>
        <v>2725</v>
      </c>
      <c r="AC226" s="42">
        <f t="shared" si="88"/>
        <v>8857.2625000000007</v>
      </c>
      <c r="AD226" s="31">
        <f>VLOOKUP($A226,kurspris!$A$1:$Q$835,3,FALSE)</f>
        <v>0</v>
      </c>
      <c r="AE226" s="31">
        <f>VLOOKUP($A226,kurspris!$A$1:$Q$835,4,FALSE)</f>
        <v>0</v>
      </c>
      <c r="AF226" s="31">
        <f>VLOOKUP($A226,kurspris!$A$1:$Q$835,5,FALSE)</f>
        <v>0</v>
      </c>
      <c r="AG226" s="31">
        <f>VLOOKUP($A226,kurspris!$A$1:$Q$835,6,FALSE)</f>
        <v>0</v>
      </c>
      <c r="AH226" s="31">
        <f>VLOOKUP($A226,kurspris!$A$1:$Q$835,7,FALSE)</f>
        <v>0</v>
      </c>
      <c r="AI226" s="31">
        <f>VLOOKUP($A226,kurspris!$A$1:$Q$835,8,FALSE)</f>
        <v>0.5</v>
      </c>
      <c r="AJ226" s="31">
        <f>VLOOKUP($A226,kurspris!$A$1:$Q$835,9,FALSE)</f>
        <v>0</v>
      </c>
      <c r="AK226" s="31">
        <f>VLOOKUP($A226,kurspris!$A$1:$Q$835,10,FALSE)</f>
        <v>0.5</v>
      </c>
      <c r="AL226" s="31">
        <f>VLOOKUP($A226,kurspris!$A$1:$Q$835,11,FALSE)</f>
        <v>0</v>
      </c>
      <c r="AM226" s="31">
        <f>VLOOKUP($A226,kurspris!$A$1:$Q$835,12,FALSE)</f>
        <v>0</v>
      </c>
      <c r="AN226" s="31">
        <f>VLOOKUP($A226,kurspris!$A$1:$Q$835,13,FALSE)</f>
        <v>0</v>
      </c>
      <c r="AO226" s="31">
        <f>VLOOKUP($A226,kurspris!$A$1:$Q$835,14,FALSE)</f>
        <v>0</v>
      </c>
      <c r="AP226" s="39" t="s">
        <v>2326</v>
      </c>
      <c r="AQ226"/>
      <c r="AR226" s="31">
        <f t="shared" si="89"/>
        <v>0</v>
      </c>
      <c r="AS226" s="255">
        <f t="shared" si="90"/>
        <v>0</v>
      </c>
      <c r="AT226" s="31">
        <f t="shared" si="91"/>
        <v>0</v>
      </c>
      <c r="AU226" s="255">
        <f t="shared" si="92"/>
        <v>0</v>
      </c>
      <c r="AV226" s="31">
        <f t="shared" si="93"/>
        <v>0</v>
      </c>
      <c r="AW226" s="31">
        <f t="shared" si="94"/>
        <v>0</v>
      </c>
      <c r="AX226" s="31">
        <f t="shared" si="95"/>
        <v>0</v>
      </c>
      <c r="AY226" s="255">
        <f t="shared" si="96"/>
        <v>0</v>
      </c>
      <c r="AZ226" s="232">
        <f t="shared" si="97"/>
        <v>0</v>
      </c>
      <c r="BA226" s="255">
        <f t="shared" si="98"/>
        <v>0</v>
      </c>
      <c r="BB226" s="31">
        <f t="shared" si="99"/>
        <v>6.25E-2</v>
      </c>
      <c r="BC226" s="255">
        <f t="shared" si="100"/>
        <v>5.3124999999999999E-2</v>
      </c>
      <c r="BD226" s="31">
        <f t="shared" si="101"/>
        <v>0</v>
      </c>
      <c r="BE226" s="255">
        <f t="shared" si="102"/>
        <v>0</v>
      </c>
      <c r="BF226" s="31">
        <f t="shared" si="103"/>
        <v>6.25E-2</v>
      </c>
      <c r="BG226" s="255">
        <f t="shared" si="104"/>
        <v>5.3124999999999999E-2</v>
      </c>
      <c r="BH226" s="31">
        <f t="shared" si="105"/>
        <v>0</v>
      </c>
      <c r="BI226" s="255">
        <f t="shared" si="106"/>
        <v>0</v>
      </c>
      <c r="BJ226" s="31">
        <f t="shared" si="107"/>
        <v>0</v>
      </c>
      <c r="BK226" s="31">
        <f t="shared" si="108"/>
        <v>0</v>
      </c>
      <c r="BL226" s="255">
        <f t="shared" si="109"/>
        <v>0</v>
      </c>
      <c r="BM226" s="31">
        <f t="shared" si="110"/>
        <v>0</v>
      </c>
      <c r="BN226" s="255">
        <f t="shared" si="111"/>
        <v>0</v>
      </c>
    </row>
    <row r="227" spans="1:66" x14ac:dyDescent="0.25">
      <c r="A227" s="39" t="s">
        <v>1747</v>
      </c>
      <c r="B227" s="186" t="str">
        <f>VLOOKUP(A227,kurspris!$A$1:$B$877,2,FALSE)</f>
        <v>Astronomi och meteorologi</v>
      </c>
      <c r="C227" s="37"/>
      <c r="D227" s="59" t="s">
        <v>483</v>
      </c>
      <c r="E227" s="62" t="s">
        <v>1976</v>
      </c>
      <c r="F227" s="62" t="s">
        <v>1931</v>
      </c>
      <c r="G227" s="31" t="s">
        <v>2276</v>
      </c>
      <c r="J227" t="s">
        <v>773</v>
      </c>
      <c r="L227" s="31">
        <v>25</v>
      </c>
      <c r="M227" s="376">
        <v>7.5</v>
      </c>
      <c r="N227" s="40"/>
      <c r="P227" s="31">
        <v>1</v>
      </c>
      <c r="Q227" s="232">
        <f t="shared" si="84"/>
        <v>0.125</v>
      </c>
      <c r="R227" s="40">
        <v>0.85</v>
      </c>
      <c r="S227" s="334">
        <f t="shared" si="85"/>
        <v>0.10625</v>
      </c>
      <c r="T227" s="31">
        <f>VLOOKUP(A227,'Ansvar kurs'!$A$1:$C$1010,2,FALSE)</f>
        <v>5400</v>
      </c>
      <c r="U227" s="31" t="str">
        <f>VLOOKUP(T227,Orgenheter!$A$1:$C$165,2,FALSE)</f>
        <v xml:space="preserve">Inst för Fysik                </v>
      </c>
      <c r="V227" s="31" t="str">
        <f>VLOOKUP(T227,Orgenheter!$A$1:$C$165,3,FALSE)</f>
        <v>TekNat</v>
      </c>
      <c r="W227" s="37" t="str">
        <f>VLOOKUP(D227,Program!$A$1:$B$34,2,FALSE)</f>
        <v>Ämneslärarprogrammet - Gy</v>
      </c>
      <c r="X227" s="42">
        <f>VLOOKUP(A227,kurspris!$A$1:$Q$798,15,FALSE)</f>
        <v>19473</v>
      </c>
      <c r="Y227" s="42">
        <f>VLOOKUP(A227,kurspris!$A$1:$Q$798,16,FALSE)</f>
        <v>34806</v>
      </c>
      <c r="Z227" s="42">
        <f t="shared" si="86"/>
        <v>6132.2624999999998</v>
      </c>
      <c r="AA227" s="42">
        <f>VLOOKUP(A227,kurspris!$A$1:$Q$798,17,FALSE)</f>
        <v>21800</v>
      </c>
      <c r="AB227" s="42">
        <f t="shared" si="87"/>
        <v>2725</v>
      </c>
      <c r="AC227" s="42">
        <f t="shared" si="88"/>
        <v>8857.2625000000007</v>
      </c>
      <c r="AD227" s="31">
        <f>VLOOKUP($A227,kurspris!$A$1:$Q$835,3,FALSE)</f>
        <v>0</v>
      </c>
      <c r="AE227" s="31">
        <f>VLOOKUP($A227,kurspris!$A$1:$Q$835,4,FALSE)</f>
        <v>0</v>
      </c>
      <c r="AF227" s="31">
        <f>VLOOKUP($A227,kurspris!$A$1:$Q$835,5,FALSE)</f>
        <v>0</v>
      </c>
      <c r="AG227" s="31">
        <f>VLOOKUP($A227,kurspris!$A$1:$Q$835,6,FALSE)</f>
        <v>0</v>
      </c>
      <c r="AH227" s="31">
        <f>VLOOKUP($A227,kurspris!$A$1:$Q$835,7,FALSE)</f>
        <v>0</v>
      </c>
      <c r="AI227" s="31">
        <f>VLOOKUP($A227,kurspris!$A$1:$Q$835,8,FALSE)</f>
        <v>0.5</v>
      </c>
      <c r="AJ227" s="31">
        <f>VLOOKUP($A227,kurspris!$A$1:$Q$835,9,FALSE)</f>
        <v>0</v>
      </c>
      <c r="AK227" s="31">
        <f>VLOOKUP($A227,kurspris!$A$1:$Q$835,10,FALSE)</f>
        <v>0.5</v>
      </c>
      <c r="AL227" s="31">
        <f>VLOOKUP($A227,kurspris!$A$1:$Q$835,11,FALSE)</f>
        <v>0</v>
      </c>
      <c r="AM227" s="31">
        <f>VLOOKUP($A227,kurspris!$A$1:$Q$835,12,FALSE)</f>
        <v>0</v>
      </c>
      <c r="AN227" s="31">
        <f>VLOOKUP($A227,kurspris!$A$1:$Q$835,13,FALSE)</f>
        <v>0</v>
      </c>
      <c r="AO227" s="31">
        <f>VLOOKUP($A227,kurspris!$A$1:$Q$835,14,FALSE)</f>
        <v>0</v>
      </c>
      <c r="AP227" s="39" t="s">
        <v>2326</v>
      </c>
      <c r="AQ227"/>
      <c r="AR227" s="31">
        <f t="shared" si="89"/>
        <v>0</v>
      </c>
      <c r="AS227" s="255">
        <f t="shared" si="90"/>
        <v>0</v>
      </c>
      <c r="AT227" s="31">
        <f t="shared" si="91"/>
        <v>0</v>
      </c>
      <c r="AU227" s="255">
        <f t="shared" si="92"/>
        <v>0</v>
      </c>
      <c r="AV227" s="31">
        <f t="shared" si="93"/>
        <v>0</v>
      </c>
      <c r="AW227" s="31">
        <f t="shared" si="94"/>
        <v>0</v>
      </c>
      <c r="AX227" s="31">
        <f t="shared" si="95"/>
        <v>0</v>
      </c>
      <c r="AY227" s="255">
        <f t="shared" si="96"/>
        <v>0</v>
      </c>
      <c r="AZ227" s="232">
        <f t="shared" si="97"/>
        <v>0</v>
      </c>
      <c r="BA227" s="255">
        <f t="shared" si="98"/>
        <v>0</v>
      </c>
      <c r="BB227" s="31">
        <f t="shared" si="99"/>
        <v>6.25E-2</v>
      </c>
      <c r="BC227" s="255">
        <f t="shared" si="100"/>
        <v>5.3124999999999999E-2</v>
      </c>
      <c r="BD227" s="31">
        <f t="shared" si="101"/>
        <v>0</v>
      </c>
      <c r="BE227" s="255">
        <f t="shared" si="102"/>
        <v>0</v>
      </c>
      <c r="BF227" s="31">
        <f t="shared" si="103"/>
        <v>6.25E-2</v>
      </c>
      <c r="BG227" s="255">
        <f t="shared" si="104"/>
        <v>5.3124999999999999E-2</v>
      </c>
      <c r="BH227" s="31">
        <f t="shared" si="105"/>
        <v>0</v>
      </c>
      <c r="BI227" s="255">
        <f t="shared" si="106"/>
        <v>0</v>
      </c>
      <c r="BJ227" s="31">
        <f t="shared" si="107"/>
        <v>0</v>
      </c>
      <c r="BK227" s="31">
        <f t="shared" si="108"/>
        <v>0</v>
      </c>
      <c r="BL227" s="255">
        <f t="shared" si="109"/>
        <v>0</v>
      </c>
      <c r="BM227" s="31">
        <f t="shared" si="110"/>
        <v>0</v>
      </c>
      <c r="BN227" s="255">
        <f t="shared" si="111"/>
        <v>0</v>
      </c>
    </row>
    <row r="228" spans="1:66" x14ac:dyDescent="0.25">
      <c r="A228" s="18" t="s">
        <v>1747</v>
      </c>
      <c r="B228" s="186" t="str">
        <f>VLOOKUP(A228,kurspris!$A$1:$B$877,2,FALSE)</f>
        <v>Astronomi och meteorologi</v>
      </c>
      <c r="C228" s="37"/>
      <c r="D228" s="31" t="s">
        <v>483</v>
      </c>
      <c r="E228" s="31" t="s">
        <v>1976</v>
      </c>
      <c r="F228" s="59" t="s">
        <v>1931</v>
      </c>
      <c r="G228" s="31" t="s">
        <v>2276</v>
      </c>
      <c r="J228" t="s">
        <v>775</v>
      </c>
      <c r="L228" s="31">
        <v>25</v>
      </c>
      <c r="M228" s="31">
        <v>7.5</v>
      </c>
      <c r="P228" s="31">
        <v>1</v>
      </c>
      <c r="Q228" s="232">
        <f t="shared" si="84"/>
        <v>0.125</v>
      </c>
      <c r="R228" s="40">
        <v>0.85</v>
      </c>
      <c r="S228" s="334">
        <f t="shared" si="85"/>
        <v>0.10625</v>
      </c>
      <c r="T228" s="31">
        <f>VLOOKUP(A228,'Ansvar kurs'!$A$1:$C$1010,2,FALSE)</f>
        <v>5400</v>
      </c>
      <c r="U228" s="31" t="str">
        <f>VLOOKUP(T228,Orgenheter!$A$1:$C$165,2,FALSE)</f>
        <v xml:space="preserve">Inst för Fysik                </v>
      </c>
      <c r="V228" s="31" t="str">
        <f>VLOOKUP(T228,Orgenheter!$A$1:$C$165,3,FALSE)</f>
        <v>TekNat</v>
      </c>
      <c r="W228" s="37" t="str">
        <f>VLOOKUP(D228,Program!$A$1:$B$34,2,FALSE)</f>
        <v>Ämneslärarprogrammet - Gy</v>
      </c>
      <c r="X228" s="42">
        <f>VLOOKUP(A228,kurspris!$A$1:$Q$798,15,FALSE)</f>
        <v>19473</v>
      </c>
      <c r="Y228" s="42">
        <f>VLOOKUP(A228,kurspris!$A$1:$Q$798,16,FALSE)</f>
        <v>34806</v>
      </c>
      <c r="Z228" s="42">
        <f t="shared" si="86"/>
        <v>6132.2624999999998</v>
      </c>
      <c r="AA228" s="42">
        <f>VLOOKUP(A228,kurspris!$A$1:$Q$798,17,FALSE)</f>
        <v>21800</v>
      </c>
      <c r="AB228" s="42">
        <f t="shared" si="87"/>
        <v>2725</v>
      </c>
      <c r="AC228" s="42">
        <f t="shared" si="88"/>
        <v>8857.2625000000007</v>
      </c>
      <c r="AD228" s="31">
        <f>VLOOKUP($A228,kurspris!$A$1:$Q$835,3,FALSE)</f>
        <v>0</v>
      </c>
      <c r="AE228" s="31">
        <f>VLOOKUP($A228,kurspris!$A$1:$Q$835,4,FALSE)</f>
        <v>0</v>
      </c>
      <c r="AF228" s="31">
        <f>VLOOKUP($A228,kurspris!$A$1:$Q$835,5,FALSE)</f>
        <v>0</v>
      </c>
      <c r="AG228" s="31">
        <f>VLOOKUP($A228,kurspris!$A$1:$Q$835,6,FALSE)</f>
        <v>0</v>
      </c>
      <c r="AH228" s="31">
        <f>VLOOKUP($A228,kurspris!$A$1:$Q$835,7,FALSE)</f>
        <v>0</v>
      </c>
      <c r="AI228" s="31">
        <f>VLOOKUP($A228,kurspris!$A$1:$Q$835,8,FALSE)</f>
        <v>0.5</v>
      </c>
      <c r="AJ228" s="31">
        <f>VLOOKUP($A228,kurspris!$A$1:$Q$835,9,FALSE)</f>
        <v>0</v>
      </c>
      <c r="AK228" s="31">
        <f>VLOOKUP($A228,kurspris!$A$1:$Q$835,10,FALSE)</f>
        <v>0.5</v>
      </c>
      <c r="AL228" s="31">
        <f>VLOOKUP($A228,kurspris!$A$1:$Q$835,11,FALSE)</f>
        <v>0</v>
      </c>
      <c r="AM228" s="31">
        <f>VLOOKUP($A228,kurspris!$A$1:$Q$835,12,FALSE)</f>
        <v>0</v>
      </c>
      <c r="AN228" s="31">
        <f>VLOOKUP($A228,kurspris!$A$1:$Q$835,13,FALSE)</f>
        <v>0</v>
      </c>
      <c r="AO228" s="31">
        <f>VLOOKUP($A228,kurspris!$A$1:$Q$835,14,FALSE)</f>
        <v>0</v>
      </c>
      <c r="AP228" s="39" t="s">
        <v>2326</v>
      </c>
      <c r="AQ228"/>
      <c r="AR228" s="31">
        <f t="shared" si="89"/>
        <v>0</v>
      </c>
      <c r="AS228" s="255">
        <f t="shared" si="90"/>
        <v>0</v>
      </c>
      <c r="AT228" s="31">
        <f t="shared" si="91"/>
        <v>0</v>
      </c>
      <c r="AU228" s="255">
        <f t="shared" si="92"/>
        <v>0</v>
      </c>
      <c r="AV228" s="31">
        <f t="shared" si="93"/>
        <v>0</v>
      </c>
      <c r="AW228" s="31">
        <f t="shared" si="94"/>
        <v>0</v>
      </c>
      <c r="AX228" s="31">
        <f t="shared" si="95"/>
        <v>0</v>
      </c>
      <c r="AY228" s="255">
        <f t="shared" si="96"/>
        <v>0</v>
      </c>
      <c r="AZ228" s="232">
        <f t="shared" si="97"/>
        <v>0</v>
      </c>
      <c r="BA228" s="255">
        <f t="shared" si="98"/>
        <v>0</v>
      </c>
      <c r="BB228" s="31">
        <f t="shared" si="99"/>
        <v>6.25E-2</v>
      </c>
      <c r="BC228" s="255">
        <f t="shared" si="100"/>
        <v>5.3124999999999999E-2</v>
      </c>
      <c r="BD228" s="31">
        <f t="shared" si="101"/>
        <v>0</v>
      </c>
      <c r="BE228" s="255">
        <f t="shared" si="102"/>
        <v>0</v>
      </c>
      <c r="BF228" s="31">
        <f t="shared" si="103"/>
        <v>6.25E-2</v>
      </c>
      <c r="BG228" s="255">
        <f t="shared" si="104"/>
        <v>5.3124999999999999E-2</v>
      </c>
      <c r="BH228" s="31">
        <f t="shared" si="105"/>
        <v>0</v>
      </c>
      <c r="BI228" s="255">
        <f t="shared" si="106"/>
        <v>0</v>
      </c>
      <c r="BJ228" s="31">
        <f t="shared" si="107"/>
        <v>0</v>
      </c>
      <c r="BK228" s="31">
        <f t="shared" si="108"/>
        <v>0</v>
      </c>
      <c r="BL228" s="255">
        <f t="shared" si="109"/>
        <v>0</v>
      </c>
      <c r="BM228" s="31">
        <f t="shared" si="110"/>
        <v>0</v>
      </c>
      <c r="BN228" s="255">
        <f t="shared" si="111"/>
        <v>0</v>
      </c>
    </row>
    <row r="229" spans="1:66" x14ac:dyDescent="0.25">
      <c r="A229" s="18" t="s">
        <v>1747</v>
      </c>
      <c r="B229" s="186" t="str">
        <f>VLOOKUP(A229,kurspris!$A$1:$B$877,2,FALSE)</f>
        <v>Astronomi och meteorologi</v>
      </c>
      <c r="C229" s="37"/>
      <c r="D229" s="31" t="s">
        <v>483</v>
      </c>
      <c r="E229" s="31" t="s">
        <v>1973</v>
      </c>
      <c r="F229" s="59" t="s">
        <v>1931</v>
      </c>
      <c r="G229" s="31" t="s">
        <v>2276</v>
      </c>
      <c r="J229" t="s">
        <v>774</v>
      </c>
      <c r="L229" s="31">
        <v>25</v>
      </c>
      <c r="M229" s="31">
        <v>7.5</v>
      </c>
      <c r="P229" s="31">
        <v>1</v>
      </c>
      <c r="Q229" s="232">
        <f t="shared" si="84"/>
        <v>0.125</v>
      </c>
      <c r="R229" s="40">
        <v>0.85</v>
      </c>
      <c r="S229" s="334">
        <f t="shared" si="85"/>
        <v>0.10625</v>
      </c>
      <c r="T229" s="31">
        <f>VLOOKUP(A229,'Ansvar kurs'!$A$1:$C$1010,2,FALSE)</f>
        <v>5400</v>
      </c>
      <c r="U229" s="31" t="str">
        <f>VLOOKUP(T229,Orgenheter!$A$1:$C$165,2,FALSE)</f>
        <v xml:space="preserve">Inst för Fysik                </v>
      </c>
      <c r="V229" s="31" t="str">
        <f>VLOOKUP(T229,Orgenheter!$A$1:$C$165,3,FALSE)</f>
        <v>TekNat</v>
      </c>
      <c r="W229" s="37" t="str">
        <f>VLOOKUP(D229,Program!$A$1:$B$34,2,FALSE)</f>
        <v>Ämneslärarprogrammet - Gy</v>
      </c>
      <c r="X229" s="42">
        <f>VLOOKUP(A229,kurspris!$A$1:$Q$798,15,FALSE)</f>
        <v>19473</v>
      </c>
      <c r="Y229" s="42">
        <f>VLOOKUP(A229,kurspris!$A$1:$Q$798,16,FALSE)</f>
        <v>34806</v>
      </c>
      <c r="Z229" s="42">
        <f t="shared" si="86"/>
        <v>6132.2624999999998</v>
      </c>
      <c r="AA229" s="42">
        <f>VLOOKUP(A229,kurspris!$A$1:$Q$798,17,FALSE)</f>
        <v>21800</v>
      </c>
      <c r="AB229" s="42">
        <f t="shared" si="87"/>
        <v>2725</v>
      </c>
      <c r="AC229" s="42">
        <f t="shared" si="88"/>
        <v>8857.2625000000007</v>
      </c>
      <c r="AD229" s="31">
        <f>VLOOKUP($A229,kurspris!$A$1:$Q$835,3,FALSE)</f>
        <v>0</v>
      </c>
      <c r="AE229" s="31">
        <f>VLOOKUP($A229,kurspris!$A$1:$Q$835,4,FALSE)</f>
        <v>0</v>
      </c>
      <c r="AF229" s="31">
        <f>VLOOKUP($A229,kurspris!$A$1:$Q$835,5,FALSE)</f>
        <v>0</v>
      </c>
      <c r="AG229" s="31">
        <f>VLOOKUP($A229,kurspris!$A$1:$Q$835,6,FALSE)</f>
        <v>0</v>
      </c>
      <c r="AH229" s="31">
        <f>VLOOKUP($A229,kurspris!$A$1:$Q$835,7,FALSE)</f>
        <v>0</v>
      </c>
      <c r="AI229" s="31">
        <f>VLOOKUP($A229,kurspris!$A$1:$Q$835,8,FALSE)</f>
        <v>0.5</v>
      </c>
      <c r="AJ229" s="31">
        <f>VLOOKUP($A229,kurspris!$A$1:$Q$835,9,FALSE)</f>
        <v>0</v>
      </c>
      <c r="AK229" s="31">
        <f>VLOOKUP($A229,kurspris!$A$1:$Q$835,10,FALSE)</f>
        <v>0.5</v>
      </c>
      <c r="AL229" s="31">
        <f>VLOOKUP($A229,kurspris!$A$1:$Q$835,11,FALSE)</f>
        <v>0</v>
      </c>
      <c r="AM229" s="31">
        <f>VLOOKUP($A229,kurspris!$A$1:$Q$835,12,FALSE)</f>
        <v>0</v>
      </c>
      <c r="AN229" s="31">
        <f>VLOOKUP($A229,kurspris!$A$1:$Q$835,13,FALSE)</f>
        <v>0</v>
      </c>
      <c r="AO229" s="31">
        <f>VLOOKUP($A229,kurspris!$A$1:$Q$835,14,FALSE)</f>
        <v>0</v>
      </c>
      <c r="AP229" s="39" t="s">
        <v>2326</v>
      </c>
      <c r="AQ229"/>
      <c r="AR229" s="31">
        <f t="shared" si="89"/>
        <v>0</v>
      </c>
      <c r="AS229" s="255">
        <f t="shared" si="90"/>
        <v>0</v>
      </c>
      <c r="AT229" s="31">
        <f t="shared" si="91"/>
        <v>0</v>
      </c>
      <c r="AU229" s="255">
        <f t="shared" si="92"/>
        <v>0</v>
      </c>
      <c r="AV229" s="31">
        <f t="shared" si="93"/>
        <v>0</v>
      </c>
      <c r="AW229" s="31">
        <f t="shared" si="94"/>
        <v>0</v>
      </c>
      <c r="AX229" s="31">
        <f t="shared" si="95"/>
        <v>0</v>
      </c>
      <c r="AY229" s="255">
        <f t="shared" si="96"/>
        <v>0</v>
      </c>
      <c r="AZ229" s="232">
        <f t="shared" si="97"/>
        <v>0</v>
      </c>
      <c r="BA229" s="255">
        <f t="shared" si="98"/>
        <v>0</v>
      </c>
      <c r="BB229" s="31">
        <f t="shared" si="99"/>
        <v>6.25E-2</v>
      </c>
      <c r="BC229" s="255">
        <f t="shared" si="100"/>
        <v>5.3124999999999999E-2</v>
      </c>
      <c r="BD229" s="31">
        <f t="shared" si="101"/>
        <v>0</v>
      </c>
      <c r="BE229" s="255">
        <f t="shared" si="102"/>
        <v>0</v>
      </c>
      <c r="BF229" s="31">
        <f t="shared" si="103"/>
        <v>6.25E-2</v>
      </c>
      <c r="BG229" s="255">
        <f t="shared" si="104"/>
        <v>5.3124999999999999E-2</v>
      </c>
      <c r="BH229" s="31">
        <f t="shared" si="105"/>
        <v>0</v>
      </c>
      <c r="BI229" s="255">
        <f t="shared" si="106"/>
        <v>0</v>
      </c>
      <c r="BJ229" s="31">
        <f t="shared" si="107"/>
        <v>0</v>
      </c>
      <c r="BK229" s="31">
        <f t="shared" si="108"/>
        <v>0</v>
      </c>
      <c r="BL229" s="255">
        <f t="shared" si="109"/>
        <v>0</v>
      </c>
      <c r="BM229" s="31">
        <f t="shared" si="110"/>
        <v>0</v>
      </c>
      <c r="BN229" s="255">
        <f t="shared" si="111"/>
        <v>0</v>
      </c>
    </row>
    <row r="230" spans="1:66" x14ac:dyDescent="0.25">
      <c r="A230" s="18" t="s">
        <v>1747</v>
      </c>
      <c r="B230" s="186" t="str">
        <f>VLOOKUP(A230,kurspris!$A$1:$B$877,2,FALSE)</f>
        <v>Astronomi och meteorologi</v>
      </c>
      <c r="C230" s="37"/>
      <c r="D230" s="31" t="s">
        <v>483</v>
      </c>
      <c r="E230" s="31" t="s">
        <v>1609</v>
      </c>
      <c r="F230" s="59" t="s">
        <v>1931</v>
      </c>
      <c r="G230" s="31" t="s">
        <v>2276</v>
      </c>
      <c r="J230" t="s">
        <v>774</v>
      </c>
      <c r="L230" s="31">
        <v>25</v>
      </c>
      <c r="M230" s="31">
        <v>7.5</v>
      </c>
      <c r="P230" s="31">
        <v>3</v>
      </c>
      <c r="Q230" s="232">
        <f t="shared" si="84"/>
        <v>0.375</v>
      </c>
      <c r="R230" s="40">
        <v>0.85</v>
      </c>
      <c r="S230" s="334">
        <f t="shared" si="85"/>
        <v>0.31874999999999998</v>
      </c>
      <c r="T230" s="31">
        <f>VLOOKUP(A230,'Ansvar kurs'!$A$1:$C$1010,2,FALSE)</f>
        <v>5400</v>
      </c>
      <c r="U230" s="31" t="str">
        <f>VLOOKUP(T230,Orgenheter!$A$1:$C$165,2,FALSE)</f>
        <v xml:space="preserve">Inst för Fysik                </v>
      </c>
      <c r="V230" s="31" t="str">
        <f>VLOOKUP(T230,Orgenheter!$A$1:$C$165,3,FALSE)</f>
        <v>TekNat</v>
      </c>
      <c r="W230" s="37" t="str">
        <f>VLOOKUP(D230,Program!$A$1:$B$34,2,FALSE)</f>
        <v>Ämneslärarprogrammet - Gy</v>
      </c>
      <c r="X230" s="42">
        <f>VLOOKUP(A230,kurspris!$A$1:$Q$798,15,FALSE)</f>
        <v>19473</v>
      </c>
      <c r="Y230" s="42">
        <f>VLOOKUP(A230,kurspris!$A$1:$Q$798,16,FALSE)</f>
        <v>34806</v>
      </c>
      <c r="Z230" s="42">
        <f t="shared" si="86"/>
        <v>18396.787499999999</v>
      </c>
      <c r="AA230" s="42">
        <f>VLOOKUP(A230,kurspris!$A$1:$Q$798,17,FALSE)</f>
        <v>21800</v>
      </c>
      <c r="AB230" s="42">
        <f t="shared" si="87"/>
        <v>8175</v>
      </c>
      <c r="AC230" s="42">
        <f t="shared" si="88"/>
        <v>26571.787499999999</v>
      </c>
      <c r="AD230" s="31">
        <f>VLOOKUP($A230,kurspris!$A$1:$Q$835,3,FALSE)</f>
        <v>0</v>
      </c>
      <c r="AE230" s="31">
        <f>VLOOKUP($A230,kurspris!$A$1:$Q$835,4,FALSE)</f>
        <v>0</v>
      </c>
      <c r="AF230" s="31">
        <f>VLOOKUP($A230,kurspris!$A$1:$Q$835,5,FALSE)</f>
        <v>0</v>
      </c>
      <c r="AG230" s="31">
        <f>VLOOKUP($A230,kurspris!$A$1:$Q$835,6,FALSE)</f>
        <v>0</v>
      </c>
      <c r="AH230" s="31">
        <f>VLOOKUP($A230,kurspris!$A$1:$Q$835,7,FALSE)</f>
        <v>0</v>
      </c>
      <c r="AI230" s="31">
        <f>VLOOKUP($A230,kurspris!$A$1:$Q$835,8,FALSE)</f>
        <v>0.5</v>
      </c>
      <c r="AJ230" s="31">
        <f>VLOOKUP($A230,kurspris!$A$1:$Q$835,9,FALSE)</f>
        <v>0</v>
      </c>
      <c r="AK230" s="31">
        <f>VLOOKUP($A230,kurspris!$A$1:$Q$835,10,FALSE)</f>
        <v>0.5</v>
      </c>
      <c r="AL230" s="31">
        <f>VLOOKUP($A230,kurspris!$A$1:$Q$835,11,FALSE)</f>
        <v>0</v>
      </c>
      <c r="AM230" s="31">
        <f>VLOOKUP($A230,kurspris!$A$1:$Q$835,12,FALSE)</f>
        <v>0</v>
      </c>
      <c r="AN230" s="31">
        <f>VLOOKUP($A230,kurspris!$A$1:$Q$835,13,FALSE)</f>
        <v>0</v>
      </c>
      <c r="AO230" s="31">
        <f>VLOOKUP($A230,kurspris!$A$1:$Q$835,14,FALSE)</f>
        <v>0</v>
      </c>
      <c r="AP230" s="39" t="s">
        <v>2326</v>
      </c>
      <c r="AQ230"/>
      <c r="AR230" s="31">
        <f t="shared" si="89"/>
        <v>0</v>
      </c>
      <c r="AS230" s="255">
        <f t="shared" si="90"/>
        <v>0</v>
      </c>
      <c r="AT230" s="31">
        <f t="shared" si="91"/>
        <v>0</v>
      </c>
      <c r="AU230" s="255">
        <f t="shared" si="92"/>
        <v>0</v>
      </c>
      <c r="AV230" s="31">
        <f t="shared" si="93"/>
        <v>0</v>
      </c>
      <c r="AW230" s="31">
        <f t="shared" si="94"/>
        <v>0</v>
      </c>
      <c r="AX230" s="31">
        <f t="shared" si="95"/>
        <v>0</v>
      </c>
      <c r="AY230" s="255">
        <f t="shared" si="96"/>
        <v>0</v>
      </c>
      <c r="AZ230" s="232">
        <f t="shared" si="97"/>
        <v>0</v>
      </c>
      <c r="BA230" s="255">
        <f t="shared" si="98"/>
        <v>0</v>
      </c>
      <c r="BB230" s="31">
        <f t="shared" si="99"/>
        <v>0.1875</v>
      </c>
      <c r="BC230" s="255">
        <f t="shared" si="100"/>
        <v>0.15937499999999999</v>
      </c>
      <c r="BD230" s="31">
        <f t="shared" si="101"/>
        <v>0</v>
      </c>
      <c r="BE230" s="255">
        <f t="shared" si="102"/>
        <v>0</v>
      </c>
      <c r="BF230" s="31">
        <f t="shared" si="103"/>
        <v>0.1875</v>
      </c>
      <c r="BG230" s="255">
        <f t="shared" si="104"/>
        <v>0.15937499999999999</v>
      </c>
      <c r="BH230" s="31">
        <f t="shared" si="105"/>
        <v>0</v>
      </c>
      <c r="BI230" s="255">
        <f t="shared" si="106"/>
        <v>0</v>
      </c>
      <c r="BJ230" s="31">
        <f t="shared" si="107"/>
        <v>0</v>
      </c>
      <c r="BK230" s="31">
        <f t="shared" si="108"/>
        <v>0</v>
      </c>
      <c r="BL230" s="255">
        <f t="shared" si="109"/>
        <v>0</v>
      </c>
      <c r="BM230" s="31">
        <f t="shared" si="110"/>
        <v>0</v>
      </c>
      <c r="BN230" s="255">
        <f t="shared" si="111"/>
        <v>0</v>
      </c>
    </row>
    <row r="231" spans="1:66" x14ac:dyDescent="0.25">
      <c r="A231" s="18" t="s">
        <v>1747</v>
      </c>
      <c r="B231" s="186" t="str">
        <f>VLOOKUP(A231,kurspris!$A$1:$B$877,2,FALSE)</f>
        <v>Astronomi och meteorologi</v>
      </c>
      <c r="C231" s="37"/>
      <c r="D231" s="31" t="s">
        <v>483</v>
      </c>
      <c r="E231" s="31" t="s">
        <v>1788</v>
      </c>
      <c r="F231" s="59" t="s">
        <v>1931</v>
      </c>
      <c r="G231" s="31" t="s">
        <v>2276</v>
      </c>
      <c r="J231" t="s">
        <v>774</v>
      </c>
      <c r="L231" s="31">
        <v>25</v>
      </c>
      <c r="M231" s="31">
        <v>7.5</v>
      </c>
      <c r="P231" s="31">
        <v>1</v>
      </c>
      <c r="Q231" s="232">
        <f t="shared" si="84"/>
        <v>0.125</v>
      </c>
      <c r="R231" s="40">
        <v>0.85</v>
      </c>
      <c r="S231" s="334">
        <f t="shared" si="85"/>
        <v>0.10625</v>
      </c>
      <c r="T231" s="31">
        <f>VLOOKUP(A231,'Ansvar kurs'!$A$1:$C$1010,2,FALSE)</f>
        <v>5400</v>
      </c>
      <c r="U231" s="31" t="str">
        <f>VLOOKUP(T231,Orgenheter!$A$1:$C$165,2,FALSE)</f>
        <v xml:space="preserve">Inst för Fysik                </v>
      </c>
      <c r="V231" s="31" t="str">
        <f>VLOOKUP(T231,Orgenheter!$A$1:$C$165,3,FALSE)</f>
        <v>TekNat</v>
      </c>
      <c r="W231" s="37" t="str">
        <f>VLOOKUP(D231,Program!$A$1:$B$34,2,FALSE)</f>
        <v>Ämneslärarprogrammet - Gy</v>
      </c>
      <c r="X231" s="42">
        <f>VLOOKUP(A231,kurspris!$A$1:$Q$798,15,FALSE)</f>
        <v>19473</v>
      </c>
      <c r="Y231" s="42">
        <f>VLOOKUP(A231,kurspris!$A$1:$Q$798,16,FALSE)</f>
        <v>34806</v>
      </c>
      <c r="Z231" s="42">
        <f t="shared" si="86"/>
        <v>6132.2624999999998</v>
      </c>
      <c r="AA231" s="42">
        <f>VLOOKUP(A231,kurspris!$A$1:$Q$798,17,FALSE)</f>
        <v>21800</v>
      </c>
      <c r="AB231" s="42">
        <f t="shared" si="87"/>
        <v>2725</v>
      </c>
      <c r="AC231" s="42">
        <f t="shared" si="88"/>
        <v>8857.2625000000007</v>
      </c>
      <c r="AD231" s="31">
        <f>VLOOKUP($A231,kurspris!$A$1:$Q$835,3,FALSE)</f>
        <v>0</v>
      </c>
      <c r="AE231" s="31">
        <f>VLOOKUP($A231,kurspris!$A$1:$Q$835,4,FALSE)</f>
        <v>0</v>
      </c>
      <c r="AF231" s="31">
        <f>VLOOKUP($A231,kurspris!$A$1:$Q$835,5,FALSE)</f>
        <v>0</v>
      </c>
      <c r="AG231" s="31">
        <f>VLOOKUP($A231,kurspris!$A$1:$Q$835,6,FALSE)</f>
        <v>0</v>
      </c>
      <c r="AH231" s="31">
        <f>VLOOKUP($A231,kurspris!$A$1:$Q$835,7,FALSE)</f>
        <v>0</v>
      </c>
      <c r="AI231" s="31">
        <f>VLOOKUP($A231,kurspris!$A$1:$Q$835,8,FALSE)</f>
        <v>0.5</v>
      </c>
      <c r="AJ231" s="31">
        <f>VLOOKUP($A231,kurspris!$A$1:$Q$835,9,FALSE)</f>
        <v>0</v>
      </c>
      <c r="AK231" s="31">
        <f>VLOOKUP($A231,kurspris!$A$1:$Q$835,10,FALSE)</f>
        <v>0.5</v>
      </c>
      <c r="AL231" s="31">
        <f>VLOOKUP($A231,kurspris!$A$1:$Q$835,11,FALSE)</f>
        <v>0</v>
      </c>
      <c r="AM231" s="31">
        <f>VLOOKUP($A231,kurspris!$A$1:$Q$835,12,FALSE)</f>
        <v>0</v>
      </c>
      <c r="AN231" s="31">
        <f>VLOOKUP($A231,kurspris!$A$1:$Q$835,13,FALSE)</f>
        <v>0</v>
      </c>
      <c r="AO231" s="31">
        <f>VLOOKUP($A231,kurspris!$A$1:$Q$835,14,FALSE)</f>
        <v>0</v>
      </c>
      <c r="AP231" s="39" t="s">
        <v>2326</v>
      </c>
      <c r="AQ231"/>
      <c r="AR231" s="31">
        <f t="shared" si="89"/>
        <v>0</v>
      </c>
      <c r="AS231" s="255">
        <f t="shared" si="90"/>
        <v>0</v>
      </c>
      <c r="AT231" s="31">
        <f t="shared" si="91"/>
        <v>0</v>
      </c>
      <c r="AU231" s="255">
        <f t="shared" si="92"/>
        <v>0</v>
      </c>
      <c r="AV231" s="31">
        <f t="shared" si="93"/>
        <v>0</v>
      </c>
      <c r="AW231" s="31">
        <f t="shared" si="94"/>
        <v>0</v>
      </c>
      <c r="AX231" s="31">
        <f t="shared" si="95"/>
        <v>0</v>
      </c>
      <c r="AY231" s="255">
        <f t="shared" si="96"/>
        <v>0</v>
      </c>
      <c r="AZ231" s="232">
        <f t="shared" si="97"/>
        <v>0</v>
      </c>
      <c r="BA231" s="255">
        <f t="shared" si="98"/>
        <v>0</v>
      </c>
      <c r="BB231" s="31">
        <f t="shared" si="99"/>
        <v>6.25E-2</v>
      </c>
      <c r="BC231" s="255">
        <f t="shared" si="100"/>
        <v>5.3124999999999999E-2</v>
      </c>
      <c r="BD231" s="31">
        <f t="shared" si="101"/>
        <v>0</v>
      </c>
      <c r="BE231" s="255">
        <f t="shared" si="102"/>
        <v>0</v>
      </c>
      <c r="BF231" s="31">
        <f t="shared" si="103"/>
        <v>6.25E-2</v>
      </c>
      <c r="BG231" s="255">
        <f t="shared" si="104"/>
        <v>5.3124999999999999E-2</v>
      </c>
      <c r="BH231" s="31">
        <f t="shared" si="105"/>
        <v>0</v>
      </c>
      <c r="BI231" s="255">
        <f t="shared" si="106"/>
        <v>0</v>
      </c>
      <c r="BJ231" s="31">
        <f t="shared" si="107"/>
        <v>0</v>
      </c>
      <c r="BK231" s="31">
        <f t="shared" si="108"/>
        <v>0</v>
      </c>
      <c r="BL231" s="255">
        <f t="shared" si="109"/>
        <v>0</v>
      </c>
      <c r="BM231" s="31">
        <f t="shared" si="110"/>
        <v>0</v>
      </c>
      <c r="BN231" s="255">
        <f t="shared" si="111"/>
        <v>0</v>
      </c>
    </row>
    <row r="232" spans="1:66" x14ac:dyDescent="0.25">
      <c r="A232" s="18" t="s">
        <v>1747</v>
      </c>
      <c r="B232" s="186" t="str">
        <f>VLOOKUP(A232,kurspris!$A$1:$B$877,2,FALSE)</f>
        <v>Astronomi och meteorologi</v>
      </c>
      <c r="C232" s="37"/>
      <c r="D232" s="31" t="s">
        <v>483</v>
      </c>
      <c r="E232" s="31" t="s">
        <v>1788</v>
      </c>
      <c r="F232" s="59" t="s">
        <v>1931</v>
      </c>
      <c r="G232" s="31" t="s">
        <v>2276</v>
      </c>
      <c r="J232" t="s">
        <v>1594</v>
      </c>
      <c r="L232" s="31">
        <v>25</v>
      </c>
      <c r="M232" s="31">
        <v>7.5</v>
      </c>
      <c r="P232" s="31">
        <v>1</v>
      </c>
      <c r="Q232" s="232">
        <f t="shared" si="84"/>
        <v>0.125</v>
      </c>
      <c r="R232" s="40">
        <v>0.85</v>
      </c>
      <c r="S232" s="334">
        <f t="shared" si="85"/>
        <v>0.10625</v>
      </c>
      <c r="T232" s="31">
        <f>VLOOKUP(A232,'Ansvar kurs'!$A$1:$C$1010,2,FALSE)</f>
        <v>5400</v>
      </c>
      <c r="U232" s="31" t="str">
        <f>VLOOKUP(T232,Orgenheter!$A$1:$C$165,2,FALSE)</f>
        <v xml:space="preserve">Inst för Fysik                </v>
      </c>
      <c r="V232" s="31" t="str">
        <f>VLOOKUP(T232,Orgenheter!$A$1:$C$165,3,FALSE)</f>
        <v>TekNat</v>
      </c>
      <c r="W232" s="37" t="str">
        <f>VLOOKUP(D232,Program!$A$1:$B$34,2,FALSE)</f>
        <v>Ämneslärarprogrammet - Gy</v>
      </c>
      <c r="X232" s="42">
        <f>VLOOKUP(A232,kurspris!$A$1:$Q$798,15,FALSE)</f>
        <v>19473</v>
      </c>
      <c r="Y232" s="42">
        <f>VLOOKUP(A232,kurspris!$A$1:$Q$798,16,FALSE)</f>
        <v>34806</v>
      </c>
      <c r="Z232" s="42">
        <f t="shared" si="86"/>
        <v>6132.2624999999998</v>
      </c>
      <c r="AA232" s="42">
        <f>VLOOKUP(A232,kurspris!$A$1:$Q$798,17,FALSE)</f>
        <v>21800</v>
      </c>
      <c r="AB232" s="42">
        <f t="shared" si="87"/>
        <v>2725</v>
      </c>
      <c r="AC232" s="42">
        <f t="shared" si="88"/>
        <v>8857.2625000000007</v>
      </c>
      <c r="AD232" s="31">
        <f>VLOOKUP($A232,kurspris!$A$1:$Q$835,3,FALSE)</f>
        <v>0</v>
      </c>
      <c r="AE232" s="31">
        <f>VLOOKUP($A232,kurspris!$A$1:$Q$835,4,FALSE)</f>
        <v>0</v>
      </c>
      <c r="AF232" s="31">
        <f>VLOOKUP($A232,kurspris!$A$1:$Q$835,5,FALSE)</f>
        <v>0</v>
      </c>
      <c r="AG232" s="31">
        <f>VLOOKUP($A232,kurspris!$A$1:$Q$835,6,FALSE)</f>
        <v>0</v>
      </c>
      <c r="AH232" s="31">
        <f>VLOOKUP($A232,kurspris!$A$1:$Q$835,7,FALSE)</f>
        <v>0</v>
      </c>
      <c r="AI232" s="31">
        <f>VLOOKUP($A232,kurspris!$A$1:$Q$835,8,FALSE)</f>
        <v>0.5</v>
      </c>
      <c r="AJ232" s="31">
        <f>VLOOKUP($A232,kurspris!$A$1:$Q$835,9,FALSE)</f>
        <v>0</v>
      </c>
      <c r="AK232" s="31">
        <f>VLOOKUP($A232,kurspris!$A$1:$Q$835,10,FALSE)</f>
        <v>0.5</v>
      </c>
      <c r="AL232" s="31">
        <f>VLOOKUP($A232,kurspris!$A$1:$Q$835,11,FALSE)</f>
        <v>0</v>
      </c>
      <c r="AM232" s="31">
        <f>VLOOKUP($A232,kurspris!$A$1:$Q$835,12,FALSE)</f>
        <v>0</v>
      </c>
      <c r="AN232" s="31">
        <f>VLOOKUP($A232,kurspris!$A$1:$Q$835,13,FALSE)</f>
        <v>0</v>
      </c>
      <c r="AO232" s="31">
        <f>VLOOKUP($A232,kurspris!$A$1:$Q$835,14,FALSE)</f>
        <v>0</v>
      </c>
      <c r="AP232" s="39" t="s">
        <v>2326</v>
      </c>
      <c r="AQ232"/>
      <c r="AR232" s="31">
        <f t="shared" si="89"/>
        <v>0</v>
      </c>
      <c r="AS232" s="255">
        <f t="shared" si="90"/>
        <v>0</v>
      </c>
      <c r="AT232" s="31">
        <f t="shared" si="91"/>
        <v>0</v>
      </c>
      <c r="AU232" s="255">
        <f t="shared" si="92"/>
        <v>0</v>
      </c>
      <c r="AV232" s="31">
        <f t="shared" si="93"/>
        <v>0</v>
      </c>
      <c r="AW232" s="31">
        <f t="shared" si="94"/>
        <v>0</v>
      </c>
      <c r="AX232" s="31">
        <f t="shared" si="95"/>
        <v>0</v>
      </c>
      <c r="AY232" s="255">
        <f t="shared" si="96"/>
        <v>0</v>
      </c>
      <c r="AZ232" s="232">
        <f t="shared" si="97"/>
        <v>0</v>
      </c>
      <c r="BA232" s="255">
        <f t="shared" si="98"/>
        <v>0</v>
      </c>
      <c r="BB232" s="31">
        <f t="shared" si="99"/>
        <v>6.25E-2</v>
      </c>
      <c r="BC232" s="255">
        <f t="shared" si="100"/>
        <v>5.3124999999999999E-2</v>
      </c>
      <c r="BD232" s="31">
        <f t="shared" si="101"/>
        <v>0</v>
      </c>
      <c r="BE232" s="255">
        <f t="shared" si="102"/>
        <v>0</v>
      </c>
      <c r="BF232" s="31">
        <f t="shared" si="103"/>
        <v>6.25E-2</v>
      </c>
      <c r="BG232" s="255">
        <f t="shared" si="104"/>
        <v>5.3124999999999999E-2</v>
      </c>
      <c r="BH232" s="31">
        <f t="shared" si="105"/>
        <v>0</v>
      </c>
      <c r="BI232" s="255">
        <f t="shared" si="106"/>
        <v>0</v>
      </c>
      <c r="BJ232" s="31">
        <f t="shared" si="107"/>
        <v>0</v>
      </c>
      <c r="BK232" s="31">
        <f t="shared" si="108"/>
        <v>0</v>
      </c>
      <c r="BL232" s="255">
        <f t="shared" si="109"/>
        <v>0</v>
      </c>
      <c r="BM232" s="31">
        <f t="shared" si="110"/>
        <v>0</v>
      </c>
      <c r="BN232" s="255">
        <f t="shared" si="111"/>
        <v>0</v>
      </c>
    </row>
    <row r="233" spans="1:66" x14ac:dyDescent="0.25">
      <c r="A233" s="18" t="s">
        <v>1857</v>
      </c>
      <c r="B233" s="186" t="str">
        <f>VLOOKUP(A233,kurspris!$A$1:$B$877,2,FALSE)</f>
        <v>Matematiska metoder i fysik</v>
      </c>
      <c r="C233" s="37"/>
      <c r="D233" s="31" t="s">
        <v>483</v>
      </c>
      <c r="E233" s="31" t="s">
        <v>1994</v>
      </c>
      <c r="F233" s="59" t="s">
        <v>1931</v>
      </c>
      <c r="G233" s="31" t="s">
        <v>2271</v>
      </c>
      <c r="J233" t="s">
        <v>774</v>
      </c>
      <c r="L233" s="31">
        <v>50</v>
      </c>
      <c r="M233" s="31">
        <v>7.5</v>
      </c>
      <c r="P233" s="31">
        <v>1</v>
      </c>
      <c r="Q233" s="232">
        <f t="shared" si="84"/>
        <v>0.125</v>
      </c>
      <c r="R233" s="40">
        <v>0.85</v>
      </c>
      <c r="S233" s="334">
        <f t="shared" si="85"/>
        <v>0.10625</v>
      </c>
      <c r="T233" s="31">
        <f>VLOOKUP(A233,'Ansvar kurs'!$A$1:$C$1010,2,FALSE)</f>
        <v>5400</v>
      </c>
      <c r="U233" s="31" t="str">
        <f>VLOOKUP(T233,Orgenheter!$A$1:$C$165,2,FALSE)</f>
        <v xml:space="preserve">Inst för Fysik                </v>
      </c>
      <c r="V233" s="31" t="str">
        <f>VLOOKUP(T233,Orgenheter!$A$1:$C$165,3,FALSE)</f>
        <v>TekNat</v>
      </c>
      <c r="W233" s="37" t="str">
        <f>VLOOKUP(D233,Program!$A$1:$B$34,2,FALSE)</f>
        <v>Ämneslärarprogrammet - Gy</v>
      </c>
      <c r="X233" s="42">
        <f>VLOOKUP(A233,kurspris!$A$1:$Q$798,15,FALSE)</f>
        <v>19473</v>
      </c>
      <c r="Y233" s="42">
        <f>VLOOKUP(A233,kurspris!$A$1:$Q$798,16,FALSE)</f>
        <v>34806</v>
      </c>
      <c r="Z233" s="42">
        <f t="shared" si="86"/>
        <v>6132.2624999999998</v>
      </c>
      <c r="AA233" s="42">
        <f>VLOOKUP(A233,kurspris!$A$1:$Q$798,17,FALSE)</f>
        <v>21800</v>
      </c>
      <c r="AB233" s="42">
        <f t="shared" si="87"/>
        <v>2725</v>
      </c>
      <c r="AC233" s="42">
        <f t="shared" si="88"/>
        <v>8857.2625000000007</v>
      </c>
      <c r="AD233" s="31">
        <f>VLOOKUP($A233,kurspris!$A$1:$Q$835,3,FALSE)</f>
        <v>0</v>
      </c>
      <c r="AE233" s="31">
        <f>VLOOKUP($A233,kurspris!$A$1:$Q$835,4,FALSE)</f>
        <v>0</v>
      </c>
      <c r="AF233" s="31">
        <f>VLOOKUP($A233,kurspris!$A$1:$Q$835,5,FALSE)</f>
        <v>0</v>
      </c>
      <c r="AG233" s="31">
        <f>VLOOKUP($A233,kurspris!$A$1:$Q$835,6,FALSE)</f>
        <v>0</v>
      </c>
      <c r="AH233" s="31">
        <f>VLOOKUP($A233,kurspris!$A$1:$Q$835,7,FALSE)</f>
        <v>0</v>
      </c>
      <c r="AI233" s="31">
        <f>VLOOKUP($A233,kurspris!$A$1:$Q$835,8,FALSE)</f>
        <v>0</v>
      </c>
      <c r="AJ233" s="31">
        <f>VLOOKUP($A233,kurspris!$A$1:$Q$835,9,FALSE)</f>
        <v>0</v>
      </c>
      <c r="AK233" s="31">
        <f>VLOOKUP($A233,kurspris!$A$1:$Q$835,10,FALSE)</f>
        <v>1</v>
      </c>
      <c r="AL233" s="31">
        <f>VLOOKUP($A233,kurspris!$A$1:$Q$835,11,FALSE)</f>
        <v>0</v>
      </c>
      <c r="AM233" s="31">
        <f>VLOOKUP($A233,kurspris!$A$1:$Q$835,12,FALSE)</f>
        <v>0</v>
      </c>
      <c r="AN233" s="31">
        <f>VLOOKUP($A233,kurspris!$A$1:$Q$835,13,FALSE)</f>
        <v>0</v>
      </c>
      <c r="AO233" s="31">
        <f>VLOOKUP($A233,kurspris!$A$1:$Q$835,14,FALSE)</f>
        <v>0</v>
      </c>
      <c r="AP233" s="39" t="s">
        <v>2326</v>
      </c>
      <c r="AQ233"/>
      <c r="AR233" s="31">
        <f t="shared" si="89"/>
        <v>0</v>
      </c>
      <c r="AS233" s="255">
        <f t="shared" si="90"/>
        <v>0</v>
      </c>
      <c r="AT233" s="31">
        <f t="shared" si="91"/>
        <v>0</v>
      </c>
      <c r="AU233" s="255">
        <f t="shared" si="92"/>
        <v>0</v>
      </c>
      <c r="AV233" s="31">
        <f t="shared" si="93"/>
        <v>0</v>
      </c>
      <c r="AW233" s="31">
        <f t="shared" si="94"/>
        <v>0</v>
      </c>
      <c r="AX233" s="31">
        <f t="shared" si="95"/>
        <v>0</v>
      </c>
      <c r="AY233" s="255">
        <f t="shared" si="96"/>
        <v>0</v>
      </c>
      <c r="AZ233" s="232">
        <f t="shared" si="97"/>
        <v>0</v>
      </c>
      <c r="BA233" s="255">
        <f t="shared" si="98"/>
        <v>0</v>
      </c>
      <c r="BB233" s="31">
        <f t="shared" si="99"/>
        <v>0</v>
      </c>
      <c r="BC233" s="255">
        <f t="shared" si="100"/>
        <v>0</v>
      </c>
      <c r="BD233" s="31">
        <f t="shared" si="101"/>
        <v>0</v>
      </c>
      <c r="BE233" s="255">
        <f t="shared" si="102"/>
        <v>0</v>
      </c>
      <c r="BF233" s="31">
        <f t="shared" si="103"/>
        <v>0.125</v>
      </c>
      <c r="BG233" s="255">
        <f t="shared" si="104"/>
        <v>0.10625</v>
      </c>
      <c r="BH233" s="31">
        <f t="shared" si="105"/>
        <v>0</v>
      </c>
      <c r="BI233" s="255">
        <f t="shared" si="106"/>
        <v>0</v>
      </c>
      <c r="BJ233" s="31">
        <f t="shared" si="107"/>
        <v>0</v>
      </c>
      <c r="BK233" s="31">
        <f t="shared" si="108"/>
        <v>0</v>
      </c>
      <c r="BL233" s="255">
        <f t="shared" si="109"/>
        <v>0</v>
      </c>
      <c r="BM233" s="31">
        <f t="shared" si="110"/>
        <v>0</v>
      </c>
      <c r="BN233" s="255">
        <f t="shared" si="111"/>
        <v>0</v>
      </c>
    </row>
    <row r="234" spans="1:66" x14ac:dyDescent="0.25">
      <c r="A234" s="18" t="s">
        <v>1857</v>
      </c>
      <c r="B234" s="186" t="str">
        <f>VLOOKUP(A234,kurspris!$A$1:$B$877,2,FALSE)</f>
        <v>Matematiska metoder i fysik</v>
      </c>
      <c r="C234" s="37"/>
      <c r="D234" s="31" t="s">
        <v>483</v>
      </c>
      <c r="E234" s="31" t="s">
        <v>1609</v>
      </c>
      <c r="F234" s="59" t="s">
        <v>1931</v>
      </c>
      <c r="G234" s="31" t="s">
        <v>2271</v>
      </c>
      <c r="J234" t="s">
        <v>774</v>
      </c>
      <c r="L234" s="31">
        <v>50</v>
      </c>
      <c r="M234" s="31">
        <v>7.5</v>
      </c>
      <c r="P234" s="31">
        <v>2</v>
      </c>
      <c r="Q234" s="232">
        <f t="shared" si="84"/>
        <v>0.25</v>
      </c>
      <c r="R234" s="40">
        <v>0.85</v>
      </c>
      <c r="S234" s="334">
        <f t="shared" si="85"/>
        <v>0.21249999999999999</v>
      </c>
      <c r="T234" s="31">
        <f>VLOOKUP(A234,'Ansvar kurs'!$A$1:$C$1010,2,FALSE)</f>
        <v>5400</v>
      </c>
      <c r="U234" s="31" t="str">
        <f>VLOOKUP(T234,Orgenheter!$A$1:$C$165,2,FALSE)</f>
        <v xml:space="preserve">Inst för Fysik                </v>
      </c>
      <c r="V234" s="31" t="str">
        <f>VLOOKUP(T234,Orgenheter!$A$1:$C$165,3,FALSE)</f>
        <v>TekNat</v>
      </c>
      <c r="W234" s="37" t="str">
        <f>VLOOKUP(D234,Program!$A$1:$B$34,2,FALSE)</f>
        <v>Ämneslärarprogrammet - Gy</v>
      </c>
      <c r="X234" s="42">
        <f>VLOOKUP(A234,kurspris!$A$1:$Q$798,15,FALSE)</f>
        <v>19473</v>
      </c>
      <c r="Y234" s="42">
        <f>VLOOKUP(A234,kurspris!$A$1:$Q$798,16,FALSE)</f>
        <v>34806</v>
      </c>
      <c r="Z234" s="42">
        <f t="shared" si="86"/>
        <v>12264.525</v>
      </c>
      <c r="AA234" s="42">
        <f>VLOOKUP(A234,kurspris!$A$1:$Q$798,17,FALSE)</f>
        <v>21800</v>
      </c>
      <c r="AB234" s="42">
        <f t="shared" si="87"/>
        <v>5450</v>
      </c>
      <c r="AC234" s="42">
        <f t="shared" si="88"/>
        <v>17714.525000000001</v>
      </c>
      <c r="AD234" s="31">
        <f>VLOOKUP($A234,kurspris!$A$1:$Q$835,3,FALSE)</f>
        <v>0</v>
      </c>
      <c r="AE234" s="31">
        <f>VLOOKUP($A234,kurspris!$A$1:$Q$835,4,FALSE)</f>
        <v>0</v>
      </c>
      <c r="AF234" s="31">
        <f>VLOOKUP($A234,kurspris!$A$1:$Q$835,5,FALSE)</f>
        <v>0</v>
      </c>
      <c r="AG234" s="31">
        <f>VLOOKUP($A234,kurspris!$A$1:$Q$835,6,FALSE)</f>
        <v>0</v>
      </c>
      <c r="AH234" s="31">
        <f>VLOOKUP($A234,kurspris!$A$1:$Q$835,7,FALSE)</f>
        <v>0</v>
      </c>
      <c r="AI234" s="31">
        <f>VLOOKUP($A234,kurspris!$A$1:$Q$835,8,FALSE)</f>
        <v>0</v>
      </c>
      <c r="AJ234" s="31">
        <f>VLOOKUP($A234,kurspris!$A$1:$Q$835,9,FALSE)</f>
        <v>0</v>
      </c>
      <c r="AK234" s="31">
        <f>VLOOKUP($A234,kurspris!$A$1:$Q$835,10,FALSE)</f>
        <v>1</v>
      </c>
      <c r="AL234" s="31">
        <f>VLOOKUP($A234,kurspris!$A$1:$Q$835,11,FALSE)</f>
        <v>0</v>
      </c>
      <c r="AM234" s="31">
        <f>VLOOKUP($A234,kurspris!$A$1:$Q$835,12,FALSE)</f>
        <v>0</v>
      </c>
      <c r="AN234" s="31">
        <f>VLOOKUP($A234,kurspris!$A$1:$Q$835,13,FALSE)</f>
        <v>0</v>
      </c>
      <c r="AO234" s="31">
        <f>VLOOKUP($A234,kurspris!$A$1:$Q$835,14,FALSE)</f>
        <v>0</v>
      </c>
      <c r="AP234" s="39" t="s">
        <v>2326</v>
      </c>
      <c r="AQ234"/>
      <c r="AR234" s="31">
        <f t="shared" si="89"/>
        <v>0</v>
      </c>
      <c r="AS234" s="255">
        <f t="shared" si="90"/>
        <v>0</v>
      </c>
      <c r="AT234" s="31">
        <f t="shared" si="91"/>
        <v>0</v>
      </c>
      <c r="AU234" s="255">
        <f t="shared" si="92"/>
        <v>0</v>
      </c>
      <c r="AV234" s="31">
        <f t="shared" si="93"/>
        <v>0</v>
      </c>
      <c r="AW234" s="31">
        <f t="shared" si="94"/>
        <v>0</v>
      </c>
      <c r="AX234" s="31">
        <f t="shared" si="95"/>
        <v>0</v>
      </c>
      <c r="AY234" s="255">
        <f t="shared" si="96"/>
        <v>0</v>
      </c>
      <c r="AZ234" s="232">
        <f t="shared" si="97"/>
        <v>0</v>
      </c>
      <c r="BA234" s="255">
        <f t="shared" si="98"/>
        <v>0</v>
      </c>
      <c r="BB234" s="31">
        <f t="shared" si="99"/>
        <v>0</v>
      </c>
      <c r="BC234" s="255">
        <f t="shared" si="100"/>
        <v>0</v>
      </c>
      <c r="BD234" s="31">
        <f t="shared" si="101"/>
        <v>0</v>
      </c>
      <c r="BE234" s="255">
        <f t="shared" si="102"/>
        <v>0</v>
      </c>
      <c r="BF234" s="31">
        <f t="shared" si="103"/>
        <v>0.25</v>
      </c>
      <c r="BG234" s="255">
        <f t="shared" si="104"/>
        <v>0.21249999999999999</v>
      </c>
      <c r="BH234" s="31">
        <f t="shared" si="105"/>
        <v>0</v>
      </c>
      <c r="BI234" s="255">
        <f t="shared" si="106"/>
        <v>0</v>
      </c>
      <c r="BJ234" s="31">
        <f t="shared" si="107"/>
        <v>0</v>
      </c>
      <c r="BK234" s="31">
        <f t="shared" si="108"/>
        <v>0</v>
      </c>
      <c r="BL234" s="255">
        <f t="shared" si="109"/>
        <v>0</v>
      </c>
      <c r="BM234" s="31">
        <f t="shared" si="110"/>
        <v>0</v>
      </c>
      <c r="BN234" s="255">
        <f t="shared" si="111"/>
        <v>0</v>
      </c>
    </row>
    <row r="235" spans="1:66" x14ac:dyDescent="0.25">
      <c r="A235" s="18" t="s">
        <v>1503</v>
      </c>
      <c r="B235" s="186" t="str">
        <f>VLOOKUP(A235,kurspris!$A$1:$B$877,2,FALSE)</f>
        <v>Fysikdidaktik 1 för ämneslärare för gymnasium</v>
      </c>
      <c r="C235" s="37"/>
      <c r="D235" t="s">
        <v>117</v>
      </c>
      <c r="E235"/>
      <c r="F235" s="59" t="s">
        <v>1930</v>
      </c>
      <c r="G235"/>
      <c r="H235"/>
      <c r="I235" t="s">
        <v>1634</v>
      </c>
      <c r="L235">
        <v>50</v>
      </c>
      <c r="M235">
        <v>7.5</v>
      </c>
      <c r="P235" s="31">
        <v>2</v>
      </c>
      <c r="Q235" s="232">
        <f t="shared" si="84"/>
        <v>0.25</v>
      </c>
      <c r="R235" s="40">
        <v>0.8</v>
      </c>
      <c r="S235" s="334">
        <f t="shared" si="85"/>
        <v>0.2</v>
      </c>
      <c r="T235" s="31">
        <f>VLOOKUP(A235,'Ansvar kurs'!$A$1:$C$1010,2,FALSE)</f>
        <v>5740</v>
      </c>
      <c r="U235" s="31" t="str">
        <f>VLOOKUP(T235,Orgenheter!$A$1:$C$165,2,FALSE)</f>
        <v>NMD</v>
      </c>
      <c r="V235" s="31" t="str">
        <f>VLOOKUP(T235,Orgenheter!$A$1:$C$165,3,FALSE)</f>
        <v>TekNat</v>
      </c>
      <c r="W235" s="37" t="str">
        <f>VLOOKUP(D235,Program!$A$1:$B$34,2,FALSE)</f>
        <v>Fristående och övriga kurser</v>
      </c>
      <c r="X235" s="42">
        <f>VLOOKUP(A235,kurspris!$A$1:$Q$798,15,FALSE)</f>
        <v>19473</v>
      </c>
      <c r="Y235" s="42">
        <f>VLOOKUP(A235,kurspris!$A$1:$Q$798,16,FALSE)</f>
        <v>34806</v>
      </c>
      <c r="Z235" s="42">
        <f t="shared" si="86"/>
        <v>11829.45</v>
      </c>
      <c r="AA235" s="42">
        <f>VLOOKUP(A235,kurspris!$A$1:$Q$798,17,FALSE)</f>
        <v>21800</v>
      </c>
      <c r="AB235" s="42">
        <f t="shared" si="87"/>
        <v>5450</v>
      </c>
      <c r="AC235" s="42">
        <f t="shared" si="88"/>
        <v>17279.45</v>
      </c>
      <c r="AD235" s="31">
        <f>VLOOKUP($A235,kurspris!$A$1:$Q$835,3,FALSE)</f>
        <v>0</v>
      </c>
      <c r="AE235" s="31">
        <f>VLOOKUP($A235,kurspris!$A$1:$Q$835,4,FALSE)</f>
        <v>0</v>
      </c>
      <c r="AF235" s="31">
        <f>VLOOKUP($A235,kurspris!$A$1:$Q$835,5,FALSE)</f>
        <v>0</v>
      </c>
      <c r="AG235" s="31">
        <f>VLOOKUP($A235,kurspris!$A$1:$Q$835,6,FALSE)</f>
        <v>0</v>
      </c>
      <c r="AH235" s="31">
        <f>VLOOKUP($A235,kurspris!$A$1:$Q$835,7,FALSE)</f>
        <v>0</v>
      </c>
      <c r="AI235" s="31">
        <f>VLOOKUP($A235,kurspris!$A$1:$Q$835,8,FALSE)</f>
        <v>1</v>
      </c>
      <c r="AJ235" s="31">
        <f>VLOOKUP($A235,kurspris!$A$1:$Q$835,9,FALSE)</f>
        <v>0</v>
      </c>
      <c r="AK235" s="31">
        <f>VLOOKUP($A235,kurspris!$A$1:$Q$835,10,FALSE)</f>
        <v>0</v>
      </c>
      <c r="AL235" s="31">
        <f>VLOOKUP($A235,kurspris!$A$1:$Q$835,11,FALSE)</f>
        <v>0</v>
      </c>
      <c r="AM235" s="31">
        <f>VLOOKUP($A235,kurspris!$A$1:$Q$835,12,FALSE)</f>
        <v>0</v>
      </c>
      <c r="AN235" s="31">
        <f>VLOOKUP($A235,kurspris!$A$1:$Q$835,13,FALSE)</f>
        <v>0</v>
      </c>
      <c r="AO235" s="31">
        <f>VLOOKUP($A235,kurspris!$A$1:$Q$835,14,FALSE)</f>
        <v>0</v>
      </c>
      <c r="AP235" s="39" t="s">
        <v>2204</v>
      </c>
      <c r="AQ235" s="39" t="s">
        <v>2095</v>
      </c>
      <c r="AR235" s="31">
        <f t="shared" si="89"/>
        <v>0</v>
      </c>
      <c r="AS235" s="255">
        <f t="shared" si="90"/>
        <v>0</v>
      </c>
      <c r="AT235" s="31">
        <f t="shared" si="91"/>
        <v>0</v>
      </c>
      <c r="AU235" s="255">
        <f t="shared" si="92"/>
        <v>0</v>
      </c>
      <c r="AV235" s="31">
        <f t="shared" si="93"/>
        <v>0</v>
      </c>
      <c r="AW235" s="31">
        <f t="shared" si="94"/>
        <v>0</v>
      </c>
      <c r="AX235" s="31">
        <f t="shared" si="95"/>
        <v>0</v>
      </c>
      <c r="AY235" s="255">
        <f t="shared" si="96"/>
        <v>0</v>
      </c>
      <c r="AZ235" s="232">
        <f t="shared" si="97"/>
        <v>0</v>
      </c>
      <c r="BA235" s="255">
        <f t="shared" si="98"/>
        <v>0</v>
      </c>
      <c r="BB235" s="31">
        <f t="shared" si="99"/>
        <v>0.25</v>
      </c>
      <c r="BC235" s="255">
        <f t="shared" si="100"/>
        <v>0.2</v>
      </c>
      <c r="BD235" s="31">
        <f t="shared" si="101"/>
        <v>0</v>
      </c>
      <c r="BE235" s="255">
        <f t="shared" si="102"/>
        <v>0</v>
      </c>
      <c r="BF235" s="31">
        <f t="shared" si="103"/>
        <v>0</v>
      </c>
      <c r="BG235" s="255">
        <f t="shared" si="104"/>
        <v>0</v>
      </c>
      <c r="BH235" s="31">
        <f t="shared" si="105"/>
        <v>0</v>
      </c>
      <c r="BI235" s="255">
        <f t="shared" si="106"/>
        <v>0</v>
      </c>
      <c r="BJ235" s="31">
        <f t="shared" si="107"/>
        <v>0</v>
      </c>
      <c r="BK235" s="31">
        <f t="shared" si="108"/>
        <v>0</v>
      </c>
      <c r="BL235" s="255">
        <f t="shared" si="109"/>
        <v>0</v>
      </c>
      <c r="BM235" s="31">
        <f t="shared" si="110"/>
        <v>0</v>
      </c>
      <c r="BN235" s="255">
        <f t="shared" si="111"/>
        <v>0</v>
      </c>
    </row>
    <row r="236" spans="1:66" x14ac:dyDescent="0.25">
      <c r="A236" t="s">
        <v>1503</v>
      </c>
      <c r="B236" s="186" t="str">
        <f>VLOOKUP(A236,kurspris!$A$1:$B$877,2,FALSE)</f>
        <v>Fysikdidaktik 1 för ämneslärare för gymnasium</v>
      </c>
      <c r="C236"/>
      <c r="D236" t="s">
        <v>483</v>
      </c>
      <c r="E236" t="s">
        <v>1976</v>
      </c>
      <c r="F236" s="59" t="s">
        <v>1930</v>
      </c>
      <c r="G236" t="s">
        <v>1979</v>
      </c>
      <c r="H236" t="s">
        <v>1910</v>
      </c>
      <c r="I236"/>
      <c r="J236" t="s">
        <v>774</v>
      </c>
      <c r="K236"/>
      <c r="L236">
        <v>50</v>
      </c>
      <c r="M236">
        <v>7.5</v>
      </c>
      <c r="N236"/>
      <c r="O236"/>
      <c r="P236" s="31">
        <v>2</v>
      </c>
      <c r="Q236" s="232">
        <f t="shared" si="84"/>
        <v>0.25</v>
      </c>
      <c r="R236" s="40">
        <v>0.85</v>
      </c>
      <c r="S236" s="334">
        <f t="shared" si="85"/>
        <v>0.21249999999999999</v>
      </c>
      <c r="T236" s="31">
        <f>VLOOKUP(A236,'Ansvar kurs'!$A$1:$C$1010,2,FALSE)</f>
        <v>5740</v>
      </c>
      <c r="U236" s="31" t="str">
        <f>VLOOKUP(T236,Orgenheter!$A$1:$C$165,2,FALSE)</f>
        <v>NMD</v>
      </c>
      <c r="V236" s="31" t="str">
        <f>VLOOKUP(T236,Orgenheter!$A$1:$C$165,3,FALSE)</f>
        <v>TekNat</v>
      </c>
      <c r="W236" s="37" t="str">
        <f>VLOOKUP(D236,Program!$A$1:$B$34,2,FALSE)</f>
        <v>Ämneslärarprogrammet - Gy</v>
      </c>
      <c r="X236" s="42">
        <f>VLOOKUP(A236,kurspris!$A$1:$Q$798,15,FALSE)</f>
        <v>19473</v>
      </c>
      <c r="Y236" s="42">
        <f>VLOOKUP(A236,kurspris!$A$1:$Q$798,16,FALSE)</f>
        <v>34806</v>
      </c>
      <c r="Z236" s="42">
        <f t="shared" si="86"/>
        <v>12264.525</v>
      </c>
      <c r="AA236" s="42">
        <f>VLOOKUP(A236,kurspris!$A$1:$Q$798,17,FALSE)</f>
        <v>21800</v>
      </c>
      <c r="AB236" s="42">
        <f t="shared" si="87"/>
        <v>5450</v>
      </c>
      <c r="AC236" s="42">
        <f t="shared" si="88"/>
        <v>17714.525000000001</v>
      </c>
      <c r="AD236" s="31">
        <f>VLOOKUP($A236,kurspris!$A$1:$Q$835,3,FALSE)</f>
        <v>0</v>
      </c>
      <c r="AE236" s="31">
        <f>VLOOKUP($A236,kurspris!$A$1:$Q$835,4,FALSE)</f>
        <v>0</v>
      </c>
      <c r="AF236" s="31">
        <f>VLOOKUP($A236,kurspris!$A$1:$Q$835,5,FALSE)</f>
        <v>0</v>
      </c>
      <c r="AG236" s="31">
        <f>VLOOKUP($A236,kurspris!$A$1:$Q$835,6,FALSE)</f>
        <v>0</v>
      </c>
      <c r="AH236" s="31">
        <f>VLOOKUP($A236,kurspris!$A$1:$Q$835,7,FALSE)</f>
        <v>0</v>
      </c>
      <c r="AI236" s="31">
        <f>VLOOKUP($A236,kurspris!$A$1:$Q$835,8,FALSE)</f>
        <v>1</v>
      </c>
      <c r="AJ236" s="31">
        <f>VLOOKUP($A236,kurspris!$A$1:$Q$835,9,FALSE)</f>
        <v>0</v>
      </c>
      <c r="AK236" s="31">
        <f>VLOOKUP($A236,kurspris!$A$1:$Q$835,10,FALSE)</f>
        <v>0</v>
      </c>
      <c r="AL236" s="31">
        <f>VLOOKUP($A236,kurspris!$A$1:$Q$835,11,FALSE)</f>
        <v>0</v>
      </c>
      <c r="AM236" s="31">
        <f>VLOOKUP($A236,kurspris!$A$1:$Q$835,12,FALSE)</f>
        <v>0</v>
      </c>
      <c r="AN236" s="31">
        <f>VLOOKUP($A236,kurspris!$A$1:$Q$835,13,FALSE)</f>
        <v>0</v>
      </c>
      <c r="AO236" s="31">
        <f>VLOOKUP($A236,kurspris!$A$1:$Q$835,14,FALSE)</f>
        <v>0</v>
      </c>
      <c r="AP236" s="39" t="s">
        <v>2204</v>
      </c>
      <c r="AQ236"/>
      <c r="AR236" s="31">
        <f t="shared" si="89"/>
        <v>0</v>
      </c>
      <c r="AS236" s="255">
        <f t="shared" si="90"/>
        <v>0</v>
      </c>
      <c r="AT236" s="31">
        <f t="shared" si="91"/>
        <v>0</v>
      </c>
      <c r="AU236" s="255">
        <f t="shared" si="92"/>
        <v>0</v>
      </c>
      <c r="AV236" s="31">
        <f t="shared" si="93"/>
        <v>0</v>
      </c>
      <c r="AW236" s="31">
        <f t="shared" si="94"/>
        <v>0</v>
      </c>
      <c r="AX236" s="31">
        <f t="shared" si="95"/>
        <v>0</v>
      </c>
      <c r="AY236" s="255">
        <f t="shared" si="96"/>
        <v>0</v>
      </c>
      <c r="AZ236" s="232">
        <f t="shared" si="97"/>
        <v>0</v>
      </c>
      <c r="BA236" s="255">
        <f t="shared" si="98"/>
        <v>0</v>
      </c>
      <c r="BB236" s="31">
        <f t="shared" si="99"/>
        <v>0.25</v>
      </c>
      <c r="BC236" s="255">
        <f t="shared" si="100"/>
        <v>0.21249999999999999</v>
      </c>
      <c r="BD236" s="31">
        <f t="shared" si="101"/>
        <v>0</v>
      </c>
      <c r="BE236" s="255">
        <f t="shared" si="102"/>
        <v>0</v>
      </c>
      <c r="BF236" s="31">
        <f t="shared" si="103"/>
        <v>0</v>
      </c>
      <c r="BG236" s="255">
        <f t="shared" si="104"/>
        <v>0</v>
      </c>
      <c r="BH236" s="31">
        <f t="shared" si="105"/>
        <v>0</v>
      </c>
      <c r="BI236" s="255">
        <f t="shared" si="106"/>
        <v>0</v>
      </c>
      <c r="BJ236" s="31">
        <f t="shared" si="107"/>
        <v>0</v>
      </c>
      <c r="BK236" s="31">
        <f t="shared" si="108"/>
        <v>0</v>
      </c>
      <c r="BL236" s="255">
        <f t="shared" si="109"/>
        <v>0</v>
      </c>
      <c r="BM236" s="31">
        <f t="shared" si="110"/>
        <v>0</v>
      </c>
      <c r="BN236" s="255">
        <f t="shared" si="111"/>
        <v>0</v>
      </c>
    </row>
    <row r="237" spans="1:66" x14ac:dyDescent="0.25">
      <c r="A237" t="s">
        <v>1503</v>
      </c>
      <c r="B237" s="186" t="str">
        <f>VLOOKUP(A237,kurspris!$A$1:$B$877,2,FALSE)</f>
        <v>Fysikdidaktik 1 för ämneslärare för gymnasium</v>
      </c>
      <c r="C237"/>
      <c r="D237" t="s">
        <v>483</v>
      </c>
      <c r="E237" t="s">
        <v>1976</v>
      </c>
      <c r="F237" s="59" t="s">
        <v>1930</v>
      </c>
      <c r="G237" t="s">
        <v>1979</v>
      </c>
      <c r="H237" t="s">
        <v>1910</v>
      </c>
      <c r="I237"/>
      <c r="J237" t="s">
        <v>774</v>
      </c>
      <c r="K237"/>
      <c r="L237">
        <v>50</v>
      </c>
      <c r="M237">
        <v>7.5</v>
      </c>
      <c r="N237"/>
      <c r="O237"/>
      <c r="P237" s="31">
        <v>2</v>
      </c>
      <c r="Q237" s="232">
        <f t="shared" si="84"/>
        <v>0.25</v>
      </c>
      <c r="R237" s="40">
        <v>0.85</v>
      </c>
      <c r="S237" s="334">
        <f t="shared" si="85"/>
        <v>0.21249999999999999</v>
      </c>
      <c r="T237" s="31">
        <f>VLOOKUP(A237,'Ansvar kurs'!$A$1:$C$1010,2,FALSE)</f>
        <v>5740</v>
      </c>
      <c r="U237" s="31" t="str">
        <f>VLOOKUP(T237,Orgenheter!$A$1:$C$165,2,FALSE)</f>
        <v>NMD</v>
      </c>
      <c r="V237" s="31" t="str">
        <f>VLOOKUP(T237,Orgenheter!$A$1:$C$165,3,FALSE)</f>
        <v>TekNat</v>
      </c>
      <c r="W237" s="37" t="str">
        <f>VLOOKUP(D237,Program!$A$1:$B$34,2,FALSE)</f>
        <v>Ämneslärarprogrammet - Gy</v>
      </c>
      <c r="X237" s="42">
        <f>VLOOKUP(A237,kurspris!$A$1:$Q$798,15,FALSE)</f>
        <v>19473</v>
      </c>
      <c r="Y237" s="42">
        <f>VLOOKUP(A237,kurspris!$A$1:$Q$798,16,FALSE)</f>
        <v>34806</v>
      </c>
      <c r="Z237" s="42">
        <f t="shared" si="86"/>
        <v>12264.525</v>
      </c>
      <c r="AA237" s="42">
        <f>VLOOKUP(A237,kurspris!$A$1:$Q$798,17,FALSE)</f>
        <v>21800</v>
      </c>
      <c r="AB237" s="42">
        <f t="shared" si="87"/>
        <v>5450</v>
      </c>
      <c r="AC237" s="42">
        <f t="shared" si="88"/>
        <v>17714.525000000001</v>
      </c>
      <c r="AD237" s="31">
        <f>VLOOKUP($A237,kurspris!$A$1:$Q$835,3,FALSE)</f>
        <v>0</v>
      </c>
      <c r="AE237" s="31">
        <f>VLOOKUP($A237,kurspris!$A$1:$Q$835,4,FALSE)</f>
        <v>0</v>
      </c>
      <c r="AF237" s="31">
        <f>VLOOKUP($A237,kurspris!$A$1:$Q$835,5,FALSE)</f>
        <v>0</v>
      </c>
      <c r="AG237" s="31">
        <f>VLOOKUP($A237,kurspris!$A$1:$Q$835,6,FALSE)</f>
        <v>0</v>
      </c>
      <c r="AH237" s="31">
        <f>VLOOKUP($A237,kurspris!$A$1:$Q$835,7,FALSE)</f>
        <v>0</v>
      </c>
      <c r="AI237" s="31">
        <f>VLOOKUP($A237,kurspris!$A$1:$Q$835,8,FALSE)</f>
        <v>1</v>
      </c>
      <c r="AJ237" s="31">
        <f>VLOOKUP($A237,kurspris!$A$1:$Q$835,9,FALSE)</f>
        <v>0</v>
      </c>
      <c r="AK237" s="31">
        <f>VLOOKUP($A237,kurspris!$A$1:$Q$835,10,FALSE)</f>
        <v>0</v>
      </c>
      <c r="AL237" s="31">
        <f>VLOOKUP($A237,kurspris!$A$1:$Q$835,11,FALSE)</f>
        <v>0</v>
      </c>
      <c r="AM237" s="31">
        <f>VLOOKUP($A237,kurspris!$A$1:$Q$835,12,FALSE)</f>
        <v>0</v>
      </c>
      <c r="AN237" s="31">
        <f>VLOOKUP($A237,kurspris!$A$1:$Q$835,13,FALSE)</f>
        <v>0</v>
      </c>
      <c r="AO237" s="31">
        <f>VLOOKUP($A237,kurspris!$A$1:$Q$835,14,FALSE)</f>
        <v>0</v>
      </c>
      <c r="AP237" s="39" t="s">
        <v>2204</v>
      </c>
      <c r="AQ237"/>
      <c r="AR237" s="31">
        <f t="shared" si="89"/>
        <v>0</v>
      </c>
      <c r="AS237" s="255">
        <f t="shared" si="90"/>
        <v>0</v>
      </c>
      <c r="AT237" s="31">
        <f t="shared" si="91"/>
        <v>0</v>
      </c>
      <c r="AU237" s="255">
        <f t="shared" si="92"/>
        <v>0</v>
      </c>
      <c r="AV237" s="31">
        <f t="shared" si="93"/>
        <v>0</v>
      </c>
      <c r="AW237" s="31">
        <f t="shared" si="94"/>
        <v>0</v>
      </c>
      <c r="AX237" s="31">
        <f t="shared" si="95"/>
        <v>0</v>
      </c>
      <c r="AY237" s="255">
        <f t="shared" si="96"/>
        <v>0</v>
      </c>
      <c r="AZ237" s="232">
        <f t="shared" si="97"/>
        <v>0</v>
      </c>
      <c r="BA237" s="255">
        <f t="shared" si="98"/>
        <v>0</v>
      </c>
      <c r="BB237" s="31">
        <f t="shared" si="99"/>
        <v>0.25</v>
      </c>
      <c r="BC237" s="255">
        <f t="shared" si="100"/>
        <v>0.21249999999999999</v>
      </c>
      <c r="BD237" s="31">
        <f t="shared" si="101"/>
        <v>0</v>
      </c>
      <c r="BE237" s="255">
        <f t="shared" si="102"/>
        <v>0</v>
      </c>
      <c r="BF237" s="31">
        <f t="shared" si="103"/>
        <v>0</v>
      </c>
      <c r="BG237" s="255">
        <f t="shared" si="104"/>
        <v>0</v>
      </c>
      <c r="BH237" s="31">
        <f t="shared" si="105"/>
        <v>0</v>
      </c>
      <c r="BI237" s="255">
        <f t="shared" si="106"/>
        <v>0</v>
      </c>
      <c r="BJ237" s="31">
        <f t="shared" si="107"/>
        <v>0</v>
      </c>
      <c r="BK237" s="31">
        <f t="shared" si="108"/>
        <v>0</v>
      </c>
      <c r="BL237" s="255">
        <f t="shared" si="109"/>
        <v>0</v>
      </c>
      <c r="BM237" s="31">
        <f t="shared" si="110"/>
        <v>0</v>
      </c>
      <c r="BN237" s="255">
        <f t="shared" si="111"/>
        <v>0</v>
      </c>
    </row>
    <row r="238" spans="1:66" x14ac:dyDescent="0.25">
      <c r="A238" s="18" t="s">
        <v>1504</v>
      </c>
      <c r="B238" s="186" t="str">
        <f>VLOOKUP(A238,kurspris!$A$1:$B$877,2,FALSE)</f>
        <v>Fysikdidaktik 2 för ämneslärare för gymnasium</v>
      </c>
      <c r="C238" s="37"/>
      <c r="D238" t="s">
        <v>117</v>
      </c>
      <c r="E238"/>
      <c r="F238" s="59" t="s">
        <v>1930</v>
      </c>
      <c r="G238"/>
      <c r="H238"/>
      <c r="I238" t="s">
        <v>1634</v>
      </c>
      <c r="L238">
        <v>50</v>
      </c>
      <c r="M238">
        <v>7.5</v>
      </c>
      <c r="P238" s="31">
        <v>2</v>
      </c>
      <c r="Q238" s="232">
        <f t="shared" si="84"/>
        <v>0.25</v>
      </c>
      <c r="R238" s="40">
        <v>0.8</v>
      </c>
      <c r="S238" s="334">
        <f t="shared" si="85"/>
        <v>0.2</v>
      </c>
      <c r="T238" s="31">
        <f>VLOOKUP(A238,'Ansvar kurs'!$A$1:$C$1010,2,FALSE)</f>
        <v>5740</v>
      </c>
      <c r="U238" s="31" t="str">
        <f>VLOOKUP(T238,Orgenheter!$A$1:$C$165,2,FALSE)</f>
        <v>NMD</v>
      </c>
      <c r="V238" s="31" t="str">
        <f>VLOOKUP(T238,Orgenheter!$A$1:$C$165,3,FALSE)</f>
        <v>TekNat</v>
      </c>
      <c r="W238" s="37" t="str">
        <f>VLOOKUP(D238,Program!$A$1:$B$34,2,FALSE)</f>
        <v>Fristående och övriga kurser</v>
      </c>
      <c r="X238" s="42">
        <f>VLOOKUP(A238,kurspris!$A$1:$Q$798,15,FALSE)</f>
        <v>19473</v>
      </c>
      <c r="Y238" s="42">
        <f>VLOOKUP(A238,kurspris!$A$1:$Q$798,16,FALSE)</f>
        <v>34806</v>
      </c>
      <c r="Z238" s="42">
        <f t="shared" si="86"/>
        <v>11829.45</v>
      </c>
      <c r="AA238" s="42">
        <f>VLOOKUP(A238,kurspris!$A$1:$Q$798,17,FALSE)</f>
        <v>21800</v>
      </c>
      <c r="AB238" s="42">
        <f t="shared" si="87"/>
        <v>5450</v>
      </c>
      <c r="AC238" s="42">
        <f t="shared" si="88"/>
        <v>17279.45</v>
      </c>
      <c r="AD238" s="31">
        <f>VLOOKUP($A238,kurspris!$A$1:$Q$835,3,FALSE)</f>
        <v>0</v>
      </c>
      <c r="AE238" s="31">
        <f>VLOOKUP($A238,kurspris!$A$1:$Q$835,4,FALSE)</f>
        <v>0</v>
      </c>
      <c r="AF238" s="31">
        <f>VLOOKUP($A238,kurspris!$A$1:$Q$835,5,FALSE)</f>
        <v>0</v>
      </c>
      <c r="AG238" s="31">
        <f>VLOOKUP($A238,kurspris!$A$1:$Q$835,6,FALSE)</f>
        <v>0</v>
      </c>
      <c r="AH238" s="31">
        <f>VLOOKUP($A238,kurspris!$A$1:$Q$835,7,FALSE)</f>
        <v>0</v>
      </c>
      <c r="AI238" s="31">
        <f>VLOOKUP($A238,kurspris!$A$1:$Q$835,8,FALSE)</f>
        <v>1</v>
      </c>
      <c r="AJ238" s="31">
        <f>VLOOKUP($A238,kurspris!$A$1:$Q$835,9,FALSE)</f>
        <v>0</v>
      </c>
      <c r="AK238" s="31">
        <f>VLOOKUP($A238,kurspris!$A$1:$Q$835,10,FALSE)</f>
        <v>0</v>
      </c>
      <c r="AL238" s="31">
        <f>VLOOKUP($A238,kurspris!$A$1:$Q$835,11,FALSE)</f>
        <v>0</v>
      </c>
      <c r="AM238" s="31">
        <f>VLOOKUP($A238,kurspris!$A$1:$Q$835,12,FALSE)</f>
        <v>0</v>
      </c>
      <c r="AN238" s="31">
        <f>VLOOKUP($A238,kurspris!$A$1:$Q$835,13,FALSE)</f>
        <v>0</v>
      </c>
      <c r="AO238" s="31">
        <f>VLOOKUP($A238,kurspris!$A$1:$Q$835,14,FALSE)</f>
        <v>0</v>
      </c>
      <c r="AP238" s="39" t="s">
        <v>2232</v>
      </c>
      <c r="AQ238" s="39" t="s">
        <v>2095</v>
      </c>
      <c r="AR238" s="31">
        <f t="shared" si="89"/>
        <v>0</v>
      </c>
      <c r="AS238" s="255">
        <f t="shared" si="90"/>
        <v>0</v>
      </c>
      <c r="AT238" s="31">
        <f t="shared" si="91"/>
        <v>0</v>
      </c>
      <c r="AU238" s="255">
        <f t="shared" si="92"/>
        <v>0</v>
      </c>
      <c r="AV238" s="31">
        <f t="shared" si="93"/>
        <v>0</v>
      </c>
      <c r="AW238" s="31">
        <f t="shared" si="94"/>
        <v>0</v>
      </c>
      <c r="AX238" s="31">
        <f t="shared" si="95"/>
        <v>0</v>
      </c>
      <c r="AY238" s="255">
        <f t="shared" si="96"/>
        <v>0</v>
      </c>
      <c r="AZ238" s="232">
        <f t="shared" si="97"/>
        <v>0</v>
      </c>
      <c r="BA238" s="255">
        <f t="shared" si="98"/>
        <v>0</v>
      </c>
      <c r="BB238" s="31">
        <f t="shared" si="99"/>
        <v>0.25</v>
      </c>
      <c r="BC238" s="255">
        <f t="shared" si="100"/>
        <v>0.2</v>
      </c>
      <c r="BD238" s="31">
        <f t="shared" si="101"/>
        <v>0</v>
      </c>
      <c r="BE238" s="255">
        <f t="shared" si="102"/>
        <v>0</v>
      </c>
      <c r="BF238" s="31">
        <f t="shared" si="103"/>
        <v>0</v>
      </c>
      <c r="BG238" s="255">
        <f t="shared" si="104"/>
        <v>0</v>
      </c>
      <c r="BH238" s="31">
        <f t="shared" si="105"/>
        <v>0</v>
      </c>
      <c r="BI238" s="255">
        <f t="shared" si="106"/>
        <v>0</v>
      </c>
      <c r="BJ238" s="31">
        <f t="shared" si="107"/>
        <v>0</v>
      </c>
      <c r="BK238" s="31">
        <f t="shared" si="108"/>
        <v>0</v>
      </c>
      <c r="BL238" s="255">
        <f t="shared" si="109"/>
        <v>0</v>
      </c>
      <c r="BM238" s="31">
        <f t="shared" si="110"/>
        <v>0</v>
      </c>
      <c r="BN238" s="255">
        <f t="shared" si="111"/>
        <v>0</v>
      </c>
    </row>
    <row r="239" spans="1:66" x14ac:dyDescent="0.25">
      <c r="A239" t="s">
        <v>1504</v>
      </c>
      <c r="B239" s="186" t="str">
        <f>VLOOKUP(A239,kurspris!$A$1:$B$877,2,FALSE)</f>
        <v>Fysikdidaktik 2 för ämneslärare för gymnasium</v>
      </c>
      <c r="C239"/>
      <c r="D239" t="s">
        <v>483</v>
      </c>
      <c r="E239" t="s">
        <v>1976</v>
      </c>
      <c r="F239" s="59" t="s">
        <v>1930</v>
      </c>
      <c r="G239" t="s">
        <v>1980</v>
      </c>
      <c r="H239" t="s">
        <v>1910</v>
      </c>
      <c r="I239"/>
      <c r="J239" t="s">
        <v>774</v>
      </c>
      <c r="K239"/>
      <c r="L239">
        <v>50</v>
      </c>
      <c r="M239">
        <v>7.5</v>
      </c>
      <c r="N239"/>
      <c r="O239"/>
      <c r="P239" s="31">
        <v>2</v>
      </c>
      <c r="Q239" s="232">
        <f t="shared" si="84"/>
        <v>0.25</v>
      </c>
      <c r="R239" s="40">
        <v>0.85</v>
      </c>
      <c r="S239" s="334">
        <f t="shared" si="85"/>
        <v>0.21249999999999999</v>
      </c>
      <c r="T239" s="31">
        <f>VLOOKUP(A239,'Ansvar kurs'!$A$1:$C$1010,2,FALSE)</f>
        <v>5740</v>
      </c>
      <c r="U239" s="31" t="str">
        <f>VLOOKUP(T239,Orgenheter!$A$1:$C$165,2,FALSE)</f>
        <v>NMD</v>
      </c>
      <c r="V239" s="31" t="str">
        <f>VLOOKUP(T239,Orgenheter!$A$1:$C$165,3,FALSE)</f>
        <v>TekNat</v>
      </c>
      <c r="W239" s="37" t="str">
        <f>VLOOKUP(D239,Program!$A$1:$B$34,2,FALSE)</f>
        <v>Ämneslärarprogrammet - Gy</v>
      </c>
      <c r="X239" s="42">
        <f>VLOOKUP(A239,kurspris!$A$1:$Q$798,15,FALSE)</f>
        <v>19473</v>
      </c>
      <c r="Y239" s="42">
        <f>VLOOKUP(A239,kurspris!$A$1:$Q$798,16,FALSE)</f>
        <v>34806</v>
      </c>
      <c r="Z239" s="42">
        <f t="shared" si="86"/>
        <v>12264.525</v>
      </c>
      <c r="AA239" s="42">
        <f>VLOOKUP(A239,kurspris!$A$1:$Q$798,17,FALSE)</f>
        <v>21800</v>
      </c>
      <c r="AB239" s="42">
        <f t="shared" si="87"/>
        <v>5450</v>
      </c>
      <c r="AC239" s="42">
        <f t="shared" si="88"/>
        <v>17714.525000000001</v>
      </c>
      <c r="AD239" s="31">
        <f>VLOOKUP($A239,kurspris!$A$1:$Q$835,3,FALSE)</f>
        <v>0</v>
      </c>
      <c r="AE239" s="31">
        <f>VLOOKUP($A239,kurspris!$A$1:$Q$835,4,FALSE)</f>
        <v>0</v>
      </c>
      <c r="AF239" s="31">
        <f>VLOOKUP($A239,kurspris!$A$1:$Q$835,5,FALSE)</f>
        <v>0</v>
      </c>
      <c r="AG239" s="31">
        <f>VLOOKUP($A239,kurspris!$A$1:$Q$835,6,FALSE)</f>
        <v>0</v>
      </c>
      <c r="AH239" s="31">
        <f>VLOOKUP($A239,kurspris!$A$1:$Q$835,7,FALSE)</f>
        <v>0</v>
      </c>
      <c r="AI239" s="31">
        <f>VLOOKUP($A239,kurspris!$A$1:$Q$835,8,FALSE)</f>
        <v>1</v>
      </c>
      <c r="AJ239" s="31">
        <f>VLOOKUP($A239,kurspris!$A$1:$Q$835,9,FALSE)</f>
        <v>0</v>
      </c>
      <c r="AK239" s="31">
        <f>VLOOKUP($A239,kurspris!$A$1:$Q$835,10,FALSE)</f>
        <v>0</v>
      </c>
      <c r="AL239" s="31">
        <f>VLOOKUP($A239,kurspris!$A$1:$Q$835,11,FALSE)</f>
        <v>0</v>
      </c>
      <c r="AM239" s="31">
        <f>VLOOKUP($A239,kurspris!$A$1:$Q$835,12,FALSE)</f>
        <v>0</v>
      </c>
      <c r="AN239" s="31">
        <f>VLOOKUP($A239,kurspris!$A$1:$Q$835,13,FALSE)</f>
        <v>0</v>
      </c>
      <c r="AO239" s="31">
        <f>VLOOKUP($A239,kurspris!$A$1:$Q$835,14,FALSE)</f>
        <v>0</v>
      </c>
      <c r="AP239" s="39" t="s">
        <v>2232</v>
      </c>
      <c r="AQ239"/>
      <c r="AR239" s="31">
        <f t="shared" si="89"/>
        <v>0</v>
      </c>
      <c r="AS239" s="255">
        <f t="shared" si="90"/>
        <v>0</v>
      </c>
      <c r="AT239" s="31">
        <f t="shared" si="91"/>
        <v>0</v>
      </c>
      <c r="AU239" s="255">
        <f t="shared" si="92"/>
        <v>0</v>
      </c>
      <c r="AV239" s="31">
        <f t="shared" si="93"/>
        <v>0</v>
      </c>
      <c r="AW239" s="31">
        <f t="shared" si="94"/>
        <v>0</v>
      </c>
      <c r="AX239" s="31">
        <f t="shared" si="95"/>
        <v>0</v>
      </c>
      <c r="AY239" s="255">
        <f t="shared" si="96"/>
        <v>0</v>
      </c>
      <c r="AZ239" s="232">
        <f t="shared" si="97"/>
        <v>0</v>
      </c>
      <c r="BA239" s="255">
        <f t="shared" si="98"/>
        <v>0</v>
      </c>
      <c r="BB239" s="31">
        <f t="shared" si="99"/>
        <v>0.25</v>
      </c>
      <c r="BC239" s="255">
        <f t="shared" si="100"/>
        <v>0.21249999999999999</v>
      </c>
      <c r="BD239" s="31">
        <f t="shared" si="101"/>
        <v>0</v>
      </c>
      <c r="BE239" s="255">
        <f t="shared" si="102"/>
        <v>0</v>
      </c>
      <c r="BF239" s="31">
        <f t="shared" si="103"/>
        <v>0</v>
      </c>
      <c r="BG239" s="255">
        <f t="shared" si="104"/>
        <v>0</v>
      </c>
      <c r="BH239" s="31">
        <f t="shared" si="105"/>
        <v>0</v>
      </c>
      <c r="BI239" s="255">
        <f t="shared" si="106"/>
        <v>0</v>
      </c>
      <c r="BJ239" s="31">
        <f t="shared" si="107"/>
        <v>0</v>
      </c>
      <c r="BK239" s="31">
        <f t="shared" si="108"/>
        <v>0</v>
      </c>
      <c r="BL239" s="255">
        <f t="shared" si="109"/>
        <v>0</v>
      </c>
      <c r="BM239" s="31">
        <f t="shared" si="110"/>
        <v>0</v>
      </c>
      <c r="BN239" s="255">
        <f t="shared" si="111"/>
        <v>0</v>
      </c>
    </row>
    <row r="240" spans="1:66" x14ac:dyDescent="0.25">
      <c r="A240" t="s">
        <v>1504</v>
      </c>
      <c r="B240" s="186" t="str">
        <f>VLOOKUP(A240,kurspris!$A$1:$B$877,2,FALSE)</f>
        <v>Fysikdidaktik 2 för ämneslärare för gymnasium</v>
      </c>
      <c r="C240"/>
      <c r="D240" t="s">
        <v>483</v>
      </c>
      <c r="E240" t="s">
        <v>1976</v>
      </c>
      <c r="F240" s="59" t="s">
        <v>1930</v>
      </c>
      <c r="G240" t="s">
        <v>1980</v>
      </c>
      <c r="H240" t="s">
        <v>1910</v>
      </c>
      <c r="I240"/>
      <c r="J240" t="s">
        <v>774</v>
      </c>
      <c r="K240"/>
      <c r="L240">
        <v>50</v>
      </c>
      <c r="M240">
        <v>7.5</v>
      </c>
      <c r="N240"/>
      <c r="O240"/>
      <c r="P240" s="31">
        <v>2</v>
      </c>
      <c r="Q240" s="232">
        <f t="shared" si="84"/>
        <v>0.25</v>
      </c>
      <c r="R240" s="40">
        <v>0.85</v>
      </c>
      <c r="S240" s="334">
        <f t="shared" si="85"/>
        <v>0.21249999999999999</v>
      </c>
      <c r="T240" s="31">
        <f>VLOOKUP(A240,'Ansvar kurs'!$A$1:$C$1010,2,FALSE)</f>
        <v>5740</v>
      </c>
      <c r="U240" s="31" t="str">
        <f>VLOOKUP(T240,Orgenheter!$A$1:$C$165,2,FALSE)</f>
        <v>NMD</v>
      </c>
      <c r="V240" s="31" t="str">
        <f>VLOOKUP(T240,Orgenheter!$A$1:$C$165,3,FALSE)</f>
        <v>TekNat</v>
      </c>
      <c r="W240" s="37" t="str">
        <f>VLOOKUP(D240,Program!$A$1:$B$34,2,FALSE)</f>
        <v>Ämneslärarprogrammet - Gy</v>
      </c>
      <c r="X240" s="42">
        <f>VLOOKUP(A240,kurspris!$A$1:$Q$798,15,FALSE)</f>
        <v>19473</v>
      </c>
      <c r="Y240" s="42">
        <f>VLOOKUP(A240,kurspris!$A$1:$Q$798,16,FALSE)</f>
        <v>34806</v>
      </c>
      <c r="Z240" s="42">
        <f t="shared" si="86"/>
        <v>12264.525</v>
      </c>
      <c r="AA240" s="42">
        <f>VLOOKUP(A240,kurspris!$A$1:$Q$798,17,FALSE)</f>
        <v>21800</v>
      </c>
      <c r="AB240" s="42">
        <f t="shared" si="87"/>
        <v>5450</v>
      </c>
      <c r="AC240" s="42">
        <f t="shared" si="88"/>
        <v>17714.525000000001</v>
      </c>
      <c r="AD240" s="31">
        <f>VLOOKUP($A240,kurspris!$A$1:$Q$835,3,FALSE)</f>
        <v>0</v>
      </c>
      <c r="AE240" s="31">
        <f>VLOOKUP($A240,kurspris!$A$1:$Q$835,4,FALSE)</f>
        <v>0</v>
      </c>
      <c r="AF240" s="31">
        <f>VLOOKUP($A240,kurspris!$A$1:$Q$835,5,FALSE)</f>
        <v>0</v>
      </c>
      <c r="AG240" s="31">
        <f>VLOOKUP($A240,kurspris!$A$1:$Q$835,6,FALSE)</f>
        <v>0</v>
      </c>
      <c r="AH240" s="31">
        <f>VLOOKUP($A240,kurspris!$A$1:$Q$835,7,FALSE)</f>
        <v>0</v>
      </c>
      <c r="AI240" s="31">
        <f>VLOOKUP($A240,kurspris!$A$1:$Q$835,8,FALSE)</f>
        <v>1</v>
      </c>
      <c r="AJ240" s="31">
        <f>VLOOKUP($A240,kurspris!$A$1:$Q$835,9,FALSE)</f>
        <v>0</v>
      </c>
      <c r="AK240" s="31">
        <f>VLOOKUP($A240,kurspris!$A$1:$Q$835,10,FALSE)</f>
        <v>0</v>
      </c>
      <c r="AL240" s="31">
        <f>VLOOKUP($A240,kurspris!$A$1:$Q$835,11,FALSE)</f>
        <v>0</v>
      </c>
      <c r="AM240" s="31">
        <f>VLOOKUP($A240,kurspris!$A$1:$Q$835,12,FALSE)</f>
        <v>0</v>
      </c>
      <c r="AN240" s="31">
        <f>VLOOKUP($A240,kurspris!$A$1:$Q$835,13,FALSE)</f>
        <v>0</v>
      </c>
      <c r="AO240" s="31">
        <f>VLOOKUP($A240,kurspris!$A$1:$Q$835,14,FALSE)</f>
        <v>0</v>
      </c>
      <c r="AP240" s="39" t="s">
        <v>2232</v>
      </c>
      <c r="AQ240"/>
      <c r="AR240" s="31">
        <f t="shared" si="89"/>
        <v>0</v>
      </c>
      <c r="AS240" s="255">
        <f t="shared" si="90"/>
        <v>0</v>
      </c>
      <c r="AT240" s="31">
        <f t="shared" si="91"/>
        <v>0</v>
      </c>
      <c r="AU240" s="255">
        <f t="shared" si="92"/>
        <v>0</v>
      </c>
      <c r="AV240" s="31">
        <f t="shared" si="93"/>
        <v>0</v>
      </c>
      <c r="AW240" s="31">
        <f t="shared" si="94"/>
        <v>0</v>
      </c>
      <c r="AX240" s="31">
        <f t="shared" si="95"/>
        <v>0</v>
      </c>
      <c r="AY240" s="255">
        <f t="shared" si="96"/>
        <v>0</v>
      </c>
      <c r="AZ240" s="232">
        <f t="shared" si="97"/>
        <v>0</v>
      </c>
      <c r="BA240" s="255">
        <f t="shared" si="98"/>
        <v>0</v>
      </c>
      <c r="BB240" s="31">
        <f t="shared" si="99"/>
        <v>0.25</v>
      </c>
      <c r="BC240" s="255">
        <f t="shared" si="100"/>
        <v>0.21249999999999999</v>
      </c>
      <c r="BD240" s="31">
        <f t="shared" si="101"/>
        <v>0</v>
      </c>
      <c r="BE240" s="255">
        <f t="shared" si="102"/>
        <v>0</v>
      </c>
      <c r="BF240" s="31">
        <f t="shared" si="103"/>
        <v>0</v>
      </c>
      <c r="BG240" s="255">
        <f t="shared" si="104"/>
        <v>0</v>
      </c>
      <c r="BH240" s="31">
        <f t="shared" si="105"/>
        <v>0</v>
      </c>
      <c r="BI240" s="255">
        <f t="shared" si="106"/>
        <v>0</v>
      </c>
      <c r="BJ240" s="31">
        <f t="shared" si="107"/>
        <v>0</v>
      </c>
      <c r="BK240" s="31">
        <f t="shared" si="108"/>
        <v>0</v>
      </c>
      <c r="BL240" s="255">
        <f t="shared" si="109"/>
        <v>0</v>
      </c>
      <c r="BM240" s="31">
        <f t="shared" si="110"/>
        <v>0</v>
      </c>
      <c r="BN240" s="255">
        <f t="shared" si="111"/>
        <v>0</v>
      </c>
    </row>
    <row r="241" spans="1:66" x14ac:dyDescent="0.25">
      <c r="A241" s="18" t="s">
        <v>1957</v>
      </c>
      <c r="B241" s="186" t="str">
        <f>VLOOKUP(A241,kurspris!$A$1:$B$877,2,FALSE)</f>
        <v>Naturens mångfald</v>
      </c>
      <c r="C241" s="37"/>
      <c r="D241" s="31" t="s">
        <v>483</v>
      </c>
      <c r="E241" s="31" t="s">
        <v>1973</v>
      </c>
      <c r="F241" s="59" t="s">
        <v>1931</v>
      </c>
      <c r="G241" s="31" t="s">
        <v>2278</v>
      </c>
      <c r="J241" t="s">
        <v>773</v>
      </c>
      <c r="L241" s="31">
        <v>100</v>
      </c>
      <c r="M241" s="31">
        <v>7.5</v>
      </c>
      <c r="P241" s="31">
        <v>2</v>
      </c>
      <c r="Q241" s="232">
        <f t="shared" si="84"/>
        <v>0.25</v>
      </c>
      <c r="R241" s="40">
        <v>0.85</v>
      </c>
      <c r="S241" s="334">
        <f t="shared" si="85"/>
        <v>0.21249999999999999</v>
      </c>
      <c r="T241" s="31">
        <f>VLOOKUP(A241,'Ansvar kurs'!$A$1:$C$1010,2,FALSE)</f>
        <v>5100</v>
      </c>
      <c r="U241" s="31" t="str">
        <f>VLOOKUP(T241,Orgenheter!$A$1:$C$165,2,FALSE)</f>
        <v>EMG</v>
      </c>
      <c r="V241" s="31" t="str">
        <f>VLOOKUP(T241,Orgenheter!$A$1:$C$165,3,FALSE)</f>
        <v>TekNat</v>
      </c>
      <c r="W241" s="37" t="str">
        <f>VLOOKUP(D241,Program!$A$1:$B$34,2,FALSE)</f>
        <v>Ämneslärarprogrammet - Gy</v>
      </c>
      <c r="X241" s="42">
        <f>VLOOKUP(A241,kurspris!$A$1:$Q$798,15,FALSE)</f>
        <v>19473</v>
      </c>
      <c r="Y241" s="42">
        <f>VLOOKUP(A241,kurspris!$A$1:$Q$798,16,FALSE)</f>
        <v>34806</v>
      </c>
      <c r="Z241" s="42">
        <f t="shared" si="86"/>
        <v>12264.525</v>
      </c>
      <c r="AA241" s="42">
        <f>VLOOKUP(A241,kurspris!$A$1:$Q$798,17,FALSE)</f>
        <v>21800</v>
      </c>
      <c r="AB241" s="42">
        <f t="shared" si="87"/>
        <v>5450</v>
      </c>
      <c r="AC241" s="42">
        <f t="shared" si="88"/>
        <v>17714.525000000001</v>
      </c>
      <c r="AD241" s="31">
        <f>VLOOKUP($A241,kurspris!$A$1:$Q$835,3,FALSE)</f>
        <v>0</v>
      </c>
      <c r="AE241" s="31">
        <f>VLOOKUP($A241,kurspris!$A$1:$Q$835,4,FALSE)</f>
        <v>0</v>
      </c>
      <c r="AF241" s="31">
        <f>VLOOKUP($A241,kurspris!$A$1:$Q$835,5,FALSE)</f>
        <v>0</v>
      </c>
      <c r="AG241" s="31">
        <f>VLOOKUP($A241,kurspris!$A$1:$Q$835,6,FALSE)</f>
        <v>0</v>
      </c>
      <c r="AH241" s="31">
        <f>VLOOKUP($A241,kurspris!$A$1:$Q$835,7,FALSE)</f>
        <v>0</v>
      </c>
      <c r="AI241" s="31">
        <f>VLOOKUP($A241,kurspris!$A$1:$Q$835,8,FALSE)</f>
        <v>1</v>
      </c>
      <c r="AJ241" s="31">
        <f>VLOOKUP($A241,kurspris!$A$1:$Q$835,9,FALSE)</f>
        <v>0</v>
      </c>
      <c r="AK241" s="31">
        <f>VLOOKUP($A241,kurspris!$A$1:$Q$835,10,FALSE)</f>
        <v>0</v>
      </c>
      <c r="AL241" s="31">
        <f>VLOOKUP($A241,kurspris!$A$1:$Q$835,11,FALSE)</f>
        <v>0</v>
      </c>
      <c r="AM241" s="31">
        <f>VLOOKUP($A241,kurspris!$A$1:$Q$835,12,FALSE)</f>
        <v>0</v>
      </c>
      <c r="AN241" s="31">
        <f>VLOOKUP($A241,kurspris!$A$1:$Q$835,13,FALSE)</f>
        <v>0</v>
      </c>
      <c r="AO241" s="31">
        <f>VLOOKUP($A241,kurspris!$A$1:$Q$835,14,FALSE)</f>
        <v>0</v>
      </c>
      <c r="AP241" s="39" t="s">
        <v>2326</v>
      </c>
      <c r="AQ241"/>
      <c r="AR241" s="31">
        <f t="shared" si="89"/>
        <v>0</v>
      </c>
      <c r="AS241" s="255">
        <f t="shared" si="90"/>
        <v>0</v>
      </c>
      <c r="AT241" s="31">
        <f t="shared" si="91"/>
        <v>0</v>
      </c>
      <c r="AU241" s="255">
        <f t="shared" si="92"/>
        <v>0</v>
      </c>
      <c r="AV241" s="31">
        <f t="shared" si="93"/>
        <v>0</v>
      </c>
      <c r="AW241" s="31">
        <f t="shared" si="94"/>
        <v>0</v>
      </c>
      <c r="AX241" s="31">
        <f t="shared" si="95"/>
        <v>0</v>
      </c>
      <c r="AY241" s="255">
        <f t="shared" si="96"/>
        <v>0</v>
      </c>
      <c r="AZ241" s="232">
        <f t="shared" si="97"/>
        <v>0</v>
      </c>
      <c r="BA241" s="255">
        <f t="shared" si="98"/>
        <v>0</v>
      </c>
      <c r="BB241" s="31">
        <f t="shared" si="99"/>
        <v>0.25</v>
      </c>
      <c r="BC241" s="255">
        <f t="shared" si="100"/>
        <v>0.21249999999999999</v>
      </c>
      <c r="BD241" s="31">
        <f t="shared" si="101"/>
        <v>0</v>
      </c>
      <c r="BE241" s="255">
        <f t="shared" si="102"/>
        <v>0</v>
      </c>
      <c r="BF241" s="31">
        <f t="shared" si="103"/>
        <v>0</v>
      </c>
      <c r="BG241" s="255">
        <f t="shared" si="104"/>
        <v>0</v>
      </c>
      <c r="BH241" s="31">
        <f t="shared" si="105"/>
        <v>0</v>
      </c>
      <c r="BI241" s="255">
        <f t="shared" si="106"/>
        <v>0</v>
      </c>
      <c r="BJ241" s="31">
        <f t="shared" si="107"/>
        <v>0</v>
      </c>
      <c r="BK241" s="31">
        <f t="shared" si="108"/>
        <v>0</v>
      </c>
      <c r="BL241" s="255">
        <f t="shared" si="109"/>
        <v>0</v>
      </c>
      <c r="BM241" s="31">
        <f t="shared" si="110"/>
        <v>0</v>
      </c>
      <c r="BN241" s="255">
        <f t="shared" si="111"/>
        <v>0</v>
      </c>
    </row>
    <row r="242" spans="1:66" x14ac:dyDescent="0.25">
      <c r="A242" s="18" t="s">
        <v>1957</v>
      </c>
      <c r="B242" s="186" t="str">
        <f>VLOOKUP(A242,kurspris!$A$1:$B$877,2,FALSE)</f>
        <v>Naturens mångfald</v>
      </c>
      <c r="C242" s="37"/>
      <c r="D242" s="31" t="s">
        <v>483</v>
      </c>
      <c r="E242" s="31" t="s">
        <v>1973</v>
      </c>
      <c r="F242" s="59" t="s">
        <v>1931</v>
      </c>
      <c r="G242" s="31" t="s">
        <v>2278</v>
      </c>
      <c r="J242" t="s">
        <v>777</v>
      </c>
      <c r="L242" s="31">
        <v>100</v>
      </c>
      <c r="M242" s="31">
        <v>7.5</v>
      </c>
      <c r="P242" s="31">
        <v>1</v>
      </c>
      <c r="Q242" s="232">
        <f t="shared" si="84"/>
        <v>0.125</v>
      </c>
      <c r="R242" s="40">
        <v>0.85</v>
      </c>
      <c r="S242" s="334">
        <f t="shared" si="85"/>
        <v>0.10625</v>
      </c>
      <c r="T242" s="31">
        <f>VLOOKUP(A242,'Ansvar kurs'!$A$1:$C$1010,2,FALSE)</f>
        <v>5100</v>
      </c>
      <c r="U242" s="31" t="str">
        <f>VLOOKUP(T242,Orgenheter!$A$1:$C$165,2,FALSE)</f>
        <v>EMG</v>
      </c>
      <c r="V242" s="31" t="str">
        <f>VLOOKUP(T242,Orgenheter!$A$1:$C$165,3,FALSE)</f>
        <v>TekNat</v>
      </c>
      <c r="W242" s="37" t="str">
        <f>VLOOKUP(D242,Program!$A$1:$B$34,2,FALSE)</f>
        <v>Ämneslärarprogrammet - Gy</v>
      </c>
      <c r="X242" s="42">
        <f>VLOOKUP(A242,kurspris!$A$1:$Q$798,15,FALSE)</f>
        <v>19473</v>
      </c>
      <c r="Y242" s="42">
        <f>VLOOKUP(A242,kurspris!$A$1:$Q$798,16,FALSE)</f>
        <v>34806</v>
      </c>
      <c r="Z242" s="42">
        <f t="shared" si="86"/>
        <v>6132.2624999999998</v>
      </c>
      <c r="AA242" s="42">
        <f>VLOOKUP(A242,kurspris!$A$1:$Q$798,17,FALSE)</f>
        <v>21800</v>
      </c>
      <c r="AB242" s="42">
        <f t="shared" si="87"/>
        <v>2725</v>
      </c>
      <c r="AC242" s="42">
        <f t="shared" si="88"/>
        <v>8857.2625000000007</v>
      </c>
      <c r="AD242" s="31">
        <f>VLOOKUP($A242,kurspris!$A$1:$Q$835,3,FALSE)</f>
        <v>0</v>
      </c>
      <c r="AE242" s="31">
        <f>VLOOKUP($A242,kurspris!$A$1:$Q$835,4,FALSE)</f>
        <v>0</v>
      </c>
      <c r="AF242" s="31">
        <f>VLOOKUP($A242,kurspris!$A$1:$Q$835,5,FALSE)</f>
        <v>0</v>
      </c>
      <c r="AG242" s="31">
        <f>VLOOKUP($A242,kurspris!$A$1:$Q$835,6,FALSE)</f>
        <v>0</v>
      </c>
      <c r="AH242" s="31">
        <f>VLOOKUP($A242,kurspris!$A$1:$Q$835,7,FALSE)</f>
        <v>0</v>
      </c>
      <c r="AI242" s="31">
        <f>VLOOKUP($A242,kurspris!$A$1:$Q$835,8,FALSE)</f>
        <v>1</v>
      </c>
      <c r="AJ242" s="31">
        <f>VLOOKUP($A242,kurspris!$A$1:$Q$835,9,FALSE)</f>
        <v>0</v>
      </c>
      <c r="AK242" s="31">
        <f>VLOOKUP($A242,kurspris!$A$1:$Q$835,10,FALSE)</f>
        <v>0</v>
      </c>
      <c r="AL242" s="31">
        <f>VLOOKUP($A242,kurspris!$A$1:$Q$835,11,FALSE)</f>
        <v>0</v>
      </c>
      <c r="AM242" s="31">
        <f>VLOOKUP($A242,kurspris!$A$1:$Q$835,12,FALSE)</f>
        <v>0</v>
      </c>
      <c r="AN242" s="31">
        <f>VLOOKUP($A242,kurspris!$A$1:$Q$835,13,FALSE)</f>
        <v>0</v>
      </c>
      <c r="AO242" s="31">
        <f>VLOOKUP($A242,kurspris!$A$1:$Q$835,14,FALSE)</f>
        <v>0</v>
      </c>
      <c r="AP242" s="39" t="s">
        <v>2326</v>
      </c>
      <c r="AQ242"/>
      <c r="AR242" s="31">
        <f t="shared" si="89"/>
        <v>0</v>
      </c>
      <c r="AS242" s="255">
        <f t="shared" si="90"/>
        <v>0</v>
      </c>
      <c r="AT242" s="31">
        <f t="shared" si="91"/>
        <v>0</v>
      </c>
      <c r="AU242" s="255">
        <f t="shared" si="92"/>
        <v>0</v>
      </c>
      <c r="AV242" s="31">
        <f t="shared" si="93"/>
        <v>0</v>
      </c>
      <c r="AW242" s="31">
        <f t="shared" si="94"/>
        <v>0</v>
      </c>
      <c r="AX242" s="31">
        <f t="shared" si="95"/>
        <v>0</v>
      </c>
      <c r="AY242" s="255">
        <f t="shared" si="96"/>
        <v>0</v>
      </c>
      <c r="AZ242" s="232">
        <f t="shared" si="97"/>
        <v>0</v>
      </c>
      <c r="BA242" s="255">
        <f t="shared" si="98"/>
        <v>0</v>
      </c>
      <c r="BB242" s="31">
        <f t="shared" si="99"/>
        <v>0.125</v>
      </c>
      <c r="BC242" s="255">
        <f t="shared" si="100"/>
        <v>0.10625</v>
      </c>
      <c r="BD242" s="31">
        <f t="shared" si="101"/>
        <v>0</v>
      </c>
      <c r="BE242" s="255">
        <f t="shared" si="102"/>
        <v>0</v>
      </c>
      <c r="BF242" s="31">
        <f t="shared" si="103"/>
        <v>0</v>
      </c>
      <c r="BG242" s="255">
        <f t="shared" si="104"/>
        <v>0</v>
      </c>
      <c r="BH242" s="31">
        <f t="shared" si="105"/>
        <v>0</v>
      </c>
      <c r="BI242" s="255">
        <f t="shared" si="106"/>
        <v>0</v>
      </c>
      <c r="BJ242" s="31">
        <f t="shared" si="107"/>
        <v>0</v>
      </c>
      <c r="BK242" s="31">
        <f t="shared" si="108"/>
        <v>0</v>
      </c>
      <c r="BL242" s="255">
        <f t="shared" si="109"/>
        <v>0</v>
      </c>
      <c r="BM242" s="31">
        <f t="shared" si="110"/>
        <v>0</v>
      </c>
      <c r="BN242" s="255">
        <f t="shared" si="111"/>
        <v>0</v>
      </c>
    </row>
    <row r="243" spans="1:66" x14ac:dyDescent="0.25">
      <c r="A243" s="18" t="s">
        <v>1957</v>
      </c>
      <c r="B243" s="186" t="str">
        <f>VLOOKUP(A243,kurspris!$A$1:$B$877,2,FALSE)</f>
        <v>Naturens mångfald</v>
      </c>
      <c r="C243" s="37"/>
      <c r="D243" s="31" t="s">
        <v>483</v>
      </c>
      <c r="E243" s="31" t="s">
        <v>1788</v>
      </c>
      <c r="F243" s="59" t="s">
        <v>1931</v>
      </c>
      <c r="G243" s="31" t="s">
        <v>2278</v>
      </c>
      <c r="J243" t="s">
        <v>1813</v>
      </c>
      <c r="L243" s="31">
        <v>100</v>
      </c>
      <c r="M243" s="31">
        <v>7.5</v>
      </c>
      <c r="P243" s="31">
        <v>2</v>
      </c>
      <c r="Q243" s="232">
        <f t="shared" si="84"/>
        <v>0.25</v>
      </c>
      <c r="R243" s="40">
        <v>0.85</v>
      </c>
      <c r="S243" s="334">
        <f t="shared" si="85"/>
        <v>0.21249999999999999</v>
      </c>
      <c r="T243" s="31">
        <f>VLOOKUP(A243,'Ansvar kurs'!$A$1:$C$1010,2,FALSE)</f>
        <v>5100</v>
      </c>
      <c r="U243" s="31" t="str">
        <f>VLOOKUP(T243,Orgenheter!$A$1:$C$165,2,FALSE)</f>
        <v>EMG</v>
      </c>
      <c r="V243" s="31" t="str">
        <f>VLOOKUP(T243,Orgenheter!$A$1:$C$165,3,FALSE)</f>
        <v>TekNat</v>
      </c>
      <c r="W243" s="37" t="str">
        <f>VLOOKUP(D243,Program!$A$1:$B$34,2,FALSE)</f>
        <v>Ämneslärarprogrammet - Gy</v>
      </c>
      <c r="X243" s="42">
        <f>VLOOKUP(A243,kurspris!$A$1:$Q$798,15,FALSE)</f>
        <v>19473</v>
      </c>
      <c r="Y243" s="42">
        <f>VLOOKUP(A243,kurspris!$A$1:$Q$798,16,FALSE)</f>
        <v>34806</v>
      </c>
      <c r="Z243" s="42">
        <f t="shared" si="86"/>
        <v>12264.525</v>
      </c>
      <c r="AA243" s="42">
        <f>VLOOKUP(A243,kurspris!$A$1:$Q$798,17,FALSE)</f>
        <v>21800</v>
      </c>
      <c r="AB243" s="42">
        <f t="shared" si="87"/>
        <v>5450</v>
      </c>
      <c r="AC243" s="42">
        <f t="shared" si="88"/>
        <v>17714.525000000001</v>
      </c>
      <c r="AD243" s="31">
        <f>VLOOKUP($A243,kurspris!$A$1:$Q$835,3,FALSE)</f>
        <v>0</v>
      </c>
      <c r="AE243" s="31">
        <f>VLOOKUP($A243,kurspris!$A$1:$Q$835,4,FALSE)</f>
        <v>0</v>
      </c>
      <c r="AF243" s="31">
        <f>VLOOKUP($A243,kurspris!$A$1:$Q$835,5,FALSE)</f>
        <v>0</v>
      </c>
      <c r="AG243" s="31">
        <f>VLOOKUP($A243,kurspris!$A$1:$Q$835,6,FALSE)</f>
        <v>0</v>
      </c>
      <c r="AH243" s="31">
        <f>VLOOKUP($A243,kurspris!$A$1:$Q$835,7,FALSE)</f>
        <v>0</v>
      </c>
      <c r="AI243" s="31">
        <f>VLOOKUP($A243,kurspris!$A$1:$Q$835,8,FALSE)</f>
        <v>1</v>
      </c>
      <c r="AJ243" s="31">
        <f>VLOOKUP($A243,kurspris!$A$1:$Q$835,9,FALSE)</f>
        <v>0</v>
      </c>
      <c r="AK243" s="31">
        <f>VLOOKUP($A243,kurspris!$A$1:$Q$835,10,FALSE)</f>
        <v>0</v>
      </c>
      <c r="AL243" s="31">
        <f>VLOOKUP($A243,kurspris!$A$1:$Q$835,11,FALSE)</f>
        <v>0</v>
      </c>
      <c r="AM243" s="31">
        <f>VLOOKUP($A243,kurspris!$A$1:$Q$835,12,FALSE)</f>
        <v>0</v>
      </c>
      <c r="AN243" s="31">
        <f>VLOOKUP($A243,kurspris!$A$1:$Q$835,13,FALSE)</f>
        <v>0</v>
      </c>
      <c r="AO243" s="31">
        <f>VLOOKUP($A243,kurspris!$A$1:$Q$835,14,FALSE)</f>
        <v>0</v>
      </c>
      <c r="AP243" s="39" t="s">
        <v>2326</v>
      </c>
      <c r="AQ243"/>
      <c r="AR243" s="31">
        <f t="shared" si="89"/>
        <v>0</v>
      </c>
      <c r="AS243" s="255">
        <f t="shared" si="90"/>
        <v>0</v>
      </c>
      <c r="AT243" s="31">
        <f t="shared" si="91"/>
        <v>0</v>
      </c>
      <c r="AU243" s="255">
        <f t="shared" si="92"/>
        <v>0</v>
      </c>
      <c r="AV243" s="31">
        <f t="shared" si="93"/>
        <v>0</v>
      </c>
      <c r="AW243" s="31">
        <f t="shared" si="94"/>
        <v>0</v>
      </c>
      <c r="AX243" s="31">
        <f t="shared" si="95"/>
        <v>0</v>
      </c>
      <c r="AY243" s="255">
        <f t="shared" si="96"/>
        <v>0</v>
      </c>
      <c r="AZ243" s="232">
        <f t="shared" si="97"/>
        <v>0</v>
      </c>
      <c r="BA243" s="255">
        <f t="shared" si="98"/>
        <v>0</v>
      </c>
      <c r="BB243" s="31">
        <f t="shared" si="99"/>
        <v>0.25</v>
      </c>
      <c r="BC243" s="255">
        <f t="shared" si="100"/>
        <v>0.21249999999999999</v>
      </c>
      <c r="BD243" s="31">
        <f t="shared" si="101"/>
        <v>0</v>
      </c>
      <c r="BE243" s="255">
        <f t="shared" si="102"/>
        <v>0</v>
      </c>
      <c r="BF243" s="31">
        <f t="shared" si="103"/>
        <v>0</v>
      </c>
      <c r="BG243" s="255">
        <f t="shared" si="104"/>
        <v>0</v>
      </c>
      <c r="BH243" s="31">
        <f t="shared" si="105"/>
        <v>0</v>
      </c>
      <c r="BI243" s="255">
        <f t="shared" si="106"/>
        <v>0</v>
      </c>
      <c r="BJ243" s="31">
        <f t="shared" si="107"/>
        <v>0</v>
      </c>
      <c r="BK243" s="31">
        <f t="shared" si="108"/>
        <v>0</v>
      </c>
      <c r="BL243" s="255">
        <f t="shared" si="109"/>
        <v>0</v>
      </c>
      <c r="BM243" s="31">
        <f t="shared" si="110"/>
        <v>0</v>
      </c>
      <c r="BN243" s="255">
        <f t="shared" si="111"/>
        <v>0</v>
      </c>
    </row>
    <row r="244" spans="1:66" x14ac:dyDescent="0.25">
      <c r="A244" t="s">
        <v>1858</v>
      </c>
      <c r="B244" s="186" t="str">
        <f>VLOOKUP(A244,kurspris!$A$1:$B$877,2,FALSE)</f>
        <v>Processer i naturen</v>
      </c>
      <c r="C244"/>
      <c r="D244" t="s">
        <v>117</v>
      </c>
      <c r="E244"/>
      <c r="F244" s="59" t="s">
        <v>1930</v>
      </c>
      <c r="G244"/>
      <c r="H244" t="s">
        <v>1910</v>
      </c>
      <c r="I244"/>
      <c r="J244"/>
      <c r="K244"/>
      <c r="L244">
        <v>100</v>
      </c>
      <c r="M244">
        <v>7.5</v>
      </c>
      <c r="N244"/>
      <c r="O244"/>
      <c r="P244" s="31">
        <v>1</v>
      </c>
      <c r="Q244" s="232">
        <f t="shared" si="84"/>
        <v>0.125</v>
      </c>
      <c r="R244" s="40">
        <v>0.85</v>
      </c>
      <c r="S244" s="334">
        <f t="shared" si="85"/>
        <v>0.10625</v>
      </c>
      <c r="T244" s="31">
        <f>VLOOKUP(A244,'Ansvar kurs'!$A$1:$C$1010,2,FALSE)</f>
        <v>5100</v>
      </c>
      <c r="U244" s="31" t="str">
        <f>VLOOKUP(T244,Orgenheter!$A$1:$C$165,2,FALSE)</f>
        <v>EMG</v>
      </c>
      <c r="V244" s="31" t="str">
        <f>VLOOKUP(T244,Orgenheter!$A$1:$C$165,3,FALSE)</f>
        <v>TekNat</v>
      </c>
      <c r="W244" s="37" t="str">
        <f>VLOOKUP(D244,Program!$A$1:$B$34,2,FALSE)</f>
        <v>Fristående och övriga kurser</v>
      </c>
      <c r="X244" s="42">
        <f>VLOOKUP(A244,kurspris!$A$1:$Q$798,15,FALSE)</f>
        <v>19473</v>
      </c>
      <c r="Y244" s="42">
        <f>VLOOKUP(A244,kurspris!$A$1:$Q$798,16,FALSE)</f>
        <v>34806</v>
      </c>
      <c r="Z244" s="42">
        <f t="shared" si="86"/>
        <v>6132.2624999999998</v>
      </c>
      <c r="AA244" s="42">
        <f>VLOOKUP(A244,kurspris!$A$1:$Q$798,17,FALSE)</f>
        <v>21800</v>
      </c>
      <c r="AB244" s="42">
        <f t="shared" si="87"/>
        <v>2725</v>
      </c>
      <c r="AC244" s="42">
        <f t="shared" si="88"/>
        <v>8857.2625000000007</v>
      </c>
      <c r="AD244" s="31">
        <f>VLOOKUP($A244,kurspris!$A$1:$Q$835,3,FALSE)</f>
        <v>0</v>
      </c>
      <c r="AE244" s="31">
        <f>VLOOKUP($A244,kurspris!$A$1:$Q$835,4,FALSE)</f>
        <v>0</v>
      </c>
      <c r="AF244" s="31">
        <f>VLOOKUP($A244,kurspris!$A$1:$Q$835,5,FALSE)</f>
        <v>0</v>
      </c>
      <c r="AG244" s="31">
        <f>VLOOKUP($A244,kurspris!$A$1:$Q$835,6,FALSE)</f>
        <v>0</v>
      </c>
      <c r="AH244" s="31">
        <f>VLOOKUP($A244,kurspris!$A$1:$Q$835,7,FALSE)</f>
        <v>0</v>
      </c>
      <c r="AI244" s="31">
        <f>VLOOKUP($A244,kurspris!$A$1:$Q$835,8,FALSE)</f>
        <v>1</v>
      </c>
      <c r="AJ244" s="31">
        <f>VLOOKUP($A244,kurspris!$A$1:$Q$835,9,FALSE)</f>
        <v>0</v>
      </c>
      <c r="AK244" s="31">
        <f>VLOOKUP($A244,kurspris!$A$1:$Q$835,10,FALSE)</f>
        <v>0</v>
      </c>
      <c r="AL244" s="31">
        <f>VLOOKUP($A244,kurspris!$A$1:$Q$835,11,FALSE)</f>
        <v>0</v>
      </c>
      <c r="AM244" s="31">
        <f>VLOOKUP($A244,kurspris!$A$1:$Q$835,12,FALSE)</f>
        <v>0</v>
      </c>
      <c r="AN244" s="31">
        <f>VLOOKUP($A244,kurspris!$A$1:$Q$835,13,FALSE)</f>
        <v>0</v>
      </c>
      <c r="AO244" s="31">
        <f>VLOOKUP($A244,kurspris!$A$1:$Q$835,14,FALSE)</f>
        <v>0</v>
      </c>
      <c r="AP244" s="39" t="s">
        <v>2232</v>
      </c>
      <c r="AQ244"/>
      <c r="AR244" s="31">
        <f t="shared" si="89"/>
        <v>0</v>
      </c>
      <c r="AS244" s="255">
        <f t="shared" si="90"/>
        <v>0</v>
      </c>
      <c r="AT244" s="31">
        <f t="shared" si="91"/>
        <v>0</v>
      </c>
      <c r="AU244" s="255">
        <f t="shared" si="92"/>
        <v>0</v>
      </c>
      <c r="AV244" s="31">
        <f t="shared" si="93"/>
        <v>0</v>
      </c>
      <c r="AW244" s="31">
        <f t="shared" si="94"/>
        <v>0</v>
      </c>
      <c r="AX244" s="31">
        <f t="shared" si="95"/>
        <v>0</v>
      </c>
      <c r="AY244" s="255">
        <f t="shared" si="96"/>
        <v>0</v>
      </c>
      <c r="AZ244" s="232">
        <f t="shared" si="97"/>
        <v>0</v>
      </c>
      <c r="BA244" s="255">
        <f t="shared" si="98"/>
        <v>0</v>
      </c>
      <c r="BB244" s="31">
        <f t="shared" si="99"/>
        <v>0.125</v>
      </c>
      <c r="BC244" s="255">
        <f t="shared" si="100"/>
        <v>0.10625</v>
      </c>
      <c r="BD244" s="31">
        <f t="shared" si="101"/>
        <v>0</v>
      </c>
      <c r="BE244" s="255">
        <f t="shared" si="102"/>
        <v>0</v>
      </c>
      <c r="BF244" s="31">
        <f t="shared" si="103"/>
        <v>0</v>
      </c>
      <c r="BG244" s="255">
        <f t="shared" si="104"/>
        <v>0</v>
      </c>
      <c r="BH244" s="31">
        <f t="shared" si="105"/>
        <v>0</v>
      </c>
      <c r="BI244" s="255">
        <f t="shared" si="106"/>
        <v>0</v>
      </c>
      <c r="BJ244" s="31">
        <f t="shared" si="107"/>
        <v>0</v>
      </c>
      <c r="BK244" s="31">
        <f t="shared" si="108"/>
        <v>0</v>
      </c>
      <c r="BL244" s="255">
        <f t="shared" si="109"/>
        <v>0</v>
      </c>
      <c r="BM244" s="31">
        <f t="shared" si="110"/>
        <v>0</v>
      </c>
      <c r="BN244" s="255">
        <f t="shared" si="111"/>
        <v>0</v>
      </c>
    </row>
    <row r="245" spans="1:66" x14ac:dyDescent="0.25">
      <c r="A245" t="s">
        <v>1858</v>
      </c>
      <c r="B245" s="186" t="str">
        <f>VLOOKUP(A245,kurspris!$A$1:$B$877,2,FALSE)</f>
        <v>Processer i naturen</v>
      </c>
      <c r="C245"/>
      <c r="D245" t="s">
        <v>483</v>
      </c>
      <c r="E245" t="s">
        <v>1973</v>
      </c>
      <c r="F245" s="59" t="s">
        <v>1930</v>
      </c>
      <c r="G245" t="s">
        <v>1936</v>
      </c>
      <c r="H245" t="s">
        <v>1910</v>
      </c>
      <c r="I245"/>
      <c r="J245" t="s">
        <v>773</v>
      </c>
      <c r="K245"/>
      <c r="L245">
        <v>100</v>
      </c>
      <c r="M245">
        <v>7.5</v>
      </c>
      <c r="N245"/>
      <c r="O245"/>
      <c r="P245" s="31">
        <v>2</v>
      </c>
      <c r="Q245" s="232">
        <f t="shared" si="84"/>
        <v>0.25</v>
      </c>
      <c r="R245" s="40">
        <v>0.85</v>
      </c>
      <c r="S245" s="334">
        <f t="shared" si="85"/>
        <v>0.21249999999999999</v>
      </c>
      <c r="T245" s="31">
        <f>VLOOKUP(A245,'Ansvar kurs'!$A$1:$C$1010,2,FALSE)</f>
        <v>5100</v>
      </c>
      <c r="U245" s="31" t="str">
        <f>VLOOKUP(T245,Orgenheter!$A$1:$C$165,2,FALSE)</f>
        <v>EMG</v>
      </c>
      <c r="V245" s="31" t="str">
        <f>VLOOKUP(T245,Orgenheter!$A$1:$C$165,3,FALSE)</f>
        <v>TekNat</v>
      </c>
      <c r="W245" s="37" t="str">
        <f>VLOOKUP(D245,Program!$A$1:$B$34,2,FALSE)</f>
        <v>Ämneslärarprogrammet - Gy</v>
      </c>
      <c r="X245" s="42">
        <f>VLOOKUP(A245,kurspris!$A$1:$Q$798,15,FALSE)</f>
        <v>19473</v>
      </c>
      <c r="Y245" s="42">
        <f>VLOOKUP(A245,kurspris!$A$1:$Q$798,16,FALSE)</f>
        <v>34806</v>
      </c>
      <c r="Z245" s="42">
        <f t="shared" si="86"/>
        <v>12264.525</v>
      </c>
      <c r="AA245" s="42">
        <f>VLOOKUP(A245,kurspris!$A$1:$Q$798,17,FALSE)</f>
        <v>21800</v>
      </c>
      <c r="AB245" s="42">
        <f t="shared" si="87"/>
        <v>5450</v>
      </c>
      <c r="AC245" s="42">
        <f t="shared" si="88"/>
        <v>17714.525000000001</v>
      </c>
      <c r="AD245" s="31">
        <f>VLOOKUP($A245,kurspris!$A$1:$Q$835,3,FALSE)</f>
        <v>0</v>
      </c>
      <c r="AE245" s="31">
        <f>VLOOKUP($A245,kurspris!$A$1:$Q$835,4,FALSE)</f>
        <v>0</v>
      </c>
      <c r="AF245" s="31">
        <f>VLOOKUP($A245,kurspris!$A$1:$Q$835,5,FALSE)</f>
        <v>0</v>
      </c>
      <c r="AG245" s="31">
        <f>VLOOKUP($A245,kurspris!$A$1:$Q$835,6,FALSE)</f>
        <v>0</v>
      </c>
      <c r="AH245" s="31">
        <f>VLOOKUP($A245,kurspris!$A$1:$Q$835,7,FALSE)</f>
        <v>0</v>
      </c>
      <c r="AI245" s="31">
        <f>VLOOKUP($A245,kurspris!$A$1:$Q$835,8,FALSE)</f>
        <v>1</v>
      </c>
      <c r="AJ245" s="31">
        <f>VLOOKUP($A245,kurspris!$A$1:$Q$835,9,FALSE)</f>
        <v>0</v>
      </c>
      <c r="AK245" s="31">
        <f>VLOOKUP($A245,kurspris!$A$1:$Q$835,10,FALSE)</f>
        <v>0</v>
      </c>
      <c r="AL245" s="31">
        <f>VLOOKUP($A245,kurspris!$A$1:$Q$835,11,FALSE)</f>
        <v>0</v>
      </c>
      <c r="AM245" s="31">
        <f>VLOOKUP($A245,kurspris!$A$1:$Q$835,12,FALSE)</f>
        <v>0</v>
      </c>
      <c r="AN245" s="31">
        <f>VLOOKUP($A245,kurspris!$A$1:$Q$835,13,FALSE)</f>
        <v>0</v>
      </c>
      <c r="AO245" s="31">
        <f>VLOOKUP($A245,kurspris!$A$1:$Q$835,14,FALSE)</f>
        <v>0</v>
      </c>
      <c r="AP245" s="39" t="s">
        <v>2204</v>
      </c>
      <c r="AQ245"/>
      <c r="AR245" s="31">
        <f t="shared" si="89"/>
        <v>0</v>
      </c>
      <c r="AS245" s="255">
        <f t="shared" si="90"/>
        <v>0</v>
      </c>
      <c r="AT245" s="31">
        <f t="shared" si="91"/>
        <v>0</v>
      </c>
      <c r="AU245" s="255">
        <f t="shared" si="92"/>
        <v>0</v>
      </c>
      <c r="AV245" s="31">
        <f t="shared" si="93"/>
        <v>0</v>
      </c>
      <c r="AW245" s="31">
        <f t="shared" si="94"/>
        <v>0</v>
      </c>
      <c r="AX245" s="31">
        <f t="shared" si="95"/>
        <v>0</v>
      </c>
      <c r="AY245" s="255">
        <f t="shared" si="96"/>
        <v>0</v>
      </c>
      <c r="AZ245" s="232">
        <f t="shared" si="97"/>
        <v>0</v>
      </c>
      <c r="BA245" s="255">
        <f t="shared" si="98"/>
        <v>0</v>
      </c>
      <c r="BB245" s="31">
        <f t="shared" si="99"/>
        <v>0.25</v>
      </c>
      <c r="BC245" s="255">
        <f t="shared" si="100"/>
        <v>0.21249999999999999</v>
      </c>
      <c r="BD245" s="31">
        <f t="shared" si="101"/>
        <v>0</v>
      </c>
      <c r="BE245" s="255">
        <f t="shared" si="102"/>
        <v>0</v>
      </c>
      <c r="BF245" s="31">
        <f t="shared" si="103"/>
        <v>0</v>
      </c>
      <c r="BG245" s="255">
        <f t="shared" si="104"/>
        <v>0</v>
      </c>
      <c r="BH245" s="31">
        <f t="shared" si="105"/>
        <v>0</v>
      </c>
      <c r="BI245" s="255">
        <f t="shared" si="106"/>
        <v>0</v>
      </c>
      <c r="BJ245" s="31">
        <f t="shared" si="107"/>
        <v>0</v>
      </c>
      <c r="BK245" s="31">
        <f t="shared" si="108"/>
        <v>0</v>
      </c>
      <c r="BL245" s="255">
        <f t="shared" si="109"/>
        <v>0</v>
      </c>
      <c r="BM245" s="31">
        <f t="shared" si="110"/>
        <v>0</v>
      </c>
      <c r="BN245" s="255">
        <f t="shared" si="111"/>
        <v>0</v>
      </c>
    </row>
    <row r="246" spans="1:66" x14ac:dyDescent="0.25">
      <c r="A246" t="s">
        <v>1858</v>
      </c>
      <c r="B246" s="186" t="str">
        <f>VLOOKUP(A246,kurspris!$A$1:$B$877,2,FALSE)</f>
        <v>Processer i naturen</v>
      </c>
      <c r="C246"/>
      <c r="D246" t="s">
        <v>483</v>
      </c>
      <c r="E246" t="s">
        <v>1973</v>
      </c>
      <c r="F246" s="59" t="s">
        <v>1930</v>
      </c>
      <c r="G246" t="s">
        <v>1936</v>
      </c>
      <c r="H246" t="s">
        <v>1910</v>
      </c>
      <c r="I246"/>
      <c r="J246" t="s">
        <v>777</v>
      </c>
      <c r="K246"/>
      <c r="L246">
        <v>100</v>
      </c>
      <c r="M246">
        <v>7.5</v>
      </c>
      <c r="N246"/>
      <c r="O246"/>
      <c r="P246" s="31">
        <v>2</v>
      </c>
      <c r="Q246" s="232">
        <f t="shared" si="84"/>
        <v>0.25</v>
      </c>
      <c r="R246" s="40">
        <v>0.85</v>
      </c>
      <c r="S246" s="334">
        <f t="shared" si="85"/>
        <v>0.21249999999999999</v>
      </c>
      <c r="T246" s="31">
        <f>VLOOKUP(A246,'Ansvar kurs'!$A$1:$C$1010,2,FALSE)</f>
        <v>5100</v>
      </c>
      <c r="U246" s="31" t="str">
        <f>VLOOKUP(T246,Orgenheter!$A$1:$C$165,2,FALSE)</f>
        <v>EMG</v>
      </c>
      <c r="V246" s="31" t="str">
        <f>VLOOKUP(T246,Orgenheter!$A$1:$C$165,3,FALSE)</f>
        <v>TekNat</v>
      </c>
      <c r="W246" s="37" t="str">
        <f>VLOOKUP(D246,Program!$A$1:$B$34,2,FALSE)</f>
        <v>Ämneslärarprogrammet - Gy</v>
      </c>
      <c r="X246" s="42">
        <f>VLOOKUP(A246,kurspris!$A$1:$Q$798,15,FALSE)</f>
        <v>19473</v>
      </c>
      <c r="Y246" s="42">
        <f>VLOOKUP(A246,kurspris!$A$1:$Q$798,16,FALSE)</f>
        <v>34806</v>
      </c>
      <c r="Z246" s="42">
        <f t="shared" si="86"/>
        <v>12264.525</v>
      </c>
      <c r="AA246" s="42">
        <f>VLOOKUP(A246,kurspris!$A$1:$Q$798,17,FALSE)</f>
        <v>21800</v>
      </c>
      <c r="AB246" s="42">
        <f t="shared" si="87"/>
        <v>5450</v>
      </c>
      <c r="AC246" s="42">
        <f t="shared" si="88"/>
        <v>17714.525000000001</v>
      </c>
      <c r="AD246" s="31">
        <f>VLOOKUP($A246,kurspris!$A$1:$Q$835,3,FALSE)</f>
        <v>0</v>
      </c>
      <c r="AE246" s="31">
        <f>VLOOKUP($A246,kurspris!$A$1:$Q$835,4,FALSE)</f>
        <v>0</v>
      </c>
      <c r="AF246" s="31">
        <f>VLOOKUP($A246,kurspris!$A$1:$Q$835,5,FALSE)</f>
        <v>0</v>
      </c>
      <c r="AG246" s="31">
        <f>VLOOKUP($A246,kurspris!$A$1:$Q$835,6,FALSE)</f>
        <v>0</v>
      </c>
      <c r="AH246" s="31">
        <f>VLOOKUP($A246,kurspris!$A$1:$Q$835,7,FALSE)</f>
        <v>0</v>
      </c>
      <c r="AI246" s="31">
        <f>VLOOKUP($A246,kurspris!$A$1:$Q$835,8,FALSE)</f>
        <v>1</v>
      </c>
      <c r="AJ246" s="31">
        <f>VLOOKUP($A246,kurspris!$A$1:$Q$835,9,FALSE)</f>
        <v>0</v>
      </c>
      <c r="AK246" s="31">
        <f>VLOOKUP($A246,kurspris!$A$1:$Q$835,10,FALSE)</f>
        <v>0</v>
      </c>
      <c r="AL246" s="31">
        <f>VLOOKUP($A246,kurspris!$A$1:$Q$835,11,FALSE)</f>
        <v>0</v>
      </c>
      <c r="AM246" s="31">
        <f>VLOOKUP($A246,kurspris!$A$1:$Q$835,12,FALSE)</f>
        <v>0</v>
      </c>
      <c r="AN246" s="31">
        <f>VLOOKUP($A246,kurspris!$A$1:$Q$835,13,FALSE)</f>
        <v>0</v>
      </c>
      <c r="AO246" s="31">
        <f>VLOOKUP($A246,kurspris!$A$1:$Q$835,14,FALSE)</f>
        <v>0</v>
      </c>
      <c r="AP246" s="39" t="s">
        <v>2204</v>
      </c>
      <c r="AQ246"/>
      <c r="AR246" s="31">
        <f t="shared" si="89"/>
        <v>0</v>
      </c>
      <c r="AS246" s="255">
        <f t="shared" si="90"/>
        <v>0</v>
      </c>
      <c r="AT246" s="31">
        <f t="shared" si="91"/>
        <v>0</v>
      </c>
      <c r="AU246" s="255">
        <f t="shared" si="92"/>
        <v>0</v>
      </c>
      <c r="AV246" s="31">
        <f t="shared" si="93"/>
        <v>0</v>
      </c>
      <c r="AW246" s="31">
        <f t="shared" si="94"/>
        <v>0</v>
      </c>
      <c r="AX246" s="31">
        <f t="shared" si="95"/>
        <v>0</v>
      </c>
      <c r="AY246" s="255">
        <f t="shared" si="96"/>
        <v>0</v>
      </c>
      <c r="AZ246" s="232">
        <f t="shared" si="97"/>
        <v>0</v>
      </c>
      <c r="BA246" s="255">
        <f t="shared" si="98"/>
        <v>0</v>
      </c>
      <c r="BB246" s="31">
        <f t="shared" si="99"/>
        <v>0.25</v>
      </c>
      <c r="BC246" s="255">
        <f t="shared" si="100"/>
        <v>0.21249999999999999</v>
      </c>
      <c r="BD246" s="31">
        <f t="shared" si="101"/>
        <v>0</v>
      </c>
      <c r="BE246" s="255">
        <f t="shared" si="102"/>
        <v>0</v>
      </c>
      <c r="BF246" s="31">
        <f t="shared" si="103"/>
        <v>0</v>
      </c>
      <c r="BG246" s="255">
        <f t="shared" si="104"/>
        <v>0</v>
      </c>
      <c r="BH246" s="31">
        <f t="shared" si="105"/>
        <v>0</v>
      </c>
      <c r="BI246" s="255">
        <f t="shared" si="106"/>
        <v>0</v>
      </c>
      <c r="BJ246" s="31">
        <f t="shared" si="107"/>
        <v>0</v>
      </c>
      <c r="BK246" s="31">
        <f t="shared" si="108"/>
        <v>0</v>
      </c>
      <c r="BL246" s="255">
        <f t="shared" si="109"/>
        <v>0</v>
      </c>
      <c r="BM246" s="31">
        <f t="shared" si="110"/>
        <v>0</v>
      </c>
      <c r="BN246" s="255">
        <f t="shared" si="111"/>
        <v>0</v>
      </c>
    </row>
    <row r="247" spans="1:66" x14ac:dyDescent="0.25">
      <c r="A247" t="s">
        <v>1858</v>
      </c>
      <c r="B247" s="186" t="str">
        <f>VLOOKUP(A247,kurspris!$A$1:$B$877,2,FALSE)</f>
        <v>Processer i naturen</v>
      </c>
      <c r="C247"/>
      <c r="D247" t="s">
        <v>483</v>
      </c>
      <c r="E247" t="s">
        <v>1788</v>
      </c>
      <c r="F247" s="59" t="s">
        <v>1930</v>
      </c>
      <c r="G247" t="s">
        <v>1936</v>
      </c>
      <c r="H247" t="s">
        <v>1910</v>
      </c>
      <c r="I247"/>
      <c r="J247" t="s">
        <v>1813</v>
      </c>
      <c r="K247"/>
      <c r="L247">
        <v>100</v>
      </c>
      <c r="M247">
        <v>7.5</v>
      </c>
      <c r="N247"/>
      <c r="O247"/>
      <c r="P247" s="31">
        <v>2</v>
      </c>
      <c r="Q247" s="232">
        <f t="shared" si="84"/>
        <v>0.25</v>
      </c>
      <c r="R247" s="40">
        <v>0.85</v>
      </c>
      <c r="S247" s="334">
        <f t="shared" si="85"/>
        <v>0.21249999999999999</v>
      </c>
      <c r="T247" s="31">
        <f>VLOOKUP(A247,'Ansvar kurs'!$A$1:$C$1010,2,FALSE)</f>
        <v>5100</v>
      </c>
      <c r="U247" s="31" t="str">
        <f>VLOOKUP(T247,Orgenheter!$A$1:$C$165,2,FALSE)</f>
        <v>EMG</v>
      </c>
      <c r="V247" s="31" t="str">
        <f>VLOOKUP(T247,Orgenheter!$A$1:$C$165,3,FALSE)</f>
        <v>TekNat</v>
      </c>
      <c r="W247" s="37" t="str">
        <f>VLOOKUP(D247,Program!$A$1:$B$34,2,FALSE)</f>
        <v>Ämneslärarprogrammet - Gy</v>
      </c>
      <c r="X247" s="42">
        <f>VLOOKUP(A247,kurspris!$A$1:$Q$798,15,FALSE)</f>
        <v>19473</v>
      </c>
      <c r="Y247" s="42">
        <f>VLOOKUP(A247,kurspris!$A$1:$Q$798,16,FALSE)</f>
        <v>34806</v>
      </c>
      <c r="Z247" s="42">
        <f t="shared" si="86"/>
        <v>12264.525</v>
      </c>
      <c r="AA247" s="42">
        <f>VLOOKUP(A247,kurspris!$A$1:$Q$798,17,FALSE)</f>
        <v>21800</v>
      </c>
      <c r="AB247" s="42">
        <f t="shared" si="87"/>
        <v>5450</v>
      </c>
      <c r="AC247" s="42">
        <f t="shared" si="88"/>
        <v>17714.525000000001</v>
      </c>
      <c r="AD247" s="31">
        <f>VLOOKUP($A247,kurspris!$A$1:$Q$835,3,FALSE)</f>
        <v>0</v>
      </c>
      <c r="AE247" s="31">
        <f>VLOOKUP($A247,kurspris!$A$1:$Q$835,4,FALSE)</f>
        <v>0</v>
      </c>
      <c r="AF247" s="31">
        <f>VLOOKUP($A247,kurspris!$A$1:$Q$835,5,FALSE)</f>
        <v>0</v>
      </c>
      <c r="AG247" s="31">
        <f>VLOOKUP($A247,kurspris!$A$1:$Q$835,6,FALSE)</f>
        <v>0</v>
      </c>
      <c r="AH247" s="31">
        <f>VLOOKUP($A247,kurspris!$A$1:$Q$835,7,FALSE)</f>
        <v>0</v>
      </c>
      <c r="AI247" s="31">
        <f>VLOOKUP($A247,kurspris!$A$1:$Q$835,8,FALSE)</f>
        <v>1</v>
      </c>
      <c r="AJ247" s="31">
        <f>VLOOKUP($A247,kurspris!$A$1:$Q$835,9,FALSE)</f>
        <v>0</v>
      </c>
      <c r="AK247" s="31">
        <f>VLOOKUP($A247,kurspris!$A$1:$Q$835,10,FALSE)</f>
        <v>0</v>
      </c>
      <c r="AL247" s="31">
        <f>VLOOKUP($A247,kurspris!$A$1:$Q$835,11,FALSE)</f>
        <v>0</v>
      </c>
      <c r="AM247" s="31">
        <f>VLOOKUP($A247,kurspris!$A$1:$Q$835,12,FALSE)</f>
        <v>0</v>
      </c>
      <c r="AN247" s="31">
        <f>VLOOKUP($A247,kurspris!$A$1:$Q$835,13,FALSE)</f>
        <v>0</v>
      </c>
      <c r="AO247" s="31">
        <f>VLOOKUP($A247,kurspris!$A$1:$Q$835,14,FALSE)</f>
        <v>0</v>
      </c>
      <c r="AP247" s="39" t="s">
        <v>2204</v>
      </c>
      <c r="AQ247"/>
      <c r="AR247" s="31">
        <f t="shared" si="89"/>
        <v>0</v>
      </c>
      <c r="AS247" s="255">
        <f t="shared" si="90"/>
        <v>0</v>
      </c>
      <c r="AT247" s="31">
        <f t="shared" si="91"/>
        <v>0</v>
      </c>
      <c r="AU247" s="255">
        <f t="shared" si="92"/>
        <v>0</v>
      </c>
      <c r="AV247" s="31">
        <f t="shared" si="93"/>
        <v>0</v>
      </c>
      <c r="AW247" s="31">
        <f t="shared" si="94"/>
        <v>0</v>
      </c>
      <c r="AX247" s="31">
        <f t="shared" si="95"/>
        <v>0</v>
      </c>
      <c r="AY247" s="255">
        <f t="shared" si="96"/>
        <v>0</v>
      </c>
      <c r="AZ247" s="232">
        <f t="shared" si="97"/>
        <v>0</v>
      </c>
      <c r="BA247" s="255">
        <f t="shared" si="98"/>
        <v>0</v>
      </c>
      <c r="BB247" s="31">
        <f t="shared" si="99"/>
        <v>0.25</v>
      </c>
      <c r="BC247" s="255">
        <f t="shared" si="100"/>
        <v>0.21249999999999999</v>
      </c>
      <c r="BD247" s="31">
        <f t="shared" si="101"/>
        <v>0</v>
      </c>
      <c r="BE247" s="255">
        <f t="shared" si="102"/>
        <v>0</v>
      </c>
      <c r="BF247" s="31">
        <f t="shared" si="103"/>
        <v>0</v>
      </c>
      <c r="BG247" s="255">
        <f t="shared" si="104"/>
        <v>0</v>
      </c>
      <c r="BH247" s="31">
        <f t="shared" si="105"/>
        <v>0</v>
      </c>
      <c r="BI247" s="255">
        <f t="shared" si="106"/>
        <v>0</v>
      </c>
      <c r="BJ247" s="31">
        <f t="shared" si="107"/>
        <v>0</v>
      </c>
      <c r="BK247" s="31">
        <f t="shared" si="108"/>
        <v>0</v>
      </c>
      <c r="BL247" s="255">
        <f t="shared" si="109"/>
        <v>0</v>
      </c>
      <c r="BM247" s="31">
        <f t="shared" si="110"/>
        <v>0</v>
      </c>
      <c r="BN247" s="255">
        <f t="shared" si="111"/>
        <v>0</v>
      </c>
    </row>
    <row r="248" spans="1:66" x14ac:dyDescent="0.25">
      <c r="A248" s="18" t="s">
        <v>1958</v>
      </c>
      <c r="B248" s="186" t="str">
        <f>VLOOKUP(A248,kurspris!$A$1:$B$877,2,FALSE)</f>
        <v>Klimatförändringar</v>
      </c>
      <c r="C248" s="37"/>
      <c r="D248" s="31" t="s">
        <v>483</v>
      </c>
      <c r="E248" s="31" t="s">
        <v>1975</v>
      </c>
      <c r="F248" s="59" t="s">
        <v>1931</v>
      </c>
      <c r="G248" s="31" t="s">
        <v>2277</v>
      </c>
      <c r="J248" t="s">
        <v>771</v>
      </c>
      <c r="L248" s="31">
        <v>100</v>
      </c>
      <c r="M248" s="31">
        <v>7.5</v>
      </c>
      <c r="P248" s="31">
        <v>1</v>
      </c>
      <c r="Q248" s="232">
        <f t="shared" si="84"/>
        <v>0.125</v>
      </c>
      <c r="R248" s="40">
        <v>0.85</v>
      </c>
      <c r="S248" s="334">
        <f t="shared" si="85"/>
        <v>0.10625</v>
      </c>
      <c r="T248" s="31">
        <f>VLOOKUP(A248,'Ansvar kurs'!$A$1:$C$1010,2,FALSE)</f>
        <v>5100</v>
      </c>
      <c r="U248" s="31" t="str">
        <f>VLOOKUP(T248,Orgenheter!$A$1:$C$165,2,FALSE)</f>
        <v>EMG</v>
      </c>
      <c r="V248" s="31" t="str">
        <f>VLOOKUP(T248,Orgenheter!$A$1:$C$165,3,FALSE)</f>
        <v>TekNat</v>
      </c>
      <c r="W248" s="37" t="str">
        <f>VLOOKUP(D248,Program!$A$1:$B$34,2,FALSE)</f>
        <v>Ämneslärarprogrammet - Gy</v>
      </c>
      <c r="X248" s="42">
        <f>VLOOKUP(A248,kurspris!$A$1:$Q$798,15,FALSE)</f>
        <v>19473</v>
      </c>
      <c r="Y248" s="42">
        <f>VLOOKUP(A248,kurspris!$A$1:$Q$798,16,FALSE)</f>
        <v>34806</v>
      </c>
      <c r="Z248" s="42">
        <f t="shared" si="86"/>
        <v>6132.2624999999998</v>
      </c>
      <c r="AA248" s="42">
        <f>VLOOKUP(A248,kurspris!$A$1:$Q$798,17,FALSE)</f>
        <v>21800</v>
      </c>
      <c r="AB248" s="42">
        <f t="shared" si="87"/>
        <v>2725</v>
      </c>
      <c r="AC248" s="42">
        <f t="shared" si="88"/>
        <v>8857.2625000000007</v>
      </c>
      <c r="AD248" s="31">
        <f>VLOOKUP($A248,kurspris!$A$1:$Q$835,3,FALSE)</f>
        <v>0</v>
      </c>
      <c r="AE248" s="31">
        <f>VLOOKUP($A248,kurspris!$A$1:$Q$835,4,FALSE)</f>
        <v>0</v>
      </c>
      <c r="AF248" s="31">
        <f>VLOOKUP($A248,kurspris!$A$1:$Q$835,5,FALSE)</f>
        <v>0</v>
      </c>
      <c r="AG248" s="31">
        <f>VLOOKUP($A248,kurspris!$A$1:$Q$835,6,FALSE)</f>
        <v>0</v>
      </c>
      <c r="AH248" s="31">
        <f>VLOOKUP($A248,kurspris!$A$1:$Q$835,7,FALSE)</f>
        <v>0</v>
      </c>
      <c r="AI248" s="31">
        <f>VLOOKUP($A248,kurspris!$A$1:$Q$835,8,FALSE)</f>
        <v>1</v>
      </c>
      <c r="AJ248" s="31">
        <f>VLOOKUP($A248,kurspris!$A$1:$Q$835,9,FALSE)</f>
        <v>0</v>
      </c>
      <c r="AK248" s="31">
        <f>VLOOKUP($A248,kurspris!$A$1:$Q$835,10,FALSE)</f>
        <v>0</v>
      </c>
      <c r="AL248" s="31">
        <f>VLOOKUP($A248,kurspris!$A$1:$Q$835,11,FALSE)</f>
        <v>0</v>
      </c>
      <c r="AM248" s="31">
        <f>VLOOKUP($A248,kurspris!$A$1:$Q$835,12,FALSE)</f>
        <v>0</v>
      </c>
      <c r="AN248" s="31">
        <f>VLOOKUP($A248,kurspris!$A$1:$Q$835,13,FALSE)</f>
        <v>0</v>
      </c>
      <c r="AO248" s="31">
        <f>VLOOKUP($A248,kurspris!$A$1:$Q$835,14,FALSE)</f>
        <v>0</v>
      </c>
      <c r="AP248" s="39" t="s">
        <v>2326</v>
      </c>
      <c r="AQ248"/>
      <c r="AR248" s="31">
        <f t="shared" si="89"/>
        <v>0</v>
      </c>
      <c r="AS248" s="255">
        <f t="shared" si="90"/>
        <v>0</v>
      </c>
      <c r="AT248" s="31">
        <f t="shared" si="91"/>
        <v>0</v>
      </c>
      <c r="AU248" s="255">
        <f t="shared" si="92"/>
        <v>0</v>
      </c>
      <c r="AV248" s="31">
        <f t="shared" si="93"/>
        <v>0</v>
      </c>
      <c r="AW248" s="31">
        <f t="shared" si="94"/>
        <v>0</v>
      </c>
      <c r="AX248" s="31">
        <f t="shared" si="95"/>
        <v>0</v>
      </c>
      <c r="AY248" s="255">
        <f t="shared" si="96"/>
        <v>0</v>
      </c>
      <c r="AZ248" s="232">
        <f t="shared" si="97"/>
        <v>0</v>
      </c>
      <c r="BA248" s="255">
        <f t="shared" si="98"/>
        <v>0</v>
      </c>
      <c r="BB248" s="31">
        <f t="shared" si="99"/>
        <v>0.125</v>
      </c>
      <c r="BC248" s="255">
        <f t="shared" si="100"/>
        <v>0.10625</v>
      </c>
      <c r="BD248" s="31">
        <f t="shared" si="101"/>
        <v>0</v>
      </c>
      <c r="BE248" s="255">
        <f t="shared" si="102"/>
        <v>0</v>
      </c>
      <c r="BF248" s="31">
        <f t="shared" si="103"/>
        <v>0</v>
      </c>
      <c r="BG248" s="255">
        <f t="shared" si="104"/>
        <v>0</v>
      </c>
      <c r="BH248" s="31">
        <f t="shared" si="105"/>
        <v>0</v>
      </c>
      <c r="BI248" s="255">
        <f t="shared" si="106"/>
        <v>0</v>
      </c>
      <c r="BJ248" s="31">
        <f t="shared" si="107"/>
        <v>0</v>
      </c>
      <c r="BK248" s="31">
        <f t="shared" si="108"/>
        <v>0</v>
      </c>
      <c r="BL248" s="255">
        <f t="shared" si="109"/>
        <v>0</v>
      </c>
      <c r="BM248" s="31">
        <f t="shared" si="110"/>
        <v>0</v>
      </c>
      <c r="BN248" s="255">
        <f t="shared" si="111"/>
        <v>0</v>
      </c>
    </row>
    <row r="249" spans="1:66" x14ac:dyDescent="0.25">
      <c r="A249" s="18" t="s">
        <v>1958</v>
      </c>
      <c r="B249" s="186" t="str">
        <f>VLOOKUP(A249,kurspris!$A$1:$B$877,2,FALSE)</f>
        <v>Klimatförändringar</v>
      </c>
      <c r="C249" s="37"/>
      <c r="D249" s="31" t="s">
        <v>483</v>
      </c>
      <c r="E249" s="31" t="s">
        <v>1973</v>
      </c>
      <c r="F249" s="59" t="s">
        <v>1931</v>
      </c>
      <c r="G249" s="31" t="s">
        <v>2277</v>
      </c>
      <c r="J249" t="s">
        <v>773</v>
      </c>
      <c r="L249" s="31">
        <v>100</v>
      </c>
      <c r="M249" s="31">
        <v>7.5</v>
      </c>
      <c r="P249" s="31">
        <v>3</v>
      </c>
      <c r="Q249" s="232">
        <f t="shared" si="84"/>
        <v>0.375</v>
      </c>
      <c r="R249" s="40">
        <v>0.85</v>
      </c>
      <c r="S249" s="334">
        <f t="shared" si="85"/>
        <v>0.31874999999999998</v>
      </c>
      <c r="T249" s="31">
        <f>VLOOKUP(A249,'Ansvar kurs'!$A$1:$C$1010,2,FALSE)</f>
        <v>5100</v>
      </c>
      <c r="U249" s="31" t="str">
        <f>VLOOKUP(T249,Orgenheter!$A$1:$C$165,2,FALSE)</f>
        <v>EMG</v>
      </c>
      <c r="V249" s="31" t="str">
        <f>VLOOKUP(T249,Orgenheter!$A$1:$C$165,3,FALSE)</f>
        <v>TekNat</v>
      </c>
      <c r="W249" s="37" t="str">
        <f>VLOOKUP(D249,Program!$A$1:$B$34,2,FALSE)</f>
        <v>Ämneslärarprogrammet - Gy</v>
      </c>
      <c r="X249" s="42">
        <f>VLOOKUP(A249,kurspris!$A$1:$Q$798,15,FALSE)</f>
        <v>19473</v>
      </c>
      <c r="Y249" s="42">
        <f>VLOOKUP(A249,kurspris!$A$1:$Q$798,16,FALSE)</f>
        <v>34806</v>
      </c>
      <c r="Z249" s="42">
        <f t="shared" si="86"/>
        <v>18396.787499999999</v>
      </c>
      <c r="AA249" s="42">
        <f>VLOOKUP(A249,kurspris!$A$1:$Q$798,17,FALSE)</f>
        <v>21800</v>
      </c>
      <c r="AB249" s="42">
        <f t="shared" si="87"/>
        <v>8175</v>
      </c>
      <c r="AC249" s="42">
        <f t="shared" si="88"/>
        <v>26571.787499999999</v>
      </c>
      <c r="AD249" s="31">
        <f>VLOOKUP($A249,kurspris!$A$1:$Q$835,3,FALSE)</f>
        <v>0</v>
      </c>
      <c r="AE249" s="31">
        <f>VLOOKUP($A249,kurspris!$A$1:$Q$835,4,FALSE)</f>
        <v>0</v>
      </c>
      <c r="AF249" s="31">
        <f>VLOOKUP($A249,kurspris!$A$1:$Q$835,5,FALSE)</f>
        <v>0</v>
      </c>
      <c r="AG249" s="31">
        <f>VLOOKUP($A249,kurspris!$A$1:$Q$835,6,FALSE)</f>
        <v>0</v>
      </c>
      <c r="AH249" s="31">
        <f>VLOOKUP($A249,kurspris!$A$1:$Q$835,7,FALSE)</f>
        <v>0</v>
      </c>
      <c r="AI249" s="31">
        <f>VLOOKUP($A249,kurspris!$A$1:$Q$835,8,FALSE)</f>
        <v>1</v>
      </c>
      <c r="AJ249" s="31">
        <f>VLOOKUP($A249,kurspris!$A$1:$Q$835,9,FALSE)</f>
        <v>0</v>
      </c>
      <c r="AK249" s="31">
        <f>VLOOKUP($A249,kurspris!$A$1:$Q$835,10,FALSE)</f>
        <v>0</v>
      </c>
      <c r="AL249" s="31">
        <f>VLOOKUP($A249,kurspris!$A$1:$Q$835,11,FALSE)</f>
        <v>0</v>
      </c>
      <c r="AM249" s="31">
        <f>VLOOKUP($A249,kurspris!$A$1:$Q$835,12,FALSE)</f>
        <v>0</v>
      </c>
      <c r="AN249" s="31">
        <f>VLOOKUP($A249,kurspris!$A$1:$Q$835,13,FALSE)</f>
        <v>0</v>
      </c>
      <c r="AO249" s="31">
        <f>VLOOKUP($A249,kurspris!$A$1:$Q$835,14,FALSE)</f>
        <v>0</v>
      </c>
      <c r="AP249" s="39" t="s">
        <v>2326</v>
      </c>
      <c r="AQ249"/>
      <c r="AR249" s="31">
        <f t="shared" si="89"/>
        <v>0</v>
      </c>
      <c r="AS249" s="255">
        <f t="shared" si="90"/>
        <v>0</v>
      </c>
      <c r="AT249" s="31">
        <f t="shared" si="91"/>
        <v>0</v>
      </c>
      <c r="AU249" s="255">
        <f t="shared" si="92"/>
        <v>0</v>
      </c>
      <c r="AV249" s="31">
        <f t="shared" si="93"/>
        <v>0</v>
      </c>
      <c r="AW249" s="31">
        <f t="shared" si="94"/>
        <v>0</v>
      </c>
      <c r="AX249" s="31">
        <f t="shared" si="95"/>
        <v>0</v>
      </c>
      <c r="AY249" s="255">
        <f t="shared" si="96"/>
        <v>0</v>
      </c>
      <c r="AZ249" s="232">
        <f t="shared" si="97"/>
        <v>0</v>
      </c>
      <c r="BA249" s="255">
        <f t="shared" si="98"/>
        <v>0</v>
      </c>
      <c r="BB249" s="31">
        <f t="shared" si="99"/>
        <v>0.375</v>
      </c>
      <c r="BC249" s="255">
        <f t="shared" si="100"/>
        <v>0.31874999999999998</v>
      </c>
      <c r="BD249" s="31">
        <f t="shared" si="101"/>
        <v>0</v>
      </c>
      <c r="BE249" s="255">
        <f t="shared" si="102"/>
        <v>0</v>
      </c>
      <c r="BF249" s="31">
        <f t="shared" si="103"/>
        <v>0</v>
      </c>
      <c r="BG249" s="255">
        <f t="shared" si="104"/>
        <v>0</v>
      </c>
      <c r="BH249" s="31">
        <f t="shared" si="105"/>
        <v>0</v>
      </c>
      <c r="BI249" s="255">
        <f t="shared" si="106"/>
        <v>0</v>
      </c>
      <c r="BJ249" s="31">
        <f t="shared" si="107"/>
        <v>0</v>
      </c>
      <c r="BK249" s="31">
        <f t="shared" si="108"/>
        <v>0</v>
      </c>
      <c r="BL249" s="255">
        <f t="shared" si="109"/>
        <v>0</v>
      </c>
      <c r="BM249" s="31">
        <f t="shared" si="110"/>
        <v>0</v>
      </c>
      <c r="BN249" s="255">
        <f t="shared" si="111"/>
        <v>0</v>
      </c>
    </row>
    <row r="250" spans="1:66" x14ac:dyDescent="0.25">
      <c r="A250" s="18" t="s">
        <v>1958</v>
      </c>
      <c r="B250" s="186" t="str">
        <f>VLOOKUP(A250,kurspris!$A$1:$B$877,2,FALSE)</f>
        <v>Klimatförändringar</v>
      </c>
      <c r="C250" s="37"/>
      <c r="D250" s="31" t="s">
        <v>483</v>
      </c>
      <c r="E250" s="31" t="s">
        <v>1973</v>
      </c>
      <c r="F250" s="59" t="s">
        <v>1931</v>
      </c>
      <c r="G250" s="31" t="s">
        <v>2277</v>
      </c>
      <c r="J250" t="s">
        <v>777</v>
      </c>
      <c r="L250" s="31">
        <v>100</v>
      </c>
      <c r="M250" s="31">
        <v>7.5</v>
      </c>
      <c r="P250" s="31">
        <v>2</v>
      </c>
      <c r="Q250" s="232">
        <f t="shared" si="84"/>
        <v>0.25</v>
      </c>
      <c r="R250" s="40">
        <v>0.85</v>
      </c>
      <c r="S250" s="334">
        <f t="shared" si="85"/>
        <v>0.21249999999999999</v>
      </c>
      <c r="T250" s="31">
        <f>VLOOKUP(A250,'Ansvar kurs'!$A$1:$C$1010,2,FALSE)</f>
        <v>5100</v>
      </c>
      <c r="U250" s="31" t="str">
        <f>VLOOKUP(T250,Orgenheter!$A$1:$C$165,2,FALSE)</f>
        <v>EMG</v>
      </c>
      <c r="V250" s="31" t="str">
        <f>VLOOKUP(T250,Orgenheter!$A$1:$C$165,3,FALSE)</f>
        <v>TekNat</v>
      </c>
      <c r="W250" s="37" t="str">
        <f>VLOOKUP(D250,Program!$A$1:$B$34,2,FALSE)</f>
        <v>Ämneslärarprogrammet - Gy</v>
      </c>
      <c r="X250" s="42">
        <f>VLOOKUP(A250,kurspris!$A$1:$Q$798,15,FALSE)</f>
        <v>19473</v>
      </c>
      <c r="Y250" s="42">
        <f>VLOOKUP(A250,kurspris!$A$1:$Q$798,16,FALSE)</f>
        <v>34806</v>
      </c>
      <c r="Z250" s="42">
        <f t="shared" si="86"/>
        <v>12264.525</v>
      </c>
      <c r="AA250" s="42">
        <f>VLOOKUP(A250,kurspris!$A$1:$Q$798,17,FALSE)</f>
        <v>21800</v>
      </c>
      <c r="AB250" s="42">
        <f t="shared" si="87"/>
        <v>5450</v>
      </c>
      <c r="AC250" s="42">
        <f t="shared" si="88"/>
        <v>17714.525000000001</v>
      </c>
      <c r="AD250" s="31">
        <f>VLOOKUP($A250,kurspris!$A$1:$Q$835,3,FALSE)</f>
        <v>0</v>
      </c>
      <c r="AE250" s="31">
        <f>VLOOKUP($A250,kurspris!$A$1:$Q$835,4,FALSE)</f>
        <v>0</v>
      </c>
      <c r="AF250" s="31">
        <f>VLOOKUP($A250,kurspris!$A$1:$Q$835,5,FALSE)</f>
        <v>0</v>
      </c>
      <c r="AG250" s="31">
        <f>VLOOKUP($A250,kurspris!$A$1:$Q$835,6,FALSE)</f>
        <v>0</v>
      </c>
      <c r="AH250" s="31">
        <f>VLOOKUP($A250,kurspris!$A$1:$Q$835,7,FALSE)</f>
        <v>0</v>
      </c>
      <c r="AI250" s="31">
        <f>VLOOKUP($A250,kurspris!$A$1:$Q$835,8,FALSE)</f>
        <v>1</v>
      </c>
      <c r="AJ250" s="31">
        <f>VLOOKUP($A250,kurspris!$A$1:$Q$835,9,FALSE)</f>
        <v>0</v>
      </c>
      <c r="AK250" s="31">
        <f>VLOOKUP($A250,kurspris!$A$1:$Q$835,10,FALSE)</f>
        <v>0</v>
      </c>
      <c r="AL250" s="31">
        <f>VLOOKUP($A250,kurspris!$A$1:$Q$835,11,FALSE)</f>
        <v>0</v>
      </c>
      <c r="AM250" s="31">
        <f>VLOOKUP($A250,kurspris!$A$1:$Q$835,12,FALSE)</f>
        <v>0</v>
      </c>
      <c r="AN250" s="31">
        <f>VLOOKUP($A250,kurspris!$A$1:$Q$835,13,FALSE)</f>
        <v>0</v>
      </c>
      <c r="AO250" s="31">
        <f>VLOOKUP($A250,kurspris!$A$1:$Q$835,14,FALSE)</f>
        <v>0</v>
      </c>
      <c r="AP250" s="39" t="s">
        <v>2326</v>
      </c>
      <c r="AQ250"/>
      <c r="AR250" s="31">
        <f t="shared" si="89"/>
        <v>0</v>
      </c>
      <c r="AS250" s="255">
        <f t="shared" si="90"/>
        <v>0</v>
      </c>
      <c r="AT250" s="31">
        <f t="shared" si="91"/>
        <v>0</v>
      </c>
      <c r="AU250" s="255">
        <f t="shared" si="92"/>
        <v>0</v>
      </c>
      <c r="AV250" s="31">
        <f t="shared" si="93"/>
        <v>0</v>
      </c>
      <c r="AW250" s="31">
        <f t="shared" si="94"/>
        <v>0</v>
      </c>
      <c r="AX250" s="31">
        <f t="shared" si="95"/>
        <v>0</v>
      </c>
      <c r="AY250" s="255">
        <f t="shared" si="96"/>
        <v>0</v>
      </c>
      <c r="AZ250" s="232">
        <f t="shared" si="97"/>
        <v>0</v>
      </c>
      <c r="BA250" s="255">
        <f t="shared" si="98"/>
        <v>0</v>
      </c>
      <c r="BB250" s="31">
        <f t="shared" si="99"/>
        <v>0.25</v>
      </c>
      <c r="BC250" s="255">
        <f t="shared" si="100"/>
        <v>0.21249999999999999</v>
      </c>
      <c r="BD250" s="31">
        <f t="shared" si="101"/>
        <v>0</v>
      </c>
      <c r="BE250" s="255">
        <f t="shared" si="102"/>
        <v>0</v>
      </c>
      <c r="BF250" s="31">
        <f t="shared" si="103"/>
        <v>0</v>
      </c>
      <c r="BG250" s="255">
        <f t="shared" si="104"/>
        <v>0</v>
      </c>
      <c r="BH250" s="31">
        <f t="shared" si="105"/>
        <v>0</v>
      </c>
      <c r="BI250" s="255">
        <f t="shared" si="106"/>
        <v>0</v>
      </c>
      <c r="BJ250" s="31">
        <f t="shared" si="107"/>
        <v>0</v>
      </c>
      <c r="BK250" s="31">
        <f t="shared" si="108"/>
        <v>0</v>
      </c>
      <c r="BL250" s="255">
        <f t="shared" si="109"/>
        <v>0</v>
      </c>
      <c r="BM250" s="31">
        <f t="shared" si="110"/>
        <v>0</v>
      </c>
      <c r="BN250" s="255">
        <f t="shared" si="111"/>
        <v>0</v>
      </c>
    </row>
    <row r="251" spans="1:66" x14ac:dyDescent="0.25">
      <c r="A251" s="18" t="s">
        <v>1958</v>
      </c>
      <c r="B251" s="186" t="str">
        <f>VLOOKUP(A251,kurspris!$A$1:$B$877,2,FALSE)</f>
        <v>Klimatförändringar</v>
      </c>
      <c r="C251" s="37"/>
      <c r="D251" s="31" t="s">
        <v>483</v>
      </c>
      <c r="E251" s="31" t="s">
        <v>1788</v>
      </c>
      <c r="F251" s="59" t="s">
        <v>1931</v>
      </c>
      <c r="G251" s="31" t="s">
        <v>2277</v>
      </c>
      <c r="J251" t="s">
        <v>1813</v>
      </c>
      <c r="L251" s="31">
        <v>100</v>
      </c>
      <c r="M251" s="31">
        <v>7.5</v>
      </c>
      <c r="P251" s="31">
        <v>2</v>
      </c>
      <c r="Q251" s="232">
        <f t="shared" si="84"/>
        <v>0.25</v>
      </c>
      <c r="R251" s="40">
        <v>0.85</v>
      </c>
      <c r="S251" s="334">
        <f t="shared" si="85"/>
        <v>0.21249999999999999</v>
      </c>
      <c r="T251" s="31">
        <f>VLOOKUP(A251,'Ansvar kurs'!$A$1:$C$1010,2,FALSE)</f>
        <v>5100</v>
      </c>
      <c r="U251" s="31" t="str">
        <f>VLOOKUP(T251,Orgenheter!$A$1:$C$165,2,FALSE)</f>
        <v>EMG</v>
      </c>
      <c r="V251" s="31" t="str">
        <f>VLOOKUP(T251,Orgenheter!$A$1:$C$165,3,FALSE)</f>
        <v>TekNat</v>
      </c>
      <c r="W251" s="37" t="str">
        <f>VLOOKUP(D251,Program!$A$1:$B$34,2,FALSE)</f>
        <v>Ämneslärarprogrammet - Gy</v>
      </c>
      <c r="X251" s="42">
        <f>VLOOKUP(A251,kurspris!$A$1:$Q$798,15,FALSE)</f>
        <v>19473</v>
      </c>
      <c r="Y251" s="42">
        <f>VLOOKUP(A251,kurspris!$A$1:$Q$798,16,FALSE)</f>
        <v>34806</v>
      </c>
      <c r="Z251" s="42">
        <f t="shared" si="86"/>
        <v>12264.525</v>
      </c>
      <c r="AA251" s="42">
        <f>VLOOKUP(A251,kurspris!$A$1:$Q$798,17,FALSE)</f>
        <v>21800</v>
      </c>
      <c r="AB251" s="42">
        <f t="shared" si="87"/>
        <v>5450</v>
      </c>
      <c r="AC251" s="42">
        <f t="shared" si="88"/>
        <v>17714.525000000001</v>
      </c>
      <c r="AD251" s="31">
        <f>VLOOKUP($A251,kurspris!$A$1:$Q$835,3,FALSE)</f>
        <v>0</v>
      </c>
      <c r="AE251" s="31">
        <f>VLOOKUP($A251,kurspris!$A$1:$Q$835,4,FALSE)</f>
        <v>0</v>
      </c>
      <c r="AF251" s="31">
        <f>VLOOKUP($A251,kurspris!$A$1:$Q$835,5,FALSE)</f>
        <v>0</v>
      </c>
      <c r="AG251" s="31">
        <f>VLOOKUP($A251,kurspris!$A$1:$Q$835,6,FALSE)</f>
        <v>0</v>
      </c>
      <c r="AH251" s="31">
        <f>VLOOKUP($A251,kurspris!$A$1:$Q$835,7,FALSE)</f>
        <v>0</v>
      </c>
      <c r="AI251" s="31">
        <f>VLOOKUP($A251,kurspris!$A$1:$Q$835,8,FALSE)</f>
        <v>1</v>
      </c>
      <c r="AJ251" s="31">
        <f>VLOOKUP($A251,kurspris!$A$1:$Q$835,9,FALSE)</f>
        <v>0</v>
      </c>
      <c r="AK251" s="31">
        <f>VLOOKUP($A251,kurspris!$A$1:$Q$835,10,FALSE)</f>
        <v>0</v>
      </c>
      <c r="AL251" s="31">
        <f>VLOOKUP($A251,kurspris!$A$1:$Q$835,11,FALSE)</f>
        <v>0</v>
      </c>
      <c r="AM251" s="31">
        <f>VLOOKUP($A251,kurspris!$A$1:$Q$835,12,FALSE)</f>
        <v>0</v>
      </c>
      <c r="AN251" s="31">
        <f>VLOOKUP($A251,kurspris!$A$1:$Q$835,13,FALSE)</f>
        <v>0</v>
      </c>
      <c r="AO251" s="31">
        <f>VLOOKUP($A251,kurspris!$A$1:$Q$835,14,FALSE)</f>
        <v>0</v>
      </c>
      <c r="AP251" s="39" t="s">
        <v>2326</v>
      </c>
      <c r="AQ251"/>
      <c r="AR251" s="31">
        <f t="shared" si="89"/>
        <v>0</v>
      </c>
      <c r="AS251" s="255">
        <f t="shared" si="90"/>
        <v>0</v>
      </c>
      <c r="AT251" s="31">
        <f t="shared" si="91"/>
        <v>0</v>
      </c>
      <c r="AU251" s="255">
        <f t="shared" si="92"/>
        <v>0</v>
      </c>
      <c r="AV251" s="31">
        <f t="shared" si="93"/>
        <v>0</v>
      </c>
      <c r="AW251" s="31">
        <f t="shared" si="94"/>
        <v>0</v>
      </c>
      <c r="AX251" s="31">
        <f t="shared" si="95"/>
        <v>0</v>
      </c>
      <c r="AY251" s="255">
        <f t="shared" si="96"/>
        <v>0</v>
      </c>
      <c r="AZ251" s="232">
        <f t="shared" si="97"/>
        <v>0</v>
      </c>
      <c r="BA251" s="255">
        <f t="shared" si="98"/>
        <v>0</v>
      </c>
      <c r="BB251" s="31">
        <f t="shared" si="99"/>
        <v>0.25</v>
      </c>
      <c r="BC251" s="255">
        <f t="shared" si="100"/>
        <v>0.21249999999999999</v>
      </c>
      <c r="BD251" s="31">
        <f t="shared" si="101"/>
        <v>0</v>
      </c>
      <c r="BE251" s="255">
        <f t="shared" si="102"/>
        <v>0</v>
      </c>
      <c r="BF251" s="31">
        <f t="shared" si="103"/>
        <v>0</v>
      </c>
      <c r="BG251" s="255">
        <f t="shared" si="104"/>
        <v>0</v>
      </c>
      <c r="BH251" s="31">
        <f t="shared" si="105"/>
        <v>0</v>
      </c>
      <c r="BI251" s="255">
        <f t="shared" si="106"/>
        <v>0</v>
      </c>
      <c r="BJ251" s="31">
        <f t="shared" si="107"/>
        <v>0</v>
      </c>
      <c r="BK251" s="31">
        <f t="shared" si="108"/>
        <v>0</v>
      </c>
      <c r="BL251" s="255">
        <f t="shared" si="109"/>
        <v>0</v>
      </c>
      <c r="BM251" s="31">
        <f t="shared" si="110"/>
        <v>0</v>
      </c>
      <c r="BN251" s="255">
        <f t="shared" si="111"/>
        <v>0</v>
      </c>
    </row>
    <row r="252" spans="1:66" x14ac:dyDescent="0.25">
      <c r="A252" t="s">
        <v>2110</v>
      </c>
      <c r="B252" s="186" t="str">
        <f>VLOOKUP(A252,kurspris!$A$1:$B$877,2,FALSE)</f>
        <v>Vetenskapliga metoder i geografi</v>
      </c>
      <c r="C252"/>
      <c r="D252" t="s">
        <v>483</v>
      </c>
      <c r="E252" t="s">
        <v>1976</v>
      </c>
      <c r="F252" s="59" t="s">
        <v>1930</v>
      </c>
      <c r="G252" t="s">
        <v>1932</v>
      </c>
      <c r="H252" t="s">
        <v>1910</v>
      </c>
      <c r="I252"/>
      <c r="J252" t="s">
        <v>772</v>
      </c>
      <c r="K252"/>
      <c r="L252">
        <v>100</v>
      </c>
      <c r="M252">
        <v>7.5</v>
      </c>
      <c r="N252"/>
      <c r="O252"/>
      <c r="P252" s="31">
        <v>2</v>
      </c>
      <c r="Q252" s="232">
        <f t="shared" si="84"/>
        <v>0.25</v>
      </c>
      <c r="R252" s="40">
        <v>0.85</v>
      </c>
      <c r="S252" s="334">
        <f t="shared" si="85"/>
        <v>0.21249999999999999</v>
      </c>
      <c r="T252" s="31">
        <f>VLOOKUP(A252,'Ansvar kurs'!$A$1:$C$1010,2,FALSE)</f>
        <v>5100</v>
      </c>
      <c r="U252" s="31" t="str">
        <f>VLOOKUP(T252,Orgenheter!$A$1:$C$165,2,FALSE)</f>
        <v>EMG</v>
      </c>
      <c r="V252" s="31" t="str">
        <f>VLOOKUP(T252,Orgenheter!$A$1:$C$165,3,FALSE)</f>
        <v>TekNat</v>
      </c>
      <c r="W252" s="37" t="str">
        <f>VLOOKUP(D252,Program!$A$1:$B$34,2,FALSE)</f>
        <v>Ämneslärarprogrammet - Gy</v>
      </c>
      <c r="X252" s="42">
        <f>VLOOKUP(A252,kurspris!$A$1:$Q$798,15,FALSE)</f>
        <v>19473</v>
      </c>
      <c r="Y252" s="42">
        <f>VLOOKUP(A252,kurspris!$A$1:$Q$798,16,FALSE)</f>
        <v>34806</v>
      </c>
      <c r="Z252" s="42">
        <f t="shared" si="86"/>
        <v>12264.525</v>
      </c>
      <c r="AA252" s="42">
        <f>VLOOKUP(A252,kurspris!$A$1:$Q$798,17,FALSE)</f>
        <v>21800</v>
      </c>
      <c r="AB252" s="42">
        <f t="shared" si="87"/>
        <v>5450</v>
      </c>
      <c r="AC252" s="42">
        <f t="shared" si="88"/>
        <v>17714.525000000001</v>
      </c>
      <c r="AD252" s="31">
        <f>VLOOKUP($A252,kurspris!$A$1:$Q$835,3,FALSE)</f>
        <v>0</v>
      </c>
      <c r="AE252" s="31">
        <f>VLOOKUP($A252,kurspris!$A$1:$Q$835,4,FALSE)</f>
        <v>0</v>
      </c>
      <c r="AF252" s="31">
        <f>VLOOKUP($A252,kurspris!$A$1:$Q$835,5,FALSE)</f>
        <v>0</v>
      </c>
      <c r="AG252" s="31">
        <f>VLOOKUP($A252,kurspris!$A$1:$Q$835,6,FALSE)</f>
        <v>0</v>
      </c>
      <c r="AH252" s="31">
        <f>VLOOKUP($A252,kurspris!$A$1:$Q$835,7,FALSE)</f>
        <v>0</v>
      </c>
      <c r="AI252" s="31">
        <f>VLOOKUP($A252,kurspris!$A$1:$Q$835,8,FALSE)</f>
        <v>1</v>
      </c>
      <c r="AJ252" s="31">
        <f>VLOOKUP($A252,kurspris!$A$1:$Q$835,9,FALSE)</f>
        <v>0</v>
      </c>
      <c r="AK252" s="31">
        <f>VLOOKUP($A252,kurspris!$A$1:$Q$835,10,FALSE)</f>
        <v>0</v>
      </c>
      <c r="AL252" s="31">
        <f>VLOOKUP($A252,kurspris!$A$1:$Q$835,11,FALSE)</f>
        <v>0</v>
      </c>
      <c r="AM252" s="31">
        <f>VLOOKUP($A252,kurspris!$A$1:$Q$835,12,FALSE)</f>
        <v>0</v>
      </c>
      <c r="AN252" s="31">
        <f>VLOOKUP($A252,kurspris!$A$1:$Q$835,13,FALSE)</f>
        <v>0</v>
      </c>
      <c r="AO252" s="31">
        <f>VLOOKUP($A252,kurspris!$A$1:$Q$835,14,FALSE)</f>
        <v>0</v>
      </c>
      <c r="AP252" s="39" t="s">
        <v>2232</v>
      </c>
      <c r="AQ252"/>
      <c r="AR252" s="31">
        <f t="shared" si="89"/>
        <v>0</v>
      </c>
      <c r="AS252" s="255">
        <f t="shared" si="90"/>
        <v>0</v>
      </c>
      <c r="AT252" s="31">
        <f t="shared" si="91"/>
        <v>0</v>
      </c>
      <c r="AU252" s="255">
        <f t="shared" si="92"/>
        <v>0</v>
      </c>
      <c r="AV252" s="31">
        <f t="shared" si="93"/>
        <v>0</v>
      </c>
      <c r="AW252" s="31">
        <f t="shared" si="94"/>
        <v>0</v>
      </c>
      <c r="AX252" s="31">
        <f t="shared" si="95"/>
        <v>0</v>
      </c>
      <c r="AY252" s="255">
        <f t="shared" si="96"/>
        <v>0</v>
      </c>
      <c r="AZ252" s="232">
        <f t="shared" si="97"/>
        <v>0</v>
      </c>
      <c r="BA252" s="255">
        <f t="shared" si="98"/>
        <v>0</v>
      </c>
      <c r="BB252" s="31">
        <f t="shared" si="99"/>
        <v>0.25</v>
      </c>
      <c r="BC252" s="255">
        <f t="shared" si="100"/>
        <v>0.21249999999999999</v>
      </c>
      <c r="BD252" s="31">
        <f t="shared" si="101"/>
        <v>0</v>
      </c>
      <c r="BE252" s="255">
        <f t="shared" si="102"/>
        <v>0</v>
      </c>
      <c r="BF252" s="31">
        <f t="shared" si="103"/>
        <v>0</v>
      </c>
      <c r="BG252" s="255">
        <f t="shared" si="104"/>
        <v>0</v>
      </c>
      <c r="BH252" s="31">
        <f t="shared" si="105"/>
        <v>0</v>
      </c>
      <c r="BI252" s="255">
        <f t="shared" si="106"/>
        <v>0</v>
      </c>
      <c r="BJ252" s="31">
        <f t="shared" si="107"/>
        <v>0</v>
      </c>
      <c r="BK252" s="31">
        <f t="shared" si="108"/>
        <v>0</v>
      </c>
      <c r="BL252" s="255">
        <f t="shared" si="109"/>
        <v>0</v>
      </c>
      <c r="BM252" s="31">
        <f t="shared" si="110"/>
        <v>0</v>
      </c>
      <c r="BN252" s="255">
        <f t="shared" si="111"/>
        <v>0</v>
      </c>
    </row>
    <row r="253" spans="1:66" x14ac:dyDescent="0.25">
      <c r="A253" t="s">
        <v>2110</v>
      </c>
      <c r="B253" s="186" t="str">
        <f>VLOOKUP(A253,kurspris!$A$1:$B$877,2,FALSE)</f>
        <v>Vetenskapliga metoder i geografi</v>
      </c>
      <c r="C253"/>
      <c r="D253" t="s">
        <v>483</v>
      </c>
      <c r="E253" t="s">
        <v>1976</v>
      </c>
      <c r="F253" s="59" t="s">
        <v>1930</v>
      </c>
      <c r="G253" t="s">
        <v>1932</v>
      </c>
      <c r="H253" t="s">
        <v>1910</v>
      </c>
      <c r="I253"/>
      <c r="J253" t="s">
        <v>773</v>
      </c>
      <c r="K253"/>
      <c r="L253">
        <v>100</v>
      </c>
      <c r="M253">
        <v>7.5</v>
      </c>
      <c r="N253"/>
      <c r="O253"/>
      <c r="P253" s="31">
        <v>1</v>
      </c>
      <c r="Q253" s="232">
        <f t="shared" si="84"/>
        <v>0.125</v>
      </c>
      <c r="R253" s="40">
        <v>0.85</v>
      </c>
      <c r="S253" s="334">
        <f t="shared" si="85"/>
        <v>0.10625</v>
      </c>
      <c r="T253" s="31">
        <f>VLOOKUP(A253,'Ansvar kurs'!$A$1:$C$1010,2,FALSE)</f>
        <v>5100</v>
      </c>
      <c r="U253" s="31" t="str">
        <f>VLOOKUP(T253,Orgenheter!$A$1:$C$165,2,FALSE)</f>
        <v>EMG</v>
      </c>
      <c r="V253" s="31" t="str">
        <f>VLOOKUP(T253,Orgenheter!$A$1:$C$165,3,FALSE)</f>
        <v>TekNat</v>
      </c>
      <c r="W253" s="37" t="str">
        <f>VLOOKUP(D253,Program!$A$1:$B$34,2,FALSE)</f>
        <v>Ämneslärarprogrammet - Gy</v>
      </c>
      <c r="X253" s="42">
        <f>VLOOKUP(A253,kurspris!$A$1:$Q$798,15,FALSE)</f>
        <v>19473</v>
      </c>
      <c r="Y253" s="42">
        <f>VLOOKUP(A253,kurspris!$A$1:$Q$798,16,FALSE)</f>
        <v>34806</v>
      </c>
      <c r="Z253" s="42">
        <f t="shared" si="86"/>
        <v>6132.2624999999998</v>
      </c>
      <c r="AA253" s="42">
        <f>VLOOKUP(A253,kurspris!$A$1:$Q$798,17,FALSE)</f>
        <v>21800</v>
      </c>
      <c r="AB253" s="42">
        <f t="shared" si="87"/>
        <v>2725</v>
      </c>
      <c r="AC253" s="42">
        <f t="shared" si="88"/>
        <v>8857.2625000000007</v>
      </c>
      <c r="AD253" s="31">
        <f>VLOOKUP($A253,kurspris!$A$1:$Q$835,3,FALSE)</f>
        <v>0</v>
      </c>
      <c r="AE253" s="31">
        <f>VLOOKUP($A253,kurspris!$A$1:$Q$835,4,FALSE)</f>
        <v>0</v>
      </c>
      <c r="AF253" s="31">
        <f>VLOOKUP($A253,kurspris!$A$1:$Q$835,5,FALSE)</f>
        <v>0</v>
      </c>
      <c r="AG253" s="31">
        <f>VLOOKUP($A253,kurspris!$A$1:$Q$835,6,FALSE)</f>
        <v>0</v>
      </c>
      <c r="AH253" s="31">
        <f>VLOOKUP($A253,kurspris!$A$1:$Q$835,7,FALSE)</f>
        <v>0</v>
      </c>
      <c r="AI253" s="31">
        <f>VLOOKUP($A253,kurspris!$A$1:$Q$835,8,FALSE)</f>
        <v>1</v>
      </c>
      <c r="AJ253" s="31">
        <f>VLOOKUP($A253,kurspris!$A$1:$Q$835,9,FALSE)</f>
        <v>0</v>
      </c>
      <c r="AK253" s="31">
        <f>VLOOKUP($A253,kurspris!$A$1:$Q$835,10,FALSE)</f>
        <v>0</v>
      </c>
      <c r="AL253" s="31">
        <f>VLOOKUP($A253,kurspris!$A$1:$Q$835,11,FALSE)</f>
        <v>0</v>
      </c>
      <c r="AM253" s="31">
        <f>VLOOKUP($A253,kurspris!$A$1:$Q$835,12,FALSE)</f>
        <v>0</v>
      </c>
      <c r="AN253" s="31">
        <f>VLOOKUP($A253,kurspris!$A$1:$Q$835,13,FALSE)</f>
        <v>0</v>
      </c>
      <c r="AO253" s="31">
        <f>VLOOKUP($A253,kurspris!$A$1:$Q$835,14,FALSE)</f>
        <v>0</v>
      </c>
      <c r="AP253" s="39" t="s">
        <v>2232</v>
      </c>
      <c r="AQ253"/>
      <c r="AR253" s="31">
        <f t="shared" si="89"/>
        <v>0</v>
      </c>
      <c r="AS253" s="255">
        <f t="shared" si="90"/>
        <v>0</v>
      </c>
      <c r="AT253" s="31">
        <f t="shared" si="91"/>
        <v>0</v>
      </c>
      <c r="AU253" s="255">
        <f t="shared" si="92"/>
        <v>0</v>
      </c>
      <c r="AV253" s="31">
        <f t="shared" si="93"/>
        <v>0</v>
      </c>
      <c r="AW253" s="31">
        <f t="shared" si="94"/>
        <v>0</v>
      </c>
      <c r="AX253" s="31">
        <f t="shared" si="95"/>
        <v>0</v>
      </c>
      <c r="AY253" s="255">
        <f t="shared" si="96"/>
        <v>0</v>
      </c>
      <c r="AZ253" s="232">
        <f t="shared" si="97"/>
        <v>0</v>
      </c>
      <c r="BA253" s="255">
        <f t="shared" si="98"/>
        <v>0</v>
      </c>
      <c r="BB253" s="31">
        <f t="shared" si="99"/>
        <v>0.125</v>
      </c>
      <c r="BC253" s="255">
        <f t="shared" si="100"/>
        <v>0.10625</v>
      </c>
      <c r="BD253" s="31">
        <f t="shared" si="101"/>
        <v>0</v>
      </c>
      <c r="BE253" s="255">
        <f t="shared" si="102"/>
        <v>0</v>
      </c>
      <c r="BF253" s="31">
        <f t="shared" si="103"/>
        <v>0</v>
      </c>
      <c r="BG253" s="255">
        <f t="shared" si="104"/>
        <v>0</v>
      </c>
      <c r="BH253" s="31">
        <f t="shared" si="105"/>
        <v>0</v>
      </c>
      <c r="BI253" s="255">
        <f t="shared" si="106"/>
        <v>0</v>
      </c>
      <c r="BJ253" s="31">
        <f t="shared" si="107"/>
        <v>0</v>
      </c>
      <c r="BK253" s="31">
        <f t="shared" si="108"/>
        <v>0</v>
      </c>
      <c r="BL253" s="255">
        <f t="shared" si="109"/>
        <v>0</v>
      </c>
      <c r="BM253" s="31">
        <f t="shared" si="110"/>
        <v>0</v>
      </c>
      <c r="BN253" s="255">
        <f t="shared" si="111"/>
        <v>0</v>
      </c>
    </row>
    <row r="254" spans="1:66" x14ac:dyDescent="0.25">
      <c r="A254" t="s">
        <v>2110</v>
      </c>
      <c r="B254" s="186" t="str">
        <f>VLOOKUP(A254,kurspris!$A$1:$B$877,2,FALSE)</f>
        <v>Vetenskapliga metoder i geografi</v>
      </c>
      <c r="C254"/>
      <c r="D254" t="s">
        <v>483</v>
      </c>
      <c r="E254" t="s">
        <v>1609</v>
      </c>
      <c r="F254" s="59" t="s">
        <v>1930</v>
      </c>
      <c r="G254" t="s">
        <v>1932</v>
      </c>
      <c r="H254" t="s">
        <v>1910</v>
      </c>
      <c r="I254"/>
      <c r="J254" t="s">
        <v>1813</v>
      </c>
      <c r="K254"/>
      <c r="L254">
        <v>100</v>
      </c>
      <c r="M254">
        <v>7.5</v>
      </c>
      <c r="N254"/>
      <c r="O254"/>
      <c r="P254" s="31">
        <v>2</v>
      </c>
      <c r="Q254" s="232">
        <f t="shared" si="84"/>
        <v>0.25</v>
      </c>
      <c r="R254" s="40">
        <v>0.85</v>
      </c>
      <c r="S254" s="334">
        <f t="shared" si="85"/>
        <v>0.21249999999999999</v>
      </c>
      <c r="T254" s="31">
        <f>VLOOKUP(A254,'Ansvar kurs'!$A$1:$C$1010,2,FALSE)</f>
        <v>5100</v>
      </c>
      <c r="U254" s="31" t="str">
        <f>VLOOKUP(T254,Orgenheter!$A$1:$C$165,2,FALSE)</f>
        <v>EMG</v>
      </c>
      <c r="V254" s="31" t="str">
        <f>VLOOKUP(T254,Orgenheter!$A$1:$C$165,3,FALSE)</f>
        <v>TekNat</v>
      </c>
      <c r="W254" s="37" t="str">
        <f>VLOOKUP(D254,Program!$A$1:$B$34,2,FALSE)</f>
        <v>Ämneslärarprogrammet - Gy</v>
      </c>
      <c r="X254" s="42">
        <f>VLOOKUP(A254,kurspris!$A$1:$Q$798,15,FALSE)</f>
        <v>19473</v>
      </c>
      <c r="Y254" s="42">
        <f>VLOOKUP(A254,kurspris!$A$1:$Q$798,16,FALSE)</f>
        <v>34806</v>
      </c>
      <c r="Z254" s="42">
        <f t="shared" si="86"/>
        <v>12264.525</v>
      </c>
      <c r="AA254" s="42">
        <f>VLOOKUP(A254,kurspris!$A$1:$Q$798,17,FALSE)</f>
        <v>21800</v>
      </c>
      <c r="AB254" s="42">
        <f t="shared" si="87"/>
        <v>5450</v>
      </c>
      <c r="AC254" s="42">
        <f t="shared" si="88"/>
        <v>17714.525000000001</v>
      </c>
      <c r="AD254" s="31">
        <f>VLOOKUP($A254,kurspris!$A$1:$Q$835,3,FALSE)</f>
        <v>0</v>
      </c>
      <c r="AE254" s="31">
        <f>VLOOKUP($A254,kurspris!$A$1:$Q$835,4,FALSE)</f>
        <v>0</v>
      </c>
      <c r="AF254" s="31">
        <f>VLOOKUP($A254,kurspris!$A$1:$Q$835,5,FALSE)</f>
        <v>0</v>
      </c>
      <c r="AG254" s="31">
        <f>VLOOKUP($A254,kurspris!$A$1:$Q$835,6,FALSE)</f>
        <v>0</v>
      </c>
      <c r="AH254" s="31">
        <f>VLOOKUP($A254,kurspris!$A$1:$Q$835,7,FALSE)</f>
        <v>0</v>
      </c>
      <c r="AI254" s="31">
        <f>VLOOKUP($A254,kurspris!$A$1:$Q$835,8,FALSE)</f>
        <v>1</v>
      </c>
      <c r="AJ254" s="31">
        <f>VLOOKUP($A254,kurspris!$A$1:$Q$835,9,FALSE)</f>
        <v>0</v>
      </c>
      <c r="AK254" s="31">
        <f>VLOOKUP($A254,kurspris!$A$1:$Q$835,10,FALSE)</f>
        <v>0</v>
      </c>
      <c r="AL254" s="31">
        <f>VLOOKUP($A254,kurspris!$A$1:$Q$835,11,FALSE)</f>
        <v>0</v>
      </c>
      <c r="AM254" s="31">
        <f>VLOOKUP($A254,kurspris!$A$1:$Q$835,12,FALSE)</f>
        <v>0</v>
      </c>
      <c r="AN254" s="31">
        <f>VLOOKUP($A254,kurspris!$A$1:$Q$835,13,FALSE)</f>
        <v>0</v>
      </c>
      <c r="AO254" s="31">
        <f>VLOOKUP($A254,kurspris!$A$1:$Q$835,14,FALSE)</f>
        <v>0</v>
      </c>
      <c r="AP254" s="39" t="s">
        <v>2232</v>
      </c>
      <c r="AQ254"/>
      <c r="AR254" s="31">
        <f t="shared" si="89"/>
        <v>0</v>
      </c>
      <c r="AS254" s="255">
        <f t="shared" si="90"/>
        <v>0</v>
      </c>
      <c r="AT254" s="31">
        <f t="shared" si="91"/>
        <v>0</v>
      </c>
      <c r="AU254" s="255">
        <f t="shared" si="92"/>
        <v>0</v>
      </c>
      <c r="AV254" s="31">
        <f t="shared" si="93"/>
        <v>0</v>
      </c>
      <c r="AW254" s="31">
        <f t="shared" si="94"/>
        <v>0</v>
      </c>
      <c r="AX254" s="31">
        <f t="shared" si="95"/>
        <v>0</v>
      </c>
      <c r="AY254" s="255">
        <f t="shared" si="96"/>
        <v>0</v>
      </c>
      <c r="AZ254" s="232">
        <f t="shared" si="97"/>
        <v>0</v>
      </c>
      <c r="BA254" s="255">
        <f t="shared" si="98"/>
        <v>0</v>
      </c>
      <c r="BB254" s="31">
        <f t="shared" si="99"/>
        <v>0.25</v>
      </c>
      <c r="BC254" s="255">
        <f t="shared" si="100"/>
        <v>0.21249999999999999</v>
      </c>
      <c r="BD254" s="31">
        <f t="shared" si="101"/>
        <v>0</v>
      </c>
      <c r="BE254" s="255">
        <f t="shared" si="102"/>
        <v>0</v>
      </c>
      <c r="BF254" s="31">
        <f t="shared" si="103"/>
        <v>0</v>
      </c>
      <c r="BG254" s="255">
        <f t="shared" si="104"/>
        <v>0</v>
      </c>
      <c r="BH254" s="31">
        <f t="shared" si="105"/>
        <v>0</v>
      </c>
      <c r="BI254" s="255">
        <f t="shared" si="106"/>
        <v>0</v>
      </c>
      <c r="BJ254" s="31">
        <f t="shared" si="107"/>
        <v>0</v>
      </c>
      <c r="BK254" s="31">
        <f t="shared" si="108"/>
        <v>0</v>
      </c>
      <c r="BL254" s="255">
        <f t="shared" si="109"/>
        <v>0</v>
      </c>
      <c r="BM254" s="31">
        <f t="shared" si="110"/>
        <v>0</v>
      </c>
      <c r="BN254" s="255">
        <f t="shared" si="111"/>
        <v>0</v>
      </c>
    </row>
    <row r="255" spans="1:66" x14ac:dyDescent="0.25">
      <c r="A255" s="18" t="s">
        <v>610</v>
      </c>
      <c r="B255" s="186" t="str">
        <f>VLOOKUP(A255,kurspris!$A$1:$B$877,2,FALSE)</f>
        <v>Historia II forts.</v>
      </c>
      <c r="C255" s="37"/>
      <c r="D255" s="31" t="s">
        <v>483</v>
      </c>
      <c r="E255" s="31" t="s">
        <v>1973</v>
      </c>
      <c r="F255" s="59" t="s">
        <v>1931</v>
      </c>
      <c r="G255" s="31" t="s">
        <v>2276</v>
      </c>
      <c r="J255" t="s">
        <v>776</v>
      </c>
      <c r="L255" s="31">
        <v>100</v>
      </c>
      <c r="M255" s="31">
        <v>30</v>
      </c>
      <c r="P255" s="31">
        <v>1</v>
      </c>
      <c r="Q255" s="232">
        <f t="shared" si="84"/>
        <v>0.5</v>
      </c>
      <c r="R255" s="40">
        <v>0.85</v>
      </c>
      <c r="S255" s="334">
        <f t="shared" si="85"/>
        <v>0.42499999999999999</v>
      </c>
      <c r="T255" s="31">
        <f>VLOOKUP(A255,'Ansvar kurs'!$A$1:$C$1010,2,FALSE)</f>
        <v>1630</v>
      </c>
      <c r="U255" s="31" t="str">
        <f>VLOOKUP(T255,Orgenheter!$A$1:$C$165,2,FALSE)</f>
        <v>Inst för ide- o samhällsstudier</v>
      </c>
      <c r="V255" s="31" t="str">
        <f>VLOOKUP(T255,Orgenheter!$A$1:$C$165,3,FALSE)</f>
        <v>Hum</v>
      </c>
      <c r="W255" s="37" t="str">
        <f>VLOOKUP(D255,Program!$A$1:$B$34,2,FALSE)</f>
        <v>Ämneslärarprogrammet - Gy</v>
      </c>
      <c r="X255" s="42">
        <f>VLOOKUP(A255,kurspris!$A$1:$Q$798,15,FALSE)</f>
        <v>18405</v>
      </c>
      <c r="Y255" s="42">
        <f>VLOOKUP(A255,kurspris!$A$1:$Q$798,16,FALSE)</f>
        <v>15773</v>
      </c>
      <c r="Z255" s="42">
        <f t="shared" si="86"/>
        <v>15906.025</v>
      </c>
      <c r="AA255" s="42">
        <f>VLOOKUP(A255,kurspris!$A$1:$Q$798,17,FALSE)</f>
        <v>5800</v>
      </c>
      <c r="AB255" s="42">
        <f t="shared" si="87"/>
        <v>2900</v>
      </c>
      <c r="AC255" s="42">
        <f t="shared" si="88"/>
        <v>18806.025000000001</v>
      </c>
      <c r="AD255" s="31">
        <f>VLOOKUP($A255,kurspris!$A$1:$Q$835,3,FALSE)</f>
        <v>0</v>
      </c>
      <c r="AE255" s="31">
        <f>VLOOKUP($A255,kurspris!$A$1:$Q$835,4,FALSE)</f>
        <v>1</v>
      </c>
      <c r="AF255" s="31">
        <f>VLOOKUP($A255,kurspris!$A$1:$Q$835,5,FALSE)</f>
        <v>0</v>
      </c>
      <c r="AG255" s="31">
        <f>VLOOKUP($A255,kurspris!$A$1:$Q$835,6,FALSE)</f>
        <v>0</v>
      </c>
      <c r="AH255" s="31">
        <f>VLOOKUP($A255,kurspris!$A$1:$Q$835,7,FALSE)</f>
        <v>0</v>
      </c>
      <c r="AI255" s="31">
        <f>VLOOKUP($A255,kurspris!$A$1:$Q$835,8,FALSE)</f>
        <v>0</v>
      </c>
      <c r="AJ255" s="31">
        <f>VLOOKUP($A255,kurspris!$A$1:$Q$835,9,FALSE)</f>
        <v>0</v>
      </c>
      <c r="AK255" s="31">
        <f>VLOOKUP($A255,kurspris!$A$1:$Q$835,10,FALSE)</f>
        <v>0</v>
      </c>
      <c r="AL255" s="31">
        <f>VLOOKUP($A255,kurspris!$A$1:$Q$835,11,FALSE)</f>
        <v>0</v>
      </c>
      <c r="AM255" s="31">
        <f>VLOOKUP($A255,kurspris!$A$1:$Q$835,12,FALSE)</f>
        <v>0</v>
      </c>
      <c r="AN255" s="31">
        <f>VLOOKUP($A255,kurspris!$A$1:$Q$835,13,FALSE)</f>
        <v>0</v>
      </c>
      <c r="AO255" s="31">
        <f>VLOOKUP($A255,kurspris!$A$1:$Q$835,14,FALSE)</f>
        <v>0</v>
      </c>
      <c r="AP255" s="39" t="s">
        <v>2326</v>
      </c>
      <c r="AQ255"/>
      <c r="AR255" s="31">
        <f t="shared" si="89"/>
        <v>0</v>
      </c>
      <c r="AS255" s="255">
        <f t="shared" si="90"/>
        <v>0</v>
      </c>
      <c r="AT255" s="31">
        <f t="shared" si="91"/>
        <v>0.5</v>
      </c>
      <c r="AU255" s="255">
        <f t="shared" si="92"/>
        <v>0.42499999999999999</v>
      </c>
      <c r="AV255" s="31">
        <f t="shared" si="93"/>
        <v>0</v>
      </c>
      <c r="AW255" s="31">
        <f t="shared" si="94"/>
        <v>0</v>
      </c>
      <c r="AX255" s="31">
        <f t="shared" si="95"/>
        <v>0</v>
      </c>
      <c r="AY255" s="255">
        <f t="shared" si="96"/>
        <v>0</v>
      </c>
      <c r="AZ255" s="232">
        <f t="shared" si="97"/>
        <v>0</v>
      </c>
      <c r="BA255" s="255">
        <f t="shared" si="98"/>
        <v>0</v>
      </c>
      <c r="BB255" s="31">
        <f t="shared" si="99"/>
        <v>0</v>
      </c>
      <c r="BC255" s="255">
        <f t="shared" si="100"/>
        <v>0</v>
      </c>
      <c r="BD255" s="31">
        <f t="shared" si="101"/>
        <v>0</v>
      </c>
      <c r="BE255" s="255">
        <f t="shared" si="102"/>
        <v>0</v>
      </c>
      <c r="BF255" s="31">
        <f t="shared" si="103"/>
        <v>0</v>
      </c>
      <c r="BG255" s="255">
        <f t="shared" si="104"/>
        <v>0</v>
      </c>
      <c r="BH255" s="31">
        <f t="shared" si="105"/>
        <v>0</v>
      </c>
      <c r="BI255" s="255">
        <f t="shared" si="106"/>
        <v>0</v>
      </c>
      <c r="BJ255" s="31">
        <f t="shared" si="107"/>
        <v>0</v>
      </c>
      <c r="BK255" s="31">
        <f t="shared" si="108"/>
        <v>0</v>
      </c>
      <c r="BL255" s="255">
        <f t="shared" si="109"/>
        <v>0</v>
      </c>
      <c r="BM255" s="31">
        <f t="shared" si="110"/>
        <v>0</v>
      </c>
      <c r="BN255" s="255">
        <f t="shared" si="111"/>
        <v>0</v>
      </c>
    </row>
    <row r="256" spans="1:66" x14ac:dyDescent="0.25">
      <c r="A256" s="18" t="s">
        <v>610</v>
      </c>
      <c r="B256" s="186" t="str">
        <f>VLOOKUP(A256,kurspris!$A$1:$B$877,2,FALSE)</f>
        <v>Historia II forts.</v>
      </c>
      <c r="C256" s="37"/>
      <c r="D256" s="31" t="s">
        <v>483</v>
      </c>
      <c r="E256" s="31" t="s">
        <v>1973</v>
      </c>
      <c r="F256" s="59" t="s">
        <v>1931</v>
      </c>
      <c r="G256" s="31" t="s">
        <v>2276</v>
      </c>
      <c r="J256" t="s">
        <v>778</v>
      </c>
      <c r="L256" s="31">
        <v>100</v>
      </c>
      <c r="M256" s="31">
        <v>30</v>
      </c>
      <c r="P256" s="31">
        <v>2</v>
      </c>
      <c r="Q256" s="232">
        <f t="shared" si="84"/>
        <v>1</v>
      </c>
      <c r="R256" s="40">
        <v>0.85</v>
      </c>
      <c r="S256" s="334">
        <f t="shared" si="85"/>
        <v>0.85</v>
      </c>
      <c r="T256" s="31">
        <f>VLOOKUP(A256,'Ansvar kurs'!$A$1:$C$1010,2,FALSE)</f>
        <v>1630</v>
      </c>
      <c r="U256" s="31" t="str">
        <f>VLOOKUP(T256,Orgenheter!$A$1:$C$165,2,FALSE)</f>
        <v>Inst för ide- o samhällsstudier</v>
      </c>
      <c r="V256" s="31" t="str">
        <f>VLOOKUP(T256,Orgenheter!$A$1:$C$165,3,FALSE)</f>
        <v>Hum</v>
      </c>
      <c r="W256" s="37" t="str">
        <f>VLOOKUP(D256,Program!$A$1:$B$34,2,FALSE)</f>
        <v>Ämneslärarprogrammet - Gy</v>
      </c>
      <c r="X256" s="42">
        <f>VLOOKUP(A256,kurspris!$A$1:$Q$798,15,FALSE)</f>
        <v>18405</v>
      </c>
      <c r="Y256" s="42">
        <f>VLOOKUP(A256,kurspris!$A$1:$Q$798,16,FALSE)</f>
        <v>15773</v>
      </c>
      <c r="Z256" s="42">
        <f t="shared" si="86"/>
        <v>31812.05</v>
      </c>
      <c r="AA256" s="42">
        <f>VLOOKUP(A256,kurspris!$A$1:$Q$798,17,FALSE)</f>
        <v>5800</v>
      </c>
      <c r="AB256" s="42">
        <f t="shared" si="87"/>
        <v>5800</v>
      </c>
      <c r="AC256" s="42">
        <f t="shared" si="88"/>
        <v>37612.050000000003</v>
      </c>
      <c r="AD256" s="31">
        <f>VLOOKUP($A256,kurspris!$A$1:$Q$835,3,FALSE)</f>
        <v>0</v>
      </c>
      <c r="AE256" s="31">
        <f>VLOOKUP($A256,kurspris!$A$1:$Q$835,4,FALSE)</f>
        <v>1</v>
      </c>
      <c r="AF256" s="31">
        <f>VLOOKUP($A256,kurspris!$A$1:$Q$835,5,FALSE)</f>
        <v>0</v>
      </c>
      <c r="AG256" s="31">
        <f>VLOOKUP($A256,kurspris!$A$1:$Q$835,6,FALSE)</f>
        <v>0</v>
      </c>
      <c r="AH256" s="31">
        <f>VLOOKUP($A256,kurspris!$A$1:$Q$835,7,FALSE)</f>
        <v>0</v>
      </c>
      <c r="AI256" s="31">
        <f>VLOOKUP($A256,kurspris!$A$1:$Q$835,8,FALSE)</f>
        <v>0</v>
      </c>
      <c r="AJ256" s="31">
        <f>VLOOKUP($A256,kurspris!$A$1:$Q$835,9,FALSE)</f>
        <v>0</v>
      </c>
      <c r="AK256" s="31">
        <f>VLOOKUP($A256,kurspris!$A$1:$Q$835,10,FALSE)</f>
        <v>0</v>
      </c>
      <c r="AL256" s="31">
        <f>VLOOKUP($A256,kurspris!$A$1:$Q$835,11,FALSE)</f>
        <v>0</v>
      </c>
      <c r="AM256" s="31">
        <f>VLOOKUP($A256,kurspris!$A$1:$Q$835,12,FALSE)</f>
        <v>0</v>
      </c>
      <c r="AN256" s="31">
        <f>VLOOKUP($A256,kurspris!$A$1:$Q$835,13,FALSE)</f>
        <v>0</v>
      </c>
      <c r="AO256" s="31">
        <f>VLOOKUP($A256,kurspris!$A$1:$Q$835,14,FALSE)</f>
        <v>0</v>
      </c>
      <c r="AP256" s="39" t="s">
        <v>2326</v>
      </c>
      <c r="AQ256"/>
      <c r="AR256" s="31">
        <f t="shared" si="89"/>
        <v>0</v>
      </c>
      <c r="AS256" s="255">
        <f t="shared" si="90"/>
        <v>0</v>
      </c>
      <c r="AT256" s="31">
        <f t="shared" si="91"/>
        <v>1</v>
      </c>
      <c r="AU256" s="255">
        <f t="shared" si="92"/>
        <v>0.85</v>
      </c>
      <c r="AV256" s="31">
        <f t="shared" si="93"/>
        <v>0</v>
      </c>
      <c r="AW256" s="31">
        <f t="shared" si="94"/>
        <v>0</v>
      </c>
      <c r="AX256" s="31">
        <f t="shared" si="95"/>
        <v>0</v>
      </c>
      <c r="AY256" s="255">
        <f t="shared" si="96"/>
        <v>0</v>
      </c>
      <c r="AZ256" s="232">
        <f t="shared" si="97"/>
        <v>0</v>
      </c>
      <c r="BA256" s="255">
        <f t="shared" si="98"/>
        <v>0</v>
      </c>
      <c r="BB256" s="31">
        <f t="shared" si="99"/>
        <v>0</v>
      </c>
      <c r="BC256" s="255">
        <f t="shared" si="100"/>
        <v>0</v>
      </c>
      <c r="BD256" s="31">
        <f t="shared" si="101"/>
        <v>0</v>
      </c>
      <c r="BE256" s="255">
        <f t="shared" si="102"/>
        <v>0</v>
      </c>
      <c r="BF256" s="31">
        <f t="shared" si="103"/>
        <v>0</v>
      </c>
      <c r="BG256" s="255">
        <f t="shared" si="104"/>
        <v>0</v>
      </c>
      <c r="BH256" s="31">
        <f t="shared" si="105"/>
        <v>0</v>
      </c>
      <c r="BI256" s="255">
        <f t="shared" si="106"/>
        <v>0</v>
      </c>
      <c r="BJ256" s="31">
        <f t="shared" si="107"/>
        <v>0</v>
      </c>
      <c r="BK256" s="31">
        <f t="shared" si="108"/>
        <v>0</v>
      </c>
      <c r="BL256" s="255">
        <f t="shared" si="109"/>
        <v>0</v>
      </c>
      <c r="BM256" s="31">
        <f t="shared" si="110"/>
        <v>0</v>
      </c>
      <c r="BN256" s="255">
        <f t="shared" si="111"/>
        <v>0</v>
      </c>
    </row>
    <row r="257" spans="1:66" x14ac:dyDescent="0.25">
      <c r="A257" s="39" t="s">
        <v>1083</v>
      </c>
      <c r="B257" s="186" t="str">
        <f>VLOOKUP(A257,kurspris!$A$1:$B$877,2,FALSE)</f>
        <v>Läraryrketes dimensioner</v>
      </c>
      <c r="C257" s="37"/>
      <c r="D257" s="59" t="s">
        <v>483</v>
      </c>
      <c r="E257" s="62" t="s">
        <v>1976</v>
      </c>
      <c r="F257" s="62" t="s">
        <v>1931</v>
      </c>
      <c r="G257" s="31" t="s">
        <v>2267</v>
      </c>
      <c r="J257" t="s">
        <v>772</v>
      </c>
      <c r="L257" s="31">
        <v>100</v>
      </c>
      <c r="M257" s="376">
        <v>22.5</v>
      </c>
      <c r="P257" s="31">
        <v>11</v>
      </c>
      <c r="Q257" s="232">
        <f t="shared" ref="Q257:Q320" si="112">(M257/60)*P257</f>
        <v>4.125</v>
      </c>
      <c r="R257" s="40">
        <v>0.85</v>
      </c>
      <c r="S257" s="334">
        <f t="shared" ref="S257:S320" si="113">Q257*R257</f>
        <v>3.5062500000000001</v>
      </c>
      <c r="T257" s="31">
        <f>VLOOKUP(A257,'Ansvar kurs'!$A$1:$C$1010,2,FALSE)</f>
        <v>1630</v>
      </c>
      <c r="U257" s="31" t="str">
        <f>VLOOKUP(T257,Orgenheter!$A$1:$C$165,2,FALSE)</f>
        <v>Inst för ide- o samhällsstudier</v>
      </c>
      <c r="V257" s="31" t="str">
        <f>VLOOKUP(T257,Orgenheter!$A$1:$C$165,3,FALSE)</f>
        <v>Hum</v>
      </c>
      <c r="W257" s="37" t="str">
        <f>VLOOKUP(D257,Program!$A$1:$B$34,2,FALSE)</f>
        <v>Ämneslärarprogrammet - Gy</v>
      </c>
      <c r="X257" s="42">
        <f>VLOOKUP(A257,kurspris!$A$1:$Q$798,15,FALSE)</f>
        <v>21634</v>
      </c>
      <c r="Y257" s="42">
        <f>VLOOKUP(A257,kurspris!$A$1:$Q$798,16,FALSE)</f>
        <v>26986</v>
      </c>
      <c r="Z257" s="42">
        <f t="shared" ref="Z257:Z320" si="114">X257*Q257+S257*Y257</f>
        <v>183859.91250000001</v>
      </c>
      <c r="AA257" s="42">
        <f>VLOOKUP(A257,kurspris!$A$1:$Q$798,17,FALSE)</f>
        <v>3400</v>
      </c>
      <c r="AB257" s="42">
        <f t="shared" ref="AB257:AB320" si="115">AA257*Q257</f>
        <v>14025</v>
      </c>
      <c r="AC257" s="42">
        <f t="shared" ref="AC257:AC320" si="116">Z257+AB257</f>
        <v>197884.91250000001</v>
      </c>
      <c r="AD257" s="31">
        <f>VLOOKUP($A257,kurspris!$A$1:$Q$835,3,FALSE)</f>
        <v>0</v>
      </c>
      <c r="AE257" s="31">
        <f>VLOOKUP($A257,kurspris!$A$1:$Q$835,4,FALSE)</f>
        <v>0</v>
      </c>
      <c r="AF257" s="31">
        <f>VLOOKUP($A257,kurspris!$A$1:$Q$835,5,FALSE)</f>
        <v>0</v>
      </c>
      <c r="AG257" s="31">
        <f>VLOOKUP($A257,kurspris!$A$1:$Q$835,6,FALSE)</f>
        <v>0</v>
      </c>
      <c r="AH257" s="31">
        <f>VLOOKUP($A257,kurspris!$A$1:$Q$835,7,FALSE)</f>
        <v>0</v>
      </c>
      <c r="AI257" s="31">
        <f>VLOOKUP($A257,kurspris!$A$1:$Q$835,8,FALSE)</f>
        <v>0</v>
      </c>
      <c r="AJ257" s="31">
        <f>VLOOKUP($A257,kurspris!$A$1:$Q$835,9,FALSE)</f>
        <v>0</v>
      </c>
      <c r="AK257" s="31">
        <f>VLOOKUP($A257,kurspris!$A$1:$Q$835,10,FALSE)</f>
        <v>0</v>
      </c>
      <c r="AL257" s="31">
        <f>VLOOKUP($A257,kurspris!$A$1:$Q$835,11,FALSE)</f>
        <v>1</v>
      </c>
      <c r="AM257" s="31">
        <f>VLOOKUP($A257,kurspris!$A$1:$Q$835,12,FALSE)</f>
        <v>0</v>
      </c>
      <c r="AN257" s="31">
        <f>VLOOKUP($A257,kurspris!$A$1:$Q$835,13,FALSE)</f>
        <v>0</v>
      </c>
      <c r="AO257" s="31">
        <f>VLOOKUP($A257,kurspris!$A$1:$Q$835,14,FALSE)</f>
        <v>0</v>
      </c>
      <c r="AP257" s="39" t="s">
        <v>2326</v>
      </c>
      <c r="AQ257"/>
      <c r="AR257" s="31">
        <f t="shared" ref="AR257:AR320" si="117">$Q257*AD257</f>
        <v>0</v>
      </c>
      <c r="AS257" s="255">
        <f t="shared" ref="AS257:AS320" si="118">$S257*AD257</f>
        <v>0</v>
      </c>
      <c r="AT257" s="31">
        <f t="shared" ref="AT257:AT320" si="119">$Q257*AE257</f>
        <v>0</v>
      </c>
      <c r="AU257" s="255">
        <f t="shared" ref="AU257:AU320" si="120">$S257*AE257</f>
        <v>0</v>
      </c>
      <c r="AV257" s="31">
        <f t="shared" ref="AV257:AV320" si="121">$Q257*AF257</f>
        <v>0</v>
      </c>
      <c r="AW257" s="31">
        <f t="shared" ref="AW257:AW320" si="122">$S257*AF257</f>
        <v>0</v>
      </c>
      <c r="AX257" s="31">
        <f t="shared" ref="AX257:AX320" si="123">$Q257*AG257</f>
        <v>0</v>
      </c>
      <c r="AY257" s="255">
        <f t="shared" ref="AY257:AY320" si="124">$S257*AG257</f>
        <v>0</v>
      </c>
      <c r="AZ257" s="232">
        <f t="shared" ref="AZ257:AZ320" si="125">$Q257*AH257</f>
        <v>0</v>
      </c>
      <c r="BA257" s="255">
        <f t="shared" ref="BA257:BA320" si="126">$S257*AH257</f>
        <v>0</v>
      </c>
      <c r="BB257" s="31">
        <f t="shared" ref="BB257:BB320" si="127">$Q257*AI257</f>
        <v>0</v>
      </c>
      <c r="BC257" s="255">
        <f t="shared" ref="BC257:BC320" si="128">$S257*AI257</f>
        <v>0</v>
      </c>
      <c r="BD257" s="31">
        <f t="shared" ref="BD257:BD320" si="129">$Q257*AJ257</f>
        <v>0</v>
      </c>
      <c r="BE257" s="255">
        <f t="shared" ref="BE257:BE320" si="130">$S257*AJ257</f>
        <v>0</v>
      </c>
      <c r="BF257" s="31">
        <f t="shared" ref="BF257:BF320" si="131">$Q257*AK257</f>
        <v>0</v>
      </c>
      <c r="BG257" s="255">
        <f t="shared" ref="BG257:BG320" si="132">$S257*AK257</f>
        <v>0</v>
      </c>
      <c r="BH257" s="31">
        <f t="shared" ref="BH257:BH320" si="133">$Q257*AL257</f>
        <v>4.125</v>
      </c>
      <c r="BI257" s="255">
        <f t="shared" ref="BI257:BI320" si="134">$S257*AL257</f>
        <v>3.5062500000000001</v>
      </c>
      <c r="BJ257" s="31">
        <f t="shared" ref="BJ257:BJ320" si="135">$Q257*AM257</f>
        <v>0</v>
      </c>
      <c r="BK257" s="31">
        <f t="shared" ref="BK257:BK320" si="136">$Q257*AN257</f>
        <v>0</v>
      </c>
      <c r="BL257" s="255">
        <f t="shared" ref="BL257:BL320" si="137">$S257*AN257</f>
        <v>0</v>
      </c>
      <c r="BM257" s="31">
        <f t="shared" ref="BM257:BM320" si="138">$Q257*AO257</f>
        <v>0</v>
      </c>
      <c r="BN257" s="255">
        <f t="shared" ref="BN257:BN320" si="139">$S257*AO257</f>
        <v>0</v>
      </c>
    </row>
    <row r="258" spans="1:66" x14ac:dyDescent="0.25">
      <c r="A258" t="s">
        <v>1476</v>
      </c>
      <c r="B258" s="186" t="str">
        <f>VLOOKUP(A258,kurspris!$A$1:$B$877,2,FALSE)</f>
        <v>Examensarbete för ämneslärarexamen - historia</v>
      </c>
      <c r="C258"/>
      <c r="D258" t="s">
        <v>483</v>
      </c>
      <c r="E258" t="s">
        <v>1975</v>
      </c>
      <c r="F258" s="39" t="s">
        <v>1930</v>
      </c>
      <c r="G258" t="s">
        <v>1993</v>
      </c>
      <c r="H258" t="s">
        <v>1910</v>
      </c>
      <c r="I258"/>
      <c r="J258" t="s">
        <v>771</v>
      </c>
      <c r="K258"/>
      <c r="L258">
        <v>100</v>
      </c>
      <c r="M258" s="295">
        <v>22.5</v>
      </c>
      <c r="N258"/>
      <c r="O258"/>
      <c r="P258" s="31">
        <v>0</v>
      </c>
      <c r="Q258" s="232">
        <f t="shared" si="112"/>
        <v>0</v>
      </c>
      <c r="R258" s="40">
        <v>0.85</v>
      </c>
      <c r="S258" s="334">
        <f t="shared" si="113"/>
        <v>0</v>
      </c>
      <c r="T258" s="31">
        <f>VLOOKUP(A258,'Ansvar kurs'!$A$1:$C$1010,2,FALSE)</f>
        <v>1630</v>
      </c>
      <c r="U258" s="31" t="str">
        <f>VLOOKUP(T258,Orgenheter!$A$1:$C$165,2,FALSE)</f>
        <v>Inst för ide- o samhällsstudier</v>
      </c>
      <c r="V258" s="31" t="str">
        <f>VLOOKUP(T258,Orgenheter!$A$1:$C$165,3,FALSE)</f>
        <v>Hum</v>
      </c>
      <c r="W258" s="37" t="str">
        <f>VLOOKUP(D258,Program!$A$1:$B$34,2,FALSE)</f>
        <v>Ämneslärarprogrammet - Gy</v>
      </c>
      <c r="X258" s="42">
        <f>VLOOKUP(A258,kurspris!$A$1:$Q$798,15,FALSE)</f>
        <v>18405</v>
      </c>
      <c r="Y258" s="42">
        <f>VLOOKUP(A258,kurspris!$A$1:$Q$798,16,FALSE)</f>
        <v>15773</v>
      </c>
      <c r="Z258" s="42">
        <f t="shared" si="114"/>
        <v>0</v>
      </c>
      <c r="AA258" s="42">
        <f>VLOOKUP(A258,kurspris!$A$1:$Q$798,17,FALSE)</f>
        <v>5800</v>
      </c>
      <c r="AB258" s="42">
        <f t="shared" si="115"/>
        <v>0</v>
      </c>
      <c r="AC258" s="42">
        <f t="shared" si="116"/>
        <v>0</v>
      </c>
      <c r="AD258" s="31">
        <f>VLOOKUP($A258,kurspris!$A$1:$Q$835,3,FALSE)</f>
        <v>0</v>
      </c>
      <c r="AE258" s="31">
        <f>VLOOKUP($A258,kurspris!$A$1:$Q$835,4,FALSE)</f>
        <v>1</v>
      </c>
      <c r="AF258" s="31">
        <f>VLOOKUP($A258,kurspris!$A$1:$Q$835,5,FALSE)</f>
        <v>0</v>
      </c>
      <c r="AG258" s="31">
        <f>VLOOKUP($A258,kurspris!$A$1:$Q$835,6,FALSE)</f>
        <v>0</v>
      </c>
      <c r="AH258" s="31">
        <f>VLOOKUP($A258,kurspris!$A$1:$Q$835,7,FALSE)</f>
        <v>0</v>
      </c>
      <c r="AI258" s="31">
        <f>VLOOKUP($A258,kurspris!$A$1:$Q$835,8,FALSE)</f>
        <v>0</v>
      </c>
      <c r="AJ258" s="31">
        <f>VLOOKUP($A258,kurspris!$A$1:$Q$835,9,FALSE)</f>
        <v>0</v>
      </c>
      <c r="AK258" s="31">
        <f>VLOOKUP($A258,kurspris!$A$1:$Q$835,10,FALSE)</f>
        <v>0</v>
      </c>
      <c r="AL258" s="31">
        <f>VLOOKUP($A258,kurspris!$A$1:$Q$835,11,FALSE)</f>
        <v>0</v>
      </c>
      <c r="AM258" s="31">
        <f>VLOOKUP($A258,kurspris!$A$1:$Q$835,12,FALSE)</f>
        <v>0</v>
      </c>
      <c r="AN258" s="31">
        <f>VLOOKUP($A258,kurspris!$A$1:$Q$835,13,FALSE)</f>
        <v>0</v>
      </c>
      <c r="AO258" s="31">
        <f>VLOOKUP($A258,kurspris!$A$1:$Q$835,14,FALSE)</f>
        <v>0</v>
      </c>
      <c r="AP258" s="39" t="s">
        <v>2204</v>
      </c>
      <c r="AQ258" s="39" t="s">
        <v>2035</v>
      </c>
      <c r="AR258" s="31">
        <f t="shared" si="117"/>
        <v>0</v>
      </c>
      <c r="AS258" s="255">
        <f t="shared" si="118"/>
        <v>0</v>
      </c>
      <c r="AT258" s="31">
        <f t="shared" si="119"/>
        <v>0</v>
      </c>
      <c r="AU258" s="255">
        <f t="shared" si="120"/>
        <v>0</v>
      </c>
      <c r="AV258" s="31">
        <f t="shared" si="121"/>
        <v>0</v>
      </c>
      <c r="AW258" s="31">
        <f t="shared" si="122"/>
        <v>0</v>
      </c>
      <c r="AX258" s="31">
        <f t="shared" si="123"/>
        <v>0</v>
      </c>
      <c r="AY258" s="255">
        <f t="shared" si="124"/>
        <v>0</v>
      </c>
      <c r="AZ258" s="232">
        <f t="shared" si="125"/>
        <v>0</v>
      </c>
      <c r="BA258" s="255">
        <f t="shared" si="126"/>
        <v>0</v>
      </c>
      <c r="BB258" s="31">
        <f t="shared" si="127"/>
        <v>0</v>
      </c>
      <c r="BC258" s="255">
        <f t="shared" si="128"/>
        <v>0</v>
      </c>
      <c r="BD258" s="31">
        <f t="shared" si="129"/>
        <v>0</v>
      </c>
      <c r="BE258" s="255">
        <f t="shared" si="130"/>
        <v>0</v>
      </c>
      <c r="BF258" s="31">
        <f t="shared" si="131"/>
        <v>0</v>
      </c>
      <c r="BG258" s="255">
        <f t="shared" si="132"/>
        <v>0</v>
      </c>
      <c r="BH258" s="31">
        <f t="shared" si="133"/>
        <v>0</v>
      </c>
      <c r="BI258" s="255">
        <f t="shared" si="134"/>
        <v>0</v>
      </c>
      <c r="BJ258" s="31">
        <f t="shared" si="135"/>
        <v>0</v>
      </c>
      <c r="BK258" s="31">
        <f t="shared" si="136"/>
        <v>0</v>
      </c>
      <c r="BL258" s="255">
        <f t="shared" si="137"/>
        <v>0</v>
      </c>
      <c r="BM258" s="31">
        <f t="shared" si="138"/>
        <v>0</v>
      </c>
      <c r="BN258" s="255">
        <f t="shared" si="139"/>
        <v>0</v>
      </c>
    </row>
    <row r="259" spans="1:66" x14ac:dyDescent="0.25">
      <c r="A259" t="s">
        <v>1476</v>
      </c>
      <c r="B259" s="186" t="str">
        <f>VLOOKUP(A259,kurspris!$A$1:$B$877,2,FALSE)</f>
        <v>Examensarbete för ämneslärarexamen - historia</v>
      </c>
      <c r="C259"/>
      <c r="D259" t="s">
        <v>483</v>
      </c>
      <c r="E259" t="s">
        <v>1975</v>
      </c>
      <c r="F259" s="39" t="s">
        <v>1930</v>
      </c>
      <c r="G259" t="s">
        <v>1993</v>
      </c>
      <c r="H259" t="s">
        <v>1910</v>
      </c>
      <c r="I259"/>
      <c r="J259" t="s">
        <v>772</v>
      </c>
      <c r="K259"/>
      <c r="L259">
        <v>100</v>
      </c>
      <c r="M259" s="295">
        <v>22.5</v>
      </c>
      <c r="N259"/>
      <c r="O259"/>
      <c r="P259" s="31">
        <v>3</v>
      </c>
      <c r="Q259" s="232">
        <f t="shared" si="112"/>
        <v>1.125</v>
      </c>
      <c r="R259" s="40">
        <v>0.85</v>
      </c>
      <c r="S259" s="334">
        <f t="shared" si="113"/>
        <v>0.95624999999999993</v>
      </c>
      <c r="T259" s="31">
        <f>VLOOKUP(A259,'Ansvar kurs'!$A$1:$C$1010,2,FALSE)</f>
        <v>1630</v>
      </c>
      <c r="U259" s="31" t="str">
        <f>VLOOKUP(T259,Orgenheter!$A$1:$C$165,2,FALSE)</f>
        <v>Inst för ide- o samhällsstudier</v>
      </c>
      <c r="V259" s="31" t="str">
        <f>VLOOKUP(T259,Orgenheter!$A$1:$C$165,3,FALSE)</f>
        <v>Hum</v>
      </c>
      <c r="W259" s="37" t="str">
        <f>VLOOKUP(D259,Program!$A$1:$B$34,2,FALSE)</f>
        <v>Ämneslärarprogrammet - Gy</v>
      </c>
      <c r="X259" s="42">
        <f>VLOOKUP(A259,kurspris!$A$1:$Q$798,15,FALSE)</f>
        <v>18405</v>
      </c>
      <c r="Y259" s="42">
        <f>VLOOKUP(A259,kurspris!$A$1:$Q$798,16,FALSE)</f>
        <v>15773</v>
      </c>
      <c r="Z259" s="42">
        <f t="shared" si="114"/>
        <v>35788.556250000001</v>
      </c>
      <c r="AA259" s="42">
        <f>VLOOKUP(A259,kurspris!$A$1:$Q$798,17,FALSE)</f>
        <v>5800</v>
      </c>
      <c r="AB259" s="42">
        <f t="shared" si="115"/>
        <v>6525</v>
      </c>
      <c r="AC259" s="42">
        <f t="shared" si="116"/>
        <v>42313.556250000001</v>
      </c>
      <c r="AD259" s="31">
        <f>VLOOKUP($A259,kurspris!$A$1:$Q$835,3,FALSE)</f>
        <v>0</v>
      </c>
      <c r="AE259" s="31">
        <f>VLOOKUP($A259,kurspris!$A$1:$Q$835,4,FALSE)</f>
        <v>1</v>
      </c>
      <c r="AF259" s="31">
        <f>VLOOKUP($A259,kurspris!$A$1:$Q$835,5,FALSE)</f>
        <v>0</v>
      </c>
      <c r="AG259" s="31">
        <f>VLOOKUP($A259,kurspris!$A$1:$Q$835,6,FALSE)</f>
        <v>0</v>
      </c>
      <c r="AH259" s="31">
        <f>VLOOKUP($A259,kurspris!$A$1:$Q$835,7,FALSE)</f>
        <v>0</v>
      </c>
      <c r="AI259" s="31">
        <f>VLOOKUP($A259,kurspris!$A$1:$Q$835,8,FALSE)</f>
        <v>0</v>
      </c>
      <c r="AJ259" s="31">
        <f>VLOOKUP($A259,kurspris!$A$1:$Q$835,9,FALSE)</f>
        <v>0</v>
      </c>
      <c r="AK259" s="31">
        <f>VLOOKUP($A259,kurspris!$A$1:$Q$835,10,FALSE)</f>
        <v>0</v>
      </c>
      <c r="AL259" s="31">
        <f>VLOOKUP($A259,kurspris!$A$1:$Q$835,11,FALSE)</f>
        <v>0</v>
      </c>
      <c r="AM259" s="31">
        <f>VLOOKUP($A259,kurspris!$A$1:$Q$835,12,FALSE)</f>
        <v>0</v>
      </c>
      <c r="AN259" s="31">
        <f>VLOOKUP($A259,kurspris!$A$1:$Q$835,13,FALSE)</f>
        <v>0</v>
      </c>
      <c r="AO259" s="31">
        <f>VLOOKUP($A259,kurspris!$A$1:$Q$835,14,FALSE)</f>
        <v>0</v>
      </c>
      <c r="AP259" s="39" t="s">
        <v>2204</v>
      </c>
      <c r="AQ259" s="39" t="s">
        <v>2035</v>
      </c>
      <c r="AR259" s="31">
        <f t="shared" si="117"/>
        <v>0</v>
      </c>
      <c r="AS259" s="255">
        <f t="shared" si="118"/>
        <v>0</v>
      </c>
      <c r="AT259" s="31">
        <f t="shared" si="119"/>
        <v>1.125</v>
      </c>
      <c r="AU259" s="255">
        <f t="shared" si="120"/>
        <v>0.95624999999999993</v>
      </c>
      <c r="AV259" s="31">
        <f t="shared" si="121"/>
        <v>0</v>
      </c>
      <c r="AW259" s="31">
        <f t="shared" si="122"/>
        <v>0</v>
      </c>
      <c r="AX259" s="31">
        <f t="shared" si="123"/>
        <v>0</v>
      </c>
      <c r="AY259" s="255">
        <f t="shared" si="124"/>
        <v>0</v>
      </c>
      <c r="AZ259" s="232">
        <f t="shared" si="125"/>
        <v>0</v>
      </c>
      <c r="BA259" s="255">
        <f t="shared" si="126"/>
        <v>0</v>
      </c>
      <c r="BB259" s="31">
        <f t="shared" si="127"/>
        <v>0</v>
      </c>
      <c r="BC259" s="255">
        <f t="shared" si="128"/>
        <v>0</v>
      </c>
      <c r="BD259" s="31">
        <f t="shared" si="129"/>
        <v>0</v>
      </c>
      <c r="BE259" s="255">
        <f t="shared" si="130"/>
        <v>0</v>
      </c>
      <c r="BF259" s="31">
        <f t="shared" si="131"/>
        <v>0</v>
      </c>
      <c r="BG259" s="255">
        <f t="shared" si="132"/>
        <v>0</v>
      </c>
      <c r="BH259" s="31">
        <f t="shared" si="133"/>
        <v>0</v>
      </c>
      <c r="BI259" s="255">
        <f t="shared" si="134"/>
        <v>0</v>
      </c>
      <c r="BJ259" s="31">
        <f t="shared" si="135"/>
        <v>0</v>
      </c>
      <c r="BK259" s="31">
        <f t="shared" si="136"/>
        <v>0</v>
      </c>
      <c r="BL259" s="255">
        <f t="shared" si="137"/>
        <v>0</v>
      </c>
      <c r="BM259" s="31">
        <f t="shared" si="138"/>
        <v>0</v>
      </c>
      <c r="BN259" s="255">
        <f t="shared" si="139"/>
        <v>0</v>
      </c>
    </row>
    <row r="260" spans="1:66" x14ac:dyDescent="0.25">
      <c r="A260" s="39" t="s">
        <v>1476</v>
      </c>
      <c r="B260" s="186" t="str">
        <f>VLOOKUP(A260,kurspris!$A$1:$B$877,2,FALSE)</f>
        <v>Examensarbete för ämneslärarexamen - historia</v>
      </c>
      <c r="C260" s="37"/>
      <c r="D260" s="59" t="s">
        <v>483</v>
      </c>
      <c r="E260" s="62" t="s">
        <v>1976</v>
      </c>
      <c r="F260" s="62" t="s">
        <v>1931</v>
      </c>
      <c r="G260" s="295" t="s">
        <v>2268</v>
      </c>
      <c r="J260" t="s">
        <v>772</v>
      </c>
      <c r="L260" s="31">
        <v>100</v>
      </c>
      <c r="M260" s="376">
        <v>7.5</v>
      </c>
      <c r="N260" s="40"/>
      <c r="P260" s="31">
        <v>9</v>
      </c>
      <c r="Q260" s="232">
        <f t="shared" si="112"/>
        <v>1.125</v>
      </c>
      <c r="R260" s="40">
        <v>0.85</v>
      </c>
      <c r="S260" s="334">
        <f t="shared" si="113"/>
        <v>0.95624999999999993</v>
      </c>
      <c r="T260" s="31">
        <f>VLOOKUP(A260,'Ansvar kurs'!$A$1:$C$1010,2,FALSE)</f>
        <v>1630</v>
      </c>
      <c r="U260" s="31" t="str">
        <f>VLOOKUP(T260,Orgenheter!$A$1:$C$165,2,FALSE)</f>
        <v>Inst för ide- o samhällsstudier</v>
      </c>
      <c r="V260" s="31" t="str">
        <f>VLOOKUP(T260,Orgenheter!$A$1:$C$165,3,FALSE)</f>
        <v>Hum</v>
      </c>
      <c r="W260" s="37" t="str">
        <f>VLOOKUP(D260,Program!$A$1:$B$34,2,FALSE)</f>
        <v>Ämneslärarprogrammet - Gy</v>
      </c>
      <c r="X260" s="42">
        <f>VLOOKUP(A260,kurspris!$A$1:$Q$798,15,FALSE)</f>
        <v>18405</v>
      </c>
      <c r="Y260" s="42">
        <f>VLOOKUP(A260,kurspris!$A$1:$Q$798,16,FALSE)</f>
        <v>15773</v>
      </c>
      <c r="Z260" s="42">
        <f t="shared" si="114"/>
        <v>35788.556250000001</v>
      </c>
      <c r="AA260" s="42">
        <f>VLOOKUP(A260,kurspris!$A$1:$Q$798,17,FALSE)</f>
        <v>5800</v>
      </c>
      <c r="AB260" s="42">
        <f t="shared" si="115"/>
        <v>6525</v>
      </c>
      <c r="AC260" s="42">
        <f t="shared" si="116"/>
        <v>42313.556250000001</v>
      </c>
      <c r="AD260" s="31">
        <f>VLOOKUP($A260,kurspris!$A$1:$Q$835,3,FALSE)</f>
        <v>0</v>
      </c>
      <c r="AE260" s="31">
        <f>VLOOKUP($A260,kurspris!$A$1:$Q$835,4,FALSE)</f>
        <v>1</v>
      </c>
      <c r="AF260" s="31">
        <f>VLOOKUP($A260,kurspris!$A$1:$Q$835,5,FALSE)</f>
        <v>0</v>
      </c>
      <c r="AG260" s="31">
        <f>VLOOKUP($A260,kurspris!$A$1:$Q$835,6,FALSE)</f>
        <v>0</v>
      </c>
      <c r="AH260" s="31">
        <f>VLOOKUP($A260,kurspris!$A$1:$Q$835,7,FALSE)</f>
        <v>0</v>
      </c>
      <c r="AI260" s="31">
        <f>VLOOKUP($A260,kurspris!$A$1:$Q$835,8,FALSE)</f>
        <v>0</v>
      </c>
      <c r="AJ260" s="31">
        <f>VLOOKUP($A260,kurspris!$A$1:$Q$835,9,FALSE)</f>
        <v>0</v>
      </c>
      <c r="AK260" s="31">
        <f>VLOOKUP($A260,kurspris!$A$1:$Q$835,10,FALSE)</f>
        <v>0</v>
      </c>
      <c r="AL260" s="31">
        <f>VLOOKUP($A260,kurspris!$A$1:$Q$835,11,FALSE)</f>
        <v>0</v>
      </c>
      <c r="AM260" s="31">
        <f>VLOOKUP($A260,kurspris!$A$1:$Q$835,12,FALSE)</f>
        <v>0</v>
      </c>
      <c r="AN260" s="31">
        <f>VLOOKUP($A260,kurspris!$A$1:$Q$835,13,FALSE)</f>
        <v>0</v>
      </c>
      <c r="AO260" s="31">
        <f>VLOOKUP($A260,kurspris!$A$1:$Q$835,14,FALSE)</f>
        <v>0</v>
      </c>
      <c r="AP260" s="39" t="s">
        <v>2326</v>
      </c>
      <c r="AQ260" t="s">
        <v>2300</v>
      </c>
      <c r="AR260" s="31">
        <f t="shared" si="117"/>
        <v>0</v>
      </c>
      <c r="AS260" s="255">
        <f t="shared" si="118"/>
        <v>0</v>
      </c>
      <c r="AT260" s="31">
        <f t="shared" si="119"/>
        <v>1.125</v>
      </c>
      <c r="AU260" s="255">
        <f t="shared" si="120"/>
        <v>0.95624999999999993</v>
      </c>
      <c r="AV260" s="31">
        <f t="shared" si="121"/>
        <v>0</v>
      </c>
      <c r="AW260" s="31">
        <f t="shared" si="122"/>
        <v>0</v>
      </c>
      <c r="AX260" s="31">
        <f t="shared" si="123"/>
        <v>0</v>
      </c>
      <c r="AY260" s="255">
        <f t="shared" si="124"/>
        <v>0</v>
      </c>
      <c r="AZ260" s="232">
        <f t="shared" si="125"/>
        <v>0</v>
      </c>
      <c r="BA260" s="255">
        <f t="shared" si="126"/>
        <v>0</v>
      </c>
      <c r="BB260" s="31">
        <f t="shared" si="127"/>
        <v>0</v>
      </c>
      <c r="BC260" s="255">
        <f t="shared" si="128"/>
        <v>0</v>
      </c>
      <c r="BD260" s="31">
        <f t="shared" si="129"/>
        <v>0</v>
      </c>
      <c r="BE260" s="255">
        <f t="shared" si="130"/>
        <v>0</v>
      </c>
      <c r="BF260" s="31">
        <f t="shared" si="131"/>
        <v>0</v>
      </c>
      <c r="BG260" s="255">
        <f t="shared" si="132"/>
        <v>0</v>
      </c>
      <c r="BH260" s="31">
        <f t="shared" si="133"/>
        <v>0</v>
      </c>
      <c r="BI260" s="255">
        <f t="shared" si="134"/>
        <v>0</v>
      </c>
      <c r="BJ260" s="31">
        <f t="shared" si="135"/>
        <v>0</v>
      </c>
      <c r="BK260" s="31">
        <f t="shared" si="136"/>
        <v>0</v>
      </c>
      <c r="BL260" s="255">
        <f t="shared" si="137"/>
        <v>0</v>
      </c>
      <c r="BM260" s="31">
        <f t="shared" si="138"/>
        <v>0</v>
      </c>
      <c r="BN260" s="255">
        <f t="shared" si="139"/>
        <v>0</v>
      </c>
    </row>
    <row r="261" spans="1:66" x14ac:dyDescent="0.25">
      <c r="A261" s="18" t="s">
        <v>2005</v>
      </c>
      <c r="B261" s="186" t="str">
        <f>VLOOKUP(A261,kurspris!$A$1:$B$877,2,FALSE)</f>
        <v>Att undervisa i historia (VFU)</v>
      </c>
      <c r="C261" s="37"/>
      <c r="D261" s="31" t="s">
        <v>483</v>
      </c>
      <c r="E261" s="31" t="s">
        <v>1609</v>
      </c>
      <c r="F261" s="59" t="s">
        <v>1931</v>
      </c>
      <c r="G261" s="31" t="s">
        <v>2272</v>
      </c>
      <c r="J261" t="s">
        <v>772</v>
      </c>
      <c r="L261" s="31">
        <v>100</v>
      </c>
      <c r="M261" s="31">
        <v>6</v>
      </c>
      <c r="P261" s="31">
        <v>14</v>
      </c>
      <c r="Q261" s="232">
        <f t="shared" si="112"/>
        <v>1.4000000000000001</v>
      </c>
      <c r="R261" s="40">
        <v>0.85</v>
      </c>
      <c r="S261" s="334">
        <f t="shared" si="113"/>
        <v>1.1900000000000002</v>
      </c>
      <c r="T261" s="31">
        <f>VLOOKUP(A261,'Ansvar kurs'!$A$1:$C$1010,2,FALSE)</f>
        <v>1630</v>
      </c>
      <c r="U261" s="31" t="str">
        <f>VLOOKUP(T261,Orgenheter!$A$1:$C$165,2,FALSE)</f>
        <v>Inst för ide- o samhällsstudier</v>
      </c>
      <c r="V261" s="31" t="str">
        <f>VLOOKUP(T261,Orgenheter!$A$1:$C$165,3,FALSE)</f>
        <v>Hum</v>
      </c>
      <c r="W261" s="37" t="str">
        <f>VLOOKUP(D261,Program!$A$1:$B$34,2,FALSE)</f>
        <v>Ämneslärarprogrammet - Gy</v>
      </c>
      <c r="X261" s="42">
        <f>VLOOKUP(A261,kurspris!$A$1:$Q$798,15,FALSE)</f>
        <v>21634</v>
      </c>
      <c r="Y261" s="42">
        <f>VLOOKUP(A261,kurspris!$A$1:$Q$798,16,FALSE)</f>
        <v>26986</v>
      </c>
      <c r="Z261" s="42">
        <f t="shared" si="114"/>
        <v>62400.94</v>
      </c>
      <c r="AA261" s="42">
        <f>VLOOKUP(A261,kurspris!$A$1:$Q$798,17,FALSE)</f>
        <v>3400</v>
      </c>
      <c r="AB261" s="42">
        <f t="shared" si="115"/>
        <v>4760</v>
      </c>
      <c r="AC261" s="42">
        <f t="shared" si="116"/>
        <v>67160.94</v>
      </c>
      <c r="AD261" s="31">
        <f>VLOOKUP($A261,kurspris!$A$1:$Q$835,3,FALSE)</f>
        <v>0</v>
      </c>
      <c r="AE261" s="31">
        <f>VLOOKUP($A261,kurspris!$A$1:$Q$835,4,FALSE)</f>
        <v>0</v>
      </c>
      <c r="AF261" s="31">
        <f>VLOOKUP($A261,kurspris!$A$1:$Q$835,5,FALSE)</f>
        <v>0</v>
      </c>
      <c r="AG261" s="31">
        <f>VLOOKUP($A261,kurspris!$A$1:$Q$835,6,FALSE)</f>
        <v>0</v>
      </c>
      <c r="AH261" s="31">
        <f>VLOOKUP($A261,kurspris!$A$1:$Q$835,7,FALSE)</f>
        <v>0</v>
      </c>
      <c r="AI261" s="31">
        <f>VLOOKUP($A261,kurspris!$A$1:$Q$835,8,FALSE)</f>
        <v>0</v>
      </c>
      <c r="AJ261" s="31">
        <f>VLOOKUP($A261,kurspris!$A$1:$Q$835,9,FALSE)</f>
        <v>0</v>
      </c>
      <c r="AK261" s="31">
        <f>VLOOKUP($A261,kurspris!$A$1:$Q$835,10,FALSE)</f>
        <v>0</v>
      </c>
      <c r="AL261" s="31">
        <f>VLOOKUP($A261,kurspris!$A$1:$Q$835,11,FALSE)</f>
        <v>1</v>
      </c>
      <c r="AM261" s="31">
        <f>VLOOKUP($A261,kurspris!$A$1:$Q$835,12,FALSE)</f>
        <v>0</v>
      </c>
      <c r="AN261" s="31">
        <f>VLOOKUP($A261,kurspris!$A$1:$Q$835,13,FALSE)</f>
        <v>0</v>
      </c>
      <c r="AO261" s="31">
        <f>VLOOKUP($A261,kurspris!$A$1:$Q$835,14,FALSE)</f>
        <v>0</v>
      </c>
      <c r="AP261" s="39" t="s">
        <v>2326</v>
      </c>
      <c r="AQ261"/>
      <c r="AR261" s="31">
        <f t="shared" si="117"/>
        <v>0</v>
      </c>
      <c r="AS261" s="255">
        <f t="shared" si="118"/>
        <v>0</v>
      </c>
      <c r="AT261" s="31">
        <f t="shared" si="119"/>
        <v>0</v>
      </c>
      <c r="AU261" s="255">
        <f t="shared" si="120"/>
        <v>0</v>
      </c>
      <c r="AV261" s="31">
        <f t="shared" si="121"/>
        <v>0</v>
      </c>
      <c r="AW261" s="31">
        <f t="shared" si="122"/>
        <v>0</v>
      </c>
      <c r="AX261" s="31">
        <f t="shared" si="123"/>
        <v>0</v>
      </c>
      <c r="AY261" s="255">
        <f t="shared" si="124"/>
        <v>0</v>
      </c>
      <c r="AZ261" s="232">
        <f t="shared" si="125"/>
        <v>0</v>
      </c>
      <c r="BA261" s="255">
        <f t="shared" si="126"/>
        <v>0</v>
      </c>
      <c r="BB261" s="31">
        <f t="shared" si="127"/>
        <v>0</v>
      </c>
      <c r="BC261" s="255">
        <f t="shared" si="128"/>
        <v>0</v>
      </c>
      <c r="BD261" s="31">
        <f t="shared" si="129"/>
        <v>0</v>
      </c>
      <c r="BE261" s="255">
        <f t="shared" si="130"/>
        <v>0</v>
      </c>
      <c r="BF261" s="31">
        <f t="shared" si="131"/>
        <v>0</v>
      </c>
      <c r="BG261" s="255">
        <f t="shared" si="132"/>
        <v>0</v>
      </c>
      <c r="BH261" s="31">
        <f t="shared" si="133"/>
        <v>1.4000000000000001</v>
      </c>
      <c r="BI261" s="255">
        <f t="shared" si="134"/>
        <v>1.1900000000000002</v>
      </c>
      <c r="BJ261" s="31">
        <f t="shared" si="135"/>
        <v>0</v>
      </c>
      <c r="BK261" s="31">
        <f t="shared" si="136"/>
        <v>0</v>
      </c>
      <c r="BL261" s="255">
        <f t="shared" si="137"/>
        <v>0</v>
      </c>
      <c r="BM261" s="31">
        <f t="shared" si="138"/>
        <v>0</v>
      </c>
      <c r="BN261" s="255">
        <f t="shared" si="139"/>
        <v>0</v>
      </c>
    </row>
    <row r="262" spans="1:66" x14ac:dyDescent="0.25">
      <c r="A262" s="18" t="s">
        <v>2005</v>
      </c>
      <c r="B262" s="186" t="str">
        <f>VLOOKUP(A262,kurspris!$A$1:$B$877,2,FALSE)</f>
        <v>Att undervisa i historia (VFU)</v>
      </c>
      <c r="C262" s="37"/>
      <c r="D262" s="31" t="s">
        <v>483</v>
      </c>
      <c r="E262" s="31" t="s">
        <v>1788</v>
      </c>
      <c r="F262" s="59" t="s">
        <v>1931</v>
      </c>
      <c r="G262" s="31" t="s">
        <v>2272</v>
      </c>
      <c r="J262" t="s">
        <v>772</v>
      </c>
      <c r="L262" s="31">
        <v>100</v>
      </c>
      <c r="M262" s="31">
        <v>6</v>
      </c>
      <c r="P262" s="31">
        <v>1</v>
      </c>
      <c r="Q262" s="232">
        <f t="shared" si="112"/>
        <v>0.1</v>
      </c>
      <c r="R262" s="40">
        <v>0.85</v>
      </c>
      <c r="S262" s="334">
        <f t="shared" si="113"/>
        <v>8.5000000000000006E-2</v>
      </c>
      <c r="T262" s="31">
        <f>VLOOKUP(A262,'Ansvar kurs'!$A$1:$C$1010,2,FALSE)</f>
        <v>1630</v>
      </c>
      <c r="U262" s="31" t="str">
        <f>VLOOKUP(T262,Orgenheter!$A$1:$C$165,2,FALSE)</f>
        <v>Inst för ide- o samhällsstudier</v>
      </c>
      <c r="V262" s="31" t="str">
        <f>VLOOKUP(T262,Orgenheter!$A$1:$C$165,3,FALSE)</f>
        <v>Hum</v>
      </c>
      <c r="W262" s="37" t="str">
        <f>VLOOKUP(D262,Program!$A$1:$B$34,2,FALSE)</f>
        <v>Ämneslärarprogrammet - Gy</v>
      </c>
      <c r="X262" s="42">
        <f>VLOOKUP(A262,kurspris!$A$1:$Q$798,15,FALSE)</f>
        <v>21634</v>
      </c>
      <c r="Y262" s="42">
        <f>VLOOKUP(A262,kurspris!$A$1:$Q$798,16,FALSE)</f>
        <v>26986</v>
      </c>
      <c r="Z262" s="42">
        <f t="shared" si="114"/>
        <v>4457.21</v>
      </c>
      <c r="AA262" s="42">
        <f>VLOOKUP(A262,kurspris!$A$1:$Q$798,17,FALSE)</f>
        <v>3400</v>
      </c>
      <c r="AB262" s="42">
        <f t="shared" si="115"/>
        <v>340</v>
      </c>
      <c r="AC262" s="42">
        <f t="shared" si="116"/>
        <v>4797.21</v>
      </c>
      <c r="AD262" s="31">
        <f>VLOOKUP($A262,kurspris!$A$1:$Q$835,3,FALSE)</f>
        <v>0</v>
      </c>
      <c r="AE262" s="31">
        <f>VLOOKUP($A262,kurspris!$A$1:$Q$835,4,FALSE)</f>
        <v>0</v>
      </c>
      <c r="AF262" s="31">
        <f>VLOOKUP($A262,kurspris!$A$1:$Q$835,5,FALSE)</f>
        <v>0</v>
      </c>
      <c r="AG262" s="31">
        <f>VLOOKUP($A262,kurspris!$A$1:$Q$835,6,FALSE)</f>
        <v>0</v>
      </c>
      <c r="AH262" s="31">
        <f>VLOOKUP($A262,kurspris!$A$1:$Q$835,7,FALSE)</f>
        <v>0</v>
      </c>
      <c r="AI262" s="31">
        <f>VLOOKUP($A262,kurspris!$A$1:$Q$835,8,FALSE)</f>
        <v>0</v>
      </c>
      <c r="AJ262" s="31">
        <f>VLOOKUP($A262,kurspris!$A$1:$Q$835,9,FALSE)</f>
        <v>0</v>
      </c>
      <c r="AK262" s="31">
        <f>VLOOKUP($A262,kurspris!$A$1:$Q$835,10,FALSE)</f>
        <v>0</v>
      </c>
      <c r="AL262" s="31">
        <f>VLOOKUP($A262,kurspris!$A$1:$Q$835,11,FALSE)</f>
        <v>1</v>
      </c>
      <c r="AM262" s="31">
        <f>VLOOKUP($A262,kurspris!$A$1:$Q$835,12,FALSE)</f>
        <v>0</v>
      </c>
      <c r="AN262" s="31">
        <f>VLOOKUP($A262,kurspris!$A$1:$Q$835,13,FALSE)</f>
        <v>0</v>
      </c>
      <c r="AO262" s="31">
        <f>VLOOKUP($A262,kurspris!$A$1:$Q$835,14,FALSE)</f>
        <v>0</v>
      </c>
      <c r="AP262" s="39" t="s">
        <v>2326</v>
      </c>
      <c r="AQ262"/>
      <c r="AR262" s="31">
        <f t="shared" si="117"/>
        <v>0</v>
      </c>
      <c r="AS262" s="255">
        <f t="shared" si="118"/>
        <v>0</v>
      </c>
      <c r="AT262" s="31">
        <f t="shared" si="119"/>
        <v>0</v>
      </c>
      <c r="AU262" s="255">
        <f t="shared" si="120"/>
        <v>0</v>
      </c>
      <c r="AV262" s="31">
        <f t="shared" si="121"/>
        <v>0</v>
      </c>
      <c r="AW262" s="31">
        <f t="shared" si="122"/>
        <v>0</v>
      </c>
      <c r="AX262" s="31">
        <f t="shared" si="123"/>
        <v>0</v>
      </c>
      <c r="AY262" s="255">
        <f t="shared" si="124"/>
        <v>0</v>
      </c>
      <c r="AZ262" s="232">
        <f t="shared" si="125"/>
        <v>0</v>
      </c>
      <c r="BA262" s="255">
        <f t="shared" si="126"/>
        <v>0</v>
      </c>
      <c r="BB262" s="31">
        <f t="shared" si="127"/>
        <v>0</v>
      </c>
      <c r="BC262" s="255">
        <f t="shared" si="128"/>
        <v>0</v>
      </c>
      <c r="BD262" s="31">
        <f t="shared" si="129"/>
        <v>0</v>
      </c>
      <c r="BE262" s="255">
        <f t="shared" si="130"/>
        <v>0</v>
      </c>
      <c r="BF262" s="31">
        <f t="shared" si="131"/>
        <v>0</v>
      </c>
      <c r="BG262" s="255">
        <f t="shared" si="132"/>
        <v>0</v>
      </c>
      <c r="BH262" s="31">
        <f t="shared" si="133"/>
        <v>0.1</v>
      </c>
      <c r="BI262" s="255">
        <f t="shared" si="134"/>
        <v>8.5000000000000006E-2</v>
      </c>
      <c r="BJ262" s="31">
        <f t="shared" si="135"/>
        <v>0</v>
      </c>
      <c r="BK262" s="31">
        <f t="shared" si="136"/>
        <v>0</v>
      </c>
      <c r="BL262" s="255">
        <f t="shared" si="137"/>
        <v>0</v>
      </c>
      <c r="BM262" s="31">
        <f t="shared" si="138"/>
        <v>0</v>
      </c>
      <c r="BN262" s="255">
        <f t="shared" si="139"/>
        <v>0</v>
      </c>
    </row>
    <row r="263" spans="1:66" x14ac:dyDescent="0.25">
      <c r="A263" s="39" t="s">
        <v>1960</v>
      </c>
      <c r="B263" s="186" t="str">
        <f>VLOOKUP(A263,kurspris!$A$1:$B$877,2,FALSE)</f>
        <v>Historia 2</v>
      </c>
      <c r="C263" s="37"/>
      <c r="D263" s="59" t="s">
        <v>483</v>
      </c>
      <c r="E263" s="62" t="s">
        <v>1976</v>
      </c>
      <c r="F263" s="62" t="s">
        <v>1931</v>
      </c>
      <c r="G263" s="31" t="s">
        <v>2276</v>
      </c>
      <c r="J263" t="s">
        <v>772</v>
      </c>
      <c r="L263" s="31">
        <v>100</v>
      </c>
      <c r="M263" s="376">
        <v>30</v>
      </c>
      <c r="N263" s="40"/>
      <c r="P263" s="31">
        <v>1</v>
      </c>
      <c r="Q263" s="232">
        <f t="shared" si="112"/>
        <v>0.5</v>
      </c>
      <c r="R263" s="40">
        <v>0.85</v>
      </c>
      <c r="S263" s="334">
        <f t="shared" si="113"/>
        <v>0.42499999999999999</v>
      </c>
      <c r="T263" s="31">
        <f>VLOOKUP(A263,'Ansvar kurs'!$A$1:$C$1010,2,FALSE)</f>
        <v>1630</v>
      </c>
      <c r="U263" s="31" t="str">
        <f>VLOOKUP(T263,Orgenheter!$A$1:$C$165,2,FALSE)</f>
        <v>Inst för ide- o samhällsstudier</v>
      </c>
      <c r="V263" s="31" t="str">
        <f>VLOOKUP(T263,Orgenheter!$A$1:$C$165,3,FALSE)</f>
        <v>Hum</v>
      </c>
      <c r="W263" s="37" t="str">
        <f>VLOOKUP(D263,Program!$A$1:$B$34,2,FALSE)</f>
        <v>Ämneslärarprogrammet - Gy</v>
      </c>
      <c r="X263" s="42">
        <f>VLOOKUP(A263,kurspris!$A$1:$Q$798,15,FALSE)</f>
        <v>18405</v>
      </c>
      <c r="Y263" s="42">
        <f>VLOOKUP(A263,kurspris!$A$1:$Q$798,16,FALSE)</f>
        <v>15773</v>
      </c>
      <c r="Z263" s="42">
        <f t="shared" si="114"/>
        <v>15906.025</v>
      </c>
      <c r="AA263" s="42">
        <f>VLOOKUP(A263,kurspris!$A$1:$Q$798,17,FALSE)</f>
        <v>5800</v>
      </c>
      <c r="AB263" s="42">
        <f t="shared" si="115"/>
        <v>2900</v>
      </c>
      <c r="AC263" s="42">
        <f t="shared" si="116"/>
        <v>18806.025000000001</v>
      </c>
      <c r="AD263" s="31">
        <f>VLOOKUP($A263,kurspris!$A$1:$Q$835,3,FALSE)</f>
        <v>0</v>
      </c>
      <c r="AE263" s="31">
        <f>VLOOKUP($A263,kurspris!$A$1:$Q$835,4,FALSE)</f>
        <v>1</v>
      </c>
      <c r="AF263" s="31">
        <f>VLOOKUP($A263,kurspris!$A$1:$Q$835,5,FALSE)</f>
        <v>0</v>
      </c>
      <c r="AG263" s="31">
        <f>VLOOKUP($A263,kurspris!$A$1:$Q$835,6,FALSE)</f>
        <v>0</v>
      </c>
      <c r="AH263" s="31">
        <f>VLOOKUP($A263,kurspris!$A$1:$Q$835,7,FALSE)</f>
        <v>0</v>
      </c>
      <c r="AI263" s="31">
        <f>VLOOKUP($A263,kurspris!$A$1:$Q$835,8,FALSE)</f>
        <v>0</v>
      </c>
      <c r="AJ263" s="31">
        <f>VLOOKUP($A263,kurspris!$A$1:$Q$835,9,FALSE)</f>
        <v>0</v>
      </c>
      <c r="AK263" s="31">
        <f>VLOOKUP($A263,kurspris!$A$1:$Q$835,10,FALSE)</f>
        <v>0</v>
      </c>
      <c r="AL263" s="31">
        <f>VLOOKUP($A263,kurspris!$A$1:$Q$835,11,FALSE)</f>
        <v>0</v>
      </c>
      <c r="AM263" s="31">
        <f>VLOOKUP($A263,kurspris!$A$1:$Q$835,12,FALSE)</f>
        <v>0</v>
      </c>
      <c r="AN263" s="31">
        <f>VLOOKUP($A263,kurspris!$A$1:$Q$835,13,FALSE)</f>
        <v>0</v>
      </c>
      <c r="AO263" s="31">
        <f>VLOOKUP($A263,kurspris!$A$1:$Q$835,14,FALSE)</f>
        <v>0</v>
      </c>
      <c r="AP263" s="39" t="s">
        <v>2326</v>
      </c>
      <c r="AQ263"/>
      <c r="AR263" s="31">
        <f t="shared" si="117"/>
        <v>0</v>
      </c>
      <c r="AS263" s="255">
        <f t="shared" si="118"/>
        <v>0</v>
      </c>
      <c r="AT263" s="31">
        <f t="shared" si="119"/>
        <v>0.5</v>
      </c>
      <c r="AU263" s="255">
        <f t="shared" si="120"/>
        <v>0.42499999999999999</v>
      </c>
      <c r="AV263" s="31">
        <f t="shared" si="121"/>
        <v>0</v>
      </c>
      <c r="AW263" s="31">
        <f t="shared" si="122"/>
        <v>0</v>
      </c>
      <c r="AX263" s="31">
        <f t="shared" si="123"/>
        <v>0</v>
      </c>
      <c r="AY263" s="255">
        <f t="shared" si="124"/>
        <v>0</v>
      </c>
      <c r="AZ263" s="232">
        <f t="shared" si="125"/>
        <v>0</v>
      </c>
      <c r="BA263" s="255">
        <f t="shared" si="126"/>
        <v>0</v>
      </c>
      <c r="BB263" s="31">
        <f t="shared" si="127"/>
        <v>0</v>
      </c>
      <c r="BC263" s="255">
        <f t="shared" si="128"/>
        <v>0</v>
      </c>
      <c r="BD263" s="31">
        <f t="shared" si="129"/>
        <v>0</v>
      </c>
      <c r="BE263" s="255">
        <f t="shared" si="130"/>
        <v>0</v>
      </c>
      <c r="BF263" s="31">
        <f t="shared" si="131"/>
        <v>0</v>
      </c>
      <c r="BG263" s="255">
        <f t="shared" si="132"/>
        <v>0</v>
      </c>
      <c r="BH263" s="31">
        <f t="shared" si="133"/>
        <v>0</v>
      </c>
      <c r="BI263" s="255">
        <f t="shared" si="134"/>
        <v>0</v>
      </c>
      <c r="BJ263" s="31">
        <f t="shared" si="135"/>
        <v>0</v>
      </c>
      <c r="BK263" s="31">
        <f t="shared" si="136"/>
        <v>0</v>
      </c>
      <c r="BL263" s="255">
        <f t="shared" si="137"/>
        <v>0</v>
      </c>
      <c r="BM263" s="31">
        <f t="shared" si="138"/>
        <v>0</v>
      </c>
      <c r="BN263" s="255">
        <f t="shared" si="139"/>
        <v>0</v>
      </c>
    </row>
    <row r="264" spans="1:66" x14ac:dyDescent="0.25">
      <c r="A264" s="18" t="s">
        <v>1960</v>
      </c>
      <c r="B264" s="186" t="str">
        <f>VLOOKUP(A264,kurspris!$A$1:$B$877,2,FALSE)</f>
        <v>Historia 2</v>
      </c>
      <c r="C264" s="37"/>
      <c r="D264" s="31" t="s">
        <v>483</v>
      </c>
      <c r="E264" s="31" t="s">
        <v>1973</v>
      </c>
      <c r="F264" s="59" t="s">
        <v>1931</v>
      </c>
      <c r="G264" s="31" t="s">
        <v>2276</v>
      </c>
      <c r="J264" t="s">
        <v>771</v>
      </c>
      <c r="L264" s="31">
        <v>100</v>
      </c>
      <c r="M264" s="31">
        <v>30</v>
      </c>
      <c r="P264" s="31">
        <v>1</v>
      </c>
      <c r="Q264" s="232">
        <f t="shared" si="112"/>
        <v>0.5</v>
      </c>
      <c r="R264" s="40">
        <v>0.85</v>
      </c>
      <c r="S264" s="334">
        <f t="shared" si="113"/>
        <v>0.42499999999999999</v>
      </c>
      <c r="T264" s="31">
        <f>VLOOKUP(A264,'Ansvar kurs'!$A$1:$C$1010,2,FALSE)</f>
        <v>1630</v>
      </c>
      <c r="U264" s="31" t="str">
        <f>VLOOKUP(T264,Orgenheter!$A$1:$C$165,2,FALSE)</f>
        <v>Inst för ide- o samhällsstudier</v>
      </c>
      <c r="V264" s="31" t="str">
        <f>VLOOKUP(T264,Orgenheter!$A$1:$C$165,3,FALSE)</f>
        <v>Hum</v>
      </c>
      <c r="W264" s="37" t="str">
        <f>VLOOKUP(D264,Program!$A$1:$B$34,2,FALSE)</f>
        <v>Ämneslärarprogrammet - Gy</v>
      </c>
      <c r="X264" s="42">
        <f>VLOOKUP(A264,kurspris!$A$1:$Q$798,15,FALSE)</f>
        <v>18405</v>
      </c>
      <c r="Y264" s="42">
        <f>VLOOKUP(A264,kurspris!$A$1:$Q$798,16,FALSE)</f>
        <v>15773</v>
      </c>
      <c r="Z264" s="42">
        <f t="shared" si="114"/>
        <v>15906.025</v>
      </c>
      <c r="AA264" s="42">
        <f>VLOOKUP(A264,kurspris!$A$1:$Q$798,17,FALSE)</f>
        <v>5800</v>
      </c>
      <c r="AB264" s="42">
        <f t="shared" si="115"/>
        <v>2900</v>
      </c>
      <c r="AC264" s="42">
        <f t="shared" si="116"/>
        <v>18806.025000000001</v>
      </c>
      <c r="AD264" s="31">
        <f>VLOOKUP($A264,kurspris!$A$1:$Q$835,3,FALSE)</f>
        <v>0</v>
      </c>
      <c r="AE264" s="31">
        <f>VLOOKUP($A264,kurspris!$A$1:$Q$835,4,FALSE)</f>
        <v>1</v>
      </c>
      <c r="AF264" s="31">
        <f>VLOOKUP($A264,kurspris!$A$1:$Q$835,5,FALSE)</f>
        <v>0</v>
      </c>
      <c r="AG264" s="31">
        <f>VLOOKUP($A264,kurspris!$A$1:$Q$835,6,FALSE)</f>
        <v>0</v>
      </c>
      <c r="AH264" s="31">
        <f>VLOOKUP($A264,kurspris!$A$1:$Q$835,7,FALSE)</f>
        <v>0</v>
      </c>
      <c r="AI264" s="31">
        <f>VLOOKUP($A264,kurspris!$A$1:$Q$835,8,FALSE)</f>
        <v>0</v>
      </c>
      <c r="AJ264" s="31">
        <f>VLOOKUP($A264,kurspris!$A$1:$Q$835,9,FALSE)</f>
        <v>0</v>
      </c>
      <c r="AK264" s="31">
        <f>VLOOKUP($A264,kurspris!$A$1:$Q$835,10,FALSE)</f>
        <v>0</v>
      </c>
      <c r="AL264" s="31">
        <f>VLOOKUP($A264,kurspris!$A$1:$Q$835,11,FALSE)</f>
        <v>0</v>
      </c>
      <c r="AM264" s="31">
        <f>VLOOKUP($A264,kurspris!$A$1:$Q$835,12,FALSE)</f>
        <v>0</v>
      </c>
      <c r="AN264" s="31">
        <f>VLOOKUP($A264,kurspris!$A$1:$Q$835,13,FALSE)</f>
        <v>0</v>
      </c>
      <c r="AO264" s="31">
        <f>VLOOKUP($A264,kurspris!$A$1:$Q$835,14,FALSE)</f>
        <v>0</v>
      </c>
      <c r="AP264" s="39" t="s">
        <v>2326</v>
      </c>
      <c r="AQ264"/>
      <c r="AR264" s="31">
        <f t="shared" si="117"/>
        <v>0</v>
      </c>
      <c r="AS264" s="255">
        <f t="shared" si="118"/>
        <v>0</v>
      </c>
      <c r="AT264" s="31">
        <f t="shared" si="119"/>
        <v>0.5</v>
      </c>
      <c r="AU264" s="255">
        <f t="shared" si="120"/>
        <v>0.42499999999999999</v>
      </c>
      <c r="AV264" s="31">
        <f t="shared" si="121"/>
        <v>0</v>
      </c>
      <c r="AW264" s="31">
        <f t="shared" si="122"/>
        <v>0</v>
      </c>
      <c r="AX264" s="31">
        <f t="shared" si="123"/>
        <v>0</v>
      </c>
      <c r="AY264" s="255">
        <f t="shared" si="124"/>
        <v>0</v>
      </c>
      <c r="AZ264" s="232">
        <f t="shared" si="125"/>
        <v>0</v>
      </c>
      <c r="BA264" s="255">
        <f t="shared" si="126"/>
        <v>0</v>
      </c>
      <c r="BB264" s="31">
        <f t="shared" si="127"/>
        <v>0</v>
      </c>
      <c r="BC264" s="255">
        <f t="shared" si="128"/>
        <v>0</v>
      </c>
      <c r="BD264" s="31">
        <f t="shared" si="129"/>
        <v>0</v>
      </c>
      <c r="BE264" s="255">
        <f t="shared" si="130"/>
        <v>0</v>
      </c>
      <c r="BF264" s="31">
        <f t="shared" si="131"/>
        <v>0</v>
      </c>
      <c r="BG264" s="255">
        <f t="shared" si="132"/>
        <v>0</v>
      </c>
      <c r="BH264" s="31">
        <f t="shared" si="133"/>
        <v>0</v>
      </c>
      <c r="BI264" s="255">
        <f t="shared" si="134"/>
        <v>0</v>
      </c>
      <c r="BJ264" s="31">
        <f t="shared" si="135"/>
        <v>0</v>
      </c>
      <c r="BK264" s="31">
        <f t="shared" si="136"/>
        <v>0</v>
      </c>
      <c r="BL264" s="255">
        <f t="shared" si="137"/>
        <v>0</v>
      </c>
      <c r="BM264" s="31">
        <f t="shared" si="138"/>
        <v>0</v>
      </c>
      <c r="BN264" s="255">
        <f t="shared" si="139"/>
        <v>0</v>
      </c>
    </row>
    <row r="265" spans="1:66" x14ac:dyDescent="0.25">
      <c r="A265" s="18" t="s">
        <v>1960</v>
      </c>
      <c r="B265" s="186" t="str">
        <f>VLOOKUP(A265,kurspris!$A$1:$B$877,2,FALSE)</f>
        <v>Historia 2</v>
      </c>
      <c r="C265" s="37"/>
      <c r="D265" s="31" t="s">
        <v>483</v>
      </c>
      <c r="E265" s="31" t="s">
        <v>1973</v>
      </c>
      <c r="F265" s="59" t="s">
        <v>1931</v>
      </c>
      <c r="G265" s="31" t="s">
        <v>2276</v>
      </c>
      <c r="J265" t="s">
        <v>778</v>
      </c>
      <c r="L265" s="31">
        <v>100</v>
      </c>
      <c r="M265" s="31">
        <v>30</v>
      </c>
      <c r="P265" s="31">
        <v>1</v>
      </c>
      <c r="Q265" s="232">
        <f t="shared" si="112"/>
        <v>0.5</v>
      </c>
      <c r="R265" s="40">
        <v>0.85</v>
      </c>
      <c r="S265" s="334">
        <f t="shared" si="113"/>
        <v>0.42499999999999999</v>
      </c>
      <c r="T265" s="31">
        <f>VLOOKUP(A265,'Ansvar kurs'!$A$1:$C$1010,2,FALSE)</f>
        <v>1630</v>
      </c>
      <c r="U265" s="31" t="str">
        <f>VLOOKUP(T265,Orgenheter!$A$1:$C$165,2,FALSE)</f>
        <v>Inst för ide- o samhällsstudier</v>
      </c>
      <c r="V265" s="31" t="str">
        <f>VLOOKUP(T265,Orgenheter!$A$1:$C$165,3,FALSE)</f>
        <v>Hum</v>
      </c>
      <c r="W265" s="37" t="str">
        <f>VLOOKUP(D265,Program!$A$1:$B$34,2,FALSE)</f>
        <v>Ämneslärarprogrammet - Gy</v>
      </c>
      <c r="X265" s="42">
        <f>VLOOKUP(A265,kurspris!$A$1:$Q$798,15,FALSE)</f>
        <v>18405</v>
      </c>
      <c r="Y265" s="42">
        <f>VLOOKUP(A265,kurspris!$A$1:$Q$798,16,FALSE)</f>
        <v>15773</v>
      </c>
      <c r="Z265" s="42">
        <f t="shared" si="114"/>
        <v>15906.025</v>
      </c>
      <c r="AA265" s="42">
        <f>VLOOKUP(A265,kurspris!$A$1:$Q$798,17,FALSE)</f>
        <v>5800</v>
      </c>
      <c r="AB265" s="42">
        <f t="shared" si="115"/>
        <v>2900</v>
      </c>
      <c r="AC265" s="42">
        <f t="shared" si="116"/>
        <v>18806.025000000001</v>
      </c>
      <c r="AD265" s="31">
        <f>VLOOKUP($A265,kurspris!$A$1:$Q$835,3,FALSE)</f>
        <v>0</v>
      </c>
      <c r="AE265" s="31">
        <f>VLOOKUP($A265,kurspris!$A$1:$Q$835,4,FALSE)</f>
        <v>1</v>
      </c>
      <c r="AF265" s="31">
        <f>VLOOKUP($A265,kurspris!$A$1:$Q$835,5,FALSE)</f>
        <v>0</v>
      </c>
      <c r="AG265" s="31">
        <f>VLOOKUP($A265,kurspris!$A$1:$Q$835,6,FALSE)</f>
        <v>0</v>
      </c>
      <c r="AH265" s="31">
        <f>VLOOKUP($A265,kurspris!$A$1:$Q$835,7,FALSE)</f>
        <v>0</v>
      </c>
      <c r="AI265" s="31">
        <f>VLOOKUP($A265,kurspris!$A$1:$Q$835,8,FALSE)</f>
        <v>0</v>
      </c>
      <c r="AJ265" s="31">
        <f>VLOOKUP($A265,kurspris!$A$1:$Q$835,9,FALSE)</f>
        <v>0</v>
      </c>
      <c r="AK265" s="31">
        <f>VLOOKUP($A265,kurspris!$A$1:$Q$835,10,FALSE)</f>
        <v>0</v>
      </c>
      <c r="AL265" s="31">
        <f>VLOOKUP($A265,kurspris!$A$1:$Q$835,11,FALSE)</f>
        <v>0</v>
      </c>
      <c r="AM265" s="31">
        <f>VLOOKUP($A265,kurspris!$A$1:$Q$835,12,FALSE)</f>
        <v>0</v>
      </c>
      <c r="AN265" s="31">
        <f>VLOOKUP($A265,kurspris!$A$1:$Q$835,13,FALSE)</f>
        <v>0</v>
      </c>
      <c r="AO265" s="31">
        <f>VLOOKUP($A265,kurspris!$A$1:$Q$835,14,FALSE)</f>
        <v>0</v>
      </c>
      <c r="AP265" s="39" t="s">
        <v>2326</v>
      </c>
      <c r="AQ265"/>
      <c r="AR265" s="31">
        <f t="shared" si="117"/>
        <v>0</v>
      </c>
      <c r="AS265" s="255">
        <f t="shared" si="118"/>
        <v>0</v>
      </c>
      <c r="AT265" s="31">
        <f t="shared" si="119"/>
        <v>0.5</v>
      </c>
      <c r="AU265" s="255">
        <f t="shared" si="120"/>
        <v>0.42499999999999999</v>
      </c>
      <c r="AV265" s="31">
        <f t="shared" si="121"/>
        <v>0</v>
      </c>
      <c r="AW265" s="31">
        <f t="shared" si="122"/>
        <v>0</v>
      </c>
      <c r="AX265" s="31">
        <f t="shared" si="123"/>
        <v>0</v>
      </c>
      <c r="AY265" s="255">
        <f t="shared" si="124"/>
        <v>0</v>
      </c>
      <c r="AZ265" s="232">
        <f t="shared" si="125"/>
        <v>0</v>
      </c>
      <c r="BA265" s="255">
        <f t="shared" si="126"/>
        <v>0</v>
      </c>
      <c r="BB265" s="31">
        <f t="shared" si="127"/>
        <v>0</v>
      </c>
      <c r="BC265" s="255">
        <f t="shared" si="128"/>
        <v>0</v>
      </c>
      <c r="BD265" s="31">
        <f t="shared" si="129"/>
        <v>0</v>
      </c>
      <c r="BE265" s="255">
        <f t="shared" si="130"/>
        <v>0</v>
      </c>
      <c r="BF265" s="31">
        <f t="shared" si="131"/>
        <v>0</v>
      </c>
      <c r="BG265" s="255">
        <f t="shared" si="132"/>
        <v>0</v>
      </c>
      <c r="BH265" s="31">
        <f t="shared" si="133"/>
        <v>0</v>
      </c>
      <c r="BI265" s="255">
        <f t="shared" si="134"/>
        <v>0</v>
      </c>
      <c r="BJ265" s="31">
        <f t="shared" si="135"/>
        <v>0</v>
      </c>
      <c r="BK265" s="31">
        <f t="shared" si="136"/>
        <v>0</v>
      </c>
      <c r="BL265" s="255">
        <f t="shared" si="137"/>
        <v>0</v>
      </c>
      <c r="BM265" s="31">
        <f t="shared" si="138"/>
        <v>0</v>
      </c>
      <c r="BN265" s="255">
        <f t="shared" si="139"/>
        <v>0</v>
      </c>
    </row>
    <row r="266" spans="1:66" x14ac:dyDescent="0.25">
      <c r="A266" s="18" t="s">
        <v>1960</v>
      </c>
      <c r="B266" s="186" t="str">
        <f>VLOOKUP(A266,kurspris!$A$1:$B$877,2,FALSE)</f>
        <v>Historia 2</v>
      </c>
      <c r="C266" s="37"/>
      <c r="D266" s="31" t="s">
        <v>483</v>
      </c>
      <c r="E266" s="31" t="s">
        <v>1788</v>
      </c>
      <c r="F266" s="59" t="s">
        <v>1931</v>
      </c>
      <c r="G266" s="31" t="s">
        <v>2276</v>
      </c>
      <c r="J266" t="s">
        <v>772</v>
      </c>
      <c r="L266" s="31">
        <v>100</v>
      </c>
      <c r="M266" s="31">
        <v>30</v>
      </c>
      <c r="P266" s="31">
        <v>17</v>
      </c>
      <c r="Q266" s="232">
        <f t="shared" si="112"/>
        <v>8.5</v>
      </c>
      <c r="R266" s="40">
        <v>0.85</v>
      </c>
      <c r="S266" s="334">
        <f t="shared" si="113"/>
        <v>7.2249999999999996</v>
      </c>
      <c r="T266" s="31">
        <f>VLOOKUP(A266,'Ansvar kurs'!$A$1:$C$1010,2,FALSE)</f>
        <v>1630</v>
      </c>
      <c r="U266" s="31" t="str">
        <f>VLOOKUP(T266,Orgenheter!$A$1:$C$165,2,FALSE)</f>
        <v>Inst för ide- o samhällsstudier</v>
      </c>
      <c r="V266" s="31" t="str">
        <f>VLOOKUP(T266,Orgenheter!$A$1:$C$165,3,FALSE)</f>
        <v>Hum</v>
      </c>
      <c r="W266" s="37" t="str">
        <f>VLOOKUP(D266,Program!$A$1:$B$34,2,FALSE)</f>
        <v>Ämneslärarprogrammet - Gy</v>
      </c>
      <c r="X266" s="42">
        <f>VLOOKUP(A266,kurspris!$A$1:$Q$798,15,FALSE)</f>
        <v>18405</v>
      </c>
      <c r="Y266" s="42">
        <f>VLOOKUP(A266,kurspris!$A$1:$Q$798,16,FALSE)</f>
        <v>15773</v>
      </c>
      <c r="Z266" s="42">
        <f t="shared" si="114"/>
        <v>270402.42499999999</v>
      </c>
      <c r="AA266" s="42">
        <f>VLOOKUP(A266,kurspris!$A$1:$Q$798,17,FALSE)</f>
        <v>5800</v>
      </c>
      <c r="AB266" s="42">
        <f t="shared" si="115"/>
        <v>49300</v>
      </c>
      <c r="AC266" s="42">
        <f t="shared" si="116"/>
        <v>319702.42499999999</v>
      </c>
      <c r="AD266" s="31">
        <f>VLOOKUP($A266,kurspris!$A$1:$Q$835,3,FALSE)</f>
        <v>0</v>
      </c>
      <c r="AE266" s="31">
        <f>VLOOKUP($A266,kurspris!$A$1:$Q$835,4,FALSE)</f>
        <v>1</v>
      </c>
      <c r="AF266" s="31">
        <f>VLOOKUP($A266,kurspris!$A$1:$Q$835,5,FALSE)</f>
        <v>0</v>
      </c>
      <c r="AG266" s="31">
        <f>VLOOKUP($A266,kurspris!$A$1:$Q$835,6,FALSE)</f>
        <v>0</v>
      </c>
      <c r="AH266" s="31">
        <f>VLOOKUP($A266,kurspris!$A$1:$Q$835,7,FALSE)</f>
        <v>0</v>
      </c>
      <c r="AI266" s="31">
        <f>VLOOKUP($A266,kurspris!$A$1:$Q$835,8,FALSE)</f>
        <v>0</v>
      </c>
      <c r="AJ266" s="31">
        <f>VLOOKUP($A266,kurspris!$A$1:$Q$835,9,FALSE)</f>
        <v>0</v>
      </c>
      <c r="AK266" s="31">
        <f>VLOOKUP($A266,kurspris!$A$1:$Q$835,10,FALSE)</f>
        <v>0</v>
      </c>
      <c r="AL266" s="31">
        <f>VLOOKUP($A266,kurspris!$A$1:$Q$835,11,FALSE)</f>
        <v>0</v>
      </c>
      <c r="AM266" s="31">
        <f>VLOOKUP($A266,kurspris!$A$1:$Q$835,12,FALSE)</f>
        <v>0</v>
      </c>
      <c r="AN266" s="31">
        <f>VLOOKUP($A266,kurspris!$A$1:$Q$835,13,FALSE)</f>
        <v>0</v>
      </c>
      <c r="AO266" s="31">
        <f>VLOOKUP($A266,kurspris!$A$1:$Q$835,14,FALSE)</f>
        <v>0</v>
      </c>
      <c r="AP266" s="39" t="s">
        <v>2326</v>
      </c>
      <c r="AQ266"/>
      <c r="AR266" s="31">
        <f t="shared" si="117"/>
        <v>0</v>
      </c>
      <c r="AS266" s="255">
        <f t="shared" si="118"/>
        <v>0</v>
      </c>
      <c r="AT266" s="31">
        <f t="shared" si="119"/>
        <v>8.5</v>
      </c>
      <c r="AU266" s="255">
        <f t="shared" si="120"/>
        <v>7.2249999999999996</v>
      </c>
      <c r="AV266" s="31">
        <f t="shared" si="121"/>
        <v>0</v>
      </c>
      <c r="AW266" s="31">
        <f t="shared" si="122"/>
        <v>0</v>
      </c>
      <c r="AX266" s="31">
        <f t="shared" si="123"/>
        <v>0</v>
      </c>
      <c r="AY266" s="255">
        <f t="shared" si="124"/>
        <v>0</v>
      </c>
      <c r="AZ266" s="232">
        <f t="shared" si="125"/>
        <v>0</v>
      </c>
      <c r="BA266" s="255">
        <f t="shared" si="126"/>
        <v>0</v>
      </c>
      <c r="BB266" s="31">
        <f t="shared" si="127"/>
        <v>0</v>
      </c>
      <c r="BC266" s="255">
        <f t="shared" si="128"/>
        <v>0</v>
      </c>
      <c r="BD266" s="31">
        <f t="shared" si="129"/>
        <v>0</v>
      </c>
      <c r="BE266" s="255">
        <f t="shared" si="130"/>
        <v>0</v>
      </c>
      <c r="BF266" s="31">
        <f t="shared" si="131"/>
        <v>0</v>
      </c>
      <c r="BG266" s="255">
        <f t="shared" si="132"/>
        <v>0</v>
      </c>
      <c r="BH266" s="31">
        <f t="shared" si="133"/>
        <v>0</v>
      </c>
      <c r="BI266" s="255">
        <f t="shared" si="134"/>
        <v>0</v>
      </c>
      <c r="BJ266" s="31">
        <f t="shared" si="135"/>
        <v>0</v>
      </c>
      <c r="BK266" s="31">
        <f t="shared" si="136"/>
        <v>0</v>
      </c>
      <c r="BL266" s="255">
        <f t="shared" si="137"/>
        <v>0</v>
      </c>
      <c r="BM266" s="31">
        <f t="shared" si="138"/>
        <v>0</v>
      </c>
      <c r="BN266" s="255">
        <f t="shared" si="139"/>
        <v>0</v>
      </c>
    </row>
    <row r="267" spans="1:66" x14ac:dyDescent="0.25">
      <c r="A267" s="18" t="s">
        <v>1960</v>
      </c>
      <c r="B267" s="186" t="str">
        <f>VLOOKUP(A267,kurspris!$A$1:$B$877,2,FALSE)</f>
        <v>Historia 2</v>
      </c>
      <c r="C267" s="37"/>
      <c r="D267" s="31" t="s">
        <v>483</v>
      </c>
      <c r="E267" s="31" t="s">
        <v>1931</v>
      </c>
      <c r="F267" s="59" t="s">
        <v>1931</v>
      </c>
      <c r="G267" s="31" t="s">
        <v>2276</v>
      </c>
      <c r="J267" t="s">
        <v>772</v>
      </c>
      <c r="L267" s="31">
        <v>100</v>
      </c>
      <c r="M267" s="31">
        <v>30</v>
      </c>
      <c r="P267" s="31">
        <v>1</v>
      </c>
      <c r="Q267" s="232">
        <f t="shared" si="112"/>
        <v>0.5</v>
      </c>
      <c r="R267" s="40">
        <v>0.85</v>
      </c>
      <c r="S267" s="334">
        <f t="shared" si="113"/>
        <v>0.42499999999999999</v>
      </c>
      <c r="T267" s="31">
        <f>VLOOKUP(A267,'Ansvar kurs'!$A$1:$C$1010,2,FALSE)</f>
        <v>1630</v>
      </c>
      <c r="U267" s="31" t="str">
        <f>VLOOKUP(T267,Orgenheter!$A$1:$C$165,2,FALSE)</f>
        <v>Inst för ide- o samhällsstudier</v>
      </c>
      <c r="V267" s="31" t="str">
        <f>VLOOKUP(T267,Orgenheter!$A$1:$C$165,3,FALSE)</f>
        <v>Hum</v>
      </c>
      <c r="W267" s="37" t="str">
        <f>VLOOKUP(D267,Program!$A$1:$B$34,2,FALSE)</f>
        <v>Ämneslärarprogrammet - Gy</v>
      </c>
      <c r="X267" s="42">
        <f>VLOOKUP(A267,kurspris!$A$1:$Q$798,15,FALSE)</f>
        <v>18405</v>
      </c>
      <c r="Y267" s="42">
        <f>VLOOKUP(A267,kurspris!$A$1:$Q$798,16,FALSE)</f>
        <v>15773</v>
      </c>
      <c r="Z267" s="42">
        <f t="shared" si="114"/>
        <v>15906.025</v>
      </c>
      <c r="AA267" s="42">
        <f>VLOOKUP(A267,kurspris!$A$1:$Q$798,17,FALSE)</f>
        <v>5800</v>
      </c>
      <c r="AB267" s="42">
        <f t="shared" si="115"/>
        <v>2900</v>
      </c>
      <c r="AC267" s="42">
        <f t="shared" si="116"/>
        <v>18806.025000000001</v>
      </c>
      <c r="AD267" s="31">
        <f>VLOOKUP($A267,kurspris!$A$1:$Q$835,3,FALSE)</f>
        <v>0</v>
      </c>
      <c r="AE267" s="31">
        <f>VLOOKUP($A267,kurspris!$A$1:$Q$835,4,FALSE)</f>
        <v>1</v>
      </c>
      <c r="AF267" s="31">
        <f>VLOOKUP($A267,kurspris!$A$1:$Q$835,5,FALSE)</f>
        <v>0</v>
      </c>
      <c r="AG267" s="31">
        <f>VLOOKUP($A267,kurspris!$A$1:$Q$835,6,FALSE)</f>
        <v>0</v>
      </c>
      <c r="AH267" s="31">
        <f>VLOOKUP($A267,kurspris!$A$1:$Q$835,7,FALSE)</f>
        <v>0</v>
      </c>
      <c r="AI267" s="31">
        <f>VLOOKUP($A267,kurspris!$A$1:$Q$835,8,FALSE)</f>
        <v>0</v>
      </c>
      <c r="AJ267" s="31">
        <f>VLOOKUP($A267,kurspris!$A$1:$Q$835,9,FALSE)</f>
        <v>0</v>
      </c>
      <c r="AK267" s="31">
        <f>VLOOKUP($A267,kurspris!$A$1:$Q$835,10,FALSE)</f>
        <v>0</v>
      </c>
      <c r="AL267" s="31">
        <f>VLOOKUP($A267,kurspris!$A$1:$Q$835,11,FALSE)</f>
        <v>0</v>
      </c>
      <c r="AM267" s="31">
        <f>VLOOKUP($A267,kurspris!$A$1:$Q$835,12,FALSE)</f>
        <v>0</v>
      </c>
      <c r="AN267" s="31">
        <f>VLOOKUP($A267,kurspris!$A$1:$Q$835,13,FALSE)</f>
        <v>0</v>
      </c>
      <c r="AO267" s="31">
        <f>VLOOKUP($A267,kurspris!$A$1:$Q$835,14,FALSE)</f>
        <v>0</v>
      </c>
      <c r="AP267" s="39" t="s">
        <v>2326</v>
      </c>
      <c r="AQ267"/>
      <c r="AR267" s="31">
        <f t="shared" si="117"/>
        <v>0</v>
      </c>
      <c r="AS267" s="255">
        <f t="shared" si="118"/>
        <v>0</v>
      </c>
      <c r="AT267" s="31">
        <f t="shared" si="119"/>
        <v>0.5</v>
      </c>
      <c r="AU267" s="255">
        <f t="shared" si="120"/>
        <v>0.42499999999999999</v>
      </c>
      <c r="AV267" s="31">
        <f t="shared" si="121"/>
        <v>0</v>
      </c>
      <c r="AW267" s="31">
        <f t="shared" si="122"/>
        <v>0</v>
      </c>
      <c r="AX267" s="31">
        <f t="shared" si="123"/>
        <v>0</v>
      </c>
      <c r="AY267" s="255">
        <f t="shared" si="124"/>
        <v>0</v>
      </c>
      <c r="AZ267" s="232">
        <f t="shared" si="125"/>
        <v>0</v>
      </c>
      <c r="BA267" s="255">
        <f t="shared" si="126"/>
        <v>0</v>
      </c>
      <c r="BB267" s="31">
        <f t="shared" si="127"/>
        <v>0</v>
      </c>
      <c r="BC267" s="255">
        <f t="shared" si="128"/>
        <v>0</v>
      </c>
      <c r="BD267" s="31">
        <f t="shared" si="129"/>
        <v>0</v>
      </c>
      <c r="BE267" s="255">
        <f t="shared" si="130"/>
        <v>0</v>
      </c>
      <c r="BF267" s="31">
        <f t="shared" si="131"/>
        <v>0</v>
      </c>
      <c r="BG267" s="255">
        <f t="shared" si="132"/>
        <v>0</v>
      </c>
      <c r="BH267" s="31">
        <f t="shared" si="133"/>
        <v>0</v>
      </c>
      <c r="BI267" s="255">
        <f t="shared" si="134"/>
        <v>0</v>
      </c>
      <c r="BJ267" s="31">
        <f t="shared" si="135"/>
        <v>0</v>
      </c>
      <c r="BK267" s="31">
        <f t="shared" si="136"/>
        <v>0</v>
      </c>
      <c r="BL267" s="255">
        <f t="shared" si="137"/>
        <v>0</v>
      </c>
      <c r="BM267" s="31">
        <f t="shared" si="138"/>
        <v>0</v>
      </c>
      <c r="BN267" s="255">
        <f t="shared" si="139"/>
        <v>0</v>
      </c>
    </row>
    <row r="268" spans="1:66" x14ac:dyDescent="0.25">
      <c r="A268" t="s">
        <v>2111</v>
      </c>
      <c r="B268" s="186" t="str">
        <f>VLOOKUP(A268,kurspris!$A$1:$B$877,2,FALSE)</f>
        <v>Historia 1</v>
      </c>
      <c r="C268"/>
      <c r="D268" t="s">
        <v>483</v>
      </c>
      <c r="E268" t="s">
        <v>1973</v>
      </c>
      <c r="F268" s="59" t="s">
        <v>1930</v>
      </c>
      <c r="G268" t="s">
        <v>1995</v>
      </c>
      <c r="H268" t="s">
        <v>1910</v>
      </c>
      <c r="I268"/>
      <c r="J268" t="s">
        <v>771</v>
      </c>
      <c r="K268"/>
      <c r="L268">
        <v>100</v>
      </c>
      <c r="M268">
        <v>30</v>
      </c>
      <c r="N268"/>
      <c r="O268"/>
      <c r="P268" s="31">
        <v>1</v>
      </c>
      <c r="Q268" s="232">
        <f t="shared" si="112"/>
        <v>0.5</v>
      </c>
      <c r="R268" s="40">
        <v>0.85</v>
      </c>
      <c r="S268" s="334">
        <f t="shared" si="113"/>
        <v>0.42499999999999999</v>
      </c>
      <c r="T268" s="31">
        <f>VLOOKUP(A268,'Ansvar kurs'!$A$1:$C$1010,2,FALSE)</f>
        <v>1630</v>
      </c>
      <c r="U268" s="31" t="str">
        <f>VLOOKUP(T268,Orgenheter!$A$1:$C$165,2,FALSE)</f>
        <v>Inst för ide- o samhällsstudier</v>
      </c>
      <c r="V268" s="31" t="str">
        <f>VLOOKUP(T268,Orgenheter!$A$1:$C$165,3,FALSE)</f>
        <v>Hum</v>
      </c>
      <c r="W268" s="37" t="str">
        <f>VLOOKUP(D268,Program!$A$1:$B$34,2,FALSE)</f>
        <v>Ämneslärarprogrammet - Gy</v>
      </c>
      <c r="X268" s="42">
        <f>VLOOKUP(A268,kurspris!$A$1:$Q$798,15,FALSE)</f>
        <v>18405</v>
      </c>
      <c r="Y268" s="42">
        <f>VLOOKUP(A268,kurspris!$A$1:$Q$798,16,FALSE)</f>
        <v>15773</v>
      </c>
      <c r="Z268" s="42">
        <f t="shared" si="114"/>
        <v>15906.025</v>
      </c>
      <c r="AA268" s="42">
        <f>VLOOKUP(A268,kurspris!$A$1:$Q$798,17,FALSE)</f>
        <v>5800</v>
      </c>
      <c r="AB268" s="42">
        <f t="shared" si="115"/>
        <v>2900</v>
      </c>
      <c r="AC268" s="42">
        <f t="shared" si="116"/>
        <v>18806.025000000001</v>
      </c>
      <c r="AD268" s="31">
        <f>VLOOKUP($A268,kurspris!$A$1:$Q$835,3,FALSE)</f>
        <v>0</v>
      </c>
      <c r="AE268" s="31">
        <f>VLOOKUP($A268,kurspris!$A$1:$Q$835,4,FALSE)</f>
        <v>1</v>
      </c>
      <c r="AF268" s="31">
        <f>VLOOKUP($A268,kurspris!$A$1:$Q$835,5,FALSE)</f>
        <v>0</v>
      </c>
      <c r="AG268" s="31">
        <f>VLOOKUP($A268,kurspris!$A$1:$Q$835,6,FALSE)</f>
        <v>0</v>
      </c>
      <c r="AH268" s="31">
        <f>VLOOKUP($A268,kurspris!$A$1:$Q$835,7,FALSE)</f>
        <v>0</v>
      </c>
      <c r="AI268" s="31">
        <f>VLOOKUP($A268,kurspris!$A$1:$Q$835,8,FALSE)</f>
        <v>0</v>
      </c>
      <c r="AJ268" s="31">
        <f>VLOOKUP($A268,kurspris!$A$1:$Q$835,9,FALSE)</f>
        <v>0</v>
      </c>
      <c r="AK268" s="31">
        <f>VLOOKUP($A268,kurspris!$A$1:$Q$835,10,FALSE)</f>
        <v>0</v>
      </c>
      <c r="AL268" s="31">
        <f>VLOOKUP($A268,kurspris!$A$1:$Q$835,11,FALSE)</f>
        <v>0</v>
      </c>
      <c r="AM268" s="31">
        <f>VLOOKUP($A268,kurspris!$A$1:$Q$835,12,FALSE)</f>
        <v>0</v>
      </c>
      <c r="AN268" s="31">
        <f>VLOOKUP($A268,kurspris!$A$1:$Q$835,13,FALSE)</f>
        <v>0</v>
      </c>
      <c r="AO268" s="31">
        <f>VLOOKUP($A268,kurspris!$A$1:$Q$835,14,FALSE)</f>
        <v>0</v>
      </c>
      <c r="AP268" s="39" t="s">
        <v>2204</v>
      </c>
      <c r="AQ268"/>
      <c r="AR268" s="31">
        <f t="shared" si="117"/>
        <v>0</v>
      </c>
      <c r="AS268" s="255">
        <f t="shared" si="118"/>
        <v>0</v>
      </c>
      <c r="AT268" s="31">
        <f t="shared" si="119"/>
        <v>0.5</v>
      </c>
      <c r="AU268" s="255">
        <f t="shared" si="120"/>
        <v>0.42499999999999999</v>
      </c>
      <c r="AV268" s="31">
        <f t="shared" si="121"/>
        <v>0</v>
      </c>
      <c r="AW268" s="31">
        <f t="shared" si="122"/>
        <v>0</v>
      </c>
      <c r="AX268" s="31">
        <f t="shared" si="123"/>
        <v>0</v>
      </c>
      <c r="AY268" s="255">
        <f t="shared" si="124"/>
        <v>0</v>
      </c>
      <c r="AZ268" s="232">
        <f t="shared" si="125"/>
        <v>0</v>
      </c>
      <c r="BA268" s="255">
        <f t="shared" si="126"/>
        <v>0</v>
      </c>
      <c r="BB268" s="31">
        <f t="shared" si="127"/>
        <v>0</v>
      </c>
      <c r="BC268" s="255">
        <f t="shared" si="128"/>
        <v>0</v>
      </c>
      <c r="BD268" s="31">
        <f t="shared" si="129"/>
        <v>0</v>
      </c>
      <c r="BE268" s="255">
        <f t="shared" si="130"/>
        <v>0</v>
      </c>
      <c r="BF268" s="31">
        <f t="shared" si="131"/>
        <v>0</v>
      </c>
      <c r="BG268" s="255">
        <f t="shared" si="132"/>
        <v>0</v>
      </c>
      <c r="BH268" s="31">
        <f t="shared" si="133"/>
        <v>0</v>
      </c>
      <c r="BI268" s="255">
        <f t="shared" si="134"/>
        <v>0</v>
      </c>
      <c r="BJ268" s="31">
        <f t="shared" si="135"/>
        <v>0</v>
      </c>
      <c r="BK268" s="31">
        <f t="shared" si="136"/>
        <v>0</v>
      </c>
      <c r="BL268" s="255">
        <f t="shared" si="137"/>
        <v>0</v>
      </c>
      <c r="BM268" s="31">
        <f t="shared" si="138"/>
        <v>0</v>
      </c>
      <c r="BN268" s="255">
        <f t="shared" si="139"/>
        <v>0</v>
      </c>
    </row>
    <row r="269" spans="1:66" x14ac:dyDescent="0.25">
      <c r="A269" t="s">
        <v>2111</v>
      </c>
      <c r="B269" s="186" t="str">
        <f>VLOOKUP(A269,kurspris!$A$1:$B$877,2,FALSE)</f>
        <v>Historia 1</v>
      </c>
      <c r="C269"/>
      <c r="D269" t="s">
        <v>483</v>
      </c>
      <c r="E269" t="s">
        <v>1973</v>
      </c>
      <c r="F269" s="59" t="s">
        <v>1930</v>
      </c>
      <c r="G269" t="s">
        <v>1995</v>
      </c>
      <c r="H269" t="s">
        <v>1910</v>
      </c>
      <c r="I269"/>
      <c r="J269" t="s">
        <v>776</v>
      </c>
      <c r="K269"/>
      <c r="L269">
        <v>100</v>
      </c>
      <c r="M269">
        <v>30</v>
      </c>
      <c r="N269"/>
      <c r="O269"/>
      <c r="P269" s="31">
        <v>1</v>
      </c>
      <c r="Q269" s="232">
        <f t="shared" si="112"/>
        <v>0.5</v>
      </c>
      <c r="R269" s="40">
        <v>0.85</v>
      </c>
      <c r="S269" s="334">
        <f t="shared" si="113"/>
        <v>0.42499999999999999</v>
      </c>
      <c r="T269" s="31">
        <f>VLOOKUP(A269,'Ansvar kurs'!$A$1:$C$1010,2,FALSE)</f>
        <v>1630</v>
      </c>
      <c r="U269" s="31" t="str">
        <f>VLOOKUP(T269,Orgenheter!$A$1:$C$165,2,FALSE)</f>
        <v>Inst för ide- o samhällsstudier</v>
      </c>
      <c r="V269" s="31" t="str">
        <f>VLOOKUP(T269,Orgenheter!$A$1:$C$165,3,FALSE)</f>
        <v>Hum</v>
      </c>
      <c r="W269" s="37" t="str">
        <f>VLOOKUP(D269,Program!$A$1:$B$34,2,FALSE)</f>
        <v>Ämneslärarprogrammet - Gy</v>
      </c>
      <c r="X269" s="42">
        <f>VLOOKUP(A269,kurspris!$A$1:$Q$798,15,FALSE)</f>
        <v>18405</v>
      </c>
      <c r="Y269" s="42">
        <f>VLOOKUP(A269,kurspris!$A$1:$Q$798,16,FALSE)</f>
        <v>15773</v>
      </c>
      <c r="Z269" s="42">
        <f t="shared" si="114"/>
        <v>15906.025</v>
      </c>
      <c r="AA269" s="42">
        <f>VLOOKUP(A269,kurspris!$A$1:$Q$798,17,FALSE)</f>
        <v>5800</v>
      </c>
      <c r="AB269" s="42">
        <f t="shared" si="115"/>
        <v>2900</v>
      </c>
      <c r="AC269" s="42">
        <f t="shared" si="116"/>
        <v>18806.025000000001</v>
      </c>
      <c r="AD269" s="31">
        <f>VLOOKUP($A269,kurspris!$A$1:$Q$835,3,FALSE)</f>
        <v>0</v>
      </c>
      <c r="AE269" s="31">
        <f>VLOOKUP($A269,kurspris!$A$1:$Q$835,4,FALSE)</f>
        <v>1</v>
      </c>
      <c r="AF269" s="31">
        <f>VLOOKUP($A269,kurspris!$A$1:$Q$835,5,FALSE)</f>
        <v>0</v>
      </c>
      <c r="AG269" s="31">
        <f>VLOOKUP($A269,kurspris!$A$1:$Q$835,6,FALSE)</f>
        <v>0</v>
      </c>
      <c r="AH269" s="31">
        <f>VLOOKUP($A269,kurspris!$A$1:$Q$835,7,FALSE)</f>
        <v>0</v>
      </c>
      <c r="AI269" s="31">
        <f>VLOOKUP($A269,kurspris!$A$1:$Q$835,8,FALSE)</f>
        <v>0</v>
      </c>
      <c r="AJ269" s="31">
        <f>VLOOKUP($A269,kurspris!$A$1:$Q$835,9,FALSE)</f>
        <v>0</v>
      </c>
      <c r="AK269" s="31">
        <f>VLOOKUP($A269,kurspris!$A$1:$Q$835,10,FALSE)</f>
        <v>0</v>
      </c>
      <c r="AL269" s="31">
        <f>VLOOKUP($A269,kurspris!$A$1:$Q$835,11,FALSE)</f>
        <v>0</v>
      </c>
      <c r="AM269" s="31">
        <f>VLOOKUP($A269,kurspris!$A$1:$Q$835,12,FALSE)</f>
        <v>0</v>
      </c>
      <c r="AN269" s="31">
        <f>VLOOKUP($A269,kurspris!$A$1:$Q$835,13,FALSE)</f>
        <v>0</v>
      </c>
      <c r="AO269" s="31">
        <f>VLOOKUP($A269,kurspris!$A$1:$Q$835,14,FALSE)</f>
        <v>0</v>
      </c>
      <c r="AP269" s="39" t="s">
        <v>2204</v>
      </c>
      <c r="AQ269"/>
      <c r="AR269" s="31">
        <f t="shared" si="117"/>
        <v>0</v>
      </c>
      <c r="AS269" s="255">
        <f t="shared" si="118"/>
        <v>0</v>
      </c>
      <c r="AT269" s="31">
        <f t="shared" si="119"/>
        <v>0.5</v>
      </c>
      <c r="AU269" s="255">
        <f t="shared" si="120"/>
        <v>0.42499999999999999</v>
      </c>
      <c r="AV269" s="31">
        <f t="shared" si="121"/>
        <v>0</v>
      </c>
      <c r="AW269" s="31">
        <f t="shared" si="122"/>
        <v>0</v>
      </c>
      <c r="AX269" s="31">
        <f t="shared" si="123"/>
        <v>0</v>
      </c>
      <c r="AY269" s="255">
        <f t="shared" si="124"/>
        <v>0</v>
      </c>
      <c r="AZ269" s="232">
        <f t="shared" si="125"/>
        <v>0</v>
      </c>
      <c r="BA269" s="255">
        <f t="shared" si="126"/>
        <v>0</v>
      </c>
      <c r="BB269" s="31">
        <f t="shared" si="127"/>
        <v>0</v>
      </c>
      <c r="BC269" s="255">
        <f t="shared" si="128"/>
        <v>0</v>
      </c>
      <c r="BD269" s="31">
        <f t="shared" si="129"/>
        <v>0</v>
      </c>
      <c r="BE269" s="255">
        <f t="shared" si="130"/>
        <v>0</v>
      </c>
      <c r="BF269" s="31">
        <f t="shared" si="131"/>
        <v>0</v>
      </c>
      <c r="BG269" s="255">
        <f t="shared" si="132"/>
        <v>0</v>
      </c>
      <c r="BH269" s="31">
        <f t="shared" si="133"/>
        <v>0</v>
      </c>
      <c r="BI269" s="255">
        <f t="shared" si="134"/>
        <v>0</v>
      </c>
      <c r="BJ269" s="31">
        <f t="shared" si="135"/>
        <v>0</v>
      </c>
      <c r="BK269" s="31">
        <f t="shared" si="136"/>
        <v>0</v>
      </c>
      <c r="BL269" s="255">
        <f t="shared" si="137"/>
        <v>0</v>
      </c>
      <c r="BM269" s="31">
        <f t="shared" si="138"/>
        <v>0</v>
      </c>
      <c r="BN269" s="255">
        <f t="shared" si="139"/>
        <v>0</v>
      </c>
    </row>
    <row r="270" spans="1:66" x14ac:dyDescent="0.25">
      <c r="A270" t="s">
        <v>2111</v>
      </c>
      <c r="B270" s="186" t="str">
        <f>VLOOKUP(A270,kurspris!$A$1:$B$877,2,FALSE)</f>
        <v>Historia 1</v>
      </c>
      <c r="C270"/>
      <c r="D270" t="s">
        <v>483</v>
      </c>
      <c r="E270" t="s">
        <v>1973</v>
      </c>
      <c r="F270" s="59" t="s">
        <v>1930</v>
      </c>
      <c r="G270" t="s">
        <v>1995</v>
      </c>
      <c r="H270" t="s">
        <v>1910</v>
      </c>
      <c r="I270"/>
      <c r="J270" t="s">
        <v>778</v>
      </c>
      <c r="K270"/>
      <c r="L270">
        <v>100</v>
      </c>
      <c r="M270">
        <v>30</v>
      </c>
      <c r="N270"/>
      <c r="O270"/>
      <c r="P270" s="31">
        <v>3</v>
      </c>
      <c r="Q270" s="232">
        <f t="shared" si="112"/>
        <v>1.5</v>
      </c>
      <c r="R270" s="40">
        <v>0.85</v>
      </c>
      <c r="S270" s="334">
        <f t="shared" si="113"/>
        <v>1.2749999999999999</v>
      </c>
      <c r="T270" s="31">
        <f>VLOOKUP(A270,'Ansvar kurs'!$A$1:$C$1010,2,FALSE)</f>
        <v>1630</v>
      </c>
      <c r="U270" s="31" t="str">
        <f>VLOOKUP(T270,Orgenheter!$A$1:$C$165,2,FALSE)</f>
        <v>Inst för ide- o samhällsstudier</v>
      </c>
      <c r="V270" s="31" t="str">
        <f>VLOOKUP(T270,Orgenheter!$A$1:$C$165,3,FALSE)</f>
        <v>Hum</v>
      </c>
      <c r="W270" s="37" t="str">
        <f>VLOOKUP(D270,Program!$A$1:$B$34,2,FALSE)</f>
        <v>Ämneslärarprogrammet - Gy</v>
      </c>
      <c r="X270" s="42">
        <f>VLOOKUP(A270,kurspris!$A$1:$Q$798,15,FALSE)</f>
        <v>18405</v>
      </c>
      <c r="Y270" s="42">
        <f>VLOOKUP(A270,kurspris!$A$1:$Q$798,16,FALSE)</f>
        <v>15773</v>
      </c>
      <c r="Z270" s="42">
        <f t="shared" si="114"/>
        <v>47718.074999999997</v>
      </c>
      <c r="AA270" s="42">
        <f>VLOOKUP(A270,kurspris!$A$1:$Q$798,17,FALSE)</f>
        <v>5800</v>
      </c>
      <c r="AB270" s="42">
        <f t="shared" si="115"/>
        <v>8700</v>
      </c>
      <c r="AC270" s="42">
        <f t="shared" si="116"/>
        <v>56418.074999999997</v>
      </c>
      <c r="AD270" s="31">
        <f>VLOOKUP($A270,kurspris!$A$1:$Q$835,3,FALSE)</f>
        <v>0</v>
      </c>
      <c r="AE270" s="31">
        <f>VLOOKUP($A270,kurspris!$A$1:$Q$835,4,FALSE)</f>
        <v>1</v>
      </c>
      <c r="AF270" s="31">
        <f>VLOOKUP($A270,kurspris!$A$1:$Q$835,5,FALSE)</f>
        <v>0</v>
      </c>
      <c r="AG270" s="31">
        <f>VLOOKUP($A270,kurspris!$A$1:$Q$835,6,FALSE)</f>
        <v>0</v>
      </c>
      <c r="AH270" s="31">
        <f>VLOOKUP($A270,kurspris!$A$1:$Q$835,7,FALSE)</f>
        <v>0</v>
      </c>
      <c r="AI270" s="31">
        <f>VLOOKUP($A270,kurspris!$A$1:$Q$835,8,FALSE)</f>
        <v>0</v>
      </c>
      <c r="AJ270" s="31">
        <f>VLOOKUP($A270,kurspris!$A$1:$Q$835,9,FALSE)</f>
        <v>0</v>
      </c>
      <c r="AK270" s="31">
        <f>VLOOKUP($A270,kurspris!$A$1:$Q$835,10,FALSE)</f>
        <v>0</v>
      </c>
      <c r="AL270" s="31">
        <f>VLOOKUP($A270,kurspris!$A$1:$Q$835,11,FALSE)</f>
        <v>0</v>
      </c>
      <c r="AM270" s="31">
        <f>VLOOKUP($A270,kurspris!$A$1:$Q$835,12,FALSE)</f>
        <v>0</v>
      </c>
      <c r="AN270" s="31">
        <f>VLOOKUP($A270,kurspris!$A$1:$Q$835,13,FALSE)</f>
        <v>0</v>
      </c>
      <c r="AO270" s="31">
        <f>VLOOKUP($A270,kurspris!$A$1:$Q$835,14,FALSE)</f>
        <v>0</v>
      </c>
      <c r="AP270" s="39" t="s">
        <v>2204</v>
      </c>
      <c r="AQ270"/>
      <c r="AR270" s="31">
        <f t="shared" si="117"/>
        <v>0</v>
      </c>
      <c r="AS270" s="255">
        <f t="shared" si="118"/>
        <v>0</v>
      </c>
      <c r="AT270" s="31">
        <f t="shared" si="119"/>
        <v>1.5</v>
      </c>
      <c r="AU270" s="255">
        <f t="shared" si="120"/>
        <v>1.2749999999999999</v>
      </c>
      <c r="AV270" s="31">
        <f t="shared" si="121"/>
        <v>0</v>
      </c>
      <c r="AW270" s="31">
        <f t="shared" si="122"/>
        <v>0</v>
      </c>
      <c r="AX270" s="31">
        <f t="shared" si="123"/>
        <v>0</v>
      </c>
      <c r="AY270" s="255">
        <f t="shared" si="124"/>
        <v>0</v>
      </c>
      <c r="AZ270" s="232">
        <f t="shared" si="125"/>
        <v>0</v>
      </c>
      <c r="BA270" s="255">
        <f t="shared" si="126"/>
        <v>0</v>
      </c>
      <c r="BB270" s="31">
        <f t="shared" si="127"/>
        <v>0</v>
      </c>
      <c r="BC270" s="255">
        <f t="shared" si="128"/>
        <v>0</v>
      </c>
      <c r="BD270" s="31">
        <f t="shared" si="129"/>
        <v>0</v>
      </c>
      <c r="BE270" s="255">
        <f t="shared" si="130"/>
        <v>0</v>
      </c>
      <c r="BF270" s="31">
        <f t="shared" si="131"/>
        <v>0</v>
      </c>
      <c r="BG270" s="255">
        <f t="shared" si="132"/>
        <v>0</v>
      </c>
      <c r="BH270" s="31">
        <f t="shared" si="133"/>
        <v>0</v>
      </c>
      <c r="BI270" s="255">
        <f t="shared" si="134"/>
        <v>0</v>
      </c>
      <c r="BJ270" s="31">
        <f t="shared" si="135"/>
        <v>0</v>
      </c>
      <c r="BK270" s="31">
        <f t="shared" si="136"/>
        <v>0</v>
      </c>
      <c r="BL270" s="255">
        <f t="shared" si="137"/>
        <v>0</v>
      </c>
      <c r="BM270" s="31">
        <f t="shared" si="138"/>
        <v>0</v>
      </c>
      <c r="BN270" s="255">
        <f t="shared" si="139"/>
        <v>0</v>
      </c>
    </row>
    <row r="271" spans="1:66" x14ac:dyDescent="0.25">
      <c r="A271" t="s">
        <v>2111</v>
      </c>
      <c r="B271" s="186" t="str">
        <f>VLOOKUP(A271,kurspris!$A$1:$B$877,2,FALSE)</f>
        <v>Historia 1</v>
      </c>
      <c r="C271"/>
      <c r="D271" t="s">
        <v>483</v>
      </c>
      <c r="E271" t="s">
        <v>1788</v>
      </c>
      <c r="F271" s="59" t="s">
        <v>1930</v>
      </c>
      <c r="G271" t="s">
        <v>1995</v>
      </c>
      <c r="H271" t="s">
        <v>1910</v>
      </c>
      <c r="I271"/>
      <c r="J271" t="s">
        <v>772</v>
      </c>
      <c r="K271"/>
      <c r="L271">
        <v>100</v>
      </c>
      <c r="M271">
        <v>30</v>
      </c>
      <c r="N271"/>
      <c r="O271"/>
      <c r="P271" s="31">
        <v>20</v>
      </c>
      <c r="Q271" s="232">
        <f t="shared" si="112"/>
        <v>10</v>
      </c>
      <c r="R271" s="40">
        <v>0.85</v>
      </c>
      <c r="S271" s="334">
        <f t="shared" si="113"/>
        <v>8.5</v>
      </c>
      <c r="T271" s="31">
        <f>VLOOKUP(A271,'Ansvar kurs'!$A$1:$C$1010,2,FALSE)</f>
        <v>1630</v>
      </c>
      <c r="U271" s="31" t="str">
        <f>VLOOKUP(T271,Orgenheter!$A$1:$C$165,2,FALSE)</f>
        <v>Inst för ide- o samhällsstudier</v>
      </c>
      <c r="V271" s="31" t="str">
        <f>VLOOKUP(T271,Orgenheter!$A$1:$C$165,3,FALSE)</f>
        <v>Hum</v>
      </c>
      <c r="W271" s="37" t="str">
        <f>VLOOKUP(D271,Program!$A$1:$B$34,2,FALSE)</f>
        <v>Ämneslärarprogrammet - Gy</v>
      </c>
      <c r="X271" s="42">
        <f>VLOOKUP(A271,kurspris!$A$1:$Q$798,15,FALSE)</f>
        <v>18405</v>
      </c>
      <c r="Y271" s="42">
        <f>VLOOKUP(A271,kurspris!$A$1:$Q$798,16,FALSE)</f>
        <v>15773</v>
      </c>
      <c r="Z271" s="42">
        <f t="shared" si="114"/>
        <v>318120.5</v>
      </c>
      <c r="AA271" s="42">
        <f>VLOOKUP(A271,kurspris!$A$1:$Q$798,17,FALSE)</f>
        <v>5800</v>
      </c>
      <c r="AB271" s="42">
        <f t="shared" si="115"/>
        <v>58000</v>
      </c>
      <c r="AC271" s="42">
        <f t="shared" si="116"/>
        <v>376120.5</v>
      </c>
      <c r="AD271" s="31">
        <f>VLOOKUP($A271,kurspris!$A$1:$Q$835,3,FALSE)</f>
        <v>0</v>
      </c>
      <c r="AE271" s="31">
        <f>VLOOKUP($A271,kurspris!$A$1:$Q$835,4,FALSE)</f>
        <v>1</v>
      </c>
      <c r="AF271" s="31">
        <f>VLOOKUP($A271,kurspris!$A$1:$Q$835,5,FALSE)</f>
        <v>0</v>
      </c>
      <c r="AG271" s="31">
        <f>VLOOKUP($A271,kurspris!$A$1:$Q$835,6,FALSE)</f>
        <v>0</v>
      </c>
      <c r="AH271" s="31">
        <f>VLOOKUP($A271,kurspris!$A$1:$Q$835,7,FALSE)</f>
        <v>0</v>
      </c>
      <c r="AI271" s="31">
        <f>VLOOKUP($A271,kurspris!$A$1:$Q$835,8,FALSE)</f>
        <v>0</v>
      </c>
      <c r="AJ271" s="31">
        <f>VLOOKUP($A271,kurspris!$A$1:$Q$835,9,FALSE)</f>
        <v>0</v>
      </c>
      <c r="AK271" s="31">
        <f>VLOOKUP($A271,kurspris!$A$1:$Q$835,10,FALSE)</f>
        <v>0</v>
      </c>
      <c r="AL271" s="31">
        <f>VLOOKUP($A271,kurspris!$A$1:$Q$835,11,FALSE)</f>
        <v>0</v>
      </c>
      <c r="AM271" s="31">
        <f>VLOOKUP($A271,kurspris!$A$1:$Q$835,12,FALSE)</f>
        <v>0</v>
      </c>
      <c r="AN271" s="31">
        <f>VLOOKUP($A271,kurspris!$A$1:$Q$835,13,FALSE)</f>
        <v>0</v>
      </c>
      <c r="AO271" s="31">
        <f>VLOOKUP($A271,kurspris!$A$1:$Q$835,14,FALSE)</f>
        <v>0</v>
      </c>
      <c r="AP271" s="39" t="s">
        <v>2204</v>
      </c>
      <c r="AQ271"/>
      <c r="AR271" s="31">
        <f t="shared" si="117"/>
        <v>0</v>
      </c>
      <c r="AS271" s="255">
        <f t="shared" si="118"/>
        <v>0</v>
      </c>
      <c r="AT271" s="31">
        <f t="shared" si="119"/>
        <v>10</v>
      </c>
      <c r="AU271" s="255">
        <f t="shared" si="120"/>
        <v>8.5</v>
      </c>
      <c r="AV271" s="31">
        <f t="shared" si="121"/>
        <v>0</v>
      </c>
      <c r="AW271" s="31">
        <f t="shared" si="122"/>
        <v>0</v>
      </c>
      <c r="AX271" s="31">
        <f t="shared" si="123"/>
        <v>0</v>
      </c>
      <c r="AY271" s="255">
        <f t="shared" si="124"/>
        <v>0</v>
      </c>
      <c r="AZ271" s="232">
        <f t="shared" si="125"/>
        <v>0</v>
      </c>
      <c r="BA271" s="255">
        <f t="shared" si="126"/>
        <v>0</v>
      </c>
      <c r="BB271" s="31">
        <f t="shared" si="127"/>
        <v>0</v>
      </c>
      <c r="BC271" s="255">
        <f t="shared" si="128"/>
        <v>0</v>
      </c>
      <c r="BD271" s="31">
        <f t="shared" si="129"/>
        <v>0</v>
      </c>
      <c r="BE271" s="255">
        <f t="shared" si="130"/>
        <v>0</v>
      </c>
      <c r="BF271" s="31">
        <f t="shared" si="131"/>
        <v>0</v>
      </c>
      <c r="BG271" s="255">
        <f t="shared" si="132"/>
        <v>0</v>
      </c>
      <c r="BH271" s="31">
        <f t="shared" si="133"/>
        <v>0</v>
      </c>
      <c r="BI271" s="255">
        <f t="shared" si="134"/>
        <v>0</v>
      </c>
      <c r="BJ271" s="31">
        <f t="shared" si="135"/>
        <v>0</v>
      </c>
      <c r="BK271" s="31">
        <f t="shared" si="136"/>
        <v>0</v>
      </c>
      <c r="BL271" s="255">
        <f t="shared" si="137"/>
        <v>0</v>
      </c>
      <c r="BM271" s="31">
        <f t="shared" si="138"/>
        <v>0</v>
      </c>
      <c r="BN271" s="255">
        <f t="shared" si="139"/>
        <v>0</v>
      </c>
    </row>
    <row r="272" spans="1:66" x14ac:dyDescent="0.25">
      <c r="A272" t="s">
        <v>2112</v>
      </c>
      <c r="B272" s="186" t="str">
        <f>VLOOKUP(A272,kurspris!$A$1:$B$877,2,FALSE)</f>
        <v>Historia 3</v>
      </c>
      <c r="C272"/>
      <c r="D272" t="s">
        <v>483</v>
      </c>
      <c r="E272" t="s">
        <v>1975</v>
      </c>
      <c r="F272" s="59" t="s">
        <v>1930</v>
      </c>
      <c r="G272" t="s">
        <v>1995</v>
      </c>
      <c r="H272" t="s">
        <v>1910</v>
      </c>
      <c r="I272"/>
      <c r="J272" t="s">
        <v>771</v>
      </c>
      <c r="K272"/>
      <c r="L272">
        <v>100</v>
      </c>
      <c r="M272">
        <v>30</v>
      </c>
      <c r="N272"/>
      <c r="O272"/>
      <c r="P272" s="31">
        <v>1</v>
      </c>
      <c r="Q272" s="232">
        <f t="shared" si="112"/>
        <v>0.5</v>
      </c>
      <c r="R272" s="40">
        <v>0.85</v>
      </c>
      <c r="S272" s="334">
        <f t="shared" si="113"/>
        <v>0.42499999999999999</v>
      </c>
      <c r="T272" s="31">
        <f>VLOOKUP(A272,'Ansvar kurs'!$A$1:$C$1010,2,FALSE)</f>
        <v>1630</v>
      </c>
      <c r="U272" s="31" t="str">
        <f>VLOOKUP(T272,Orgenheter!$A$1:$C$165,2,FALSE)</f>
        <v>Inst för ide- o samhällsstudier</v>
      </c>
      <c r="V272" s="31" t="str">
        <f>VLOOKUP(T272,Orgenheter!$A$1:$C$165,3,FALSE)</f>
        <v>Hum</v>
      </c>
      <c r="W272" s="37" t="str">
        <f>VLOOKUP(D272,Program!$A$1:$B$34,2,FALSE)</f>
        <v>Ämneslärarprogrammet - Gy</v>
      </c>
      <c r="X272" s="42">
        <f>VLOOKUP(A272,kurspris!$A$1:$Q$798,15,FALSE)</f>
        <v>18405</v>
      </c>
      <c r="Y272" s="42">
        <f>VLOOKUP(A272,kurspris!$A$1:$Q$798,16,FALSE)</f>
        <v>15773</v>
      </c>
      <c r="Z272" s="42">
        <f t="shared" si="114"/>
        <v>15906.025</v>
      </c>
      <c r="AA272" s="42">
        <f>VLOOKUP(A272,kurspris!$A$1:$Q$798,17,FALSE)</f>
        <v>5800</v>
      </c>
      <c r="AB272" s="42">
        <f t="shared" si="115"/>
        <v>2900</v>
      </c>
      <c r="AC272" s="42">
        <f t="shared" si="116"/>
        <v>18806.025000000001</v>
      </c>
      <c r="AD272" s="31">
        <f>VLOOKUP($A272,kurspris!$A$1:$Q$835,3,FALSE)</f>
        <v>0</v>
      </c>
      <c r="AE272" s="31">
        <f>VLOOKUP($A272,kurspris!$A$1:$Q$835,4,FALSE)</f>
        <v>1</v>
      </c>
      <c r="AF272" s="31">
        <f>VLOOKUP($A272,kurspris!$A$1:$Q$835,5,FALSE)</f>
        <v>0</v>
      </c>
      <c r="AG272" s="31">
        <f>VLOOKUP($A272,kurspris!$A$1:$Q$835,6,FALSE)</f>
        <v>0</v>
      </c>
      <c r="AH272" s="31">
        <f>VLOOKUP($A272,kurspris!$A$1:$Q$835,7,FALSE)</f>
        <v>0</v>
      </c>
      <c r="AI272" s="31">
        <f>VLOOKUP($A272,kurspris!$A$1:$Q$835,8,FALSE)</f>
        <v>0</v>
      </c>
      <c r="AJ272" s="31">
        <f>VLOOKUP($A272,kurspris!$A$1:$Q$835,9,FALSE)</f>
        <v>0</v>
      </c>
      <c r="AK272" s="31">
        <f>VLOOKUP($A272,kurspris!$A$1:$Q$835,10,FALSE)</f>
        <v>0</v>
      </c>
      <c r="AL272" s="31">
        <f>VLOOKUP($A272,kurspris!$A$1:$Q$835,11,FALSE)</f>
        <v>0</v>
      </c>
      <c r="AM272" s="31">
        <f>VLOOKUP($A272,kurspris!$A$1:$Q$835,12,FALSE)</f>
        <v>0</v>
      </c>
      <c r="AN272" s="31">
        <f>VLOOKUP($A272,kurspris!$A$1:$Q$835,13,FALSE)</f>
        <v>0</v>
      </c>
      <c r="AO272" s="31">
        <f>VLOOKUP($A272,kurspris!$A$1:$Q$835,14,FALSE)</f>
        <v>0</v>
      </c>
      <c r="AP272" s="39" t="s">
        <v>2204</v>
      </c>
      <c r="AQ272"/>
      <c r="AR272" s="31">
        <f t="shared" si="117"/>
        <v>0</v>
      </c>
      <c r="AS272" s="255">
        <f t="shared" si="118"/>
        <v>0</v>
      </c>
      <c r="AT272" s="31">
        <f t="shared" si="119"/>
        <v>0.5</v>
      </c>
      <c r="AU272" s="255">
        <f t="shared" si="120"/>
        <v>0.42499999999999999</v>
      </c>
      <c r="AV272" s="31">
        <f t="shared" si="121"/>
        <v>0</v>
      </c>
      <c r="AW272" s="31">
        <f t="shared" si="122"/>
        <v>0</v>
      </c>
      <c r="AX272" s="31">
        <f t="shared" si="123"/>
        <v>0</v>
      </c>
      <c r="AY272" s="255">
        <f t="shared" si="124"/>
        <v>0</v>
      </c>
      <c r="AZ272" s="232">
        <f t="shared" si="125"/>
        <v>0</v>
      </c>
      <c r="BA272" s="255">
        <f t="shared" si="126"/>
        <v>0</v>
      </c>
      <c r="BB272" s="31">
        <f t="shared" si="127"/>
        <v>0</v>
      </c>
      <c r="BC272" s="255">
        <f t="shared" si="128"/>
        <v>0</v>
      </c>
      <c r="BD272" s="31">
        <f t="shared" si="129"/>
        <v>0</v>
      </c>
      <c r="BE272" s="255">
        <f t="shared" si="130"/>
        <v>0</v>
      </c>
      <c r="BF272" s="31">
        <f t="shared" si="131"/>
        <v>0</v>
      </c>
      <c r="BG272" s="255">
        <f t="shared" si="132"/>
        <v>0</v>
      </c>
      <c r="BH272" s="31">
        <f t="shared" si="133"/>
        <v>0</v>
      </c>
      <c r="BI272" s="255">
        <f t="shared" si="134"/>
        <v>0</v>
      </c>
      <c r="BJ272" s="31">
        <f t="shared" si="135"/>
        <v>0</v>
      </c>
      <c r="BK272" s="31">
        <f t="shared" si="136"/>
        <v>0</v>
      </c>
      <c r="BL272" s="255">
        <f t="shared" si="137"/>
        <v>0</v>
      </c>
      <c r="BM272" s="31">
        <f t="shared" si="138"/>
        <v>0</v>
      </c>
      <c r="BN272" s="255">
        <f t="shared" si="139"/>
        <v>0</v>
      </c>
    </row>
    <row r="273" spans="1:66" x14ac:dyDescent="0.25">
      <c r="A273" t="s">
        <v>2112</v>
      </c>
      <c r="B273" s="186" t="str">
        <f>VLOOKUP(A273,kurspris!$A$1:$B$877,2,FALSE)</f>
        <v>Historia 3</v>
      </c>
      <c r="C273"/>
      <c r="D273" t="s">
        <v>483</v>
      </c>
      <c r="E273" t="s">
        <v>1976</v>
      </c>
      <c r="F273" s="59" t="s">
        <v>1930</v>
      </c>
      <c r="G273" t="s">
        <v>1995</v>
      </c>
      <c r="H273" t="s">
        <v>1910</v>
      </c>
      <c r="I273"/>
      <c r="J273" t="s">
        <v>773</v>
      </c>
      <c r="K273"/>
      <c r="L273">
        <v>100</v>
      </c>
      <c r="M273">
        <v>30</v>
      </c>
      <c r="N273"/>
      <c r="O273"/>
      <c r="P273" s="31">
        <v>2</v>
      </c>
      <c r="Q273" s="232">
        <f t="shared" si="112"/>
        <v>1</v>
      </c>
      <c r="R273" s="40">
        <v>0.85</v>
      </c>
      <c r="S273" s="334">
        <f t="shared" si="113"/>
        <v>0.85</v>
      </c>
      <c r="T273" s="31">
        <f>VLOOKUP(A273,'Ansvar kurs'!$A$1:$C$1010,2,FALSE)</f>
        <v>1630</v>
      </c>
      <c r="U273" s="31" t="str">
        <f>VLOOKUP(T273,Orgenheter!$A$1:$C$165,2,FALSE)</f>
        <v>Inst för ide- o samhällsstudier</v>
      </c>
      <c r="V273" s="31" t="str">
        <f>VLOOKUP(T273,Orgenheter!$A$1:$C$165,3,FALSE)</f>
        <v>Hum</v>
      </c>
      <c r="W273" s="37" t="str">
        <f>VLOOKUP(D273,Program!$A$1:$B$34,2,FALSE)</f>
        <v>Ämneslärarprogrammet - Gy</v>
      </c>
      <c r="X273" s="42">
        <f>VLOOKUP(A273,kurspris!$A$1:$Q$798,15,FALSE)</f>
        <v>18405</v>
      </c>
      <c r="Y273" s="42">
        <f>VLOOKUP(A273,kurspris!$A$1:$Q$798,16,FALSE)</f>
        <v>15773</v>
      </c>
      <c r="Z273" s="42">
        <f t="shared" si="114"/>
        <v>31812.05</v>
      </c>
      <c r="AA273" s="42">
        <f>VLOOKUP(A273,kurspris!$A$1:$Q$798,17,FALSE)</f>
        <v>5800</v>
      </c>
      <c r="AB273" s="42">
        <f t="shared" si="115"/>
        <v>5800</v>
      </c>
      <c r="AC273" s="42">
        <f t="shared" si="116"/>
        <v>37612.050000000003</v>
      </c>
      <c r="AD273" s="31">
        <f>VLOOKUP($A273,kurspris!$A$1:$Q$835,3,FALSE)</f>
        <v>0</v>
      </c>
      <c r="AE273" s="31">
        <f>VLOOKUP($A273,kurspris!$A$1:$Q$835,4,FALSE)</f>
        <v>1</v>
      </c>
      <c r="AF273" s="31">
        <f>VLOOKUP($A273,kurspris!$A$1:$Q$835,5,FALSE)</f>
        <v>0</v>
      </c>
      <c r="AG273" s="31">
        <f>VLOOKUP($A273,kurspris!$A$1:$Q$835,6,FALSE)</f>
        <v>0</v>
      </c>
      <c r="AH273" s="31">
        <f>VLOOKUP($A273,kurspris!$A$1:$Q$835,7,FALSE)</f>
        <v>0</v>
      </c>
      <c r="AI273" s="31">
        <f>VLOOKUP($A273,kurspris!$A$1:$Q$835,8,FALSE)</f>
        <v>0</v>
      </c>
      <c r="AJ273" s="31">
        <f>VLOOKUP($A273,kurspris!$A$1:$Q$835,9,FALSE)</f>
        <v>0</v>
      </c>
      <c r="AK273" s="31">
        <f>VLOOKUP($A273,kurspris!$A$1:$Q$835,10,FALSE)</f>
        <v>0</v>
      </c>
      <c r="AL273" s="31">
        <f>VLOOKUP($A273,kurspris!$A$1:$Q$835,11,FALSE)</f>
        <v>0</v>
      </c>
      <c r="AM273" s="31">
        <f>VLOOKUP($A273,kurspris!$A$1:$Q$835,12,FALSE)</f>
        <v>0</v>
      </c>
      <c r="AN273" s="31">
        <f>VLOOKUP($A273,kurspris!$A$1:$Q$835,13,FALSE)</f>
        <v>0</v>
      </c>
      <c r="AO273" s="31">
        <f>VLOOKUP($A273,kurspris!$A$1:$Q$835,14,FALSE)</f>
        <v>0</v>
      </c>
      <c r="AP273" s="39" t="s">
        <v>2204</v>
      </c>
      <c r="AQ273"/>
      <c r="AR273" s="31">
        <f t="shared" si="117"/>
        <v>0</v>
      </c>
      <c r="AS273" s="255">
        <f t="shared" si="118"/>
        <v>0</v>
      </c>
      <c r="AT273" s="31">
        <f t="shared" si="119"/>
        <v>1</v>
      </c>
      <c r="AU273" s="255">
        <f t="shared" si="120"/>
        <v>0.85</v>
      </c>
      <c r="AV273" s="31">
        <f t="shared" si="121"/>
        <v>0</v>
      </c>
      <c r="AW273" s="31">
        <f t="shared" si="122"/>
        <v>0</v>
      </c>
      <c r="AX273" s="31">
        <f t="shared" si="123"/>
        <v>0</v>
      </c>
      <c r="AY273" s="255">
        <f t="shared" si="124"/>
        <v>0</v>
      </c>
      <c r="AZ273" s="232">
        <f t="shared" si="125"/>
        <v>0</v>
      </c>
      <c r="BA273" s="255">
        <f t="shared" si="126"/>
        <v>0</v>
      </c>
      <c r="BB273" s="31">
        <f t="shared" si="127"/>
        <v>0</v>
      </c>
      <c r="BC273" s="255">
        <f t="shared" si="128"/>
        <v>0</v>
      </c>
      <c r="BD273" s="31">
        <f t="shared" si="129"/>
        <v>0</v>
      </c>
      <c r="BE273" s="255">
        <f t="shared" si="130"/>
        <v>0</v>
      </c>
      <c r="BF273" s="31">
        <f t="shared" si="131"/>
        <v>0</v>
      </c>
      <c r="BG273" s="255">
        <f t="shared" si="132"/>
        <v>0</v>
      </c>
      <c r="BH273" s="31">
        <f t="shared" si="133"/>
        <v>0</v>
      </c>
      <c r="BI273" s="255">
        <f t="shared" si="134"/>
        <v>0</v>
      </c>
      <c r="BJ273" s="31">
        <f t="shared" si="135"/>
        <v>0</v>
      </c>
      <c r="BK273" s="31">
        <f t="shared" si="136"/>
        <v>0</v>
      </c>
      <c r="BL273" s="255">
        <f t="shared" si="137"/>
        <v>0</v>
      </c>
      <c r="BM273" s="31">
        <f t="shared" si="138"/>
        <v>0</v>
      </c>
      <c r="BN273" s="255">
        <f t="shared" si="139"/>
        <v>0</v>
      </c>
    </row>
    <row r="274" spans="1:66" x14ac:dyDescent="0.25">
      <c r="A274" t="s">
        <v>2112</v>
      </c>
      <c r="B274" s="186" t="str">
        <f>VLOOKUP(A274,kurspris!$A$1:$B$877,2,FALSE)</f>
        <v>Historia 3</v>
      </c>
      <c r="C274"/>
      <c r="D274" t="s">
        <v>483</v>
      </c>
      <c r="E274" t="s">
        <v>1976</v>
      </c>
      <c r="F274" s="59" t="s">
        <v>1930</v>
      </c>
      <c r="G274" t="s">
        <v>1995</v>
      </c>
      <c r="H274" t="s">
        <v>1910</v>
      </c>
      <c r="I274"/>
      <c r="J274" t="s">
        <v>777</v>
      </c>
      <c r="K274"/>
      <c r="L274">
        <v>100</v>
      </c>
      <c r="M274">
        <v>30</v>
      </c>
      <c r="N274"/>
      <c r="O274"/>
      <c r="P274" s="31">
        <v>2</v>
      </c>
      <c r="Q274" s="232">
        <f t="shared" si="112"/>
        <v>1</v>
      </c>
      <c r="R274" s="40">
        <v>0.85</v>
      </c>
      <c r="S274" s="334">
        <f t="shared" si="113"/>
        <v>0.85</v>
      </c>
      <c r="T274" s="31">
        <f>VLOOKUP(A274,'Ansvar kurs'!$A$1:$C$1010,2,FALSE)</f>
        <v>1630</v>
      </c>
      <c r="U274" s="31" t="str">
        <f>VLOOKUP(T274,Orgenheter!$A$1:$C$165,2,FALSE)</f>
        <v>Inst för ide- o samhällsstudier</v>
      </c>
      <c r="V274" s="31" t="str">
        <f>VLOOKUP(T274,Orgenheter!$A$1:$C$165,3,FALSE)</f>
        <v>Hum</v>
      </c>
      <c r="W274" s="37" t="str">
        <f>VLOOKUP(D274,Program!$A$1:$B$34,2,FALSE)</f>
        <v>Ämneslärarprogrammet - Gy</v>
      </c>
      <c r="X274" s="42">
        <f>VLOOKUP(A274,kurspris!$A$1:$Q$798,15,FALSE)</f>
        <v>18405</v>
      </c>
      <c r="Y274" s="42">
        <f>VLOOKUP(A274,kurspris!$A$1:$Q$798,16,FALSE)</f>
        <v>15773</v>
      </c>
      <c r="Z274" s="42">
        <f t="shared" si="114"/>
        <v>31812.05</v>
      </c>
      <c r="AA274" s="42">
        <f>VLOOKUP(A274,kurspris!$A$1:$Q$798,17,FALSE)</f>
        <v>5800</v>
      </c>
      <c r="AB274" s="42">
        <f t="shared" si="115"/>
        <v>5800</v>
      </c>
      <c r="AC274" s="42">
        <f t="shared" si="116"/>
        <v>37612.050000000003</v>
      </c>
      <c r="AD274" s="31">
        <f>VLOOKUP($A274,kurspris!$A$1:$Q$835,3,FALSE)</f>
        <v>0</v>
      </c>
      <c r="AE274" s="31">
        <f>VLOOKUP($A274,kurspris!$A$1:$Q$835,4,FALSE)</f>
        <v>1</v>
      </c>
      <c r="AF274" s="31">
        <f>VLOOKUP($A274,kurspris!$A$1:$Q$835,5,FALSE)</f>
        <v>0</v>
      </c>
      <c r="AG274" s="31">
        <f>VLOOKUP($A274,kurspris!$A$1:$Q$835,6,FALSE)</f>
        <v>0</v>
      </c>
      <c r="AH274" s="31">
        <f>VLOOKUP($A274,kurspris!$A$1:$Q$835,7,FALSE)</f>
        <v>0</v>
      </c>
      <c r="AI274" s="31">
        <f>VLOOKUP($A274,kurspris!$A$1:$Q$835,8,FALSE)</f>
        <v>0</v>
      </c>
      <c r="AJ274" s="31">
        <f>VLOOKUP($A274,kurspris!$A$1:$Q$835,9,FALSE)</f>
        <v>0</v>
      </c>
      <c r="AK274" s="31">
        <f>VLOOKUP($A274,kurspris!$A$1:$Q$835,10,FALSE)</f>
        <v>0</v>
      </c>
      <c r="AL274" s="31">
        <f>VLOOKUP($A274,kurspris!$A$1:$Q$835,11,FALSE)</f>
        <v>0</v>
      </c>
      <c r="AM274" s="31">
        <f>VLOOKUP($A274,kurspris!$A$1:$Q$835,12,FALSE)</f>
        <v>0</v>
      </c>
      <c r="AN274" s="31">
        <f>VLOOKUP($A274,kurspris!$A$1:$Q$835,13,FALSE)</f>
        <v>0</v>
      </c>
      <c r="AO274" s="31">
        <f>VLOOKUP($A274,kurspris!$A$1:$Q$835,14,FALSE)</f>
        <v>0</v>
      </c>
      <c r="AP274" s="39" t="s">
        <v>2204</v>
      </c>
      <c r="AQ274"/>
      <c r="AR274" s="31">
        <f t="shared" si="117"/>
        <v>0</v>
      </c>
      <c r="AS274" s="255">
        <f t="shared" si="118"/>
        <v>0</v>
      </c>
      <c r="AT274" s="31">
        <f t="shared" si="119"/>
        <v>1</v>
      </c>
      <c r="AU274" s="255">
        <f t="shared" si="120"/>
        <v>0.85</v>
      </c>
      <c r="AV274" s="31">
        <f t="shared" si="121"/>
        <v>0</v>
      </c>
      <c r="AW274" s="31">
        <f t="shared" si="122"/>
        <v>0</v>
      </c>
      <c r="AX274" s="31">
        <f t="shared" si="123"/>
        <v>0</v>
      </c>
      <c r="AY274" s="255">
        <f t="shared" si="124"/>
        <v>0</v>
      </c>
      <c r="AZ274" s="232">
        <f t="shared" si="125"/>
        <v>0</v>
      </c>
      <c r="BA274" s="255">
        <f t="shared" si="126"/>
        <v>0</v>
      </c>
      <c r="BB274" s="31">
        <f t="shared" si="127"/>
        <v>0</v>
      </c>
      <c r="BC274" s="255">
        <f t="shared" si="128"/>
        <v>0</v>
      </c>
      <c r="BD274" s="31">
        <f t="shared" si="129"/>
        <v>0</v>
      </c>
      <c r="BE274" s="255">
        <f t="shared" si="130"/>
        <v>0</v>
      </c>
      <c r="BF274" s="31">
        <f t="shared" si="131"/>
        <v>0</v>
      </c>
      <c r="BG274" s="255">
        <f t="shared" si="132"/>
        <v>0</v>
      </c>
      <c r="BH274" s="31">
        <f t="shared" si="133"/>
        <v>0</v>
      </c>
      <c r="BI274" s="255">
        <f t="shared" si="134"/>
        <v>0</v>
      </c>
      <c r="BJ274" s="31">
        <f t="shared" si="135"/>
        <v>0</v>
      </c>
      <c r="BK274" s="31">
        <f t="shared" si="136"/>
        <v>0</v>
      </c>
      <c r="BL274" s="255">
        <f t="shared" si="137"/>
        <v>0</v>
      </c>
      <c r="BM274" s="31">
        <f t="shared" si="138"/>
        <v>0</v>
      </c>
      <c r="BN274" s="255">
        <f t="shared" si="139"/>
        <v>0</v>
      </c>
    </row>
    <row r="275" spans="1:66" x14ac:dyDescent="0.25">
      <c r="A275" t="s">
        <v>2112</v>
      </c>
      <c r="B275" s="186" t="str">
        <f>VLOOKUP(A275,kurspris!$A$1:$B$877,2,FALSE)</f>
        <v>Historia 3</v>
      </c>
      <c r="C275"/>
      <c r="D275" t="s">
        <v>483</v>
      </c>
      <c r="E275" t="s">
        <v>1976</v>
      </c>
      <c r="F275" s="59" t="s">
        <v>1930</v>
      </c>
      <c r="G275" t="s">
        <v>1995</v>
      </c>
      <c r="H275" t="s">
        <v>1910</v>
      </c>
      <c r="I275"/>
      <c r="J275" t="s">
        <v>778</v>
      </c>
      <c r="K275"/>
      <c r="L275">
        <v>100</v>
      </c>
      <c r="M275">
        <v>30</v>
      </c>
      <c r="N275"/>
      <c r="O275"/>
      <c r="P275" s="31">
        <v>2</v>
      </c>
      <c r="Q275" s="232">
        <f t="shared" si="112"/>
        <v>1</v>
      </c>
      <c r="R275" s="40">
        <v>0.85</v>
      </c>
      <c r="S275" s="334">
        <f t="shared" si="113"/>
        <v>0.85</v>
      </c>
      <c r="T275" s="31">
        <f>VLOOKUP(A275,'Ansvar kurs'!$A$1:$C$1010,2,FALSE)</f>
        <v>1630</v>
      </c>
      <c r="U275" s="31" t="str">
        <f>VLOOKUP(T275,Orgenheter!$A$1:$C$165,2,FALSE)</f>
        <v>Inst för ide- o samhällsstudier</v>
      </c>
      <c r="V275" s="31" t="str">
        <f>VLOOKUP(T275,Orgenheter!$A$1:$C$165,3,FALSE)</f>
        <v>Hum</v>
      </c>
      <c r="W275" s="37" t="str">
        <f>VLOOKUP(D275,Program!$A$1:$B$34,2,FALSE)</f>
        <v>Ämneslärarprogrammet - Gy</v>
      </c>
      <c r="X275" s="42">
        <f>VLOOKUP(A275,kurspris!$A$1:$Q$798,15,FALSE)</f>
        <v>18405</v>
      </c>
      <c r="Y275" s="42">
        <f>VLOOKUP(A275,kurspris!$A$1:$Q$798,16,FALSE)</f>
        <v>15773</v>
      </c>
      <c r="Z275" s="42">
        <f t="shared" si="114"/>
        <v>31812.05</v>
      </c>
      <c r="AA275" s="42">
        <f>VLOOKUP(A275,kurspris!$A$1:$Q$798,17,FALSE)</f>
        <v>5800</v>
      </c>
      <c r="AB275" s="42">
        <f t="shared" si="115"/>
        <v>5800</v>
      </c>
      <c r="AC275" s="42">
        <f t="shared" si="116"/>
        <v>37612.050000000003</v>
      </c>
      <c r="AD275" s="31">
        <f>VLOOKUP($A275,kurspris!$A$1:$Q$835,3,FALSE)</f>
        <v>0</v>
      </c>
      <c r="AE275" s="31">
        <f>VLOOKUP($A275,kurspris!$A$1:$Q$835,4,FALSE)</f>
        <v>1</v>
      </c>
      <c r="AF275" s="31">
        <f>VLOOKUP($A275,kurspris!$A$1:$Q$835,5,FALSE)</f>
        <v>0</v>
      </c>
      <c r="AG275" s="31">
        <f>VLOOKUP($A275,kurspris!$A$1:$Q$835,6,FALSE)</f>
        <v>0</v>
      </c>
      <c r="AH275" s="31">
        <f>VLOOKUP($A275,kurspris!$A$1:$Q$835,7,FALSE)</f>
        <v>0</v>
      </c>
      <c r="AI275" s="31">
        <f>VLOOKUP($A275,kurspris!$A$1:$Q$835,8,FALSE)</f>
        <v>0</v>
      </c>
      <c r="AJ275" s="31">
        <f>VLOOKUP($A275,kurspris!$A$1:$Q$835,9,FALSE)</f>
        <v>0</v>
      </c>
      <c r="AK275" s="31">
        <f>VLOOKUP($A275,kurspris!$A$1:$Q$835,10,FALSE)</f>
        <v>0</v>
      </c>
      <c r="AL275" s="31">
        <f>VLOOKUP($A275,kurspris!$A$1:$Q$835,11,FALSE)</f>
        <v>0</v>
      </c>
      <c r="AM275" s="31">
        <f>VLOOKUP($A275,kurspris!$A$1:$Q$835,12,FALSE)</f>
        <v>0</v>
      </c>
      <c r="AN275" s="31">
        <f>VLOOKUP($A275,kurspris!$A$1:$Q$835,13,FALSE)</f>
        <v>0</v>
      </c>
      <c r="AO275" s="31">
        <f>VLOOKUP($A275,kurspris!$A$1:$Q$835,14,FALSE)</f>
        <v>0</v>
      </c>
      <c r="AP275" s="39" t="s">
        <v>2204</v>
      </c>
      <c r="AQ275"/>
      <c r="AR275" s="31">
        <f t="shared" si="117"/>
        <v>0</v>
      </c>
      <c r="AS275" s="255">
        <f t="shared" si="118"/>
        <v>0</v>
      </c>
      <c r="AT275" s="31">
        <f t="shared" si="119"/>
        <v>1</v>
      </c>
      <c r="AU275" s="255">
        <f t="shared" si="120"/>
        <v>0.85</v>
      </c>
      <c r="AV275" s="31">
        <f t="shared" si="121"/>
        <v>0</v>
      </c>
      <c r="AW275" s="31">
        <f t="shared" si="122"/>
        <v>0</v>
      </c>
      <c r="AX275" s="31">
        <f t="shared" si="123"/>
        <v>0</v>
      </c>
      <c r="AY275" s="255">
        <f t="shared" si="124"/>
        <v>0</v>
      </c>
      <c r="AZ275" s="232">
        <f t="shared" si="125"/>
        <v>0</v>
      </c>
      <c r="BA275" s="255">
        <f t="shared" si="126"/>
        <v>0</v>
      </c>
      <c r="BB275" s="31">
        <f t="shared" si="127"/>
        <v>0</v>
      </c>
      <c r="BC275" s="255">
        <f t="shared" si="128"/>
        <v>0</v>
      </c>
      <c r="BD275" s="31">
        <f t="shared" si="129"/>
        <v>0</v>
      </c>
      <c r="BE275" s="255">
        <f t="shared" si="130"/>
        <v>0</v>
      </c>
      <c r="BF275" s="31">
        <f t="shared" si="131"/>
        <v>0</v>
      </c>
      <c r="BG275" s="255">
        <f t="shared" si="132"/>
        <v>0</v>
      </c>
      <c r="BH275" s="31">
        <f t="shared" si="133"/>
        <v>0</v>
      </c>
      <c r="BI275" s="255">
        <f t="shared" si="134"/>
        <v>0</v>
      </c>
      <c r="BJ275" s="31">
        <f t="shared" si="135"/>
        <v>0</v>
      </c>
      <c r="BK275" s="31">
        <f t="shared" si="136"/>
        <v>0</v>
      </c>
      <c r="BL275" s="255">
        <f t="shared" si="137"/>
        <v>0</v>
      </c>
      <c r="BM275" s="31">
        <f t="shared" si="138"/>
        <v>0</v>
      </c>
      <c r="BN275" s="255">
        <f t="shared" si="139"/>
        <v>0</v>
      </c>
    </row>
    <row r="276" spans="1:66" x14ac:dyDescent="0.25">
      <c r="A276" t="s">
        <v>2112</v>
      </c>
      <c r="B276" s="186" t="str">
        <f>VLOOKUP(A276,kurspris!$A$1:$B$877,2,FALSE)</f>
        <v>Historia 3</v>
      </c>
      <c r="C276"/>
      <c r="D276" t="s">
        <v>483</v>
      </c>
      <c r="E276" t="s">
        <v>1609</v>
      </c>
      <c r="F276" s="59" t="s">
        <v>1930</v>
      </c>
      <c r="G276" t="s">
        <v>1995</v>
      </c>
      <c r="H276" t="s">
        <v>1910</v>
      </c>
      <c r="I276"/>
      <c r="J276" t="s">
        <v>772</v>
      </c>
      <c r="K276"/>
      <c r="L276">
        <v>100</v>
      </c>
      <c r="M276">
        <v>30</v>
      </c>
      <c r="N276"/>
      <c r="O276"/>
      <c r="P276" s="31">
        <v>15</v>
      </c>
      <c r="Q276" s="232">
        <f t="shared" si="112"/>
        <v>7.5</v>
      </c>
      <c r="R276" s="40">
        <v>0.85</v>
      </c>
      <c r="S276" s="334">
        <f t="shared" si="113"/>
        <v>6.375</v>
      </c>
      <c r="T276" s="31">
        <f>VLOOKUP(A276,'Ansvar kurs'!$A$1:$C$1010,2,FALSE)</f>
        <v>1630</v>
      </c>
      <c r="U276" s="31" t="str">
        <f>VLOOKUP(T276,Orgenheter!$A$1:$C$165,2,FALSE)</f>
        <v>Inst för ide- o samhällsstudier</v>
      </c>
      <c r="V276" s="31" t="str">
        <f>VLOOKUP(T276,Orgenheter!$A$1:$C$165,3,FALSE)</f>
        <v>Hum</v>
      </c>
      <c r="W276" s="37" t="str">
        <f>VLOOKUP(D276,Program!$A$1:$B$34,2,FALSE)</f>
        <v>Ämneslärarprogrammet - Gy</v>
      </c>
      <c r="X276" s="42">
        <f>VLOOKUP(A276,kurspris!$A$1:$Q$798,15,FALSE)</f>
        <v>18405</v>
      </c>
      <c r="Y276" s="42">
        <f>VLOOKUP(A276,kurspris!$A$1:$Q$798,16,FALSE)</f>
        <v>15773</v>
      </c>
      <c r="Z276" s="42">
        <f t="shared" si="114"/>
        <v>238590.375</v>
      </c>
      <c r="AA276" s="42">
        <f>VLOOKUP(A276,kurspris!$A$1:$Q$798,17,FALSE)</f>
        <v>5800</v>
      </c>
      <c r="AB276" s="42">
        <f t="shared" si="115"/>
        <v>43500</v>
      </c>
      <c r="AC276" s="42">
        <f t="shared" si="116"/>
        <v>282090.375</v>
      </c>
      <c r="AD276" s="31">
        <f>VLOOKUP($A276,kurspris!$A$1:$Q$835,3,FALSE)</f>
        <v>0</v>
      </c>
      <c r="AE276" s="31">
        <f>VLOOKUP($A276,kurspris!$A$1:$Q$835,4,FALSE)</f>
        <v>1</v>
      </c>
      <c r="AF276" s="31">
        <f>VLOOKUP($A276,kurspris!$A$1:$Q$835,5,FALSE)</f>
        <v>0</v>
      </c>
      <c r="AG276" s="31">
        <f>VLOOKUP($A276,kurspris!$A$1:$Q$835,6,FALSE)</f>
        <v>0</v>
      </c>
      <c r="AH276" s="31">
        <f>VLOOKUP($A276,kurspris!$A$1:$Q$835,7,FALSE)</f>
        <v>0</v>
      </c>
      <c r="AI276" s="31">
        <f>VLOOKUP($A276,kurspris!$A$1:$Q$835,8,FALSE)</f>
        <v>0</v>
      </c>
      <c r="AJ276" s="31">
        <f>VLOOKUP($A276,kurspris!$A$1:$Q$835,9,FALSE)</f>
        <v>0</v>
      </c>
      <c r="AK276" s="31">
        <f>VLOOKUP($A276,kurspris!$A$1:$Q$835,10,FALSE)</f>
        <v>0</v>
      </c>
      <c r="AL276" s="31">
        <f>VLOOKUP($A276,kurspris!$A$1:$Q$835,11,FALSE)</f>
        <v>0</v>
      </c>
      <c r="AM276" s="31">
        <f>VLOOKUP($A276,kurspris!$A$1:$Q$835,12,FALSE)</f>
        <v>0</v>
      </c>
      <c r="AN276" s="31">
        <f>VLOOKUP($A276,kurspris!$A$1:$Q$835,13,FALSE)</f>
        <v>0</v>
      </c>
      <c r="AO276" s="31">
        <f>VLOOKUP($A276,kurspris!$A$1:$Q$835,14,FALSE)</f>
        <v>0</v>
      </c>
      <c r="AP276" s="39" t="s">
        <v>2204</v>
      </c>
      <c r="AQ276"/>
      <c r="AR276" s="31">
        <f t="shared" si="117"/>
        <v>0</v>
      </c>
      <c r="AS276" s="255">
        <f t="shared" si="118"/>
        <v>0</v>
      </c>
      <c r="AT276" s="31">
        <f t="shared" si="119"/>
        <v>7.5</v>
      </c>
      <c r="AU276" s="255">
        <f t="shared" si="120"/>
        <v>6.375</v>
      </c>
      <c r="AV276" s="31">
        <f t="shared" si="121"/>
        <v>0</v>
      </c>
      <c r="AW276" s="31">
        <f t="shared" si="122"/>
        <v>0</v>
      </c>
      <c r="AX276" s="31">
        <f t="shared" si="123"/>
        <v>0</v>
      </c>
      <c r="AY276" s="255">
        <f t="shared" si="124"/>
        <v>0</v>
      </c>
      <c r="AZ276" s="232">
        <f t="shared" si="125"/>
        <v>0</v>
      </c>
      <c r="BA276" s="255">
        <f t="shared" si="126"/>
        <v>0</v>
      </c>
      <c r="BB276" s="31">
        <f t="shared" si="127"/>
        <v>0</v>
      </c>
      <c r="BC276" s="255">
        <f t="shared" si="128"/>
        <v>0</v>
      </c>
      <c r="BD276" s="31">
        <f t="shared" si="129"/>
        <v>0</v>
      </c>
      <c r="BE276" s="255">
        <f t="shared" si="130"/>
        <v>0</v>
      </c>
      <c r="BF276" s="31">
        <f t="shared" si="131"/>
        <v>0</v>
      </c>
      <c r="BG276" s="255">
        <f t="shared" si="132"/>
        <v>0</v>
      </c>
      <c r="BH276" s="31">
        <f t="shared" si="133"/>
        <v>0</v>
      </c>
      <c r="BI276" s="255">
        <f t="shared" si="134"/>
        <v>0</v>
      </c>
      <c r="BJ276" s="31">
        <f t="shared" si="135"/>
        <v>0</v>
      </c>
      <c r="BK276" s="31">
        <f t="shared" si="136"/>
        <v>0</v>
      </c>
      <c r="BL276" s="255">
        <f t="shared" si="137"/>
        <v>0</v>
      </c>
      <c r="BM276" s="31">
        <f t="shared" si="138"/>
        <v>0</v>
      </c>
      <c r="BN276" s="255">
        <f t="shared" si="139"/>
        <v>0</v>
      </c>
    </row>
    <row r="277" spans="1:66" x14ac:dyDescent="0.25">
      <c r="A277" t="s">
        <v>2112</v>
      </c>
      <c r="B277" s="186" t="str">
        <f>VLOOKUP(A277,kurspris!$A$1:$B$877,2,FALSE)</f>
        <v>Historia 3</v>
      </c>
      <c r="C277"/>
      <c r="D277" t="s">
        <v>483</v>
      </c>
      <c r="E277" t="s">
        <v>1788</v>
      </c>
      <c r="F277" s="59" t="s">
        <v>1930</v>
      </c>
      <c r="G277" t="s">
        <v>1995</v>
      </c>
      <c r="H277" t="s">
        <v>1910</v>
      </c>
      <c r="I277"/>
      <c r="J277" t="s">
        <v>772</v>
      </c>
      <c r="K277"/>
      <c r="L277">
        <v>100</v>
      </c>
      <c r="M277">
        <v>30</v>
      </c>
      <c r="N277"/>
      <c r="O277"/>
      <c r="P277" s="31">
        <v>2</v>
      </c>
      <c r="Q277" s="232">
        <f t="shared" si="112"/>
        <v>1</v>
      </c>
      <c r="R277" s="40">
        <v>0.85</v>
      </c>
      <c r="S277" s="334">
        <f t="shared" si="113"/>
        <v>0.85</v>
      </c>
      <c r="T277" s="31">
        <f>VLOOKUP(A277,'Ansvar kurs'!$A$1:$C$1010,2,FALSE)</f>
        <v>1630</v>
      </c>
      <c r="U277" s="31" t="str">
        <f>VLOOKUP(T277,Orgenheter!$A$1:$C$165,2,FALSE)</f>
        <v>Inst för ide- o samhällsstudier</v>
      </c>
      <c r="V277" s="31" t="str">
        <f>VLOOKUP(T277,Orgenheter!$A$1:$C$165,3,FALSE)</f>
        <v>Hum</v>
      </c>
      <c r="W277" s="37" t="str">
        <f>VLOOKUP(D277,Program!$A$1:$B$34,2,FALSE)</f>
        <v>Ämneslärarprogrammet - Gy</v>
      </c>
      <c r="X277" s="42">
        <f>VLOOKUP(A277,kurspris!$A$1:$Q$798,15,FALSE)</f>
        <v>18405</v>
      </c>
      <c r="Y277" s="42">
        <f>VLOOKUP(A277,kurspris!$A$1:$Q$798,16,FALSE)</f>
        <v>15773</v>
      </c>
      <c r="Z277" s="42">
        <f t="shared" si="114"/>
        <v>31812.05</v>
      </c>
      <c r="AA277" s="42">
        <f>VLOOKUP(A277,kurspris!$A$1:$Q$798,17,FALSE)</f>
        <v>5800</v>
      </c>
      <c r="AB277" s="42">
        <f t="shared" si="115"/>
        <v>5800</v>
      </c>
      <c r="AC277" s="42">
        <f t="shared" si="116"/>
        <v>37612.050000000003</v>
      </c>
      <c r="AD277" s="31">
        <f>VLOOKUP($A277,kurspris!$A$1:$Q$835,3,FALSE)</f>
        <v>0</v>
      </c>
      <c r="AE277" s="31">
        <f>VLOOKUP($A277,kurspris!$A$1:$Q$835,4,FALSE)</f>
        <v>1</v>
      </c>
      <c r="AF277" s="31">
        <f>VLOOKUP($A277,kurspris!$A$1:$Q$835,5,FALSE)</f>
        <v>0</v>
      </c>
      <c r="AG277" s="31">
        <f>VLOOKUP($A277,kurspris!$A$1:$Q$835,6,FALSE)</f>
        <v>0</v>
      </c>
      <c r="AH277" s="31">
        <f>VLOOKUP($A277,kurspris!$A$1:$Q$835,7,FALSE)</f>
        <v>0</v>
      </c>
      <c r="AI277" s="31">
        <f>VLOOKUP($A277,kurspris!$A$1:$Q$835,8,FALSE)</f>
        <v>0</v>
      </c>
      <c r="AJ277" s="31">
        <f>VLOOKUP($A277,kurspris!$A$1:$Q$835,9,FALSE)</f>
        <v>0</v>
      </c>
      <c r="AK277" s="31">
        <f>VLOOKUP($A277,kurspris!$A$1:$Q$835,10,FALSE)</f>
        <v>0</v>
      </c>
      <c r="AL277" s="31">
        <f>VLOOKUP($A277,kurspris!$A$1:$Q$835,11,FALSE)</f>
        <v>0</v>
      </c>
      <c r="AM277" s="31">
        <f>VLOOKUP($A277,kurspris!$A$1:$Q$835,12,FALSE)</f>
        <v>0</v>
      </c>
      <c r="AN277" s="31">
        <f>VLOOKUP($A277,kurspris!$A$1:$Q$835,13,FALSE)</f>
        <v>0</v>
      </c>
      <c r="AO277" s="31">
        <f>VLOOKUP($A277,kurspris!$A$1:$Q$835,14,FALSE)</f>
        <v>0</v>
      </c>
      <c r="AP277" s="39" t="s">
        <v>2204</v>
      </c>
      <c r="AQ277"/>
      <c r="AR277" s="31">
        <f t="shared" si="117"/>
        <v>0</v>
      </c>
      <c r="AS277" s="255">
        <f t="shared" si="118"/>
        <v>0</v>
      </c>
      <c r="AT277" s="31">
        <f t="shared" si="119"/>
        <v>1</v>
      </c>
      <c r="AU277" s="255">
        <f t="shared" si="120"/>
        <v>0.85</v>
      </c>
      <c r="AV277" s="31">
        <f t="shared" si="121"/>
        <v>0</v>
      </c>
      <c r="AW277" s="31">
        <f t="shared" si="122"/>
        <v>0</v>
      </c>
      <c r="AX277" s="31">
        <f t="shared" si="123"/>
        <v>0</v>
      </c>
      <c r="AY277" s="255">
        <f t="shared" si="124"/>
        <v>0</v>
      </c>
      <c r="AZ277" s="232">
        <f t="shared" si="125"/>
        <v>0</v>
      </c>
      <c r="BA277" s="255">
        <f t="shared" si="126"/>
        <v>0</v>
      </c>
      <c r="BB277" s="31">
        <f t="shared" si="127"/>
        <v>0</v>
      </c>
      <c r="BC277" s="255">
        <f t="shared" si="128"/>
        <v>0</v>
      </c>
      <c r="BD277" s="31">
        <f t="shared" si="129"/>
        <v>0</v>
      </c>
      <c r="BE277" s="255">
        <f t="shared" si="130"/>
        <v>0</v>
      </c>
      <c r="BF277" s="31">
        <f t="shared" si="131"/>
        <v>0</v>
      </c>
      <c r="BG277" s="255">
        <f t="shared" si="132"/>
        <v>0</v>
      </c>
      <c r="BH277" s="31">
        <f t="shared" si="133"/>
        <v>0</v>
      </c>
      <c r="BI277" s="255">
        <f t="shared" si="134"/>
        <v>0</v>
      </c>
      <c r="BJ277" s="31">
        <f t="shared" si="135"/>
        <v>0</v>
      </c>
      <c r="BK277" s="31">
        <f t="shared" si="136"/>
        <v>0</v>
      </c>
      <c r="BL277" s="255">
        <f t="shared" si="137"/>
        <v>0</v>
      </c>
      <c r="BM277" s="31">
        <f t="shared" si="138"/>
        <v>0</v>
      </c>
      <c r="BN277" s="255">
        <f t="shared" si="139"/>
        <v>0</v>
      </c>
    </row>
    <row r="278" spans="1:66" x14ac:dyDescent="0.25">
      <c r="A278" t="s">
        <v>1557</v>
      </c>
      <c r="B278" s="186" t="str">
        <f>VLOOKUP(A278,kurspris!$A$1:$B$877,2,FALSE)</f>
        <v>Examensarbete i Idrott och hälsa för ämneslärarexamen</v>
      </c>
      <c r="C278"/>
      <c r="D278" t="s">
        <v>482</v>
      </c>
      <c r="E278" t="s">
        <v>1975</v>
      </c>
      <c r="F278" s="39" t="s">
        <v>1930</v>
      </c>
      <c r="G278" t="s">
        <v>1993</v>
      </c>
      <c r="H278" t="s">
        <v>1910</v>
      </c>
      <c r="I278"/>
      <c r="J278" t="s">
        <v>773</v>
      </c>
      <c r="K278"/>
      <c r="L278">
        <v>100</v>
      </c>
      <c r="M278" s="295">
        <v>22.5</v>
      </c>
      <c r="N278"/>
      <c r="O278"/>
      <c r="P278" s="31">
        <v>2</v>
      </c>
      <c r="Q278" s="232">
        <f t="shared" si="112"/>
        <v>0.75</v>
      </c>
      <c r="R278" s="40">
        <v>0.85</v>
      </c>
      <c r="S278" s="334">
        <f t="shared" si="113"/>
        <v>0.63749999999999996</v>
      </c>
      <c r="T278" s="31">
        <f>VLOOKUP(A278,'Ansvar kurs'!$A$1:$C$1010,2,FALSE)</f>
        <v>2180</v>
      </c>
      <c r="U278" s="31" t="str">
        <f>VLOOKUP(T278,Orgenheter!$A$1:$C$165,2,FALSE)</f>
        <v xml:space="preserve">Pedagogik                     </v>
      </c>
      <c r="V278" s="31" t="str">
        <f>VLOOKUP(T278,Orgenheter!$A$1:$C$165,3,FALSE)</f>
        <v>Sam</v>
      </c>
      <c r="W278" s="37" t="str">
        <f>VLOOKUP(D278,Program!$A$1:$B$34,2,FALSE)</f>
        <v>Ämneslärarprogrammet - åk 7-9</v>
      </c>
      <c r="X278" s="42">
        <f>VLOOKUP(A278,kurspris!$A$1:$Q$798,15,FALSE)</f>
        <v>18405</v>
      </c>
      <c r="Y278" s="42">
        <f>VLOOKUP(A278,kurspris!$A$1:$Q$798,16,FALSE)</f>
        <v>15773</v>
      </c>
      <c r="Z278" s="42">
        <f t="shared" si="114"/>
        <v>23859.037499999999</v>
      </c>
      <c r="AA278" s="42">
        <f>VLOOKUP(A278,kurspris!$A$1:$Q$798,17,FALSE)</f>
        <v>5800</v>
      </c>
      <c r="AB278" s="42">
        <f t="shared" si="115"/>
        <v>4350</v>
      </c>
      <c r="AC278" s="42">
        <f t="shared" si="116"/>
        <v>28209.037499999999</v>
      </c>
      <c r="AD278" s="31">
        <f>VLOOKUP($A278,kurspris!$A$1:$Q$835,3,FALSE)</f>
        <v>0</v>
      </c>
      <c r="AE278" s="31">
        <f>VLOOKUP($A278,kurspris!$A$1:$Q$835,4,FALSE)</f>
        <v>0</v>
      </c>
      <c r="AF278" s="31">
        <f>VLOOKUP($A278,kurspris!$A$1:$Q$835,5,FALSE)</f>
        <v>0</v>
      </c>
      <c r="AG278" s="31">
        <f>VLOOKUP($A278,kurspris!$A$1:$Q$835,6,FALSE)</f>
        <v>0</v>
      </c>
      <c r="AH278" s="31">
        <f>VLOOKUP($A278,kurspris!$A$1:$Q$835,7,FALSE)</f>
        <v>0</v>
      </c>
      <c r="AI278" s="31">
        <f>VLOOKUP($A278,kurspris!$A$1:$Q$835,8,FALSE)</f>
        <v>0</v>
      </c>
      <c r="AJ278" s="31">
        <f>VLOOKUP($A278,kurspris!$A$1:$Q$835,9,FALSE)</f>
        <v>1</v>
      </c>
      <c r="AK278" s="31">
        <f>VLOOKUP($A278,kurspris!$A$1:$Q$835,10,FALSE)</f>
        <v>0</v>
      </c>
      <c r="AL278" s="31">
        <f>VLOOKUP($A278,kurspris!$A$1:$Q$835,11,FALSE)</f>
        <v>0</v>
      </c>
      <c r="AM278" s="31">
        <f>VLOOKUP($A278,kurspris!$A$1:$Q$835,12,FALSE)</f>
        <v>0</v>
      </c>
      <c r="AN278" s="31">
        <f>VLOOKUP($A278,kurspris!$A$1:$Q$835,13,FALSE)</f>
        <v>0</v>
      </c>
      <c r="AO278" s="31">
        <f>VLOOKUP($A278,kurspris!$A$1:$Q$835,14,FALSE)</f>
        <v>0</v>
      </c>
      <c r="AP278" s="39" t="s">
        <v>2204</v>
      </c>
      <c r="AQ278" s="39" t="s">
        <v>2035</v>
      </c>
      <c r="AR278" s="31">
        <f t="shared" si="117"/>
        <v>0</v>
      </c>
      <c r="AS278" s="255">
        <f t="shared" si="118"/>
        <v>0</v>
      </c>
      <c r="AT278" s="31">
        <f t="shared" si="119"/>
        <v>0</v>
      </c>
      <c r="AU278" s="255">
        <f t="shared" si="120"/>
        <v>0</v>
      </c>
      <c r="AV278" s="31">
        <f t="shared" si="121"/>
        <v>0</v>
      </c>
      <c r="AW278" s="31">
        <f t="shared" si="122"/>
        <v>0</v>
      </c>
      <c r="AX278" s="31">
        <f t="shared" si="123"/>
        <v>0</v>
      </c>
      <c r="AY278" s="255">
        <f t="shared" si="124"/>
        <v>0</v>
      </c>
      <c r="AZ278" s="232">
        <f t="shared" si="125"/>
        <v>0</v>
      </c>
      <c r="BA278" s="255">
        <f t="shared" si="126"/>
        <v>0</v>
      </c>
      <c r="BB278" s="31">
        <f t="shared" si="127"/>
        <v>0</v>
      </c>
      <c r="BC278" s="255">
        <f t="shared" si="128"/>
        <v>0</v>
      </c>
      <c r="BD278" s="31">
        <f t="shared" si="129"/>
        <v>0.75</v>
      </c>
      <c r="BE278" s="255">
        <f t="shared" si="130"/>
        <v>0.63749999999999996</v>
      </c>
      <c r="BF278" s="31">
        <f t="shared" si="131"/>
        <v>0</v>
      </c>
      <c r="BG278" s="255">
        <f t="shared" si="132"/>
        <v>0</v>
      </c>
      <c r="BH278" s="31">
        <f t="shared" si="133"/>
        <v>0</v>
      </c>
      <c r="BI278" s="255">
        <f t="shared" si="134"/>
        <v>0</v>
      </c>
      <c r="BJ278" s="31">
        <f t="shared" si="135"/>
        <v>0</v>
      </c>
      <c r="BK278" s="31">
        <f t="shared" si="136"/>
        <v>0</v>
      </c>
      <c r="BL278" s="255">
        <f t="shared" si="137"/>
        <v>0</v>
      </c>
      <c r="BM278" s="31">
        <f t="shared" si="138"/>
        <v>0</v>
      </c>
      <c r="BN278" s="255">
        <f t="shared" si="139"/>
        <v>0</v>
      </c>
    </row>
    <row r="279" spans="1:66" x14ac:dyDescent="0.25">
      <c r="A279" t="s">
        <v>1557</v>
      </c>
      <c r="B279" s="186" t="str">
        <f>VLOOKUP(A279,kurspris!$A$1:$B$877,2,FALSE)</f>
        <v>Examensarbete i Idrott och hälsa för ämneslärarexamen</v>
      </c>
      <c r="C279"/>
      <c r="D279" t="s">
        <v>482</v>
      </c>
      <c r="E279" t="s">
        <v>1976</v>
      </c>
      <c r="F279" s="39" t="s">
        <v>1930</v>
      </c>
      <c r="G279" t="s">
        <v>1997</v>
      </c>
      <c r="H279" t="s">
        <v>1910</v>
      </c>
      <c r="I279"/>
      <c r="J279" t="s">
        <v>773</v>
      </c>
      <c r="K279"/>
      <c r="L279">
        <v>100</v>
      </c>
      <c r="M279" s="295">
        <v>7.5</v>
      </c>
      <c r="N279"/>
      <c r="O279"/>
      <c r="P279" s="31">
        <v>1</v>
      </c>
      <c r="Q279" s="232">
        <f t="shared" si="112"/>
        <v>0.125</v>
      </c>
      <c r="R279" s="40">
        <v>0.85</v>
      </c>
      <c r="S279" s="334">
        <f t="shared" si="113"/>
        <v>0.10625</v>
      </c>
      <c r="T279" s="31">
        <f>VLOOKUP(A279,'Ansvar kurs'!$A$1:$C$1010,2,FALSE)</f>
        <v>2180</v>
      </c>
      <c r="U279" s="31" t="str">
        <f>VLOOKUP(T279,Orgenheter!$A$1:$C$165,2,FALSE)</f>
        <v xml:space="preserve">Pedagogik                     </v>
      </c>
      <c r="V279" s="31" t="str">
        <f>VLOOKUP(T279,Orgenheter!$A$1:$C$165,3,FALSE)</f>
        <v>Sam</v>
      </c>
      <c r="W279" s="37" t="str">
        <f>VLOOKUP(D279,Program!$A$1:$B$34,2,FALSE)</f>
        <v>Ämneslärarprogrammet - åk 7-9</v>
      </c>
      <c r="X279" s="42">
        <f>VLOOKUP(A279,kurspris!$A$1:$Q$798,15,FALSE)</f>
        <v>18405</v>
      </c>
      <c r="Y279" s="42">
        <f>VLOOKUP(A279,kurspris!$A$1:$Q$798,16,FALSE)</f>
        <v>15773</v>
      </c>
      <c r="Z279" s="42">
        <f t="shared" si="114"/>
        <v>3976.5062499999999</v>
      </c>
      <c r="AA279" s="42">
        <f>VLOOKUP(A279,kurspris!$A$1:$Q$798,17,FALSE)</f>
        <v>5800</v>
      </c>
      <c r="AB279" s="42">
        <f t="shared" si="115"/>
        <v>725</v>
      </c>
      <c r="AC279" s="42">
        <f t="shared" si="116"/>
        <v>4701.5062500000004</v>
      </c>
      <c r="AD279" s="31">
        <f>VLOOKUP($A279,kurspris!$A$1:$Q$835,3,FALSE)</f>
        <v>0</v>
      </c>
      <c r="AE279" s="31">
        <f>VLOOKUP($A279,kurspris!$A$1:$Q$835,4,FALSE)</f>
        <v>0</v>
      </c>
      <c r="AF279" s="31">
        <f>VLOOKUP($A279,kurspris!$A$1:$Q$835,5,FALSE)</f>
        <v>0</v>
      </c>
      <c r="AG279" s="31">
        <f>VLOOKUP($A279,kurspris!$A$1:$Q$835,6,FALSE)</f>
        <v>0</v>
      </c>
      <c r="AH279" s="31">
        <f>VLOOKUP($A279,kurspris!$A$1:$Q$835,7,FALSE)</f>
        <v>0</v>
      </c>
      <c r="AI279" s="31">
        <f>VLOOKUP($A279,kurspris!$A$1:$Q$835,8,FALSE)</f>
        <v>0</v>
      </c>
      <c r="AJ279" s="31">
        <f>VLOOKUP($A279,kurspris!$A$1:$Q$835,9,FALSE)</f>
        <v>1</v>
      </c>
      <c r="AK279" s="31">
        <f>VLOOKUP($A279,kurspris!$A$1:$Q$835,10,FALSE)</f>
        <v>0</v>
      </c>
      <c r="AL279" s="31">
        <f>VLOOKUP($A279,kurspris!$A$1:$Q$835,11,FALSE)</f>
        <v>0</v>
      </c>
      <c r="AM279" s="31">
        <f>VLOOKUP($A279,kurspris!$A$1:$Q$835,12,FALSE)</f>
        <v>0</v>
      </c>
      <c r="AN279" s="31">
        <f>VLOOKUP($A279,kurspris!$A$1:$Q$835,13,FALSE)</f>
        <v>0</v>
      </c>
      <c r="AO279" s="31">
        <f>VLOOKUP($A279,kurspris!$A$1:$Q$835,14,FALSE)</f>
        <v>0</v>
      </c>
      <c r="AP279" s="39" t="s">
        <v>2232</v>
      </c>
      <c r="AQ279" s="39" t="s">
        <v>2036</v>
      </c>
      <c r="AR279" s="31">
        <f t="shared" si="117"/>
        <v>0</v>
      </c>
      <c r="AS279" s="255">
        <f t="shared" si="118"/>
        <v>0</v>
      </c>
      <c r="AT279" s="31">
        <f t="shared" si="119"/>
        <v>0</v>
      </c>
      <c r="AU279" s="255">
        <f t="shared" si="120"/>
        <v>0</v>
      </c>
      <c r="AV279" s="31">
        <f t="shared" si="121"/>
        <v>0</v>
      </c>
      <c r="AW279" s="31">
        <f t="shared" si="122"/>
        <v>0</v>
      </c>
      <c r="AX279" s="31">
        <f t="shared" si="123"/>
        <v>0</v>
      </c>
      <c r="AY279" s="255">
        <f t="shared" si="124"/>
        <v>0</v>
      </c>
      <c r="AZ279" s="232">
        <f t="shared" si="125"/>
        <v>0</v>
      </c>
      <c r="BA279" s="255">
        <f t="shared" si="126"/>
        <v>0</v>
      </c>
      <c r="BB279" s="31">
        <f t="shared" si="127"/>
        <v>0</v>
      </c>
      <c r="BC279" s="255">
        <f t="shared" si="128"/>
        <v>0</v>
      </c>
      <c r="BD279" s="31">
        <f t="shared" si="129"/>
        <v>0.125</v>
      </c>
      <c r="BE279" s="255">
        <f t="shared" si="130"/>
        <v>0.10625</v>
      </c>
      <c r="BF279" s="31">
        <f t="shared" si="131"/>
        <v>0</v>
      </c>
      <c r="BG279" s="255">
        <f t="shared" si="132"/>
        <v>0</v>
      </c>
      <c r="BH279" s="31">
        <f t="shared" si="133"/>
        <v>0</v>
      </c>
      <c r="BI279" s="255">
        <f t="shared" si="134"/>
        <v>0</v>
      </c>
      <c r="BJ279" s="31">
        <f t="shared" si="135"/>
        <v>0</v>
      </c>
      <c r="BK279" s="31">
        <f t="shared" si="136"/>
        <v>0</v>
      </c>
      <c r="BL279" s="255">
        <f t="shared" si="137"/>
        <v>0</v>
      </c>
      <c r="BM279" s="31">
        <f t="shared" si="138"/>
        <v>0</v>
      </c>
      <c r="BN279" s="255">
        <f t="shared" si="139"/>
        <v>0</v>
      </c>
    </row>
    <row r="280" spans="1:66" x14ac:dyDescent="0.25">
      <c r="A280" s="18" t="s">
        <v>1557</v>
      </c>
      <c r="B280" s="186" t="str">
        <f>VLOOKUP(A280,kurspris!$A$1:$B$877,2,FALSE)</f>
        <v>Examensarbete i Idrott och hälsa för ämneslärarexamen</v>
      </c>
      <c r="C280" s="37"/>
      <c r="D280" s="31" t="s">
        <v>482</v>
      </c>
      <c r="E280" s="31" t="s">
        <v>1976</v>
      </c>
      <c r="F280" s="59" t="s">
        <v>1931</v>
      </c>
      <c r="G280" s="295" t="s">
        <v>1997</v>
      </c>
      <c r="J280" s="31" t="s">
        <v>773</v>
      </c>
      <c r="L280" s="31">
        <v>100</v>
      </c>
      <c r="M280" s="31">
        <v>7.5</v>
      </c>
      <c r="P280" s="31">
        <v>1</v>
      </c>
      <c r="Q280" s="232">
        <f t="shared" si="112"/>
        <v>0.125</v>
      </c>
      <c r="R280" s="40">
        <v>0.85</v>
      </c>
      <c r="S280" s="334">
        <f t="shared" si="113"/>
        <v>0.10625</v>
      </c>
      <c r="T280" s="31">
        <f>VLOOKUP(A280,'Ansvar kurs'!$A$1:$C$1010,2,FALSE)</f>
        <v>2180</v>
      </c>
      <c r="U280" s="31" t="str">
        <f>VLOOKUP(T280,Orgenheter!$A$1:$C$165,2,FALSE)</f>
        <v xml:space="preserve">Pedagogik                     </v>
      </c>
      <c r="V280" s="31" t="str">
        <f>VLOOKUP(T280,Orgenheter!$A$1:$C$165,3,FALSE)</f>
        <v>Sam</v>
      </c>
      <c r="W280" s="37" t="str">
        <f>VLOOKUP(D280,Program!$A$1:$B$34,2,FALSE)</f>
        <v>Ämneslärarprogrammet - åk 7-9</v>
      </c>
      <c r="X280" s="42">
        <f>VLOOKUP(A280,kurspris!$A$1:$Q$798,15,FALSE)</f>
        <v>18405</v>
      </c>
      <c r="Y280" s="42">
        <f>VLOOKUP(A280,kurspris!$A$1:$Q$798,16,FALSE)</f>
        <v>15773</v>
      </c>
      <c r="Z280" s="42">
        <f t="shared" si="114"/>
        <v>3976.5062499999999</v>
      </c>
      <c r="AA280" s="42">
        <f>VLOOKUP(A280,kurspris!$A$1:$Q$798,17,FALSE)</f>
        <v>5800</v>
      </c>
      <c r="AB280" s="42">
        <f t="shared" si="115"/>
        <v>725</v>
      </c>
      <c r="AC280" s="42">
        <f t="shared" si="116"/>
        <v>4701.5062500000004</v>
      </c>
      <c r="AD280" s="31">
        <f>VLOOKUP($A280,kurspris!$A$1:$Q$835,3,FALSE)</f>
        <v>0</v>
      </c>
      <c r="AE280" s="31">
        <f>VLOOKUP($A280,kurspris!$A$1:$Q$835,4,FALSE)</f>
        <v>0</v>
      </c>
      <c r="AF280" s="31">
        <f>VLOOKUP($A280,kurspris!$A$1:$Q$835,5,FALSE)</f>
        <v>0</v>
      </c>
      <c r="AG280" s="31">
        <f>VLOOKUP($A280,kurspris!$A$1:$Q$835,6,FALSE)</f>
        <v>0</v>
      </c>
      <c r="AH280" s="31">
        <f>VLOOKUP($A280,kurspris!$A$1:$Q$835,7,FALSE)</f>
        <v>0</v>
      </c>
      <c r="AI280" s="31">
        <f>VLOOKUP($A280,kurspris!$A$1:$Q$835,8,FALSE)</f>
        <v>0</v>
      </c>
      <c r="AJ280" s="31">
        <f>VLOOKUP($A280,kurspris!$A$1:$Q$835,9,FALSE)</f>
        <v>1</v>
      </c>
      <c r="AK280" s="31">
        <f>VLOOKUP($A280,kurspris!$A$1:$Q$835,10,FALSE)</f>
        <v>0</v>
      </c>
      <c r="AL280" s="31">
        <f>VLOOKUP($A280,kurspris!$A$1:$Q$835,11,FALSE)</f>
        <v>0</v>
      </c>
      <c r="AM280" s="31">
        <f>VLOOKUP($A280,kurspris!$A$1:$Q$835,12,FALSE)</f>
        <v>0</v>
      </c>
      <c r="AN280" s="31">
        <f>VLOOKUP($A280,kurspris!$A$1:$Q$835,13,FALSE)</f>
        <v>0</v>
      </c>
      <c r="AO280" s="31">
        <f>VLOOKUP($A280,kurspris!$A$1:$Q$835,14,FALSE)</f>
        <v>0</v>
      </c>
      <c r="AP280" s="39" t="s">
        <v>2326</v>
      </c>
      <c r="AQ280" t="s">
        <v>2300</v>
      </c>
      <c r="AR280" s="31">
        <f t="shared" si="117"/>
        <v>0</v>
      </c>
      <c r="AS280" s="255">
        <f t="shared" si="118"/>
        <v>0</v>
      </c>
      <c r="AT280" s="31">
        <f t="shared" si="119"/>
        <v>0</v>
      </c>
      <c r="AU280" s="255">
        <f t="shared" si="120"/>
        <v>0</v>
      </c>
      <c r="AV280" s="31">
        <f t="shared" si="121"/>
        <v>0</v>
      </c>
      <c r="AW280" s="31">
        <f t="shared" si="122"/>
        <v>0</v>
      </c>
      <c r="AX280" s="31">
        <f t="shared" si="123"/>
        <v>0</v>
      </c>
      <c r="AY280" s="255">
        <f t="shared" si="124"/>
        <v>0</v>
      </c>
      <c r="AZ280" s="232">
        <f t="shared" si="125"/>
        <v>0</v>
      </c>
      <c r="BA280" s="255">
        <f t="shared" si="126"/>
        <v>0</v>
      </c>
      <c r="BB280" s="31">
        <f t="shared" si="127"/>
        <v>0</v>
      </c>
      <c r="BC280" s="255">
        <f t="shared" si="128"/>
        <v>0</v>
      </c>
      <c r="BD280" s="31">
        <f t="shared" si="129"/>
        <v>0.125</v>
      </c>
      <c r="BE280" s="255">
        <f t="shared" si="130"/>
        <v>0.10625</v>
      </c>
      <c r="BF280" s="31">
        <f t="shared" si="131"/>
        <v>0</v>
      </c>
      <c r="BG280" s="255">
        <f t="shared" si="132"/>
        <v>0</v>
      </c>
      <c r="BH280" s="31">
        <f t="shared" si="133"/>
        <v>0</v>
      </c>
      <c r="BI280" s="255">
        <f t="shared" si="134"/>
        <v>0</v>
      </c>
      <c r="BJ280" s="31">
        <f t="shared" si="135"/>
        <v>0</v>
      </c>
      <c r="BK280" s="31">
        <f t="shared" si="136"/>
        <v>0</v>
      </c>
      <c r="BL280" s="255">
        <f t="shared" si="137"/>
        <v>0</v>
      </c>
      <c r="BM280" s="31">
        <f t="shared" si="138"/>
        <v>0</v>
      </c>
      <c r="BN280" s="255">
        <f t="shared" si="139"/>
        <v>0</v>
      </c>
    </row>
    <row r="281" spans="1:66" x14ac:dyDescent="0.25">
      <c r="A281" t="s">
        <v>1557</v>
      </c>
      <c r="B281" s="186" t="str">
        <f>VLOOKUP(A281,kurspris!$A$1:$B$877,2,FALSE)</f>
        <v>Examensarbete i Idrott och hälsa för ämneslärarexamen</v>
      </c>
      <c r="C281"/>
      <c r="D281" t="s">
        <v>483</v>
      </c>
      <c r="E281" t="s">
        <v>1994</v>
      </c>
      <c r="F281" s="39" t="s">
        <v>1930</v>
      </c>
      <c r="G281" t="s">
        <v>1993</v>
      </c>
      <c r="H281" t="s">
        <v>1910</v>
      </c>
      <c r="I281"/>
      <c r="J281" t="s">
        <v>773</v>
      </c>
      <c r="K281"/>
      <c r="L281">
        <v>100</v>
      </c>
      <c r="M281" s="295">
        <v>22.5</v>
      </c>
      <c r="N281"/>
      <c r="O281"/>
      <c r="P281" s="31">
        <v>1</v>
      </c>
      <c r="Q281" s="232">
        <f t="shared" si="112"/>
        <v>0.375</v>
      </c>
      <c r="R281" s="40">
        <v>0.85</v>
      </c>
      <c r="S281" s="334">
        <f t="shared" si="113"/>
        <v>0.31874999999999998</v>
      </c>
      <c r="T281" s="31">
        <f>VLOOKUP(A281,'Ansvar kurs'!$A$1:$C$1010,2,FALSE)</f>
        <v>2180</v>
      </c>
      <c r="U281" s="31" t="str">
        <f>VLOOKUP(T281,Orgenheter!$A$1:$C$165,2,FALSE)</f>
        <v xml:space="preserve">Pedagogik                     </v>
      </c>
      <c r="V281" s="31" t="str">
        <f>VLOOKUP(T281,Orgenheter!$A$1:$C$165,3,FALSE)</f>
        <v>Sam</v>
      </c>
      <c r="W281" s="37" t="str">
        <f>VLOOKUP(D281,Program!$A$1:$B$34,2,FALSE)</f>
        <v>Ämneslärarprogrammet - Gy</v>
      </c>
      <c r="X281" s="42">
        <f>VLOOKUP(A281,kurspris!$A$1:$Q$798,15,FALSE)</f>
        <v>18405</v>
      </c>
      <c r="Y281" s="42">
        <f>VLOOKUP(A281,kurspris!$A$1:$Q$798,16,FALSE)</f>
        <v>15773</v>
      </c>
      <c r="Z281" s="42">
        <f t="shared" si="114"/>
        <v>11929.518749999999</v>
      </c>
      <c r="AA281" s="42">
        <f>VLOOKUP(A281,kurspris!$A$1:$Q$798,17,FALSE)</f>
        <v>5800</v>
      </c>
      <c r="AB281" s="42">
        <f t="shared" si="115"/>
        <v>2175</v>
      </c>
      <c r="AC281" s="42">
        <f t="shared" si="116"/>
        <v>14104.518749999999</v>
      </c>
      <c r="AD281" s="31">
        <f>VLOOKUP($A281,kurspris!$A$1:$Q$835,3,FALSE)</f>
        <v>0</v>
      </c>
      <c r="AE281" s="31">
        <f>VLOOKUP($A281,kurspris!$A$1:$Q$835,4,FALSE)</f>
        <v>0</v>
      </c>
      <c r="AF281" s="31">
        <f>VLOOKUP($A281,kurspris!$A$1:$Q$835,5,FALSE)</f>
        <v>0</v>
      </c>
      <c r="AG281" s="31">
        <f>VLOOKUP($A281,kurspris!$A$1:$Q$835,6,FALSE)</f>
        <v>0</v>
      </c>
      <c r="AH281" s="31">
        <f>VLOOKUP($A281,kurspris!$A$1:$Q$835,7,FALSE)</f>
        <v>0</v>
      </c>
      <c r="AI281" s="31">
        <f>VLOOKUP($A281,kurspris!$A$1:$Q$835,8,FALSE)</f>
        <v>0</v>
      </c>
      <c r="AJ281" s="31">
        <f>VLOOKUP($A281,kurspris!$A$1:$Q$835,9,FALSE)</f>
        <v>1</v>
      </c>
      <c r="AK281" s="31">
        <f>VLOOKUP($A281,kurspris!$A$1:$Q$835,10,FALSE)</f>
        <v>0</v>
      </c>
      <c r="AL281" s="31">
        <f>VLOOKUP($A281,kurspris!$A$1:$Q$835,11,FALSE)</f>
        <v>0</v>
      </c>
      <c r="AM281" s="31">
        <f>VLOOKUP($A281,kurspris!$A$1:$Q$835,12,FALSE)</f>
        <v>0</v>
      </c>
      <c r="AN281" s="31">
        <f>VLOOKUP($A281,kurspris!$A$1:$Q$835,13,FALSE)</f>
        <v>0</v>
      </c>
      <c r="AO281" s="31">
        <f>VLOOKUP($A281,kurspris!$A$1:$Q$835,14,FALSE)</f>
        <v>0</v>
      </c>
      <c r="AP281" s="39" t="s">
        <v>2204</v>
      </c>
      <c r="AQ281" s="39" t="s">
        <v>2035</v>
      </c>
      <c r="AR281" s="31">
        <f t="shared" si="117"/>
        <v>0</v>
      </c>
      <c r="AS281" s="255">
        <f t="shared" si="118"/>
        <v>0</v>
      </c>
      <c r="AT281" s="31">
        <f t="shared" si="119"/>
        <v>0</v>
      </c>
      <c r="AU281" s="255">
        <f t="shared" si="120"/>
        <v>0</v>
      </c>
      <c r="AV281" s="31">
        <f t="shared" si="121"/>
        <v>0</v>
      </c>
      <c r="AW281" s="31">
        <f t="shared" si="122"/>
        <v>0</v>
      </c>
      <c r="AX281" s="31">
        <f t="shared" si="123"/>
        <v>0</v>
      </c>
      <c r="AY281" s="255">
        <f t="shared" si="124"/>
        <v>0</v>
      </c>
      <c r="AZ281" s="232">
        <f t="shared" si="125"/>
        <v>0</v>
      </c>
      <c r="BA281" s="255">
        <f t="shared" si="126"/>
        <v>0</v>
      </c>
      <c r="BB281" s="31">
        <f t="shared" si="127"/>
        <v>0</v>
      </c>
      <c r="BC281" s="255">
        <f t="shared" si="128"/>
        <v>0</v>
      </c>
      <c r="BD281" s="31">
        <f t="shared" si="129"/>
        <v>0.375</v>
      </c>
      <c r="BE281" s="255">
        <f t="shared" si="130"/>
        <v>0.31874999999999998</v>
      </c>
      <c r="BF281" s="31">
        <f t="shared" si="131"/>
        <v>0</v>
      </c>
      <c r="BG281" s="255">
        <f t="shared" si="132"/>
        <v>0</v>
      </c>
      <c r="BH281" s="31">
        <f t="shared" si="133"/>
        <v>0</v>
      </c>
      <c r="BI281" s="255">
        <f t="shared" si="134"/>
        <v>0</v>
      </c>
      <c r="BJ281" s="31">
        <f t="shared" si="135"/>
        <v>0</v>
      </c>
      <c r="BK281" s="31">
        <f t="shared" si="136"/>
        <v>0</v>
      </c>
      <c r="BL281" s="255">
        <f t="shared" si="137"/>
        <v>0</v>
      </c>
      <c r="BM281" s="31">
        <f t="shared" si="138"/>
        <v>0</v>
      </c>
      <c r="BN281" s="255">
        <f t="shared" si="139"/>
        <v>0</v>
      </c>
    </row>
    <row r="282" spans="1:66" x14ac:dyDescent="0.25">
      <c r="A282" s="18" t="s">
        <v>1557</v>
      </c>
      <c r="B282" s="186" t="str">
        <f>VLOOKUP(A282,kurspris!$A$1:$B$877,2,FALSE)</f>
        <v>Examensarbete i Idrott och hälsa för ämneslärarexamen</v>
      </c>
      <c r="C282" s="37"/>
      <c r="D282" s="31" t="s">
        <v>483</v>
      </c>
      <c r="E282" s="31" t="s">
        <v>1994</v>
      </c>
      <c r="F282" s="59" t="s">
        <v>1931</v>
      </c>
      <c r="G282" s="295" t="s">
        <v>2268</v>
      </c>
      <c r="J282" t="s">
        <v>773</v>
      </c>
      <c r="L282" s="31">
        <v>100</v>
      </c>
      <c r="M282" s="31">
        <v>7.5</v>
      </c>
      <c r="P282" s="31">
        <v>1</v>
      </c>
      <c r="Q282" s="232">
        <f t="shared" si="112"/>
        <v>0.125</v>
      </c>
      <c r="R282" s="40">
        <v>0.85</v>
      </c>
      <c r="S282" s="334">
        <f t="shared" si="113"/>
        <v>0.10625</v>
      </c>
      <c r="T282" s="31">
        <f>VLOOKUP(A282,'Ansvar kurs'!$A$1:$C$1010,2,FALSE)</f>
        <v>2180</v>
      </c>
      <c r="U282" s="31" t="str">
        <f>VLOOKUP(T282,Orgenheter!$A$1:$C$165,2,FALSE)</f>
        <v xml:space="preserve">Pedagogik                     </v>
      </c>
      <c r="V282" s="31" t="str">
        <f>VLOOKUP(T282,Orgenheter!$A$1:$C$165,3,FALSE)</f>
        <v>Sam</v>
      </c>
      <c r="W282" s="37" t="str">
        <f>VLOOKUP(D282,Program!$A$1:$B$34,2,FALSE)</f>
        <v>Ämneslärarprogrammet - Gy</v>
      </c>
      <c r="X282" s="42">
        <f>VLOOKUP(A282,kurspris!$A$1:$Q$798,15,FALSE)</f>
        <v>18405</v>
      </c>
      <c r="Y282" s="42">
        <f>VLOOKUP(A282,kurspris!$A$1:$Q$798,16,FALSE)</f>
        <v>15773</v>
      </c>
      <c r="Z282" s="42">
        <f t="shared" si="114"/>
        <v>3976.5062499999999</v>
      </c>
      <c r="AA282" s="42">
        <f>VLOOKUP(A282,kurspris!$A$1:$Q$798,17,FALSE)</f>
        <v>5800</v>
      </c>
      <c r="AB282" s="42">
        <f t="shared" si="115"/>
        <v>725</v>
      </c>
      <c r="AC282" s="42">
        <f t="shared" si="116"/>
        <v>4701.5062500000004</v>
      </c>
      <c r="AD282" s="31">
        <f>VLOOKUP($A282,kurspris!$A$1:$Q$835,3,FALSE)</f>
        <v>0</v>
      </c>
      <c r="AE282" s="31">
        <f>VLOOKUP($A282,kurspris!$A$1:$Q$835,4,FALSE)</f>
        <v>0</v>
      </c>
      <c r="AF282" s="31">
        <f>VLOOKUP($A282,kurspris!$A$1:$Q$835,5,FALSE)</f>
        <v>0</v>
      </c>
      <c r="AG282" s="31">
        <f>VLOOKUP($A282,kurspris!$A$1:$Q$835,6,FALSE)</f>
        <v>0</v>
      </c>
      <c r="AH282" s="31">
        <f>VLOOKUP($A282,kurspris!$A$1:$Q$835,7,FALSE)</f>
        <v>0</v>
      </c>
      <c r="AI282" s="31">
        <f>VLOOKUP($A282,kurspris!$A$1:$Q$835,8,FALSE)</f>
        <v>0</v>
      </c>
      <c r="AJ282" s="31">
        <f>VLOOKUP($A282,kurspris!$A$1:$Q$835,9,FALSE)</f>
        <v>1</v>
      </c>
      <c r="AK282" s="31">
        <f>VLOOKUP($A282,kurspris!$A$1:$Q$835,10,FALSE)</f>
        <v>0</v>
      </c>
      <c r="AL282" s="31">
        <f>VLOOKUP($A282,kurspris!$A$1:$Q$835,11,FALSE)</f>
        <v>0</v>
      </c>
      <c r="AM282" s="31">
        <f>VLOOKUP($A282,kurspris!$A$1:$Q$835,12,FALSE)</f>
        <v>0</v>
      </c>
      <c r="AN282" s="31">
        <f>VLOOKUP($A282,kurspris!$A$1:$Q$835,13,FALSE)</f>
        <v>0</v>
      </c>
      <c r="AO282" s="31">
        <f>VLOOKUP($A282,kurspris!$A$1:$Q$835,14,FALSE)</f>
        <v>0</v>
      </c>
      <c r="AP282" s="39" t="s">
        <v>2326</v>
      </c>
      <c r="AQ282" t="s">
        <v>2300</v>
      </c>
      <c r="AR282" s="31">
        <f t="shared" si="117"/>
        <v>0</v>
      </c>
      <c r="AS282" s="255">
        <f t="shared" si="118"/>
        <v>0</v>
      </c>
      <c r="AT282" s="31">
        <f t="shared" si="119"/>
        <v>0</v>
      </c>
      <c r="AU282" s="255">
        <f t="shared" si="120"/>
        <v>0</v>
      </c>
      <c r="AV282" s="31">
        <f t="shared" si="121"/>
        <v>0</v>
      </c>
      <c r="AW282" s="31">
        <f t="shared" si="122"/>
        <v>0</v>
      </c>
      <c r="AX282" s="31">
        <f t="shared" si="123"/>
        <v>0</v>
      </c>
      <c r="AY282" s="255">
        <f t="shared" si="124"/>
        <v>0</v>
      </c>
      <c r="AZ282" s="232">
        <f t="shared" si="125"/>
        <v>0</v>
      </c>
      <c r="BA282" s="255">
        <f t="shared" si="126"/>
        <v>0</v>
      </c>
      <c r="BB282" s="31">
        <f t="shared" si="127"/>
        <v>0</v>
      </c>
      <c r="BC282" s="255">
        <f t="shared" si="128"/>
        <v>0</v>
      </c>
      <c r="BD282" s="31">
        <f t="shared" si="129"/>
        <v>0.125</v>
      </c>
      <c r="BE282" s="255">
        <f t="shared" si="130"/>
        <v>0.10625</v>
      </c>
      <c r="BF282" s="31">
        <f t="shared" si="131"/>
        <v>0</v>
      </c>
      <c r="BG282" s="255">
        <f t="shared" si="132"/>
        <v>0</v>
      </c>
      <c r="BH282" s="31">
        <f t="shared" si="133"/>
        <v>0</v>
      </c>
      <c r="BI282" s="255">
        <f t="shared" si="134"/>
        <v>0</v>
      </c>
      <c r="BJ282" s="31">
        <f t="shared" si="135"/>
        <v>0</v>
      </c>
      <c r="BK282" s="31">
        <f t="shared" si="136"/>
        <v>0</v>
      </c>
      <c r="BL282" s="255">
        <f t="shared" si="137"/>
        <v>0</v>
      </c>
      <c r="BM282" s="31">
        <f t="shared" si="138"/>
        <v>0</v>
      </c>
      <c r="BN282" s="255">
        <f t="shared" si="139"/>
        <v>0</v>
      </c>
    </row>
    <row r="283" spans="1:66" x14ac:dyDescent="0.25">
      <c r="A283" t="s">
        <v>1557</v>
      </c>
      <c r="B283" s="186" t="str">
        <f>VLOOKUP(A283,kurspris!$A$1:$B$877,2,FALSE)</f>
        <v>Examensarbete i Idrott och hälsa för ämneslärarexamen</v>
      </c>
      <c r="C283"/>
      <c r="D283" t="s">
        <v>483</v>
      </c>
      <c r="E283" t="s">
        <v>1992</v>
      </c>
      <c r="F283" s="39" t="s">
        <v>1930</v>
      </c>
      <c r="G283" t="s">
        <v>1993</v>
      </c>
      <c r="H283" t="s">
        <v>1910</v>
      </c>
      <c r="I283"/>
      <c r="J283" t="s">
        <v>772</v>
      </c>
      <c r="K283"/>
      <c r="L283">
        <v>100</v>
      </c>
      <c r="M283" s="295">
        <v>22.5</v>
      </c>
      <c r="N283"/>
      <c r="O283"/>
      <c r="P283" s="31">
        <v>1</v>
      </c>
      <c r="Q283" s="232">
        <f t="shared" si="112"/>
        <v>0.375</v>
      </c>
      <c r="R283" s="40">
        <v>0.85</v>
      </c>
      <c r="S283" s="334">
        <f t="shared" si="113"/>
        <v>0.31874999999999998</v>
      </c>
      <c r="T283" s="31">
        <f>VLOOKUP(A283,'Ansvar kurs'!$A$1:$C$1010,2,FALSE)</f>
        <v>2180</v>
      </c>
      <c r="U283" s="31" t="str">
        <f>VLOOKUP(T283,Orgenheter!$A$1:$C$165,2,FALSE)</f>
        <v xml:space="preserve">Pedagogik                     </v>
      </c>
      <c r="V283" s="31" t="str">
        <f>VLOOKUP(T283,Orgenheter!$A$1:$C$165,3,FALSE)</f>
        <v>Sam</v>
      </c>
      <c r="W283" s="37" t="str">
        <f>VLOOKUP(D283,Program!$A$1:$B$34,2,FALSE)</f>
        <v>Ämneslärarprogrammet - Gy</v>
      </c>
      <c r="X283" s="42">
        <f>VLOOKUP(A283,kurspris!$A$1:$Q$798,15,FALSE)</f>
        <v>18405</v>
      </c>
      <c r="Y283" s="42">
        <f>VLOOKUP(A283,kurspris!$A$1:$Q$798,16,FALSE)</f>
        <v>15773</v>
      </c>
      <c r="Z283" s="42">
        <f t="shared" si="114"/>
        <v>11929.518749999999</v>
      </c>
      <c r="AA283" s="42">
        <f>VLOOKUP(A283,kurspris!$A$1:$Q$798,17,FALSE)</f>
        <v>5800</v>
      </c>
      <c r="AB283" s="42">
        <f t="shared" si="115"/>
        <v>2175</v>
      </c>
      <c r="AC283" s="42">
        <f t="shared" si="116"/>
        <v>14104.518749999999</v>
      </c>
      <c r="AD283" s="31">
        <f>VLOOKUP($A283,kurspris!$A$1:$Q$835,3,FALSE)</f>
        <v>0</v>
      </c>
      <c r="AE283" s="31">
        <f>VLOOKUP($A283,kurspris!$A$1:$Q$835,4,FALSE)</f>
        <v>0</v>
      </c>
      <c r="AF283" s="31">
        <f>VLOOKUP($A283,kurspris!$A$1:$Q$835,5,FALSE)</f>
        <v>0</v>
      </c>
      <c r="AG283" s="31">
        <f>VLOOKUP($A283,kurspris!$A$1:$Q$835,6,FALSE)</f>
        <v>0</v>
      </c>
      <c r="AH283" s="31">
        <f>VLOOKUP($A283,kurspris!$A$1:$Q$835,7,FALSE)</f>
        <v>0</v>
      </c>
      <c r="AI283" s="31">
        <f>VLOOKUP($A283,kurspris!$A$1:$Q$835,8,FALSE)</f>
        <v>0</v>
      </c>
      <c r="AJ283" s="31">
        <f>VLOOKUP($A283,kurspris!$A$1:$Q$835,9,FALSE)</f>
        <v>1</v>
      </c>
      <c r="AK283" s="31">
        <f>VLOOKUP($A283,kurspris!$A$1:$Q$835,10,FALSE)</f>
        <v>0</v>
      </c>
      <c r="AL283" s="31">
        <f>VLOOKUP($A283,kurspris!$A$1:$Q$835,11,FALSE)</f>
        <v>0</v>
      </c>
      <c r="AM283" s="31">
        <f>VLOOKUP($A283,kurspris!$A$1:$Q$835,12,FALSE)</f>
        <v>0</v>
      </c>
      <c r="AN283" s="31">
        <f>VLOOKUP($A283,kurspris!$A$1:$Q$835,13,FALSE)</f>
        <v>0</v>
      </c>
      <c r="AO283" s="31">
        <f>VLOOKUP($A283,kurspris!$A$1:$Q$835,14,FALSE)</f>
        <v>0</v>
      </c>
      <c r="AP283" s="39" t="s">
        <v>2204</v>
      </c>
      <c r="AQ283" s="39" t="s">
        <v>2035</v>
      </c>
      <c r="AR283" s="31">
        <f t="shared" si="117"/>
        <v>0</v>
      </c>
      <c r="AS283" s="255">
        <f t="shared" si="118"/>
        <v>0</v>
      </c>
      <c r="AT283" s="31">
        <f t="shared" si="119"/>
        <v>0</v>
      </c>
      <c r="AU283" s="255">
        <f t="shared" si="120"/>
        <v>0</v>
      </c>
      <c r="AV283" s="31">
        <f t="shared" si="121"/>
        <v>0</v>
      </c>
      <c r="AW283" s="31">
        <f t="shared" si="122"/>
        <v>0</v>
      </c>
      <c r="AX283" s="31">
        <f t="shared" si="123"/>
        <v>0</v>
      </c>
      <c r="AY283" s="255">
        <f t="shared" si="124"/>
        <v>0</v>
      </c>
      <c r="AZ283" s="232">
        <f t="shared" si="125"/>
        <v>0</v>
      </c>
      <c r="BA283" s="255">
        <f t="shared" si="126"/>
        <v>0</v>
      </c>
      <c r="BB283" s="31">
        <f t="shared" si="127"/>
        <v>0</v>
      </c>
      <c r="BC283" s="255">
        <f t="shared" si="128"/>
        <v>0</v>
      </c>
      <c r="BD283" s="31">
        <f t="shared" si="129"/>
        <v>0.375</v>
      </c>
      <c r="BE283" s="255">
        <f t="shared" si="130"/>
        <v>0.31874999999999998</v>
      </c>
      <c r="BF283" s="31">
        <f t="shared" si="131"/>
        <v>0</v>
      </c>
      <c r="BG283" s="255">
        <f t="shared" si="132"/>
        <v>0</v>
      </c>
      <c r="BH283" s="31">
        <f t="shared" si="133"/>
        <v>0</v>
      </c>
      <c r="BI283" s="255">
        <f t="shared" si="134"/>
        <v>0</v>
      </c>
      <c r="BJ283" s="31">
        <f t="shared" si="135"/>
        <v>0</v>
      </c>
      <c r="BK283" s="31">
        <f t="shared" si="136"/>
        <v>0</v>
      </c>
      <c r="BL283" s="255">
        <f t="shared" si="137"/>
        <v>0</v>
      </c>
      <c r="BM283" s="31">
        <f t="shared" si="138"/>
        <v>0</v>
      </c>
      <c r="BN283" s="255">
        <f t="shared" si="139"/>
        <v>0</v>
      </c>
    </row>
    <row r="284" spans="1:66" x14ac:dyDescent="0.25">
      <c r="A284" t="s">
        <v>1557</v>
      </c>
      <c r="B284" s="186" t="str">
        <f>VLOOKUP(A284,kurspris!$A$1:$B$877,2,FALSE)</f>
        <v>Examensarbete i Idrott och hälsa för ämneslärarexamen</v>
      </c>
      <c r="C284"/>
      <c r="D284" t="s">
        <v>483</v>
      </c>
      <c r="E284" t="s">
        <v>1992</v>
      </c>
      <c r="F284" s="39" t="s">
        <v>1930</v>
      </c>
      <c r="G284" t="s">
        <v>1993</v>
      </c>
      <c r="H284" t="s">
        <v>1910</v>
      </c>
      <c r="I284"/>
      <c r="J284" t="s">
        <v>773</v>
      </c>
      <c r="K284"/>
      <c r="L284">
        <v>100</v>
      </c>
      <c r="M284" s="295">
        <v>22.5</v>
      </c>
      <c r="N284"/>
      <c r="O284"/>
      <c r="P284" s="31">
        <v>1</v>
      </c>
      <c r="Q284" s="232">
        <f t="shared" si="112"/>
        <v>0.375</v>
      </c>
      <c r="R284" s="40">
        <v>0.85</v>
      </c>
      <c r="S284" s="334">
        <f t="shared" si="113"/>
        <v>0.31874999999999998</v>
      </c>
      <c r="T284" s="31">
        <f>VLOOKUP(A284,'Ansvar kurs'!$A$1:$C$1010,2,FALSE)</f>
        <v>2180</v>
      </c>
      <c r="U284" s="31" t="str">
        <f>VLOOKUP(T284,Orgenheter!$A$1:$C$165,2,FALSE)</f>
        <v xml:space="preserve">Pedagogik                     </v>
      </c>
      <c r="V284" s="31" t="str">
        <f>VLOOKUP(T284,Orgenheter!$A$1:$C$165,3,FALSE)</f>
        <v>Sam</v>
      </c>
      <c r="W284" s="37" t="str">
        <f>VLOOKUP(D284,Program!$A$1:$B$34,2,FALSE)</f>
        <v>Ämneslärarprogrammet - Gy</v>
      </c>
      <c r="X284" s="42">
        <f>VLOOKUP(A284,kurspris!$A$1:$Q$798,15,FALSE)</f>
        <v>18405</v>
      </c>
      <c r="Y284" s="42">
        <f>VLOOKUP(A284,kurspris!$A$1:$Q$798,16,FALSE)</f>
        <v>15773</v>
      </c>
      <c r="Z284" s="42">
        <f t="shared" si="114"/>
        <v>11929.518749999999</v>
      </c>
      <c r="AA284" s="42">
        <f>VLOOKUP(A284,kurspris!$A$1:$Q$798,17,FALSE)</f>
        <v>5800</v>
      </c>
      <c r="AB284" s="42">
        <f t="shared" si="115"/>
        <v>2175</v>
      </c>
      <c r="AC284" s="42">
        <f t="shared" si="116"/>
        <v>14104.518749999999</v>
      </c>
      <c r="AD284" s="31">
        <f>VLOOKUP($A284,kurspris!$A$1:$Q$835,3,FALSE)</f>
        <v>0</v>
      </c>
      <c r="AE284" s="31">
        <f>VLOOKUP($A284,kurspris!$A$1:$Q$835,4,FALSE)</f>
        <v>0</v>
      </c>
      <c r="AF284" s="31">
        <f>VLOOKUP($A284,kurspris!$A$1:$Q$835,5,FALSE)</f>
        <v>0</v>
      </c>
      <c r="AG284" s="31">
        <f>VLOOKUP($A284,kurspris!$A$1:$Q$835,6,FALSE)</f>
        <v>0</v>
      </c>
      <c r="AH284" s="31">
        <f>VLOOKUP($A284,kurspris!$A$1:$Q$835,7,FALSE)</f>
        <v>0</v>
      </c>
      <c r="AI284" s="31">
        <f>VLOOKUP($A284,kurspris!$A$1:$Q$835,8,FALSE)</f>
        <v>0</v>
      </c>
      <c r="AJ284" s="31">
        <f>VLOOKUP($A284,kurspris!$A$1:$Q$835,9,FALSE)</f>
        <v>1</v>
      </c>
      <c r="AK284" s="31">
        <f>VLOOKUP($A284,kurspris!$A$1:$Q$835,10,FALSE)</f>
        <v>0</v>
      </c>
      <c r="AL284" s="31">
        <f>VLOOKUP($A284,kurspris!$A$1:$Q$835,11,FALSE)</f>
        <v>0</v>
      </c>
      <c r="AM284" s="31">
        <f>VLOOKUP($A284,kurspris!$A$1:$Q$835,12,FALSE)</f>
        <v>0</v>
      </c>
      <c r="AN284" s="31">
        <f>VLOOKUP($A284,kurspris!$A$1:$Q$835,13,FALSE)</f>
        <v>0</v>
      </c>
      <c r="AO284" s="31">
        <f>VLOOKUP($A284,kurspris!$A$1:$Q$835,14,FALSE)</f>
        <v>0</v>
      </c>
      <c r="AP284" s="39" t="s">
        <v>2204</v>
      </c>
      <c r="AQ284" s="39" t="s">
        <v>2035</v>
      </c>
      <c r="AR284" s="31">
        <f t="shared" si="117"/>
        <v>0</v>
      </c>
      <c r="AS284" s="255">
        <f t="shared" si="118"/>
        <v>0</v>
      </c>
      <c r="AT284" s="31">
        <f t="shared" si="119"/>
        <v>0</v>
      </c>
      <c r="AU284" s="255">
        <f t="shared" si="120"/>
        <v>0</v>
      </c>
      <c r="AV284" s="31">
        <f t="shared" si="121"/>
        <v>0</v>
      </c>
      <c r="AW284" s="31">
        <f t="shared" si="122"/>
        <v>0</v>
      </c>
      <c r="AX284" s="31">
        <f t="shared" si="123"/>
        <v>0</v>
      </c>
      <c r="AY284" s="255">
        <f t="shared" si="124"/>
        <v>0</v>
      </c>
      <c r="AZ284" s="232">
        <f t="shared" si="125"/>
        <v>0</v>
      </c>
      <c r="BA284" s="255">
        <f t="shared" si="126"/>
        <v>0</v>
      </c>
      <c r="BB284" s="31">
        <f t="shared" si="127"/>
        <v>0</v>
      </c>
      <c r="BC284" s="255">
        <f t="shared" si="128"/>
        <v>0</v>
      </c>
      <c r="BD284" s="31">
        <f t="shared" si="129"/>
        <v>0.375</v>
      </c>
      <c r="BE284" s="255">
        <f t="shared" si="130"/>
        <v>0.31874999999999998</v>
      </c>
      <c r="BF284" s="31">
        <f t="shared" si="131"/>
        <v>0</v>
      </c>
      <c r="BG284" s="255">
        <f t="shared" si="132"/>
        <v>0</v>
      </c>
      <c r="BH284" s="31">
        <f t="shared" si="133"/>
        <v>0</v>
      </c>
      <c r="BI284" s="255">
        <f t="shared" si="134"/>
        <v>0</v>
      </c>
      <c r="BJ284" s="31">
        <f t="shared" si="135"/>
        <v>0</v>
      </c>
      <c r="BK284" s="31">
        <f t="shared" si="136"/>
        <v>0</v>
      </c>
      <c r="BL284" s="255">
        <f t="shared" si="137"/>
        <v>0</v>
      </c>
      <c r="BM284" s="31">
        <f t="shared" si="138"/>
        <v>0</v>
      </c>
      <c r="BN284" s="255">
        <f t="shared" si="139"/>
        <v>0</v>
      </c>
    </row>
    <row r="285" spans="1:66" x14ac:dyDescent="0.25">
      <c r="A285" t="s">
        <v>1557</v>
      </c>
      <c r="B285" s="186" t="str">
        <f>VLOOKUP(A285,kurspris!$A$1:$B$877,2,FALSE)</f>
        <v>Examensarbete i Idrott och hälsa för ämneslärarexamen</v>
      </c>
      <c r="C285"/>
      <c r="D285" t="s">
        <v>483</v>
      </c>
      <c r="E285" t="s">
        <v>1992</v>
      </c>
      <c r="F285" s="39" t="s">
        <v>1930</v>
      </c>
      <c r="G285" t="s">
        <v>1993</v>
      </c>
      <c r="H285" t="s">
        <v>1910</v>
      </c>
      <c r="I285"/>
      <c r="J285" t="s">
        <v>773</v>
      </c>
      <c r="K285"/>
      <c r="L285">
        <v>100</v>
      </c>
      <c r="M285" s="295">
        <v>22.5</v>
      </c>
      <c r="N285"/>
      <c r="O285"/>
      <c r="P285" s="31">
        <v>1</v>
      </c>
      <c r="Q285" s="232">
        <f t="shared" si="112"/>
        <v>0.375</v>
      </c>
      <c r="R285" s="40">
        <v>0.85</v>
      </c>
      <c r="S285" s="334">
        <f t="shared" si="113"/>
        <v>0.31874999999999998</v>
      </c>
      <c r="T285" s="31">
        <f>VLOOKUP(A285,'Ansvar kurs'!$A$1:$C$1010,2,FALSE)</f>
        <v>2180</v>
      </c>
      <c r="U285" s="31" t="str">
        <f>VLOOKUP(T285,Orgenheter!$A$1:$C$165,2,FALSE)</f>
        <v xml:space="preserve">Pedagogik                     </v>
      </c>
      <c r="V285" s="31" t="str">
        <f>VLOOKUP(T285,Orgenheter!$A$1:$C$165,3,FALSE)</f>
        <v>Sam</v>
      </c>
      <c r="W285" s="37" t="str">
        <f>VLOOKUP(D285,Program!$A$1:$B$34,2,FALSE)</f>
        <v>Ämneslärarprogrammet - Gy</v>
      </c>
      <c r="X285" s="42">
        <f>VLOOKUP(A285,kurspris!$A$1:$Q$798,15,FALSE)</f>
        <v>18405</v>
      </c>
      <c r="Y285" s="42">
        <f>VLOOKUP(A285,kurspris!$A$1:$Q$798,16,FALSE)</f>
        <v>15773</v>
      </c>
      <c r="Z285" s="42">
        <f t="shared" si="114"/>
        <v>11929.518749999999</v>
      </c>
      <c r="AA285" s="42">
        <f>VLOOKUP(A285,kurspris!$A$1:$Q$798,17,FALSE)</f>
        <v>5800</v>
      </c>
      <c r="AB285" s="42">
        <f t="shared" si="115"/>
        <v>2175</v>
      </c>
      <c r="AC285" s="42">
        <f t="shared" si="116"/>
        <v>14104.518749999999</v>
      </c>
      <c r="AD285" s="31">
        <f>VLOOKUP($A285,kurspris!$A$1:$Q$835,3,FALSE)</f>
        <v>0</v>
      </c>
      <c r="AE285" s="31">
        <f>VLOOKUP($A285,kurspris!$A$1:$Q$835,4,FALSE)</f>
        <v>0</v>
      </c>
      <c r="AF285" s="31">
        <f>VLOOKUP($A285,kurspris!$A$1:$Q$835,5,FALSE)</f>
        <v>0</v>
      </c>
      <c r="AG285" s="31">
        <f>VLOOKUP($A285,kurspris!$A$1:$Q$835,6,FALSE)</f>
        <v>0</v>
      </c>
      <c r="AH285" s="31">
        <f>VLOOKUP($A285,kurspris!$A$1:$Q$835,7,FALSE)</f>
        <v>0</v>
      </c>
      <c r="AI285" s="31">
        <f>VLOOKUP($A285,kurspris!$A$1:$Q$835,8,FALSE)</f>
        <v>0</v>
      </c>
      <c r="AJ285" s="31">
        <f>VLOOKUP($A285,kurspris!$A$1:$Q$835,9,FALSE)</f>
        <v>1</v>
      </c>
      <c r="AK285" s="31">
        <f>VLOOKUP($A285,kurspris!$A$1:$Q$835,10,FALSE)</f>
        <v>0</v>
      </c>
      <c r="AL285" s="31">
        <f>VLOOKUP($A285,kurspris!$A$1:$Q$835,11,FALSE)</f>
        <v>0</v>
      </c>
      <c r="AM285" s="31">
        <f>VLOOKUP($A285,kurspris!$A$1:$Q$835,12,FALSE)</f>
        <v>0</v>
      </c>
      <c r="AN285" s="31">
        <f>VLOOKUP($A285,kurspris!$A$1:$Q$835,13,FALSE)</f>
        <v>0</v>
      </c>
      <c r="AO285" s="31">
        <f>VLOOKUP($A285,kurspris!$A$1:$Q$835,14,FALSE)</f>
        <v>0</v>
      </c>
      <c r="AP285" s="39" t="s">
        <v>2204</v>
      </c>
      <c r="AQ285" s="39" t="s">
        <v>2035</v>
      </c>
      <c r="AR285" s="31">
        <f t="shared" si="117"/>
        <v>0</v>
      </c>
      <c r="AS285" s="255">
        <f t="shared" si="118"/>
        <v>0</v>
      </c>
      <c r="AT285" s="31">
        <f t="shared" si="119"/>
        <v>0</v>
      </c>
      <c r="AU285" s="255">
        <f t="shared" si="120"/>
        <v>0</v>
      </c>
      <c r="AV285" s="31">
        <f t="shared" si="121"/>
        <v>0</v>
      </c>
      <c r="AW285" s="31">
        <f t="shared" si="122"/>
        <v>0</v>
      </c>
      <c r="AX285" s="31">
        <f t="shared" si="123"/>
        <v>0</v>
      </c>
      <c r="AY285" s="255">
        <f t="shared" si="124"/>
        <v>0</v>
      </c>
      <c r="AZ285" s="232">
        <f t="shared" si="125"/>
        <v>0</v>
      </c>
      <c r="BA285" s="255">
        <f t="shared" si="126"/>
        <v>0</v>
      </c>
      <c r="BB285" s="31">
        <f t="shared" si="127"/>
        <v>0</v>
      </c>
      <c r="BC285" s="255">
        <f t="shared" si="128"/>
        <v>0</v>
      </c>
      <c r="BD285" s="31">
        <f t="shared" si="129"/>
        <v>0.375</v>
      </c>
      <c r="BE285" s="255">
        <f t="shared" si="130"/>
        <v>0.31874999999999998</v>
      </c>
      <c r="BF285" s="31">
        <f t="shared" si="131"/>
        <v>0</v>
      </c>
      <c r="BG285" s="255">
        <f t="shared" si="132"/>
        <v>0</v>
      </c>
      <c r="BH285" s="31">
        <f t="shared" si="133"/>
        <v>0</v>
      </c>
      <c r="BI285" s="255">
        <f t="shared" si="134"/>
        <v>0</v>
      </c>
      <c r="BJ285" s="31">
        <f t="shared" si="135"/>
        <v>0</v>
      </c>
      <c r="BK285" s="31">
        <f t="shared" si="136"/>
        <v>0</v>
      </c>
      <c r="BL285" s="255">
        <f t="shared" si="137"/>
        <v>0</v>
      </c>
      <c r="BM285" s="31">
        <f t="shared" si="138"/>
        <v>0</v>
      </c>
      <c r="BN285" s="255">
        <f t="shared" si="139"/>
        <v>0</v>
      </c>
    </row>
    <row r="286" spans="1:66" x14ac:dyDescent="0.25">
      <c r="A286" t="s">
        <v>1557</v>
      </c>
      <c r="B286" s="186" t="str">
        <f>VLOOKUP(A286,kurspris!$A$1:$B$877,2,FALSE)</f>
        <v>Examensarbete i Idrott och hälsa för ämneslärarexamen</v>
      </c>
      <c r="C286"/>
      <c r="D286" t="s">
        <v>483</v>
      </c>
      <c r="E286" t="s">
        <v>1975</v>
      </c>
      <c r="F286" s="39" t="s">
        <v>1930</v>
      </c>
      <c r="G286" t="s">
        <v>1993</v>
      </c>
      <c r="H286" t="s">
        <v>1910</v>
      </c>
      <c r="I286"/>
      <c r="J286" t="s">
        <v>771</v>
      </c>
      <c r="K286"/>
      <c r="L286">
        <v>100</v>
      </c>
      <c r="M286" s="295">
        <v>22.5</v>
      </c>
      <c r="N286"/>
      <c r="O286"/>
      <c r="P286" s="31">
        <v>1</v>
      </c>
      <c r="Q286" s="232">
        <f t="shared" si="112"/>
        <v>0.375</v>
      </c>
      <c r="R286" s="40">
        <v>0.85</v>
      </c>
      <c r="S286" s="334">
        <f t="shared" si="113"/>
        <v>0.31874999999999998</v>
      </c>
      <c r="T286" s="31">
        <f>VLOOKUP(A286,'Ansvar kurs'!$A$1:$C$1010,2,FALSE)</f>
        <v>2180</v>
      </c>
      <c r="U286" s="31" t="str">
        <f>VLOOKUP(T286,Orgenheter!$A$1:$C$165,2,FALSE)</f>
        <v xml:space="preserve">Pedagogik                     </v>
      </c>
      <c r="V286" s="31" t="str">
        <f>VLOOKUP(T286,Orgenheter!$A$1:$C$165,3,FALSE)</f>
        <v>Sam</v>
      </c>
      <c r="W286" s="37" t="str">
        <f>VLOOKUP(D286,Program!$A$1:$B$34,2,FALSE)</f>
        <v>Ämneslärarprogrammet - Gy</v>
      </c>
      <c r="X286" s="42">
        <f>VLOOKUP(A286,kurspris!$A$1:$Q$798,15,FALSE)</f>
        <v>18405</v>
      </c>
      <c r="Y286" s="42">
        <f>VLOOKUP(A286,kurspris!$A$1:$Q$798,16,FALSE)</f>
        <v>15773</v>
      </c>
      <c r="Z286" s="42">
        <f t="shared" si="114"/>
        <v>11929.518749999999</v>
      </c>
      <c r="AA286" s="42">
        <f>VLOOKUP(A286,kurspris!$A$1:$Q$798,17,FALSE)</f>
        <v>5800</v>
      </c>
      <c r="AB286" s="42">
        <f t="shared" si="115"/>
        <v>2175</v>
      </c>
      <c r="AC286" s="42">
        <f t="shared" si="116"/>
        <v>14104.518749999999</v>
      </c>
      <c r="AD286" s="31">
        <f>VLOOKUP($A286,kurspris!$A$1:$Q$835,3,FALSE)</f>
        <v>0</v>
      </c>
      <c r="AE286" s="31">
        <f>VLOOKUP($A286,kurspris!$A$1:$Q$835,4,FALSE)</f>
        <v>0</v>
      </c>
      <c r="AF286" s="31">
        <f>VLOOKUP($A286,kurspris!$A$1:$Q$835,5,FALSE)</f>
        <v>0</v>
      </c>
      <c r="AG286" s="31">
        <f>VLOOKUP($A286,kurspris!$A$1:$Q$835,6,FALSE)</f>
        <v>0</v>
      </c>
      <c r="AH286" s="31">
        <f>VLOOKUP($A286,kurspris!$A$1:$Q$835,7,FALSE)</f>
        <v>0</v>
      </c>
      <c r="AI286" s="31">
        <f>VLOOKUP($A286,kurspris!$A$1:$Q$835,8,FALSE)</f>
        <v>0</v>
      </c>
      <c r="AJ286" s="31">
        <f>VLOOKUP($A286,kurspris!$A$1:$Q$835,9,FALSE)</f>
        <v>1</v>
      </c>
      <c r="AK286" s="31">
        <f>VLOOKUP($A286,kurspris!$A$1:$Q$835,10,FALSE)</f>
        <v>0</v>
      </c>
      <c r="AL286" s="31">
        <f>VLOOKUP($A286,kurspris!$A$1:$Q$835,11,FALSE)</f>
        <v>0</v>
      </c>
      <c r="AM286" s="31">
        <f>VLOOKUP($A286,kurspris!$A$1:$Q$835,12,FALSE)</f>
        <v>0</v>
      </c>
      <c r="AN286" s="31">
        <f>VLOOKUP($A286,kurspris!$A$1:$Q$835,13,FALSE)</f>
        <v>0</v>
      </c>
      <c r="AO286" s="31">
        <f>VLOOKUP($A286,kurspris!$A$1:$Q$835,14,FALSE)</f>
        <v>0</v>
      </c>
      <c r="AP286" s="39" t="s">
        <v>2204</v>
      </c>
      <c r="AQ286" s="39" t="s">
        <v>2035</v>
      </c>
      <c r="AR286" s="31">
        <f t="shared" si="117"/>
        <v>0</v>
      </c>
      <c r="AS286" s="255">
        <f t="shared" si="118"/>
        <v>0</v>
      </c>
      <c r="AT286" s="31">
        <f t="shared" si="119"/>
        <v>0</v>
      </c>
      <c r="AU286" s="255">
        <f t="shared" si="120"/>
        <v>0</v>
      </c>
      <c r="AV286" s="31">
        <f t="shared" si="121"/>
        <v>0</v>
      </c>
      <c r="AW286" s="31">
        <f t="shared" si="122"/>
        <v>0</v>
      </c>
      <c r="AX286" s="31">
        <f t="shared" si="123"/>
        <v>0</v>
      </c>
      <c r="AY286" s="255">
        <f t="shared" si="124"/>
        <v>0</v>
      </c>
      <c r="AZ286" s="232">
        <f t="shared" si="125"/>
        <v>0</v>
      </c>
      <c r="BA286" s="255">
        <f t="shared" si="126"/>
        <v>0</v>
      </c>
      <c r="BB286" s="31">
        <f t="shared" si="127"/>
        <v>0</v>
      </c>
      <c r="BC286" s="255">
        <f t="shared" si="128"/>
        <v>0</v>
      </c>
      <c r="BD286" s="31">
        <f t="shared" si="129"/>
        <v>0.375</v>
      </c>
      <c r="BE286" s="255">
        <f t="shared" si="130"/>
        <v>0.31874999999999998</v>
      </c>
      <c r="BF286" s="31">
        <f t="shared" si="131"/>
        <v>0</v>
      </c>
      <c r="BG286" s="255">
        <f t="shared" si="132"/>
        <v>0</v>
      </c>
      <c r="BH286" s="31">
        <f t="shared" si="133"/>
        <v>0</v>
      </c>
      <c r="BI286" s="255">
        <f t="shared" si="134"/>
        <v>0</v>
      </c>
      <c r="BJ286" s="31">
        <f t="shared" si="135"/>
        <v>0</v>
      </c>
      <c r="BK286" s="31">
        <f t="shared" si="136"/>
        <v>0</v>
      </c>
      <c r="BL286" s="255">
        <f t="shared" si="137"/>
        <v>0</v>
      </c>
      <c r="BM286" s="31">
        <f t="shared" si="138"/>
        <v>0</v>
      </c>
      <c r="BN286" s="255">
        <f t="shared" si="139"/>
        <v>0</v>
      </c>
    </row>
    <row r="287" spans="1:66" x14ac:dyDescent="0.25">
      <c r="A287" t="s">
        <v>1557</v>
      </c>
      <c r="B287" s="186" t="str">
        <f>VLOOKUP(A287,kurspris!$A$1:$B$877,2,FALSE)</f>
        <v>Examensarbete i Idrott och hälsa för ämneslärarexamen</v>
      </c>
      <c r="C287"/>
      <c r="D287" t="s">
        <v>483</v>
      </c>
      <c r="E287" t="s">
        <v>1975</v>
      </c>
      <c r="F287" s="39" t="s">
        <v>1930</v>
      </c>
      <c r="G287" t="s">
        <v>1993</v>
      </c>
      <c r="H287" t="s">
        <v>1910</v>
      </c>
      <c r="I287"/>
      <c r="J287" t="s">
        <v>773</v>
      </c>
      <c r="K287"/>
      <c r="L287">
        <v>100</v>
      </c>
      <c r="M287" s="295">
        <v>22.5</v>
      </c>
      <c r="N287"/>
      <c r="O287"/>
      <c r="P287" s="31">
        <v>8</v>
      </c>
      <c r="Q287" s="232">
        <f t="shared" si="112"/>
        <v>3</v>
      </c>
      <c r="R287" s="40">
        <v>0.85</v>
      </c>
      <c r="S287" s="334">
        <f t="shared" si="113"/>
        <v>2.5499999999999998</v>
      </c>
      <c r="T287" s="31">
        <f>VLOOKUP(A287,'Ansvar kurs'!$A$1:$C$1010,2,FALSE)</f>
        <v>2180</v>
      </c>
      <c r="U287" s="31" t="str">
        <f>VLOOKUP(T287,Orgenheter!$A$1:$C$165,2,FALSE)</f>
        <v xml:space="preserve">Pedagogik                     </v>
      </c>
      <c r="V287" s="31" t="str">
        <f>VLOOKUP(T287,Orgenheter!$A$1:$C$165,3,FALSE)</f>
        <v>Sam</v>
      </c>
      <c r="W287" s="37" t="str">
        <f>VLOOKUP(D287,Program!$A$1:$B$34,2,FALSE)</f>
        <v>Ämneslärarprogrammet - Gy</v>
      </c>
      <c r="X287" s="42">
        <f>VLOOKUP(A287,kurspris!$A$1:$Q$798,15,FALSE)</f>
        <v>18405</v>
      </c>
      <c r="Y287" s="42">
        <f>VLOOKUP(A287,kurspris!$A$1:$Q$798,16,FALSE)</f>
        <v>15773</v>
      </c>
      <c r="Z287" s="42">
        <f t="shared" si="114"/>
        <v>95436.15</v>
      </c>
      <c r="AA287" s="42">
        <f>VLOOKUP(A287,kurspris!$A$1:$Q$798,17,FALSE)</f>
        <v>5800</v>
      </c>
      <c r="AB287" s="42">
        <f t="shared" si="115"/>
        <v>17400</v>
      </c>
      <c r="AC287" s="42">
        <f t="shared" si="116"/>
        <v>112836.15</v>
      </c>
      <c r="AD287" s="31">
        <f>VLOOKUP($A287,kurspris!$A$1:$Q$835,3,FALSE)</f>
        <v>0</v>
      </c>
      <c r="AE287" s="31">
        <f>VLOOKUP($A287,kurspris!$A$1:$Q$835,4,FALSE)</f>
        <v>0</v>
      </c>
      <c r="AF287" s="31">
        <f>VLOOKUP($A287,kurspris!$A$1:$Q$835,5,FALSE)</f>
        <v>0</v>
      </c>
      <c r="AG287" s="31">
        <f>VLOOKUP($A287,kurspris!$A$1:$Q$835,6,FALSE)</f>
        <v>0</v>
      </c>
      <c r="AH287" s="31">
        <f>VLOOKUP($A287,kurspris!$A$1:$Q$835,7,FALSE)</f>
        <v>0</v>
      </c>
      <c r="AI287" s="31">
        <f>VLOOKUP($A287,kurspris!$A$1:$Q$835,8,FALSE)</f>
        <v>0</v>
      </c>
      <c r="AJ287" s="31">
        <f>VLOOKUP($A287,kurspris!$A$1:$Q$835,9,FALSE)</f>
        <v>1</v>
      </c>
      <c r="AK287" s="31">
        <f>VLOOKUP($A287,kurspris!$A$1:$Q$835,10,FALSE)</f>
        <v>0</v>
      </c>
      <c r="AL287" s="31">
        <f>VLOOKUP($A287,kurspris!$A$1:$Q$835,11,FALSE)</f>
        <v>0</v>
      </c>
      <c r="AM287" s="31">
        <f>VLOOKUP($A287,kurspris!$A$1:$Q$835,12,FALSE)</f>
        <v>0</v>
      </c>
      <c r="AN287" s="31">
        <f>VLOOKUP($A287,kurspris!$A$1:$Q$835,13,FALSE)</f>
        <v>0</v>
      </c>
      <c r="AO287" s="31">
        <f>VLOOKUP($A287,kurspris!$A$1:$Q$835,14,FALSE)</f>
        <v>0</v>
      </c>
      <c r="AP287" s="39" t="s">
        <v>2204</v>
      </c>
      <c r="AQ287" s="39" t="s">
        <v>2035</v>
      </c>
      <c r="AR287" s="31">
        <f t="shared" si="117"/>
        <v>0</v>
      </c>
      <c r="AS287" s="255">
        <f t="shared" si="118"/>
        <v>0</v>
      </c>
      <c r="AT287" s="31">
        <f t="shared" si="119"/>
        <v>0</v>
      </c>
      <c r="AU287" s="255">
        <f t="shared" si="120"/>
        <v>0</v>
      </c>
      <c r="AV287" s="31">
        <f t="shared" si="121"/>
        <v>0</v>
      </c>
      <c r="AW287" s="31">
        <f t="shared" si="122"/>
        <v>0</v>
      </c>
      <c r="AX287" s="31">
        <f t="shared" si="123"/>
        <v>0</v>
      </c>
      <c r="AY287" s="255">
        <f t="shared" si="124"/>
        <v>0</v>
      </c>
      <c r="AZ287" s="232">
        <f t="shared" si="125"/>
        <v>0</v>
      </c>
      <c r="BA287" s="255">
        <f t="shared" si="126"/>
        <v>0</v>
      </c>
      <c r="BB287" s="31">
        <f t="shared" si="127"/>
        <v>0</v>
      </c>
      <c r="BC287" s="255">
        <f t="shared" si="128"/>
        <v>0</v>
      </c>
      <c r="BD287" s="31">
        <f t="shared" si="129"/>
        <v>3</v>
      </c>
      <c r="BE287" s="255">
        <f t="shared" si="130"/>
        <v>2.5499999999999998</v>
      </c>
      <c r="BF287" s="31">
        <f t="shared" si="131"/>
        <v>0</v>
      </c>
      <c r="BG287" s="255">
        <f t="shared" si="132"/>
        <v>0</v>
      </c>
      <c r="BH287" s="31">
        <f t="shared" si="133"/>
        <v>0</v>
      </c>
      <c r="BI287" s="255">
        <f t="shared" si="134"/>
        <v>0</v>
      </c>
      <c r="BJ287" s="31">
        <f t="shared" si="135"/>
        <v>0</v>
      </c>
      <c r="BK287" s="31">
        <f t="shared" si="136"/>
        <v>0</v>
      </c>
      <c r="BL287" s="255">
        <f t="shared" si="137"/>
        <v>0</v>
      </c>
      <c r="BM287" s="31">
        <f t="shared" si="138"/>
        <v>0</v>
      </c>
      <c r="BN287" s="255">
        <f t="shared" si="139"/>
        <v>0</v>
      </c>
    </row>
    <row r="288" spans="1:66" x14ac:dyDescent="0.25">
      <c r="A288" t="s">
        <v>1557</v>
      </c>
      <c r="B288" s="186" t="str">
        <f>VLOOKUP(A288,kurspris!$A$1:$B$877,2,FALSE)</f>
        <v>Examensarbete i Idrott och hälsa för ämneslärarexamen</v>
      </c>
      <c r="C288"/>
      <c r="D288" t="s">
        <v>483</v>
      </c>
      <c r="E288" t="s">
        <v>1976</v>
      </c>
      <c r="F288" s="39" t="s">
        <v>1930</v>
      </c>
      <c r="G288" t="s">
        <v>1993</v>
      </c>
      <c r="H288" t="s">
        <v>1910</v>
      </c>
      <c r="I288"/>
      <c r="J288" t="s">
        <v>773</v>
      </c>
      <c r="K288"/>
      <c r="L288">
        <v>100</v>
      </c>
      <c r="M288" s="295">
        <v>22.5</v>
      </c>
      <c r="N288"/>
      <c r="O288"/>
      <c r="P288" s="31">
        <v>1</v>
      </c>
      <c r="Q288" s="232">
        <f t="shared" si="112"/>
        <v>0.375</v>
      </c>
      <c r="R288" s="40">
        <v>0.85</v>
      </c>
      <c r="S288" s="334">
        <f t="shared" si="113"/>
        <v>0.31874999999999998</v>
      </c>
      <c r="T288" s="31">
        <f>VLOOKUP(A288,'Ansvar kurs'!$A$1:$C$1010,2,FALSE)</f>
        <v>2180</v>
      </c>
      <c r="U288" s="31" t="str">
        <f>VLOOKUP(T288,Orgenheter!$A$1:$C$165,2,FALSE)</f>
        <v xml:space="preserve">Pedagogik                     </v>
      </c>
      <c r="V288" s="31" t="str">
        <f>VLOOKUP(T288,Orgenheter!$A$1:$C$165,3,FALSE)</f>
        <v>Sam</v>
      </c>
      <c r="W288" s="37" t="str">
        <f>VLOOKUP(D288,Program!$A$1:$B$34,2,FALSE)</f>
        <v>Ämneslärarprogrammet - Gy</v>
      </c>
      <c r="X288" s="42">
        <f>VLOOKUP(A288,kurspris!$A$1:$Q$798,15,FALSE)</f>
        <v>18405</v>
      </c>
      <c r="Y288" s="42">
        <f>VLOOKUP(A288,kurspris!$A$1:$Q$798,16,FALSE)</f>
        <v>15773</v>
      </c>
      <c r="Z288" s="42">
        <f t="shared" si="114"/>
        <v>11929.518749999999</v>
      </c>
      <c r="AA288" s="42">
        <f>VLOOKUP(A288,kurspris!$A$1:$Q$798,17,FALSE)</f>
        <v>5800</v>
      </c>
      <c r="AB288" s="42">
        <f t="shared" si="115"/>
        <v>2175</v>
      </c>
      <c r="AC288" s="42">
        <f t="shared" si="116"/>
        <v>14104.518749999999</v>
      </c>
      <c r="AD288" s="31">
        <f>VLOOKUP($A288,kurspris!$A$1:$Q$835,3,FALSE)</f>
        <v>0</v>
      </c>
      <c r="AE288" s="31">
        <f>VLOOKUP($A288,kurspris!$A$1:$Q$835,4,FALSE)</f>
        <v>0</v>
      </c>
      <c r="AF288" s="31">
        <f>VLOOKUP($A288,kurspris!$A$1:$Q$835,5,FALSE)</f>
        <v>0</v>
      </c>
      <c r="AG288" s="31">
        <f>VLOOKUP($A288,kurspris!$A$1:$Q$835,6,FALSE)</f>
        <v>0</v>
      </c>
      <c r="AH288" s="31">
        <f>VLOOKUP($A288,kurspris!$A$1:$Q$835,7,FALSE)</f>
        <v>0</v>
      </c>
      <c r="AI288" s="31">
        <f>VLOOKUP($A288,kurspris!$A$1:$Q$835,8,FALSE)</f>
        <v>0</v>
      </c>
      <c r="AJ288" s="31">
        <f>VLOOKUP($A288,kurspris!$A$1:$Q$835,9,FALSE)</f>
        <v>1</v>
      </c>
      <c r="AK288" s="31">
        <f>VLOOKUP($A288,kurspris!$A$1:$Q$835,10,FALSE)</f>
        <v>0</v>
      </c>
      <c r="AL288" s="31">
        <f>VLOOKUP($A288,kurspris!$A$1:$Q$835,11,FALSE)</f>
        <v>0</v>
      </c>
      <c r="AM288" s="31">
        <f>VLOOKUP($A288,kurspris!$A$1:$Q$835,12,FALSE)</f>
        <v>0</v>
      </c>
      <c r="AN288" s="31">
        <f>VLOOKUP($A288,kurspris!$A$1:$Q$835,13,FALSE)</f>
        <v>0</v>
      </c>
      <c r="AO288" s="31">
        <f>VLOOKUP($A288,kurspris!$A$1:$Q$835,14,FALSE)</f>
        <v>0</v>
      </c>
      <c r="AP288" s="39" t="s">
        <v>2204</v>
      </c>
      <c r="AQ288" s="39" t="s">
        <v>2035</v>
      </c>
      <c r="AR288" s="31">
        <f t="shared" si="117"/>
        <v>0</v>
      </c>
      <c r="AS288" s="255">
        <f t="shared" si="118"/>
        <v>0</v>
      </c>
      <c r="AT288" s="31">
        <f t="shared" si="119"/>
        <v>0</v>
      </c>
      <c r="AU288" s="255">
        <f t="shared" si="120"/>
        <v>0</v>
      </c>
      <c r="AV288" s="31">
        <f t="shared" si="121"/>
        <v>0</v>
      </c>
      <c r="AW288" s="31">
        <f t="shared" si="122"/>
        <v>0</v>
      </c>
      <c r="AX288" s="31">
        <f t="shared" si="123"/>
        <v>0</v>
      </c>
      <c r="AY288" s="255">
        <f t="shared" si="124"/>
        <v>0</v>
      </c>
      <c r="AZ288" s="232">
        <f t="shared" si="125"/>
        <v>0</v>
      </c>
      <c r="BA288" s="255">
        <f t="shared" si="126"/>
        <v>0</v>
      </c>
      <c r="BB288" s="31">
        <f t="shared" si="127"/>
        <v>0</v>
      </c>
      <c r="BC288" s="255">
        <f t="shared" si="128"/>
        <v>0</v>
      </c>
      <c r="BD288" s="31">
        <f t="shared" si="129"/>
        <v>0.375</v>
      </c>
      <c r="BE288" s="255">
        <f t="shared" si="130"/>
        <v>0.31874999999999998</v>
      </c>
      <c r="BF288" s="31">
        <f t="shared" si="131"/>
        <v>0</v>
      </c>
      <c r="BG288" s="255">
        <f t="shared" si="132"/>
        <v>0</v>
      </c>
      <c r="BH288" s="31">
        <f t="shared" si="133"/>
        <v>0</v>
      </c>
      <c r="BI288" s="255">
        <f t="shared" si="134"/>
        <v>0</v>
      </c>
      <c r="BJ288" s="31">
        <f t="shared" si="135"/>
        <v>0</v>
      </c>
      <c r="BK288" s="31">
        <f t="shared" si="136"/>
        <v>0</v>
      </c>
      <c r="BL288" s="255">
        <f t="shared" si="137"/>
        <v>0</v>
      </c>
      <c r="BM288" s="31">
        <f t="shared" si="138"/>
        <v>0</v>
      </c>
      <c r="BN288" s="255">
        <f t="shared" si="139"/>
        <v>0</v>
      </c>
    </row>
    <row r="289" spans="1:66" x14ac:dyDescent="0.25">
      <c r="A289" s="18" t="s">
        <v>1557</v>
      </c>
      <c r="B289" s="186" t="str">
        <f>VLOOKUP(A289,kurspris!$A$1:$B$877,2,FALSE)</f>
        <v>Examensarbete i Idrott och hälsa för ämneslärarexamen</v>
      </c>
      <c r="C289" s="37"/>
      <c r="D289" s="31" t="s">
        <v>483</v>
      </c>
      <c r="E289" s="31" t="s">
        <v>1976</v>
      </c>
      <c r="F289" s="59" t="s">
        <v>1931</v>
      </c>
      <c r="G289" s="295" t="s">
        <v>2268</v>
      </c>
      <c r="J289" t="s">
        <v>773</v>
      </c>
      <c r="L289" s="31">
        <v>100</v>
      </c>
      <c r="M289" s="31">
        <v>7.5</v>
      </c>
      <c r="P289" s="31">
        <v>8</v>
      </c>
      <c r="Q289" s="232">
        <f t="shared" si="112"/>
        <v>1</v>
      </c>
      <c r="R289" s="40">
        <v>0.85</v>
      </c>
      <c r="S289" s="334">
        <f t="shared" si="113"/>
        <v>0.85</v>
      </c>
      <c r="T289" s="31">
        <f>VLOOKUP(A289,'Ansvar kurs'!$A$1:$C$1010,2,FALSE)</f>
        <v>2180</v>
      </c>
      <c r="U289" s="31" t="str">
        <f>VLOOKUP(T289,Orgenheter!$A$1:$C$165,2,FALSE)</f>
        <v xml:space="preserve">Pedagogik                     </v>
      </c>
      <c r="V289" s="31" t="str">
        <f>VLOOKUP(T289,Orgenheter!$A$1:$C$165,3,FALSE)</f>
        <v>Sam</v>
      </c>
      <c r="W289" s="37" t="str">
        <f>VLOOKUP(D289,Program!$A$1:$B$34,2,FALSE)</f>
        <v>Ämneslärarprogrammet - Gy</v>
      </c>
      <c r="X289" s="42">
        <f>VLOOKUP(A289,kurspris!$A$1:$Q$798,15,FALSE)</f>
        <v>18405</v>
      </c>
      <c r="Y289" s="42">
        <f>VLOOKUP(A289,kurspris!$A$1:$Q$798,16,FALSE)</f>
        <v>15773</v>
      </c>
      <c r="Z289" s="42">
        <f t="shared" si="114"/>
        <v>31812.05</v>
      </c>
      <c r="AA289" s="42">
        <f>VLOOKUP(A289,kurspris!$A$1:$Q$798,17,FALSE)</f>
        <v>5800</v>
      </c>
      <c r="AB289" s="42">
        <f t="shared" si="115"/>
        <v>5800</v>
      </c>
      <c r="AC289" s="42">
        <f t="shared" si="116"/>
        <v>37612.050000000003</v>
      </c>
      <c r="AD289" s="31">
        <f>VLOOKUP($A289,kurspris!$A$1:$Q$835,3,FALSE)</f>
        <v>0</v>
      </c>
      <c r="AE289" s="31">
        <f>VLOOKUP($A289,kurspris!$A$1:$Q$835,4,FALSE)</f>
        <v>0</v>
      </c>
      <c r="AF289" s="31">
        <f>VLOOKUP($A289,kurspris!$A$1:$Q$835,5,FALSE)</f>
        <v>0</v>
      </c>
      <c r="AG289" s="31">
        <f>VLOOKUP($A289,kurspris!$A$1:$Q$835,6,FALSE)</f>
        <v>0</v>
      </c>
      <c r="AH289" s="31">
        <f>VLOOKUP($A289,kurspris!$A$1:$Q$835,7,FALSE)</f>
        <v>0</v>
      </c>
      <c r="AI289" s="31">
        <f>VLOOKUP($A289,kurspris!$A$1:$Q$835,8,FALSE)</f>
        <v>0</v>
      </c>
      <c r="AJ289" s="31">
        <f>VLOOKUP($A289,kurspris!$A$1:$Q$835,9,FALSE)</f>
        <v>1</v>
      </c>
      <c r="AK289" s="31">
        <f>VLOOKUP($A289,kurspris!$A$1:$Q$835,10,FALSE)</f>
        <v>0</v>
      </c>
      <c r="AL289" s="31">
        <f>VLOOKUP($A289,kurspris!$A$1:$Q$835,11,FALSE)</f>
        <v>0</v>
      </c>
      <c r="AM289" s="31">
        <f>VLOOKUP($A289,kurspris!$A$1:$Q$835,12,FALSE)</f>
        <v>0</v>
      </c>
      <c r="AN289" s="31">
        <f>VLOOKUP($A289,kurspris!$A$1:$Q$835,13,FALSE)</f>
        <v>0</v>
      </c>
      <c r="AO289" s="31">
        <f>VLOOKUP($A289,kurspris!$A$1:$Q$835,14,FALSE)</f>
        <v>0</v>
      </c>
      <c r="AP289" s="39" t="s">
        <v>2326</v>
      </c>
      <c r="AQ289" t="s">
        <v>2300</v>
      </c>
      <c r="AR289" s="31">
        <f t="shared" si="117"/>
        <v>0</v>
      </c>
      <c r="AS289" s="255">
        <f t="shared" si="118"/>
        <v>0</v>
      </c>
      <c r="AT289" s="31">
        <f t="shared" si="119"/>
        <v>0</v>
      </c>
      <c r="AU289" s="255">
        <f t="shared" si="120"/>
        <v>0</v>
      </c>
      <c r="AV289" s="31">
        <f t="shared" si="121"/>
        <v>0</v>
      </c>
      <c r="AW289" s="31">
        <f t="shared" si="122"/>
        <v>0</v>
      </c>
      <c r="AX289" s="31">
        <f t="shared" si="123"/>
        <v>0</v>
      </c>
      <c r="AY289" s="255">
        <f t="shared" si="124"/>
        <v>0</v>
      </c>
      <c r="AZ289" s="232">
        <f t="shared" si="125"/>
        <v>0</v>
      </c>
      <c r="BA289" s="255">
        <f t="shared" si="126"/>
        <v>0</v>
      </c>
      <c r="BB289" s="31">
        <f t="shared" si="127"/>
        <v>0</v>
      </c>
      <c r="BC289" s="255">
        <f t="shared" si="128"/>
        <v>0</v>
      </c>
      <c r="BD289" s="31">
        <f t="shared" si="129"/>
        <v>1</v>
      </c>
      <c r="BE289" s="255">
        <f t="shared" si="130"/>
        <v>0.85</v>
      </c>
      <c r="BF289" s="31">
        <f t="shared" si="131"/>
        <v>0</v>
      </c>
      <c r="BG289" s="255">
        <f t="shared" si="132"/>
        <v>0</v>
      </c>
      <c r="BH289" s="31">
        <f t="shared" si="133"/>
        <v>0</v>
      </c>
      <c r="BI289" s="255">
        <f t="shared" si="134"/>
        <v>0</v>
      </c>
      <c r="BJ289" s="31">
        <f t="shared" si="135"/>
        <v>0</v>
      </c>
      <c r="BK289" s="31">
        <f t="shared" si="136"/>
        <v>0</v>
      </c>
      <c r="BL289" s="255">
        <f t="shared" si="137"/>
        <v>0</v>
      </c>
      <c r="BM289" s="31">
        <f t="shared" si="138"/>
        <v>0</v>
      </c>
      <c r="BN289" s="255">
        <f t="shared" si="139"/>
        <v>0</v>
      </c>
    </row>
    <row r="290" spans="1:66" x14ac:dyDescent="0.25">
      <c r="A290" s="18" t="s">
        <v>1557</v>
      </c>
      <c r="B290" s="186" t="str">
        <f>VLOOKUP(A290,kurspris!$A$1:$B$877,2,FALSE)</f>
        <v>Examensarbete i Idrott och hälsa för ämneslärarexamen</v>
      </c>
      <c r="C290" s="37"/>
      <c r="D290" s="31" t="s">
        <v>483</v>
      </c>
      <c r="E290" s="31" t="s">
        <v>1609</v>
      </c>
      <c r="F290" s="59" t="s">
        <v>1931</v>
      </c>
      <c r="G290" s="295" t="s">
        <v>2268</v>
      </c>
      <c r="J290" t="s">
        <v>773</v>
      </c>
      <c r="L290" s="31">
        <v>100</v>
      </c>
      <c r="M290" s="31">
        <v>7.5</v>
      </c>
      <c r="P290" s="31">
        <v>2</v>
      </c>
      <c r="Q290" s="232">
        <f t="shared" si="112"/>
        <v>0.25</v>
      </c>
      <c r="R290" s="40">
        <v>0.85</v>
      </c>
      <c r="S290" s="334">
        <f t="shared" si="113"/>
        <v>0.21249999999999999</v>
      </c>
      <c r="T290" s="31">
        <f>VLOOKUP(A290,'Ansvar kurs'!$A$1:$C$1010,2,FALSE)</f>
        <v>2180</v>
      </c>
      <c r="U290" s="31" t="str">
        <f>VLOOKUP(T290,Orgenheter!$A$1:$C$165,2,FALSE)</f>
        <v xml:space="preserve">Pedagogik                     </v>
      </c>
      <c r="V290" s="31" t="str">
        <f>VLOOKUP(T290,Orgenheter!$A$1:$C$165,3,FALSE)</f>
        <v>Sam</v>
      </c>
      <c r="W290" s="37" t="str">
        <f>VLOOKUP(D290,Program!$A$1:$B$34,2,FALSE)</f>
        <v>Ämneslärarprogrammet - Gy</v>
      </c>
      <c r="X290" s="42">
        <f>VLOOKUP(A290,kurspris!$A$1:$Q$798,15,FALSE)</f>
        <v>18405</v>
      </c>
      <c r="Y290" s="42">
        <f>VLOOKUP(A290,kurspris!$A$1:$Q$798,16,FALSE)</f>
        <v>15773</v>
      </c>
      <c r="Z290" s="42">
        <f t="shared" si="114"/>
        <v>7953.0124999999998</v>
      </c>
      <c r="AA290" s="42">
        <f>VLOOKUP(A290,kurspris!$A$1:$Q$798,17,FALSE)</f>
        <v>5800</v>
      </c>
      <c r="AB290" s="42">
        <f t="shared" si="115"/>
        <v>1450</v>
      </c>
      <c r="AC290" s="42">
        <f t="shared" si="116"/>
        <v>9403.0125000000007</v>
      </c>
      <c r="AD290" s="31">
        <f>VLOOKUP($A290,kurspris!$A$1:$Q$835,3,FALSE)</f>
        <v>0</v>
      </c>
      <c r="AE290" s="31">
        <f>VLOOKUP($A290,kurspris!$A$1:$Q$835,4,FALSE)</f>
        <v>0</v>
      </c>
      <c r="AF290" s="31">
        <f>VLOOKUP($A290,kurspris!$A$1:$Q$835,5,FALSE)</f>
        <v>0</v>
      </c>
      <c r="AG290" s="31">
        <f>VLOOKUP($A290,kurspris!$A$1:$Q$835,6,FALSE)</f>
        <v>0</v>
      </c>
      <c r="AH290" s="31">
        <f>VLOOKUP($A290,kurspris!$A$1:$Q$835,7,FALSE)</f>
        <v>0</v>
      </c>
      <c r="AI290" s="31">
        <f>VLOOKUP($A290,kurspris!$A$1:$Q$835,8,FALSE)</f>
        <v>0</v>
      </c>
      <c r="AJ290" s="31">
        <f>VLOOKUP($A290,kurspris!$A$1:$Q$835,9,FALSE)</f>
        <v>1</v>
      </c>
      <c r="AK290" s="31">
        <f>VLOOKUP($A290,kurspris!$A$1:$Q$835,10,FALSE)</f>
        <v>0</v>
      </c>
      <c r="AL290" s="31">
        <f>VLOOKUP($A290,kurspris!$A$1:$Q$835,11,FALSE)</f>
        <v>0</v>
      </c>
      <c r="AM290" s="31">
        <f>VLOOKUP($A290,kurspris!$A$1:$Q$835,12,FALSE)</f>
        <v>0</v>
      </c>
      <c r="AN290" s="31">
        <f>VLOOKUP($A290,kurspris!$A$1:$Q$835,13,FALSE)</f>
        <v>0</v>
      </c>
      <c r="AO290" s="31">
        <f>VLOOKUP($A290,kurspris!$A$1:$Q$835,14,FALSE)</f>
        <v>0</v>
      </c>
      <c r="AP290" s="39" t="s">
        <v>2326</v>
      </c>
      <c r="AQ290" t="s">
        <v>2300</v>
      </c>
      <c r="AR290" s="31">
        <f t="shared" si="117"/>
        <v>0</v>
      </c>
      <c r="AS290" s="255">
        <f t="shared" si="118"/>
        <v>0</v>
      </c>
      <c r="AT290" s="31">
        <f t="shared" si="119"/>
        <v>0</v>
      </c>
      <c r="AU290" s="255">
        <f t="shared" si="120"/>
        <v>0</v>
      </c>
      <c r="AV290" s="31">
        <f t="shared" si="121"/>
        <v>0</v>
      </c>
      <c r="AW290" s="31">
        <f t="shared" si="122"/>
        <v>0</v>
      </c>
      <c r="AX290" s="31">
        <f t="shared" si="123"/>
        <v>0</v>
      </c>
      <c r="AY290" s="255">
        <f t="shared" si="124"/>
        <v>0</v>
      </c>
      <c r="AZ290" s="232">
        <f t="shared" si="125"/>
        <v>0</v>
      </c>
      <c r="BA290" s="255">
        <f t="shared" si="126"/>
        <v>0</v>
      </c>
      <c r="BB290" s="31">
        <f t="shared" si="127"/>
        <v>0</v>
      </c>
      <c r="BC290" s="255">
        <f t="shared" si="128"/>
        <v>0</v>
      </c>
      <c r="BD290" s="31">
        <f t="shared" si="129"/>
        <v>0.25</v>
      </c>
      <c r="BE290" s="255">
        <f t="shared" si="130"/>
        <v>0.21249999999999999</v>
      </c>
      <c r="BF290" s="31">
        <f t="shared" si="131"/>
        <v>0</v>
      </c>
      <c r="BG290" s="255">
        <f t="shared" si="132"/>
        <v>0</v>
      </c>
      <c r="BH290" s="31">
        <f t="shared" si="133"/>
        <v>0</v>
      </c>
      <c r="BI290" s="255">
        <f t="shared" si="134"/>
        <v>0</v>
      </c>
      <c r="BJ290" s="31">
        <f t="shared" si="135"/>
        <v>0</v>
      </c>
      <c r="BK290" s="31">
        <f t="shared" si="136"/>
        <v>0</v>
      </c>
      <c r="BL290" s="255">
        <f t="shared" si="137"/>
        <v>0</v>
      </c>
      <c r="BM290" s="31">
        <f t="shared" si="138"/>
        <v>0</v>
      </c>
      <c r="BN290" s="255">
        <f t="shared" si="139"/>
        <v>0</v>
      </c>
    </row>
    <row r="291" spans="1:66" x14ac:dyDescent="0.25">
      <c r="A291" s="18" t="s">
        <v>1482</v>
      </c>
      <c r="B291" s="186" t="str">
        <f>VLOOKUP(A291,kurspris!$A$1:$B$877,2,FALSE)</f>
        <v>Praktiskt estetiskt ämne - Idrott och hälsa 2</v>
      </c>
      <c r="C291" s="37"/>
      <c r="D291" t="s">
        <v>117</v>
      </c>
      <c r="E291"/>
      <c r="F291" s="59" t="s">
        <v>1931</v>
      </c>
      <c r="G291"/>
      <c r="H291"/>
      <c r="I291" t="s">
        <v>1634</v>
      </c>
      <c r="L291">
        <v>100</v>
      </c>
      <c r="M291">
        <v>15</v>
      </c>
      <c r="P291">
        <v>5</v>
      </c>
      <c r="Q291" s="232">
        <f t="shared" si="112"/>
        <v>1.25</v>
      </c>
      <c r="R291" s="40">
        <v>0.8</v>
      </c>
      <c r="S291" s="334">
        <f t="shared" si="113"/>
        <v>1</v>
      </c>
      <c r="T291" s="31">
        <f>VLOOKUP(A291,'Ansvar kurs'!$A$1:$C$1010,2,FALSE)</f>
        <v>2180</v>
      </c>
      <c r="U291" s="31" t="str">
        <f>VLOOKUP(T291,Orgenheter!$A$1:$C$165,2,FALSE)</f>
        <v xml:space="preserve">Pedagogik                     </v>
      </c>
      <c r="V291" s="31" t="str">
        <f>VLOOKUP(T291,Orgenheter!$A$1:$C$165,3,FALSE)</f>
        <v>Sam</v>
      </c>
      <c r="W291" s="37" t="str">
        <f>VLOOKUP(D291,Program!$A$1:$B$34,2,FALSE)</f>
        <v>Fristående och övriga kurser</v>
      </c>
      <c r="X291" s="42">
        <f>VLOOKUP(A291,kurspris!$A$1:$Q$798,15,FALSE)</f>
        <v>15846</v>
      </c>
      <c r="Y291" s="42">
        <f>VLOOKUP(A291,kurspris!$A$1:$Q$798,16,FALSE)</f>
        <v>26926</v>
      </c>
      <c r="Z291" s="42">
        <f t="shared" si="114"/>
        <v>46733.5</v>
      </c>
      <c r="AA291" s="42">
        <f>VLOOKUP(A291,kurspris!$A$1:$Q$798,17,FALSE)</f>
        <v>17300</v>
      </c>
      <c r="AB291" s="42">
        <f t="shared" si="115"/>
        <v>21625</v>
      </c>
      <c r="AC291" s="42">
        <f t="shared" si="116"/>
        <v>68358.5</v>
      </c>
      <c r="AD291" s="31">
        <f>VLOOKUP($A291,kurspris!$A$1:$Q$835,3,FALSE)</f>
        <v>0</v>
      </c>
      <c r="AE291" s="31">
        <f>VLOOKUP($A291,kurspris!$A$1:$Q$835,4,FALSE)</f>
        <v>0</v>
      </c>
      <c r="AF291" s="31">
        <f>VLOOKUP($A291,kurspris!$A$1:$Q$835,5,FALSE)</f>
        <v>0</v>
      </c>
      <c r="AG291" s="31">
        <f>VLOOKUP($A291,kurspris!$A$1:$Q$835,6,FALSE)</f>
        <v>0</v>
      </c>
      <c r="AH291" s="31">
        <f>VLOOKUP($A291,kurspris!$A$1:$Q$835,7,FALSE)</f>
        <v>0</v>
      </c>
      <c r="AI291" s="31">
        <f>VLOOKUP($A291,kurspris!$A$1:$Q$835,8,FALSE)</f>
        <v>0</v>
      </c>
      <c r="AJ291" s="31">
        <f>VLOOKUP($A291,kurspris!$A$1:$Q$835,9,FALSE)</f>
        <v>0</v>
      </c>
      <c r="AK291" s="31">
        <f>VLOOKUP($A291,kurspris!$A$1:$Q$835,10,FALSE)</f>
        <v>0</v>
      </c>
      <c r="AL291" s="31">
        <f>VLOOKUP($A291,kurspris!$A$1:$Q$835,11,FALSE)</f>
        <v>0</v>
      </c>
      <c r="AM291" s="31">
        <f>VLOOKUP($A291,kurspris!$A$1:$Q$835,12,FALSE)</f>
        <v>0</v>
      </c>
      <c r="AN291" s="31">
        <f>VLOOKUP($A291,kurspris!$A$1:$Q$835,13,FALSE)</f>
        <v>1</v>
      </c>
      <c r="AO291" s="31">
        <f>VLOOKUP($A291,kurspris!$A$1:$Q$835,14,FALSE)</f>
        <v>0</v>
      </c>
      <c r="AP291" s="39" t="s">
        <v>2095</v>
      </c>
      <c r="AQ291"/>
      <c r="AR291" s="31">
        <f t="shared" si="117"/>
        <v>0</v>
      </c>
      <c r="AS291" s="255">
        <f t="shared" si="118"/>
        <v>0</v>
      </c>
      <c r="AT291" s="31">
        <f t="shared" si="119"/>
        <v>0</v>
      </c>
      <c r="AU291" s="255">
        <f t="shared" si="120"/>
        <v>0</v>
      </c>
      <c r="AV291" s="31">
        <f t="shared" si="121"/>
        <v>0</v>
      </c>
      <c r="AW291" s="31">
        <f t="shared" si="122"/>
        <v>0</v>
      </c>
      <c r="AX291" s="31">
        <f t="shared" si="123"/>
        <v>0</v>
      </c>
      <c r="AY291" s="255">
        <f t="shared" si="124"/>
        <v>0</v>
      </c>
      <c r="AZ291" s="232">
        <f t="shared" si="125"/>
        <v>0</v>
      </c>
      <c r="BA291" s="255">
        <f t="shared" si="126"/>
        <v>0</v>
      </c>
      <c r="BB291" s="31">
        <f t="shared" si="127"/>
        <v>0</v>
      </c>
      <c r="BC291" s="255">
        <f t="shared" si="128"/>
        <v>0</v>
      </c>
      <c r="BD291" s="31">
        <f t="shared" si="129"/>
        <v>0</v>
      </c>
      <c r="BE291" s="255">
        <f t="shared" si="130"/>
        <v>0</v>
      </c>
      <c r="BF291" s="31">
        <f t="shared" si="131"/>
        <v>0</v>
      </c>
      <c r="BG291" s="255">
        <f t="shared" si="132"/>
        <v>0</v>
      </c>
      <c r="BH291" s="31">
        <f t="shared" si="133"/>
        <v>0</v>
      </c>
      <c r="BI291" s="255">
        <f t="shared" si="134"/>
        <v>0</v>
      </c>
      <c r="BJ291" s="31">
        <f t="shared" si="135"/>
        <v>0</v>
      </c>
      <c r="BK291" s="31">
        <f t="shared" si="136"/>
        <v>1.25</v>
      </c>
      <c r="BL291" s="255">
        <f t="shared" si="137"/>
        <v>1</v>
      </c>
      <c r="BM291" s="31">
        <f t="shared" si="138"/>
        <v>0</v>
      </c>
      <c r="BN291" s="255">
        <f t="shared" si="139"/>
        <v>0</v>
      </c>
    </row>
    <row r="292" spans="1:66" x14ac:dyDescent="0.25">
      <c r="A292" s="18" t="s">
        <v>1482</v>
      </c>
      <c r="B292" s="186" t="str">
        <f>VLOOKUP(A292,kurspris!$A$1:$B$877,2,FALSE)</f>
        <v>Praktiskt estetiskt ämne - Idrott och hälsa 2</v>
      </c>
      <c r="C292" s="37"/>
      <c r="D292" s="31" t="s">
        <v>485</v>
      </c>
      <c r="E292" s="31" t="s">
        <v>1609</v>
      </c>
      <c r="F292" s="59" t="s">
        <v>1931</v>
      </c>
      <c r="G292" s="31" t="s">
        <v>2270</v>
      </c>
      <c r="L292" s="31">
        <v>100</v>
      </c>
      <c r="M292" s="31">
        <v>15</v>
      </c>
      <c r="P292" s="31">
        <v>8</v>
      </c>
      <c r="Q292" s="232">
        <f t="shared" si="112"/>
        <v>2</v>
      </c>
      <c r="R292" s="40">
        <v>0.85</v>
      </c>
      <c r="S292" s="334">
        <f t="shared" si="113"/>
        <v>1.7</v>
      </c>
      <c r="T292" s="31">
        <f>VLOOKUP(A292,'Ansvar kurs'!$A$1:$C$1010,2,FALSE)</f>
        <v>2180</v>
      </c>
      <c r="U292" s="31" t="str">
        <f>VLOOKUP(T292,Orgenheter!$A$1:$C$165,2,FALSE)</f>
        <v xml:space="preserve">Pedagogik                     </v>
      </c>
      <c r="V292" s="31" t="str">
        <f>VLOOKUP(T292,Orgenheter!$A$1:$C$165,3,FALSE)</f>
        <v>Sam</v>
      </c>
      <c r="W292" s="37" t="str">
        <f>VLOOKUP(D292,Program!$A$1:$B$34,2,FALSE)</f>
        <v>Grundlärarprogrammet - fritidshem</v>
      </c>
      <c r="X292" s="42">
        <f>VLOOKUP(A292,kurspris!$A$1:$Q$798,15,FALSE)</f>
        <v>15846</v>
      </c>
      <c r="Y292" s="42">
        <f>VLOOKUP(A292,kurspris!$A$1:$Q$798,16,FALSE)</f>
        <v>26926</v>
      </c>
      <c r="Z292" s="42">
        <f t="shared" si="114"/>
        <v>77466.2</v>
      </c>
      <c r="AA292" s="42">
        <f>VLOOKUP(A292,kurspris!$A$1:$Q$798,17,FALSE)</f>
        <v>17300</v>
      </c>
      <c r="AB292" s="42">
        <f t="shared" si="115"/>
        <v>34600</v>
      </c>
      <c r="AC292" s="42">
        <f t="shared" si="116"/>
        <v>112066.2</v>
      </c>
      <c r="AD292" s="31">
        <f>VLOOKUP($A292,kurspris!$A$1:$Q$835,3,FALSE)</f>
        <v>0</v>
      </c>
      <c r="AE292" s="31">
        <f>VLOOKUP($A292,kurspris!$A$1:$Q$835,4,FALSE)</f>
        <v>0</v>
      </c>
      <c r="AF292" s="31">
        <f>VLOOKUP($A292,kurspris!$A$1:$Q$835,5,FALSE)</f>
        <v>0</v>
      </c>
      <c r="AG292" s="31">
        <f>VLOOKUP($A292,kurspris!$A$1:$Q$835,6,FALSE)</f>
        <v>0</v>
      </c>
      <c r="AH292" s="31">
        <f>VLOOKUP($A292,kurspris!$A$1:$Q$835,7,FALSE)</f>
        <v>0</v>
      </c>
      <c r="AI292" s="31">
        <f>VLOOKUP($A292,kurspris!$A$1:$Q$835,8,FALSE)</f>
        <v>0</v>
      </c>
      <c r="AJ292" s="31">
        <f>VLOOKUP($A292,kurspris!$A$1:$Q$835,9,FALSE)</f>
        <v>0</v>
      </c>
      <c r="AK292" s="31">
        <f>VLOOKUP($A292,kurspris!$A$1:$Q$835,10,FALSE)</f>
        <v>0</v>
      </c>
      <c r="AL292" s="31">
        <f>VLOOKUP($A292,kurspris!$A$1:$Q$835,11,FALSE)</f>
        <v>0</v>
      </c>
      <c r="AM292" s="31">
        <f>VLOOKUP($A292,kurspris!$A$1:$Q$835,12,FALSE)</f>
        <v>0</v>
      </c>
      <c r="AN292" s="31">
        <f>VLOOKUP($A292,kurspris!$A$1:$Q$835,13,FALSE)</f>
        <v>1</v>
      </c>
      <c r="AO292" s="31">
        <f>VLOOKUP($A292,kurspris!$A$1:$Q$835,14,FALSE)</f>
        <v>0</v>
      </c>
      <c r="AP292" s="39" t="s">
        <v>2326</v>
      </c>
      <c r="AQ292"/>
      <c r="AR292" s="31">
        <f t="shared" si="117"/>
        <v>0</v>
      </c>
      <c r="AS292" s="255">
        <f t="shared" si="118"/>
        <v>0</v>
      </c>
      <c r="AT292" s="31">
        <f t="shared" si="119"/>
        <v>0</v>
      </c>
      <c r="AU292" s="255">
        <f t="shared" si="120"/>
        <v>0</v>
      </c>
      <c r="AV292" s="31">
        <f t="shared" si="121"/>
        <v>0</v>
      </c>
      <c r="AW292" s="31">
        <f t="shared" si="122"/>
        <v>0</v>
      </c>
      <c r="AX292" s="31">
        <f t="shared" si="123"/>
        <v>0</v>
      </c>
      <c r="AY292" s="255">
        <f t="shared" si="124"/>
        <v>0</v>
      </c>
      <c r="AZ292" s="232">
        <f t="shared" si="125"/>
        <v>0</v>
      </c>
      <c r="BA292" s="255">
        <f t="shared" si="126"/>
        <v>0</v>
      </c>
      <c r="BB292" s="31">
        <f t="shared" si="127"/>
        <v>0</v>
      </c>
      <c r="BC292" s="255">
        <f t="shared" si="128"/>
        <v>0</v>
      </c>
      <c r="BD292" s="31">
        <f t="shared" si="129"/>
        <v>0</v>
      </c>
      <c r="BE292" s="255">
        <f t="shared" si="130"/>
        <v>0</v>
      </c>
      <c r="BF292" s="31">
        <f t="shared" si="131"/>
        <v>0</v>
      </c>
      <c r="BG292" s="255">
        <f t="shared" si="132"/>
        <v>0</v>
      </c>
      <c r="BH292" s="31">
        <f t="shared" si="133"/>
        <v>0</v>
      </c>
      <c r="BI292" s="255">
        <f t="shared" si="134"/>
        <v>0</v>
      </c>
      <c r="BJ292" s="31">
        <f t="shared" si="135"/>
        <v>0</v>
      </c>
      <c r="BK292" s="31">
        <f t="shared" si="136"/>
        <v>2</v>
      </c>
      <c r="BL292" s="255">
        <f t="shared" si="137"/>
        <v>1.7</v>
      </c>
      <c r="BM292" s="31">
        <f t="shared" si="138"/>
        <v>0</v>
      </c>
      <c r="BN292" s="255">
        <f t="shared" si="139"/>
        <v>0</v>
      </c>
    </row>
    <row r="293" spans="1:66" x14ac:dyDescent="0.25">
      <c r="A293" s="18" t="s">
        <v>1482</v>
      </c>
      <c r="B293" s="186" t="str">
        <f>VLOOKUP(A293,kurspris!$A$1:$B$877,2,FALSE)</f>
        <v>Praktiskt estetiskt ämne - Idrott och hälsa 2</v>
      </c>
      <c r="C293" s="37"/>
      <c r="D293" s="31" t="s">
        <v>485</v>
      </c>
      <c r="E293" s="31" t="s">
        <v>1788</v>
      </c>
      <c r="F293" s="59" t="s">
        <v>1931</v>
      </c>
      <c r="G293" s="31" t="s">
        <v>2270</v>
      </c>
      <c r="L293" s="31">
        <v>100</v>
      </c>
      <c r="M293" s="31">
        <v>15</v>
      </c>
      <c r="P293" s="31">
        <v>1</v>
      </c>
      <c r="Q293" s="232">
        <f t="shared" si="112"/>
        <v>0.25</v>
      </c>
      <c r="R293" s="40">
        <v>0.85</v>
      </c>
      <c r="S293" s="334">
        <f t="shared" si="113"/>
        <v>0.21249999999999999</v>
      </c>
      <c r="T293" s="31">
        <f>VLOOKUP(A293,'Ansvar kurs'!$A$1:$C$1010,2,FALSE)</f>
        <v>2180</v>
      </c>
      <c r="U293" s="31" t="str">
        <f>VLOOKUP(T293,Orgenheter!$A$1:$C$165,2,FALSE)</f>
        <v xml:space="preserve">Pedagogik                     </v>
      </c>
      <c r="V293" s="31" t="str">
        <f>VLOOKUP(T293,Orgenheter!$A$1:$C$165,3,FALSE)</f>
        <v>Sam</v>
      </c>
      <c r="W293" s="37" t="str">
        <f>VLOOKUP(D293,Program!$A$1:$B$34,2,FALSE)</f>
        <v>Grundlärarprogrammet - fritidshem</v>
      </c>
      <c r="X293" s="42">
        <f>VLOOKUP(A293,kurspris!$A$1:$Q$798,15,FALSE)</f>
        <v>15846</v>
      </c>
      <c r="Y293" s="42">
        <f>VLOOKUP(A293,kurspris!$A$1:$Q$798,16,FALSE)</f>
        <v>26926</v>
      </c>
      <c r="Z293" s="42">
        <f t="shared" si="114"/>
        <v>9683.2749999999996</v>
      </c>
      <c r="AA293" s="42">
        <f>VLOOKUP(A293,kurspris!$A$1:$Q$798,17,FALSE)</f>
        <v>17300</v>
      </c>
      <c r="AB293" s="42">
        <f t="shared" si="115"/>
        <v>4325</v>
      </c>
      <c r="AC293" s="42">
        <f t="shared" si="116"/>
        <v>14008.275</v>
      </c>
      <c r="AD293" s="31">
        <f>VLOOKUP($A293,kurspris!$A$1:$Q$835,3,FALSE)</f>
        <v>0</v>
      </c>
      <c r="AE293" s="31">
        <f>VLOOKUP($A293,kurspris!$A$1:$Q$835,4,FALSE)</f>
        <v>0</v>
      </c>
      <c r="AF293" s="31">
        <f>VLOOKUP($A293,kurspris!$A$1:$Q$835,5,FALSE)</f>
        <v>0</v>
      </c>
      <c r="AG293" s="31">
        <f>VLOOKUP($A293,kurspris!$A$1:$Q$835,6,FALSE)</f>
        <v>0</v>
      </c>
      <c r="AH293" s="31">
        <f>VLOOKUP($A293,kurspris!$A$1:$Q$835,7,FALSE)</f>
        <v>0</v>
      </c>
      <c r="AI293" s="31">
        <f>VLOOKUP($A293,kurspris!$A$1:$Q$835,8,FALSE)</f>
        <v>0</v>
      </c>
      <c r="AJ293" s="31">
        <f>VLOOKUP($A293,kurspris!$A$1:$Q$835,9,FALSE)</f>
        <v>0</v>
      </c>
      <c r="AK293" s="31">
        <f>VLOOKUP($A293,kurspris!$A$1:$Q$835,10,FALSE)</f>
        <v>0</v>
      </c>
      <c r="AL293" s="31">
        <f>VLOOKUP($A293,kurspris!$A$1:$Q$835,11,FALSE)</f>
        <v>0</v>
      </c>
      <c r="AM293" s="31">
        <f>VLOOKUP($A293,kurspris!$A$1:$Q$835,12,FALSE)</f>
        <v>0</v>
      </c>
      <c r="AN293" s="31">
        <f>VLOOKUP($A293,kurspris!$A$1:$Q$835,13,FALSE)</f>
        <v>1</v>
      </c>
      <c r="AO293" s="31">
        <f>VLOOKUP($A293,kurspris!$A$1:$Q$835,14,FALSE)</f>
        <v>0</v>
      </c>
      <c r="AP293" s="39" t="s">
        <v>2326</v>
      </c>
      <c r="AQ293"/>
      <c r="AR293" s="31">
        <f t="shared" si="117"/>
        <v>0</v>
      </c>
      <c r="AS293" s="255">
        <f t="shared" si="118"/>
        <v>0</v>
      </c>
      <c r="AT293" s="31">
        <f t="shared" si="119"/>
        <v>0</v>
      </c>
      <c r="AU293" s="255">
        <f t="shared" si="120"/>
        <v>0</v>
      </c>
      <c r="AV293" s="31">
        <f t="shared" si="121"/>
        <v>0</v>
      </c>
      <c r="AW293" s="31">
        <f t="shared" si="122"/>
        <v>0</v>
      </c>
      <c r="AX293" s="31">
        <f t="shared" si="123"/>
        <v>0</v>
      </c>
      <c r="AY293" s="255">
        <f t="shared" si="124"/>
        <v>0</v>
      </c>
      <c r="AZ293" s="232">
        <f t="shared" si="125"/>
        <v>0</v>
      </c>
      <c r="BA293" s="255">
        <f t="shared" si="126"/>
        <v>0</v>
      </c>
      <c r="BB293" s="31">
        <f t="shared" si="127"/>
        <v>0</v>
      </c>
      <c r="BC293" s="255">
        <f t="shared" si="128"/>
        <v>0</v>
      </c>
      <c r="BD293" s="31">
        <f t="shared" si="129"/>
        <v>0</v>
      </c>
      <c r="BE293" s="255">
        <f t="shared" si="130"/>
        <v>0</v>
      </c>
      <c r="BF293" s="31">
        <f t="shared" si="131"/>
        <v>0</v>
      </c>
      <c r="BG293" s="255">
        <f t="shared" si="132"/>
        <v>0</v>
      </c>
      <c r="BH293" s="31">
        <f t="shared" si="133"/>
        <v>0</v>
      </c>
      <c r="BI293" s="255">
        <f t="shared" si="134"/>
        <v>0</v>
      </c>
      <c r="BJ293" s="31">
        <f t="shared" si="135"/>
        <v>0</v>
      </c>
      <c r="BK293" s="31">
        <f t="shared" si="136"/>
        <v>0.25</v>
      </c>
      <c r="BL293" s="255">
        <f t="shared" si="137"/>
        <v>0.21249999999999999</v>
      </c>
      <c r="BM293" s="31">
        <f t="shared" si="138"/>
        <v>0</v>
      </c>
      <c r="BN293" s="255">
        <f t="shared" si="139"/>
        <v>0</v>
      </c>
    </row>
    <row r="294" spans="1:66" x14ac:dyDescent="0.25">
      <c r="A294" s="18" t="s">
        <v>1472</v>
      </c>
      <c r="B294" s="186" t="str">
        <f>VLOOKUP(A294,kurspris!$A$1:$B$877,2,FALSE)</f>
        <v>Praktiskt estetiskt ämne - Idrott och hälsa 1</v>
      </c>
      <c r="C294" s="37"/>
      <c r="D294" t="s">
        <v>117</v>
      </c>
      <c r="E294"/>
      <c r="F294" s="59" t="s">
        <v>1931</v>
      </c>
      <c r="G294"/>
      <c r="H294"/>
      <c r="I294" t="s">
        <v>1634</v>
      </c>
      <c r="L294">
        <v>100</v>
      </c>
      <c r="M294">
        <v>15</v>
      </c>
      <c r="P294">
        <v>5</v>
      </c>
      <c r="Q294" s="232">
        <f t="shared" si="112"/>
        <v>1.25</v>
      </c>
      <c r="R294" s="40">
        <v>0.8</v>
      </c>
      <c r="S294" s="334">
        <f t="shared" si="113"/>
        <v>1</v>
      </c>
      <c r="T294" s="31">
        <f>VLOOKUP(A294,'Ansvar kurs'!$A$1:$C$1010,2,FALSE)</f>
        <v>2180</v>
      </c>
      <c r="U294" s="31" t="str">
        <f>VLOOKUP(T294,Orgenheter!$A$1:$C$165,2,FALSE)</f>
        <v xml:space="preserve">Pedagogik                     </v>
      </c>
      <c r="V294" s="31" t="str">
        <f>VLOOKUP(T294,Orgenheter!$A$1:$C$165,3,FALSE)</f>
        <v>Sam</v>
      </c>
      <c r="W294" s="37" t="str">
        <f>VLOOKUP(D294,Program!$A$1:$B$34,2,FALSE)</f>
        <v>Fristående och övriga kurser</v>
      </c>
      <c r="X294" s="42">
        <f>VLOOKUP(A294,kurspris!$A$1:$Q$798,15,FALSE)</f>
        <v>15846</v>
      </c>
      <c r="Y294" s="42">
        <f>VLOOKUP(A294,kurspris!$A$1:$Q$798,16,FALSE)</f>
        <v>26926</v>
      </c>
      <c r="Z294" s="42">
        <f t="shared" si="114"/>
        <v>46733.5</v>
      </c>
      <c r="AA294" s="42">
        <f>VLOOKUP(A294,kurspris!$A$1:$Q$798,17,FALSE)</f>
        <v>17300</v>
      </c>
      <c r="AB294" s="42">
        <f t="shared" si="115"/>
        <v>21625</v>
      </c>
      <c r="AC294" s="42">
        <f t="shared" si="116"/>
        <v>68358.5</v>
      </c>
      <c r="AD294" s="31">
        <f>VLOOKUP($A294,kurspris!$A$1:$Q$835,3,FALSE)</f>
        <v>0</v>
      </c>
      <c r="AE294" s="31">
        <f>VLOOKUP($A294,kurspris!$A$1:$Q$835,4,FALSE)</f>
        <v>0</v>
      </c>
      <c r="AF294" s="31">
        <f>VLOOKUP($A294,kurspris!$A$1:$Q$835,5,FALSE)</f>
        <v>0</v>
      </c>
      <c r="AG294" s="31">
        <f>VLOOKUP($A294,kurspris!$A$1:$Q$835,6,FALSE)</f>
        <v>0</v>
      </c>
      <c r="AH294" s="31">
        <f>VLOOKUP($A294,kurspris!$A$1:$Q$835,7,FALSE)</f>
        <v>0</v>
      </c>
      <c r="AI294" s="31">
        <f>VLOOKUP($A294,kurspris!$A$1:$Q$835,8,FALSE)</f>
        <v>0</v>
      </c>
      <c r="AJ294" s="31">
        <f>VLOOKUP($A294,kurspris!$A$1:$Q$835,9,FALSE)</f>
        <v>0</v>
      </c>
      <c r="AK294" s="31">
        <f>VLOOKUP($A294,kurspris!$A$1:$Q$835,10,FALSE)</f>
        <v>0</v>
      </c>
      <c r="AL294" s="31">
        <f>VLOOKUP($A294,kurspris!$A$1:$Q$835,11,FALSE)</f>
        <v>0</v>
      </c>
      <c r="AM294" s="31">
        <f>VLOOKUP($A294,kurspris!$A$1:$Q$835,12,FALSE)</f>
        <v>0</v>
      </c>
      <c r="AN294" s="31">
        <f>VLOOKUP($A294,kurspris!$A$1:$Q$835,13,FALSE)</f>
        <v>1</v>
      </c>
      <c r="AO294" s="31">
        <f>VLOOKUP($A294,kurspris!$A$1:$Q$835,14,FALSE)</f>
        <v>0</v>
      </c>
      <c r="AP294" s="39" t="s">
        <v>2095</v>
      </c>
      <c r="AQ294"/>
      <c r="AR294" s="31">
        <f t="shared" si="117"/>
        <v>0</v>
      </c>
      <c r="AS294" s="255">
        <f t="shared" si="118"/>
        <v>0</v>
      </c>
      <c r="AT294" s="31">
        <f t="shared" si="119"/>
        <v>0</v>
      </c>
      <c r="AU294" s="255">
        <f t="shared" si="120"/>
        <v>0</v>
      </c>
      <c r="AV294" s="31">
        <f t="shared" si="121"/>
        <v>0</v>
      </c>
      <c r="AW294" s="31">
        <f t="shared" si="122"/>
        <v>0</v>
      </c>
      <c r="AX294" s="31">
        <f t="shared" si="123"/>
        <v>0</v>
      </c>
      <c r="AY294" s="255">
        <f t="shared" si="124"/>
        <v>0</v>
      </c>
      <c r="AZ294" s="232">
        <f t="shared" si="125"/>
        <v>0</v>
      </c>
      <c r="BA294" s="255">
        <f t="shared" si="126"/>
        <v>0</v>
      </c>
      <c r="BB294" s="31">
        <f t="shared" si="127"/>
        <v>0</v>
      </c>
      <c r="BC294" s="255">
        <f t="shared" si="128"/>
        <v>0</v>
      </c>
      <c r="BD294" s="31">
        <f t="shared" si="129"/>
        <v>0</v>
      </c>
      <c r="BE294" s="255">
        <f t="shared" si="130"/>
        <v>0</v>
      </c>
      <c r="BF294" s="31">
        <f t="shared" si="131"/>
        <v>0</v>
      </c>
      <c r="BG294" s="255">
        <f t="shared" si="132"/>
        <v>0</v>
      </c>
      <c r="BH294" s="31">
        <f t="shared" si="133"/>
        <v>0</v>
      </c>
      <c r="BI294" s="255">
        <f t="shared" si="134"/>
        <v>0</v>
      </c>
      <c r="BJ294" s="31">
        <f t="shared" si="135"/>
        <v>0</v>
      </c>
      <c r="BK294" s="31">
        <f t="shared" si="136"/>
        <v>1.25</v>
      </c>
      <c r="BL294" s="255">
        <f t="shared" si="137"/>
        <v>1</v>
      </c>
      <c r="BM294" s="31">
        <f t="shared" si="138"/>
        <v>0</v>
      </c>
      <c r="BN294" s="255">
        <f t="shared" si="139"/>
        <v>0</v>
      </c>
    </row>
    <row r="295" spans="1:66" x14ac:dyDescent="0.25">
      <c r="A295" s="18" t="s">
        <v>1472</v>
      </c>
      <c r="B295" s="186" t="str">
        <f>VLOOKUP(A295,kurspris!$A$1:$B$877,2,FALSE)</f>
        <v>Praktiskt estetiskt ämne - Idrott och hälsa 1</v>
      </c>
      <c r="C295" s="37"/>
      <c r="D295" s="31" t="s">
        <v>485</v>
      </c>
      <c r="E295" s="31" t="s">
        <v>1788</v>
      </c>
      <c r="F295" s="59" t="s">
        <v>1931</v>
      </c>
      <c r="G295" s="31" t="s">
        <v>2271</v>
      </c>
      <c r="L295" s="31">
        <v>100</v>
      </c>
      <c r="M295" s="31">
        <v>15</v>
      </c>
      <c r="P295" s="31">
        <v>18</v>
      </c>
      <c r="Q295" s="232">
        <f t="shared" si="112"/>
        <v>4.5</v>
      </c>
      <c r="R295" s="40">
        <v>0.85</v>
      </c>
      <c r="S295" s="334">
        <f t="shared" si="113"/>
        <v>3.8249999999999997</v>
      </c>
      <c r="T295" s="31">
        <f>VLOOKUP(A295,'Ansvar kurs'!$A$1:$C$1010,2,FALSE)</f>
        <v>2180</v>
      </c>
      <c r="U295" s="31" t="str">
        <f>VLOOKUP(T295,Orgenheter!$A$1:$C$165,2,FALSE)</f>
        <v xml:space="preserve">Pedagogik                     </v>
      </c>
      <c r="V295" s="31" t="str">
        <f>VLOOKUP(T295,Orgenheter!$A$1:$C$165,3,FALSE)</f>
        <v>Sam</v>
      </c>
      <c r="W295" s="37" t="str">
        <f>VLOOKUP(D295,Program!$A$1:$B$34,2,FALSE)</f>
        <v>Grundlärarprogrammet - fritidshem</v>
      </c>
      <c r="X295" s="42">
        <f>VLOOKUP(A295,kurspris!$A$1:$Q$798,15,FALSE)</f>
        <v>15846</v>
      </c>
      <c r="Y295" s="42">
        <f>VLOOKUP(A295,kurspris!$A$1:$Q$798,16,FALSE)</f>
        <v>26926</v>
      </c>
      <c r="Z295" s="42">
        <f t="shared" si="114"/>
        <v>174298.95</v>
      </c>
      <c r="AA295" s="42">
        <f>VLOOKUP(A295,kurspris!$A$1:$Q$798,17,FALSE)</f>
        <v>17300</v>
      </c>
      <c r="AB295" s="42">
        <f t="shared" si="115"/>
        <v>77850</v>
      </c>
      <c r="AC295" s="42">
        <f t="shared" si="116"/>
        <v>252148.95</v>
      </c>
      <c r="AD295" s="31">
        <f>VLOOKUP($A295,kurspris!$A$1:$Q$835,3,FALSE)</f>
        <v>0</v>
      </c>
      <c r="AE295" s="31">
        <f>VLOOKUP($A295,kurspris!$A$1:$Q$835,4,FALSE)</f>
        <v>0</v>
      </c>
      <c r="AF295" s="31">
        <f>VLOOKUP($A295,kurspris!$A$1:$Q$835,5,FALSE)</f>
        <v>0</v>
      </c>
      <c r="AG295" s="31">
        <f>VLOOKUP($A295,kurspris!$A$1:$Q$835,6,FALSE)</f>
        <v>0</v>
      </c>
      <c r="AH295" s="31">
        <f>VLOOKUP($A295,kurspris!$A$1:$Q$835,7,FALSE)</f>
        <v>0</v>
      </c>
      <c r="AI295" s="31">
        <f>VLOOKUP($A295,kurspris!$A$1:$Q$835,8,FALSE)</f>
        <v>0</v>
      </c>
      <c r="AJ295" s="31">
        <f>VLOOKUP($A295,kurspris!$A$1:$Q$835,9,FALSE)</f>
        <v>0</v>
      </c>
      <c r="AK295" s="31">
        <f>VLOOKUP($A295,kurspris!$A$1:$Q$835,10,FALSE)</f>
        <v>0</v>
      </c>
      <c r="AL295" s="31">
        <f>VLOOKUP($A295,kurspris!$A$1:$Q$835,11,FALSE)</f>
        <v>0</v>
      </c>
      <c r="AM295" s="31">
        <f>VLOOKUP($A295,kurspris!$A$1:$Q$835,12,FALSE)</f>
        <v>0</v>
      </c>
      <c r="AN295" s="31">
        <f>VLOOKUP($A295,kurspris!$A$1:$Q$835,13,FALSE)</f>
        <v>1</v>
      </c>
      <c r="AO295" s="31">
        <f>VLOOKUP($A295,kurspris!$A$1:$Q$835,14,FALSE)</f>
        <v>0</v>
      </c>
      <c r="AP295" s="39" t="s">
        <v>2326</v>
      </c>
      <c r="AQ295"/>
      <c r="AR295" s="31">
        <f t="shared" si="117"/>
        <v>0</v>
      </c>
      <c r="AS295" s="255">
        <f t="shared" si="118"/>
        <v>0</v>
      </c>
      <c r="AT295" s="31">
        <f t="shared" si="119"/>
        <v>0</v>
      </c>
      <c r="AU295" s="255">
        <f t="shared" si="120"/>
        <v>0</v>
      </c>
      <c r="AV295" s="31">
        <f t="shared" si="121"/>
        <v>0</v>
      </c>
      <c r="AW295" s="31">
        <f t="shared" si="122"/>
        <v>0</v>
      </c>
      <c r="AX295" s="31">
        <f t="shared" si="123"/>
        <v>0</v>
      </c>
      <c r="AY295" s="255">
        <f t="shared" si="124"/>
        <v>0</v>
      </c>
      <c r="AZ295" s="232">
        <f t="shared" si="125"/>
        <v>0</v>
      </c>
      <c r="BA295" s="255">
        <f t="shared" si="126"/>
        <v>0</v>
      </c>
      <c r="BB295" s="31">
        <f t="shared" si="127"/>
        <v>0</v>
      </c>
      <c r="BC295" s="255">
        <f t="shared" si="128"/>
        <v>0</v>
      </c>
      <c r="BD295" s="31">
        <f t="shared" si="129"/>
        <v>0</v>
      </c>
      <c r="BE295" s="255">
        <f t="shared" si="130"/>
        <v>0</v>
      </c>
      <c r="BF295" s="31">
        <f t="shared" si="131"/>
        <v>0</v>
      </c>
      <c r="BG295" s="255">
        <f t="shared" si="132"/>
        <v>0</v>
      </c>
      <c r="BH295" s="31">
        <f t="shared" si="133"/>
        <v>0</v>
      </c>
      <c r="BI295" s="255">
        <f t="shared" si="134"/>
        <v>0</v>
      </c>
      <c r="BJ295" s="31">
        <f t="shared" si="135"/>
        <v>0</v>
      </c>
      <c r="BK295" s="31">
        <f t="shared" si="136"/>
        <v>4.5</v>
      </c>
      <c r="BL295" s="255">
        <f t="shared" si="137"/>
        <v>3.8249999999999997</v>
      </c>
      <c r="BM295" s="31">
        <f t="shared" si="138"/>
        <v>0</v>
      </c>
      <c r="BN295" s="255">
        <f t="shared" si="139"/>
        <v>0</v>
      </c>
    </row>
    <row r="296" spans="1:66" x14ac:dyDescent="0.25">
      <c r="A296" s="18" t="s">
        <v>1586</v>
      </c>
      <c r="B296" s="186" t="str">
        <f>VLOOKUP(A296,kurspris!$A$1:$B$877,2,FALSE)</f>
        <v>Idrott och hälsa 1</v>
      </c>
      <c r="C296" s="37"/>
      <c r="D296" t="s">
        <v>117</v>
      </c>
      <c r="E296"/>
      <c r="F296" s="59" t="s">
        <v>1930</v>
      </c>
      <c r="G296"/>
      <c r="H296"/>
      <c r="I296" t="s">
        <v>1634</v>
      </c>
      <c r="L296">
        <v>100</v>
      </c>
      <c r="M296">
        <v>30</v>
      </c>
      <c r="P296" s="31">
        <v>4</v>
      </c>
      <c r="Q296" s="232">
        <f t="shared" si="112"/>
        <v>2</v>
      </c>
      <c r="R296" s="40">
        <v>0.8</v>
      </c>
      <c r="S296" s="334">
        <f t="shared" si="113"/>
        <v>1.6</v>
      </c>
      <c r="T296" s="31">
        <f>VLOOKUP(A296,'Ansvar kurs'!$A$1:$C$1010,2,FALSE)</f>
        <v>2180</v>
      </c>
      <c r="U296" s="31" t="str">
        <f>VLOOKUP(T296,Orgenheter!$A$1:$C$165,2,FALSE)</f>
        <v xml:space="preserve">Pedagogik                     </v>
      </c>
      <c r="V296" s="31" t="str">
        <f>VLOOKUP(T296,Orgenheter!$A$1:$C$165,3,FALSE)</f>
        <v>Sam</v>
      </c>
      <c r="W296" s="37" t="str">
        <f>VLOOKUP(D296,Program!$A$1:$B$34,2,FALSE)</f>
        <v>Fristående och övriga kurser</v>
      </c>
      <c r="X296" s="42">
        <f>VLOOKUP(A296,kurspris!$A$1:$Q$798,15,FALSE)</f>
        <v>45034</v>
      </c>
      <c r="Y296" s="42">
        <f>VLOOKUP(A296,kurspris!$A$1:$Q$798,16,FALSE)</f>
        <v>31547</v>
      </c>
      <c r="Z296" s="42">
        <f t="shared" si="114"/>
        <v>140543.20000000001</v>
      </c>
      <c r="AA296" s="42">
        <f>VLOOKUP(A296,kurspris!$A$1:$Q$798,17,FALSE)</f>
        <v>34500</v>
      </c>
      <c r="AB296" s="42">
        <f t="shared" si="115"/>
        <v>69000</v>
      </c>
      <c r="AC296" s="42">
        <f t="shared" si="116"/>
        <v>209543.2</v>
      </c>
      <c r="AD296" s="31">
        <f>VLOOKUP($A296,kurspris!$A$1:$Q$835,3,FALSE)</f>
        <v>0</v>
      </c>
      <c r="AE296" s="31">
        <f>VLOOKUP($A296,kurspris!$A$1:$Q$835,4,FALSE)</f>
        <v>0</v>
      </c>
      <c r="AF296" s="31">
        <f>VLOOKUP($A296,kurspris!$A$1:$Q$835,5,FALSE)</f>
        <v>1</v>
      </c>
      <c r="AG296" s="31">
        <f>VLOOKUP($A296,kurspris!$A$1:$Q$835,6,FALSE)</f>
        <v>0</v>
      </c>
      <c r="AH296" s="31">
        <f>VLOOKUP($A296,kurspris!$A$1:$Q$835,7,FALSE)</f>
        <v>0</v>
      </c>
      <c r="AI296" s="31">
        <f>VLOOKUP($A296,kurspris!$A$1:$Q$835,8,FALSE)</f>
        <v>0</v>
      </c>
      <c r="AJ296" s="31">
        <f>VLOOKUP($A296,kurspris!$A$1:$Q$835,9,FALSE)</f>
        <v>0</v>
      </c>
      <c r="AK296" s="31">
        <f>VLOOKUP($A296,kurspris!$A$1:$Q$835,10,FALSE)</f>
        <v>0</v>
      </c>
      <c r="AL296" s="31">
        <f>VLOOKUP($A296,kurspris!$A$1:$Q$835,11,FALSE)</f>
        <v>0</v>
      </c>
      <c r="AM296" s="31">
        <f>VLOOKUP($A296,kurspris!$A$1:$Q$835,12,FALSE)</f>
        <v>0</v>
      </c>
      <c r="AN296" s="31">
        <f>VLOOKUP($A296,kurspris!$A$1:$Q$835,13,FALSE)</f>
        <v>0</v>
      </c>
      <c r="AO296" s="31">
        <f>VLOOKUP($A296,kurspris!$A$1:$Q$835,14,FALSE)</f>
        <v>0</v>
      </c>
      <c r="AP296" s="39" t="s">
        <v>2232</v>
      </c>
      <c r="AQ296" s="39" t="s">
        <v>2095</v>
      </c>
      <c r="AR296" s="31">
        <f t="shared" si="117"/>
        <v>0</v>
      </c>
      <c r="AS296" s="255">
        <f t="shared" si="118"/>
        <v>0</v>
      </c>
      <c r="AT296" s="31">
        <f t="shared" si="119"/>
        <v>0</v>
      </c>
      <c r="AU296" s="255">
        <f t="shared" si="120"/>
        <v>0</v>
      </c>
      <c r="AV296" s="31">
        <f t="shared" si="121"/>
        <v>2</v>
      </c>
      <c r="AW296" s="31">
        <f t="shared" si="122"/>
        <v>1.6</v>
      </c>
      <c r="AX296" s="31">
        <f t="shared" si="123"/>
        <v>0</v>
      </c>
      <c r="AY296" s="255">
        <f t="shared" si="124"/>
        <v>0</v>
      </c>
      <c r="AZ296" s="232">
        <f t="shared" si="125"/>
        <v>0</v>
      </c>
      <c r="BA296" s="255">
        <f t="shared" si="126"/>
        <v>0</v>
      </c>
      <c r="BB296" s="31">
        <f t="shared" si="127"/>
        <v>0</v>
      </c>
      <c r="BC296" s="255">
        <f t="shared" si="128"/>
        <v>0</v>
      </c>
      <c r="BD296" s="31">
        <f t="shared" si="129"/>
        <v>0</v>
      </c>
      <c r="BE296" s="255">
        <f t="shared" si="130"/>
        <v>0</v>
      </c>
      <c r="BF296" s="31">
        <f t="shared" si="131"/>
        <v>0</v>
      </c>
      <c r="BG296" s="255">
        <f t="shared" si="132"/>
        <v>0</v>
      </c>
      <c r="BH296" s="31">
        <f t="shared" si="133"/>
        <v>0</v>
      </c>
      <c r="BI296" s="255">
        <f t="shared" si="134"/>
        <v>0</v>
      </c>
      <c r="BJ296" s="31">
        <f t="shared" si="135"/>
        <v>0</v>
      </c>
      <c r="BK296" s="31">
        <f t="shared" si="136"/>
        <v>0</v>
      </c>
      <c r="BL296" s="255">
        <f t="shared" si="137"/>
        <v>0</v>
      </c>
      <c r="BM296" s="31">
        <f t="shared" si="138"/>
        <v>0</v>
      </c>
      <c r="BN296" s="255">
        <f t="shared" si="139"/>
        <v>0</v>
      </c>
    </row>
    <row r="297" spans="1:66" x14ac:dyDescent="0.25">
      <c r="A297" t="s">
        <v>1586</v>
      </c>
      <c r="B297" s="186" t="str">
        <f>VLOOKUP(A297,kurspris!$A$1:$B$877,2,FALSE)</f>
        <v>Idrott och hälsa 1</v>
      </c>
      <c r="C297"/>
      <c r="D297" t="s">
        <v>483</v>
      </c>
      <c r="E297" t="s">
        <v>1976</v>
      </c>
      <c r="F297" s="59" t="s">
        <v>1930</v>
      </c>
      <c r="G297" t="s">
        <v>1995</v>
      </c>
      <c r="H297" t="s">
        <v>1910</v>
      </c>
      <c r="I297"/>
      <c r="J297" t="s">
        <v>776</v>
      </c>
      <c r="K297"/>
      <c r="L297">
        <v>100</v>
      </c>
      <c r="M297">
        <v>30</v>
      </c>
      <c r="N297"/>
      <c r="O297"/>
      <c r="P297" s="31">
        <v>1</v>
      </c>
      <c r="Q297" s="232">
        <f t="shared" si="112"/>
        <v>0.5</v>
      </c>
      <c r="R297" s="40">
        <v>0.85</v>
      </c>
      <c r="S297" s="334">
        <f t="shared" si="113"/>
        <v>0.42499999999999999</v>
      </c>
      <c r="T297" s="31">
        <f>VLOOKUP(A297,'Ansvar kurs'!$A$1:$C$1010,2,FALSE)</f>
        <v>2180</v>
      </c>
      <c r="U297" s="31" t="str">
        <f>VLOOKUP(T297,Orgenheter!$A$1:$C$165,2,FALSE)</f>
        <v xml:space="preserve">Pedagogik                     </v>
      </c>
      <c r="V297" s="31" t="str">
        <f>VLOOKUP(T297,Orgenheter!$A$1:$C$165,3,FALSE)</f>
        <v>Sam</v>
      </c>
      <c r="W297" s="37" t="str">
        <f>VLOOKUP(D297,Program!$A$1:$B$34,2,FALSE)</f>
        <v>Ämneslärarprogrammet - Gy</v>
      </c>
      <c r="X297" s="42">
        <f>VLOOKUP(A297,kurspris!$A$1:$Q$798,15,FALSE)</f>
        <v>45034</v>
      </c>
      <c r="Y297" s="42">
        <f>VLOOKUP(A297,kurspris!$A$1:$Q$798,16,FALSE)</f>
        <v>31547</v>
      </c>
      <c r="Z297" s="42">
        <f t="shared" si="114"/>
        <v>35924.474999999999</v>
      </c>
      <c r="AA297" s="42">
        <f>VLOOKUP(A297,kurspris!$A$1:$Q$798,17,FALSE)</f>
        <v>34500</v>
      </c>
      <c r="AB297" s="42">
        <f t="shared" si="115"/>
        <v>17250</v>
      </c>
      <c r="AC297" s="42">
        <f t="shared" si="116"/>
        <v>53174.474999999999</v>
      </c>
      <c r="AD297" s="31">
        <f>VLOOKUP($A297,kurspris!$A$1:$Q$835,3,FALSE)</f>
        <v>0</v>
      </c>
      <c r="AE297" s="31">
        <f>VLOOKUP($A297,kurspris!$A$1:$Q$835,4,FALSE)</f>
        <v>0</v>
      </c>
      <c r="AF297" s="31">
        <f>VLOOKUP($A297,kurspris!$A$1:$Q$835,5,FALSE)</f>
        <v>1</v>
      </c>
      <c r="AG297" s="31">
        <f>VLOOKUP($A297,kurspris!$A$1:$Q$835,6,FALSE)</f>
        <v>0</v>
      </c>
      <c r="AH297" s="31">
        <f>VLOOKUP($A297,kurspris!$A$1:$Q$835,7,FALSE)</f>
        <v>0</v>
      </c>
      <c r="AI297" s="31">
        <f>VLOOKUP($A297,kurspris!$A$1:$Q$835,8,FALSE)</f>
        <v>0</v>
      </c>
      <c r="AJ297" s="31">
        <f>VLOOKUP($A297,kurspris!$A$1:$Q$835,9,FALSE)</f>
        <v>0</v>
      </c>
      <c r="AK297" s="31">
        <f>VLOOKUP($A297,kurspris!$A$1:$Q$835,10,FALSE)</f>
        <v>0</v>
      </c>
      <c r="AL297" s="31">
        <f>VLOOKUP($A297,kurspris!$A$1:$Q$835,11,FALSE)</f>
        <v>0</v>
      </c>
      <c r="AM297" s="31">
        <f>VLOOKUP($A297,kurspris!$A$1:$Q$835,12,FALSE)</f>
        <v>0</v>
      </c>
      <c r="AN297" s="31">
        <f>VLOOKUP($A297,kurspris!$A$1:$Q$835,13,FALSE)</f>
        <v>0</v>
      </c>
      <c r="AO297" s="31">
        <f>VLOOKUP($A297,kurspris!$A$1:$Q$835,14,FALSE)</f>
        <v>0</v>
      </c>
      <c r="AP297" s="39" t="s">
        <v>2204</v>
      </c>
      <c r="AQ297"/>
      <c r="AR297" s="31">
        <f t="shared" si="117"/>
        <v>0</v>
      </c>
      <c r="AS297" s="255">
        <f t="shared" si="118"/>
        <v>0</v>
      </c>
      <c r="AT297" s="31">
        <f t="shared" si="119"/>
        <v>0</v>
      </c>
      <c r="AU297" s="255">
        <f t="shared" si="120"/>
        <v>0</v>
      </c>
      <c r="AV297" s="31">
        <f t="shared" si="121"/>
        <v>0.5</v>
      </c>
      <c r="AW297" s="31">
        <f t="shared" si="122"/>
        <v>0.42499999999999999</v>
      </c>
      <c r="AX297" s="31">
        <f t="shared" si="123"/>
        <v>0</v>
      </c>
      <c r="AY297" s="255">
        <f t="shared" si="124"/>
        <v>0</v>
      </c>
      <c r="AZ297" s="232">
        <f t="shared" si="125"/>
        <v>0</v>
      </c>
      <c r="BA297" s="255">
        <f t="shared" si="126"/>
        <v>0</v>
      </c>
      <c r="BB297" s="31">
        <f t="shared" si="127"/>
        <v>0</v>
      </c>
      <c r="BC297" s="255">
        <f t="shared" si="128"/>
        <v>0</v>
      </c>
      <c r="BD297" s="31">
        <f t="shared" si="129"/>
        <v>0</v>
      </c>
      <c r="BE297" s="255">
        <f t="shared" si="130"/>
        <v>0</v>
      </c>
      <c r="BF297" s="31">
        <f t="shared" si="131"/>
        <v>0</v>
      </c>
      <c r="BG297" s="255">
        <f t="shared" si="132"/>
        <v>0</v>
      </c>
      <c r="BH297" s="31">
        <f t="shared" si="133"/>
        <v>0</v>
      </c>
      <c r="BI297" s="255">
        <f t="shared" si="134"/>
        <v>0</v>
      </c>
      <c r="BJ297" s="31">
        <f t="shared" si="135"/>
        <v>0</v>
      </c>
      <c r="BK297" s="31">
        <f t="shared" si="136"/>
        <v>0</v>
      </c>
      <c r="BL297" s="255">
        <f t="shared" si="137"/>
        <v>0</v>
      </c>
      <c r="BM297" s="31">
        <f t="shared" si="138"/>
        <v>0</v>
      </c>
      <c r="BN297" s="255">
        <f t="shared" si="139"/>
        <v>0</v>
      </c>
    </row>
    <row r="298" spans="1:66" x14ac:dyDescent="0.25">
      <c r="A298" t="s">
        <v>1586</v>
      </c>
      <c r="B298" s="186" t="str">
        <f>VLOOKUP(A298,kurspris!$A$1:$B$877,2,FALSE)</f>
        <v>Idrott och hälsa 1</v>
      </c>
      <c r="C298"/>
      <c r="D298" t="s">
        <v>483</v>
      </c>
      <c r="E298" t="s">
        <v>1973</v>
      </c>
      <c r="F298" s="59" t="s">
        <v>1930</v>
      </c>
      <c r="G298" t="s">
        <v>1995</v>
      </c>
      <c r="H298" t="s">
        <v>1910</v>
      </c>
      <c r="I298"/>
      <c r="J298" t="s">
        <v>771</v>
      </c>
      <c r="K298"/>
      <c r="L298">
        <v>100</v>
      </c>
      <c r="M298">
        <v>30</v>
      </c>
      <c r="N298"/>
      <c r="O298"/>
      <c r="P298" s="31">
        <v>3</v>
      </c>
      <c r="Q298" s="232">
        <f t="shared" si="112"/>
        <v>1.5</v>
      </c>
      <c r="R298" s="40">
        <v>0.85</v>
      </c>
      <c r="S298" s="334">
        <f t="shared" si="113"/>
        <v>1.2749999999999999</v>
      </c>
      <c r="T298" s="31">
        <f>VLOOKUP(A298,'Ansvar kurs'!$A$1:$C$1010,2,FALSE)</f>
        <v>2180</v>
      </c>
      <c r="U298" s="31" t="str">
        <f>VLOOKUP(T298,Orgenheter!$A$1:$C$165,2,FALSE)</f>
        <v xml:space="preserve">Pedagogik                     </v>
      </c>
      <c r="V298" s="31" t="str">
        <f>VLOOKUP(T298,Orgenheter!$A$1:$C$165,3,FALSE)</f>
        <v>Sam</v>
      </c>
      <c r="W298" s="37" t="str">
        <f>VLOOKUP(D298,Program!$A$1:$B$34,2,FALSE)</f>
        <v>Ämneslärarprogrammet - Gy</v>
      </c>
      <c r="X298" s="42">
        <f>VLOOKUP(A298,kurspris!$A$1:$Q$798,15,FALSE)</f>
        <v>45034</v>
      </c>
      <c r="Y298" s="42">
        <f>VLOOKUP(A298,kurspris!$A$1:$Q$798,16,FALSE)</f>
        <v>31547</v>
      </c>
      <c r="Z298" s="42">
        <f t="shared" si="114"/>
        <v>107773.42499999999</v>
      </c>
      <c r="AA298" s="42">
        <f>VLOOKUP(A298,kurspris!$A$1:$Q$798,17,FALSE)</f>
        <v>34500</v>
      </c>
      <c r="AB298" s="42">
        <f t="shared" si="115"/>
        <v>51750</v>
      </c>
      <c r="AC298" s="42">
        <f t="shared" si="116"/>
        <v>159523.42499999999</v>
      </c>
      <c r="AD298" s="31">
        <f>VLOOKUP($A298,kurspris!$A$1:$Q$835,3,FALSE)</f>
        <v>0</v>
      </c>
      <c r="AE298" s="31">
        <f>VLOOKUP($A298,kurspris!$A$1:$Q$835,4,FALSE)</f>
        <v>0</v>
      </c>
      <c r="AF298" s="31">
        <f>VLOOKUP($A298,kurspris!$A$1:$Q$835,5,FALSE)</f>
        <v>1</v>
      </c>
      <c r="AG298" s="31">
        <f>VLOOKUP($A298,kurspris!$A$1:$Q$835,6,FALSE)</f>
        <v>0</v>
      </c>
      <c r="AH298" s="31">
        <f>VLOOKUP($A298,kurspris!$A$1:$Q$835,7,FALSE)</f>
        <v>0</v>
      </c>
      <c r="AI298" s="31">
        <f>VLOOKUP($A298,kurspris!$A$1:$Q$835,8,FALSE)</f>
        <v>0</v>
      </c>
      <c r="AJ298" s="31">
        <f>VLOOKUP($A298,kurspris!$A$1:$Q$835,9,FALSE)</f>
        <v>0</v>
      </c>
      <c r="AK298" s="31">
        <f>VLOOKUP($A298,kurspris!$A$1:$Q$835,10,FALSE)</f>
        <v>0</v>
      </c>
      <c r="AL298" s="31">
        <f>VLOOKUP($A298,kurspris!$A$1:$Q$835,11,FALSE)</f>
        <v>0</v>
      </c>
      <c r="AM298" s="31">
        <f>VLOOKUP($A298,kurspris!$A$1:$Q$835,12,FALSE)</f>
        <v>0</v>
      </c>
      <c r="AN298" s="31">
        <f>VLOOKUP($A298,kurspris!$A$1:$Q$835,13,FALSE)</f>
        <v>0</v>
      </c>
      <c r="AO298" s="31">
        <f>VLOOKUP($A298,kurspris!$A$1:$Q$835,14,FALSE)</f>
        <v>0</v>
      </c>
      <c r="AP298" s="39" t="s">
        <v>2204</v>
      </c>
      <c r="AQ298"/>
      <c r="AR298" s="31">
        <f t="shared" si="117"/>
        <v>0</v>
      </c>
      <c r="AS298" s="255">
        <f t="shared" si="118"/>
        <v>0</v>
      </c>
      <c r="AT298" s="31">
        <f t="shared" si="119"/>
        <v>0</v>
      </c>
      <c r="AU298" s="255">
        <f t="shared" si="120"/>
        <v>0</v>
      </c>
      <c r="AV298" s="31">
        <f t="shared" si="121"/>
        <v>1.5</v>
      </c>
      <c r="AW298" s="31">
        <f t="shared" si="122"/>
        <v>1.2749999999999999</v>
      </c>
      <c r="AX298" s="31">
        <f t="shared" si="123"/>
        <v>0</v>
      </c>
      <c r="AY298" s="255">
        <f t="shared" si="124"/>
        <v>0</v>
      </c>
      <c r="AZ298" s="232">
        <f t="shared" si="125"/>
        <v>0</v>
      </c>
      <c r="BA298" s="255">
        <f t="shared" si="126"/>
        <v>0</v>
      </c>
      <c r="BB298" s="31">
        <f t="shared" si="127"/>
        <v>0</v>
      </c>
      <c r="BC298" s="255">
        <f t="shared" si="128"/>
        <v>0</v>
      </c>
      <c r="BD298" s="31">
        <f t="shared" si="129"/>
        <v>0</v>
      </c>
      <c r="BE298" s="255">
        <f t="shared" si="130"/>
        <v>0</v>
      </c>
      <c r="BF298" s="31">
        <f t="shared" si="131"/>
        <v>0</v>
      </c>
      <c r="BG298" s="255">
        <f t="shared" si="132"/>
        <v>0</v>
      </c>
      <c r="BH298" s="31">
        <f t="shared" si="133"/>
        <v>0</v>
      </c>
      <c r="BI298" s="255">
        <f t="shared" si="134"/>
        <v>0</v>
      </c>
      <c r="BJ298" s="31">
        <f t="shared" si="135"/>
        <v>0</v>
      </c>
      <c r="BK298" s="31">
        <f t="shared" si="136"/>
        <v>0</v>
      </c>
      <c r="BL298" s="255">
        <f t="shared" si="137"/>
        <v>0</v>
      </c>
      <c r="BM298" s="31">
        <f t="shared" si="138"/>
        <v>0</v>
      </c>
      <c r="BN298" s="255">
        <f t="shared" si="139"/>
        <v>0</v>
      </c>
    </row>
    <row r="299" spans="1:66" x14ac:dyDescent="0.25">
      <c r="A299" t="s">
        <v>1586</v>
      </c>
      <c r="B299" s="186" t="str">
        <f>VLOOKUP(A299,kurspris!$A$1:$B$877,2,FALSE)</f>
        <v>Idrott och hälsa 1</v>
      </c>
      <c r="C299"/>
      <c r="D299" t="s">
        <v>483</v>
      </c>
      <c r="E299" t="s">
        <v>1973</v>
      </c>
      <c r="F299" s="59" t="s">
        <v>1930</v>
      </c>
      <c r="G299" t="s">
        <v>1995</v>
      </c>
      <c r="H299" t="s">
        <v>1910</v>
      </c>
      <c r="I299"/>
      <c r="J299" t="s">
        <v>778</v>
      </c>
      <c r="K299"/>
      <c r="L299">
        <v>100</v>
      </c>
      <c r="M299">
        <v>30</v>
      </c>
      <c r="N299"/>
      <c r="O299"/>
      <c r="P299" s="31">
        <v>1</v>
      </c>
      <c r="Q299" s="232">
        <f t="shared" si="112"/>
        <v>0.5</v>
      </c>
      <c r="R299" s="40">
        <v>0.85</v>
      </c>
      <c r="S299" s="334">
        <f t="shared" si="113"/>
        <v>0.42499999999999999</v>
      </c>
      <c r="T299" s="31">
        <f>VLOOKUP(A299,'Ansvar kurs'!$A$1:$C$1010,2,FALSE)</f>
        <v>2180</v>
      </c>
      <c r="U299" s="31" t="str">
        <f>VLOOKUP(T299,Orgenheter!$A$1:$C$165,2,FALSE)</f>
        <v xml:space="preserve">Pedagogik                     </v>
      </c>
      <c r="V299" s="31" t="str">
        <f>VLOOKUP(T299,Orgenheter!$A$1:$C$165,3,FALSE)</f>
        <v>Sam</v>
      </c>
      <c r="W299" s="37" t="str">
        <f>VLOOKUP(D299,Program!$A$1:$B$34,2,FALSE)</f>
        <v>Ämneslärarprogrammet - Gy</v>
      </c>
      <c r="X299" s="42">
        <f>VLOOKUP(A299,kurspris!$A$1:$Q$798,15,FALSE)</f>
        <v>45034</v>
      </c>
      <c r="Y299" s="42">
        <f>VLOOKUP(A299,kurspris!$A$1:$Q$798,16,FALSE)</f>
        <v>31547</v>
      </c>
      <c r="Z299" s="42">
        <f t="shared" si="114"/>
        <v>35924.474999999999</v>
      </c>
      <c r="AA299" s="42">
        <f>VLOOKUP(A299,kurspris!$A$1:$Q$798,17,FALSE)</f>
        <v>34500</v>
      </c>
      <c r="AB299" s="42">
        <f t="shared" si="115"/>
        <v>17250</v>
      </c>
      <c r="AC299" s="42">
        <f t="shared" si="116"/>
        <v>53174.474999999999</v>
      </c>
      <c r="AD299" s="31">
        <f>VLOOKUP($A299,kurspris!$A$1:$Q$835,3,FALSE)</f>
        <v>0</v>
      </c>
      <c r="AE299" s="31">
        <f>VLOOKUP($A299,kurspris!$A$1:$Q$835,4,FALSE)</f>
        <v>0</v>
      </c>
      <c r="AF299" s="31">
        <f>VLOOKUP($A299,kurspris!$A$1:$Q$835,5,FALSE)</f>
        <v>1</v>
      </c>
      <c r="AG299" s="31">
        <f>VLOOKUP($A299,kurspris!$A$1:$Q$835,6,FALSE)</f>
        <v>0</v>
      </c>
      <c r="AH299" s="31">
        <f>VLOOKUP($A299,kurspris!$A$1:$Q$835,7,FALSE)</f>
        <v>0</v>
      </c>
      <c r="AI299" s="31">
        <f>VLOOKUP($A299,kurspris!$A$1:$Q$835,8,FALSE)</f>
        <v>0</v>
      </c>
      <c r="AJ299" s="31">
        <f>VLOOKUP($A299,kurspris!$A$1:$Q$835,9,FALSE)</f>
        <v>0</v>
      </c>
      <c r="AK299" s="31">
        <f>VLOOKUP($A299,kurspris!$A$1:$Q$835,10,FALSE)</f>
        <v>0</v>
      </c>
      <c r="AL299" s="31">
        <f>VLOOKUP($A299,kurspris!$A$1:$Q$835,11,FALSE)</f>
        <v>0</v>
      </c>
      <c r="AM299" s="31">
        <f>VLOOKUP($A299,kurspris!$A$1:$Q$835,12,FALSE)</f>
        <v>0</v>
      </c>
      <c r="AN299" s="31">
        <f>VLOOKUP($A299,kurspris!$A$1:$Q$835,13,FALSE)</f>
        <v>0</v>
      </c>
      <c r="AO299" s="31">
        <f>VLOOKUP($A299,kurspris!$A$1:$Q$835,14,FALSE)</f>
        <v>0</v>
      </c>
      <c r="AP299" s="39" t="s">
        <v>2204</v>
      </c>
      <c r="AQ299"/>
      <c r="AR299" s="31">
        <f t="shared" si="117"/>
        <v>0</v>
      </c>
      <c r="AS299" s="255">
        <f t="shared" si="118"/>
        <v>0</v>
      </c>
      <c r="AT299" s="31">
        <f t="shared" si="119"/>
        <v>0</v>
      </c>
      <c r="AU299" s="255">
        <f t="shared" si="120"/>
        <v>0</v>
      </c>
      <c r="AV299" s="31">
        <f t="shared" si="121"/>
        <v>0.5</v>
      </c>
      <c r="AW299" s="31">
        <f t="shared" si="122"/>
        <v>0.42499999999999999</v>
      </c>
      <c r="AX299" s="31">
        <f t="shared" si="123"/>
        <v>0</v>
      </c>
      <c r="AY299" s="255">
        <f t="shared" si="124"/>
        <v>0</v>
      </c>
      <c r="AZ299" s="232">
        <f t="shared" si="125"/>
        <v>0</v>
      </c>
      <c r="BA299" s="255">
        <f t="shared" si="126"/>
        <v>0</v>
      </c>
      <c r="BB299" s="31">
        <f t="shared" si="127"/>
        <v>0</v>
      </c>
      <c r="BC299" s="255">
        <f t="shared" si="128"/>
        <v>0</v>
      </c>
      <c r="BD299" s="31">
        <f t="shared" si="129"/>
        <v>0</v>
      </c>
      <c r="BE299" s="255">
        <f t="shared" si="130"/>
        <v>0</v>
      </c>
      <c r="BF299" s="31">
        <f t="shared" si="131"/>
        <v>0</v>
      </c>
      <c r="BG299" s="255">
        <f t="shared" si="132"/>
        <v>0</v>
      </c>
      <c r="BH299" s="31">
        <f t="shared" si="133"/>
        <v>0</v>
      </c>
      <c r="BI299" s="255">
        <f t="shared" si="134"/>
        <v>0</v>
      </c>
      <c r="BJ299" s="31">
        <f t="shared" si="135"/>
        <v>0</v>
      </c>
      <c r="BK299" s="31">
        <f t="shared" si="136"/>
        <v>0</v>
      </c>
      <c r="BL299" s="255">
        <f t="shared" si="137"/>
        <v>0</v>
      </c>
      <c r="BM299" s="31">
        <f t="shared" si="138"/>
        <v>0</v>
      </c>
      <c r="BN299" s="255">
        <f t="shared" si="139"/>
        <v>0</v>
      </c>
    </row>
    <row r="300" spans="1:66" x14ac:dyDescent="0.25">
      <c r="A300" t="s">
        <v>1586</v>
      </c>
      <c r="B300" s="186" t="str">
        <f>VLOOKUP(A300,kurspris!$A$1:$B$877,2,FALSE)</f>
        <v>Idrott och hälsa 1</v>
      </c>
      <c r="C300"/>
      <c r="D300" t="s">
        <v>483</v>
      </c>
      <c r="E300" t="s">
        <v>1609</v>
      </c>
      <c r="F300" s="59" t="s">
        <v>1930</v>
      </c>
      <c r="G300" t="s">
        <v>1995</v>
      </c>
      <c r="H300" t="s">
        <v>1910</v>
      </c>
      <c r="I300"/>
      <c r="J300" t="s">
        <v>773</v>
      </c>
      <c r="K300"/>
      <c r="L300">
        <v>100</v>
      </c>
      <c r="M300">
        <v>30</v>
      </c>
      <c r="N300"/>
      <c r="O300"/>
      <c r="P300" s="31">
        <v>0</v>
      </c>
      <c r="Q300" s="232">
        <f t="shared" si="112"/>
        <v>0</v>
      </c>
      <c r="R300" s="40">
        <v>0.85</v>
      </c>
      <c r="S300" s="334">
        <f t="shared" si="113"/>
        <v>0</v>
      </c>
      <c r="T300" s="31">
        <f>VLOOKUP(A300,'Ansvar kurs'!$A$1:$C$1010,2,FALSE)</f>
        <v>2180</v>
      </c>
      <c r="U300" s="31" t="str">
        <f>VLOOKUP(T300,Orgenheter!$A$1:$C$165,2,FALSE)</f>
        <v xml:space="preserve">Pedagogik                     </v>
      </c>
      <c r="V300" s="31" t="str">
        <f>VLOOKUP(T300,Orgenheter!$A$1:$C$165,3,FALSE)</f>
        <v>Sam</v>
      </c>
      <c r="W300" s="37" t="str">
        <f>VLOOKUP(D300,Program!$A$1:$B$34,2,FALSE)</f>
        <v>Ämneslärarprogrammet - Gy</v>
      </c>
      <c r="X300" s="42">
        <f>VLOOKUP(A300,kurspris!$A$1:$Q$798,15,FALSE)</f>
        <v>45034</v>
      </c>
      <c r="Y300" s="42">
        <f>VLOOKUP(A300,kurspris!$A$1:$Q$798,16,FALSE)</f>
        <v>31547</v>
      </c>
      <c r="Z300" s="42">
        <f t="shared" si="114"/>
        <v>0</v>
      </c>
      <c r="AA300" s="42">
        <f>VLOOKUP(A300,kurspris!$A$1:$Q$798,17,FALSE)</f>
        <v>34500</v>
      </c>
      <c r="AB300" s="42">
        <f t="shared" si="115"/>
        <v>0</v>
      </c>
      <c r="AC300" s="42">
        <f t="shared" si="116"/>
        <v>0</v>
      </c>
      <c r="AD300" s="31">
        <f>VLOOKUP($A300,kurspris!$A$1:$Q$835,3,FALSE)</f>
        <v>0</v>
      </c>
      <c r="AE300" s="31">
        <f>VLOOKUP($A300,kurspris!$A$1:$Q$835,4,FALSE)</f>
        <v>0</v>
      </c>
      <c r="AF300" s="31">
        <f>VLOOKUP($A300,kurspris!$A$1:$Q$835,5,FALSE)</f>
        <v>1</v>
      </c>
      <c r="AG300" s="31">
        <f>VLOOKUP($A300,kurspris!$A$1:$Q$835,6,FALSE)</f>
        <v>0</v>
      </c>
      <c r="AH300" s="31">
        <f>VLOOKUP($A300,kurspris!$A$1:$Q$835,7,FALSE)</f>
        <v>0</v>
      </c>
      <c r="AI300" s="31">
        <f>VLOOKUP($A300,kurspris!$A$1:$Q$835,8,FALSE)</f>
        <v>0</v>
      </c>
      <c r="AJ300" s="31">
        <f>VLOOKUP($A300,kurspris!$A$1:$Q$835,9,FALSE)</f>
        <v>0</v>
      </c>
      <c r="AK300" s="31">
        <f>VLOOKUP($A300,kurspris!$A$1:$Q$835,10,FALSE)</f>
        <v>0</v>
      </c>
      <c r="AL300" s="31">
        <f>VLOOKUP($A300,kurspris!$A$1:$Q$835,11,FALSE)</f>
        <v>0</v>
      </c>
      <c r="AM300" s="31">
        <f>VLOOKUP($A300,kurspris!$A$1:$Q$835,12,FALSE)</f>
        <v>0</v>
      </c>
      <c r="AN300" s="31">
        <f>VLOOKUP($A300,kurspris!$A$1:$Q$835,13,FALSE)</f>
        <v>0</v>
      </c>
      <c r="AO300" s="31">
        <f>VLOOKUP($A300,kurspris!$A$1:$Q$835,14,FALSE)</f>
        <v>0</v>
      </c>
      <c r="AP300" s="39" t="s">
        <v>2204</v>
      </c>
      <c r="AQ300"/>
      <c r="AR300" s="31">
        <f t="shared" si="117"/>
        <v>0</v>
      </c>
      <c r="AS300" s="255">
        <f t="shared" si="118"/>
        <v>0</v>
      </c>
      <c r="AT300" s="31">
        <f t="shared" si="119"/>
        <v>0</v>
      </c>
      <c r="AU300" s="255">
        <f t="shared" si="120"/>
        <v>0</v>
      </c>
      <c r="AV300" s="31">
        <f t="shared" si="121"/>
        <v>0</v>
      </c>
      <c r="AW300" s="31">
        <f t="shared" si="122"/>
        <v>0</v>
      </c>
      <c r="AX300" s="31">
        <f t="shared" si="123"/>
        <v>0</v>
      </c>
      <c r="AY300" s="255">
        <f t="shared" si="124"/>
        <v>0</v>
      </c>
      <c r="AZ300" s="232">
        <f t="shared" si="125"/>
        <v>0</v>
      </c>
      <c r="BA300" s="255">
        <f t="shared" si="126"/>
        <v>0</v>
      </c>
      <c r="BB300" s="31">
        <f t="shared" si="127"/>
        <v>0</v>
      </c>
      <c r="BC300" s="255">
        <f t="shared" si="128"/>
        <v>0</v>
      </c>
      <c r="BD300" s="31">
        <f t="shared" si="129"/>
        <v>0</v>
      </c>
      <c r="BE300" s="255">
        <f t="shared" si="130"/>
        <v>0</v>
      </c>
      <c r="BF300" s="31">
        <f t="shared" si="131"/>
        <v>0</v>
      </c>
      <c r="BG300" s="255">
        <f t="shared" si="132"/>
        <v>0</v>
      </c>
      <c r="BH300" s="31">
        <f t="shared" si="133"/>
        <v>0</v>
      </c>
      <c r="BI300" s="255">
        <f t="shared" si="134"/>
        <v>0</v>
      </c>
      <c r="BJ300" s="31">
        <f t="shared" si="135"/>
        <v>0</v>
      </c>
      <c r="BK300" s="31">
        <f t="shared" si="136"/>
        <v>0</v>
      </c>
      <c r="BL300" s="255">
        <f t="shared" si="137"/>
        <v>0</v>
      </c>
      <c r="BM300" s="31">
        <f t="shared" si="138"/>
        <v>0</v>
      </c>
      <c r="BN300" s="255">
        <f t="shared" si="139"/>
        <v>0</v>
      </c>
    </row>
    <row r="301" spans="1:66" x14ac:dyDescent="0.25">
      <c r="A301" t="s">
        <v>1586</v>
      </c>
      <c r="B301" s="186" t="str">
        <f>VLOOKUP(A301,kurspris!$A$1:$B$877,2,FALSE)</f>
        <v>Idrott och hälsa 1</v>
      </c>
      <c r="C301"/>
      <c r="D301" t="s">
        <v>483</v>
      </c>
      <c r="E301" t="s">
        <v>1788</v>
      </c>
      <c r="F301" s="59" t="s">
        <v>1930</v>
      </c>
      <c r="G301" t="s">
        <v>1995</v>
      </c>
      <c r="H301" t="s">
        <v>1910</v>
      </c>
      <c r="I301"/>
      <c r="J301" t="s">
        <v>773</v>
      </c>
      <c r="K301"/>
      <c r="L301">
        <v>100</v>
      </c>
      <c r="M301">
        <v>30</v>
      </c>
      <c r="N301"/>
      <c r="O301"/>
      <c r="P301" s="31">
        <v>20</v>
      </c>
      <c r="Q301" s="232">
        <f t="shared" si="112"/>
        <v>10</v>
      </c>
      <c r="R301" s="40">
        <v>0.85</v>
      </c>
      <c r="S301" s="334">
        <f t="shared" si="113"/>
        <v>8.5</v>
      </c>
      <c r="T301" s="31">
        <f>VLOOKUP(A301,'Ansvar kurs'!$A$1:$C$1010,2,FALSE)</f>
        <v>2180</v>
      </c>
      <c r="U301" s="31" t="str">
        <f>VLOOKUP(T301,Orgenheter!$A$1:$C$165,2,FALSE)</f>
        <v xml:space="preserve">Pedagogik                     </v>
      </c>
      <c r="V301" s="31" t="str">
        <f>VLOOKUP(T301,Orgenheter!$A$1:$C$165,3,FALSE)</f>
        <v>Sam</v>
      </c>
      <c r="W301" s="37" t="str">
        <f>VLOOKUP(D301,Program!$A$1:$B$34,2,FALSE)</f>
        <v>Ämneslärarprogrammet - Gy</v>
      </c>
      <c r="X301" s="42">
        <f>VLOOKUP(A301,kurspris!$A$1:$Q$798,15,FALSE)</f>
        <v>45034</v>
      </c>
      <c r="Y301" s="42">
        <f>VLOOKUP(A301,kurspris!$A$1:$Q$798,16,FALSE)</f>
        <v>31547</v>
      </c>
      <c r="Z301" s="42">
        <f t="shared" si="114"/>
        <v>718489.5</v>
      </c>
      <c r="AA301" s="42">
        <f>VLOOKUP(A301,kurspris!$A$1:$Q$798,17,FALSE)</f>
        <v>34500</v>
      </c>
      <c r="AB301" s="42">
        <f t="shared" si="115"/>
        <v>345000</v>
      </c>
      <c r="AC301" s="42">
        <f t="shared" si="116"/>
        <v>1063489.5</v>
      </c>
      <c r="AD301" s="31">
        <f>VLOOKUP($A301,kurspris!$A$1:$Q$835,3,FALSE)</f>
        <v>0</v>
      </c>
      <c r="AE301" s="31">
        <f>VLOOKUP($A301,kurspris!$A$1:$Q$835,4,FALSE)</f>
        <v>0</v>
      </c>
      <c r="AF301" s="31">
        <f>VLOOKUP($A301,kurspris!$A$1:$Q$835,5,FALSE)</f>
        <v>1</v>
      </c>
      <c r="AG301" s="31">
        <f>VLOOKUP($A301,kurspris!$A$1:$Q$835,6,FALSE)</f>
        <v>0</v>
      </c>
      <c r="AH301" s="31">
        <f>VLOOKUP($A301,kurspris!$A$1:$Q$835,7,FALSE)</f>
        <v>0</v>
      </c>
      <c r="AI301" s="31">
        <f>VLOOKUP($A301,kurspris!$A$1:$Q$835,8,FALSE)</f>
        <v>0</v>
      </c>
      <c r="AJ301" s="31">
        <f>VLOOKUP($A301,kurspris!$A$1:$Q$835,9,FALSE)</f>
        <v>0</v>
      </c>
      <c r="AK301" s="31">
        <f>VLOOKUP($A301,kurspris!$A$1:$Q$835,10,FALSE)</f>
        <v>0</v>
      </c>
      <c r="AL301" s="31">
        <f>VLOOKUP($A301,kurspris!$A$1:$Q$835,11,FALSE)</f>
        <v>0</v>
      </c>
      <c r="AM301" s="31">
        <f>VLOOKUP($A301,kurspris!$A$1:$Q$835,12,FALSE)</f>
        <v>0</v>
      </c>
      <c r="AN301" s="31">
        <f>VLOOKUP($A301,kurspris!$A$1:$Q$835,13,FALSE)</f>
        <v>0</v>
      </c>
      <c r="AO301" s="31">
        <f>VLOOKUP($A301,kurspris!$A$1:$Q$835,14,FALSE)</f>
        <v>0</v>
      </c>
      <c r="AP301" s="39" t="s">
        <v>2204</v>
      </c>
      <c r="AQ301"/>
      <c r="AR301" s="31">
        <f t="shared" si="117"/>
        <v>0</v>
      </c>
      <c r="AS301" s="255">
        <f t="shared" si="118"/>
        <v>0</v>
      </c>
      <c r="AT301" s="31">
        <f t="shared" si="119"/>
        <v>0</v>
      </c>
      <c r="AU301" s="255">
        <f t="shared" si="120"/>
        <v>0</v>
      </c>
      <c r="AV301" s="31">
        <f t="shared" si="121"/>
        <v>10</v>
      </c>
      <c r="AW301" s="31">
        <f t="shared" si="122"/>
        <v>8.5</v>
      </c>
      <c r="AX301" s="31">
        <f t="shared" si="123"/>
        <v>0</v>
      </c>
      <c r="AY301" s="255">
        <f t="shared" si="124"/>
        <v>0</v>
      </c>
      <c r="AZ301" s="232">
        <f t="shared" si="125"/>
        <v>0</v>
      </c>
      <c r="BA301" s="255">
        <f t="shared" si="126"/>
        <v>0</v>
      </c>
      <c r="BB301" s="31">
        <f t="shared" si="127"/>
        <v>0</v>
      </c>
      <c r="BC301" s="255">
        <f t="shared" si="128"/>
        <v>0</v>
      </c>
      <c r="BD301" s="31">
        <f t="shared" si="129"/>
        <v>0</v>
      </c>
      <c r="BE301" s="255">
        <f t="shared" si="130"/>
        <v>0</v>
      </c>
      <c r="BF301" s="31">
        <f t="shared" si="131"/>
        <v>0</v>
      </c>
      <c r="BG301" s="255">
        <f t="shared" si="132"/>
        <v>0</v>
      </c>
      <c r="BH301" s="31">
        <f t="shared" si="133"/>
        <v>0</v>
      </c>
      <c r="BI301" s="255">
        <f t="shared" si="134"/>
        <v>0</v>
      </c>
      <c r="BJ301" s="31">
        <f t="shared" si="135"/>
        <v>0</v>
      </c>
      <c r="BK301" s="31">
        <f t="shared" si="136"/>
        <v>0</v>
      </c>
      <c r="BL301" s="255">
        <f t="shared" si="137"/>
        <v>0</v>
      </c>
      <c r="BM301" s="31">
        <f t="shared" si="138"/>
        <v>0</v>
      </c>
      <c r="BN301" s="255">
        <f t="shared" si="139"/>
        <v>0</v>
      </c>
    </row>
    <row r="302" spans="1:66" x14ac:dyDescent="0.25">
      <c r="A302" s="18" t="s">
        <v>1822</v>
      </c>
      <c r="B302" s="186" t="str">
        <f>VLOOKUP(A302,kurspris!$A$1:$B$877,2,FALSE)</f>
        <v>Idrott och hälsa 3</v>
      </c>
      <c r="C302" s="37"/>
      <c r="D302" t="s">
        <v>117</v>
      </c>
      <c r="E302"/>
      <c r="F302" s="59" t="s">
        <v>1930</v>
      </c>
      <c r="G302"/>
      <c r="H302"/>
      <c r="I302" t="s">
        <v>1634</v>
      </c>
      <c r="L302">
        <v>100</v>
      </c>
      <c r="M302">
        <v>30</v>
      </c>
      <c r="P302" s="31">
        <v>3</v>
      </c>
      <c r="Q302" s="232">
        <f t="shared" si="112"/>
        <v>1.5</v>
      </c>
      <c r="R302" s="40">
        <v>0.8</v>
      </c>
      <c r="S302" s="334">
        <f t="shared" si="113"/>
        <v>1.2000000000000002</v>
      </c>
      <c r="T302" s="31">
        <f>VLOOKUP(A302,'Ansvar kurs'!$A$1:$C$1010,2,FALSE)</f>
        <v>2180</v>
      </c>
      <c r="U302" s="31" t="str">
        <f>VLOOKUP(T302,Orgenheter!$A$1:$C$165,2,FALSE)</f>
        <v xml:space="preserve">Pedagogik                     </v>
      </c>
      <c r="V302" s="31" t="str">
        <f>VLOOKUP(T302,Orgenheter!$A$1:$C$165,3,FALSE)</f>
        <v>Sam</v>
      </c>
      <c r="W302" s="37" t="str">
        <f>VLOOKUP(D302,Program!$A$1:$B$34,2,FALSE)</f>
        <v>Fristående och övriga kurser</v>
      </c>
      <c r="X302" s="42">
        <f>VLOOKUP(A302,kurspris!$A$1:$Q$798,15,FALSE)</f>
        <v>45034</v>
      </c>
      <c r="Y302" s="42">
        <f>VLOOKUP(A302,kurspris!$A$1:$Q$798,16,FALSE)</f>
        <v>31547</v>
      </c>
      <c r="Z302" s="42">
        <f t="shared" si="114"/>
        <v>105407.40000000001</v>
      </c>
      <c r="AA302" s="42">
        <f>VLOOKUP(A302,kurspris!$A$1:$Q$798,17,FALSE)</f>
        <v>34500</v>
      </c>
      <c r="AB302" s="42">
        <f t="shared" si="115"/>
        <v>51750</v>
      </c>
      <c r="AC302" s="42">
        <f t="shared" si="116"/>
        <v>157157.40000000002</v>
      </c>
      <c r="AD302" s="31">
        <f>VLOOKUP($A302,kurspris!$A$1:$Q$835,3,FALSE)</f>
        <v>0</v>
      </c>
      <c r="AE302" s="31">
        <f>VLOOKUP($A302,kurspris!$A$1:$Q$835,4,FALSE)</f>
        <v>0</v>
      </c>
      <c r="AF302" s="31">
        <f>VLOOKUP($A302,kurspris!$A$1:$Q$835,5,FALSE)</f>
        <v>1</v>
      </c>
      <c r="AG302" s="31">
        <f>VLOOKUP($A302,kurspris!$A$1:$Q$835,6,FALSE)</f>
        <v>0</v>
      </c>
      <c r="AH302" s="31">
        <f>VLOOKUP($A302,kurspris!$A$1:$Q$835,7,FALSE)</f>
        <v>0</v>
      </c>
      <c r="AI302" s="31">
        <f>VLOOKUP($A302,kurspris!$A$1:$Q$835,8,FALSE)</f>
        <v>0</v>
      </c>
      <c r="AJ302" s="31">
        <f>VLOOKUP($A302,kurspris!$A$1:$Q$835,9,FALSE)</f>
        <v>0</v>
      </c>
      <c r="AK302" s="31">
        <f>VLOOKUP($A302,kurspris!$A$1:$Q$835,10,FALSE)</f>
        <v>0</v>
      </c>
      <c r="AL302" s="31">
        <f>VLOOKUP($A302,kurspris!$A$1:$Q$835,11,FALSE)</f>
        <v>0</v>
      </c>
      <c r="AM302" s="31">
        <f>VLOOKUP($A302,kurspris!$A$1:$Q$835,12,FALSE)</f>
        <v>0</v>
      </c>
      <c r="AN302" s="31">
        <f>VLOOKUP($A302,kurspris!$A$1:$Q$835,13,FALSE)</f>
        <v>0</v>
      </c>
      <c r="AO302" s="31">
        <f>VLOOKUP($A302,kurspris!$A$1:$Q$835,14,FALSE)</f>
        <v>0</v>
      </c>
      <c r="AP302" s="39" t="s">
        <v>2232</v>
      </c>
      <c r="AQ302" s="39" t="s">
        <v>2095</v>
      </c>
      <c r="AR302" s="31">
        <f t="shared" si="117"/>
        <v>0</v>
      </c>
      <c r="AS302" s="255">
        <f t="shared" si="118"/>
        <v>0</v>
      </c>
      <c r="AT302" s="31">
        <f t="shared" si="119"/>
        <v>0</v>
      </c>
      <c r="AU302" s="255">
        <f t="shared" si="120"/>
        <v>0</v>
      </c>
      <c r="AV302" s="31">
        <f t="shared" si="121"/>
        <v>1.5</v>
      </c>
      <c r="AW302" s="31">
        <f t="shared" si="122"/>
        <v>1.2000000000000002</v>
      </c>
      <c r="AX302" s="31">
        <f t="shared" si="123"/>
        <v>0</v>
      </c>
      <c r="AY302" s="255">
        <f t="shared" si="124"/>
        <v>0</v>
      </c>
      <c r="AZ302" s="232">
        <f t="shared" si="125"/>
        <v>0</v>
      </c>
      <c r="BA302" s="255">
        <f t="shared" si="126"/>
        <v>0</v>
      </c>
      <c r="BB302" s="31">
        <f t="shared" si="127"/>
        <v>0</v>
      </c>
      <c r="BC302" s="255">
        <f t="shared" si="128"/>
        <v>0</v>
      </c>
      <c r="BD302" s="31">
        <f t="shared" si="129"/>
        <v>0</v>
      </c>
      <c r="BE302" s="255">
        <f t="shared" si="130"/>
        <v>0</v>
      </c>
      <c r="BF302" s="31">
        <f t="shared" si="131"/>
        <v>0</v>
      </c>
      <c r="BG302" s="255">
        <f t="shared" si="132"/>
        <v>0</v>
      </c>
      <c r="BH302" s="31">
        <f t="shared" si="133"/>
        <v>0</v>
      </c>
      <c r="BI302" s="255">
        <f t="shared" si="134"/>
        <v>0</v>
      </c>
      <c r="BJ302" s="31">
        <f t="shared" si="135"/>
        <v>0</v>
      </c>
      <c r="BK302" s="31">
        <f t="shared" si="136"/>
        <v>0</v>
      </c>
      <c r="BL302" s="255">
        <f t="shared" si="137"/>
        <v>0</v>
      </c>
      <c r="BM302" s="31">
        <f t="shared" si="138"/>
        <v>0</v>
      </c>
      <c r="BN302" s="255">
        <f t="shared" si="139"/>
        <v>0</v>
      </c>
    </row>
    <row r="303" spans="1:66" x14ac:dyDescent="0.25">
      <c r="A303" t="s">
        <v>1822</v>
      </c>
      <c r="B303" s="186" t="str">
        <f>VLOOKUP(A303,kurspris!$A$1:$B$877,2,FALSE)</f>
        <v>Idrott och hälsa 3</v>
      </c>
      <c r="C303"/>
      <c r="D303" t="s">
        <v>483</v>
      </c>
      <c r="E303" t="s">
        <v>1976</v>
      </c>
      <c r="F303" s="59" t="s">
        <v>1930</v>
      </c>
      <c r="G303" t="s">
        <v>1995</v>
      </c>
      <c r="H303" t="s">
        <v>1910</v>
      </c>
      <c r="I303"/>
      <c r="J303" t="s">
        <v>771</v>
      </c>
      <c r="K303"/>
      <c r="L303">
        <v>100</v>
      </c>
      <c r="M303">
        <v>30</v>
      </c>
      <c r="N303"/>
      <c r="O303"/>
      <c r="P303" s="31">
        <v>1</v>
      </c>
      <c r="Q303" s="232">
        <f t="shared" si="112"/>
        <v>0.5</v>
      </c>
      <c r="R303" s="40">
        <v>0.85</v>
      </c>
      <c r="S303" s="334">
        <f t="shared" si="113"/>
        <v>0.42499999999999999</v>
      </c>
      <c r="T303" s="31">
        <f>VLOOKUP(A303,'Ansvar kurs'!$A$1:$C$1010,2,FALSE)</f>
        <v>2180</v>
      </c>
      <c r="U303" s="31" t="str">
        <f>VLOOKUP(T303,Orgenheter!$A$1:$C$165,2,FALSE)</f>
        <v xml:space="preserve">Pedagogik                     </v>
      </c>
      <c r="V303" s="31" t="str">
        <f>VLOOKUP(T303,Orgenheter!$A$1:$C$165,3,FALSE)</f>
        <v>Sam</v>
      </c>
      <c r="W303" s="37" t="str">
        <f>VLOOKUP(D303,Program!$A$1:$B$34,2,FALSE)</f>
        <v>Ämneslärarprogrammet - Gy</v>
      </c>
      <c r="X303" s="42">
        <f>VLOOKUP(A303,kurspris!$A$1:$Q$798,15,FALSE)</f>
        <v>45034</v>
      </c>
      <c r="Y303" s="42">
        <f>VLOOKUP(A303,kurspris!$A$1:$Q$798,16,FALSE)</f>
        <v>31547</v>
      </c>
      <c r="Z303" s="42">
        <f t="shared" si="114"/>
        <v>35924.474999999999</v>
      </c>
      <c r="AA303" s="42">
        <f>VLOOKUP(A303,kurspris!$A$1:$Q$798,17,FALSE)</f>
        <v>34500</v>
      </c>
      <c r="AB303" s="42">
        <f t="shared" si="115"/>
        <v>17250</v>
      </c>
      <c r="AC303" s="42">
        <f t="shared" si="116"/>
        <v>53174.474999999999</v>
      </c>
      <c r="AD303" s="31">
        <f>VLOOKUP($A303,kurspris!$A$1:$Q$835,3,FALSE)</f>
        <v>0</v>
      </c>
      <c r="AE303" s="31">
        <f>VLOOKUP($A303,kurspris!$A$1:$Q$835,4,FALSE)</f>
        <v>0</v>
      </c>
      <c r="AF303" s="31">
        <f>VLOOKUP($A303,kurspris!$A$1:$Q$835,5,FALSE)</f>
        <v>1</v>
      </c>
      <c r="AG303" s="31">
        <f>VLOOKUP($A303,kurspris!$A$1:$Q$835,6,FALSE)</f>
        <v>0</v>
      </c>
      <c r="AH303" s="31">
        <f>VLOOKUP($A303,kurspris!$A$1:$Q$835,7,FALSE)</f>
        <v>0</v>
      </c>
      <c r="AI303" s="31">
        <f>VLOOKUP($A303,kurspris!$A$1:$Q$835,8,FALSE)</f>
        <v>0</v>
      </c>
      <c r="AJ303" s="31">
        <f>VLOOKUP($A303,kurspris!$A$1:$Q$835,9,FALSE)</f>
        <v>0</v>
      </c>
      <c r="AK303" s="31">
        <f>VLOOKUP($A303,kurspris!$A$1:$Q$835,10,FALSE)</f>
        <v>0</v>
      </c>
      <c r="AL303" s="31">
        <f>VLOOKUP($A303,kurspris!$A$1:$Q$835,11,FALSE)</f>
        <v>0</v>
      </c>
      <c r="AM303" s="31">
        <f>VLOOKUP($A303,kurspris!$A$1:$Q$835,12,FALSE)</f>
        <v>0</v>
      </c>
      <c r="AN303" s="31">
        <f>VLOOKUP($A303,kurspris!$A$1:$Q$835,13,FALSE)</f>
        <v>0</v>
      </c>
      <c r="AO303" s="31">
        <f>VLOOKUP($A303,kurspris!$A$1:$Q$835,14,FALSE)</f>
        <v>0</v>
      </c>
      <c r="AP303" s="39" t="s">
        <v>2204</v>
      </c>
      <c r="AQ303"/>
      <c r="AR303" s="31">
        <f t="shared" si="117"/>
        <v>0</v>
      </c>
      <c r="AS303" s="255">
        <f t="shared" si="118"/>
        <v>0</v>
      </c>
      <c r="AT303" s="31">
        <f t="shared" si="119"/>
        <v>0</v>
      </c>
      <c r="AU303" s="255">
        <f t="shared" si="120"/>
        <v>0</v>
      </c>
      <c r="AV303" s="31">
        <f t="shared" si="121"/>
        <v>0.5</v>
      </c>
      <c r="AW303" s="31">
        <f t="shared" si="122"/>
        <v>0.42499999999999999</v>
      </c>
      <c r="AX303" s="31">
        <f t="shared" si="123"/>
        <v>0</v>
      </c>
      <c r="AY303" s="255">
        <f t="shared" si="124"/>
        <v>0</v>
      </c>
      <c r="AZ303" s="232">
        <f t="shared" si="125"/>
        <v>0</v>
      </c>
      <c r="BA303" s="255">
        <f t="shared" si="126"/>
        <v>0</v>
      </c>
      <c r="BB303" s="31">
        <f t="shared" si="127"/>
        <v>0</v>
      </c>
      <c r="BC303" s="255">
        <f t="shared" si="128"/>
        <v>0</v>
      </c>
      <c r="BD303" s="31">
        <f t="shared" si="129"/>
        <v>0</v>
      </c>
      <c r="BE303" s="255">
        <f t="shared" si="130"/>
        <v>0</v>
      </c>
      <c r="BF303" s="31">
        <f t="shared" si="131"/>
        <v>0</v>
      </c>
      <c r="BG303" s="255">
        <f t="shared" si="132"/>
        <v>0</v>
      </c>
      <c r="BH303" s="31">
        <f t="shared" si="133"/>
        <v>0</v>
      </c>
      <c r="BI303" s="255">
        <f t="shared" si="134"/>
        <v>0</v>
      </c>
      <c r="BJ303" s="31">
        <f t="shared" si="135"/>
        <v>0</v>
      </c>
      <c r="BK303" s="31">
        <f t="shared" si="136"/>
        <v>0</v>
      </c>
      <c r="BL303" s="255">
        <f t="shared" si="137"/>
        <v>0</v>
      </c>
      <c r="BM303" s="31">
        <f t="shared" si="138"/>
        <v>0</v>
      </c>
      <c r="BN303" s="255">
        <f t="shared" si="139"/>
        <v>0</v>
      </c>
    </row>
    <row r="304" spans="1:66" x14ac:dyDescent="0.25">
      <c r="A304" t="s">
        <v>1822</v>
      </c>
      <c r="B304" s="186" t="str">
        <f>VLOOKUP(A304,kurspris!$A$1:$B$877,2,FALSE)</f>
        <v>Idrott och hälsa 3</v>
      </c>
      <c r="C304"/>
      <c r="D304" t="s">
        <v>483</v>
      </c>
      <c r="E304" t="s">
        <v>1976</v>
      </c>
      <c r="F304" s="59" t="s">
        <v>1930</v>
      </c>
      <c r="G304" t="s">
        <v>1995</v>
      </c>
      <c r="H304" t="s">
        <v>1910</v>
      </c>
      <c r="I304"/>
      <c r="J304" t="s">
        <v>775</v>
      </c>
      <c r="K304"/>
      <c r="L304">
        <v>100</v>
      </c>
      <c r="M304">
        <v>30</v>
      </c>
      <c r="N304"/>
      <c r="O304"/>
      <c r="P304" s="31">
        <v>0</v>
      </c>
      <c r="Q304" s="232">
        <f t="shared" si="112"/>
        <v>0</v>
      </c>
      <c r="R304" s="40">
        <v>0.85</v>
      </c>
      <c r="S304" s="334">
        <f t="shared" si="113"/>
        <v>0</v>
      </c>
      <c r="T304" s="31">
        <f>VLOOKUP(A304,'Ansvar kurs'!$A$1:$C$1010,2,FALSE)</f>
        <v>2180</v>
      </c>
      <c r="U304" s="31" t="str">
        <f>VLOOKUP(T304,Orgenheter!$A$1:$C$165,2,FALSE)</f>
        <v xml:space="preserve">Pedagogik                     </v>
      </c>
      <c r="V304" s="31" t="str">
        <f>VLOOKUP(T304,Orgenheter!$A$1:$C$165,3,FALSE)</f>
        <v>Sam</v>
      </c>
      <c r="W304" s="37" t="str">
        <f>VLOOKUP(D304,Program!$A$1:$B$34,2,FALSE)</f>
        <v>Ämneslärarprogrammet - Gy</v>
      </c>
      <c r="X304" s="42">
        <f>VLOOKUP(A304,kurspris!$A$1:$Q$798,15,FALSE)</f>
        <v>45034</v>
      </c>
      <c r="Y304" s="42">
        <f>VLOOKUP(A304,kurspris!$A$1:$Q$798,16,FALSE)</f>
        <v>31547</v>
      </c>
      <c r="Z304" s="42">
        <f t="shared" si="114"/>
        <v>0</v>
      </c>
      <c r="AA304" s="42">
        <f>VLOOKUP(A304,kurspris!$A$1:$Q$798,17,FALSE)</f>
        <v>34500</v>
      </c>
      <c r="AB304" s="42">
        <f t="shared" si="115"/>
        <v>0</v>
      </c>
      <c r="AC304" s="42">
        <f t="shared" si="116"/>
        <v>0</v>
      </c>
      <c r="AD304" s="31">
        <f>VLOOKUP($A304,kurspris!$A$1:$Q$835,3,FALSE)</f>
        <v>0</v>
      </c>
      <c r="AE304" s="31">
        <f>VLOOKUP($A304,kurspris!$A$1:$Q$835,4,FALSE)</f>
        <v>0</v>
      </c>
      <c r="AF304" s="31">
        <f>VLOOKUP($A304,kurspris!$A$1:$Q$835,5,FALSE)</f>
        <v>1</v>
      </c>
      <c r="AG304" s="31">
        <f>VLOOKUP($A304,kurspris!$A$1:$Q$835,6,FALSE)</f>
        <v>0</v>
      </c>
      <c r="AH304" s="31">
        <f>VLOOKUP($A304,kurspris!$A$1:$Q$835,7,FALSE)</f>
        <v>0</v>
      </c>
      <c r="AI304" s="31">
        <f>VLOOKUP($A304,kurspris!$A$1:$Q$835,8,FALSE)</f>
        <v>0</v>
      </c>
      <c r="AJ304" s="31">
        <f>VLOOKUP($A304,kurspris!$A$1:$Q$835,9,FALSE)</f>
        <v>0</v>
      </c>
      <c r="AK304" s="31">
        <f>VLOOKUP($A304,kurspris!$A$1:$Q$835,10,FALSE)</f>
        <v>0</v>
      </c>
      <c r="AL304" s="31">
        <f>VLOOKUP($A304,kurspris!$A$1:$Q$835,11,FALSE)</f>
        <v>0</v>
      </c>
      <c r="AM304" s="31">
        <f>VLOOKUP($A304,kurspris!$A$1:$Q$835,12,FALSE)</f>
        <v>0</v>
      </c>
      <c r="AN304" s="31">
        <f>VLOOKUP($A304,kurspris!$A$1:$Q$835,13,FALSE)</f>
        <v>0</v>
      </c>
      <c r="AO304" s="31">
        <f>VLOOKUP($A304,kurspris!$A$1:$Q$835,14,FALSE)</f>
        <v>0</v>
      </c>
      <c r="AP304" s="39" t="s">
        <v>2204</v>
      </c>
      <c r="AQ304"/>
      <c r="AR304" s="31">
        <f t="shared" si="117"/>
        <v>0</v>
      </c>
      <c r="AS304" s="255">
        <f t="shared" si="118"/>
        <v>0</v>
      </c>
      <c r="AT304" s="31">
        <f t="shared" si="119"/>
        <v>0</v>
      </c>
      <c r="AU304" s="255">
        <f t="shared" si="120"/>
        <v>0</v>
      </c>
      <c r="AV304" s="31">
        <f t="shared" si="121"/>
        <v>0</v>
      </c>
      <c r="AW304" s="31">
        <f t="shared" si="122"/>
        <v>0</v>
      </c>
      <c r="AX304" s="31">
        <f t="shared" si="123"/>
        <v>0</v>
      </c>
      <c r="AY304" s="255">
        <f t="shared" si="124"/>
        <v>0</v>
      </c>
      <c r="AZ304" s="232">
        <f t="shared" si="125"/>
        <v>0</v>
      </c>
      <c r="BA304" s="255">
        <f t="shared" si="126"/>
        <v>0</v>
      </c>
      <c r="BB304" s="31">
        <f t="shared" si="127"/>
        <v>0</v>
      </c>
      <c r="BC304" s="255">
        <f t="shared" si="128"/>
        <v>0</v>
      </c>
      <c r="BD304" s="31">
        <f t="shared" si="129"/>
        <v>0</v>
      </c>
      <c r="BE304" s="255">
        <f t="shared" si="130"/>
        <v>0</v>
      </c>
      <c r="BF304" s="31">
        <f t="shared" si="131"/>
        <v>0</v>
      </c>
      <c r="BG304" s="255">
        <f t="shared" si="132"/>
        <v>0</v>
      </c>
      <c r="BH304" s="31">
        <f t="shared" si="133"/>
        <v>0</v>
      </c>
      <c r="BI304" s="255">
        <f t="shared" si="134"/>
        <v>0</v>
      </c>
      <c r="BJ304" s="31">
        <f t="shared" si="135"/>
        <v>0</v>
      </c>
      <c r="BK304" s="31">
        <f t="shared" si="136"/>
        <v>0</v>
      </c>
      <c r="BL304" s="255">
        <f t="shared" si="137"/>
        <v>0</v>
      </c>
      <c r="BM304" s="31">
        <f t="shared" si="138"/>
        <v>0</v>
      </c>
      <c r="BN304" s="255">
        <f t="shared" si="139"/>
        <v>0</v>
      </c>
    </row>
    <row r="305" spans="1:66" x14ac:dyDescent="0.25">
      <c r="A305" t="s">
        <v>1822</v>
      </c>
      <c r="B305" s="186" t="str">
        <f>VLOOKUP(A305,kurspris!$A$1:$B$877,2,FALSE)</f>
        <v>Idrott och hälsa 3</v>
      </c>
      <c r="C305"/>
      <c r="D305" t="s">
        <v>483</v>
      </c>
      <c r="E305" t="s">
        <v>1976</v>
      </c>
      <c r="F305" s="59" t="s">
        <v>1930</v>
      </c>
      <c r="G305" t="s">
        <v>1995</v>
      </c>
      <c r="H305" t="s">
        <v>1910</v>
      </c>
      <c r="I305"/>
      <c r="J305" t="s">
        <v>776</v>
      </c>
      <c r="K305"/>
      <c r="L305">
        <v>100</v>
      </c>
      <c r="M305">
        <v>30</v>
      </c>
      <c r="N305"/>
      <c r="O305"/>
      <c r="P305" s="31">
        <v>1</v>
      </c>
      <c r="Q305" s="232">
        <f t="shared" si="112"/>
        <v>0.5</v>
      </c>
      <c r="R305" s="40">
        <v>0.85</v>
      </c>
      <c r="S305" s="334">
        <f t="shared" si="113"/>
        <v>0.42499999999999999</v>
      </c>
      <c r="T305" s="31">
        <f>VLOOKUP(A305,'Ansvar kurs'!$A$1:$C$1010,2,FALSE)</f>
        <v>2180</v>
      </c>
      <c r="U305" s="31" t="str">
        <f>VLOOKUP(T305,Orgenheter!$A$1:$C$165,2,FALSE)</f>
        <v xml:space="preserve">Pedagogik                     </v>
      </c>
      <c r="V305" s="31" t="str">
        <f>VLOOKUP(T305,Orgenheter!$A$1:$C$165,3,FALSE)</f>
        <v>Sam</v>
      </c>
      <c r="W305" s="37" t="str">
        <f>VLOOKUP(D305,Program!$A$1:$B$34,2,FALSE)</f>
        <v>Ämneslärarprogrammet - Gy</v>
      </c>
      <c r="X305" s="42">
        <f>VLOOKUP(A305,kurspris!$A$1:$Q$798,15,FALSE)</f>
        <v>45034</v>
      </c>
      <c r="Y305" s="42">
        <f>VLOOKUP(A305,kurspris!$A$1:$Q$798,16,FALSE)</f>
        <v>31547</v>
      </c>
      <c r="Z305" s="42">
        <f t="shared" si="114"/>
        <v>35924.474999999999</v>
      </c>
      <c r="AA305" s="42">
        <f>VLOOKUP(A305,kurspris!$A$1:$Q$798,17,FALSE)</f>
        <v>34500</v>
      </c>
      <c r="AB305" s="42">
        <f t="shared" si="115"/>
        <v>17250</v>
      </c>
      <c r="AC305" s="42">
        <f t="shared" si="116"/>
        <v>53174.474999999999</v>
      </c>
      <c r="AD305" s="31">
        <f>VLOOKUP($A305,kurspris!$A$1:$Q$835,3,FALSE)</f>
        <v>0</v>
      </c>
      <c r="AE305" s="31">
        <f>VLOOKUP($A305,kurspris!$A$1:$Q$835,4,FALSE)</f>
        <v>0</v>
      </c>
      <c r="AF305" s="31">
        <f>VLOOKUP($A305,kurspris!$A$1:$Q$835,5,FALSE)</f>
        <v>1</v>
      </c>
      <c r="AG305" s="31">
        <f>VLOOKUP($A305,kurspris!$A$1:$Q$835,6,FALSE)</f>
        <v>0</v>
      </c>
      <c r="AH305" s="31">
        <f>VLOOKUP($A305,kurspris!$A$1:$Q$835,7,FALSE)</f>
        <v>0</v>
      </c>
      <c r="AI305" s="31">
        <f>VLOOKUP($A305,kurspris!$A$1:$Q$835,8,FALSE)</f>
        <v>0</v>
      </c>
      <c r="AJ305" s="31">
        <f>VLOOKUP($A305,kurspris!$A$1:$Q$835,9,FALSE)</f>
        <v>0</v>
      </c>
      <c r="AK305" s="31">
        <f>VLOOKUP($A305,kurspris!$A$1:$Q$835,10,FALSE)</f>
        <v>0</v>
      </c>
      <c r="AL305" s="31">
        <f>VLOOKUP($A305,kurspris!$A$1:$Q$835,11,FALSE)</f>
        <v>0</v>
      </c>
      <c r="AM305" s="31">
        <f>VLOOKUP($A305,kurspris!$A$1:$Q$835,12,FALSE)</f>
        <v>0</v>
      </c>
      <c r="AN305" s="31">
        <f>VLOOKUP($A305,kurspris!$A$1:$Q$835,13,FALSE)</f>
        <v>0</v>
      </c>
      <c r="AO305" s="31">
        <f>VLOOKUP($A305,kurspris!$A$1:$Q$835,14,FALSE)</f>
        <v>0</v>
      </c>
      <c r="AP305" s="39" t="s">
        <v>2204</v>
      </c>
      <c r="AQ305"/>
      <c r="AR305" s="31">
        <f t="shared" si="117"/>
        <v>0</v>
      </c>
      <c r="AS305" s="255">
        <f t="shared" si="118"/>
        <v>0</v>
      </c>
      <c r="AT305" s="31">
        <f t="shared" si="119"/>
        <v>0</v>
      </c>
      <c r="AU305" s="255">
        <f t="shared" si="120"/>
        <v>0</v>
      </c>
      <c r="AV305" s="31">
        <f t="shared" si="121"/>
        <v>0.5</v>
      </c>
      <c r="AW305" s="31">
        <f t="shared" si="122"/>
        <v>0.42499999999999999</v>
      </c>
      <c r="AX305" s="31">
        <f t="shared" si="123"/>
        <v>0</v>
      </c>
      <c r="AY305" s="255">
        <f t="shared" si="124"/>
        <v>0</v>
      </c>
      <c r="AZ305" s="232">
        <f t="shared" si="125"/>
        <v>0</v>
      </c>
      <c r="BA305" s="255">
        <f t="shared" si="126"/>
        <v>0</v>
      </c>
      <c r="BB305" s="31">
        <f t="shared" si="127"/>
        <v>0</v>
      </c>
      <c r="BC305" s="255">
        <f t="shared" si="128"/>
        <v>0</v>
      </c>
      <c r="BD305" s="31">
        <f t="shared" si="129"/>
        <v>0</v>
      </c>
      <c r="BE305" s="255">
        <f t="shared" si="130"/>
        <v>0</v>
      </c>
      <c r="BF305" s="31">
        <f t="shared" si="131"/>
        <v>0</v>
      </c>
      <c r="BG305" s="255">
        <f t="shared" si="132"/>
        <v>0</v>
      </c>
      <c r="BH305" s="31">
        <f t="shared" si="133"/>
        <v>0</v>
      </c>
      <c r="BI305" s="255">
        <f t="shared" si="134"/>
        <v>0</v>
      </c>
      <c r="BJ305" s="31">
        <f t="shared" si="135"/>
        <v>0</v>
      </c>
      <c r="BK305" s="31">
        <f t="shared" si="136"/>
        <v>0</v>
      </c>
      <c r="BL305" s="255">
        <f t="shared" si="137"/>
        <v>0</v>
      </c>
      <c r="BM305" s="31">
        <f t="shared" si="138"/>
        <v>0</v>
      </c>
      <c r="BN305" s="255">
        <f t="shared" si="139"/>
        <v>0</v>
      </c>
    </row>
    <row r="306" spans="1:66" x14ac:dyDescent="0.25">
      <c r="A306" t="s">
        <v>1822</v>
      </c>
      <c r="B306" s="186" t="str">
        <f>VLOOKUP(A306,kurspris!$A$1:$B$877,2,FALSE)</f>
        <v>Idrott och hälsa 3</v>
      </c>
      <c r="C306"/>
      <c r="D306" t="s">
        <v>483</v>
      </c>
      <c r="E306" t="s">
        <v>1609</v>
      </c>
      <c r="F306" s="59" t="s">
        <v>1930</v>
      </c>
      <c r="G306" t="s">
        <v>1995</v>
      </c>
      <c r="H306" t="s">
        <v>1910</v>
      </c>
      <c r="I306"/>
      <c r="J306" t="s">
        <v>773</v>
      </c>
      <c r="K306"/>
      <c r="L306">
        <v>100</v>
      </c>
      <c r="M306">
        <v>30</v>
      </c>
      <c r="N306"/>
      <c r="O306"/>
      <c r="P306" s="31">
        <v>17</v>
      </c>
      <c r="Q306" s="232">
        <f t="shared" si="112"/>
        <v>8.5</v>
      </c>
      <c r="R306" s="40">
        <v>0.85</v>
      </c>
      <c r="S306" s="334">
        <f t="shared" si="113"/>
        <v>7.2249999999999996</v>
      </c>
      <c r="T306" s="31">
        <f>VLOOKUP(A306,'Ansvar kurs'!$A$1:$C$1010,2,FALSE)</f>
        <v>2180</v>
      </c>
      <c r="U306" s="31" t="str">
        <f>VLOOKUP(T306,Orgenheter!$A$1:$C$165,2,FALSE)</f>
        <v xml:space="preserve">Pedagogik                     </v>
      </c>
      <c r="V306" s="31" t="str">
        <f>VLOOKUP(T306,Orgenheter!$A$1:$C$165,3,FALSE)</f>
        <v>Sam</v>
      </c>
      <c r="W306" s="37" t="str">
        <f>VLOOKUP(D306,Program!$A$1:$B$34,2,FALSE)</f>
        <v>Ämneslärarprogrammet - Gy</v>
      </c>
      <c r="X306" s="42">
        <f>VLOOKUP(A306,kurspris!$A$1:$Q$798,15,FALSE)</f>
        <v>45034</v>
      </c>
      <c r="Y306" s="42">
        <f>VLOOKUP(A306,kurspris!$A$1:$Q$798,16,FALSE)</f>
        <v>31547</v>
      </c>
      <c r="Z306" s="42">
        <f t="shared" si="114"/>
        <v>610716.07499999995</v>
      </c>
      <c r="AA306" s="42">
        <f>VLOOKUP(A306,kurspris!$A$1:$Q$798,17,FALSE)</f>
        <v>34500</v>
      </c>
      <c r="AB306" s="42">
        <f t="shared" si="115"/>
        <v>293250</v>
      </c>
      <c r="AC306" s="42">
        <f t="shared" si="116"/>
        <v>903966.07499999995</v>
      </c>
      <c r="AD306" s="31">
        <f>VLOOKUP($A306,kurspris!$A$1:$Q$835,3,FALSE)</f>
        <v>0</v>
      </c>
      <c r="AE306" s="31">
        <f>VLOOKUP($A306,kurspris!$A$1:$Q$835,4,FALSE)</f>
        <v>0</v>
      </c>
      <c r="AF306" s="31">
        <f>VLOOKUP($A306,kurspris!$A$1:$Q$835,5,FALSE)</f>
        <v>1</v>
      </c>
      <c r="AG306" s="31">
        <f>VLOOKUP($A306,kurspris!$A$1:$Q$835,6,FALSE)</f>
        <v>0</v>
      </c>
      <c r="AH306" s="31">
        <f>VLOOKUP($A306,kurspris!$A$1:$Q$835,7,FALSE)</f>
        <v>0</v>
      </c>
      <c r="AI306" s="31">
        <f>VLOOKUP($A306,kurspris!$A$1:$Q$835,8,FALSE)</f>
        <v>0</v>
      </c>
      <c r="AJ306" s="31">
        <f>VLOOKUP($A306,kurspris!$A$1:$Q$835,9,FALSE)</f>
        <v>0</v>
      </c>
      <c r="AK306" s="31">
        <f>VLOOKUP($A306,kurspris!$A$1:$Q$835,10,FALSE)</f>
        <v>0</v>
      </c>
      <c r="AL306" s="31">
        <f>VLOOKUP($A306,kurspris!$A$1:$Q$835,11,FALSE)</f>
        <v>0</v>
      </c>
      <c r="AM306" s="31">
        <f>VLOOKUP($A306,kurspris!$A$1:$Q$835,12,FALSE)</f>
        <v>0</v>
      </c>
      <c r="AN306" s="31">
        <f>VLOOKUP($A306,kurspris!$A$1:$Q$835,13,FALSE)</f>
        <v>0</v>
      </c>
      <c r="AO306" s="31">
        <f>VLOOKUP($A306,kurspris!$A$1:$Q$835,14,FALSE)</f>
        <v>0</v>
      </c>
      <c r="AP306" s="39" t="s">
        <v>2204</v>
      </c>
      <c r="AQ306"/>
      <c r="AR306" s="31">
        <f t="shared" si="117"/>
        <v>0</v>
      </c>
      <c r="AS306" s="255">
        <f t="shared" si="118"/>
        <v>0</v>
      </c>
      <c r="AT306" s="31">
        <f t="shared" si="119"/>
        <v>0</v>
      </c>
      <c r="AU306" s="255">
        <f t="shared" si="120"/>
        <v>0</v>
      </c>
      <c r="AV306" s="31">
        <f t="shared" si="121"/>
        <v>8.5</v>
      </c>
      <c r="AW306" s="31">
        <f t="shared" si="122"/>
        <v>7.2249999999999996</v>
      </c>
      <c r="AX306" s="31">
        <f t="shared" si="123"/>
        <v>0</v>
      </c>
      <c r="AY306" s="255">
        <f t="shared" si="124"/>
        <v>0</v>
      </c>
      <c r="AZ306" s="232">
        <f t="shared" si="125"/>
        <v>0</v>
      </c>
      <c r="BA306" s="255">
        <f t="shared" si="126"/>
        <v>0</v>
      </c>
      <c r="BB306" s="31">
        <f t="shared" si="127"/>
        <v>0</v>
      </c>
      <c r="BC306" s="255">
        <f t="shared" si="128"/>
        <v>0</v>
      </c>
      <c r="BD306" s="31">
        <f t="shared" si="129"/>
        <v>0</v>
      </c>
      <c r="BE306" s="255">
        <f t="shared" si="130"/>
        <v>0</v>
      </c>
      <c r="BF306" s="31">
        <f t="shared" si="131"/>
        <v>0</v>
      </c>
      <c r="BG306" s="255">
        <f t="shared" si="132"/>
        <v>0</v>
      </c>
      <c r="BH306" s="31">
        <f t="shared" si="133"/>
        <v>0</v>
      </c>
      <c r="BI306" s="255">
        <f t="shared" si="134"/>
        <v>0</v>
      </c>
      <c r="BJ306" s="31">
        <f t="shared" si="135"/>
        <v>0</v>
      </c>
      <c r="BK306" s="31">
        <f t="shared" si="136"/>
        <v>0</v>
      </c>
      <c r="BL306" s="255">
        <f t="shared" si="137"/>
        <v>0</v>
      </c>
      <c r="BM306" s="31">
        <f t="shared" si="138"/>
        <v>0</v>
      </c>
      <c r="BN306" s="255">
        <f t="shared" si="139"/>
        <v>0</v>
      </c>
    </row>
    <row r="307" spans="1:66" x14ac:dyDescent="0.25">
      <c r="A307" s="18" t="s">
        <v>586</v>
      </c>
      <c r="B307" s="186" t="str">
        <f>VLOOKUP(A307,kurspris!$A$1:$B$877,2,FALSE)</f>
        <v>Idrott och hälsa II för gymnasieskolan</v>
      </c>
      <c r="C307" s="37"/>
      <c r="D307" t="s">
        <v>117</v>
      </c>
      <c r="E307"/>
      <c r="F307" s="59" t="s">
        <v>1931</v>
      </c>
      <c r="G307"/>
      <c r="H307"/>
      <c r="I307" t="s">
        <v>1634</v>
      </c>
      <c r="L307">
        <v>100</v>
      </c>
      <c r="M307">
        <v>30</v>
      </c>
      <c r="P307">
        <v>5</v>
      </c>
      <c r="Q307" s="232">
        <f t="shared" si="112"/>
        <v>2.5</v>
      </c>
      <c r="R307" s="40">
        <v>0.8</v>
      </c>
      <c r="S307" s="334">
        <f t="shared" si="113"/>
        <v>2</v>
      </c>
      <c r="T307" s="31">
        <f>VLOOKUP(A307,'Ansvar kurs'!$A$1:$C$1010,2,FALSE)</f>
        <v>2180</v>
      </c>
      <c r="U307" s="31" t="str">
        <f>VLOOKUP(T307,Orgenheter!$A$1:$C$165,2,FALSE)</f>
        <v xml:space="preserve">Pedagogik                     </v>
      </c>
      <c r="V307" s="31" t="str">
        <f>VLOOKUP(T307,Orgenheter!$A$1:$C$165,3,FALSE)</f>
        <v>Sam</v>
      </c>
      <c r="W307" s="37" t="str">
        <f>VLOOKUP(D307,Program!$A$1:$B$34,2,FALSE)</f>
        <v>Fristående och övriga kurser</v>
      </c>
      <c r="X307" s="42">
        <f>VLOOKUP(A307,kurspris!$A$1:$Q$798,15,FALSE)</f>
        <v>45034</v>
      </c>
      <c r="Y307" s="42">
        <f>VLOOKUP(A307,kurspris!$A$1:$Q$798,16,FALSE)</f>
        <v>31547</v>
      </c>
      <c r="Z307" s="42">
        <f t="shared" si="114"/>
        <v>175679</v>
      </c>
      <c r="AA307" s="42">
        <f>VLOOKUP(A307,kurspris!$A$1:$Q$798,17,FALSE)</f>
        <v>34500</v>
      </c>
      <c r="AB307" s="42">
        <f t="shared" si="115"/>
        <v>86250</v>
      </c>
      <c r="AC307" s="42">
        <f t="shared" si="116"/>
        <v>261929</v>
      </c>
      <c r="AD307" s="31">
        <f>VLOOKUP($A307,kurspris!$A$1:$Q$835,3,FALSE)</f>
        <v>0</v>
      </c>
      <c r="AE307" s="31">
        <f>VLOOKUP($A307,kurspris!$A$1:$Q$835,4,FALSE)</f>
        <v>0</v>
      </c>
      <c r="AF307" s="31">
        <f>VLOOKUP($A307,kurspris!$A$1:$Q$835,5,FALSE)</f>
        <v>1</v>
      </c>
      <c r="AG307" s="31">
        <f>VLOOKUP($A307,kurspris!$A$1:$Q$835,6,FALSE)</f>
        <v>0</v>
      </c>
      <c r="AH307" s="31">
        <f>VLOOKUP($A307,kurspris!$A$1:$Q$835,7,FALSE)</f>
        <v>0</v>
      </c>
      <c r="AI307" s="31">
        <f>VLOOKUP($A307,kurspris!$A$1:$Q$835,8,FALSE)</f>
        <v>0</v>
      </c>
      <c r="AJ307" s="31">
        <f>VLOOKUP($A307,kurspris!$A$1:$Q$835,9,FALSE)</f>
        <v>0</v>
      </c>
      <c r="AK307" s="31">
        <f>VLOOKUP($A307,kurspris!$A$1:$Q$835,10,FALSE)</f>
        <v>0</v>
      </c>
      <c r="AL307" s="31">
        <f>VLOOKUP($A307,kurspris!$A$1:$Q$835,11,FALSE)</f>
        <v>0</v>
      </c>
      <c r="AM307" s="31">
        <f>VLOOKUP($A307,kurspris!$A$1:$Q$835,12,FALSE)</f>
        <v>0</v>
      </c>
      <c r="AN307" s="31">
        <f>VLOOKUP($A307,kurspris!$A$1:$Q$835,13,FALSE)</f>
        <v>0</v>
      </c>
      <c r="AO307" s="31">
        <f>VLOOKUP($A307,kurspris!$A$1:$Q$835,14,FALSE)</f>
        <v>0</v>
      </c>
      <c r="AP307" s="39" t="s">
        <v>2095</v>
      </c>
      <c r="AQ307"/>
      <c r="AR307" s="31">
        <f t="shared" si="117"/>
        <v>0</v>
      </c>
      <c r="AS307" s="255">
        <f t="shared" si="118"/>
        <v>0</v>
      </c>
      <c r="AT307" s="31">
        <f t="shared" si="119"/>
        <v>0</v>
      </c>
      <c r="AU307" s="255">
        <f t="shared" si="120"/>
        <v>0</v>
      </c>
      <c r="AV307" s="31">
        <f t="shared" si="121"/>
        <v>2.5</v>
      </c>
      <c r="AW307" s="31">
        <f t="shared" si="122"/>
        <v>2</v>
      </c>
      <c r="AX307" s="31">
        <f t="shared" si="123"/>
        <v>0</v>
      </c>
      <c r="AY307" s="255">
        <f t="shared" si="124"/>
        <v>0</v>
      </c>
      <c r="AZ307" s="232">
        <f t="shared" si="125"/>
        <v>0</v>
      </c>
      <c r="BA307" s="255">
        <f t="shared" si="126"/>
        <v>0</v>
      </c>
      <c r="BB307" s="31">
        <f t="shared" si="127"/>
        <v>0</v>
      </c>
      <c r="BC307" s="255">
        <f t="shared" si="128"/>
        <v>0</v>
      </c>
      <c r="BD307" s="31">
        <f t="shared" si="129"/>
        <v>0</v>
      </c>
      <c r="BE307" s="255">
        <f t="shared" si="130"/>
        <v>0</v>
      </c>
      <c r="BF307" s="31">
        <f t="shared" si="131"/>
        <v>0</v>
      </c>
      <c r="BG307" s="255">
        <f t="shared" si="132"/>
        <v>0</v>
      </c>
      <c r="BH307" s="31">
        <f t="shared" si="133"/>
        <v>0</v>
      </c>
      <c r="BI307" s="255">
        <f t="shared" si="134"/>
        <v>0</v>
      </c>
      <c r="BJ307" s="31">
        <f t="shared" si="135"/>
        <v>0</v>
      </c>
      <c r="BK307" s="31">
        <f t="shared" si="136"/>
        <v>0</v>
      </c>
      <c r="BL307" s="255">
        <f t="shared" si="137"/>
        <v>0</v>
      </c>
      <c r="BM307" s="31">
        <f t="shared" si="138"/>
        <v>0</v>
      </c>
      <c r="BN307" s="255">
        <f t="shared" si="139"/>
        <v>0</v>
      </c>
    </row>
    <row r="308" spans="1:66" x14ac:dyDescent="0.25">
      <c r="A308" s="18" t="s">
        <v>586</v>
      </c>
      <c r="B308" s="186" t="str">
        <f>VLOOKUP(A308,kurspris!$A$1:$B$877,2,FALSE)</f>
        <v>Idrott och hälsa II för gymnasieskolan</v>
      </c>
      <c r="C308" s="37"/>
      <c r="D308" s="31" t="s">
        <v>483</v>
      </c>
      <c r="E308" s="31" t="s">
        <v>1976</v>
      </c>
      <c r="F308" s="59" t="s">
        <v>1931</v>
      </c>
      <c r="G308" s="31" t="s">
        <v>2276</v>
      </c>
      <c r="J308" t="s">
        <v>776</v>
      </c>
      <c r="L308" s="31">
        <v>100</v>
      </c>
      <c r="M308" s="31">
        <v>30</v>
      </c>
      <c r="P308" s="31">
        <v>1</v>
      </c>
      <c r="Q308" s="232">
        <f t="shared" si="112"/>
        <v>0.5</v>
      </c>
      <c r="R308" s="40">
        <v>0.85</v>
      </c>
      <c r="S308" s="334">
        <f t="shared" si="113"/>
        <v>0.42499999999999999</v>
      </c>
      <c r="T308" s="31">
        <f>VLOOKUP(A308,'Ansvar kurs'!$A$1:$C$1010,2,FALSE)</f>
        <v>2180</v>
      </c>
      <c r="U308" s="31" t="str">
        <f>VLOOKUP(T308,Orgenheter!$A$1:$C$165,2,FALSE)</f>
        <v xml:space="preserve">Pedagogik                     </v>
      </c>
      <c r="V308" s="31" t="str">
        <f>VLOOKUP(T308,Orgenheter!$A$1:$C$165,3,FALSE)</f>
        <v>Sam</v>
      </c>
      <c r="W308" s="37" t="str">
        <f>VLOOKUP(D308,Program!$A$1:$B$34,2,FALSE)</f>
        <v>Ämneslärarprogrammet - Gy</v>
      </c>
      <c r="X308" s="42">
        <f>VLOOKUP(A308,kurspris!$A$1:$Q$798,15,FALSE)</f>
        <v>45034</v>
      </c>
      <c r="Y308" s="42">
        <f>VLOOKUP(A308,kurspris!$A$1:$Q$798,16,FALSE)</f>
        <v>31547</v>
      </c>
      <c r="Z308" s="42">
        <f t="shared" si="114"/>
        <v>35924.474999999999</v>
      </c>
      <c r="AA308" s="42">
        <f>VLOOKUP(A308,kurspris!$A$1:$Q$798,17,FALSE)</f>
        <v>34500</v>
      </c>
      <c r="AB308" s="42">
        <f t="shared" si="115"/>
        <v>17250</v>
      </c>
      <c r="AC308" s="42">
        <f t="shared" si="116"/>
        <v>53174.474999999999</v>
      </c>
      <c r="AD308" s="31">
        <f>VLOOKUP($A308,kurspris!$A$1:$Q$835,3,FALSE)</f>
        <v>0</v>
      </c>
      <c r="AE308" s="31">
        <f>VLOOKUP($A308,kurspris!$A$1:$Q$835,4,FALSE)</f>
        <v>0</v>
      </c>
      <c r="AF308" s="31">
        <f>VLOOKUP($A308,kurspris!$A$1:$Q$835,5,FALSE)</f>
        <v>1</v>
      </c>
      <c r="AG308" s="31">
        <f>VLOOKUP($A308,kurspris!$A$1:$Q$835,6,FALSE)</f>
        <v>0</v>
      </c>
      <c r="AH308" s="31">
        <f>VLOOKUP($A308,kurspris!$A$1:$Q$835,7,FALSE)</f>
        <v>0</v>
      </c>
      <c r="AI308" s="31">
        <f>VLOOKUP($A308,kurspris!$A$1:$Q$835,8,FALSE)</f>
        <v>0</v>
      </c>
      <c r="AJ308" s="31">
        <f>VLOOKUP($A308,kurspris!$A$1:$Q$835,9,FALSE)</f>
        <v>0</v>
      </c>
      <c r="AK308" s="31">
        <f>VLOOKUP($A308,kurspris!$A$1:$Q$835,10,FALSE)</f>
        <v>0</v>
      </c>
      <c r="AL308" s="31">
        <f>VLOOKUP($A308,kurspris!$A$1:$Q$835,11,FALSE)</f>
        <v>0</v>
      </c>
      <c r="AM308" s="31">
        <f>VLOOKUP($A308,kurspris!$A$1:$Q$835,12,FALSE)</f>
        <v>0</v>
      </c>
      <c r="AN308" s="31">
        <f>VLOOKUP($A308,kurspris!$A$1:$Q$835,13,FALSE)</f>
        <v>0</v>
      </c>
      <c r="AO308" s="31">
        <f>VLOOKUP($A308,kurspris!$A$1:$Q$835,14,FALSE)</f>
        <v>0</v>
      </c>
      <c r="AP308" s="39" t="s">
        <v>2326</v>
      </c>
      <c r="AQ308"/>
      <c r="AR308" s="31">
        <f t="shared" si="117"/>
        <v>0</v>
      </c>
      <c r="AS308" s="255">
        <f t="shared" si="118"/>
        <v>0</v>
      </c>
      <c r="AT308" s="31">
        <f t="shared" si="119"/>
        <v>0</v>
      </c>
      <c r="AU308" s="255">
        <f t="shared" si="120"/>
        <v>0</v>
      </c>
      <c r="AV308" s="31">
        <f t="shared" si="121"/>
        <v>0.5</v>
      </c>
      <c r="AW308" s="31">
        <f t="shared" si="122"/>
        <v>0.42499999999999999</v>
      </c>
      <c r="AX308" s="31">
        <f t="shared" si="123"/>
        <v>0</v>
      </c>
      <c r="AY308" s="255">
        <f t="shared" si="124"/>
        <v>0</v>
      </c>
      <c r="AZ308" s="232">
        <f t="shared" si="125"/>
        <v>0</v>
      </c>
      <c r="BA308" s="255">
        <f t="shared" si="126"/>
        <v>0</v>
      </c>
      <c r="BB308" s="31">
        <f t="shared" si="127"/>
        <v>0</v>
      </c>
      <c r="BC308" s="255">
        <f t="shared" si="128"/>
        <v>0</v>
      </c>
      <c r="BD308" s="31">
        <f t="shared" si="129"/>
        <v>0</v>
      </c>
      <c r="BE308" s="255">
        <f t="shared" si="130"/>
        <v>0</v>
      </c>
      <c r="BF308" s="31">
        <f t="shared" si="131"/>
        <v>0</v>
      </c>
      <c r="BG308" s="255">
        <f t="shared" si="132"/>
        <v>0</v>
      </c>
      <c r="BH308" s="31">
        <f t="shared" si="133"/>
        <v>0</v>
      </c>
      <c r="BI308" s="255">
        <f t="shared" si="134"/>
        <v>0</v>
      </c>
      <c r="BJ308" s="31">
        <f t="shared" si="135"/>
        <v>0</v>
      </c>
      <c r="BK308" s="31">
        <f t="shared" si="136"/>
        <v>0</v>
      </c>
      <c r="BL308" s="255">
        <f t="shared" si="137"/>
        <v>0</v>
      </c>
      <c r="BM308" s="31">
        <f t="shared" si="138"/>
        <v>0</v>
      </c>
      <c r="BN308" s="255">
        <f t="shared" si="139"/>
        <v>0</v>
      </c>
    </row>
    <row r="309" spans="1:66" x14ac:dyDescent="0.25">
      <c r="A309" s="18" t="s">
        <v>586</v>
      </c>
      <c r="B309" s="186" t="str">
        <f>VLOOKUP(A309,kurspris!$A$1:$B$877,2,FALSE)</f>
        <v>Idrott och hälsa II för gymnasieskolan</v>
      </c>
      <c r="C309" s="37"/>
      <c r="D309" s="31" t="s">
        <v>483</v>
      </c>
      <c r="E309" s="31" t="s">
        <v>1973</v>
      </c>
      <c r="F309" s="59" t="s">
        <v>1931</v>
      </c>
      <c r="G309" s="31" t="s">
        <v>2276</v>
      </c>
      <c r="J309" t="s">
        <v>771</v>
      </c>
      <c r="L309" s="31">
        <v>100</v>
      </c>
      <c r="M309" s="31">
        <v>30</v>
      </c>
      <c r="P309" s="31">
        <v>3</v>
      </c>
      <c r="Q309" s="232">
        <f t="shared" si="112"/>
        <v>1.5</v>
      </c>
      <c r="R309" s="40">
        <v>0.85</v>
      </c>
      <c r="S309" s="334">
        <f t="shared" si="113"/>
        <v>1.2749999999999999</v>
      </c>
      <c r="T309" s="31">
        <f>VLOOKUP(A309,'Ansvar kurs'!$A$1:$C$1010,2,FALSE)</f>
        <v>2180</v>
      </c>
      <c r="U309" s="31" t="str">
        <f>VLOOKUP(T309,Orgenheter!$A$1:$C$165,2,FALSE)</f>
        <v xml:space="preserve">Pedagogik                     </v>
      </c>
      <c r="V309" s="31" t="str">
        <f>VLOOKUP(T309,Orgenheter!$A$1:$C$165,3,FALSE)</f>
        <v>Sam</v>
      </c>
      <c r="W309" s="37" t="str">
        <f>VLOOKUP(D309,Program!$A$1:$B$34,2,FALSE)</f>
        <v>Ämneslärarprogrammet - Gy</v>
      </c>
      <c r="X309" s="42">
        <f>VLOOKUP(A309,kurspris!$A$1:$Q$798,15,FALSE)</f>
        <v>45034</v>
      </c>
      <c r="Y309" s="42">
        <f>VLOOKUP(A309,kurspris!$A$1:$Q$798,16,FALSE)</f>
        <v>31547</v>
      </c>
      <c r="Z309" s="42">
        <f t="shared" si="114"/>
        <v>107773.42499999999</v>
      </c>
      <c r="AA309" s="42">
        <f>VLOOKUP(A309,kurspris!$A$1:$Q$798,17,FALSE)</f>
        <v>34500</v>
      </c>
      <c r="AB309" s="42">
        <f t="shared" si="115"/>
        <v>51750</v>
      </c>
      <c r="AC309" s="42">
        <f t="shared" si="116"/>
        <v>159523.42499999999</v>
      </c>
      <c r="AD309" s="31">
        <f>VLOOKUP($A309,kurspris!$A$1:$Q$835,3,FALSE)</f>
        <v>0</v>
      </c>
      <c r="AE309" s="31">
        <f>VLOOKUP($A309,kurspris!$A$1:$Q$835,4,FALSE)</f>
        <v>0</v>
      </c>
      <c r="AF309" s="31">
        <f>VLOOKUP($A309,kurspris!$A$1:$Q$835,5,FALSE)</f>
        <v>1</v>
      </c>
      <c r="AG309" s="31">
        <f>VLOOKUP($A309,kurspris!$A$1:$Q$835,6,FALSE)</f>
        <v>0</v>
      </c>
      <c r="AH309" s="31">
        <f>VLOOKUP($A309,kurspris!$A$1:$Q$835,7,FALSE)</f>
        <v>0</v>
      </c>
      <c r="AI309" s="31">
        <f>VLOOKUP($A309,kurspris!$A$1:$Q$835,8,FALSE)</f>
        <v>0</v>
      </c>
      <c r="AJ309" s="31">
        <f>VLOOKUP($A309,kurspris!$A$1:$Q$835,9,FALSE)</f>
        <v>0</v>
      </c>
      <c r="AK309" s="31">
        <f>VLOOKUP($A309,kurspris!$A$1:$Q$835,10,FALSE)</f>
        <v>0</v>
      </c>
      <c r="AL309" s="31">
        <f>VLOOKUP($A309,kurspris!$A$1:$Q$835,11,FALSE)</f>
        <v>0</v>
      </c>
      <c r="AM309" s="31">
        <f>VLOOKUP($A309,kurspris!$A$1:$Q$835,12,FALSE)</f>
        <v>0</v>
      </c>
      <c r="AN309" s="31">
        <f>VLOOKUP($A309,kurspris!$A$1:$Q$835,13,FALSE)</f>
        <v>0</v>
      </c>
      <c r="AO309" s="31">
        <f>VLOOKUP($A309,kurspris!$A$1:$Q$835,14,FALSE)</f>
        <v>0</v>
      </c>
      <c r="AP309" s="39" t="s">
        <v>2326</v>
      </c>
      <c r="AQ309"/>
      <c r="AR309" s="31">
        <f t="shared" si="117"/>
        <v>0</v>
      </c>
      <c r="AS309" s="255">
        <f t="shared" si="118"/>
        <v>0</v>
      </c>
      <c r="AT309" s="31">
        <f t="shared" si="119"/>
        <v>0</v>
      </c>
      <c r="AU309" s="255">
        <f t="shared" si="120"/>
        <v>0</v>
      </c>
      <c r="AV309" s="31">
        <f t="shared" si="121"/>
        <v>1.5</v>
      </c>
      <c r="AW309" s="31">
        <f t="shared" si="122"/>
        <v>1.2749999999999999</v>
      </c>
      <c r="AX309" s="31">
        <f t="shared" si="123"/>
        <v>0</v>
      </c>
      <c r="AY309" s="255">
        <f t="shared" si="124"/>
        <v>0</v>
      </c>
      <c r="AZ309" s="232">
        <f t="shared" si="125"/>
        <v>0</v>
      </c>
      <c r="BA309" s="255">
        <f t="shared" si="126"/>
        <v>0</v>
      </c>
      <c r="BB309" s="31">
        <f t="shared" si="127"/>
        <v>0</v>
      </c>
      <c r="BC309" s="255">
        <f t="shared" si="128"/>
        <v>0</v>
      </c>
      <c r="BD309" s="31">
        <f t="shared" si="129"/>
        <v>0</v>
      </c>
      <c r="BE309" s="255">
        <f t="shared" si="130"/>
        <v>0</v>
      </c>
      <c r="BF309" s="31">
        <f t="shared" si="131"/>
        <v>0</v>
      </c>
      <c r="BG309" s="255">
        <f t="shared" si="132"/>
        <v>0</v>
      </c>
      <c r="BH309" s="31">
        <f t="shared" si="133"/>
        <v>0</v>
      </c>
      <c r="BI309" s="255">
        <f t="shared" si="134"/>
        <v>0</v>
      </c>
      <c r="BJ309" s="31">
        <f t="shared" si="135"/>
        <v>0</v>
      </c>
      <c r="BK309" s="31">
        <f t="shared" si="136"/>
        <v>0</v>
      </c>
      <c r="BL309" s="255">
        <f t="shared" si="137"/>
        <v>0</v>
      </c>
      <c r="BM309" s="31">
        <f t="shared" si="138"/>
        <v>0</v>
      </c>
      <c r="BN309" s="255">
        <f t="shared" si="139"/>
        <v>0</v>
      </c>
    </row>
    <row r="310" spans="1:66" x14ac:dyDescent="0.25">
      <c r="A310" s="18" t="s">
        <v>586</v>
      </c>
      <c r="B310" s="186" t="str">
        <f>VLOOKUP(A310,kurspris!$A$1:$B$877,2,FALSE)</f>
        <v>Idrott och hälsa II för gymnasieskolan</v>
      </c>
      <c r="C310" s="37"/>
      <c r="D310" s="31" t="s">
        <v>483</v>
      </c>
      <c r="E310" s="31" t="s">
        <v>1973</v>
      </c>
      <c r="F310" s="59" t="s">
        <v>1931</v>
      </c>
      <c r="G310" s="31" t="s">
        <v>2276</v>
      </c>
      <c r="J310" t="s">
        <v>778</v>
      </c>
      <c r="L310" s="31">
        <v>100</v>
      </c>
      <c r="M310" s="31">
        <v>30</v>
      </c>
      <c r="P310" s="31">
        <v>1</v>
      </c>
      <c r="Q310" s="232">
        <f t="shared" si="112"/>
        <v>0.5</v>
      </c>
      <c r="R310" s="40">
        <v>0.85</v>
      </c>
      <c r="S310" s="334">
        <f t="shared" si="113"/>
        <v>0.42499999999999999</v>
      </c>
      <c r="T310" s="31">
        <f>VLOOKUP(A310,'Ansvar kurs'!$A$1:$C$1010,2,FALSE)</f>
        <v>2180</v>
      </c>
      <c r="U310" s="31" t="str">
        <f>VLOOKUP(T310,Orgenheter!$A$1:$C$165,2,FALSE)</f>
        <v xml:space="preserve">Pedagogik                     </v>
      </c>
      <c r="V310" s="31" t="str">
        <f>VLOOKUP(T310,Orgenheter!$A$1:$C$165,3,FALSE)</f>
        <v>Sam</v>
      </c>
      <c r="W310" s="37" t="str">
        <f>VLOOKUP(D310,Program!$A$1:$B$34,2,FALSE)</f>
        <v>Ämneslärarprogrammet - Gy</v>
      </c>
      <c r="X310" s="42">
        <f>VLOOKUP(A310,kurspris!$A$1:$Q$798,15,FALSE)</f>
        <v>45034</v>
      </c>
      <c r="Y310" s="42">
        <f>VLOOKUP(A310,kurspris!$A$1:$Q$798,16,FALSE)</f>
        <v>31547</v>
      </c>
      <c r="Z310" s="42">
        <f t="shared" si="114"/>
        <v>35924.474999999999</v>
      </c>
      <c r="AA310" s="42">
        <f>VLOOKUP(A310,kurspris!$A$1:$Q$798,17,FALSE)</f>
        <v>34500</v>
      </c>
      <c r="AB310" s="42">
        <f t="shared" si="115"/>
        <v>17250</v>
      </c>
      <c r="AC310" s="42">
        <f t="shared" si="116"/>
        <v>53174.474999999999</v>
      </c>
      <c r="AD310" s="31">
        <f>VLOOKUP($A310,kurspris!$A$1:$Q$835,3,FALSE)</f>
        <v>0</v>
      </c>
      <c r="AE310" s="31">
        <f>VLOOKUP($A310,kurspris!$A$1:$Q$835,4,FALSE)</f>
        <v>0</v>
      </c>
      <c r="AF310" s="31">
        <f>VLOOKUP($A310,kurspris!$A$1:$Q$835,5,FALSE)</f>
        <v>1</v>
      </c>
      <c r="AG310" s="31">
        <f>VLOOKUP($A310,kurspris!$A$1:$Q$835,6,FALSE)</f>
        <v>0</v>
      </c>
      <c r="AH310" s="31">
        <f>VLOOKUP($A310,kurspris!$A$1:$Q$835,7,FALSE)</f>
        <v>0</v>
      </c>
      <c r="AI310" s="31">
        <f>VLOOKUP($A310,kurspris!$A$1:$Q$835,8,FALSE)</f>
        <v>0</v>
      </c>
      <c r="AJ310" s="31">
        <f>VLOOKUP($A310,kurspris!$A$1:$Q$835,9,FALSE)</f>
        <v>0</v>
      </c>
      <c r="AK310" s="31">
        <f>VLOOKUP($A310,kurspris!$A$1:$Q$835,10,FALSE)</f>
        <v>0</v>
      </c>
      <c r="AL310" s="31">
        <f>VLOOKUP($A310,kurspris!$A$1:$Q$835,11,FALSE)</f>
        <v>0</v>
      </c>
      <c r="AM310" s="31">
        <f>VLOOKUP($A310,kurspris!$A$1:$Q$835,12,FALSE)</f>
        <v>0</v>
      </c>
      <c r="AN310" s="31">
        <f>VLOOKUP($A310,kurspris!$A$1:$Q$835,13,FALSE)</f>
        <v>0</v>
      </c>
      <c r="AO310" s="31">
        <f>VLOOKUP($A310,kurspris!$A$1:$Q$835,14,FALSE)</f>
        <v>0</v>
      </c>
      <c r="AP310" s="39" t="s">
        <v>2326</v>
      </c>
      <c r="AQ310"/>
      <c r="AR310" s="31">
        <f t="shared" si="117"/>
        <v>0</v>
      </c>
      <c r="AS310" s="255">
        <f t="shared" si="118"/>
        <v>0</v>
      </c>
      <c r="AT310" s="31">
        <f t="shared" si="119"/>
        <v>0</v>
      </c>
      <c r="AU310" s="255">
        <f t="shared" si="120"/>
        <v>0</v>
      </c>
      <c r="AV310" s="31">
        <f t="shared" si="121"/>
        <v>0.5</v>
      </c>
      <c r="AW310" s="31">
        <f t="shared" si="122"/>
        <v>0.42499999999999999</v>
      </c>
      <c r="AX310" s="31">
        <f t="shared" si="123"/>
        <v>0</v>
      </c>
      <c r="AY310" s="255">
        <f t="shared" si="124"/>
        <v>0</v>
      </c>
      <c r="AZ310" s="232">
        <f t="shared" si="125"/>
        <v>0</v>
      </c>
      <c r="BA310" s="255">
        <f t="shared" si="126"/>
        <v>0</v>
      </c>
      <c r="BB310" s="31">
        <f t="shared" si="127"/>
        <v>0</v>
      </c>
      <c r="BC310" s="255">
        <f t="shared" si="128"/>
        <v>0</v>
      </c>
      <c r="BD310" s="31">
        <f t="shared" si="129"/>
        <v>0</v>
      </c>
      <c r="BE310" s="255">
        <f t="shared" si="130"/>
        <v>0</v>
      </c>
      <c r="BF310" s="31">
        <f t="shared" si="131"/>
        <v>0</v>
      </c>
      <c r="BG310" s="255">
        <f t="shared" si="132"/>
        <v>0</v>
      </c>
      <c r="BH310" s="31">
        <f t="shared" si="133"/>
        <v>0</v>
      </c>
      <c r="BI310" s="255">
        <f t="shared" si="134"/>
        <v>0</v>
      </c>
      <c r="BJ310" s="31">
        <f t="shared" si="135"/>
        <v>0</v>
      </c>
      <c r="BK310" s="31">
        <f t="shared" si="136"/>
        <v>0</v>
      </c>
      <c r="BL310" s="255">
        <f t="shared" si="137"/>
        <v>0</v>
      </c>
      <c r="BM310" s="31">
        <f t="shared" si="138"/>
        <v>0</v>
      </c>
      <c r="BN310" s="255">
        <f t="shared" si="139"/>
        <v>0</v>
      </c>
    </row>
    <row r="311" spans="1:66" x14ac:dyDescent="0.25">
      <c r="A311" s="18" t="s">
        <v>586</v>
      </c>
      <c r="B311" s="186" t="str">
        <f>VLOOKUP(A311,kurspris!$A$1:$B$877,2,FALSE)</f>
        <v>Idrott och hälsa II för gymnasieskolan</v>
      </c>
      <c r="C311" s="37"/>
      <c r="D311" s="31" t="s">
        <v>483</v>
      </c>
      <c r="E311" s="31" t="s">
        <v>1609</v>
      </c>
      <c r="F311" s="59" t="s">
        <v>1931</v>
      </c>
      <c r="G311" s="31" t="s">
        <v>2276</v>
      </c>
      <c r="J311" t="s">
        <v>773</v>
      </c>
      <c r="L311" s="31">
        <v>100</v>
      </c>
      <c r="M311" s="31">
        <v>30</v>
      </c>
      <c r="P311" s="31">
        <v>1</v>
      </c>
      <c r="Q311" s="232">
        <f t="shared" si="112"/>
        <v>0.5</v>
      </c>
      <c r="R311" s="40">
        <v>0.85</v>
      </c>
      <c r="S311" s="334">
        <f t="shared" si="113"/>
        <v>0.42499999999999999</v>
      </c>
      <c r="T311" s="31">
        <f>VLOOKUP(A311,'Ansvar kurs'!$A$1:$C$1010,2,FALSE)</f>
        <v>2180</v>
      </c>
      <c r="U311" s="31" t="str">
        <f>VLOOKUP(T311,Orgenheter!$A$1:$C$165,2,FALSE)</f>
        <v xml:space="preserve">Pedagogik                     </v>
      </c>
      <c r="V311" s="31" t="str">
        <f>VLOOKUP(T311,Orgenheter!$A$1:$C$165,3,FALSE)</f>
        <v>Sam</v>
      </c>
      <c r="W311" s="37" t="str">
        <f>VLOOKUP(D311,Program!$A$1:$B$34,2,FALSE)</f>
        <v>Ämneslärarprogrammet - Gy</v>
      </c>
      <c r="X311" s="42">
        <f>VLOOKUP(A311,kurspris!$A$1:$Q$798,15,FALSE)</f>
        <v>45034</v>
      </c>
      <c r="Y311" s="42">
        <f>VLOOKUP(A311,kurspris!$A$1:$Q$798,16,FALSE)</f>
        <v>31547</v>
      </c>
      <c r="Z311" s="42">
        <f t="shared" si="114"/>
        <v>35924.474999999999</v>
      </c>
      <c r="AA311" s="42">
        <f>VLOOKUP(A311,kurspris!$A$1:$Q$798,17,FALSE)</f>
        <v>34500</v>
      </c>
      <c r="AB311" s="42">
        <f t="shared" si="115"/>
        <v>17250</v>
      </c>
      <c r="AC311" s="42">
        <f t="shared" si="116"/>
        <v>53174.474999999999</v>
      </c>
      <c r="AD311" s="31">
        <f>VLOOKUP($A311,kurspris!$A$1:$Q$835,3,FALSE)</f>
        <v>0</v>
      </c>
      <c r="AE311" s="31">
        <f>VLOOKUP($A311,kurspris!$A$1:$Q$835,4,FALSE)</f>
        <v>0</v>
      </c>
      <c r="AF311" s="31">
        <f>VLOOKUP($A311,kurspris!$A$1:$Q$835,5,FALSE)</f>
        <v>1</v>
      </c>
      <c r="AG311" s="31">
        <f>VLOOKUP($A311,kurspris!$A$1:$Q$835,6,FALSE)</f>
        <v>0</v>
      </c>
      <c r="AH311" s="31">
        <f>VLOOKUP($A311,kurspris!$A$1:$Q$835,7,FALSE)</f>
        <v>0</v>
      </c>
      <c r="AI311" s="31">
        <f>VLOOKUP($A311,kurspris!$A$1:$Q$835,8,FALSE)</f>
        <v>0</v>
      </c>
      <c r="AJ311" s="31">
        <f>VLOOKUP($A311,kurspris!$A$1:$Q$835,9,FALSE)</f>
        <v>0</v>
      </c>
      <c r="AK311" s="31">
        <f>VLOOKUP($A311,kurspris!$A$1:$Q$835,10,FALSE)</f>
        <v>0</v>
      </c>
      <c r="AL311" s="31">
        <f>VLOOKUP($A311,kurspris!$A$1:$Q$835,11,FALSE)</f>
        <v>0</v>
      </c>
      <c r="AM311" s="31">
        <f>VLOOKUP($A311,kurspris!$A$1:$Q$835,12,FALSE)</f>
        <v>0</v>
      </c>
      <c r="AN311" s="31">
        <f>VLOOKUP($A311,kurspris!$A$1:$Q$835,13,FALSE)</f>
        <v>0</v>
      </c>
      <c r="AO311" s="31">
        <f>VLOOKUP($A311,kurspris!$A$1:$Q$835,14,FALSE)</f>
        <v>0</v>
      </c>
      <c r="AP311" s="39" t="s">
        <v>2326</v>
      </c>
      <c r="AQ311"/>
      <c r="AR311" s="31">
        <f t="shared" si="117"/>
        <v>0</v>
      </c>
      <c r="AS311" s="255">
        <f t="shared" si="118"/>
        <v>0</v>
      </c>
      <c r="AT311" s="31">
        <f t="shared" si="119"/>
        <v>0</v>
      </c>
      <c r="AU311" s="255">
        <f t="shared" si="120"/>
        <v>0</v>
      </c>
      <c r="AV311" s="31">
        <f t="shared" si="121"/>
        <v>0.5</v>
      </c>
      <c r="AW311" s="31">
        <f t="shared" si="122"/>
        <v>0.42499999999999999</v>
      </c>
      <c r="AX311" s="31">
        <f t="shared" si="123"/>
        <v>0</v>
      </c>
      <c r="AY311" s="255">
        <f t="shared" si="124"/>
        <v>0</v>
      </c>
      <c r="AZ311" s="232">
        <f t="shared" si="125"/>
        <v>0</v>
      </c>
      <c r="BA311" s="255">
        <f t="shared" si="126"/>
        <v>0</v>
      </c>
      <c r="BB311" s="31">
        <f t="shared" si="127"/>
        <v>0</v>
      </c>
      <c r="BC311" s="255">
        <f t="shared" si="128"/>
        <v>0</v>
      </c>
      <c r="BD311" s="31">
        <f t="shared" si="129"/>
        <v>0</v>
      </c>
      <c r="BE311" s="255">
        <f t="shared" si="130"/>
        <v>0</v>
      </c>
      <c r="BF311" s="31">
        <f t="shared" si="131"/>
        <v>0</v>
      </c>
      <c r="BG311" s="255">
        <f t="shared" si="132"/>
        <v>0</v>
      </c>
      <c r="BH311" s="31">
        <f t="shared" si="133"/>
        <v>0</v>
      </c>
      <c r="BI311" s="255">
        <f t="shared" si="134"/>
        <v>0</v>
      </c>
      <c r="BJ311" s="31">
        <f t="shared" si="135"/>
        <v>0</v>
      </c>
      <c r="BK311" s="31">
        <f t="shared" si="136"/>
        <v>0</v>
      </c>
      <c r="BL311" s="255">
        <f t="shared" si="137"/>
        <v>0</v>
      </c>
      <c r="BM311" s="31">
        <f t="shared" si="138"/>
        <v>0</v>
      </c>
      <c r="BN311" s="255">
        <f t="shared" si="139"/>
        <v>0</v>
      </c>
    </row>
    <row r="312" spans="1:66" x14ac:dyDescent="0.25">
      <c r="A312" s="18" t="s">
        <v>586</v>
      </c>
      <c r="B312" s="186" t="str">
        <f>VLOOKUP(A312,kurspris!$A$1:$B$877,2,FALSE)</f>
        <v>Idrott och hälsa II för gymnasieskolan</v>
      </c>
      <c r="C312" s="37"/>
      <c r="D312" s="31" t="s">
        <v>483</v>
      </c>
      <c r="E312" s="31" t="s">
        <v>1788</v>
      </c>
      <c r="F312" s="59" t="s">
        <v>1931</v>
      </c>
      <c r="G312" s="31" t="s">
        <v>2276</v>
      </c>
      <c r="J312" t="s">
        <v>773</v>
      </c>
      <c r="L312" s="31">
        <v>100</v>
      </c>
      <c r="M312" s="31">
        <v>30</v>
      </c>
      <c r="P312" s="31">
        <v>19</v>
      </c>
      <c r="Q312" s="232">
        <f t="shared" si="112"/>
        <v>9.5</v>
      </c>
      <c r="R312" s="40">
        <v>0.85</v>
      </c>
      <c r="S312" s="334">
        <f t="shared" si="113"/>
        <v>8.0749999999999993</v>
      </c>
      <c r="T312" s="31">
        <f>VLOOKUP(A312,'Ansvar kurs'!$A$1:$C$1010,2,FALSE)</f>
        <v>2180</v>
      </c>
      <c r="U312" s="31" t="str">
        <f>VLOOKUP(T312,Orgenheter!$A$1:$C$165,2,FALSE)</f>
        <v xml:space="preserve">Pedagogik                     </v>
      </c>
      <c r="V312" s="31" t="str">
        <f>VLOOKUP(T312,Orgenheter!$A$1:$C$165,3,FALSE)</f>
        <v>Sam</v>
      </c>
      <c r="W312" s="37" t="str">
        <f>VLOOKUP(D312,Program!$A$1:$B$34,2,FALSE)</f>
        <v>Ämneslärarprogrammet - Gy</v>
      </c>
      <c r="X312" s="42">
        <f>VLOOKUP(A312,kurspris!$A$1:$Q$798,15,FALSE)</f>
        <v>45034</v>
      </c>
      <c r="Y312" s="42">
        <f>VLOOKUP(A312,kurspris!$A$1:$Q$798,16,FALSE)</f>
        <v>31547</v>
      </c>
      <c r="Z312" s="42">
        <f t="shared" si="114"/>
        <v>682565.02499999991</v>
      </c>
      <c r="AA312" s="42">
        <f>VLOOKUP(A312,kurspris!$A$1:$Q$798,17,FALSE)</f>
        <v>34500</v>
      </c>
      <c r="AB312" s="42">
        <f t="shared" si="115"/>
        <v>327750</v>
      </c>
      <c r="AC312" s="42">
        <f t="shared" si="116"/>
        <v>1010315.0249999999</v>
      </c>
      <c r="AD312" s="31">
        <f>VLOOKUP($A312,kurspris!$A$1:$Q$835,3,FALSE)</f>
        <v>0</v>
      </c>
      <c r="AE312" s="31">
        <f>VLOOKUP($A312,kurspris!$A$1:$Q$835,4,FALSE)</f>
        <v>0</v>
      </c>
      <c r="AF312" s="31">
        <f>VLOOKUP($A312,kurspris!$A$1:$Q$835,5,FALSE)</f>
        <v>1</v>
      </c>
      <c r="AG312" s="31">
        <f>VLOOKUP($A312,kurspris!$A$1:$Q$835,6,FALSE)</f>
        <v>0</v>
      </c>
      <c r="AH312" s="31">
        <f>VLOOKUP($A312,kurspris!$A$1:$Q$835,7,FALSE)</f>
        <v>0</v>
      </c>
      <c r="AI312" s="31">
        <f>VLOOKUP($A312,kurspris!$A$1:$Q$835,8,FALSE)</f>
        <v>0</v>
      </c>
      <c r="AJ312" s="31">
        <f>VLOOKUP($A312,kurspris!$A$1:$Q$835,9,FALSE)</f>
        <v>0</v>
      </c>
      <c r="AK312" s="31">
        <f>VLOOKUP($A312,kurspris!$A$1:$Q$835,10,FALSE)</f>
        <v>0</v>
      </c>
      <c r="AL312" s="31">
        <f>VLOOKUP($A312,kurspris!$A$1:$Q$835,11,FALSE)</f>
        <v>0</v>
      </c>
      <c r="AM312" s="31">
        <f>VLOOKUP($A312,kurspris!$A$1:$Q$835,12,FALSE)</f>
        <v>0</v>
      </c>
      <c r="AN312" s="31">
        <f>VLOOKUP($A312,kurspris!$A$1:$Q$835,13,FALSE)</f>
        <v>0</v>
      </c>
      <c r="AO312" s="31">
        <f>VLOOKUP($A312,kurspris!$A$1:$Q$835,14,FALSE)</f>
        <v>0</v>
      </c>
      <c r="AP312" s="39" t="s">
        <v>2326</v>
      </c>
      <c r="AQ312"/>
      <c r="AR312" s="31">
        <f t="shared" si="117"/>
        <v>0</v>
      </c>
      <c r="AS312" s="255">
        <f t="shared" si="118"/>
        <v>0</v>
      </c>
      <c r="AT312" s="31">
        <f t="shared" si="119"/>
        <v>0</v>
      </c>
      <c r="AU312" s="255">
        <f t="shared" si="120"/>
        <v>0</v>
      </c>
      <c r="AV312" s="31">
        <f t="shared" si="121"/>
        <v>9.5</v>
      </c>
      <c r="AW312" s="31">
        <f t="shared" si="122"/>
        <v>8.0749999999999993</v>
      </c>
      <c r="AX312" s="31">
        <f t="shared" si="123"/>
        <v>0</v>
      </c>
      <c r="AY312" s="255">
        <f t="shared" si="124"/>
        <v>0</v>
      </c>
      <c r="AZ312" s="232">
        <f t="shared" si="125"/>
        <v>0</v>
      </c>
      <c r="BA312" s="255">
        <f t="shared" si="126"/>
        <v>0</v>
      </c>
      <c r="BB312" s="31">
        <f t="shared" si="127"/>
        <v>0</v>
      </c>
      <c r="BC312" s="255">
        <f t="shared" si="128"/>
        <v>0</v>
      </c>
      <c r="BD312" s="31">
        <f t="shared" si="129"/>
        <v>0</v>
      </c>
      <c r="BE312" s="255">
        <f t="shared" si="130"/>
        <v>0</v>
      </c>
      <c r="BF312" s="31">
        <f t="shared" si="131"/>
        <v>0</v>
      </c>
      <c r="BG312" s="255">
        <f t="shared" si="132"/>
        <v>0</v>
      </c>
      <c r="BH312" s="31">
        <f t="shared" si="133"/>
        <v>0</v>
      </c>
      <c r="BI312" s="255">
        <f t="shared" si="134"/>
        <v>0</v>
      </c>
      <c r="BJ312" s="31">
        <f t="shared" si="135"/>
        <v>0</v>
      </c>
      <c r="BK312" s="31">
        <f t="shared" si="136"/>
        <v>0</v>
      </c>
      <c r="BL312" s="255">
        <f t="shared" si="137"/>
        <v>0</v>
      </c>
      <c r="BM312" s="31">
        <f t="shared" si="138"/>
        <v>0</v>
      </c>
      <c r="BN312" s="255">
        <f t="shared" si="139"/>
        <v>0</v>
      </c>
    </row>
    <row r="313" spans="1:66" x14ac:dyDescent="0.25">
      <c r="A313" s="18" t="s">
        <v>1715</v>
      </c>
      <c r="B313" s="186" t="str">
        <f>VLOOKUP(A313,kurspris!$A$1:$B$877,2,FALSE)</f>
        <v>Matematikundervisning med IT</v>
      </c>
      <c r="C313" s="37"/>
      <c r="D313" t="s">
        <v>117</v>
      </c>
      <c r="E313"/>
      <c r="F313" s="59" t="s">
        <v>1931</v>
      </c>
      <c r="G313"/>
      <c r="H313"/>
      <c r="I313" t="s">
        <v>2066</v>
      </c>
      <c r="L313">
        <v>25</v>
      </c>
      <c r="M313">
        <v>7.5</v>
      </c>
      <c r="P313">
        <v>30</v>
      </c>
      <c r="Q313" s="232">
        <f t="shared" si="112"/>
        <v>3.75</v>
      </c>
      <c r="R313" s="40">
        <v>0.8</v>
      </c>
      <c r="S313" s="334">
        <f t="shared" si="113"/>
        <v>3</v>
      </c>
      <c r="T313" s="31">
        <f>VLOOKUP(A313,'Ansvar kurs'!$A$1:$C$1010,2,FALSE)</f>
        <v>2193</v>
      </c>
      <c r="U313" s="31" t="str">
        <f>VLOOKUP(T313,Orgenheter!$A$1:$C$165,2,FALSE)</f>
        <v xml:space="preserve">TUV </v>
      </c>
      <c r="V313" s="31" t="str">
        <f>VLOOKUP(T313,Orgenheter!$A$1:$C$165,3,FALSE)</f>
        <v>Sam</v>
      </c>
      <c r="W313" s="37" t="str">
        <f>VLOOKUP(D313,Program!$A$1:$B$34,2,FALSE)</f>
        <v>Fristående och övriga kurser</v>
      </c>
      <c r="X313" s="42">
        <f>VLOOKUP(A313,kurspris!$A$1:$Q$798,15,FALSE)</f>
        <v>18405</v>
      </c>
      <c r="Y313" s="42">
        <f>VLOOKUP(A313,kurspris!$A$1:$Q$798,16,FALSE)</f>
        <v>15773</v>
      </c>
      <c r="Z313" s="42">
        <f t="shared" si="114"/>
        <v>116337.75</v>
      </c>
      <c r="AA313" s="42">
        <f>VLOOKUP(A313,kurspris!$A$1:$Q$798,17,FALSE)</f>
        <v>5800</v>
      </c>
      <c r="AB313" s="42">
        <f t="shared" si="115"/>
        <v>21750</v>
      </c>
      <c r="AC313" s="42">
        <f t="shared" si="116"/>
        <v>138087.75</v>
      </c>
      <c r="AD313" s="31">
        <f>VLOOKUP($A313,kurspris!$A$1:$Q$835,3,FALSE)</f>
        <v>0</v>
      </c>
      <c r="AE313" s="31">
        <f>VLOOKUP($A313,kurspris!$A$1:$Q$835,4,FALSE)</f>
        <v>0</v>
      </c>
      <c r="AF313" s="31">
        <f>VLOOKUP($A313,kurspris!$A$1:$Q$835,5,FALSE)</f>
        <v>0</v>
      </c>
      <c r="AG313" s="31">
        <f>VLOOKUP($A313,kurspris!$A$1:$Q$835,6,FALSE)</f>
        <v>0</v>
      </c>
      <c r="AH313" s="31">
        <f>VLOOKUP($A313,kurspris!$A$1:$Q$835,7,FALSE)</f>
        <v>0</v>
      </c>
      <c r="AI313" s="31">
        <f>VLOOKUP($A313,kurspris!$A$1:$Q$835,8,FALSE)</f>
        <v>0</v>
      </c>
      <c r="AJ313" s="31">
        <f>VLOOKUP($A313,kurspris!$A$1:$Q$835,9,FALSE)</f>
        <v>1</v>
      </c>
      <c r="AK313" s="31">
        <f>VLOOKUP($A313,kurspris!$A$1:$Q$835,10,FALSE)</f>
        <v>0</v>
      </c>
      <c r="AL313" s="31">
        <f>VLOOKUP($A313,kurspris!$A$1:$Q$835,11,FALSE)</f>
        <v>0</v>
      </c>
      <c r="AM313" s="31">
        <f>VLOOKUP($A313,kurspris!$A$1:$Q$835,12,FALSE)</f>
        <v>0</v>
      </c>
      <c r="AN313" s="31">
        <f>VLOOKUP($A313,kurspris!$A$1:$Q$835,13,FALSE)</f>
        <v>0</v>
      </c>
      <c r="AO313" s="31">
        <f>VLOOKUP($A313,kurspris!$A$1:$Q$835,14,FALSE)</f>
        <v>0</v>
      </c>
      <c r="AP313" s="39" t="s">
        <v>2095</v>
      </c>
      <c r="AQ313"/>
      <c r="AR313" s="31">
        <f t="shared" si="117"/>
        <v>0</v>
      </c>
      <c r="AS313" s="255">
        <f t="shared" si="118"/>
        <v>0</v>
      </c>
      <c r="AT313" s="31">
        <f t="shared" si="119"/>
        <v>0</v>
      </c>
      <c r="AU313" s="255">
        <f t="shared" si="120"/>
        <v>0</v>
      </c>
      <c r="AV313" s="31">
        <f t="shared" si="121"/>
        <v>0</v>
      </c>
      <c r="AW313" s="31">
        <f t="shared" si="122"/>
        <v>0</v>
      </c>
      <c r="AX313" s="31">
        <f t="shared" si="123"/>
        <v>0</v>
      </c>
      <c r="AY313" s="255">
        <f t="shared" si="124"/>
        <v>0</v>
      </c>
      <c r="AZ313" s="232">
        <f t="shared" si="125"/>
        <v>0</v>
      </c>
      <c r="BA313" s="255">
        <f t="shared" si="126"/>
        <v>0</v>
      </c>
      <c r="BB313" s="31">
        <f t="shared" si="127"/>
        <v>0</v>
      </c>
      <c r="BC313" s="255">
        <f t="shared" si="128"/>
        <v>0</v>
      </c>
      <c r="BD313" s="31">
        <f t="shared" si="129"/>
        <v>3.75</v>
      </c>
      <c r="BE313" s="255">
        <f t="shared" si="130"/>
        <v>3</v>
      </c>
      <c r="BF313" s="31">
        <f t="shared" si="131"/>
        <v>0</v>
      </c>
      <c r="BG313" s="255">
        <f t="shared" si="132"/>
        <v>0</v>
      </c>
      <c r="BH313" s="31">
        <f t="shared" si="133"/>
        <v>0</v>
      </c>
      <c r="BI313" s="255">
        <f t="shared" si="134"/>
        <v>0</v>
      </c>
      <c r="BJ313" s="31">
        <f t="shared" si="135"/>
        <v>0</v>
      </c>
      <c r="BK313" s="31">
        <f t="shared" si="136"/>
        <v>0</v>
      </c>
      <c r="BL313" s="255">
        <f t="shared" si="137"/>
        <v>0</v>
      </c>
      <c r="BM313" s="31">
        <f t="shared" si="138"/>
        <v>0</v>
      </c>
      <c r="BN313" s="255">
        <f t="shared" si="139"/>
        <v>0</v>
      </c>
    </row>
    <row r="314" spans="1:66" x14ac:dyDescent="0.25">
      <c r="A314" s="18" t="s">
        <v>1714</v>
      </c>
      <c r="B314" s="186" t="str">
        <f>VLOOKUP(A314,kurspris!$A$1:$B$877,2,FALSE)</f>
        <v>Design av digital didaktik</v>
      </c>
      <c r="C314" s="37"/>
      <c r="D314" t="s">
        <v>117</v>
      </c>
      <c r="E314"/>
      <c r="F314" s="59" t="s">
        <v>1931</v>
      </c>
      <c r="G314"/>
      <c r="H314"/>
      <c r="I314" t="s">
        <v>2066</v>
      </c>
      <c r="L314">
        <v>25</v>
      </c>
      <c r="M314">
        <v>7.5</v>
      </c>
      <c r="P314">
        <v>30</v>
      </c>
      <c r="Q314" s="232">
        <f t="shared" si="112"/>
        <v>3.75</v>
      </c>
      <c r="R314" s="40">
        <v>0.8</v>
      </c>
      <c r="S314" s="334">
        <f t="shared" si="113"/>
        <v>3</v>
      </c>
      <c r="T314" s="31">
        <f>VLOOKUP(A314,'Ansvar kurs'!$A$1:$C$1010,2,FALSE)</f>
        <v>2193</v>
      </c>
      <c r="U314" s="31" t="str">
        <f>VLOOKUP(T314,Orgenheter!$A$1:$C$165,2,FALSE)</f>
        <v xml:space="preserve">TUV </v>
      </c>
      <c r="V314" s="31" t="str">
        <f>VLOOKUP(T314,Orgenheter!$A$1:$C$165,3,FALSE)</f>
        <v>Sam</v>
      </c>
      <c r="W314" s="37" t="str">
        <f>VLOOKUP(D314,Program!$A$1:$B$34,2,FALSE)</f>
        <v>Fristående och övriga kurser</v>
      </c>
      <c r="X314" s="42">
        <f>VLOOKUP(A314,kurspris!$A$1:$Q$798,15,FALSE)</f>
        <v>18405</v>
      </c>
      <c r="Y314" s="42">
        <f>VLOOKUP(A314,kurspris!$A$1:$Q$798,16,FALSE)</f>
        <v>15773</v>
      </c>
      <c r="Z314" s="42">
        <f t="shared" si="114"/>
        <v>116337.75</v>
      </c>
      <c r="AA314" s="42">
        <f>VLOOKUP(A314,kurspris!$A$1:$Q$798,17,FALSE)</f>
        <v>5800</v>
      </c>
      <c r="AB314" s="42">
        <f t="shared" si="115"/>
        <v>21750</v>
      </c>
      <c r="AC314" s="42">
        <f t="shared" si="116"/>
        <v>138087.75</v>
      </c>
      <c r="AD314" s="31">
        <f>VLOOKUP($A314,kurspris!$A$1:$Q$835,3,FALSE)</f>
        <v>0</v>
      </c>
      <c r="AE314" s="31">
        <f>VLOOKUP($A314,kurspris!$A$1:$Q$835,4,FALSE)</f>
        <v>0</v>
      </c>
      <c r="AF314" s="31">
        <f>VLOOKUP($A314,kurspris!$A$1:$Q$835,5,FALSE)</f>
        <v>0</v>
      </c>
      <c r="AG314" s="31">
        <f>VLOOKUP($A314,kurspris!$A$1:$Q$835,6,FALSE)</f>
        <v>0</v>
      </c>
      <c r="AH314" s="31">
        <f>VLOOKUP($A314,kurspris!$A$1:$Q$835,7,FALSE)</f>
        <v>0</v>
      </c>
      <c r="AI314" s="31">
        <f>VLOOKUP($A314,kurspris!$A$1:$Q$835,8,FALSE)</f>
        <v>0</v>
      </c>
      <c r="AJ314" s="31">
        <f>VLOOKUP($A314,kurspris!$A$1:$Q$835,9,FALSE)</f>
        <v>1</v>
      </c>
      <c r="AK314" s="31">
        <f>VLOOKUP($A314,kurspris!$A$1:$Q$835,10,FALSE)</f>
        <v>0</v>
      </c>
      <c r="AL314" s="31">
        <f>VLOOKUP($A314,kurspris!$A$1:$Q$835,11,FALSE)</f>
        <v>0</v>
      </c>
      <c r="AM314" s="31">
        <f>VLOOKUP($A314,kurspris!$A$1:$Q$835,12,FALSE)</f>
        <v>0</v>
      </c>
      <c r="AN314" s="31">
        <f>VLOOKUP($A314,kurspris!$A$1:$Q$835,13,FALSE)</f>
        <v>0</v>
      </c>
      <c r="AO314" s="31">
        <f>VLOOKUP($A314,kurspris!$A$1:$Q$835,14,FALSE)</f>
        <v>0</v>
      </c>
      <c r="AP314" s="39" t="s">
        <v>2095</v>
      </c>
      <c r="AQ314"/>
      <c r="AR314" s="31">
        <f t="shared" si="117"/>
        <v>0</v>
      </c>
      <c r="AS314" s="255">
        <f t="shared" si="118"/>
        <v>0</v>
      </c>
      <c r="AT314" s="31">
        <f t="shared" si="119"/>
        <v>0</v>
      </c>
      <c r="AU314" s="255">
        <f t="shared" si="120"/>
        <v>0</v>
      </c>
      <c r="AV314" s="31">
        <f t="shared" si="121"/>
        <v>0</v>
      </c>
      <c r="AW314" s="31">
        <f t="shared" si="122"/>
        <v>0</v>
      </c>
      <c r="AX314" s="31">
        <f t="shared" si="123"/>
        <v>0</v>
      </c>
      <c r="AY314" s="255">
        <f t="shared" si="124"/>
        <v>0</v>
      </c>
      <c r="AZ314" s="232">
        <f t="shared" si="125"/>
        <v>0</v>
      </c>
      <c r="BA314" s="255">
        <f t="shared" si="126"/>
        <v>0</v>
      </c>
      <c r="BB314" s="31">
        <f t="shared" si="127"/>
        <v>0</v>
      </c>
      <c r="BC314" s="255">
        <f t="shared" si="128"/>
        <v>0</v>
      </c>
      <c r="BD314" s="31">
        <f t="shared" si="129"/>
        <v>3.75</v>
      </c>
      <c r="BE314" s="255">
        <f t="shared" si="130"/>
        <v>3</v>
      </c>
      <c r="BF314" s="31">
        <f t="shared" si="131"/>
        <v>0</v>
      </c>
      <c r="BG314" s="255">
        <f t="shared" si="132"/>
        <v>0</v>
      </c>
      <c r="BH314" s="31">
        <f t="shared" si="133"/>
        <v>0</v>
      </c>
      <c r="BI314" s="255">
        <f t="shared" si="134"/>
        <v>0</v>
      </c>
      <c r="BJ314" s="31">
        <f t="shared" si="135"/>
        <v>0</v>
      </c>
      <c r="BK314" s="31">
        <f t="shared" si="136"/>
        <v>0</v>
      </c>
      <c r="BL314" s="255">
        <f t="shared" si="137"/>
        <v>0</v>
      </c>
      <c r="BM314" s="31">
        <f t="shared" si="138"/>
        <v>0</v>
      </c>
      <c r="BN314" s="255">
        <f t="shared" si="139"/>
        <v>0</v>
      </c>
    </row>
    <row r="315" spans="1:66" x14ac:dyDescent="0.25">
      <c r="A315" s="18" t="s">
        <v>1491</v>
      </c>
      <c r="B315" s="186" t="str">
        <f>VLOOKUP(A315,kurspris!$A$1:$B$877,2,FALSE)</f>
        <v>Examensarbete för ämneslärarexamen - Kemi</v>
      </c>
      <c r="C315" s="37"/>
      <c r="D315" s="31" t="s">
        <v>483</v>
      </c>
      <c r="E315" s="31" t="s">
        <v>1609</v>
      </c>
      <c r="F315" s="59" t="s">
        <v>1931</v>
      </c>
      <c r="G315" s="295" t="s">
        <v>2268</v>
      </c>
      <c r="J315" t="s">
        <v>1591</v>
      </c>
      <c r="L315" s="31">
        <v>100</v>
      </c>
      <c r="M315" s="31">
        <v>7.5</v>
      </c>
      <c r="P315" s="31">
        <v>1</v>
      </c>
      <c r="Q315" s="232">
        <f t="shared" si="112"/>
        <v>0.125</v>
      </c>
      <c r="R315" s="40">
        <v>0.85</v>
      </c>
      <c r="S315" s="334">
        <f t="shared" si="113"/>
        <v>0.10625</v>
      </c>
      <c r="T315" s="31">
        <f>VLOOKUP(A315,'Ansvar kurs'!$A$1:$C$1010,2,FALSE)</f>
        <v>5740</v>
      </c>
      <c r="U315" s="31" t="str">
        <f>VLOOKUP(T315,Orgenheter!$A$1:$C$165,2,FALSE)</f>
        <v>NMD</v>
      </c>
      <c r="V315" s="31" t="str">
        <f>VLOOKUP(T315,Orgenheter!$A$1:$C$165,3,FALSE)</f>
        <v>TekNat</v>
      </c>
      <c r="W315" s="37" t="str">
        <f>VLOOKUP(D315,Program!$A$1:$B$34,2,FALSE)</f>
        <v>Ämneslärarprogrammet - Gy</v>
      </c>
      <c r="X315" s="42">
        <f>VLOOKUP(A315,kurspris!$A$1:$Q$798,15,FALSE)</f>
        <v>19473</v>
      </c>
      <c r="Y315" s="42">
        <f>VLOOKUP(A315,kurspris!$A$1:$Q$798,16,FALSE)</f>
        <v>34806</v>
      </c>
      <c r="Z315" s="42">
        <f t="shared" si="114"/>
        <v>6132.2624999999998</v>
      </c>
      <c r="AA315" s="42">
        <f>VLOOKUP(A315,kurspris!$A$1:$Q$798,17,FALSE)</f>
        <v>21800</v>
      </c>
      <c r="AB315" s="42">
        <f t="shared" si="115"/>
        <v>2725</v>
      </c>
      <c r="AC315" s="42">
        <f t="shared" si="116"/>
        <v>8857.2625000000007</v>
      </c>
      <c r="AD315" s="31">
        <f>VLOOKUP($A315,kurspris!$A$1:$Q$835,3,FALSE)</f>
        <v>0</v>
      </c>
      <c r="AE315" s="31">
        <f>VLOOKUP($A315,kurspris!$A$1:$Q$835,4,FALSE)</f>
        <v>0</v>
      </c>
      <c r="AF315" s="31">
        <f>VLOOKUP($A315,kurspris!$A$1:$Q$835,5,FALSE)</f>
        <v>0</v>
      </c>
      <c r="AG315" s="31">
        <f>VLOOKUP($A315,kurspris!$A$1:$Q$835,6,FALSE)</f>
        <v>0</v>
      </c>
      <c r="AH315" s="31">
        <f>VLOOKUP($A315,kurspris!$A$1:$Q$835,7,FALSE)</f>
        <v>0</v>
      </c>
      <c r="AI315" s="31">
        <f>VLOOKUP($A315,kurspris!$A$1:$Q$835,8,FALSE)</f>
        <v>1</v>
      </c>
      <c r="AJ315" s="31">
        <f>VLOOKUP($A315,kurspris!$A$1:$Q$835,9,FALSE)</f>
        <v>0</v>
      </c>
      <c r="AK315" s="31">
        <f>VLOOKUP($A315,kurspris!$A$1:$Q$835,10,FALSE)</f>
        <v>0</v>
      </c>
      <c r="AL315" s="31">
        <f>VLOOKUP($A315,kurspris!$A$1:$Q$835,11,FALSE)</f>
        <v>0</v>
      </c>
      <c r="AM315" s="31">
        <f>VLOOKUP($A315,kurspris!$A$1:$Q$835,12,FALSE)</f>
        <v>0</v>
      </c>
      <c r="AN315" s="31">
        <f>VLOOKUP($A315,kurspris!$A$1:$Q$835,13,FALSE)</f>
        <v>0</v>
      </c>
      <c r="AO315" s="31">
        <f>VLOOKUP($A315,kurspris!$A$1:$Q$835,14,FALSE)</f>
        <v>0</v>
      </c>
      <c r="AP315" s="39" t="s">
        <v>2326</v>
      </c>
      <c r="AQ315" t="s">
        <v>2300</v>
      </c>
      <c r="AR315" s="31">
        <f t="shared" si="117"/>
        <v>0</v>
      </c>
      <c r="AS315" s="255">
        <f t="shared" si="118"/>
        <v>0</v>
      </c>
      <c r="AT315" s="31">
        <f t="shared" si="119"/>
        <v>0</v>
      </c>
      <c r="AU315" s="255">
        <f t="shared" si="120"/>
        <v>0</v>
      </c>
      <c r="AV315" s="31">
        <f t="shared" si="121"/>
        <v>0</v>
      </c>
      <c r="AW315" s="31">
        <f t="shared" si="122"/>
        <v>0</v>
      </c>
      <c r="AX315" s="31">
        <f t="shared" si="123"/>
        <v>0</v>
      </c>
      <c r="AY315" s="255">
        <f t="shared" si="124"/>
        <v>0</v>
      </c>
      <c r="AZ315" s="232">
        <f t="shared" si="125"/>
        <v>0</v>
      </c>
      <c r="BA315" s="255">
        <f t="shared" si="126"/>
        <v>0</v>
      </c>
      <c r="BB315" s="31">
        <f t="shared" si="127"/>
        <v>0.125</v>
      </c>
      <c r="BC315" s="255">
        <f t="shared" si="128"/>
        <v>0.10625</v>
      </c>
      <c r="BD315" s="31">
        <f t="shared" si="129"/>
        <v>0</v>
      </c>
      <c r="BE315" s="255">
        <f t="shared" si="130"/>
        <v>0</v>
      </c>
      <c r="BF315" s="31">
        <f t="shared" si="131"/>
        <v>0</v>
      </c>
      <c r="BG315" s="255">
        <f t="shared" si="132"/>
        <v>0</v>
      </c>
      <c r="BH315" s="31">
        <f t="shared" si="133"/>
        <v>0</v>
      </c>
      <c r="BI315" s="255">
        <f t="shared" si="134"/>
        <v>0</v>
      </c>
      <c r="BJ315" s="31">
        <f t="shared" si="135"/>
        <v>0</v>
      </c>
      <c r="BK315" s="31">
        <f t="shared" si="136"/>
        <v>0</v>
      </c>
      <c r="BL315" s="255">
        <f t="shared" si="137"/>
        <v>0</v>
      </c>
      <c r="BM315" s="31">
        <f t="shared" si="138"/>
        <v>0</v>
      </c>
      <c r="BN315" s="255">
        <f t="shared" si="139"/>
        <v>0</v>
      </c>
    </row>
    <row r="316" spans="1:66" x14ac:dyDescent="0.25">
      <c r="A316" t="s">
        <v>1500</v>
      </c>
      <c r="B316" s="186" t="str">
        <f>VLOOKUP(A316,kurspris!$A$1:$B$877,2,FALSE)</f>
        <v>Kemididaktik 1 för ämneslärare för gymnasium</v>
      </c>
      <c r="C316"/>
      <c r="D316" t="s">
        <v>483</v>
      </c>
      <c r="E316" t="s">
        <v>1976</v>
      </c>
      <c r="F316" s="59" t="s">
        <v>1930</v>
      </c>
      <c r="G316" t="s">
        <v>1979</v>
      </c>
      <c r="H316" t="s">
        <v>1910</v>
      </c>
      <c r="I316"/>
      <c r="J316" t="s">
        <v>773</v>
      </c>
      <c r="K316"/>
      <c r="L316">
        <v>50</v>
      </c>
      <c r="M316">
        <v>7.5</v>
      </c>
      <c r="N316"/>
      <c r="O316"/>
      <c r="P316" s="31">
        <v>1</v>
      </c>
      <c r="Q316" s="232">
        <f t="shared" si="112"/>
        <v>0.125</v>
      </c>
      <c r="R316" s="40">
        <v>0.85</v>
      </c>
      <c r="S316" s="334">
        <f t="shared" si="113"/>
        <v>0.10625</v>
      </c>
      <c r="T316" s="31">
        <f>VLOOKUP(A316,'Ansvar kurs'!$A$1:$C$1010,2,FALSE)</f>
        <v>5740</v>
      </c>
      <c r="U316" s="31" t="str">
        <f>VLOOKUP(T316,Orgenheter!$A$1:$C$165,2,FALSE)</f>
        <v>NMD</v>
      </c>
      <c r="V316" s="31" t="str">
        <f>VLOOKUP(T316,Orgenheter!$A$1:$C$165,3,FALSE)</f>
        <v>TekNat</v>
      </c>
      <c r="W316" s="37" t="str">
        <f>VLOOKUP(D316,Program!$A$1:$B$34,2,FALSE)</f>
        <v>Ämneslärarprogrammet - Gy</v>
      </c>
      <c r="X316" s="42">
        <f>VLOOKUP(A316,kurspris!$A$1:$Q$798,15,FALSE)</f>
        <v>19473</v>
      </c>
      <c r="Y316" s="42">
        <f>VLOOKUP(A316,kurspris!$A$1:$Q$798,16,FALSE)</f>
        <v>34806</v>
      </c>
      <c r="Z316" s="42">
        <f t="shared" si="114"/>
        <v>6132.2624999999998</v>
      </c>
      <c r="AA316" s="42">
        <f>VLOOKUP(A316,kurspris!$A$1:$Q$798,17,FALSE)</f>
        <v>21800</v>
      </c>
      <c r="AB316" s="42">
        <f t="shared" si="115"/>
        <v>2725</v>
      </c>
      <c r="AC316" s="42">
        <f t="shared" si="116"/>
        <v>8857.2625000000007</v>
      </c>
      <c r="AD316" s="31">
        <f>VLOOKUP($A316,kurspris!$A$1:$Q$835,3,FALSE)</f>
        <v>0</v>
      </c>
      <c r="AE316" s="31">
        <f>VLOOKUP($A316,kurspris!$A$1:$Q$835,4,FALSE)</f>
        <v>0</v>
      </c>
      <c r="AF316" s="31">
        <f>VLOOKUP($A316,kurspris!$A$1:$Q$835,5,FALSE)</f>
        <v>0</v>
      </c>
      <c r="AG316" s="31">
        <f>VLOOKUP($A316,kurspris!$A$1:$Q$835,6,FALSE)</f>
        <v>0</v>
      </c>
      <c r="AH316" s="31">
        <f>VLOOKUP($A316,kurspris!$A$1:$Q$835,7,FALSE)</f>
        <v>0</v>
      </c>
      <c r="AI316" s="31">
        <f>VLOOKUP($A316,kurspris!$A$1:$Q$835,8,FALSE)</f>
        <v>1</v>
      </c>
      <c r="AJ316" s="31">
        <f>VLOOKUP($A316,kurspris!$A$1:$Q$835,9,FALSE)</f>
        <v>0</v>
      </c>
      <c r="AK316" s="31">
        <f>VLOOKUP($A316,kurspris!$A$1:$Q$835,10,FALSE)</f>
        <v>0</v>
      </c>
      <c r="AL316" s="31">
        <f>VLOOKUP($A316,kurspris!$A$1:$Q$835,11,FALSE)</f>
        <v>0</v>
      </c>
      <c r="AM316" s="31">
        <f>VLOOKUP($A316,kurspris!$A$1:$Q$835,12,FALSE)</f>
        <v>0</v>
      </c>
      <c r="AN316" s="31">
        <f>VLOOKUP($A316,kurspris!$A$1:$Q$835,13,FALSE)</f>
        <v>0</v>
      </c>
      <c r="AO316" s="31">
        <f>VLOOKUP($A316,kurspris!$A$1:$Q$835,14,FALSE)</f>
        <v>0</v>
      </c>
      <c r="AP316" s="39" t="s">
        <v>2204</v>
      </c>
      <c r="AQ316"/>
      <c r="AR316" s="31">
        <f t="shared" si="117"/>
        <v>0</v>
      </c>
      <c r="AS316" s="255">
        <f t="shared" si="118"/>
        <v>0</v>
      </c>
      <c r="AT316" s="31">
        <f t="shared" si="119"/>
        <v>0</v>
      </c>
      <c r="AU316" s="255">
        <f t="shared" si="120"/>
        <v>0</v>
      </c>
      <c r="AV316" s="31">
        <f t="shared" si="121"/>
        <v>0</v>
      </c>
      <c r="AW316" s="31">
        <f t="shared" si="122"/>
        <v>0</v>
      </c>
      <c r="AX316" s="31">
        <f t="shared" si="123"/>
        <v>0</v>
      </c>
      <c r="AY316" s="255">
        <f t="shared" si="124"/>
        <v>0</v>
      </c>
      <c r="AZ316" s="232">
        <f t="shared" si="125"/>
        <v>0</v>
      </c>
      <c r="BA316" s="255">
        <f t="shared" si="126"/>
        <v>0</v>
      </c>
      <c r="BB316" s="31">
        <f t="shared" si="127"/>
        <v>0.125</v>
      </c>
      <c r="BC316" s="255">
        <f t="shared" si="128"/>
        <v>0.10625</v>
      </c>
      <c r="BD316" s="31">
        <f t="shared" si="129"/>
        <v>0</v>
      </c>
      <c r="BE316" s="255">
        <f t="shared" si="130"/>
        <v>0</v>
      </c>
      <c r="BF316" s="31">
        <f t="shared" si="131"/>
        <v>0</v>
      </c>
      <c r="BG316" s="255">
        <f t="shared" si="132"/>
        <v>0</v>
      </c>
      <c r="BH316" s="31">
        <f t="shared" si="133"/>
        <v>0</v>
      </c>
      <c r="BI316" s="255">
        <f t="shared" si="134"/>
        <v>0</v>
      </c>
      <c r="BJ316" s="31">
        <f t="shared" si="135"/>
        <v>0</v>
      </c>
      <c r="BK316" s="31">
        <f t="shared" si="136"/>
        <v>0</v>
      </c>
      <c r="BL316" s="255">
        <f t="shared" si="137"/>
        <v>0</v>
      </c>
      <c r="BM316" s="31">
        <f t="shared" si="138"/>
        <v>0</v>
      </c>
      <c r="BN316" s="255">
        <f t="shared" si="139"/>
        <v>0</v>
      </c>
    </row>
    <row r="317" spans="1:66" x14ac:dyDescent="0.25">
      <c r="A317" t="s">
        <v>1500</v>
      </c>
      <c r="B317" s="186" t="str">
        <f>VLOOKUP(A317,kurspris!$A$1:$B$877,2,FALSE)</f>
        <v>Kemididaktik 1 för ämneslärare för gymnasium</v>
      </c>
      <c r="C317"/>
      <c r="D317" t="s">
        <v>483</v>
      </c>
      <c r="E317" t="s">
        <v>1973</v>
      </c>
      <c r="F317" s="59" t="s">
        <v>1930</v>
      </c>
      <c r="G317" t="s">
        <v>1979</v>
      </c>
      <c r="H317" t="s">
        <v>1910</v>
      </c>
      <c r="I317"/>
      <c r="J317" t="s">
        <v>774</v>
      </c>
      <c r="K317"/>
      <c r="L317">
        <v>50</v>
      </c>
      <c r="M317">
        <v>7.5</v>
      </c>
      <c r="N317"/>
      <c r="O317"/>
      <c r="P317" s="31">
        <v>1</v>
      </c>
      <c r="Q317" s="232">
        <f t="shared" si="112"/>
        <v>0.125</v>
      </c>
      <c r="R317" s="40">
        <v>0.85</v>
      </c>
      <c r="S317" s="334">
        <f t="shared" si="113"/>
        <v>0.10625</v>
      </c>
      <c r="T317" s="31">
        <f>VLOOKUP(A317,'Ansvar kurs'!$A$1:$C$1010,2,FALSE)</f>
        <v>5740</v>
      </c>
      <c r="U317" s="31" t="str">
        <f>VLOOKUP(T317,Orgenheter!$A$1:$C$165,2,FALSE)</f>
        <v>NMD</v>
      </c>
      <c r="V317" s="31" t="str">
        <f>VLOOKUP(T317,Orgenheter!$A$1:$C$165,3,FALSE)</f>
        <v>TekNat</v>
      </c>
      <c r="W317" s="37" t="str">
        <f>VLOOKUP(D317,Program!$A$1:$B$34,2,FALSE)</f>
        <v>Ämneslärarprogrammet - Gy</v>
      </c>
      <c r="X317" s="42">
        <f>VLOOKUP(A317,kurspris!$A$1:$Q$798,15,FALSE)</f>
        <v>19473</v>
      </c>
      <c r="Y317" s="42">
        <f>VLOOKUP(A317,kurspris!$A$1:$Q$798,16,FALSE)</f>
        <v>34806</v>
      </c>
      <c r="Z317" s="42">
        <f t="shared" si="114"/>
        <v>6132.2624999999998</v>
      </c>
      <c r="AA317" s="42">
        <f>VLOOKUP(A317,kurspris!$A$1:$Q$798,17,FALSE)</f>
        <v>21800</v>
      </c>
      <c r="AB317" s="42">
        <f t="shared" si="115"/>
        <v>2725</v>
      </c>
      <c r="AC317" s="42">
        <f t="shared" si="116"/>
        <v>8857.2625000000007</v>
      </c>
      <c r="AD317" s="31">
        <f>VLOOKUP($A317,kurspris!$A$1:$Q$835,3,FALSE)</f>
        <v>0</v>
      </c>
      <c r="AE317" s="31">
        <f>VLOOKUP($A317,kurspris!$A$1:$Q$835,4,FALSE)</f>
        <v>0</v>
      </c>
      <c r="AF317" s="31">
        <f>VLOOKUP($A317,kurspris!$A$1:$Q$835,5,FALSE)</f>
        <v>0</v>
      </c>
      <c r="AG317" s="31">
        <f>VLOOKUP($A317,kurspris!$A$1:$Q$835,6,FALSE)</f>
        <v>0</v>
      </c>
      <c r="AH317" s="31">
        <f>VLOOKUP($A317,kurspris!$A$1:$Q$835,7,FALSE)</f>
        <v>0</v>
      </c>
      <c r="AI317" s="31">
        <f>VLOOKUP($A317,kurspris!$A$1:$Q$835,8,FALSE)</f>
        <v>1</v>
      </c>
      <c r="AJ317" s="31">
        <f>VLOOKUP($A317,kurspris!$A$1:$Q$835,9,FALSE)</f>
        <v>0</v>
      </c>
      <c r="AK317" s="31">
        <f>VLOOKUP($A317,kurspris!$A$1:$Q$835,10,FALSE)</f>
        <v>0</v>
      </c>
      <c r="AL317" s="31">
        <f>VLOOKUP($A317,kurspris!$A$1:$Q$835,11,FALSE)</f>
        <v>0</v>
      </c>
      <c r="AM317" s="31">
        <f>VLOOKUP($A317,kurspris!$A$1:$Q$835,12,FALSE)</f>
        <v>0</v>
      </c>
      <c r="AN317" s="31">
        <f>VLOOKUP($A317,kurspris!$A$1:$Q$835,13,FALSE)</f>
        <v>0</v>
      </c>
      <c r="AO317" s="31">
        <f>VLOOKUP($A317,kurspris!$A$1:$Q$835,14,FALSE)</f>
        <v>0</v>
      </c>
      <c r="AP317" s="39" t="s">
        <v>2204</v>
      </c>
      <c r="AQ317"/>
      <c r="AR317" s="31">
        <f t="shared" si="117"/>
        <v>0</v>
      </c>
      <c r="AS317" s="255">
        <f t="shared" si="118"/>
        <v>0</v>
      </c>
      <c r="AT317" s="31">
        <f t="shared" si="119"/>
        <v>0</v>
      </c>
      <c r="AU317" s="255">
        <f t="shared" si="120"/>
        <v>0</v>
      </c>
      <c r="AV317" s="31">
        <f t="shared" si="121"/>
        <v>0</v>
      </c>
      <c r="AW317" s="31">
        <f t="shared" si="122"/>
        <v>0</v>
      </c>
      <c r="AX317" s="31">
        <f t="shared" si="123"/>
        <v>0</v>
      </c>
      <c r="AY317" s="255">
        <f t="shared" si="124"/>
        <v>0</v>
      </c>
      <c r="AZ317" s="232">
        <f t="shared" si="125"/>
        <v>0</v>
      </c>
      <c r="BA317" s="255">
        <f t="shared" si="126"/>
        <v>0</v>
      </c>
      <c r="BB317" s="31">
        <f t="shared" si="127"/>
        <v>0.125</v>
      </c>
      <c r="BC317" s="255">
        <f t="shared" si="128"/>
        <v>0.10625</v>
      </c>
      <c r="BD317" s="31">
        <f t="shared" si="129"/>
        <v>0</v>
      </c>
      <c r="BE317" s="255">
        <f t="shared" si="130"/>
        <v>0</v>
      </c>
      <c r="BF317" s="31">
        <f t="shared" si="131"/>
        <v>0</v>
      </c>
      <c r="BG317" s="255">
        <f t="shared" si="132"/>
        <v>0</v>
      </c>
      <c r="BH317" s="31">
        <f t="shared" si="133"/>
        <v>0</v>
      </c>
      <c r="BI317" s="255">
        <f t="shared" si="134"/>
        <v>0</v>
      </c>
      <c r="BJ317" s="31">
        <f t="shared" si="135"/>
        <v>0</v>
      </c>
      <c r="BK317" s="31">
        <f t="shared" si="136"/>
        <v>0</v>
      </c>
      <c r="BL317" s="255">
        <f t="shared" si="137"/>
        <v>0</v>
      </c>
      <c r="BM317" s="31">
        <f t="shared" si="138"/>
        <v>0</v>
      </c>
      <c r="BN317" s="255">
        <f t="shared" si="139"/>
        <v>0</v>
      </c>
    </row>
    <row r="318" spans="1:66" x14ac:dyDescent="0.25">
      <c r="A318" t="s">
        <v>1500</v>
      </c>
      <c r="B318" s="186" t="str">
        <f>VLOOKUP(A318,kurspris!$A$1:$B$877,2,FALSE)</f>
        <v>Kemididaktik 1 för ämneslärare för gymnasium</v>
      </c>
      <c r="C318"/>
      <c r="D318" t="s">
        <v>483</v>
      </c>
      <c r="E318" t="s">
        <v>1788</v>
      </c>
      <c r="F318" s="59" t="s">
        <v>1930</v>
      </c>
      <c r="G318" t="s">
        <v>1979</v>
      </c>
      <c r="H318" t="s">
        <v>1910</v>
      </c>
      <c r="I318"/>
      <c r="J318" t="s">
        <v>1591</v>
      </c>
      <c r="K318"/>
      <c r="L318">
        <v>50</v>
      </c>
      <c r="M318">
        <v>7.5</v>
      </c>
      <c r="N318"/>
      <c r="O318"/>
      <c r="P318" s="31">
        <v>1</v>
      </c>
      <c r="Q318" s="232">
        <f t="shared" si="112"/>
        <v>0.125</v>
      </c>
      <c r="R318" s="40">
        <v>0.85</v>
      </c>
      <c r="S318" s="334">
        <f t="shared" si="113"/>
        <v>0.10625</v>
      </c>
      <c r="T318" s="31">
        <f>VLOOKUP(A318,'Ansvar kurs'!$A$1:$C$1010,2,FALSE)</f>
        <v>5740</v>
      </c>
      <c r="U318" s="31" t="str">
        <f>VLOOKUP(T318,Orgenheter!$A$1:$C$165,2,FALSE)</f>
        <v>NMD</v>
      </c>
      <c r="V318" s="31" t="str">
        <f>VLOOKUP(T318,Orgenheter!$A$1:$C$165,3,FALSE)</f>
        <v>TekNat</v>
      </c>
      <c r="W318" s="37" t="str">
        <f>VLOOKUP(D318,Program!$A$1:$B$34,2,FALSE)</f>
        <v>Ämneslärarprogrammet - Gy</v>
      </c>
      <c r="X318" s="42">
        <f>VLOOKUP(A318,kurspris!$A$1:$Q$798,15,FALSE)</f>
        <v>19473</v>
      </c>
      <c r="Y318" s="42">
        <f>VLOOKUP(A318,kurspris!$A$1:$Q$798,16,FALSE)</f>
        <v>34806</v>
      </c>
      <c r="Z318" s="42">
        <f t="shared" si="114"/>
        <v>6132.2624999999998</v>
      </c>
      <c r="AA318" s="42">
        <f>VLOOKUP(A318,kurspris!$A$1:$Q$798,17,FALSE)</f>
        <v>21800</v>
      </c>
      <c r="AB318" s="42">
        <f t="shared" si="115"/>
        <v>2725</v>
      </c>
      <c r="AC318" s="42">
        <f t="shared" si="116"/>
        <v>8857.2625000000007</v>
      </c>
      <c r="AD318" s="31">
        <f>VLOOKUP($A318,kurspris!$A$1:$Q$835,3,FALSE)</f>
        <v>0</v>
      </c>
      <c r="AE318" s="31">
        <f>VLOOKUP($A318,kurspris!$A$1:$Q$835,4,FALSE)</f>
        <v>0</v>
      </c>
      <c r="AF318" s="31">
        <f>VLOOKUP($A318,kurspris!$A$1:$Q$835,5,FALSE)</f>
        <v>0</v>
      </c>
      <c r="AG318" s="31">
        <f>VLOOKUP($A318,kurspris!$A$1:$Q$835,6,FALSE)</f>
        <v>0</v>
      </c>
      <c r="AH318" s="31">
        <f>VLOOKUP($A318,kurspris!$A$1:$Q$835,7,FALSE)</f>
        <v>0</v>
      </c>
      <c r="AI318" s="31">
        <f>VLOOKUP($A318,kurspris!$A$1:$Q$835,8,FALSE)</f>
        <v>1</v>
      </c>
      <c r="AJ318" s="31">
        <f>VLOOKUP($A318,kurspris!$A$1:$Q$835,9,FALSE)</f>
        <v>0</v>
      </c>
      <c r="AK318" s="31">
        <f>VLOOKUP($A318,kurspris!$A$1:$Q$835,10,FALSE)</f>
        <v>0</v>
      </c>
      <c r="AL318" s="31">
        <f>VLOOKUP($A318,kurspris!$A$1:$Q$835,11,FALSE)</f>
        <v>0</v>
      </c>
      <c r="AM318" s="31">
        <f>VLOOKUP($A318,kurspris!$A$1:$Q$835,12,FALSE)</f>
        <v>0</v>
      </c>
      <c r="AN318" s="31">
        <f>VLOOKUP($A318,kurspris!$A$1:$Q$835,13,FALSE)</f>
        <v>0</v>
      </c>
      <c r="AO318" s="31">
        <f>VLOOKUP($A318,kurspris!$A$1:$Q$835,14,FALSE)</f>
        <v>0</v>
      </c>
      <c r="AP318" s="39" t="s">
        <v>2204</v>
      </c>
      <c r="AQ318"/>
      <c r="AR318" s="31">
        <f t="shared" si="117"/>
        <v>0</v>
      </c>
      <c r="AS318" s="255">
        <f t="shared" si="118"/>
        <v>0</v>
      </c>
      <c r="AT318" s="31">
        <f t="shared" si="119"/>
        <v>0</v>
      </c>
      <c r="AU318" s="255">
        <f t="shared" si="120"/>
        <v>0</v>
      </c>
      <c r="AV318" s="31">
        <f t="shared" si="121"/>
        <v>0</v>
      </c>
      <c r="AW318" s="31">
        <f t="shared" si="122"/>
        <v>0</v>
      </c>
      <c r="AX318" s="31">
        <f t="shared" si="123"/>
        <v>0</v>
      </c>
      <c r="AY318" s="255">
        <f t="shared" si="124"/>
        <v>0</v>
      </c>
      <c r="AZ318" s="232">
        <f t="shared" si="125"/>
        <v>0</v>
      </c>
      <c r="BA318" s="255">
        <f t="shared" si="126"/>
        <v>0</v>
      </c>
      <c r="BB318" s="31">
        <f t="shared" si="127"/>
        <v>0.125</v>
      </c>
      <c r="BC318" s="255">
        <f t="shared" si="128"/>
        <v>0.10625</v>
      </c>
      <c r="BD318" s="31">
        <f t="shared" si="129"/>
        <v>0</v>
      </c>
      <c r="BE318" s="255">
        <f t="shared" si="130"/>
        <v>0</v>
      </c>
      <c r="BF318" s="31">
        <f t="shared" si="131"/>
        <v>0</v>
      </c>
      <c r="BG318" s="255">
        <f t="shared" si="132"/>
        <v>0</v>
      </c>
      <c r="BH318" s="31">
        <f t="shared" si="133"/>
        <v>0</v>
      </c>
      <c r="BI318" s="255">
        <f t="shared" si="134"/>
        <v>0</v>
      </c>
      <c r="BJ318" s="31">
        <f t="shared" si="135"/>
        <v>0</v>
      </c>
      <c r="BK318" s="31">
        <f t="shared" si="136"/>
        <v>0</v>
      </c>
      <c r="BL318" s="255">
        <f t="shared" si="137"/>
        <v>0</v>
      </c>
      <c r="BM318" s="31">
        <f t="shared" si="138"/>
        <v>0</v>
      </c>
      <c r="BN318" s="255">
        <f t="shared" si="139"/>
        <v>0</v>
      </c>
    </row>
    <row r="319" spans="1:66" x14ac:dyDescent="0.25">
      <c r="A319" t="s">
        <v>1501</v>
      </c>
      <c r="B319" s="186" t="str">
        <f>VLOOKUP(A319,kurspris!$A$1:$B$877,2,FALSE)</f>
        <v>Kemididaktik 2 för ämneslärare för gymnasium</v>
      </c>
      <c r="C319"/>
      <c r="D319" t="s">
        <v>483</v>
      </c>
      <c r="E319" t="s">
        <v>1976</v>
      </c>
      <c r="F319" s="59" t="s">
        <v>1930</v>
      </c>
      <c r="G319" t="s">
        <v>1980</v>
      </c>
      <c r="H319" t="s">
        <v>1910</v>
      </c>
      <c r="I319"/>
      <c r="J319" t="s">
        <v>773</v>
      </c>
      <c r="K319"/>
      <c r="L319">
        <v>50</v>
      </c>
      <c r="M319">
        <v>7.5</v>
      </c>
      <c r="N319"/>
      <c r="O319"/>
      <c r="P319" s="31">
        <v>1</v>
      </c>
      <c r="Q319" s="232">
        <f t="shared" si="112"/>
        <v>0.125</v>
      </c>
      <c r="R319" s="40">
        <v>0.85</v>
      </c>
      <c r="S319" s="334">
        <f t="shared" si="113"/>
        <v>0.10625</v>
      </c>
      <c r="T319" s="31">
        <f>VLOOKUP(A319,'Ansvar kurs'!$A$1:$C$1010,2,FALSE)</f>
        <v>5740</v>
      </c>
      <c r="U319" s="31" t="str">
        <f>VLOOKUP(T319,Orgenheter!$A$1:$C$165,2,FALSE)</f>
        <v>NMD</v>
      </c>
      <c r="V319" s="31" t="str">
        <f>VLOOKUP(T319,Orgenheter!$A$1:$C$165,3,FALSE)</f>
        <v>TekNat</v>
      </c>
      <c r="W319" s="37" t="str">
        <f>VLOOKUP(D319,Program!$A$1:$B$34,2,FALSE)</f>
        <v>Ämneslärarprogrammet - Gy</v>
      </c>
      <c r="X319" s="42">
        <f>VLOOKUP(A319,kurspris!$A$1:$Q$798,15,FALSE)</f>
        <v>19473</v>
      </c>
      <c r="Y319" s="42">
        <f>VLOOKUP(A319,kurspris!$A$1:$Q$798,16,FALSE)</f>
        <v>34806</v>
      </c>
      <c r="Z319" s="42">
        <f t="shared" si="114"/>
        <v>6132.2624999999998</v>
      </c>
      <c r="AA319" s="42">
        <f>VLOOKUP(A319,kurspris!$A$1:$Q$798,17,FALSE)</f>
        <v>21800</v>
      </c>
      <c r="AB319" s="42">
        <f t="shared" si="115"/>
        <v>2725</v>
      </c>
      <c r="AC319" s="42">
        <f t="shared" si="116"/>
        <v>8857.2625000000007</v>
      </c>
      <c r="AD319" s="31">
        <f>VLOOKUP($A319,kurspris!$A$1:$Q$835,3,FALSE)</f>
        <v>0</v>
      </c>
      <c r="AE319" s="31">
        <f>VLOOKUP($A319,kurspris!$A$1:$Q$835,4,FALSE)</f>
        <v>0</v>
      </c>
      <c r="AF319" s="31">
        <f>VLOOKUP($A319,kurspris!$A$1:$Q$835,5,FALSE)</f>
        <v>0</v>
      </c>
      <c r="AG319" s="31">
        <f>VLOOKUP($A319,kurspris!$A$1:$Q$835,6,FALSE)</f>
        <v>0</v>
      </c>
      <c r="AH319" s="31">
        <f>VLOOKUP($A319,kurspris!$A$1:$Q$835,7,FALSE)</f>
        <v>0</v>
      </c>
      <c r="AI319" s="31">
        <f>VLOOKUP($A319,kurspris!$A$1:$Q$835,8,FALSE)</f>
        <v>1</v>
      </c>
      <c r="AJ319" s="31">
        <f>VLOOKUP($A319,kurspris!$A$1:$Q$835,9,FALSE)</f>
        <v>0</v>
      </c>
      <c r="AK319" s="31">
        <f>VLOOKUP($A319,kurspris!$A$1:$Q$835,10,FALSE)</f>
        <v>0</v>
      </c>
      <c r="AL319" s="31">
        <f>VLOOKUP($A319,kurspris!$A$1:$Q$835,11,FALSE)</f>
        <v>0</v>
      </c>
      <c r="AM319" s="31">
        <f>VLOOKUP($A319,kurspris!$A$1:$Q$835,12,FALSE)</f>
        <v>0</v>
      </c>
      <c r="AN319" s="31">
        <f>VLOOKUP($A319,kurspris!$A$1:$Q$835,13,FALSE)</f>
        <v>0</v>
      </c>
      <c r="AO319" s="31">
        <f>VLOOKUP($A319,kurspris!$A$1:$Q$835,14,FALSE)</f>
        <v>0</v>
      </c>
      <c r="AP319" s="39" t="s">
        <v>2232</v>
      </c>
      <c r="AQ319"/>
      <c r="AR319" s="31">
        <f t="shared" si="117"/>
        <v>0</v>
      </c>
      <c r="AS319" s="255">
        <f t="shared" si="118"/>
        <v>0</v>
      </c>
      <c r="AT319" s="31">
        <f t="shared" si="119"/>
        <v>0</v>
      </c>
      <c r="AU319" s="255">
        <f t="shared" si="120"/>
        <v>0</v>
      </c>
      <c r="AV319" s="31">
        <f t="shared" si="121"/>
        <v>0</v>
      </c>
      <c r="AW319" s="31">
        <f t="shared" si="122"/>
        <v>0</v>
      </c>
      <c r="AX319" s="31">
        <f t="shared" si="123"/>
        <v>0</v>
      </c>
      <c r="AY319" s="255">
        <f t="shared" si="124"/>
        <v>0</v>
      </c>
      <c r="AZ319" s="232">
        <f t="shared" si="125"/>
        <v>0</v>
      </c>
      <c r="BA319" s="255">
        <f t="shared" si="126"/>
        <v>0</v>
      </c>
      <c r="BB319" s="31">
        <f t="shared" si="127"/>
        <v>0.125</v>
      </c>
      <c r="BC319" s="255">
        <f t="shared" si="128"/>
        <v>0.10625</v>
      </c>
      <c r="BD319" s="31">
        <f t="shared" si="129"/>
        <v>0</v>
      </c>
      <c r="BE319" s="255">
        <f t="shared" si="130"/>
        <v>0</v>
      </c>
      <c r="BF319" s="31">
        <f t="shared" si="131"/>
        <v>0</v>
      </c>
      <c r="BG319" s="255">
        <f t="shared" si="132"/>
        <v>0</v>
      </c>
      <c r="BH319" s="31">
        <f t="shared" si="133"/>
        <v>0</v>
      </c>
      <c r="BI319" s="255">
        <f t="shared" si="134"/>
        <v>0</v>
      </c>
      <c r="BJ319" s="31">
        <f t="shared" si="135"/>
        <v>0</v>
      </c>
      <c r="BK319" s="31">
        <f t="shared" si="136"/>
        <v>0</v>
      </c>
      <c r="BL319" s="255">
        <f t="shared" si="137"/>
        <v>0</v>
      </c>
      <c r="BM319" s="31">
        <f t="shared" si="138"/>
        <v>0</v>
      </c>
      <c r="BN319" s="255">
        <f t="shared" si="139"/>
        <v>0</v>
      </c>
    </row>
    <row r="320" spans="1:66" x14ac:dyDescent="0.25">
      <c r="A320" t="s">
        <v>1501</v>
      </c>
      <c r="B320" s="186" t="str">
        <f>VLOOKUP(A320,kurspris!$A$1:$B$877,2,FALSE)</f>
        <v>Kemididaktik 2 för ämneslärare för gymnasium</v>
      </c>
      <c r="C320"/>
      <c r="D320" t="s">
        <v>483</v>
      </c>
      <c r="E320" t="s">
        <v>1973</v>
      </c>
      <c r="F320" s="59" t="s">
        <v>1930</v>
      </c>
      <c r="G320" t="s">
        <v>1980</v>
      </c>
      <c r="H320" t="s">
        <v>1910</v>
      </c>
      <c r="I320"/>
      <c r="J320" t="s">
        <v>774</v>
      </c>
      <c r="K320"/>
      <c r="L320">
        <v>50</v>
      </c>
      <c r="M320">
        <v>7.5</v>
      </c>
      <c r="N320"/>
      <c r="O320"/>
      <c r="P320" s="31">
        <v>1</v>
      </c>
      <c r="Q320" s="232">
        <f t="shared" si="112"/>
        <v>0.125</v>
      </c>
      <c r="R320" s="40">
        <v>0.85</v>
      </c>
      <c r="S320" s="334">
        <f t="shared" si="113"/>
        <v>0.10625</v>
      </c>
      <c r="T320" s="31">
        <f>VLOOKUP(A320,'Ansvar kurs'!$A$1:$C$1010,2,FALSE)</f>
        <v>5740</v>
      </c>
      <c r="U320" s="31" t="str">
        <f>VLOOKUP(T320,Orgenheter!$A$1:$C$165,2,FALSE)</f>
        <v>NMD</v>
      </c>
      <c r="V320" s="31" t="str">
        <f>VLOOKUP(T320,Orgenheter!$A$1:$C$165,3,FALSE)</f>
        <v>TekNat</v>
      </c>
      <c r="W320" s="37" t="str">
        <f>VLOOKUP(D320,Program!$A$1:$B$34,2,FALSE)</f>
        <v>Ämneslärarprogrammet - Gy</v>
      </c>
      <c r="X320" s="42">
        <f>VLOOKUP(A320,kurspris!$A$1:$Q$798,15,FALSE)</f>
        <v>19473</v>
      </c>
      <c r="Y320" s="42">
        <f>VLOOKUP(A320,kurspris!$A$1:$Q$798,16,FALSE)</f>
        <v>34806</v>
      </c>
      <c r="Z320" s="42">
        <f t="shared" si="114"/>
        <v>6132.2624999999998</v>
      </c>
      <c r="AA320" s="42">
        <f>VLOOKUP(A320,kurspris!$A$1:$Q$798,17,FALSE)</f>
        <v>21800</v>
      </c>
      <c r="AB320" s="42">
        <f t="shared" si="115"/>
        <v>2725</v>
      </c>
      <c r="AC320" s="42">
        <f t="shared" si="116"/>
        <v>8857.2625000000007</v>
      </c>
      <c r="AD320" s="31">
        <f>VLOOKUP($A320,kurspris!$A$1:$Q$835,3,FALSE)</f>
        <v>0</v>
      </c>
      <c r="AE320" s="31">
        <f>VLOOKUP($A320,kurspris!$A$1:$Q$835,4,FALSE)</f>
        <v>0</v>
      </c>
      <c r="AF320" s="31">
        <f>VLOOKUP($A320,kurspris!$A$1:$Q$835,5,FALSE)</f>
        <v>0</v>
      </c>
      <c r="AG320" s="31">
        <f>VLOOKUP($A320,kurspris!$A$1:$Q$835,6,FALSE)</f>
        <v>0</v>
      </c>
      <c r="AH320" s="31">
        <f>VLOOKUP($A320,kurspris!$A$1:$Q$835,7,FALSE)</f>
        <v>0</v>
      </c>
      <c r="AI320" s="31">
        <f>VLOOKUP($A320,kurspris!$A$1:$Q$835,8,FALSE)</f>
        <v>1</v>
      </c>
      <c r="AJ320" s="31">
        <f>VLOOKUP($A320,kurspris!$A$1:$Q$835,9,FALSE)</f>
        <v>0</v>
      </c>
      <c r="AK320" s="31">
        <f>VLOOKUP($A320,kurspris!$A$1:$Q$835,10,FALSE)</f>
        <v>0</v>
      </c>
      <c r="AL320" s="31">
        <f>VLOOKUP($A320,kurspris!$A$1:$Q$835,11,FALSE)</f>
        <v>0</v>
      </c>
      <c r="AM320" s="31">
        <f>VLOOKUP($A320,kurspris!$A$1:$Q$835,12,FALSE)</f>
        <v>0</v>
      </c>
      <c r="AN320" s="31">
        <f>VLOOKUP($A320,kurspris!$A$1:$Q$835,13,FALSE)</f>
        <v>0</v>
      </c>
      <c r="AO320" s="31">
        <f>VLOOKUP($A320,kurspris!$A$1:$Q$835,14,FALSE)</f>
        <v>0</v>
      </c>
      <c r="AP320" s="39" t="s">
        <v>2232</v>
      </c>
      <c r="AQ320"/>
      <c r="AR320" s="31">
        <f t="shared" si="117"/>
        <v>0</v>
      </c>
      <c r="AS320" s="255">
        <f t="shared" si="118"/>
        <v>0</v>
      </c>
      <c r="AT320" s="31">
        <f t="shared" si="119"/>
        <v>0</v>
      </c>
      <c r="AU320" s="255">
        <f t="shared" si="120"/>
        <v>0</v>
      </c>
      <c r="AV320" s="31">
        <f t="shared" si="121"/>
        <v>0</v>
      </c>
      <c r="AW320" s="31">
        <f t="shared" si="122"/>
        <v>0</v>
      </c>
      <c r="AX320" s="31">
        <f t="shared" si="123"/>
        <v>0</v>
      </c>
      <c r="AY320" s="255">
        <f t="shared" si="124"/>
        <v>0</v>
      </c>
      <c r="AZ320" s="232">
        <f t="shared" si="125"/>
        <v>0</v>
      </c>
      <c r="BA320" s="255">
        <f t="shared" si="126"/>
        <v>0</v>
      </c>
      <c r="BB320" s="31">
        <f t="shared" si="127"/>
        <v>0.125</v>
      </c>
      <c r="BC320" s="255">
        <f t="shared" si="128"/>
        <v>0.10625</v>
      </c>
      <c r="BD320" s="31">
        <f t="shared" si="129"/>
        <v>0</v>
      </c>
      <c r="BE320" s="255">
        <f t="shared" si="130"/>
        <v>0</v>
      </c>
      <c r="BF320" s="31">
        <f t="shared" si="131"/>
        <v>0</v>
      </c>
      <c r="BG320" s="255">
        <f t="shared" si="132"/>
        <v>0</v>
      </c>
      <c r="BH320" s="31">
        <f t="shared" si="133"/>
        <v>0</v>
      </c>
      <c r="BI320" s="255">
        <f t="shared" si="134"/>
        <v>0</v>
      </c>
      <c r="BJ320" s="31">
        <f t="shared" si="135"/>
        <v>0</v>
      </c>
      <c r="BK320" s="31">
        <f t="shared" si="136"/>
        <v>0</v>
      </c>
      <c r="BL320" s="255">
        <f t="shared" si="137"/>
        <v>0</v>
      </c>
      <c r="BM320" s="31">
        <f t="shared" si="138"/>
        <v>0</v>
      </c>
      <c r="BN320" s="255">
        <f t="shared" si="139"/>
        <v>0</v>
      </c>
    </row>
    <row r="321" spans="1:66" x14ac:dyDescent="0.25">
      <c r="A321" t="s">
        <v>2113</v>
      </c>
      <c r="B321" s="186" t="str">
        <f>VLOOKUP(A321,kurspris!$A$1:$B$877,2,FALSE)</f>
        <v>Ekonomisk och soial geografi</v>
      </c>
      <c r="C321"/>
      <c r="D321" t="s">
        <v>483</v>
      </c>
      <c r="E321" t="s">
        <v>1976</v>
      </c>
      <c r="F321" s="59" t="s">
        <v>1930</v>
      </c>
      <c r="G321" t="s">
        <v>1979</v>
      </c>
      <c r="H321" t="s">
        <v>1910</v>
      </c>
      <c r="I321"/>
      <c r="J321" t="s">
        <v>772</v>
      </c>
      <c r="K321"/>
      <c r="L321">
        <v>100</v>
      </c>
      <c r="M321">
        <v>15</v>
      </c>
      <c r="N321"/>
      <c r="O321"/>
      <c r="P321" s="31">
        <v>2</v>
      </c>
      <c r="Q321" s="232">
        <f t="shared" ref="Q321:Q384" si="140">(M321/60)*P321</f>
        <v>0.5</v>
      </c>
      <c r="R321" s="40">
        <v>0.85</v>
      </c>
      <c r="S321" s="334">
        <f t="shared" ref="S321:S384" si="141">Q321*R321</f>
        <v>0.42499999999999999</v>
      </c>
      <c r="T321" s="31">
        <f>VLOOKUP(A321,'Ansvar kurs'!$A$1:$C$1010,2,FALSE)</f>
        <v>2500</v>
      </c>
      <c r="U321" s="31" t="str">
        <f>VLOOKUP(T321,Orgenheter!$A$1:$C$165,2,FALSE)</f>
        <v>Geografi</v>
      </c>
      <c r="V321" s="31" t="str">
        <f>VLOOKUP(T321,Orgenheter!$A$1:$C$165,3,FALSE)</f>
        <v>Sam</v>
      </c>
      <c r="W321" s="37" t="str">
        <f>VLOOKUP(D321,Program!$A$1:$B$34,2,FALSE)</f>
        <v>Ämneslärarprogrammet - Gy</v>
      </c>
      <c r="X321" s="42">
        <f>VLOOKUP(A321,kurspris!$A$1:$Q$798,15,FALSE)</f>
        <v>18672</v>
      </c>
      <c r="Y321" s="42">
        <f>VLOOKUP(A321,kurspris!$A$1:$Q$798,16,FALSE)</f>
        <v>20531.25</v>
      </c>
      <c r="Z321" s="42">
        <f t="shared" ref="Z321:Z384" si="142">X321*Q321+S321*Y321</f>
        <v>18061.78125</v>
      </c>
      <c r="AA321" s="42">
        <f>VLOOKUP(A321,kurspris!$A$1:$Q$798,17,FALSE)</f>
        <v>9800</v>
      </c>
      <c r="AB321" s="42">
        <f t="shared" ref="AB321:AB384" si="143">AA321*Q321</f>
        <v>4900</v>
      </c>
      <c r="AC321" s="42">
        <f t="shared" ref="AC321:AC384" si="144">Z321+AB321</f>
        <v>22961.78125</v>
      </c>
      <c r="AD321" s="31">
        <f>VLOOKUP($A321,kurspris!$A$1:$Q$835,3,FALSE)</f>
        <v>0</v>
      </c>
      <c r="AE321" s="31">
        <f>VLOOKUP($A321,kurspris!$A$1:$Q$835,4,FALSE)</f>
        <v>0</v>
      </c>
      <c r="AF321" s="31">
        <f>VLOOKUP($A321,kurspris!$A$1:$Q$835,5,FALSE)</f>
        <v>0</v>
      </c>
      <c r="AG321" s="31">
        <f>VLOOKUP($A321,kurspris!$A$1:$Q$835,6,FALSE)</f>
        <v>0</v>
      </c>
      <c r="AH321" s="31">
        <f>VLOOKUP($A321,kurspris!$A$1:$Q$835,7,FALSE)</f>
        <v>0</v>
      </c>
      <c r="AI321" s="31">
        <f>VLOOKUP($A321,kurspris!$A$1:$Q$835,8,FALSE)</f>
        <v>0.25</v>
      </c>
      <c r="AJ321" s="31">
        <f>VLOOKUP($A321,kurspris!$A$1:$Q$835,9,FALSE)</f>
        <v>0.75</v>
      </c>
      <c r="AK321" s="31">
        <f>VLOOKUP($A321,kurspris!$A$1:$Q$835,10,FALSE)</f>
        <v>0</v>
      </c>
      <c r="AL321" s="31">
        <f>VLOOKUP($A321,kurspris!$A$1:$Q$835,11,FALSE)</f>
        <v>0</v>
      </c>
      <c r="AM321" s="31">
        <f>VLOOKUP($A321,kurspris!$A$1:$Q$835,12,FALSE)</f>
        <v>0</v>
      </c>
      <c r="AN321" s="31">
        <f>VLOOKUP($A321,kurspris!$A$1:$Q$835,13,FALSE)</f>
        <v>0</v>
      </c>
      <c r="AO321" s="31">
        <f>VLOOKUP($A321,kurspris!$A$1:$Q$835,14,FALSE)</f>
        <v>0</v>
      </c>
      <c r="AP321" s="39" t="s">
        <v>2204</v>
      </c>
      <c r="AQ321"/>
      <c r="AR321" s="31">
        <f t="shared" ref="AR321:AR384" si="145">$Q321*AD321</f>
        <v>0</v>
      </c>
      <c r="AS321" s="255">
        <f t="shared" ref="AS321:AS384" si="146">$S321*AD321</f>
        <v>0</v>
      </c>
      <c r="AT321" s="31">
        <f t="shared" ref="AT321:AT384" si="147">$Q321*AE321</f>
        <v>0</v>
      </c>
      <c r="AU321" s="255">
        <f t="shared" ref="AU321:AU384" si="148">$S321*AE321</f>
        <v>0</v>
      </c>
      <c r="AV321" s="31">
        <f t="shared" ref="AV321:AV384" si="149">$Q321*AF321</f>
        <v>0</v>
      </c>
      <c r="AW321" s="31">
        <f t="shared" ref="AW321:AW384" si="150">$S321*AF321</f>
        <v>0</v>
      </c>
      <c r="AX321" s="31">
        <f t="shared" ref="AX321:AX384" si="151">$Q321*AG321</f>
        <v>0</v>
      </c>
      <c r="AY321" s="255">
        <f t="shared" ref="AY321:AY384" si="152">$S321*AG321</f>
        <v>0</v>
      </c>
      <c r="AZ321" s="232">
        <f t="shared" ref="AZ321:AZ384" si="153">$Q321*AH321</f>
        <v>0</v>
      </c>
      <c r="BA321" s="255">
        <f t="shared" ref="BA321:BA384" si="154">$S321*AH321</f>
        <v>0</v>
      </c>
      <c r="BB321" s="31">
        <f t="shared" ref="BB321:BB384" si="155">$Q321*AI321</f>
        <v>0.125</v>
      </c>
      <c r="BC321" s="255">
        <f t="shared" ref="BC321:BC384" si="156">$S321*AI321</f>
        <v>0.10625</v>
      </c>
      <c r="BD321" s="31">
        <f t="shared" ref="BD321:BD384" si="157">$Q321*AJ321</f>
        <v>0.375</v>
      </c>
      <c r="BE321" s="255">
        <f t="shared" ref="BE321:BE384" si="158">$S321*AJ321</f>
        <v>0.31874999999999998</v>
      </c>
      <c r="BF321" s="31">
        <f t="shared" ref="BF321:BF384" si="159">$Q321*AK321</f>
        <v>0</v>
      </c>
      <c r="BG321" s="255">
        <f t="shared" ref="BG321:BG384" si="160">$S321*AK321</f>
        <v>0</v>
      </c>
      <c r="BH321" s="31">
        <f t="shared" ref="BH321:BH384" si="161">$Q321*AL321</f>
        <v>0</v>
      </c>
      <c r="BI321" s="255">
        <f t="shared" ref="BI321:BI384" si="162">$S321*AL321</f>
        <v>0</v>
      </c>
      <c r="BJ321" s="31">
        <f t="shared" ref="BJ321:BJ384" si="163">$Q321*AM321</f>
        <v>0</v>
      </c>
      <c r="BK321" s="31">
        <f t="shared" ref="BK321:BK384" si="164">$Q321*AN321</f>
        <v>0</v>
      </c>
      <c r="BL321" s="255">
        <f t="shared" ref="BL321:BL384" si="165">$S321*AN321</f>
        <v>0</v>
      </c>
      <c r="BM321" s="31">
        <f t="shared" ref="BM321:BM384" si="166">$Q321*AO321</f>
        <v>0</v>
      </c>
      <c r="BN321" s="255">
        <f t="shared" ref="BN321:BN384" si="167">$S321*AO321</f>
        <v>0</v>
      </c>
    </row>
    <row r="322" spans="1:66" x14ac:dyDescent="0.25">
      <c r="A322" t="s">
        <v>2113</v>
      </c>
      <c r="B322" s="186" t="str">
        <f>VLOOKUP(A322,kurspris!$A$1:$B$877,2,FALSE)</f>
        <v>Ekonomisk och soial geografi</v>
      </c>
      <c r="C322"/>
      <c r="D322" t="s">
        <v>483</v>
      </c>
      <c r="E322" t="s">
        <v>1976</v>
      </c>
      <c r="F322" s="59" t="s">
        <v>1930</v>
      </c>
      <c r="G322" t="s">
        <v>1979</v>
      </c>
      <c r="H322" t="s">
        <v>1910</v>
      </c>
      <c r="I322"/>
      <c r="J322" t="s">
        <v>773</v>
      </c>
      <c r="K322"/>
      <c r="L322">
        <v>100</v>
      </c>
      <c r="M322">
        <v>15</v>
      </c>
      <c r="N322"/>
      <c r="O322"/>
      <c r="P322" s="31">
        <v>1</v>
      </c>
      <c r="Q322" s="232">
        <f t="shared" si="140"/>
        <v>0.25</v>
      </c>
      <c r="R322" s="40">
        <v>0.85</v>
      </c>
      <c r="S322" s="334">
        <f t="shared" si="141"/>
        <v>0.21249999999999999</v>
      </c>
      <c r="T322" s="31">
        <f>VLOOKUP(A322,'Ansvar kurs'!$A$1:$C$1010,2,FALSE)</f>
        <v>2500</v>
      </c>
      <c r="U322" s="31" t="str">
        <f>VLOOKUP(T322,Orgenheter!$A$1:$C$165,2,FALSE)</f>
        <v>Geografi</v>
      </c>
      <c r="V322" s="31" t="str">
        <f>VLOOKUP(T322,Orgenheter!$A$1:$C$165,3,FALSE)</f>
        <v>Sam</v>
      </c>
      <c r="W322" s="37" t="str">
        <f>VLOOKUP(D322,Program!$A$1:$B$34,2,FALSE)</f>
        <v>Ämneslärarprogrammet - Gy</v>
      </c>
      <c r="X322" s="42">
        <f>VLOOKUP(A322,kurspris!$A$1:$Q$798,15,FALSE)</f>
        <v>18672</v>
      </c>
      <c r="Y322" s="42">
        <f>VLOOKUP(A322,kurspris!$A$1:$Q$798,16,FALSE)</f>
        <v>20531.25</v>
      </c>
      <c r="Z322" s="42">
        <f t="shared" si="142"/>
        <v>9030.890625</v>
      </c>
      <c r="AA322" s="42">
        <f>VLOOKUP(A322,kurspris!$A$1:$Q$798,17,FALSE)</f>
        <v>9800</v>
      </c>
      <c r="AB322" s="42">
        <f t="shared" si="143"/>
        <v>2450</v>
      </c>
      <c r="AC322" s="42">
        <f t="shared" si="144"/>
        <v>11480.890625</v>
      </c>
      <c r="AD322" s="31">
        <f>VLOOKUP($A322,kurspris!$A$1:$Q$835,3,FALSE)</f>
        <v>0</v>
      </c>
      <c r="AE322" s="31">
        <f>VLOOKUP($A322,kurspris!$A$1:$Q$835,4,FALSE)</f>
        <v>0</v>
      </c>
      <c r="AF322" s="31">
        <f>VLOOKUP($A322,kurspris!$A$1:$Q$835,5,FALSE)</f>
        <v>0</v>
      </c>
      <c r="AG322" s="31">
        <f>VLOOKUP($A322,kurspris!$A$1:$Q$835,6,FALSE)</f>
        <v>0</v>
      </c>
      <c r="AH322" s="31">
        <f>VLOOKUP($A322,kurspris!$A$1:$Q$835,7,FALSE)</f>
        <v>0</v>
      </c>
      <c r="AI322" s="31">
        <f>VLOOKUP($A322,kurspris!$A$1:$Q$835,8,FALSE)</f>
        <v>0.25</v>
      </c>
      <c r="AJ322" s="31">
        <f>VLOOKUP($A322,kurspris!$A$1:$Q$835,9,FALSE)</f>
        <v>0.75</v>
      </c>
      <c r="AK322" s="31">
        <f>VLOOKUP($A322,kurspris!$A$1:$Q$835,10,FALSE)</f>
        <v>0</v>
      </c>
      <c r="AL322" s="31">
        <f>VLOOKUP($A322,kurspris!$A$1:$Q$835,11,FALSE)</f>
        <v>0</v>
      </c>
      <c r="AM322" s="31">
        <f>VLOOKUP($A322,kurspris!$A$1:$Q$835,12,FALSE)</f>
        <v>0</v>
      </c>
      <c r="AN322" s="31">
        <f>VLOOKUP($A322,kurspris!$A$1:$Q$835,13,FALSE)</f>
        <v>0</v>
      </c>
      <c r="AO322" s="31">
        <f>VLOOKUP($A322,kurspris!$A$1:$Q$835,14,FALSE)</f>
        <v>0</v>
      </c>
      <c r="AP322" s="39" t="s">
        <v>2204</v>
      </c>
      <c r="AQ322"/>
      <c r="AR322" s="31">
        <f t="shared" si="145"/>
        <v>0</v>
      </c>
      <c r="AS322" s="255">
        <f t="shared" si="146"/>
        <v>0</v>
      </c>
      <c r="AT322" s="31">
        <f t="shared" si="147"/>
        <v>0</v>
      </c>
      <c r="AU322" s="255">
        <f t="shared" si="148"/>
        <v>0</v>
      </c>
      <c r="AV322" s="31">
        <f t="shared" si="149"/>
        <v>0</v>
      </c>
      <c r="AW322" s="31">
        <f t="shared" si="150"/>
        <v>0</v>
      </c>
      <c r="AX322" s="31">
        <f t="shared" si="151"/>
        <v>0</v>
      </c>
      <c r="AY322" s="255">
        <f t="shared" si="152"/>
        <v>0</v>
      </c>
      <c r="AZ322" s="232">
        <f t="shared" si="153"/>
        <v>0</v>
      </c>
      <c r="BA322" s="255">
        <f t="shared" si="154"/>
        <v>0</v>
      </c>
      <c r="BB322" s="31">
        <f t="shared" si="155"/>
        <v>6.25E-2</v>
      </c>
      <c r="BC322" s="255">
        <f t="shared" si="156"/>
        <v>5.3124999999999999E-2</v>
      </c>
      <c r="BD322" s="31">
        <f t="shared" si="157"/>
        <v>0.1875</v>
      </c>
      <c r="BE322" s="255">
        <f t="shared" si="158"/>
        <v>0.15937499999999999</v>
      </c>
      <c r="BF322" s="31">
        <f t="shared" si="159"/>
        <v>0</v>
      </c>
      <c r="BG322" s="255">
        <f t="shared" si="160"/>
        <v>0</v>
      </c>
      <c r="BH322" s="31">
        <f t="shared" si="161"/>
        <v>0</v>
      </c>
      <c r="BI322" s="255">
        <f t="shared" si="162"/>
        <v>0</v>
      </c>
      <c r="BJ322" s="31">
        <f t="shared" si="163"/>
        <v>0</v>
      </c>
      <c r="BK322" s="31">
        <f t="shared" si="164"/>
        <v>0</v>
      </c>
      <c r="BL322" s="255">
        <f t="shared" si="165"/>
        <v>0</v>
      </c>
      <c r="BM322" s="31">
        <f t="shared" si="166"/>
        <v>0</v>
      </c>
      <c r="BN322" s="255">
        <f t="shared" si="167"/>
        <v>0</v>
      </c>
    </row>
    <row r="323" spans="1:66" x14ac:dyDescent="0.25">
      <c r="A323" t="s">
        <v>2113</v>
      </c>
      <c r="B323" s="186" t="str">
        <f>VLOOKUP(A323,kurspris!$A$1:$B$877,2,FALSE)</f>
        <v>Ekonomisk och soial geografi</v>
      </c>
      <c r="C323"/>
      <c r="D323" t="s">
        <v>483</v>
      </c>
      <c r="E323" t="s">
        <v>1609</v>
      </c>
      <c r="F323" s="59" t="s">
        <v>1930</v>
      </c>
      <c r="G323" t="s">
        <v>1979</v>
      </c>
      <c r="H323" t="s">
        <v>1910</v>
      </c>
      <c r="I323"/>
      <c r="J323" t="s">
        <v>1813</v>
      </c>
      <c r="K323"/>
      <c r="L323">
        <v>100</v>
      </c>
      <c r="M323">
        <v>15</v>
      </c>
      <c r="N323"/>
      <c r="O323"/>
      <c r="P323" s="31">
        <v>2</v>
      </c>
      <c r="Q323" s="232">
        <f t="shared" si="140"/>
        <v>0.5</v>
      </c>
      <c r="R323" s="40">
        <v>0.85</v>
      </c>
      <c r="S323" s="334">
        <f t="shared" si="141"/>
        <v>0.42499999999999999</v>
      </c>
      <c r="T323" s="31">
        <f>VLOOKUP(A323,'Ansvar kurs'!$A$1:$C$1010,2,FALSE)</f>
        <v>2500</v>
      </c>
      <c r="U323" s="31" t="str">
        <f>VLOOKUP(T323,Orgenheter!$A$1:$C$165,2,FALSE)</f>
        <v>Geografi</v>
      </c>
      <c r="V323" s="31" t="str">
        <f>VLOOKUP(T323,Orgenheter!$A$1:$C$165,3,FALSE)</f>
        <v>Sam</v>
      </c>
      <c r="W323" s="37" t="str">
        <f>VLOOKUP(D323,Program!$A$1:$B$34,2,FALSE)</f>
        <v>Ämneslärarprogrammet - Gy</v>
      </c>
      <c r="X323" s="42">
        <f>VLOOKUP(A323,kurspris!$A$1:$Q$798,15,FALSE)</f>
        <v>18672</v>
      </c>
      <c r="Y323" s="42">
        <f>VLOOKUP(A323,kurspris!$A$1:$Q$798,16,FALSE)</f>
        <v>20531.25</v>
      </c>
      <c r="Z323" s="42">
        <f t="shared" si="142"/>
        <v>18061.78125</v>
      </c>
      <c r="AA323" s="42">
        <f>VLOOKUP(A323,kurspris!$A$1:$Q$798,17,FALSE)</f>
        <v>9800</v>
      </c>
      <c r="AB323" s="42">
        <f t="shared" si="143"/>
        <v>4900</v>
      </c>
      <c r="AC323" s="42">
        <f t="shared" si="144"/>
        <v>22961.78125</v>
      </c>
      <c r="AD323" s="31">
        <f>VLOOKUP($A323,kurspris!$A$1:$Q$835,3,FALSE)</f>
        <v>0</v>
      </c>
      <c r="AE323" s="31">
        <f>VLOOKUP($A323,kurspris!$A$1:$Q$835,4,FALSE)</f>
        <v>0</v>
      </c>
      <c r="AF323" s="31">
        <f>VLOOKUP($A323,kurspris!$A$1:$Q$835,5,FALSE)</f>
        <v>0</v>
      </c>
      <c r="AG323" s="31">
        <f>VLOOKUP($A323,kurspris!$A$1:$Q$835,6,FALSE)</f>
        <v>0</v>
      </c>
      <c r="AH323" s="31">
        <f>VLOOKUP($A323,kurspris!$A$1:$Q$835,7,FALSE)</f>
        <v>0</v>
      </c>
      <c r="AI323" s="31">
        <f>VLOOKUP($A323,kurspris!$A$1:$Q$835,8,FALSE)</f>
        <v>0.25</v>
      </c>
      <c r="AJ323" s="31">
        <f>VLOOKUP($A323,kurspris!$A$1:$Q$835,9,FALSE)</f>
        <v>0.75</v>
      </c>
      <c r="AK323" s="31">
        <f>VLOOKUP($A323,kurspris!$A$1:$Q$835,10,FALSE)</f>
        <v>0</v>
      </c>
      <c r="AL323" s="31">
        <f>VLOOKUP($A323,kurspris!$A$1:$Q$835,11,FALSE)</f>
        <v>0</v>
      </c>
      <c r="AM323" s="31">
        <f>VLOOKUP($A323,kurspris!$A$1:$Q$835,12,FALSE)</f>
        <v>0</v>
      </c>
      <c r="AN323" s="31">
        <f>VLOOKUP($A323,kurspris!$A$1:$Q$835,13,FALSE)</f>
        <v>0</v>
      </c>
      <c r="AO323" s="31">
        <f>VLOOKUP($A323,kurspris!$A$1:$Q$835,14,FALSE)</f>
        <v>0</v>
      </c>
      <c r="AP323" s="39" t="s">
        <v>2204</v>
      </c>
      <c r="AQ323"/>
      <c r="AR323" s="31">
        <f t="shared" si="145"/>
        <v>0</v>
      </c>
      <c r="AS323" s="255">
        <f t="shared" si="146"/>
        <v>0</v>
      </c>
      <c r="AT323" s="31">
        <f t="shared" si="147"/>
        <v>0</v>
      </c>
      <c r="AU323" s="255">
        <f t="shared" si="148"/>
        <v>0</v>
      </c>
      <c r="AV323" s="31">
        <f t="shared" si="149"/>
        <v>0</v>
      </c>
      <c r="AW323" s="31">
        <f t="shared" si="150"/>
        <v>0</v>
      </c>
      <c r="AX323" s="31">
        <f t="shared" si="151"/>
        <v>0</v>
      </c>
      <c r="AY323" s="255">
        <f t="shared" si="152"/>
        <v>0</v>
      </c>
      <c r="AZ323" s="232">
        <f t="shared" si="153"/>
        <v>0</v>
      </c>
      <c r="BA323" s="255">
        <f t="shared" si="154"/>
        <v>0</v>
      </c>
      <c r="BB323" s="31">
        <f t="shared" si="155"/>
        <v>0.125</v>
      </c>
      <c r="BC323" s="255">
        <f t="shared" si="156"/>
        <v>0.10625</v>
      </c>
      <c r="BD323" s="31">
        <f t="shared" si="157"/>
        <v>0.375</v>
      </c>
      <c r="BE323" s="255">
        <f t="shared" si="158"/>
        <v>0.31874999999999998</v>
      </c>
      <c r="BF323" s="31">
        <f t="shared" si="159"/>
        <v>0</v>
      </c>
      <c r="BG323" s="255">
        <f t="shared" si="160"/>
        <v>0</v>
      </c>
      <c r="BH323" s="31">
        <f t="shared" si="161"/>
        <v>0</v>
      </c>
      <c r="BI323" s="255">
        <f t="shared" si="162"/>
        <v>0</v>
      </c>
      <c r="BJ323" s="31">
        <f t="shared" si="163"/>
        <v>0</v>
      </c>
      <c r="BK323" s="31">
        <f t="shared" si="164"/>
        <v>0</v>
      </c>
      <c r="BL323" s="255">
        <f t="shared" si="165"/>
        <v>0</v>
      </c>
      <c r="BM323" s="31">
        <f t="shared" si="166"/>
        <v>0</v>
      </c>
      <c r="BN323" s="255">
        <f t="shared" si="167"/>
        <v>0</v>
      </c>
    </row>
    <row r="324" spans="1:66" x14ac:dyDescent="0.25">
      <c r="A324" t="s">
        <v>1859</v>
      </c>
      <c r="B324" s="186" t="str">
        <f>VLOOKUP(A324,kurspris!$A$1:$B$877,2,FALSE)</f>
        <v>Introduktion till geografi</v>
      </c>
      <c r="C324"/>
      <c r="D324" t="s">
        <v>483</v>
      </c>
      <c r="E324" t="s">
        <v>1973</v>
      </c>
      <c r="F324" s="59" t="s">
        <v>1930</v>
      </c>
      <c r="G324" t="s">
        <v>1989</v>
      </c>
      <c r="H324" t="s">
        <v>1910</v>
      </c>
      <c r="I324"/>
      <c r="J324" t="s">
        <v>773</v>
      </c>
      <c r="K324"/>
      <c r="L324">
        <v>100</v>
      </c>
      <c r="M324">
        <v>7.5</v>
      </c>
      <c r="N324"/>
      <c r="O324"/>
      <c r="P324" s="31">
        <v>2</v>
      </c>
      <c r="Q324" s="232">
        <f t="shared" si="140"/>
        <v>0.25</v>
      </c>
      <c r="R324" s="40">
        <v>0.85</v>
      </c>
      <c r="S324" s="334">
        <f t="shared" si="141"/>
        <v>0.21249999999999999</v>
      </c>
      <c r="T324" s="31">
        <f>VLOOKUP(A324,'Ansvar kurs'!$A$1:$C$1010,2,FALSE)</f>
        <v>2500</v>
      </c>
      <c r="U324" s="31" t="str">
        <f>VLOOKUP(T324,Orgenheter!$A$1:$C$165,2,FALSE)</f>
        <v>Geografi</v>
      </c>
      <c r="V324" s="31" t="str">
        <f>VLOOKUP(T324,Orgenheter!$A$1:$C$165,3,FALSE)</f>
        <v>Sam</v>
      </c>
      <c r="W324" s="37" t="str">
        <f>VLOOKUP(D324,Program!$A$1:$B$34,2,FALSE)</f>
        <v>Ämneslärarprogrammet - Gy</v>
      </c>
      <c r="X324" s="42">
        <f>VLOOKUP(A324,kurspris!$A$1:$Q$798,15,FALSE)</f>
        <v>18405</v>
      </c>
      <c r="Y324" s="42">
        <f>VLOOKUP(A324,kurspris!$A$1:$Q$798,16,FALSE)</f>
        <v>15773</v>
      </c>
      <c r="Z324" s="42">
        <f t="shared" si="142"/>
        <v>7953.0124999999998</v>
      </c>
      <c r="AA324" s="42">
        <f>VLOOKUP(A324,kurspris!$A$1:$Q$798,17,FALSE)</f>
        <v>5800</v>
      </c>
      <c r="AB324" s="42">
        <f t="shared" si="143"/>
        <v>1450</v>
      </c>
      <c r="AC324" s="42">
        <f t="shared" si="144"/>
        <v>9403.0125000000007</v>
      </c>
      <c r="AD324" s="31">
        <f>VLOOKUP($A324,kurspris!$A$1:$Q$835,3,FALSE)</f>
        <v>0</v>
      </c>
      <c r="AE324" s="31">
        <f>VLOOKUP($A324,kurspris!$A$1:$Q$835,4,FALSE)</f>
        <v>0</v>
      </c>
      <c r="AF324" s="31">
        <f>VLOOKUP($A324,kurspris!$A$1:$Q$835,5,FALSE)</f>
        <v>0</v>
      </c>
      <c r="AG324" s="31">
        <f>VLOOKUP($A324,kurspris!$A$1:$Q$835,6,FALSE)</f>
        <v>0</v>
      </c>
      <c r="AH324" s="31">
        <f>VLOOKUP($A324,kurspris!$A$1:$Q$835,7,FALSE)</f>
        <v>0</v>
      </c>
      <c r="AI324" s="31">
        <f>VLOOKUP($A324,kurspris!$A$1:$Q$835,8,FALSE)</f>
        <v>0</v>
      </c>
      <c r="AJ324" s="31">
        <f>VLOOKUP($A324,kurspris!$A$1:$Q$835,9,FALSE)</f>
        <v>1</v>
      </c>
      <c r="AK324" s="31">
        <f>VLOOKUP($A324,kurspris!$A$1:$Q$835,10,FALSE)</f>
        <v>0</v>
      </c>
      <c r="AL324" s="31">
        <f>VLOOKUP($A324,kurspris!$A$1:$Q$835,11,FALSE)</f>
        <v>0</v>
      </c>
      <c r="AM324" s="31">
        <f>VLOOKUP($A324,kurspris!$A$1:$Q$835,12,FALSE)</f>
        <v>0</v>
      </c>
      <c r="AN324" s="31">
        <f>VLOOKUP($A324,kurspris!$A$1:$Q$835,13,FALSE)</f>
        <v>0</v>
      </c>
      <c r="AO324" s="31">
        <f>VLOOKUP($A324,kurspris!$A$1:$Q$835,14,FALSE)</f>
        <v>0</v>
      </c>
      <c r="AP324" s="39" t="s">
        <v>2204</v>
      </c>
      <c r="AQ324"/>
      <c r="AR324" s="31">
        <f t="shared" si="145"/>
        <v>0</v>
      </c>
      <c r="AS324" s="255">
        <f t="shared" si="146"/>
        <v>0</v>
      </c>
      <c r="AT324" s="31">
        <f t="shared" si="147"/>
        <v>0</v>
      </c>
      <c r="AU324" s="255">
        <f t="shared" si="148"/>
        <v>0</v>
      </c>
      <c r="AV324" s="31">
        <f t="shared" si="149"/>
        <v>0</v>
      </c>
      <c r="AW324" s="31">
        <f t="shared" si="150"/>
        <v>0</v>
      </c>
      <c r="AX324" s="31">
        <f t="shared" si="151"/>
        <v>0</v>
      </c>
      <c r="AY324" s="255">
        <f t="shared" si="152"/>
        <v>0</v>
      </c>
      <c r="AZ324" s="232">
        <f t="shared" si="153"/>
        <v>0</v>
      </c>
      <c r="BA324" s="255">
        <f t="shared" si="154"/>
        <v>0</v>
      </c>
      <c r="BB324" s="31">
        <f t="shared" si="155"/>
        <v>0</v>
      </c>
      <c r="BC324" s="255">
        <f t="shared" si="156"/>
        <v>0</v>
      </c>
      <c r="BD324" s="31">
        <f t="shared" si="157"/>
        <v>0.25</v>
      </c>
      <c r="BE324" s="255">
        <f t="shared" si="158"/>
        <v>0.21249999999999999</v>
      </c>
      <c r="BF324" s="31">
        <f t="shared" si="159"/>
        <v>0</v>
      </c>
      <c r="BG324" s="255">
        <f t="shared" si="160"/>
        <v>0</v>
      </c>
      <c r="BH324" s="31">
        <f t="shared" si="161"/>
        <v>0</v>
      </c>
      <c r="BI324" s="255">
        <f t="shared" si="162"/>
        <v>0</v>
      </c>
      <c r="BJ324" s="31">
        <f t="shared" si="163"/>
        <v>0</v>
      </c>
      <c r="BK324" s="31">
        <f t="shared" si="164"/>
        <v>0</v>
      </c>
      <c r="BL324" s="255">
        <f t="shared" si="165"/>
        <v>0</v>
      </c>
      <c r="BM324" s="31">
        <f t="shared" si="166"/>
        <v>0</v>
      </c>
      <c r="BN324" s="255">
        <f t="shared" si="167"/>
        <v>0</v>
      </c>
    </row>
    <row r="325" spans="1:66" x14ac:dyDescent="0.25">
      <c r="A325" t="s">
        <v>1859</v>
      </c>
      <c r="B325" s="186" t="str">
        <f>VLOOKUP(A325,kurspris!$A$1:$B$877,2,FALSE)</f>
        <v>Introduktion till geografi</v>
      </c>
      <c r="C325"/>
      <c r="D325" t="s">
        <v>483</v>
      </c>
      <c r="E325" t="s">
        <v>1973</v>
      </c>
      <c r="F325" s="59" t="s">
        <v>1930</v>
      </c>
      <c r="G325" t="s">
        <v>1989</v>
      </c>
      <c r="H325" t="s">
        <v>1910</v>
      </c>
      <c r="I325"/>
      <c r="J325" t="s">
        <v>777</v>
      </c>
      <c r="K325"/>
      <c r="L325">
        <v>100</v>
      </c>
      <c r="M325">
        <v>7.5</v>
      </c>
      <c r="N325"/>
      <c r="O325"/>
      <c r="P325" s="31">
        <v>2</v>
      </c>
      <c r="Q325" s="232">
        <f t="shared" si="140"/>
        <v>0.25</v>
      </c>
      <c r="R325" s="40">
        <v>0.85</v>
      </c>
      <c r="S325" s="334">
        <f t="shared" si="141"/>
        <v>0.21249999999999999</v>
      </c>
      <c r="T325" s="31">
        <f>VLOOKUP(A325,'Ansvar kurs'!$A$1:$C$1010,2,FALSE)</f>
        <v>2500</v>
      </c>
      <c r="U325" s="31" t="str">
        <f>VLOOKUP(T325,Orgenheter!$A$1:$C$165,2,FALSE)</f>
        <v>Geografi</v>
      </c>
      <c r="V325" s="31" t="str">
        <f>VLOOKUP(T325,Orgenheter!$A$1:$C$165,3,FALSE)</f>
        <v>Sam</v>
      </c>
      <c r="W325" s="37" t="str">
        <f>VLOOKUP(D325,Program!$A$1:$B$34,2,FALSE)</f>
        <v>Ämneslärarprogrammet - Gy</v>
      </c>
      <c r="X325" s="42">
        <f>VLOOKUP(A325,kurspris!$A$1:$Q$798,15,FALSE)</f>
        <v>18405</v>
      </c>
      <c r="Y325" s="42">
        <f>VLOOKUP(A325,kurspris!$A$1:$Q$798,16,FALSE)</f>
        <v>15773</v>
      </c>
      <c r="Z325" s="42">
        <f t="shared" si="142"/>
        <v>7953.0124999999998</v>
      </c>
      <c r="AA325" s="42">
        <f>VLOOKUP(A325,kurspris!$A$1:$Q$798,17,FALSE)</f>
        <v>5800</v>
      </c>
      <c r="AB325" s="42">
        <f t="shared" si="143"/>
        <v>1450</v>
      </c>
      <c r="AC325" s="42">
        <f t="shared" si="144"/>
        <v>9403.0125000000007</v>
      </c>
      <c r="AD325" s="31">
        <f>VLOOKUP($A325,kurspris!$A$1:$Q$835,3,FALSE)</f>
        <v>0</v>
      </c>
      <c r="AE325" s="31">
        <f>VLOOKUP($A325,kurspris!$A$1:$Q$835,4,FALSE)</f>
        <v>0</v>
      </c>
      <c r="AF325" s="31">
        <f>VLOOKUP($A325,kurspris!$A$1:$Q$835,5,FALSE)</f>
        <v>0</v>
      </c>
      <c r="AG325" s="31">
        <f>VLOOKUP($A325,kurspris!$A$1:$Q$835,6,FALSE)</f>
        <v>0</v>
      </c>
      <c r="AH325" s="31">
        <f>VLOOKUP($A325,kurspris!$A$1:$Q$835,7,FALSE)</f>
        <v>0</v>
      </c>
      <c r="AI325" s="31">
        <f>VLOOKUP($A325,kurspris!$A$1:$Q$835,8,FALSE)</f>
        <v>0</v>
      </c>
      <c r="AJ325" s="31">
        <f>VLOOKUP($A325,kurspris!$A$1:$Q$835,9,FALSE)</f>
        <v>1</v>
      </c>
      <c r="AK325" s="31">
        <f>VLOOKUP($A325,kurspris!$A$1:$Q$835,10,FALSE)</f>
        <v>0</v>
      </c>
      <c r="AL325" s="31">
        <f>VLOOKUP($A325,kurspris!$A$1:$Q$835,11,FALSE)</f>
        <v>0</v>
      </c>
      <c r="AM325" s="31">
        <f>VLOOKUP($A325,kurspris!$A$1:$Q$835,12,FALSE)</f>
        <v>0</v>
      </c>
      <c r="AN325" s="31">
        <f>VLOOKUP($A325,kurspris!$A$1:$Q$835,13,FALSE)</f>
        <v>0</v>
      </c>
      <c r="AO325" s="31">
        <f>VLOOKUP($A325,kurspris!$A$1:$Q$835,14,FALSE)</f>
        <v>0</v>
      </c>
      <c r="AP325" s="39" t="s">
        <v>2204</v>
      </c>
      <c r="AQ325"/>
      <c r="AR325" s="31">
        <f t="shared" si="145"/>
        <v>0</v>
      </c>
      <c r="AS325" s="255">
        <f t="shared" si="146"/>
        <v>0</v>
      </c>
      <c r="AT325" s="31">
        <f t="shared" si="147"/>
        <v>0</v>
      </c>
      <c r="AU325" s="255">
        <f t="shared" si="148"/>
        <v>0</v>
      </c>
      <c r="AV325" s="31">
        <f t="shared" si="149"/>
        <v>0</v>
      </c>
      <c r="AW325" s="31">
        <f t="shared" si="150"/>
        <v>0</v>
      </c>
      <c r="AX325" s="31">
        <f t="shared" si="151"/>
        <v>0</v>
      </c>
      <c r="AY325" s="255">
        <f t="shared" si="152"/>
        <v>0</v>
      </c>
      <c r="AZ325" s="232">
        <f t="shared" si="153"/>
        <v>0</v>
      </c>
      <c r="BA325" s="255">
        <f t="shared" si="154"/>
        <v>0</v>
      </c>
      <c r="BB325" s="31">
        <f t="shared" si="155"/>
        <v>0</v>
      </c>
      <c r="BC325" s="255">
        <f t="shared" si="156"/>
        <v>0</v>
      </c>
      <c r="BD325" s="31">
        <f t="shared" si="157"/>
        <v>0.25</v>
      </c>
      <c r="BE325" s="255">
        <f t="shared" si="158"/>
        <v>0.21249999999999999</v>
      </c>
      <c r="BF325" s="31">
        <f t="shared" si="159"/>
        <v>0</v>
      </c>
      <c r="BG325" s="255">
        <f t="shared" si="160"/>
        <v>0</v>
      </c>
      <c r="BH325" s="31">
        <f t="shared" si="161"/>
        <v>0</v>
      </c>
      <c r="BI325" s="255">
        <f t="shared" si="162"/>
        <v>0</v>
      </c>
      <c r="BJ325" s="31">
        <f t="shared" si="163"/>
        <v>0</v>
      </c>
      <c r="BK325" s="31">
        <f t="shared" si="164"/>
        <v>0</v>
      </c>
      <c r="BL325" s="255">
        <f t="shared" si="165"/>
        <v>0</v>
      </c>
      <c r="BM325" s="31">
        <f t="shared" si="166"/>
        <v>0</v>
      </c>
      <c r="BN325" s="255">
        <f t="shared" si="167"/>
        <v>0</v>
      </c>
    </row>
    <row r="326" spans="1:66" x14ac:dyDescent="0.25">
      <c r="A326" t="s">
        <v>1859</v>
      </c>
      <c r="B326" s="186" t="str">
        <f>VLOOKUP(A326,kurspris!$A$1:$B$877,2,FALSE)</f>
        <v>Introduktion till geografi</v>
      </c>
      <c r="C326"/>
      <c r="D326" t="s">
        <v>483</v>
      </c>
      <c r="E326" t="s">
        <v>1788</v>
      </c>
      <c r="F326" s="59" t="s">
        <v>1930</v>
      </c>
      <c r="G326" t="s">
        <v>1989</v>
      </c>
      <c r="H326" t="s">
        <v>1910</v>
      </c>
      <c r="I326"/>
      <c r="J326" t="s">
        <v>1813</v>
      </c>
      <c r="K326"/>
      <c r="L326">
        <v>100</v>
      </c>
      <c r="M326">
        <v>7.5</v>
      </c>
      <c r="N326"/>
      <c r="O326"/>
      <c r="P326" s="31">
        <v>2</v>
      </c>
      <c r="Q326" s="232">
        <f t="shared" si="140"/>
        <v>0.25</v>
      </c>
      <c r="R326" s="40">
        <v>0.85</v>
      </c>
      <c r="S326" s="334">
        <f t="shared" si="141"/>
        <v>0.21249999999999999</v>
      </c>
      <c r="T326" s="31">
        <f>VLOOKUP(A326,'Ansvar kurs'!$A$1:$C$1010,2,FALSE)</f>
        <v>2500</v>
      </c>
      <c r="U326" s="31" t="str">
        <f>VLOOKUP(T326,Orgenheter!$A$1:$C$165,2,FALSE)</f>
        <v>Geografi</v>
      </c>
      <c r="V326" s="31" t="str">
        <f>VLOOKUP(T326,Orgenheter!$A$1:$C$165,3,FALSE)</f>
        <v>Sam</v>
      </c>
      <c r="W326" s="37" t="str">
        <f>VLOOKUP(D326,Program!$A$1:$B$34,2,FALSE)</f>
        <v>Ämneslärarprogrammet - Gy</v>
      </c>
      <c r="X326" s="42">
        <f>VLOOKUP(A326,kurspris!$A$1:$Q$798,15,FALSE)</f>
        <v>18405</v>
      </c>
      <c r="Y326" s="42">
        <f>VLOOKUP(A326,kurspris!$A$1:$Q$798,16,FALSE)</f>
        <v>15773</v>
      </c>
      <c r="Z326" s="42">
        <f t="shared" si="142"/>
        <v>7953.0124999999998</v>
      </c>
      <c r="AA326" s="42">
        <f>VLOOKUP(A326,kurspris!$A$1:$Q$798,17,FALSE)</f>
        <v>5800</v>
      </c>
      <c r="AB326" s="42">
        <f t="shared" si="143"/>
        <v>1450</v>
      </c>
      <c r="AC326" s="42">
        <f t="shared" si="144"/>
        <v>9403.0125000000007</v>
      </c>
      <c r="AD326" s="31">
        <f>VLOOKUP($A326,kurspris!$A$1:$Q$835,3,FALSE)</f>
        <v>0</v>
      </c>
      <c r="AE326" s="31">
        <f>VLOOKUP($A326,kurspris!$A$1:$Q$835,4,FALSE)</f>
        <v>0</v>
      </c>
      <c r="AF326" s="31">
        <f>VLOOKUP($A326,kurspris!$A$1:$Q$835,5,FALSE)</f>
        <v>0</v>
      </c>
      <c r="AG326" s="31">
        <f>VLOOKUP($A326,kurspris!$A$1:$Q$835,6,FALSE)</f>
        <v>0</v>
      </c>
      <c r="AH326" s="31">
        <f>VLOOKUP($A326,kurspris!$A$1:$Q$835,7,FALSE)</f>
        <v>0</v>
      </c>
      <c r="AI326" s="31">
        <f>VLOOKUP($A326,kurspris!$A$1:$Q$835,8,FALSE)</f>
        <v>0</v>
      </c>
      <c r="AJ326" s="31">
        <f>VLOOKUP($A326,kurspris!$A$1:$Q$835,9,FALSE)</f>
        <v>1</v>
      </c>
      <c r="AK326" s="31">
        <f>VLOOKUP($A326,kurspris!$A$1:$Q$835,10,FALSE)</f>
        <v>0</v>
      </c>
      <c r="AL326" s="31">
        <f>VLOOKUP($A326,kurspris!$A$1:$Q$835,11,FALSE)</f>
        <v>0</v>
      </c>
      <c r="AM326" s="31">
        <f>VLOOKUP($A326,kurspris!$A$1:$Q$835,12,FALSE)</f>
        <v>0</v>
      </c>
      <c r="AN326" s="31">
        <f>VLOOKUP($A326,kurspris!$A$1:$Q$835,13,FALSE)</f>
        <v>0</v>
      </c>
      <c r="AO326" s="31">
        <f>VLOOKUP($A326,kurspris!$A$1:$Q$835,14,FALSE)</f>
        <v>0</v>
      </c>
      <c r="AP326" s="39" t="s">
        <v>2204</v>
      </c>
      <c r="AQ326"/>
      <c r="AR326" s="31">
        <f t="shared" si="145"/>
        <v>0</v>
      </c>
      <c r="AS326" s="255">
        <f t="shared" si="146"/>
        <v>0</v>
      </c>
      <c r="AT326" s="31">
        <f t="shared" si="147"/>
        <v>0</v>
      </c>
      <c r="AU326" s="255">
        <f t="shared" si="148"/>
        <v>0</v>
      </c>
      <c r="AV326" s="31">
        <f t="shared" si="149"/>
        <v>0</v>
      </c>
      <c r="AW326" s="31">
        <f t="shared" si="150"/>
        <v>0</v>
      </c>
      <c r="AX326" s="31">
        <f t="shared" si="151"/>
        <v>0</v>
      </c>
      <c r="AY326" s="255">
        <f t="shared" si="152"/>
        <v>0</v>
      </c>
      <c r="AZ326" s="232">
        <f t="shared" si="153"/>
        <v>0</v>
      </c>
      <c r="BA326" s="255">
        <f t="shared" si="154"/>
        <v>0</v>
      </c>
      <c r="BB326" s="31">
        <f t="shared" si="155"/>
        <v>0</v>
      </c>
      <c r="BC326" s="255">
        <f t="shared" si="156"/>
        <v>0</v>
      </c>
      <c r="BD326" s="31">
        <f t="shared" si="157"/>
        <v>0.25</v>
      </c>
      <c r="BE326" s="255">
        <f t="shared" si="158"/>
        <v>0.21249999999999999</v>
      </c>
      <c r="BF326" s="31">
        <f t="shared" si="159"/>
        <v>0</v>
      </c>
      <c r="BG326" s="255">
        <f t="shared" si="160"/>
        <v>0</v>
      </c>
      <c r="BH326" s="31">
        <f t="shared" si="161"/>
        <v>0</v>
      </c>
      <c r="BI326" s="255">
        <f t="shared" si="162"/>
        <v>0</v>
      </c>
      <c r="BJ326" s="31">
        <f t="shared" si="163"/>
        <v>0</v>
      </c>
      <c r="BK326" s="31">
        <f t="shared" si="164"/>
        <v>0</v>
      </c>
      <c r="BL326" s="255">
        <f t="shared" si="165"/>
        <v>0</v>
      </c>
      <c r="BM326" s="31">
        <f t="shared" si="166"/>
        <v>0</v>
      </c>
      <c r="BN326" s="255">
        <f t="shared" si="167"/>
        <v>0</v>
      </c>
    </row>
    <row r="327" spans="1:66" x14ac:dyDescent="0.25">
      <c r="A327" t="s">
        <v>1860</v>
      </c>
      <c r="B327" s="186" t="str">
        <f>VLOOKUP(A327,kurspris!$A$1:$B$877,2,FALSE)</f>
        <v>Befolkningsgeografi</v>
      </c>
      <c r="C327"/>
      <c r="D327" t="s">
        <v>483</v>
      </c>
      <c r="E327" t="s">
        <v>1973</v>
      </c>
      <c r="F327" s="59" t="s">
        <v>1930</v>
      </c>
      <c r="G327" t="s">
        <v>1980</v>
      </c>
      <c r="H327" t="s">
        <v>1910</v>
      </c>
      <c r="I327"/>
      <c r="J327" t="s">
        <v>773</v>
      </c>
      <c r="K327"/>
      <c r="L327">
        <v>100</v>
      </c>
      <c r="M327">
        <v>15</v>
      </c>
      <c r="N327"/>
      <c r="O327"/>
      <c r="P327" s="31">
        <v>2</v>
      </c>
      <c r="Q327" s="232">
        <f t="shared" si="140"/>
        <v>0.5</v>
      </c>
      <c r="R327" s="40">
        <v>0.85</v>
      </c>
      <c r="S327" s="334">
        <f t="shared" si="141"/>
        <v>0.42499999999999999</v>
      </c>
      <c r="T327" s="31">
        <f>VLOOKUP(A327,'Ansvar kurs'!$A$1:$C$1010,2,FALSE)</f>
        <v>2500</v>
      </c>
      <c r="U327" s="31" t="str">
        <f>VLOOKUP(T327,Orgenheter!$A$1:$C$165,2,FALSE)</f>
        <v>Geografi</v>
      </c>
      <c r="V327" s="31" t="str">
        <f>VLOOKUP(T327,Orgenheter!$A$1:$C$165,3,FALSE)</f>
        <v>Sam</v>
      </c>
      <c r="W327" s="37" t="str">
        <f>VLOOKUP(D327,Program!$A$1:$B$34,2,FALSE)</f>
        <v>Ämneslärarprogrammet - Gy</v>
      </c>
      <c r="X327" s="42">
        <f>VLOOKUP(A327,kurspris!$A$1:$Q$798,15,FALSE)</f>
        <v>18672</v>
      </c>
      <c r="Y327" s="42">
        <f>VLOOKUP(A327,kurspris!$A$1:$Q$798,16,FALSE)</f>
        <v>20531.25</v>
      </c>
      <c r="Z327" s="42">
        <f t="shared" si="142"/>
        <v>18061.78125</v>
      </c>
      <c r="AA327" s="42">
        <f>VLOOKUP(A327,kurspris!$A$1:$Q$798,17,FALSE)</f>
        <v>9800</v>
      </c>
      <c r="AB327" s="42">
        <f t="shared" si="143"/>
        <v>4900</v>
      </c>
      <c r="AC327" s="42">
        <f t="shared" si="144"/>
        <v>22961.78125</v>
      </c>
      <c r="AD327" s="31">
        <f>VLOOKUP($A327,kurspris!$A$1:$Q$835,3,FALSE)</f>
        <v>0</v>
      </c>
      <c r="AE327" s="31">
        <f>VLOOKUP($A327,kurspris!$A$1:$Q$835,4,FALSE)</f>
        <v>0</v>
      </c>
      <c r="AF327" s="31">
        <f>VLOOKUP($A327,kurspris!$A$1:$Q$835,5,FALSE)</f>
        <v>0</v>
      </c>
      <c r="AG327" s="31">
        <f>VLOOKUP($A327,kurspris!$A$1:$Q$835,6,FALSE)</f>
        <v>0</v>
      </c>
      <c r="AH327" s="31">
        <f>VLOOKUP($A327,kurspris!$A$1:$Q$835,7,FALSE)</f>
        <v>0</v>
      </c>
      <c r="AI327" s="31">
        <f>VLOOKUP($A327,kurspris!$A$1:$Q$835,8,FALSE)</f>
        <v>0.25</v>
      </c>
      <c r="AJ327" s="31">
        <f>VLOOKUP($A327,kurspris!$A$1:$Q$835,9,FALSE)</f>
        <v>0.75</v>
      </c>
      <c r="AK327" s="31">
        <f>VLOOKUP($A327,kurspris!$A$1:$Q$835,10,FALSE)</f>
        <v>0</v>
      </c>
      <c r="AL327" s="31">
        <f>VLOOKUP($A327,kurspris!$A$1:$Q$835,11,FALSE)</f>
        <v>0</v>
      </c>
      <c r="AM327" s="31">
        <f>VLOOKUP($A327,kurspris!$A$1:$Q$835,12,FALSE)</f>
        <v>0</v>
      </c>
      <c r="AN327" s="31">
        <f>VLOOKUP($A327,kurspris!$A$1:$Q$835,13,FALSE)</f>
        <v>0</v>
      </c>
      <c r="AO327" s="31">
        <f>VLOOKUP($A327,kurspris!$A$1:$Q$835,14,FALSE)</f>
        <v>0</v>
      </c>
      <c r="AP327" s="39" t="s">
        <v>2232</v>
      </c>
      <c r="AQ327"/>
      <c r="AR327" s="31">
        <f t="shared" si="145"/>
        <v>0</v>
      </c>
      <c r="AS327" s="255">
        <f t="shared" si="146"/>
        <v>0</v>
      </c>
      <c r="AT327" s="31">
        <f t="shared" si="147"/>
        <v>0</v>
      </c>
      <c r="AU327" s="255">
        <f t="shared" si="148"/>
        <v>0</v>
      </c>
      <c r="AV327" s="31">
        <f t="shared" si="149"/>
        <v>0</v>
      </c>
      <c r="AW327" s="31">
        <f t="shared" si="150"/>
        <v>0</v>
      </c>
      <c r="AX327" s="31">
        <f t="shared" si="151"/>
        <v>0</v>
      </c>
      <c r="AY327" s="255">
        <f t="shared" si="152"/>
        <v>0</v>
      </c>
      <c r="AZ327" s="232">
        <f t="shared" si="153"/>
        <v>0</v>
      </c>
      <c r="BA327" s="255">
        <f t="shared" si="154"/>
        <v>0</v>
      </c>
      <c r="BB327" s="31">
        <f t="shared" si="155"/>
        <v>0.125</v>
      </c>
      <c r="BC327" s="255">
        <f t="shared" si="156"/>
        <v>0.10625</v>
      </c>
      <c r="BD327" s="31">
        <f t="shared" si="157"/>
        <v>0.375</v>
      </c>
      <c r="BE327" s="255">
        <f t="shared" si="158"/>
        <v>0.31874999999999998</v>
      </c>
      <c r="BF327" s="31">
        <f t="shared" si="159"/>
        <v>0</v>
      </c>
      <c r="BG327" s="255">
        <f t="shared" si="160"/>
        <v>0</v>
      </c>
      <c r="BH327" s="31">
        <f t="shared" si="161"/>
        <v>0</v>
      </c>
      <c r="BI327" s="255">
        <f t="shared" si="162"/>
        <v>0</v>
      </c>
      <c r="BJ327" s="31">
        <f t="shared" si="163"/>
        <v>0</v>
      </c>
      <c r="BK327" s="31">
        <f t="shared" si="164"/>
        <v>0</v>
      </c>
      <c r="BL327" s="255">
        <f t="shared" si="165"/>
        <v>0</v>
      </c>
      <c r="BM327" s="31">
        <f t="shared" si="166"/>
        <v>0</v>
      </c>
      <c r="BN327" s="255">
        <f t="shared" si="167"/>
        <v>0</v>
      </c>
    </row>
    <row r="328" spans="1:66" x14ac:dyDescent="0.25">
      <c r="A328" t="s">
        <v>1860</v>
      </c>
      <c r="B328" s="186" t="str">
        <f>VLOOKUP(A328,kurspris!$A$1:$B$877,2,FALSE)</f>
        <v>Befolkningsgeografi</v>
      </c>
      <c r="C328"/>
      <c r="D328" t="s">
        <v>483</v>
      </c>
      <c r="E328" t="s">
        <v>1973</v>
      </c>
      <c r="F328" s="59" t="s">
        <v>1930</v>
      </c>
      <c r="G328" t="s">
        <v>1980</v>
      </c>
      <c r="H328" t="s">
        <v>1910</v>
      </c>
      <c r="I328"/>
      <c r="J328" t="s">
        <v>777</v>
      </c>
      <c r="K328"/>
      <c r="L328">
        <v>100</v>
      </c>
      <c r="M328">
        <v>15</v>
      </c>
      <c r="N328"/>
      <c r="O328"/>
      <c r="P328" s="31">
        <v>2</v>
      </c>
      <c r="Q328" s="232">
        <f t="shared" si="140"/>
        <v>0.5</v>
      </c>
      <c r="R328" s="40">
        <v>0.85</v>
      </c>
      <c r="S328" s="334">
        <f t="shared" si="141"/>
        <v>0.42499999999999999</v>
      </c>
      <c r="T328" s="31">
        <f>VLOOKUP(A328,'Ansvar kurs'!$A$1:$C$1010,2,FALSE)</f>
        <v>2500</v>
      </c>
      <c r="U328" s="31" t="str">
        <f>VLOOKUP(T328,Orgenheter!$A$1:$C$165,2,FALSE)</f>
        <v>Geografi</v>
      </c>
      <c r="V328" s="31" t="str">
        <f>VLOOKUP(T328,Orgenheter!$A$1:$C$165,3,FALSE)</f>
        <v>Sam</v>
      </c>
      <c r="W328" s="37" t="str">
        <f>VLOOKUP(D328,Program!$A$1:$B$34,2,FALSE)</f>
        <v>Ämneslärarprogrammet - Gy</v>
      </c>
      <c r="X328" s="42">
        <f>VLOOKUP(A328,kurspris!$A$1:$Q$798,15,FALSE)</f>
        <v>18672</v>
      </c>
      <c r="Y328" s="42">
        <f>VLOOKUP(A328,kurspris!$A$1:$Q$798,16,FALSE)</f>
        <v>20531.25</v>
      </c>
      <c r="Z328" s="42">
        <f t="shared" si="142"/>
        <v>18061.78125</v>
      </c>
      <c r="AA328" s="42">
        <f>VLOOKUP(A328,kurspris!$A$1:$Q$798,17,FALSE)</f>
        <v>9800</v>
      </c>
      <c r="AB328" s="42">
        <f t="shared" si="143"/>
        <v>4900</v>
      </c>
      <c r="AC328" s="42">
        <f t="shared" si="144"/>
        <v>22961.78125</v>
      </c>
      <c r="AD328" s="31">
        <f>VLOOKUP($A328,kurspris!$A$1:$Q$835,3,FALSE)</f>
        <v>0</v>
      </c>
      <c r="AE328" s="31">
        <f>VLOOKUP($A328,kurspris!$A$1:$Q$835,4,FALSE)</f>
        <v>0</v>
      </c>
      <c r="AF328" s="31">
        <f>VLOOKUP($A328,kurspris!$A$1:$Q$835,5,FALSE)</f>
        <v>0</v>
      </c>
      <c r="AG328" s="31">
        <f>VLOOKUP($A328,kurspris!$A$1:$Q$835,6,FALSE)</f>
        <v>0</v>
      </c>
      <c r="AH328" s="31">
        <f>VLOOKUP($A328,kurspris!$A$1:$Q$835,7,FALSE)</f>
        <v>0</v>
      </c>
      <c r="AI328" s="31">
        <f>VLOOKUP($A328,kurspris!$A$1:$Q$835,8,FALSE)</f>
        <v>0.25</v>
      </c>
      <c r="AJ328" s="31">
        <f>VLOOKUP($A328,kurspris!$A$1:$Q$835,9,FALSE)</f>
        <v>0.75</v>
      </c>
      <c r="AK328" s="31">
        <f>VLOOKUP($A328,kurspris!$A$1:$Q$835,10,FALSE)</f>
        <v>0</v>
      </c>
      <c r="AL328" s="31">
        <f>VLOOKUP($A328,kurspris!$A$1:$Q$835,11,FALSE)</f>
        <v>0</v>
      </c>
      <c r="AM328" s="31">
        <f>VLOOKUP($A328,kurspris!$A$1:$Q$835,12,FALSE)</f>
        <v>0</v>
      </c>
      <c r="AN328" s="31">
        <f>VLOOKUP($A328,kurspris!$A$1:$Q$835,13,FALSE)</f>
        <v>0</v>
      </c>
      <c r="AO328" s="31">
        <f>VLOOKUP($A328,kurspris!$A$1:$Q$835,14,FALSE)</f>
        <v>0</v>
      </c>
      <c r="AP328" s="39" t="s">
        <v>2232</v>
      </c>
      <c r="AQ328"/>
      <c r="AR328" s="31">
        <f t="shared" si="145"/>
        <v>0</v>
      </c>
      <c r="AS328" s="255">
        <f t="shared" si="146"/>
        <v>0</v>
      </c>
      <c r="AT328" s="31">
        <f t="shared" si="147"/>
        <v>0</v>
      </c>
      <c r="AU328" s="255">
        <f t="shared" si="148"/>
        <v>0</v>
      </c>
      <c r="AV328" s="31">
        <f t="shared" si="149"/>
        <v>0</v>
      </c>
      <c r="AW328" s="31">
        <f t="shared" si="150"/>
        <v>0</v>
      </c>
      <c r="AX328" s="31">
        <f t="shared" si="151"/>
        <v>0</v>
      </c>
      <c r="AY328" s="255">
        <f t="shared" si="152"/>
        <v>0</v>
      </c>
      <c r="AZ328" s="232">
        <f t="shared" si="153"/>
        <v>0</v>
      </c>
      <c r="BA328" s="255">
        <f t="shared" si="154"/>
        <v>0</v>
      </c>
      <c r="BB328" s="31">
        <f t="shared" si="155"/>
        <v>0.125</v>
      </c>
      <c r="BC328" s="255">
        <f t="shared" si="156"/>
        <v>0.10625</v>
      </c>
      <c r="BD328" s="31">
        <f t="shared" si="157"/>
        <v>0.375</v>
      </c>
      <c r="BE328" s="255">
        <f t="shared" si="158"/>
        <v>0.31874999999999998</v>
      </c>
      <c r="BF328" s="31">
        <f t="shared" si="159"/>
        <v>0</v>
      </c>
      <c r="BG328" s="255">
        <f t="shared" si="160"/>
        <v>0</v>
      </c>
      <c r="BH328" s="31">
        <f t="shared" si="161"/>
        <v>0</v>
      </c>
      <c r="BI328" s="255">
        <f t="shared" si="162"/>
        <v>0</v>
      </c>
      <c r="BJ328" s="31">
        <f t="shared" si="163"/>
        <v>0</v>
      </c>
      <c r="BK328" s="31">
        <f t="shared" si="164"/>
        <v>0</v>
      </c>
      <c r="BL328" s="255">
        <f t="shared" si="165"/>
        <v>0</v>
      </c>
      <c r="BM328" s="31">
        <f t="shared" si="166"/>
        <v>0</v>
      </c>
      <c r="BN328" s="255">
        <f t="shared" si="167"/>
        <v>0</v>
      </c>
    </row>
    <row r="329" spans="1:66" x14ac:dyDescent="0.25">
      <c r="A329" t="s">
        <v>1860</v>
      </c>
      <c r="B329" s="186" t="str">
        <f>VLOOKUP(A329,kurspris!$A$1:$B$877,2,FALSE)</f>
        <v>Befolkningsgeografi</v>
      </c>
      <c r="C329"/>
      <c r="D329" t="s">
        <v>483</v>
      </c>
      <c r="E329" t="s">
        <v>1788</v>
      </c>
      <c r="F329" s="59" t="s">
        <v>1930</v>
      </c>
      <c r="G329" t="s">
        <v>1980</v>
      </c>
      <c r="H329" t="s">
        <v>1910</v>
      </c>
      <c r="I329"/>
      <c r="J329" t="s">
        <v>1813</v>
      </c>
      <c r="K329"/>
      <c r="L329">
        <v>100</v>
      </c>
      <c r="M329">
        <v>15</v>
      </c>
      <c r="N329"/>
      <c r="O329"/>
      <c r="P329" s="31">
        <v>2</v>
      </c>
      <c r="Q329" s="232">
        <f t="shared" si="140"/>
        <v>0.5</v>
      </c>
      <c r="R329" s="40">
        <v>0.85</v>
      </c>
      <c r="S329" s="334">
        <f t="shared" si="141"/>
        <v>0.42499999999999999</v>
      </c>
      <c r="T329" s="31">
        <f>VLOOKUP(A329,'Ansvar kurs'!$A$1:$C$1010,2,FALSE)</f>
        <v>2500</v>
      </c>
      <c r="U329" s="31" t="str">
        <f>VLOOKUP(T329,Orgenheter!$A$1:$C$165,2,FALSE)</f>
        <v>Geografi</v>
      </c>
      <c r="V329" s="31" t="str">
        <f>VLOOKUP(T329,Orgenheter!$A$1:$C$165,3,FALSE)</f>
        <v>Sam</v>
      </c>
      <c r="W329" s="37" t="str">
        <f>VLOOKUP(D329,Program!$A$1:$B$34,2,FALSE)</f>
        <v>Ämneslärarprogrammet - Gy</v>
      </c>
      <c r="X329" s="42">
        <f>VLOOKUP(A329,kurspris!$A$1:$Q$798,15,FALSE)</f>
        <v>18672</v>
      </c>
      <c r="Y329" s="42">
        <f>VLOOKUP(A329,kurspris!$A$1:$Q$798,16,FALSE)</f>
        <v>20531.25</v>
      </c>
      <c r="Z329" s="42">
        <f t="shared" si="142"/>
        <v>18061.78125</v>
      </c>
      <c r="AA329" s="42">
        <f>VLOOKUP(A329,kurspris!$A$1:$Q$798,17,FALSE)</f>
        <v>9800</v>
      </c>
      <c r="AB329" s="42">
        <f t="shared" si="143"/>
        <v>4900</v>
      </c>
      <c r="AC329" s="42">
        <f t="shared" si="144"/>
        <v>22961.78125</v>
      </c>
      <c r="AD329" s="31">
        <f>VLOOKUP($A329,kurspris!$A$1:$Q$835,3,FALSE)</f>
        <v>0</v>
      </c>
      <c r="AE329" s="31">
        <f>VLOOKUP($A329,kurspris!$A$1:$Q$835,4,FALSE)</f>
        <v>0</v>
      </c>
      <c r="AF329" s="31">
        <f>VLOOKUP($A329,kurspris!$A$1:$Q$835,5,FALSE)</f>
        <v>0</v>
      </c>
      <c r="AG329" s="31">
        <f>VLOOKUP($A329,kurspris!$A$1:$Q$835,6,FALSE)</f>
        <v>0</v>
      </c>
      <c r="AH329" s="31">
        <f>VLOOKUP($A329,kurspris!$A$1:$Q$835,7,FALSE)</f>
        <v>0</v>
      </c>
      <c r="AI329" s="31">
        <f>VLOOKUP($A329,kurspris!$A$1:$Q$835,8,FALSE)</f>
        <v>0.25</v>
      </c>
      <c r="AJ329" s="31">
        <f>VLOOKUP($A329,kurspris!$A$1:$Q$835,9,FALSE)</f>
        <v>0.75</v>
      </c>
      <c r="AK329" s="31">
        <f>VLOOKUP($A329,kurspris!$A$1:$Q$835,10,FALSE)</f>
        <v>0</v>
      </c>
      <c r="AL329" s="31">
        <f>VLOOKUP($A329,kurspris!$A$1:$Q$835,11,FALSE)</f>
        <v>0</v>
      </c>
      <c r="AM329" s="31">
        <f>VLOOKUP($A329,kurspris!$A$1:$Q$835,12,FALSE)</f>
        <v>0</v>
      </c>
      <c r="AN329" s="31">
        <f>VLOOKUP($A329,kurspris!$A$1:$Q$835,13,FALSE)</f>
        <v>0</v>
      </c>
      <c r="AO329" s="31">
        <f>VLOOKUP($A329,kurspris!$A$1:$Q$835,14,FALSE)</f>
        <v>0</v>
      </c>
      <c r="AP329" s="39" t="s">
        <v>2232</v>
      </c>
      <c r="AQ329"/>
      <c r="AR329" s="31">
        <f t="shared" si="145"/>
        <v>0</v>
      </c>
      <c r="AS329" s="255">
        <f t="shared" si="146"/>
        <v>0</v>
      </c>
      <c r="AT329" s="31">
        <f t="shared" si="147"/>
        <v>0</v>
      </c>
      <c r="AU329" s="255">
        <f t="shared" si="148"/>
        <v>0</v>
      </c>
      <c r="AV329" s="31">
        <f t="shared" si="149"/>
        <v>0</v>
      </c>
      <c r="AW329" s="31">
        <f t="shared" si="150"/>
        <v>0</v>
      </c>
      <c r="AX329" s="31">
        <f t="shared" si="151"/>
        <v>0</v>
      </c>
      <c r="AY329" s="255">
        <f t="shared" si="152"/>
        <v>0</v>
      </c>
      <c r="AZ329" s="232">
        <f t="shared" si="153"/>
        <v>0</v>
      </c>
      <c r="BA329" s="255">
        <f t="shared" si="154"/>
        <v>0</v>
      </c>
      <c r="BB329" s="31">
        <f t="shared" si="155"/>
        <v>0.125</v>
      </c>
      <c r="BC329" s="255">
        <f t="shared" si="156"/>
        <v>0.10625</v>
      </c>
      <c r="BD329" s="31">
        <f t="shared" si="157"/>
        <v>0.375</v>
      </c>
      <c r="BE329" s="255">
        <f t="shared" si="158"/>
        <v>0.31874999999999998</v>
      </c>
      <c r="BF329" s="31">
        <f t="shared" si="159"/>
        <v>0</v>
      </c>
      <c r="BG329" s="255">
        <f t="shared" si="160"/>
        <v>0</v>
      </c>
      <c r="BH329" s="31">
        <f t="shared" si="161"/>
        <v>0</v>
      </c>
      <c r="BI329" s="255">
        <f t="shared" si="162"/>
        <v>0</v>
      </c>
      <c r="BJ329" s="31">
        <f t="shared" si="163"/>
        <v>0</v>
      </c>
      <c r="BK329" s="31">
        <f t="shared" si="164"/>
        <v>0</v>
      </c>
      <c r="BL329" s="255">
        <f t="shared" si="165"/>
        <v>0</v>
      </c>
      <c r="BM329" s="31">
        <f t="shared" si="166"/>
        <v>0</v>
      </c>
      <c r="BN329" s="255">
        <f t="shared" si="167"/>
        <v>0</v>
      </c>
    </row>
    <row r="330" spans="1:66" x14ac:dyDescent="0.25">
      <c r="A330" s="18" t="s">
        <v>1956</v>
      </c>
      <c r="B330" s="186" t="str">
        <f>VLOOKUP(A330,kurspris!$A$1:$B$877,2,FALSE)</f>
        <v>Kartor och GIS</v>
      </c>
      <c r="C330" s="37"/>
      <c r="D330" s="31" t="s">
        <v>483</v>
      </c>
      <c r="E330" s="31" t="s">
        <v>1973</v>
      </c>
      <c r="F330" s="59" t="s">
        <v>1931</v>
      </c>
      <c r="G330" s="31" t="s">
        <v>2274</v>
      </c>
      <c r="J330" t="s">
        <v>773</v>
      </c>
      <c r="L330" s="31">
        <v>100</v>
      </c>
      <c r="M330" s="31">
        <v>7.5</v>
      </c>
      <c r="P330" s="31">
        <v>3</v>
      </c>
      <c r="Q330" s="232">
        <f t="shared" si="140"/>
        <v>0.375</v>
      </c>
      <c r="R330" s="40">
        <v>0.85</v>
      </c>
      <c r="S330" s="334">
        <f t="shared" si="141"/>
        <v>0.31874999999999998</v>
      </c>
      <c r="T330" s="31">
        <f>VLOOKUP(A330,'Ansvar kurs'!$A$1:$C$1010,2,FALSE)</f>
        <v>2500</v>
      </c>
      <c r="U330" s="31" t="str">
        <f>VLOOKUP(T330,Orgenheter!$A$1:$C$165,2,FALSE)</f>
        <v>Geografi</v>
      </c>
      <c r="V330" s="31" t="str">
        <f>VLOOKUP(T330,Orgenheter!$A$1:$C$165,3,FALSE)</f>
        <v>Sam</v>
      </c>
      <c r="W330" s="37" t="str">
        <f>VLOOKUP(D330,Program!$A$1:$B$34,2,FALSE)</f>
        <v>Ämneslärarprogrammet - Gy</v>
      </c>
      <c r="X330" s="42">
        <f>VLOOKUP(A330,kurspris!$A$1:$Q$798,15,FALSE)</f>
        <v>18939</v>
      </c>
      <c r="Y330" s="42">
        <f>VLOOKUP(A330,kurspris!$A$1:$Q$798,16,FALSE)</f>
        <v>25289.5</v>
      </c>
      <c r="Z330" s="42">
        <f t="shared" si="142"/>
        <v>15163.153125000001</v>
      </c>
      <c r="AA330" s="42">
        <f>VLOOKUP(A330,kurspris!$A$1:$Q$798,17,FALSE)</f>
        <v>13800</v>
      </c>
      <c r="AB330" s="42">
        <f t="shared" si="143"/>
        <v>5175</v>
      </c>
      <c r="AC330" s="42">
        <f t="shared" si="144"/>
        <v>20338.153125000001</v>
      </c>
      <c r="AD330" s="31">
        <f>VLOOKUP($A330,kurspris!$A$1:$Q$835,3,FALSE)</f>
        <v>0</v>
      </c>
      <c r="AE330" s="31">
        <f>VLOOKUP($A330,kurspris!$A$1:$Q$835,4,FALSE)</f>
        <v>0</v>
      </c>
      <c r="AF330" s="31">
        <f>VLOOKUP($A330,kurspris!$A$1:$Q$835,5,FALSE)</f>
        <v>0</v>
      </c>
      <c r="AG330" s="31">
        <f>VLOOKUP($A330,kurspris!$A$1:$Q$835,6,FALSE)</f>
        <v>0</v>
      </c>
      <c r="AH330" s="31">
        <f>VLOOKUP($A330,kurspris!$A$1:$Q$835,7,FALSE)</f>
        <v>0</v>
      </c>
      <c r="AI330" s="31">
        <f>VLOOKUP($A330,kurspris!$A$1:$Q$835,8,FALSE)</f>
        <v>0.5</v>
      </c>
      <c r="AJ330" s="31">
        <f>VLOOKUP($A330,kurspris!$A$1:$Q$835,9,FALSE)</f>
        <v>0.5</v>
      </c>
      <c r="AK330" s="31">
        <f>VLOOKUP($A330,kurspris!$A$1:$Q$835,10,FALSE)</f>
        <v>0</v>
      </c>
      <c r="AL330" s="31">
        <f>VLOOKUP($A330,kurspris!$A$1:$Q$835,11,FALSE)</f>
        <v>0</v>
      </c>
      <c r="AM330" s="31">
        <f>VLOOKUP($A330,kurspris!$A$1:$Q$835,12,FALSE)</f>
        <v>0</v>
      </c>
      <c r="AN330" s="31">
        <f>VLOOKUP($A330,kurspris!$A$1:$Q$835,13,FALSE)</f>
        <v>0</v>
      </c>
      <c r="AO330" s="31">
        <f>VLOOKUP($A330,kurspris!$A$1:$Q$835,14,FALSE)</f>
        <v>0</v>
      </c>
      <c r="AP330" s="39" t="s">
        <v>2326</v>
      </c>
      <c r="AQ330"/>
      <c r="AR330" s="31">
        <f t="shared" si="145"/>
        <v>0</v>
      </c>
      <c r="AS330" s="255">
        <f t="shared" si="146"/>
        <v>0</v>
      </c>
      <c r="AT330" s="31">
        <f t="shared" si="147"/>
        <v>0</v>
      </c>
      <c r="AU330" s="255">
        <f t="shared" si="148"/>
        <v>0</v>
      </c>
      <c r="AV330" s="31">
        <f t="shared" si="149"/>
        <v>0</v>
      </c>
      <c r="AW330" s="31">
        <f t="shared" si="150"/>
        <v>0</v>
      </c>
      <c r="AX330" s="31">
        <f t="shared" si="151"/>
        <v>0</v>
      </c>
      <c r="AY330" s="255">
        <f t="shared" si="152"/>
        <v>0</v>
      </c>
      <c r="AZ330" s="232">
        <f t="shared" si="153"/>
        <v>0</v>
      </c>
      <c r="BA330" s="255">
        <f t="shared" si="154"/>
        <v>0</v>
      </c>
      <c r="BB330" s="31">
        <f t="shared" si="155"/>
        <v>0.1875</v>
      </c>
      <c r="BC330" s="255">
        <f t="shared" si="156"/>
        <v>0.15937499999999999</v>
      </c>
      <c r="BD330" s="31">
        <f t="shared" si="157"/>
        <v>0.1875</v>
      </c>
      <c r="BE330" s="255">
        <f t="shared" si="158"/>
        <v>0.15937499999999999</v>
      </c>
      <c r="BF330" s="31">
        <f t="shared" si="159"/>
        <v>0</v>
      </c>
      <c r="BG330" s="255">
        <f t="shared" si="160"/>
        <v>0</v>
      </c>
      <c r="BH330" s="31">
        <f t="shared" si="161"/>
        <v>0</v>
      </c>
      <c r="BI330" s="255">
        <f t="shared" si="162"/>
        <v>0</v>
      </c>
      <c r="BJ330" s="31">
        <f t="shared" si="163"/>
        <v>0</v>
      </c>
      <c r="BK330" s="31">
        <f t="shared" si="164"/>
        <v>0</v>
      </c>
      <c r="BL330" s="255">
        <f t="shared" si="165"/>
        <v>0</v>
      </c>
      <c r="BM330" s="31">
        <f t="shared" si="166"/>
        <v>0</v>
      </c>
      <c r="BN330" s="255">
        <f t="shared" si="167"/>
        <v>0</v>
      </c>
    </row>
    <row r="331" spans="1:66" x14ac:dyDescent="0.25">
      <c r="A331" s="18" t="s">
        <v>1956</v>
      </c>
      <c r="B331" s="186" t="str">
        <f>VLOOKUP(A331,kurspris!$A$1:$B$877,2,FALSE)</f>
        <v>Kartor och GIS</v>
      </c>
      <c r="C331" s="37"/>
      <c r="D331" s="31" t="s">
        <v>483</v>
      </c>
      <c r="E331" s="31" t="s">
        <v>1973</v>
      </c>
      <c r="F331" s="59" t="s">
        <v>1931</v>
      </c>
      <c r="G331" s="31" t="s">
        <v>2274</v>
      </c>
      <c r="J331" t="s">
        <v>777</v>
      </c>
      <c r="L331" s="31">
        <v>100</v>
      </c>
      <c r="M331" s="31">
        <v>7.5</v>
      </c>
      <c r="P331" s="31">
        <v>2</v>
      </c>
      <c r="Q331" s="232">
        <f t="shared" si="140"/>
        <v>0.25</v>
      </c>
      <c r="R331" s="40">
        <v>0.85</v>
      </c>
      <c r="S331" s="334">
        <f t="shared" si="141"/>
        <v>0.21249999999999999</v>
      </c>
      <c r="T331" s="31">
        <f>VLOOKUP(A331,'Ansvar kurs'!$A$1:$C$1010,2,FALSE)</f>
        <v>2500</v>
      </c>
      <c r="U331" s="31" t="str">
        <f>VLOOKUP(T331,Orgenheter!$A$1:$C$165,2,FALSE)</f>
        <v>Geografi</v>
      </c>
      <c r="V331" s="31" t="str">
        <f>VLOOKUP(T331,Orgenheter!$A$1:$C$165,3,FALSE)</f>
        <v>Sam</v>
      </c>
      <c r="W331" s="37" t="str">
        <f>VLOOKUP(D331,Program!$A$1:$B$34,2,FALSE)</f>
        <v>Ämneslärarprogrammet - Gy</v>
      </c>
      <c r="X331" s="42">
        <f>VLOOKUP(A331,kurspris!$A$1:$Q$798,15,FALSE)</f>
        <v>18939</v>
      </c>
      <c r="Y331" s="42">
        <f>VLOOKUP(A331,kurspris!$A$1:$Q$798,16,FALSE)</f>
        <v>25289.5</v>
      </c>
      <c r="Z331" s="42">
        <f t="shared" si="142"/>
        <v>10108.768749999999</v>
      </c>
      <c r="AA331" s="42">
        <f>VLOOKUP(A331,kurspris!$A$1:$Q$798,17,FALSE)</f>
        <v>13800</v>
      </c>
      <c r="AB331" s="42">
        <f t="shared" si="143"/>
        <v>3450</v>
      </c>
      <c r="AC331" s="42">
        <f t="shared" si="144"/>
        <v>13558.768749999999</v>
      </c>
      <c r="AD331" s="31">
        <f>VLOOKUP($A331,kurspris!$A$1:$Q$835,3,FALSE)</f>
        <v>0</v>
      </c>
      <c r="AE331" s="31">
        <f>VLOOKUP($A331,kurspris!$A$1:$Q$835,4,FALSE)</f>
        <v>0</v>
      </c>
      <c r="AF331" s="31">
        <f>VLOOKUP($A331,kurspris!$A$1:$Q$835,5,FALSE)</f>
        <v>0</v>
      </c>
      <c r="AG331" s="31">
        <f>VLOOKUP($A331,kurspris!$A$1:$Q$835,6,FALSE)</f>
        <v>0</v>
      </c>
      <c r="AH331" s="31">
        <f>VLOOKUP($A331,kurspris!$A$1:$Q$835,7,FALSE)</f>
        <v>0</v>
      </c>
      <c r="AI331" s="31">
        <f>VLOOKUP($A331,kurspris!$A$1:$Q$835,8,FALSE)</f>
        <v>0.5</v>
      </c>
      <c r="AJ331" s="31">
        <f>VLOOKUP($A331,kurspris!$A$1:$Q$835,9,FALSE)</f>
        <v>0.5</v>
      </c>
      <c r="AK331" s="31">
        <f>VLOOKUP($A331,kurspris!$A$1:$Q$835,10,FALSE)</f>
        <v>0</v>
      </c>
      <c r="AL331" s="31">
        <f>VLOOKUP($A331,kurspris!$A$1:$Q$835,11,FALSE)</f>
        <v>0</v>
      </c>
      <c r="AM331" s="31">
        <f>VLOOKUP($A331,kurspris!$A$1:$Q$835,12,FALSE)</f>
        <v>0</v>
      </c>
      <c r="AN331" s="31">
        <f>VLOOKUP($A331,kurspris!$A$1:$Q$835,13,FALSE)</f>
        <v>0</v>
      </c>
      <c r="AO331" s="31">
        <f>VLOOKUP($A331,kurspris!$A$1:$Q$835,14,FALSE)</f>
        <v>0</v>
      </c>
      <c r="AP331" s="39" t="s">
        <v>2326</v>
      </c>
      <c r="AQ331"/>
      <c r="AR331" s="31">
        <f t="shared" si="145"/>
        <v>0</v>
      </c>
      <c r="AS331" s="255">
        <f t="shared" si="146"/>
        <v>0</v>
      </c>
      <c r="AT331" s="31">
        <f t="shared" si="147"/>
        <v>0</v>
      </c>
      <c r="AU331" s="255">
        <f t="shared" si="148"/>
        <v>0</v>
      </c>
      <c r="AV331" s="31">
        <f t="shared" si="149"/>
        <v>0</v>
      </c>
      <c r="AW331" s="31">
        <f t="shared" si="150"/>
        <v>0</v>
      </c>
      <c r="AX331" s="31">
        <f t="shared" si="151"/>
        <v>0</v>
      </c>
      <c r="AY331" s="255">
        <f t="shared" si="152"/>
        <v>0</v>
      </c>
      <c r="AZ331" s="232">
        <f t="shared" si="153"/>
        <v>0</v>
      </c>
      <c r="BA331" s="255">
        <f t="shared" si="154"/>
        <v>0</v>
      </c>
      <c r="BB331" s="31">
        <f t="shared" si="155"/>
        <v>0.125</v>
      </c>
      <c r="BC331" s="255">
        <f t="shared" si="156"/>
        <v>0.10625</v>
      </c>
      <c r="BD331" s="31">
        <f t="shared" si="157"/>
        <v>0.125</v>
      </c>
      <c r="BE331" s="255">
        <f t="shared" si="158"/>
        <v>0.10625</v>
      </c>
      <c r="BF331" s="31">
        <f t="shared" si="159"/>
        <v>0</v>
      </c>
      <c r="BG331" s="255">
        <f t="shared" si="160"/>
        <v>0</v>
      </c>
      <c r="BH331" s="31">
        <f t="shared" si="161"/>
        <v>0</v>
      </c>
      <c r="BI331" s="255">
        <f t="shared" si="162"/>
        <v>0</v>
      </c>
      <c r="BJ331" s="31">
        <f t="shared" si="163"/>
        <v>0</v>
      </c>
      <c r="BK331" s="31">
        <f t="shared" si="164"/>
        <v>0</v>
      </c>
      <c r="BL331" s="255">
        <f t="shared" si="165"/>
        <v>0</v>
      </c>
      <c r="BM331" s="31">
        <f t="shared" si="166"/>
        <v>0</v>
      </c>
      <c r="BN331" s="255">
        <f t="shared" si="167"/>
        <v>0</v>
      </c>
    </row>
    <row r="332" spans="1:66" x14ac:dyDescent="0.25">
      <c r="A332" s="18" t="s">
        <v>1956</v>
      </c>
      <c r="B332" s="186" t="str">
        <f>VLOOKUP(A332,kurspris!$A$1:$B$877,2,FALSE)</f>
        <v>Kartor och GIS</v>
      </c>
      <c r="C332" s="37"/>
      <c r="D332" s="31" t="s">
        <v>483</v>
      </c>
      <c r="E332" s="31" t="s">
        <v>1788</v>
      </c>
      <c r="F332" s="59" t="s">
        <v>1931</v>
      </c>
      <c r="G332" s="31" t="s">
        <v>2274</v>
      </c>
      <c r="J332" t="s">
        <v>1813</v>
      </c>
      <c r="L332" s="31">
        <v>100</v>
      </c>
      <c r="M332" s="31">
        <v>7.5</v>
      </c>
      <c r="P332" s="31">
        <v>2</v>
      </c>
      <c r="Q332" s="232">
        <f t="shared" si="140"/>
        <v>0.25</v>
      </c>
      <c r="R332" s="40">
        <v>0.85</v>
      </c>
      <c r="S332" s="334">
        <f t="shared" si="141"/>
        <v>0.21249999999999999</v>
      </c>
      <c r="T332" s="31">
        <f>VLOOKUP(A332,'Ansvar kurs'!$A$1:$C$1010,2,FALSE)</f>
        <v>2500</v>
      </c>
      <c r="U332" s="31" t="str">
        <f>VLOOKUP(T332,Orgenheter!$A$1:$C$165,2,FALSE)</f>
        <v>Geografi</v>
      </c>
      <c r="V332" s="31" t="str">
        <f>VLOOKUP(T332,Orgenheter!$A$1:$C$165,3,FALSE)</f>
        <v>Sam</v>
      </c>
      <c r="W332" s="37" t="str">
        <f>VLOOKUP(D332,Program!$A$1:$B$34,2,FALSE)</f>
        <v>Ämneslärarprogrammet - Gy</v>
      </c>
      <c r="X332" s="42">
        <f>VLOOKUP(A332,kurspris!$A$1:$Q$798,15,FALSE)</f>
        <v>18939</v>
      </c>
      <c r="Y332" s="42">
        <f>VLOOKUP(A332,kurspris!$A$1:$Q$798,16,FALSE)</f>
        <v>25289.5</v>
      </c>
      <c r="Z332" s="42">
        <f t="shared" si="142"/>
        <v>10108.768749999999</v>
      </c>
      <c r="AA332" s="42">
        <f>VLOOKUP(A332,kurspris!$A$1:$Q$798,17,FALSE)</f>
        <v>13800</v>
      </c>
      <c r="AB332" s="42">
        <f t="shared" si="143"/>
        <v>3450</v>
      </c>
      <c r="AC332" s="42">
        <f t="shared" si="144"/>
        <v>13558.768749999999</v>
      </c>
      <c r="AD332" s="31">
        <f>VLOOKUP($A332,kurspris!$A$1:$Q$835,3,FALSE)</f>
        <v>0</v>
      </c>
      <c r="AE332" s="31">
        <f>VLOOKUP($A332,kurspris!$A$1:$Q$835,4,FALSE)</f>
        <v>0</v>
      </c>
      <c r="AF332" s="31">
        <f>VLOOKUP($A332,kurspris!$A$1:$Q$835,5,FALSE)</f>
        <v>0</v>
      </c>
      <c r="AG332" s="31">
        <f>VLOOKUP($A332,kurspris!$A$1:$Q$835,6,FALSE)</f>
        <v>0</v>
      </c>
      <c r="AH332" s="31">
        <f>VLOOKUP($A332,kurspris!$A$1:$Q$835,7,FALSE)</f>
        <v>0</v>
      </c>
      <c r="AI332" s="31">
        <f>VLOOKUP($A332,kurspris!$A$1:$Q$835,8,FALSE)</f>
        <v>0.5</v>
      </c>
      <c r="AJ332" s="31">
        <f>VLOOKUP($A332,kurspris!$A$1:$Q$835,9,FALSE)</f>
        <v>0.5</v>
      </c>
      <c r="AK332" s="31">
        <f>VLOOKUP($A332,kurspris!$A$1:$Q$835,10,FALSE)</f>
        <v>0</v>
      </c>
      <c r="AL332" s="31">
        <f>VLOOKUP($A332,kurspris!$A$1:$Q$835,11,FALSE)</f>
        <v>0</v>
      </c>
      <c r="AM332" s="31">
        <f>VLOOKUP($A332,kurspris!$A$1:$Q$835,12,FALSE)</f>
        <v>0</v>
      </c>
      <c r="AN332" s="31">
        <f>VLOOKUP($A332,kurspris!$A$1:$Q$835,13,FALSE)</f>
        <v>0</v>
      </c>
      <c r="AO332" s="31">
        <f>VLOOKUP($A332,kurspris!$A$1:$Q$835,14,FALSE)</f>
        <v>0</v>
      </c>
      <c r="AP332" s="39" t="s">
        <v>2326</v>
      </c>
      <c r="AQ332"/>
      <c r="AR332" s="31">
        <f t="shared" si="145"/>
        <v>0</v>
      </c>
      <c r="AS332" s="255">
        <f t="shared" si="146"/>
        <v>0</v>
      </c>
      <c r="AT332" s="31">
        <f t="shared" si="147"/>
        <v>0</v>
      </c>
      <c r="AU332" s="255">
        <f t="shared" si="148"/>
        <v>0</v>
      </c>
      <c r="AV332" s="31">
        <f t="shared" si="149"/>
        <v>0</v>
      </c>
      <c r="AW332" s="31">
        <f t="shared" si="150"/>
        <v>0</v>
      </c>
      <c r="AX332" s="31">
        <f t="shared" si="151"/>
        <v>0</v>
      </c>
      <c r="AY332" s="255">
        <f t="shared" si="152"/>
        <v>0</v>
      </c>
      <c r="AZ332" s="232">
        <f t="shared" si="153"/>
        <v>0</v>
      </c>
      <c r="BA332" s="255">
        <f t="shared" si="154"/>
        <v>0</v>
      </c>
      <c r="BB332" s="31">
        <f t="shared" si="155"/>
        <v>0.125</v>
      </c>
      <c r="BC332" s="255">
        <f t="shared" si="156"/>
        <v>0.10625</v>
      </c>
      <c r="BD332" s="31">
        <f t="shared" si="157"/>
        <v>0.125</v>
      </c>
      <c r="BE332" s="255">
        <f t="shared" si="158"/>
        <v>0.10625</v>
      </c>
      <c r="BF332" s="31">
        <f t="shared" si="159"/>
        <v>0</v>
      </c>
      <c r="BG332" s="255">
        <f t="shared" si="160"/>
        <v>0</v>
      </c>
      <c r="BH332" s="31">
        <f t="shared" si="161"/>
        <v>0</v>
      </c>
      <c r="BI332" s="255">
        <f t="shared" si="162"/>
        <v>0</v>
      </c>
      <c r="BJ332" s="31">
        <f t="shared" si="163"/>
        <v>0</v>
      </c>
      <c r="BK332" s="31">
        <f t="shared" si="164"/>
        <v>0</v>
      </c>
      <c r="BL332" s="255">
        <f t="shared" si="165"/>
        <v>0</v>
      </c>
      <c r="BM332" s="31">
        <f t="shared" si="166"/>
        <v>0</v>
      </c>
      <c r="BN332" s="255">
        <f t="shared" si="167"/>
        <v>0</v>
      </c>
    </row>
    <row r="333" spans="1:66" x14ac:dyDescent="0.25">
      <c r="A333" s="18" t="s">
        <v>1959</v>
      </c>
      <c r="B333" s="186" t="str">
        <f>VLOOKUP(A333,kurspris!$A$1:$B$877,2,FALSE)</f>
        <v>Geografididaktik 1</v>
      </c>
      <c r="C333" s="37"/>
      <c r="D333" s="31" t="s">
        <v>483</v>
      </c>
      <c r="E333" s="31" t="s">
        <v>1973</v>
      </c>
      <c r="F333" s="59" t="s">
        <v>1931</v>
      </c>
      <c r="G333" s="31" t="s">
        <v>2269</v>
      </c>
      <c r="J333" t="s">
        <v>773</v>
      </c>
      <c r="L333" s="31">
        <v>100</v>
      </c>
      <c r="M333" s="31">
        <v>7.5</v>
      </c>
      <c r="P333" s="31">
        <v>3</v>
      </c>
      <c r="Q333" s="232">
        <f t="shared" si="140"/>
        <v>0.375</v>
      </c>
      <c r="R333" s="40">
        <v>0.85</v>
      </c>
      <c r="S333" s="334">
        <f t="shared" si="141"/>
        <v>0.31874999999999998</v>
      </c>
      <c r="T333" s="31">
        <f>VLOOKUP(A333,'Ansvar kurs'!$A$1:$C$1010,2,FALSE)</f>
        <v>2500</v>
      </c>
      <c r="U333" s="31" t="str">
        <f>VLOOKUP(T333,Orgenheter!$A$1:$C$165,2,FALSE)</f>
        <v>Geografi</v>
      </c>
      <c r="V333" s="31" t="str">
        <f>VLOOKUP(T333,Orgenheter!$A$1:$C$165,3,FALSE)</f>
        <v>Sam</v>
      </c>
      <c r="W333" s="37" t="str">
        <f>VLOOKUP(D333,Program!$A$1:$B$34,2,FALSE)</f>
        <v>Ämneslärarprogrammet - Gy</v>
      </c>
      <c r="X333" s="42">
        <f>VLOOKUP(A333,kurspris!$A$1:$Q$798,15,FALSE)</f>
        <v>18405</v>
      </c>
      <c r="Y333" s="42">
        <f>VLOOKUP(A333,kurspris!$A$1:$Q$798,16,FALSE)</f>
        <v>15773</v>
      </c>
      <c r="Z333" s="42">
        <f t="shared" si="142"/>
        <v>11929.518749999999</v>
      </c>
      <c r="AA333" s="42">
        <f>VLOOKUP(A333,kurspris!$A$1:$Q$798,17,FALSE)</f>
        <v>5800</v>
      </c>
      <c r="AB333" s="42">
        <f t="shared" si="143"/>
        <v>2175</v>
      </c>
      <c r="AC333" s="42">
        <f t="shared" si="144"/>
        <v>14104.518749999999</v>
      </c>
      <c r="AD333" s="31">
        <f>VLOOKUP($A333,kurspris!$A$1:$Q$835,3,FALSE)</f>
        <v>0</v>
      </c>
      <c r="AE333" s="31">
        <f>VLOOKUP($A333,kurspris!$A$1:$Q$835,4,FALSE)</f>
        <v>0</v>
      </c>
      <c r="AF333" s="31">
        <f>VLOOKUP($A333,kurspris!$A$1:$Q$835,5,FALSE)</f>
        <v>0</v>
      </c>
      <c r="AG333" s="31">
        <f>VLOOKUP($A333,kurspris!$A$1:$Q$835,6,FALSE)</f>
        <v>0</v>
      </c>
      <c r="AH333" s="31">
        <f>VLOOKUP($A333,kurspris!$A$1:$Q$835,7,FALSE)</f>
        <v>0</v>
      </c>
      <c r="AI333" s="31">
        <f>VLOOKUP($A333,kurspris!$A$1:$Q$835,8,FALSE)</f>
        <v>0</v>
      </c>
      <c r="AJ333" s="31">
        <f>VLOOKUP($A333,kurspris!$A$1:$Q$835,9,FALSE)</f>
        <v>1</v>
      </c>
      <c r="AK333" s="31">
        <f>VLOOKUP($A333,kurspris!$A$1:$Q$835,10,FALSE)</f>
        <v>0</v>
      </c>
      <c r="AL333" s="31">
        <f>VLOOKUP($A333,kurspris!$A$1:$Q$835,11,FALSE)</f>
        <v>0</v>
      </c>
      <c r="AM333" s="31">
        <f>VLOOKUP($A333,kurspris!$A$1:$Q$835,12,FALSE)</f>
        <v>0</v>
      </c>
      <c r="AN333" s="31">
        <f>VLOOKUP($A333,kurspris!$A$1:$Q$835,13,FALSE)</f>
        <v>0</v>
      </c>
      <c r="AO333" s="31">
        <f>VLOOKUP($A333,kurspris!$A$1:$Q$835,14,FALSE)</f>
        <v>0</v>
      </c>
      <c r="AP333" s="39" t="s">
        <v>2326</v>
      </c>
      <c r="AQ333"/>
      <c r="AR333" s="31">
        <f t="shared" si="145"/>
        <v>0</v>
      </c>
      <c r="AS333" s="255">
        <f t="shared" si="146"/>
        <v>0</v>
      </c>
      <c r="AT333" s="31">
        <f t="shared" si="147"/>
        <v>0</v>
      </c>
      <c r="AU333" s="255">
        <f t="shared" si="148"/>
        <v>0</v>
      </c>
      <c r="AV333" s="31">
        <f t="shared" si="149"/>
        <v>0</v>
      </c>
      <c r="AW333" s="31">
        <f t="shared" si="150"/>
        <v>0</v>
      </c>
      <c r="AX333" s="31">
        <f t="shared" si="151"/>
        <v>0</v>
      </c>
      <c r="AY333" s="255">
        <f t="shared" si="152"/>
        <v>0</v>
      </c>
      <c r="AZ333" s="232">
        <f t="shared" si="153"/>
        <v>0</v>
      </c>
      <c r="BA333" s="255">
        <f t="shared" si="154"/>
        <v>0</v>
      </c>
      <c r="BB333" s="31">
        <f t="shared" si="155"/>
        <v>0</v>
      </c>
      <c r="BC333" s="255">
        <f t="shared" si="156"/>
        <v>0</v>
      </c>
      <c r="BD333" s="31">
        <f t="shared" si="157"/>
        <v>0.375</v>
      </c>
      <c r="BE333" s="255">
        <f t="shared" si="158"/>
        <v>0.31874999999999998</v>
      </c>
      <c r="BF333" s="31">
        <f t="shared" si="159"/>
        <v>0</v>
      </c>
      <c r="BG333" s="255">
        <f t="shared" si="160"/>
        <v>0</v>
      </c>
      <c r="BH333" s="31">
        <f t="shared" si="161"/>
        <v>0</v>
      </c>
      <c r="BI333" s="255">
        <f t="shared" si="162"/>
        <v>0</v>
      </c>
      <c r="BJ333" s="31">
        <f t="shared" si="163"/>
        <v>0</v>
      </c>
      <c r="BK333" s="31">
        <f t="shared" si="164"/>
        <v>0</v>
      </c>
      <c r="BL333" s="255">
        <f t="shared" si="165"/>
        <v>0</v>
      </c>
      <c r="BM333" s="31">
        <f t="shared" si="166"/>
        <v>0</v>
      </c>
      <c r="BN333" s="255">
        <f t="shared" si="167"/>
        <v>0</v>
      </c>
    </row>
    <row r="334" spans="1:66" x14ac:dyDescent="0.25">
      <c r="A334" s="18" t="s">
        <v>1959</v>
      </c>
      <c r="B334" s="186" t="str">
        <f>VLOOKUP(A334,kurspris!$A$1:$B$877,2,FALSE)</f>
        <v>Geografididaktik 1</v>
      </c>
      <c r="C334" s="37"/>
      <c r="D334" s="31" t="s">
        <v>483</v>
      </c>
      <c r="E334" s="31" t="s">
        <v>1973</v>
      </c>
      <c r="F334" s="59" t="s">
        <v>1931</v>
      </c>
      <c r="G334" s="31" t="s">
        <v>2269</v>
      </c>
      <c r="J334" t="s">
        <v>777</v>
      </c>
      <c r="L334" s="31">
        <v>100</v>
      </c>
      <c r="M334" s="31">
        <v>7.5</v>
      </c>
      <c r="P334" s="31">
        <v>2</v>
      </c>
      <c r="Q334" s="232">
        <f t="shared" si="140"/>
        <v>0.25</v>
      </c>
      <c r="R334" s="40">
        <v>0.85</v>
      </c>
      <c r="S334" s="334">
        <f t="shared" si="141"/>
        <v>0.21249999999999999</v>
      </c>
      <c r="T334" s="31">
        <f>VLOOKUP(A334,'Ansvar kurs'!$A$1:$C$1010,2,FALSE)</f>
        <v>2500</v>
      </c>
      <c r="U334" s="31" t="str">
        <f>VLOOKUP(T334,Orgenheter!$A$1:$C$165,2,FALSE)</f>
        <v>Geografi</v>
      </c>
      <c r="V334" s="31" t="str">
        <f>VLOOKUP(T334,Orgenheter!$A$1:$C$165,3,FALSE)</f>
        <v>Sam</v>
      </c>
      <c r="W334" s="37" t="str">
        <f>VLOOKUP(D334,Program!$A$1:$B$34,2,FALSE)</f>
        <v>Ämneslärarprogrammet - Gy</v>
      </c>
      <c r="X334" s="42">
        <f>VLOOKUP(A334,kurspris!$A$1:$Q$798,15,FALSE)</f>
        <v>18405</v>
      </c>
      <c r="Y334" s="42">
        <f>VLOOKUP(A334,kurspris!$A$1:$Q$798,16,FALSE)</f>
        <v>15773</v>
      </c>
      <c r="Z334" s="42">
        <f t="shared" si="142"/>
        <v>7953.0124999999998</v>
      </c>
      <c r="AA334" s="42">
        <f>VLOOKUP(A334,kurspris!$A$1:$Q$798,17,FALSE)</f>
        <v>5800</v>
      </c>
      <c r="AB334" s="42">
        <f t="shared" si="143"/>
        <v>1450</v>
      </c>
      <c r="AC334" s="42">
        <f t="shared" si="144"/>
        <v>9403.0125000000007</v>
      </c>
      <c r="AD334" s="31">
        <f>VLOOKUP($A334,kurspris!$A$1:$Q$835,3,FALSE)</f>
        <v>0</v>
      </c>
      <c r="AE334" s="31">
        <f>VLOOKUP($A334,kurspris!$A$1:$Q$835,4,FALSE)</f>
        <v>0</v>
      </c>
      <c r="AF334" s="31">
        <f>VLOOKUP($A334,kurspris!$A$1:$Q$835,5,FALSE)</f>
        <v>0</v>
      </c>
      <c r="AG334" s="31">
        <f>VLOOKUP($A334,kurspris!$A$1:$Q$835,6,FALSE)</f>
        <v>0</v>
      </c>
      <c r="AH334" s="31">
        <f>VLOOKUP($A334,kurspris!$A$1:$Q$835,7,FALSE)</f>
        <v>0</v>
      </c>
      <c r="AI334" s="31">
        <f>VLOOKUP($A334,kurspris!$A$1:$Q$835,8,FALSE)</f>
        <v>0</v>
      </c>
      <c r="AJ334" s="31">
        <f>VLOOKUP($A334,kurspris!$A$1:$Q$835,9,FALSE)</f>
        <v>1</v>
      </c>
      <c r="AK334" s="31">
        <f>VLOOKUP($A334,kurspris!$A$1:$Q$835,10,FALSE)</f>
        <v>0</v>
      </c>
      <c r="AL334" s="31">
        <f>VLOOKUP($A334,kurspris!$A$1:$Q$835,11,FALSE)</f>
        <v>0</v>
      </c>
      <c r="AM334" s="31">
        <f>VLOOKUP($A334,kurspris!$A$1:$Q$835,12,FALSE)</f>
        <v>0</v>
      </c>
      <c r="AN334" s="31">
        <f>VLOOKUP($A334,kurspris!$A$1:$Q$835,13,FALSE)</f>
        <v>0</v>
      </c>
      <c r="AO334" s="31">
        <f>VLOOKUP($A334,kurspris!$A$1:$Q$835,14,FALSE)</f>
        <v>0</v>
      </c>
      <c r="AP334" s="39" t="s">
        <v>2326</v>
      </c>
      <c r="AQ334"/>
      <c r="AR334" s="31">
        <f t="shared" si="145"/>
        <v>0</v>
      </c>
      <c r="AS334" s="255">
        <f t="shared" si="146"/>
        <v>0</v>
      </c>
      <c r="AT334" s="31">
        <f t="shared" si="147"/>
        <v>0</v>
      </c>
      <c r="AU334" s="255">
        <f t="shared" si="148"/>
        <v>0</v>
      </c>
      <c r="AV334" s="31">
        <f t="shared" si="149"/>
        <v>0</v>
      </c>
      <c r="AW334" s="31">
        <f t="shared" si="150"/>
        <v>0</v>
      </c>
      <c r="AX334" s="31">
        <f t="shared" si="151"/>
        <v>0</v>
      </c>
      <c r="AY334" s="255">
        <f t="shared" si="152"/>
        <v>0</v>
      </c>
      <c r="AZ334" s="232">
        <f t="shared" si="153"/>
        <v>0</v>
      </c>
      <c r="BA334" s="255">
        <f t="shared" si="154"/>
        <v>0</v>
      </c>
      <c r="BB334" s="31">
        <f t="shared" si="155"/>
        <v>0</v>
      </c>
      <c r="BC334" s="255">
        <f t="shared" si="156"/>
        <v>0</v>
      </c>
      <c r="BD334" s="31">
        <f t="shared" si="157"/>
        <v>0.25</v>
      </c>
      <c r="BE334" s="255">
        <f t="shared" si="158"/>
        <v>0.21249999999999999</v>
      </c>
      <c r="BF334" s="31">
        <f t="shared" si="159"/>
        <v>0</v>
      </c>
      <c r="BG334" s="255">
        <f t="shared" si="160"/>
        <v>0</v>
      </c>
      <c r="BH334" s="31">
        <f t="shared" si="161"/>
        <v>0</v>
      </c>
      <c r="BI334" s="255">
        <f t="shared" si="162"/>
        <v>0</v>
      </c>
      <c r="BJ334" s="31">
        <f t="shared" si="163"/>
        <v>0</v>
      </c>
      <c r="BK334" s="31">
        <f t="shared" si="164"/>
        <v>0</v>
      </c>
      <c r="BL334" s="255">
        <f t="shared" si="165"/>
        <v>0</v>
      </c>
      <c r="BM334" s="31">
        <f t="shared" si="166"/>
        <v>0</v>
      </c>
      <c r="BN334" s="255">
        <f t="shared" si="167"/>
        <v>0</v>
      </c>
    </row>
    <row r="335" spans="1:66" x14ac:dyDescent="0.25">
      <c r="A335" s="18" t="s">
        <v>1959</v>
      </c>
      <c r="B335" s="186" t="str">
        <f>VLOOKUP(A335,kurspris!$A$1:$B$877,2,FALSE)</f>
        <v>Geografididaktik 1</v>
      </c>
      <c r="C335" s="37"/>
      <c r="D335" s="31" t="s">
        <v>483</v>
      </c>
      <c r="E335" s="31" t="s">
        <v>1788</v>
      </c>
      <c r="F335" s="59" t="s">
        <v>1931</v>
      </c>
      <c r="G335" s="31" t="s">
        <v>2269</v>
      </c>
      <c r="J335" t="s">
        <v>1813</v>
      </c>
      <c r="L335" s="31">
        <v>100</v>
      </c>
      <c r="M335" s="31">
        <v>7.5</v>
      </c>
      <c r="P335" s="31">
        <v>2</v>
      </c>
      <c r="Q335" s="232">
        <f t="shared" si="140"/>
        <v>0.25</v>
      </c>
      <c r="R335" s="40">
        <v>0.85</v>
      </c>
      <c r="S335" s="334">
        <f t="shared" si="141"/>
        <v>0.21249999999999999</v>
      </c>
      <c r="T335" s="31">
        <f>VLOOKUP(A335,'Ansvar kurs'!$A$1:$C$1010,2,FALSE)</f>
        <v>2500</v>
      </c>
      <c r="U335" s="31" t="str">
        <f>VLOOKUP(T335,Orgenheter!$A$1:$C$165,2,FALSE)</f>
        <v>Geografi</v>
      </c>
      <c r="V335" s="31" t="str">
        <f>VLOOKUP(T335,Orgenheter!$A$1:$C$165,3,FALSE)</f>
        <v>Sam</v>
      </c>
      <c r="W335" s="37" t="str">
        <f>VLOOKUP(D335,Program!$A$1:$B$34,2,FALSE)</f>
        <v>Ämneslärarprogrammet - Gy</v>
      </c>
      <c r="X335" s="42">
        <f>VLOOKUP(A335,kurspris!$A$1:$Q$798,15,FALSE)</f>
        <v>18405</v>
      </c>
      <c r="Y335" s="42">
        <f>VLOOKUP(A335,kurspris!$A$1:$Q$798,16,FALSE)</f>
        <v>15773</v>
      </c>
      <c r="Z335" s="42">
        <f t="shared" si="142"/>
        <v>7953.0124999999998</v>
      </c>
      <c r="AA335" s="42">
        <f>VLOOKUP(A335,kurspris!$A$1:$Q$798,17,FALSE)</f>
        <v>5800</v>
      </c>
      <c r="AB335" s="42">
        <f t="shared" si="143"/>
        <v>1450</v>
      </c>
      <c r="AC335" s="42">
        <f t="shared" si="144"/>
        <v>9403.0125000000007</v>
      </c>
      <c r="AD335" s="31">
        <f>VLOOKUP($A335,kurspris!$A$1:$Q$835,3,FALSE)</f>
        <v>0</v>
      </c>
      <c r="AE335" s="31">
        <f>VLOOKUP($A335,kurspris!$A$1:$Q$835,4,FALSE)</f>
        <v>0</v>
      </c>
      <c r="AF335" s="31">
        <f>VLOOKUP($A335,kurspris!$A$1:$Q$835,5,FALSE)</f>
        <v>0</v>
      </c>
      <c r="AG335" s="31">
        <f>VLOOKUP($A335,kurspris!$A$1:$Q$835,6,FALSE)</f>
        <v>0</v>
      </c>
      <c r="AH335" s="31">
        <f>VLOOKUP($A335,kurspris!$A$1:$Q$835,7,FALSE)</f>
        <v>0</v>
      </c>
      <c r="AI335" s="31">
        <f>VLOOKUP($A335,kurspris!$A$1:$Q$835,8,FALSE)</f>
        <v>0</v>
      </c>
      <c r="AJ335" s="31">
        <f>VLOOKUP($A335,kurspris!$A$1:$Q$835,9,FALSE)</f>
        <v>1</v>
      </c>
      <c r="AK335" s="31">
        <f>VLOOKUP($A335,kurspris!$A$1:$Q$835,10,FALSE)</f>
        <v>0</v>
      </c>
      <c r="AL335" s="31">
        <f>VLOOKUP($A335,kurspris!$A$1:$Q$835,11,FALSE)</f>
        <v>0</v>
      </c>
      <c r="AM335" s="31">
        <f>VLOOKUP($A335,kurspris!$A$1:$Q$835,12,FALSE)</f>
        <v>0</v>
      </c>
      <c r="AN335" s="31">
        <f>VLOOKUP($A335,kurspris!$A$1:$Q$835,13,FALSE)</f>
        <v>0</v>
      </c>
      <c r="AO335" s="31">
        <f>VLOOKUP($A335,kurspris!$A$1:$Q$835,14,FALSE)</f>
        <v>0</v>
      </c>
      <c r="AP335" s="39" t="s">
        <v>2326</v>
      </c>
      <c r="AQ335"/>
      <c r="AR335" s="31">
        <f t="shared" si="145"/>
        <v>0</v>
      </c>
      <c r="AS335" s="255">
        <f t="shared" si="146"/>
        <v>0</v>
      </c>
      <c r="AT335" s="31">
        <f t="shared" si="147"/>
        <v>0</v>
      </c>
      <c r="AU335" s="255">
        <f t="shared" si="148"/>
        <v>0</v>
      </c>
      <c r="AV335" s="31">
        <f t="shared" si="149"/>
        <v>0</v>
      </c>
      <c r="AW335" s="31">
        <f t="shared" si="150"/>
        <v>0</v>
      </c>
      <c r="AX335" s="31">
        <f t="shared" si="151"/>
        <v>0</v>
      </c>
      <c r="AY335" s="255">
        <f t="shared" si="152"/>
        <v>0</v>
      </c>
      <c r="AZ335" s="232">
        <f t="shared" si="153"/>
        <v>0</v>
      </c>
      <c r="BA335" s="255">
        <f t="shared" si="154"/>
        <v>0</v>
      </c>
      <c r="BB335" s="31">
        <f t="shared" si="155"/>
        <v>0</v>
      </c>
      <c r="BC335" s="255">
        <f t="shared" si="156"/>
        <v>0</v>
      </c>
      <c r="BD335" s="31">
        <f t="shared" si="157"/>
        <v>0.25</v>
      </c>
      <c r="BE335" s="255">
        <f t="shared" si="158"/>
        <v>0.21249999999999999</v>
      </c>
      <c r="BF335" s="31">
        <f t="shared" si="159"/>
        <v>0</v>
      </c>
      <c r="BG335" s="255">
        <f t="shared" si="160"/>
        <v>0</v>
      </c>
      <c r="BH335" s="31">
        <f t="shared" si="161"/>
        <v>0</v>
      </c>
      <c r="BI335" s="255">
        <f t="shared" si="162"/>
        <v>0</v>
      </c>
      <c r="BJ335" s="31">
        <f t="shared" si="163"/>
        <v>0</v>
      </c>
      <c r="BK335" s="31">
        <f t="shared" si="164"/>
        <v>0</v>
      </c>
      <c r="BL335" s="255">
        <f t="shared" si="165"/>
        <v>0</v>
      </c>
      <c r="BM335" s="31">
        <f t="shared" si="166"/>
        <v>0</v>
      </c>
      <c r="BN335" s="255">
        <f t="shared" si="167"/>
        <v>0</v>
      </c>
    </row>
    <row r="336" spans="1:66" x14ac:dyDescent="0.25">
      <c r="A336" t="s">
        <v>2114</v>
      </c>
      <c r="B336" s="186" t="str">
        <f>VLOOKUP(A336,kurspris!$A$1:$B$877,2,FALSE)</f>
        <v>Geografididaktik 2</v>
      </c>
      <c r="C336"/>
      <c r="D336" t="s">
        <v>483</v>
      </c>
      <c r="E336" t="s">
        <v>1976</v>
      </c>
      <c r="F336" s="59" t="s">
        <v>1930</v>
      </c>
      <c r="G336" t="s">
        <v>1933</v>
      </c>
      <c r="H336" t="s">
        <v>1910</v>
      </c>
      <c r="I336"/>
      <c r="J336" t="s">
        <v>772</v>
      </c>
      <c r="K336"/>
      <c r="L336">
        <v>100</v>
      </c>
      <c r="M336">
        <v>7.5</v>
      </c>
      <c r="N336"/>
      <c r="O336"/>
      <c r="P336" s="31">
        <v>2</v>
      </c>
      <c r="Q336" s="232">
        <f t="shared" si="140"/>
        <v>0.25</v>
      </c>
      <c r="R336" s="40">
        <v>0.85</v>
      </c>
      <c r="S336" s="334">
        <f t="shared" si="141"/>
        <v>0.21249999999999999</v>
      </c>
      <c r="T336" s="31">
        <f>VLOOKUP(A336,'Ansvar kurs'!$A$1:$C$1010,2,FALSE)</f>
        <v>2500</v>
      </c>
      <c r="U336" s="31" t="str">
        <f>VLOOKUP(T336,Orgenheter!$A$1:$C$165,2,FALSE)</f>
        <v>Geografi</v>
      </c>
      <c r="V336" s="31" t="str">
        <f>VLOOKUP(T336,Orgenheter!$A$1:$C$165,3,FALSE)</f>
        <v>Sam</v>
      </c>
      <c r="W336" s="37" t="str">
        <f>VLOOKUP(D336,Program!$A$1:$B$34,2,FALSE)</f>
        <v>Ämneslärarprogrammet - Gy</v>
      </c>
      <c r="X336" s="42">
        <f>VLOOKUP(A336,kurspris!$A$1:$Q$798,15,FALSE)</f>
        <v>18405</v>
      </c>
      <c r="Y336" s="42">
        <f>VLOOKUP(A336,kurspris!$A$1:$Q$798,16,FALSE)</f>
        <v>15773</v>
      </c>
      <c r="Z336" s="42">
        <f t="shared" si="142"/>
        <v>7953.0124999999998</v>
      </c>
      <c r="AA336" s="42">
        <f>VLOOKUP(A336,kurspris!$A$1:$Q$798,17,FALSE)</f>
        <v>5800</v>
      </c>
      <c r="AB336" s="42">
        <f t="shared" si="143"/>
        <v>1450</v>
      </c>
      <c r="AC336" s="42">
        <f t="shared" si="144"/>
        <v>9403.0125000000007</v>
      </c>
      <c r="AD336" s="31">
        <f>VLOOKUP($A336,kurspris!$A$1:$Q$835,3,FALSE)</f>
        <v>0</v>
      </c>
      <c r="AE336" s="31">
        <f>VLOOKUP($A336,kurspris!$A$1:$Q$835,4,FALSE)</f>
        <v>0</v>
      </c>
      <c r="AF336" s="31">
        <f>VLOOKUP($A336,kurspris!$A$1:$Q$835,5,FALSE)</f>
        <v>0</v>
      </c>
      <c r="AG336" s="31">
        <f>VLOOKUP($A336,kurspris!$A$1:$Q$835,6,FALSE)</f>
        <v>0</v>
      </c>
      <c r="AH336" s="31">
        <f>VLOOKUP($A336,kurspris!$A$1:$Q$835,7,FALSE)</f>
        <v>0</v>
      </c>
      <c r="AI336" s="31">
        <f>VLOOKUP($A336,kurspris!$A$1:$Q$835,8,FALSE)</f>
        <v>0</v>
      </c>
      <c r="AJ336" s="31">
        <f>VLOOKUP($A336,kurspris!$A$1:$Q$835,9,FALSE)</f>
        <v>1</v>
      </c>
      <c r="AK336" s="31">
        <f>VLOOKUP($A336,kurspris!$A$1:$Q$835,10,FALSE)</f>
        <v>0</v>
      </c>
      <c r="AL336" s="31">
        <f>VLOOKUP($A336,kurspris!$A$1:$Q$835,11,FALSE)</f>
        <v>0</v>
      </c>
      <c r="AM336" s="31">
        <f>VLOOKUP($A336,kurspris!$A$1:$Q$835,12,FALSE)</f>
        <v>0</v>
      </c>
      <c r="AN336" s="31">
        <f>VLOOKUP($A336,kurspris!$A$1:$Q$835,13,FALSE)</f>
        <v>0</v>
      </c>
      <c r="AO336" s="31">
        <f>VLOOKUP($A336,kurspris!$A$1:$Q$835,14,FALSE)</f>
        <v>0</v>
      </c>
      <c r="AP336" s="39" t="s">
        <v>2232</v>
      </c>
      <c r="AQ336"/>
      <c r="AR336" s="31">
        <f t="shared" si="145"/>
        <v>0</v>
      </c>
      <c r="AS336" s="255">
        <f t="shared" si="146"/>
        <v>0</v>
      </c>
      <c r="AT336" s="31">
        <f t="shared" si="147"/>
        <v>0</v>
      </c>
      <c r="AU336" s="255">
        <f t="shared" si="148"/>
        <v>0</v>
      </c>
      <c r="AV336" s="31">
        <f t="shared" si="149"/>
        <v>0</v>
      </c>
      <c r="AW336" s="31">
        <f t="shared" si="150"/>
        <v>0</v>
      </c>
      <c r="AX336" s="31">
        <f t="shared" si="151"/>
        <v>0</v>
      </c>
      <c r="AY336" s="255">
        <f t="shared" si="152"/>
        <v>0</v>
      </c>
      <c r="AZ336" s="232">
        <f t="shared" si="153"/>
        <v>0</v>
      </c>
      <c r="BA336" s="255">
        <f t="shared" si="154"/>
        <v>0</v>
      </c>
      <c r="BB336" s="31">
        <f t="shared" si="155"/>
        <v>0</v>
      </c>
      <c r="BC336" s="255">
        <f t="shared" si="156"/>
        <v>0</v>
      </c>
      <c r="BD336" s="31">
        <f t="shared" si="157"/>
        <v>0.25</v>
      </c>
      <c r="BE336" s="255">
        <f t="shared" si="158"/>
        <v>0.21249999999999999</v>
      </c>
      <c r="BF336" s="31">
        <f t="shared" si="159"/>
        <v>0</v>
      </c>
      <c r="BG336" s="255">
        <f t="shared" si="160"/>
        <v>0</v>
      </c>
      <c r="BH336" s="31">
        <f t="shared" si="161"/>
        <v>0</v>
      </c>
      <c r="BI336" s="255">
        <f t="shared" si="162"/>
        <v>0</v>
      </c>
      <c r="BJ336" s="31">
        <f t="shared" si="163"/>
        <v>0</v>
      </c>
      <c r="BK336" s="31">
        <f t="shared" si="164"/>
        <v>0</v>
      </c>
      <c r="BL336" s="255">
        <f t="shared" si="165"/>
        <v>0</v>
      </c>
      <c r="BM336" s="31">
        <f t="shared" si="166"/>
        <v>0</v>
      </c>
      <c r="BN336" s="255">
        <f t="shared" si="167"/>
        <v>0</v>
      </c>
    </row>
    <row r="337" spans="1:66" x14ac:dyDescent="0.25">
      <c r="A337" t="s">
        <v>2114</v>
      </c>
      <c r="B337" s="186" t="str">
        <f>VLOOKUP(A337,kurspris!$A$1:$B$877,2,FALSE)</f>
        <v>Geografididaktik 2</v>
      </c>
      <c r="C337"/>
      <c r="D337" t="s">
        <v>483</v>
      </c>
      <c r="E337" t="s">
        <v>1976</v>
      </c>
      <c r="F337" s="59" t="s">
        <v>1930</v>
      </c>
      <c r="G337" t="s">
        <v>1933</v>
      </c>
      <c r="H337" t="s">
        <v>1910</v>
      </c>
      <c r="I337"/>
      <c r="J337" t="s">
        <v>773</v>
      </c>
      <c r="K337"/>
      <c r="L337">
        <v>100</v>
      </c>
      <c r="M337">
        <v>7.5</v>
      </c>
      <c r="N337"/>
      <c r="O337"/>
      <c r="P337" s="31">
        <v>1</v>
      </c>
      <c r="Q337" s="232">
        <f t="shared" si="140"/>
        <v>0.125</v>
      </c>
      <c r="R337" s="40">
        <v>0.85</v>
      </c>
      <c r="S337" s="334">
        <f t="shared" si="141"/>
        <v>0.10625</v>
      </c>
      <c r="T337" s="31">
        <f>VLOOKUP(A337,'Ansvar kurs'!$A$1:$C$1010,2,FALSE)</f>
        <v>2500</v>
      </c>
      <c r="U337" s="31" t="str">
        <f>VLOOKUP(T337,Orgenheter!$A$1:$C$165,2,FALSE)</f>
        <v>Geografi</v>
      </c>
      <c r="V337" s="31" t="str">
        <f>VLOOKUP(T337,Orgenheter!$A$1:$C$165,3,FALSE)</f>
        <v>Sam</v>
      </c>
      <c r="W337" s="37" t="str">
        <f>VLOOKUP(D337,Program!$A$1:$B$34,2,FALSE)</f>
        <v>Ämneslärarprogrammet - Gy</v>
      </c>
      <c r="X337" s="42">
        <f>VLOOKUP(A337,kurspris!$A$1:$Q$798,15,FALSE)</f>
        <v>18405</v>
      </c>
      <c r="Y337" s="42">
        <f>VLOOKUP(A337,kurspris!$A$1:$Q$798,16,FALSE)</f>
        <v>15773</v>
      </c>
      <c r="Z337" s="42">
        <f t="shared" si="142"/>
        <v>3976.5062499999999</v>
      </c>
      <c r="AA337" s="42">
        <f>VLOOKUP(A337,kurspris!$A$1:$Q$798,17,FALSE)</f>
        <v>5800</v>
      </c>
      <c r="AB337" s="42">
        <f t="shared" si="143"/>
        <v>725</v>
      </c>
      <c r="AC337" s="42">
        <f t="shared" si="144"/>
        <v>4701.5062500000004</v>
      </c>
      <c r="AD337" s="31">
        <f>VLOOKUP($A337,kurspris!$A$1:$Q$835,3,FALSE)</f>
        <v>0</v>
      </c>
      <c r="AE337" s="31">
        <f>VLOOKUP($A337,kurspris!$A$1:$Q$835,4,FALSE)</f>
        <v>0</v>
      </c>
      <c r="AF337" s="31">
        <f>VLOOKUP($A337,kurspris!$A$1:$Q$835,5,FALSE)</f>
        <v>0</v>
      </c>
      <c r="AG337" s="31">
        <f>VLOOKUP($A337,kurspris!$A$1:$Q$835,6,FALSE)</f>
        <v>0</v>
      </c>
      <c r="AH337" s="31">
        <f>VLOOKUP($A337,kurspris!$A$1:$Q$835,7,FALSE)</f>
        <v>0</v>
      </c>
      <c r="AI337" s="31">
        <f>VLOOKUP($A337,kurspris!$A$1:$Q$835,8,FALSE)</f>
        <v>0</v>
      </c>
      <c r="AJ337" s="31">
        <f>VLOOKUP($A337,kurspris!$A$1:$Q$835,9,FALSE)</f>
        <v>1</v>
      </c>
      <c r="AK337" s="31">
        <f>VLOOKUP($A337,kurspris!$A$1:$Q$835,10,FALSE)</f>
        <v>0</v>
      </c>
      <c r="AL337" s="31">
        <f>VLOOKUP($A337,kurspris!$A$1:$Q$835,11,FALSE)</f>
        <v>0</v>
      </c>
      <c r="AM337" s="31">
        <f>VLOOKUP($A337,kurspris!$A$1:$Q$835,12,FALSE)</f>
        <v>0</v>
      </c>
      <c r="AN337" s="31">
        <f>VLOOKUP($A337,kurspris!$A$1:$Q$835,13,FALSE)</f>
        <v>0</v>
      </c>
      <c r="AO337" s="31">
        <f>VLOOKUP($A337,kurspris!$A$1:$Q$835,14,FALSE)</f>
        <v>0</v>
      </c>
      <c r="AP337" s="39" t="s">
        <v>2232</v>
      </c>
      <c r="AQ337"/>
      <c r="AR337" s="31">
        <f t="shared" si="145"/>
        <v>0</v>
      </c>
      <c r="AS337" s="255">
        <f t="shared" si="146"/>
        <v>0</v>
      </c>
      <c r="AT337" s="31">
        <f t="shared" si="147"/>
        <v>0</v>
      </c>
      <c r="AU337" s="255">
        <f t="shared" si="148"/>
        <v>0</v>
      </c>
      <c r="AV337" s="31">
        <f t="shared" si="149"/>
        <v>0</v>
      </c>
      <c r="AW337" s="31">
        <f t="shared" si="150"/>
        <v>0</v>
      </c>
      <c r="AX337" s="31">
        <f t="shared" si="151"/>
        <v>0</v>
      </c>
      <c r="AY337" s="255">
        <f t="shared" si="152"/>
        <v>0</v>
      </c>
      <c r="AZ337" s="232">
        <f t="shared" si="153"/>
        <v>0</v>
      </c>
      <c r="BA337" s="255">
        <f t="shared" si="154"/>
        <v>0</v>
      </c>
      <c r="BB337" s="31">
        <f t="shared" si="155"/>
        <v>0</v>
      </c>
      <c r="BC337" s="255">
        <f t="shared" si="156"/>
        <v>0</v>
      </c>
      <c r="BD337" s="31">
        <f t="shared" si="157"/>
        <v>0.125</v>
      </c>
      <c r="BE337" s="255">
        <f t="shared" si="158"/>
        <v>0.10625</v>
      </c>
      <c r="BF337" s="31">
        <f t="shared" si="159"/>
        <v>0</v>
      </c>
      <c r="BG337" s="255">
        <f t="shared" si="160"/>
        <v>0</v>
      </c>
      <c r="BH337" s="31">
        <f t="shared" si="161"/>
        <v>0</v>
      </c>
      <c r="BI337" s="255">
        <f t="shared" si="162"/>
        <v>0</v>
      </c>
      <c r="BJ337" s="31">
        <f t="shared" si="163"/>
        <v>0</v>
      </c>
      <c r="BK337" s="31">
        <f t="shared" si="164"/>
        <v>0</v>
      </c>
      <c r="BL337" s="255">
        <f t="shared" si="165"/>
        <v>0</v>
      </c>
      <c r="BM337" s="31">
        <f t="shared" si="166"/>
        <v>0</v>
      </c>
      <c r="BN337" s="255">
        <f t="shared" si="167"/>
        <v>0</v>
      </c>
    </row>
    <row r="338" spans="1:66" x14ac:dyDescent="0.25">
      <c r="A338" t="s">
        <v>2114</v>
      </c>
      <c r="B338" s="186" t="str">
        <f>VLOOKUP(A338,kurspris!$A$1:$B$877,2,FALSE)</f>
        <v>Geografididaktik 2</v>
      </c>
      <c r="C338"/>
      <c r="D338" t="s">
        <v>483</v>
      </c>
      <c r="E338" t="s">
        <v>1609</v>
      </c>
      <c r="F338" s="59" t="s">
        <v>1930</v>
      </c>
      <c r="G338" t="s">
        <v>1933</v>
      </c>
      <c r="H338" t="s">
        <v>1910</v>
      </c>
      <c r="I338"/>
      <c r="J338" t="s">
        <v>1813</v>
      </c>
      <c r="K338"/>
      <c r="L338">
        <v>100</v>
      </c>
      <c r="M338">
        <v>7.5</v>
      </c>
      <c r="N338"/>
      <c r="O338"/>
      <c r="P338" s="31">
        <v>2</v>
      </c>
      <c r="Q338" s="232">
        <f t="shared" si="140"/>
        <v>0.25</v>
      </c>
      <c r="R338" s="40">
        <v>0.85</v>
      </c>
      <c r="S338" s="334">
        <f t="shared" si="141"/>
        <v>0.21249999999999999</v>
      </c>
      <c r="T338" s="31">
        <f>VLOOKUP(A338,'Ansvar kurs'!$A$1:$C$1010,2,FALSE)</f>
        <v>2500</v>
      </c>
      <c r="U338" s="31" t="str">
        <f>VLOOKUP(T338,Orgenheter!$A$1:$C$165,2,FALSE)</f>
        <v>Geografi</v>
      </c>
      <c r="V338" s="31" t="str">
        <f>VLOOKUP(T338,Orgenheter!$A$1:$C$165,3,FALSE)</f>
        <v>Sam</v>
      </c>
      <c r="W338" s="37" t="str">
        <f>VLOOKUP(D338,Program!$A$1:$B$34,2,FALSE)</f>
        <v>Ämneslärarprogrammet - Gy</v>
      </c>
      <c r="X338" s="42">
        <f>VLOOKUP(A338,kurspris!$A$1:$Q$798,15,FALSE)</f>
        <v>18405</v>
      </c>
      <c r="Y338" s="42">
        <f>VLOOKUP(A338,kurspris!$A$1:$Q$798,16,FALSE)</f>
        <v>15773</v>
      </c>
      <c r="Z338" s="42">
        <f t="shared" si="142"/>
        <v>7953.0124999999998</v>
      </c>
      <c r="AA338" s="42">
        <f>VLOOKUP(A338,kurspris!$A$1:$Q$798,17,FALSE)</f>
        <v>5800</v>
      </c>
      <c r="AB338" s="42">
        <f t="shared" si="143"/>
        <v>1450</v>
      </c>
      <c r="AC338" s="42">
        <f t="shared" si="144"/>
        <v>9403.0125000000007</v>
      </c>
      <c r="AD338" s="31">
        <f>VLOOKUP($A338,kurspris!$A$1:$Q$835,3,FALSE)</f>
        <v>0</v>
      </c>
      <c r="AE338" s="31">
        <f>VLOOKUP($A338,kurspris!$A$1:$Q$835,4,FALSE)</f>
        <v>0</v>
      </c>
      <c r="AF338" s="31">
        <f>VLOOKUP($A338,kurspris!$A$1:$Q$835,5,FALSE)</f>
        <v>0</v>
      </c>
      <c r="AG338" s="31">
        <f>VLOOKUP($A338,kurspris!$A$1:$Q$835,6,FALSE)</f>
        <v>0</v>
      </c>
      <c r="AH338" s="31">
        <f>VLOOKUP($A338,kurspris!$A$1:$Q$835,7,FALSE)</f>
        <v>0</v>
      </c>
      <c r="AI338" s="31">
        <f>VLOOKUP($A338,kurspris!$A$1:$Q$835,8,FALSE)</f>
        <v>0</v>
      </c>
      <c r="AJ338" s="31">
        <f>VLOOKUP($A338,kurspris!$A$1:$Q$835,9,FALSE)</f>
        <v>1</v>
      </c>
      <c r="AK338" s="31">
        <f>VLOOKUP($A338,kurspris!$A$1:$Q$835,10,FALSE)</f>
        <v>0</v>
      </c>
      <c r="AL338" s="31">
        <f>VLOOKUP($A338,kurspris!$A$1:$Q$835,11,FALSE)</f>
        <v>0</v>
      </c>
      <c r="AM338" s="31">
        <f>VLOOKUP($A338,kurspris!$A$1:$Q$835,12,FALSE)</f>
        <v>0</v>
      </c>
      <c r="AN338" s="31">
        <f>VLOOKUP($A338,kurspris!$A$1:$Q$835,13,FALSE)</f>
        <v>0</v>
      </c>
      <c r="AO338" s="31">
        <f>VLOOKUP($A338,kurspris!$A$1:$Q$835,14,FALSE)</f>
        <v>0</v>
      </c>
      <c r="AP338" s="39" t="s">
        <v>2232</v>
      </c>
      <c r="AQ338"/>
      <c r="AR338" s="31">
        <f t="shared" si="145"/>
        <v>0</v>
      </c>
      <c r="AS338" s="255">
        <f t="shared" si="146"/>
        <v>0</v>
      </c>
      <c r="AT338" s="31">
        <f t="shared" si="147"/>
        <v>0</v>
      </c>
      <c r="AU338" s="255">
        <f t="shared" si="148"/>
        <v>0</v>
      </c>
      <c r="AV338" s="31">
        <f t="shared" si="149"/>
        <v>0</v>
      </c>
      <c r="AW338" s="31">
        <f t="shared" si="150"/>
        <v>0</v>
      </c>
      <c r="AX338" s="31">
        <f t="shared" si="151"/>
        <v>0</v>
      </c>
      <c r="AY338" s="255">
        <f t="shared" si="152"/>
        <v>0</v>
      </c>
      <c r="AZ338" s="232">
        <f t="shared" si="153"/>
        <v>0</v>
      </c>
      <c r="BA338" s="255">
        <f t="shared" si="154"/>
        <v>0</v>
      </c>
      <c r="BB338" s="31">
        <f t="shared" si="155"/>
        <v>0</v>
      </c>
      <c r="BC338" s="255">
        <f t="shared" si="156"/>
        <v>0</v>
      </c>
      <c r="BD338" s="31">
        <f t="shared" si="157"/>
        <v>0.25</v>
      </c>
      <c r="BE338" s="255">
        <f t="shared" si="158"/>
        <v>0.21249999999999999</v>
      </c>
      <c r="BF338" s="31">
        <f t="shared" si="159"/>
        <v>0</v>
      </c>
      <c r="BG338" s="255">
        <f t="shared" si="160"/>
        <v>0</v>
      </c>
      <c r="BH338" s="31">
        <f t="shared" si="161"/>
        <v>0</v>
      </c>
      <c r="BI338" s="255">
        <f t="shared" si="162"/>
        <v>0</v>
      </c>
      <c r="BJ338" s="31">
        <f t="shared" si="163"/>
        <v>0</v>
      </c>
      <c r="BK338" s="31">
        <f t="shared" si="164"/>
        <v>0</v>
      </c>
      <c r="BL338" s="255">
        <f t="shared" si="165"/>
        <v>0</v>
      </c>
      <c r="BM338" s="31">
        <f t="shared" si="166"/>
        <v>0</v>
      </c>
      <c r="BN338" s="255">
        <f t="shared" si="167"/>
        <v>0</v>
      </c>
    </row>
    <row r="339" spans="1:66" x14ac:dyDescent="0.25">
      <c r="A339" s="18" t="s">
        <v>652</v>
      </c>
      <c r="B339" s="186" t="str">
        <f>VLOOKUP(A339,kurspris!$A$1:$B$877,2,FALSE)</f>
        <v>Hem- och konsumentkunskap B, distans</v>
      </c>
      <c r="C339" s="37"/>
      <c r="D339" t="s">
        <v>117</v>
      </c>
      <c r="E339"/>
      <c r="F339" s="59" t="s">
        <v>1931</v>
      </c>
      <c r="G339"/>
      <c r="H339"/>
      <c r="I339" t="s">
        <v>2066</v>
      </c>
      <c r="L339">
        <v>100</v>
      </c>
      <c r="M339">
        <v>30</v>
      </c>
      <c r="P339">
        <v>25</v>
      </c>
      <c r="Q339" s="232">
        <f t="shared" si="140"/>
        <v>12.5</v>
      </c>
      <c r="R339" s="40">
        <v>0.8</v>
      </c>
      <c r="S339" s="334">
        <f t="shared" si="141"/>
        <v>10</v>
      </c>
      <c r="T339" s="31">
        <f>VLOOKUP(A339,'Ansvar kurs'!$A$1:$C$1010,2,FALSE)</f>
        <v>2750</v>
      </c>
      <c r="U339" s="31" t="str">
        <f>VLOOKUP(T339,Orgenheter!$A$1:$C$165,2,FALSE)</f>
        <v xml:space="preserve">Kostvetenskap                 </v>
      </c>
      <c r="V339" s="31" t="str">
        <f>VLOOKUP(T339,Orgenheter!$A$1:$C$165,3,FALSE)</f>
        <v>Sam</v>
      </c>
      <c r="W339" s="37" t="str">
        <f>VLOOKUP(D339,Program!$A$1:$B$34,2,FALSE)</f>
        <v>Fristående och övriga kurser</v>
      </c>
      <c r="X339" s="42">
        <f>VLOOKUP(A339,kurspris!$A$1:$Q$798,15,FALSE)</f>
        <v>19473</v>
      </c>
      <c r="Y339" s="42">
        <f>VLOOKUP(A339,kurspris!$A$1:$Q$798,16,FALSE)</f>
        <v>34806</v>
      </c>
      <c r="Z339" s="42">
        <f t="shared" si="142"/>
        <v>591472.5</v>
      </c>
      <c r="AA339" s="42">
        <f>VLOOKUP(A339,kurspris!$A$1:$Q$798,17,FALSE)</f>
        <v>21800</v>
      </c>
      <c r="AB339" s="42">
        <f t="shared" si="143"/>
        <v>272500</v>
      </c>
      <c r="AC339" s="42">
        <f t="shared" si="144"/>
        <v>863972.5</v>
      </c>
      <c r="AD339" s="31">
        <f>VLOOKUP($A339,kurspris!$A$1:$Q$835,3,FALSE)</f>
        <v>0</v>
      </c>
      <c r="AE339" s="31">
        <f>VLOOKUP($A339,kurspris!$A$1:$Q$835,4,FALSE)</f>
        <v>0</v>
      </c>
      <c r="AF339" s="31">
        <f>VLOOKUP($A339,kurspris!$A$1:$Q$835,5,FALSE)</f>
        <v>0</v>
      </c>
      <c r="AG339" s="31">
        <f>VLOOKUP($A339,kurspris!$A$1:$Q$835,6,FALSE)</f>
        <v>0</v>
      </c>
      <c r="AH339" s="31">
        <f>VLOOKUP($A339,kurspris!$A$1:$Q$835,7,FALSE)</f>
        <v>0</v>
      </c>
      <c r="AI339" s="31">
        <f>VLOOKUP($A339,kurspris!$A$1:$Q$835,8,FALSE)</f>
        <v>1</v>
      </c>
      <c r="AJ339" s="31">
        <f>VLOOKUP($A339,kurspris!$A$1:$Q$835,9,FALSE)</f>
        <v>0</v>
      </c>
      <c r="AK339" s="31">
        <f>VLOOKUP($A339,kurspris!$A$1:$Q$835,10,FALSE)</f>
        <v>0</v>
      </c>
      <c r="AL339" s="31">
        <f>VLOOKUP($A339,kurspris!$A$1:$Q$835,11,FALSE)</f>
        <v>0</v>
      </c>
      <c r="AM339" s="31">
        <f>VLOOKUP($A339,kurspris!$A$1:$Q$835,12,FALSE)</f>
        <v>0</v>
      </c>
      <c r="AN339" s="31">
        <f>VLOOKUP($A339,kurspris!$A$1:$Q$835,13,FALSE)</f>
        <v>0</v>
      </c>
      <c r="AO339" s="31">
        <f>VLOOKUP($A339,kurspris!$A$1:$Q$835,14,FALSE)</f>
        <v>0</v>
      </c>
      <c r="AP339" s="39" t="s">
        <v>2095</v>
      </c>
      <c r="AQ339"/>
      <c r="AR339" s="31">
        <f t="shared" si="145"/>
        <v>0</v>
      </c>
      <c r="AS339" s="255">
        <f t="shared" si="146"/>
        <v>0</v>
      </c>
      <c r="AT339" s="31">
        <f t="shared" si="147"/>
        <v>0</v>
      </c>
      <c r="AU339" s="255">
        <f t="shared" si="148"/>
        <v>0</v>
      </c>
      <c r="AV339" s="31">
        <f t="shared" si="149"/>
        <v>0</v>
      </c>
      <c r="AW339" s="31">
        <f t="shared" si="150"/>
        <v>0</v>
      </c>
      <c r="AX339" s="31">
        <f t="shared" si="151"/>
        <v>0</v>
      </c>
      <c r="AY339" s="255">
        <f t="shared" si="152"/>
        <v>0</v>
      </c>
      <c r="AZ339" s="232">
        <f t="shared" si="153"/>
        <v>0</v>
      </c>
      <c r="BA339" s="255">
        <f t="shared" si="154"/>
        <v>0</v>
      </c>
      <c r="BB339" s="31">
        <f t="shared" si="155"/>
        <v>12.5</v>
      </c>
      <c r="BC339" s="255">
        <f t="shared" si="156"/>
        <v>10</v>
      </c>
      <c r="BD339" s="31">
        <f t="shared" si="157"/>
        <v>0</v>
      </c>
      <c r="BE339" s="255">
        <f t="shared" si="158"/>
        <v>0</v>
      </c>
      <c r="BF339" s="31">
        <f t="shared" si="159"/>
        <v>0</v>
      </c>
      <c r="BG339" s="255">
        <f t="shared" si="160"/>
        <v>0</v>
      </c>
      <c r="BH339" s="31">
        <f t="shared" si="161"/>
        <v>0</v>
      </c>
      <c r="BI339" s="255">
        <f t="shared" si="162"/>
        <v>0</v>
      </c>
      <c r="BJ339" s="31">
        <f t="shared" si="163"/>
        <v>0</v>
      </c>
      <c r="BK339" s="31">
        <f t="shared" si="164"/>
        <v>0</v>
      </c>
      <c r="BL339" s="255">
        <f t="shared" si="165"/>
        <v>0</v>
      </c>
      <c r="BM339" s="31">
        <f t="shared" si="166"/>
        <v>0</v>
      </c>
      <c r="BN339" s="255">
        <f t="shared" si="167"/>
        <v>0</v>
      </c>
    </row>
    <row r="340" spans="1:66" x14ac:dyDescent="0.25">
      <c r="A340" s="18" t="s">
        <v>1097</v>
      </c>
      <c r="B340" s="186" t="str">
        <f>VLOOKUP(A340,kurspris!$A$1:$B$877,2,FALSE)</f>
        <v>Hem- och konsumentkunskap B15, distans</v>
      </c>
      <c r="C340" s="37"/>
      <c r="D340" t="s">
        <v>117</v>
      </c>
      <c r="E340"/>
      <c r="F340" s="59" t="s">
        <v>1931</v>
      </c>
      <c r="G340"/>
      <c r="H340"/>
      <c r="I340" t="s">
        <v>2066</v>
      </c>
      <c r="L340">
        <v>50</v>
      </c>
      <c r="M340">
        <v>15</v>
      </c>
      <c r="P340">
        <v>15</v>
      </c>
      <c r="Q340" s="232">
        <f t="shared" si="140"/>
        <v>3.75</v>
      </c>
      <c r="R340" s="40">
        <v>0.8</v>
      </c>
      <c r="S340" s="334">
        <f t="shared" si="141"/>
        <v>3</v>
      </c>
      <c r="T340" s="31">
        <f>VLOOKUP(A340,'Ansvar kurs'!$A$1:$C$1010,2,FALSE)</f>
        <v>2750</v>
      </c>
      <c r="U340" s="31" t="str">
        <f>VLOOKUP(T340,Orgenheter!$A$1:$C$165,2,FALSE)</f>
        <v xml:space="preserve">Kostvetenskap                 </v>
      </c>
      <c r="V340" s="31" t="str">
        <f>VLOOKUP(T340,Orgenheter!$A$1:$C$165,3,FALSE)</f>
        <v>Sam</v>
      </c>
      <c r="W340" s="37" t="str">
        <f>VLOOKUP(D340,Program!$A$1:$B$34,2,FALSE)</f>
        <v>Fristående och övriga kurser</v>
      </c>
      <c r="X340" s="42">
        <f>VLOOKUP(A340,kurspris!$A$1:$Q$798,15,FALSE)</f>
        <v>19473</v>
      </c>
      <c r="Y340" s="42">
        <f>VLOOKUP(A340,kurspris!$A$1:$Q$798,16,FALSE)</f>
        <v>34806</v>
      </c>
      <c r="Z340" s="42">
        <f t="shared" si="142"/>
        <v>177441.75</v>
      </c>
      <c r="AA340" s="42">
        <f>VLOOKUP(A340,kurspris!$A$1:$Q$798,17,FALSE)</f>
        <v>21800</v>
      </c>
      <c r="AB340" s="42">
        <f t="shared" si="143"/>
        <v>81750</v>
      </c>
      <c r="AC340" s="42">
        <f t="shared" si="144"/>
        <v>259191.75</v>
      </c>
      <c r="AD340" s="31">
        <f>VLOOKUP($A340,kurspris!$A$1:$Q$835,3,FALSE)</f>
        <v>0</v>
      </c>
      <c r="AE340" s="31">
        <f>VLOOKUP($A340,kurspris!$A$1:$Q$835,4,FALSE)</f>
        <v>0</v>
      </c>
      <c r="AF340" s="31">
        <f>VLOOKUP($A340,kurspris!$A$1:$Q$835,5,FALSE)</f>
        <v>0</v>
      </c>
      <c r="AG340" s="31">
        <f>VLOOKUP($A340,kurspris!$A$1:$Q$835,6,FALSE)</f>
        <v>0</v>
      </c>
      <c r="AH340" s="31">
        <f>VLOOKUP($A340,kurspris!$A$1:$Q$835,7,FALSE)</f>
        <v>0</v>
      </c>
      <c r="AI340" s="31">
        <f>VLOOKUP($A340,kurspris!$A$1:$Q$835,8,FALSE)</f>
        <v>1</v>
      </c>
      <c r="AJ340" s="31">
        <f>VLOOKUP($A340,kurspris!$A$1:$Q$835,9,FALSE)</f>
        <v>0</v>
      </c>
      <c r="AK340" s="31">
        <f>VLOOKUP($A340,kurspris!$A$1:$Q$835,10,FALSE)</f>
        <v>0</v>
      </c>
      <c r="AL340" s="31">
        <f>VLOOKUP($A340,kurspris!$A$1:$Q$835,11,FALSE)</f>
        <v>0</v>
      </c>
      <c r="AM340" s="31">
        <f>VLOOKUP($A340,kurspris!$A$1:$Q$835,12,FALSE)</f>
        <v>0</v>
      </c>
      <c r="AN340" s="31">
        <f>VLOOKUP($A340,kurspris!$A$1:$Q$835,13,FALSE)</f>
        <v>0</v>
      </c>
      <c r="AO340" s="31">
        <f>VLOOKUP($A340,kurspris!$A$1:$Q$835,14,FALSE)</f>
        <v>0</v>
      </c>
      <c r="AP340" s="39" t="s">
        <v>2095</v>
      </c>
      <c r="AQ340"/>
      <c r="AR340" s="31">
        <f t="shared" si="145"/>
        <v>0</v>
      </c>
      <c r="AS340" s="255">
        <f t="shared" si="146"/>
        <v>0</v>
      </c>
      <c r="AT340" s="31">
        <f t="shared" si="147"/>
        <v>0</v>
      </c>
      <c r="AU340" s="255">
        <f t="shared" si="148"/>
        <v>0</v>
      </c>
      <c r="AV340" s="31">
        <f t="shared" si="149"/>
        <v>0</v>
      </c>
      <c r="AW340" s="31">
        <f t="shared" si="150"/>
        <v>0</v>
      </c>
      <c r="AX340" s="31">
        <f t="shared" si="151"/>
        <v>0</v>
      </c>
      <c r="AY340" s="255">
        <f t="shared" si="152"/>
        <v>0</v>
      </c>
      <c r="AZ340" s="232">
        <f t="shared" si="153"/>
        <v>0</v>
      </c>
      <c r="BA340" s="255">
        <f t="shared" si="154"/>
        <v>0</v>
      </c>
      <c r="BB340" s="31">
        <f t="shared" si="155"/>
        <v>3.75</v>
      </c>
      <c r="BC340" s="255">
        <f t="shared" si="156"/>
        <v>3</v>
      </c>
      <c r="BD340" s="31">
        <f t="shared" si="157"/>
        <v>0</v>
      </c>
      <c r="BE340" s="255">
        <f t="shared" si="158"/>
        <v>0</v>
      </c>
      <c r="BF340" s="31">
        <f t="shared" si="159"/>
        <v>0</v>
      </c>
      <c r="BG340" s="255">
        <f t="shared" si="160"/>
        <v>0</v>
      </c>
      <c r="BH340" s="31">
        <f t="shared" si="161"/>
        <v>0</v>
      </c>
      <c r="BI340" s="255">
        <f t="shared" si="162"/>
        <v>0</v>
      </c>
      <c r="BJ340" s="31">
        <f t="shared" si="163"/>
        <v>0</v>
      </c>
      <c r="BK340" s="31">
        <f t="shared" si="164"/>
        <v>0</v>
      </c>
      <c r="BL340" s="255">
        <f t="shared" si="165"/>
        <v>0</v>
      </c>
      <c r="BM340" s="31">
        <f t="shared" si="166"/>
        <v>0</v>
      </c>
      <c r="BN340" s="255">
        <f t="shared" si="167"/>
        <v>0</v>
      </c>
    </row>
    <row r="341" spans="1:66" x14ac:dyDescent="0.25">
      <c r="A341" s="18" t="s">
        <v>1097</v>
      </c>
      <c r="B341" s="186" t="str">
        <f>VLOOKUP(A341,kurspris!$A$1:$B$877,2,FALSE)</f>
        <v>Hem- och konsumentkunskap B15, distans</v>
      </c>
      <c r="C341" s="37"/>
      <c r="D341" t="s">
        <v>117</v>
      </c>
      <c r="E341"/>
      <c r="F341" s="59" t="s">
        <v>1931</v>
      </c>
      <c r="G341"/>
      <c r="H341"/>
      <c r="I341" t="s">
        <v>2066</v>
      </c>
      <c r="L341">
        <v>25</v>
      </c>
      <c r="M341">
        <v>7.5</v>
      </c>
      <c r="P341">
        <v>50</v>
      </c>
      <c r="Q341" s="232">
        <f t="shared" si="140"/>
        <v>6.25</v>
      </c>
      <c r="R341" s="40">
        <v>0.8</v>
      </c>
      <c r="S341" s="334">
        <f t="shared" si="141"/>
        <v>5</v>
      </c>
      <c r="T341" s="31">
        <f>VLOOKUP(A341,'Ansvar kurs'!$A$1:$C$1010,2,FALSE)</f>
        <v>2750</v>
      </c>
      <c r="U341" s="31" t="str">
        <f>VLOOKUP(T341,Orgenheter!$A$1:$C$165,2,FALSE)</f>
        <v xml:space="preserve">Kostvetenskap                 </v>
      </c>
      <c r="V341" s="31" t="str">
        <f>VLOOKUP(T341,Orgenheter!$A$1:$C$165,3,FALSE)</f>
        <v>Sam</v>
      </c>
      <c r="W341" s="37" t="str">
        <f>VLOOKUP(D341,Program!$A$1:$B$34,2,FALSE)</f>
        <v>Fristående och övriga kurser</v>
      </c>
      <c r="X341" s="42">
        <f>VLOOKUP(A341,kurspris!$A$1:$Q$798,15,FALSE)</f>
        <v>19473</v>
      </c>
      <c r="Y341" s="42">
        <f>VLOOKUP(A341,kurspris!$A$1:$Q$798,16,FALSE)</f>
        <v>34806</v>
      </c>
      <c r="Z341" s="42">
        <f t="shared" si="142"/>
        <v>295736.25</v>
      </c>
      <c r="AA341" s="42">
        <f>VLOOKUP(A341,kurspris!$A$1:$Q$798,17,FALSE)</f>
        <v>21800</v>
      </c>
      <c r="AB341" s="42">
        <f t="shared" si="143"/>
        <v>136250</v>
      </c>
      <c r="AC341" s="42">
        <f t="shared" si="144"/>
        <v>431986.25</v>
      </c>
      <c r="AD341" s="31">
        <f>VLOOKUP($A341,kurspris!$A$1:$Q$835,3,FALSE)</f>
        <v>0</v>
      </c>
      <c r="AE341" s="31">
        <f>VLOOKUP($A341,kurspris!$A$1:$Q$835,4,FALSE)</f>
        <v>0</v>
      </c>
      <c r="AF341" s="31">
        <f>VLOOKUP($A341,kurspris!$A$1:$Q$835,5,FALSE)</f>
        <v>0</v>
      </c>
      <c r="AG341" s="31">
        <f>VLOOKUP($A341,kurspris!$A$1:$Q$835,6,FALSE)</f>
        <v>0</v>
      </c>
      <c r="AH341" s="31">
        <f>VLOOKUP($A341,kurspris!$A$1:$Q$835,7,FALSE)</f>
        <v>0</v>
      </c>
      <c r="AI341" s="31">
        <f>VLOOKUP($A341,kurspris!$A$1:$Q$835,8,FALSE)</f>
        <v>1</v>
      </c>
      <c r="AJ341" s="31">
        <f>VLOOKUP($A341,kurspris!$A$1:$Q$835,9,FALSE)</f>
        <v>0</v>
      </c>
      <c r="AK341" s="31">
        <f>VLOOKUP($A341,kurspris!$A$1:$Q$835,10,FALSE)</f>
        <v>0</v>
      </c>
      <c r="AL341" s="31">
        <f>VLOOKUP($A341,kurspris!$A$1:$Q$835,11,FALSE)</f>
        <v>0</v>
      </c>
      <c r="AM341" s="31">
        <f>VLOOKUP($A341,kurspris!$A$1:$Q$835,12,FALSE)</f>
        <v>0</v>
      </c>
      <c r="AN341" s="31">
        <f>VLOOKUP($A341,kurspris!$A$1:$Q$835,13,FALSE)</f>
        <v>0</v>
      </c>
      <c r="AO341" s="31">
        <f>VLOOKUP($A341,kurspris!$A$1:$Q$835,14,FALSE)</f>
        <v>0</v>
      </c>
      <c r="AP341" s="39" t="s">
        <v>2095</v>
      </c>
      <c r="AQ341"/>
      <c r="AR341" s="31">
        <f t="shared" si="145"/>
        <v>0</v>
      </c>
      <c r="AS341" s="255">
        <f t="shared" si="146"/>
        <v>0</v>
      </c>
      <c r="AT341" s="31">
        <f t="shared" si="147"/>
        <v>0</v>
      </c>
      <c r="AU341" s="255">
        <f t="shared" si="148"/>
        <v>0</v>
      </c>
      <c r="AV341" s="31">
        <f t="shared" si="149"/>
        <v>0</v>
      </c>
      <c r="AW341" s="31">
        <f t="shared" si="150"/>
        <v>0</v>
      </c>
      <c r="AX341" s="31">
        <f t="shared" si="151"/>
        <v>0</v>
      </c>
      <c r="AY341" s="255">
        <f t="shared" si="152"/>
        <v>0</v>
      </c>
      <c r="AZ341" s="232">
        <f t="shared" si="153"/>
        <v>0</v>
      </c>
      <c r="BA341" s="255">
        <f t="shared" si="154"/>
        <v>0</v>
      </c>
      <c r="BB341" s="31">
        <f t="shared" si="155"/>
        <v>6.25</v>
      </c>
      <c r="BC341" s="255">
        <f t="shared" si="156"/>
        <v>5</v>
      </c>
      <c r="BD341" s="31">
        <f t="shared" si="157"/>
        <v>0</v>
      </c>
      <c r="BE341" s="255">
        <f t="shared" si="158"/>
        <v>0</v>
      </c>
      <c r="BF341" s="31">
        <f t="shared" si="159"/>
        <v>0</v>
      </c>
      <c r="BG341" s="255">
        <f t="shared" si="160"/>
        <v>0</v>
      </c>
      <c r="BH341" s="31">
        <f t="shared" si="161"/>
        <v>0</v>
      </c>
      <c r="BI341" s="255">
        <f t="shared" si="162"/>
        <v>0</v>
      </c>
      <c r="BJ341" s="31">
        <f t="shared" si="163"/>
        <v>0</v>
      </c>
      <c r="BK341" s="31">
        <f t="shared" si="164"/>
        <v>0</v>
      </c>
      <c r="BL341" s="255">
        <f t="shared" si="165"/>
        <v>0</v>
      </c>
      <c r="BM341" s="31">
        <f t="shared" si="166"/>
        <v>0</v>
      </c>
      <c r="BN341" s="255">
        <f t="shared" si="167"/>
        <v>0</v>
      </c>
    </row>
    <row r="342" spans="1:66" x14ac:dyDescent="0.25">
      <c r="A342" s="18" t="s">
        <v>1319</v>
      </c>
      <c r="B342" s="186" t="str">
        <f>VLOOKUP(A342,kurspris!$A$1:$B$877,2,FALSE)</f>
        <v>Hem- och konsumentkunskap C - fördjupning</v>
      </c>
      <c r="C342" s="37"/>
      <c r="D342" t="s">
        <v>117</v>
      </c>
      <c r="E342"/>
      <c r="F342" s="59" t="s">
        <v>1930</v>
      </c>
      <c r="G342"/>
      <c r="H342"/>
      <c r="I342" t="s">
        <v>2066</v>
      </c>
      <c r="L342">
        <v>100</v>
      </c>
      <c r="M342">
        <v>30</v>
      </c>
      <c r="P342" s="31">
        <v>11</v>
      </c>
      <c r="Q342" s="232">
        <f t="shared" si="140"/>
        <v>5.5</v>
      </c>
      <c r="R342" s="40">
        <v>0.8</v>
      </c>
      <c r="S342" s="334">
        <f t="shared" si="141"/>
        <v>4.4000000000000004</v>
      </c>
      <c r="T342" s="31">
        <f>VLOOKUP(A342,'Ansvar kurs'!$A$1:$C$1010,2,FALSE)</f>
        <v>2750</v>
      </c>
      <c r="U342" s="31" t="str">
        <f>VLOOKUP(T342,Orgenheter!$A$1:$C$165,2,FALSE)</f>
        <v xml:space="preserve">Kostvetenskap                 </v>
      </c>
      <c r="V342" s="31" t="str">
        <f>VLOOKUP(T342,Orgenheter!$A$1:$C$165,3,FALSE)</f>
        <v>Sam</v>
      </c>
      <c r="W342" s="37" t="str">
        <f>VLOOKUP(D342,Program!$A$1:$B$34,2,FALSE)</f>
        <v>Fristående och övriga kurser</v>
      </c>
      <c r="X342" s="42">
        <f>VLOOKUP(A342,kurspris!$A$1:$Q$798,15,FALSE)</f>
        <v>18405</v>
      </c>
      <c r="Y342" s="42">
        <f>VLOOKUP(A342,kurspris!$A$1:$Q$798,16,FALSE)</f>
        <v>15773</v>
      </c>
      <c r="Z342" s="42">
        <f t="shared" si="142"/>
        <v>170628.7</v>
      </c>
      <c r="AA342" s="42">
        <f>VLOOKUP(A342,kurspris!$A$1:$Q$798,17,FALSE)</f>
        <v>5800</v>
      </c>
      <c r="AB342" s="42">
        <f t="shared" si="143"/>
        <v>31900</v>
      </c>
      <c r="AC342" s="42">
        <f t="shared" si="144"/>
        <v>202528.7</v>
      </c>
      <c r="AD342" s="31">
        <f>VLOOKUP($A342,kurspris!$A$1:$Q$835,3,FALSE)</f>
        <v>0</v>
      </c>
      <c r="AE342" s="31">
        <f>VLOOKUP($A342,kurspris!$A$1:$Q$835,4,FALSE)</f>
        <v>0</v>
      </c>
      <c r="AF342" s="31">
        <f>VLOOKUP($A342,kurspris!$A$1:$Q$835,5,FALSE)</f>
        <v>0</v>
      </c>
      <c r="AG342" s="31">
        <f>VLOOKUP($A342,kurspris!$A$1:$Q$835,6,FALSE)</f>
        <v>0</v>
      </c>
      <c r="AH342" s="31">
        <f>VLOOKUP($A342,kurspris!$A$1:$Q$835,7,FALSE)</f>
        <v>0</v>
      </c>
      <c r="AI342" s="31">
        <f>VLOOKUP($A342,kurspris!$A$1:$Q$835,8,FALSE)</f>
        <v>0</v>
      </c>
      <c r="AJ342" s="31">
        <f>VLOOKUP($A342,kurspris!$A$1:$Q$835,9,FALSE)</f>
        <v>1</v>
      </c>
      <c r="AK342" s="31">
        <f>VLOOKUP($A342,kurspris!$A$1:$Q$835,10,FALSE)</f>
        <v>0</v>
      </c>
      <c r="AL342" s="31">
        <f>VLOOKUP($A342,kurspris!$A$1:$Q$835,11,FALSE)</f>
        <v>0</v>
      </c>
      <c r="AM342" s="31">
        <f>VLOOKUP($A342,kurspris!$A$1:$Q$835,12,FALSE)</f>
        <v>0</v>
      </c>
      <c r="AN342" s="31">
        <f>VLOOKUP($A342,kurspris!$A$1:$Q$835,13,FALSE)</f>
        <v>0</v>
      </c>
      <c r="AO342" s="31">
        <f>VLOOKUP($A342,kurspris!$A$1:$Q$835,14,FALSE)</f>
        <v>0</v>
      </c>
      <c r="AP342" s="39" t="s">
        <v>2204</v>
      </c>
      <c r="AQ342" s="39" t="s">
        <v>2095</v>
      </c>
      <c r="AR342" s="31">
        <f t="shared" si="145"/>
        <v>0</v>
      </c>
      <c r="AS342" s="255">
        <f t="shared" si="146"/>
        <v>0</v>
      </c>
      <c r="AT342" s="31">
        <f t="shared" si="147"/>
        <v>0</v>
      </c>
      <c r="AU342" s="255">
        <f t="shared" si="148"/>
        <v>0</v>
      </c>
      <c r="AV342" s="31">
        <f t="shared" si="149"/>
        <v>0</v>
      </c>
      <c r="AW342" s="31">
        <f t="shared" si="150"/>
        <v>0</v>
      </c>
      <c r="AX342" s="31">
        <f t="shared" si="151"/>
        <v>0</v>
      </c>
      <c r="AY342" s="255">
        <f t="shared" si="152"/>
        <v>0</v>
      </c>
      <c r="AZ342" s="232">
        <f t="shared" si="153"/>
        <v>0</v>
      </c>
      <c r="BA342" s="255">
        <f t="shared" si="154"/>
        <v>0</v>
      </c>
      <c r="BB342" s="31">
        <f t="shared" si="155"/>
        <v>0</v>
      </c>
      <c r="BC342" s="255">
        <f t="shared" si="156"/>
        <v>0</v>
      </c>
      <c r="BD342" s="31">
        <f t="shared" si="157"/>
        <v>5.5</v>
      </c>
      <c r="BE342" s="255">
        <f t="shared" si="158"/>
        <v>4.4000000000000004</v>
      </c>
      <c r="BF342" s="31">
        <f t="shared" si="159"/>
        <v>0</v>
      </c>
      <c r="BG342" s="255">
        <f t="shared" si="160"/>
        <v>0</v>
      </c>
      <c r="BH342" s="31">
        <f t="shared" si="161"/>
        <v>0</v>
      </c>
      <c r="BI342" s="255">
        <f t="shared" si="162"/>
        <v>0</v>
      </c>
      <c r="BJ342" s="31">
        <f t="shared" si="163"/>
        <v>0</v>
      </c>
      <c r="BK342" s="31">
        <f t="shared" si="164"/>
        <v>0</v>
      </c>
      <c r="BL342" s="255">
        <f t="shared" si="165"/>
        <v>0</v>
      </c>
      <c r="BM342" s="31">
        <f t="shared" si="166"/>
        <v>0</v>
      </c>
      <c r="BN342" s="255">
        <f t="shared" si="167"/>
        <v>0</v>
      </c>
    </row>
    <row r="343" spans="1:66" x14ac:dyDescent="0.25">
      <c r="A343" t="s">
        <v>1451</v>
      </c>
      <c r="B343" s="186" t="str">
        <f>VLOOKUP(A343,kurspris!$A$1:$B$877,2,FALSE)</f>
        <v>Examensarbete i kostvetenskap för ämneslärarexamen med inriktning hem- och konsumentkunskap</v>
      </c>
      <c r="C343"/>
      <c r="D343" t="s">
        <v>482</v>
      </c>
      <c r="E343" t="s">
        <v>1975</v>
      </c>
      <c r="F343" s="39" t="s">
        <v>1930</v>
      </c>
      <c r="G343" t="s">
        <v>1993</v>
      </c>
      <c r="H343" t="s">
        <v>1910</v>
      </c>
      <c r="I343"/>
      <c r="J343" t="s">
        <v>2000</v>
      </c>
      <c r="K343"/>
      <c r="L343">
        <v>100</v>
      </c>
      <c r="M343" s="295">
        <v>22.5</v>
      </c>
      <c r="N343"/>
      <c r="O343"/>
      <c r="P343" s="31">
        <v>1</v>
      </c>
      <c r="Q343" s="232">
        <f t="shared" si="140"/>
        <v>0.375</v>
      </c>
      <c r="R343" s="40">
        <v>0.85</v>
      </c>
      <c r="S343" s="334">
        <f t="shared" si="141"/>
        <v>0.31874999999999998</v>
      </c>
      <c r="T343" s="31">
        <f>VLOOKUP(A343,'Ansvar kurs'!$A$1:$C$1010,2,FALSE)</f>
        <v>2750</v>
      </c>
      <c r="U343" s="31" t="str">
        <f>VLOOKUP(T343,Orgenheter!$A$1:$C$165,2,FALSE)</f>
        <v xml:space="preserve">Kostvetenskap                 </v>
      </c>
      <c r="V343" s="31" t="str">
        <f>VLOOKUP(T343,Orgenheter!$A$1:$C$165,3,FALSE)</f>
        <v>Sam</v>
      </c>
      <c r="W343" s="37" t="str">
        <f>VLOOKUP(D343,Program!$A$1:$B$34,2,FALSE)</f>
        <v>Ämneslärarprogrammet - åk 7-9</v>
      </c>
      <c r="X343" s="42">
        <f>VLOOKUP(A343,kurspris!$A$1:$Q$798,15,FALSE)</f>
        <v>18405</v>
      </c>
      <c r="Y343" s="42">
        <f>VLOOKUP(A343,kurspris!$A$1:$Q$798,16,FALSE)</f>
        <v>15773</v>
      </c>
      <c r="Z343" s="42">
        <f t="shared" si="142"/>
        <v>11929.518749999999</v>
      </c>
      <c r="AA343" s="42">
        <f>VLOOKUP(A343,kurspris!$A$1:$Q$798,17,FALSE)</f>
        <v>5800</v>
      </c>
      <c r="AB343" s="42">
        <f t="shared" si="143"/>
        <v>2175</v>
      </c>
      <c r="AC343" s="42">
        <f t="shared" si="144"/>
        <v>14104.518749999999</v>
      </c>
      <c r="AD343" s="31">
        <f>VLOOKUP($A343,kurspris!$A$1:$Q$835,3,FALSE)</f>
        <v>0</v>
      </c>
      <c r="AE343" s="31">
        <f>VLOOKUP($A343,kurspris!$A$1:$Q$835,4,FALSE)</f>
        <v>0</v>
      </c>
      <c r="AF343" s="31">
        <f>VLOOKUP($A343,kurspris!$A$1:$Q$835,5,FALSE)</f>
        <v>0</v>
      </c>
      <c r="AG343" s="31">
        <f>VLOOKUP($A343,kurspris!$A$1:$Q$835,6,FALSE)</f>
        <v>0</v>
      </c>
      <c r="AH343" s="31">
        <f>VLOOKUP($A343,kurspris!$A$1:$Q$835,7,FALSE)</f>
        <v>0</v>
      </c>
      <c r="AI343" s="31">
        <f>VLOOKUP($A343,kurspris!$A$1:$Q$835,8,FALSE)</f>
        <v>0</v>
      </c>
      <c r="AJ343" s="31">
        <f>VLOOKUP($A343,kurspris!$A$1:$Q$835,9,FALSE)</f>
        <v>1</v>
      </c>
      <c r="AK343" s="31">
        <f>VLOOKUP($A343,kurspris!$A$1:$Q$835,10,FALSE)</f>
        <v>0</v>
      </c>
      <c r="AL343" s="31">
        <f>VLOOKUP($A343,kurspris!$A$1:$Q$835,11,FALSE)</f>
        <v>0</v>
      </c>
      <c r="AM343" s="31">
        <f>VLOOKUP($A343,kurspris!$A$1:$Q$835,12,FALSE)</f>
        <v>0</v>
      </c>
      <c r="AN343" s="31">
        <f>VLOOKUP($A343,kurspris!$A$1:$Q$835,13,FALSE)</f>
        <v>0</v>
      </c>
      <c r="AO343" s="31">
        <f>VLOOKUP($A343,kurspris!$A$1:$Q$835,14,FALSE)</f>
        <v>0</v>
      </c>
      <c r="AP343" s="39" t="s">
        <v>2204</v>
      </c>
      <c r="AQ343" s="39" t="s">
        <v>2035</v>
      </c>
      <c r="AR343" s="31">
        <f t="shared" si="145"/>
        <v>0</v>
      </c>
      <c r="AS343" s="255">
        <f t="shared" si="146"/>
        <v>0</v>
      </c>
      <c r="AT343" s="31">
        <f t="shared" si="147"/>
        <v>0</v>
      </c>
      <c r="AU343" s="255">
        <f t="shared" si="148"/>
        <v>0</v>
      </c>
      <c r="AV343" s="31">
        <f t="shared" si="149"/>
        <v>0</v>
      </c>
      <c r="AW343" s="31">
        <f t="shared" si="150"/>
        <v>0</v>
      </c>
      <c r="AX343" s="31">
        <f t="shared" si="151"/>
        <v>0</v>
      </c>
      <c r="AY343" s="255">
        <f t="shared" si="152"/>
        <v>0</v>
      </c>
      <c r="AZ343" s="232">
        <f t="shared" si="153"/>
        <v>0</v>
      </c>
      <c r="BA343" s="255">
        <f t="shared" si="154"/>
        <v>0</v>
      </c>
      <c r="BB343" s="31">
        <f t="shared" si="155"/>
        <v>0</v>
      </c>
      <c r="BC343" s="255">
        <f t="shared" si="156"/>
        <v>0</v>
      </c>
      <c r="BD343" s="31">
        <f t="shared" si="157"/>
        <v>0.375</v>
      </c>
      <c r="BE343" s="255">
        <f t="shared" si="158"/>
        <v>0.31874999999999998</v>
      </c>
      <c r="BF343" s="31">
        <f t="shared" si="159"/>
        <v>0</v>
      </c>
      <c r="BG343" s="255">
        <f t="shared" si="160"/>
        <v>0</v>
      </c>
      <c r="BH343" s="31">
        <f t="shared" si="161"/>
        <v>0</v>
      </c>
      <c r="BI343" s="255">
        <f t="shared" si="162"/>
        <v>0</v>
      </c>
      <c r="BJ343" s="31">
        <f t="shared" si="163"/>
        <v>0</v>
      </c>
      <c r="BK343" s="31">
        <f t="shared" si="164"/>
        <v>0</v>
      </c>
      <c r="BL343" s="255">
        <f t="shared" si="165"/>
        <v>0</v>
      </c>
      <c r="BM343" s="31">
        <f t="shared" si="166"/>
        <v>0</v>
      </c>
      <c r="BN343" s="255">
        <f t="shared" si="167"/>
        <v>0</v>
      </c>
    </row>
    <row r="344" spans="1:66" x14ac:dyDescent="0.25">
      <c r="A344" s="31" t="s">
        <v>2145</v>
      </c>
      <c r="B344" s="186" t="str">
        <f>VLOOKUP(A344,kurspris!$A$1:$B$877,2,FALSE)</f>
        <v>Hem- och konsumentkunskap, distans A</v>
      </c>
      <c r="C344" s="37"/>
      <c r="D344" t="s">
        <v>117</v>
      </c>
      <c r="E344"/>
      <c r="F344" s="59" t="s">
        <v>1930</v>
      </c>
      <c r="G344"/>
      <c r="H344"/>
      <c r="I344" t="s">
        <v>2066</v>
      </c>
      <c r="L344">
        <v>100</v>
      </c>
      <c r="M344">
        <v>30</v>
      </c>
      <c r="P344" s="31">
        <v>35</v>
      </c>
      <c r="Q344" s="232">
        <f t="shared" si="140"/>
        <v>17.5</v>
      </c>
      <c r="R344" s="40">
        <v>0.8</v>
      </c>
      <c r="S344" s="334">
        <f t="shared" si="141"/>
        <v>14</v>
      </c>
      <c r="T344" s="31">
        <f>VLOOKUP(A344,'Ansvar kurs'!$A$1:$C$1010,2,FALSE)</f>
        <v>2750</v>
      </c>
      <c r="U344" s="31" t="str">
        <f>VLOOKUP(T344,Orgenheter!$A$1:$C$165,2,FALSE)</f>
        <v xml:space="preserve">Kostvetenskap                 </v>
      </c>
      <c r="V344" s="31" t="str">
        <f>VLOOKUP(T344,Orgenheter!$A$1:$C$165,3,FALSE)</f>
        <v>Sam</v>
      </c>
      <c r="W344" s="37" t="str">
        <f>VLOOKUP(D344,Program!$A$1:$B$34,2,FALSE)</f>
        <v>Fristående och övriga kurser</v>
      </c>
      <c r="X344" s="42">
        <f>VLOOKUP(A344,kurspris!$A$1:$Q$798,15,FALSE)</f>
        <v>19473</v>
      </c>
      <c r="Y344" s="42">
        <f>VLOOKUP(A344,kurspris!$A$1:$Q$798,16,FALSE)</f>
        <v>34806</v>
      </c>
      <c r="Z344" s="42">
        <f t="shared" si="142"/>
        <v>828061.5</v>
      </c>
      <c r="AA344" s="42">
        <f>VLOOKUP(A344,kurspris!$A$1:$Q$798,17,FALSE)</f>
        <v>21800</v>
      </c>
      <c r="AB344" s="42">
        <f t="shared" si="143"/>
        <v>381500</v>
      </c>
      <c r="AC344" s="42">
        <f t="shared" si="144"/>
        <v>1209561.5</v>
      </c>
      <c r="AD344" s="31">
        <f>VLOOKUP($A344,kurspris!$A$1:$Q$835,3,FALSE)</f>
        <v>0</v>
      </c>
      <c r="AE344" s="31">
        <f>VLOOKUP($A344,kurspris!$A$1:$Q$835,4,FALSE)</f>
        <v>0</v>
      </c>
      <c r="AF344" s="31">
        <f>VLOOKUP($A344,kurspris!$A$1:$Q$835,5,FALSE)</f>
        <v>0</v>
      </c>
      <c r="AG344" s="31">
        <f>VLOOKUP($A344,kurspris!$A$1:$Q$835,6,FALSE)</f>
        <v>0</v>
      </c>
      <c r="AH344" s="31">
        <f>VLOOKUP($A344,kurspris!$A$1:$Q$835,7,FALSE)</f>
        <v>0</v>
      </c>
      <c r="AI344" s="31">
        <f>VLOOKUP($A344,kurspris!$A$1:$Q$835,8,FALSE)</f>
        <v>1</v>
      </c>
      <c r="AJ344" s="31">
        <f>VLOOKUP($A344,kurspris!$A$1:$Q$835,9,FALSE)</f>
        <v>0</v>
      </c>
      <c r="AK344" s="31">
        <f>VLOOKUP($A344,kurspris!$A$1:$Q$835,10,FALSE)</f>
        <v>0</v>
      </c>
      <c r="AL344" s="31">
        <f>VLOOKUP($A344,kurspris!$A$1:$Q$835,11,FALSE)</f>
        <v>0</v>
      </c>
      <c r="AM344" s="31">
        <f>VLOOKUP($A344,kurspris!$A$1:$Q$835,12,FALSE)</f>
        <v>0</v>
      </c>
      <c r="AN344" s="31">
        <f>VLOOKUP($A344,kurspris!$A$1:$Q$835,13,FALSE)</f>
        <v>0</v>
      </c>
      <c r="AO344" s="31">
        <f>VLOOKUP($A344,kurspris!$A$1:$Q$835,14,FALSE)</f>
        <v>0</v>
      </c>
      <c r="AP344" s="39" t="s">
        <v>2204</v>
      </c>
      <c r="AQ344" s="39" t="s">
        <v>2095</v>
      </c>
      <c r="AR344" s="31">
        <f t="shared" si="145"/>
        <v>0</v>
      </c>
      <c r="AS344" s="255">
        <f t="shared" si="146"/>
        <v>0</v>
      </c>
      <c r="AT344" s="31">
        <f t="shared" si="147"/>
        <v>0</v>
      </c>
      <c r="AU344" s="255">
        <f t="shared" si="148"/>
        <v>0</v>
      </c>
      <c r="AV344" s="31">
        <f t="shared" si="149"/>
        <v>0</v>
      </c>
      <c r="AW344" s="31">
        <f t="shared" si="150"/>
        <v>0</v>
      </c>
      <c r="AX344" s="31">
        <f t="shared" si="151"/>
        <v>0</v>
      </c>
      <c r="AY344" s="255">
        <f t="shared" si="152"/>
        <v>0</v>
      </c>
      <c r="AZ344" s="232">
        <f t="shared" si="153"/>
        <v>0</v>
      </c>
      <c r="BA344" s="255">
        <f t="shared" si="154"/>
        <v>0</v>
      </c>
      <c r="BB344" s="31">
        <f t="shared" si="155"/>
        <v>17.5</v>
      </c>
      <c r="BC344" s="255">
        <f t="shared" si="156"/>
        <v>14</v>
      </c>
      <c r="BD344" s="31">
        <f t="shared" si="157"/>
        <v>0</v>
      </c>
      <c r="BE344" s="255">
        <f t="shared" si="158"/>
        <v>0</v>
      </c>
      <c r="BF344" s="31">
        <f t="shared" si="159"/>
        <v>0</v>
      </c>
      <c r="BG344" s="255">
        <f t="shared" si="160"/>
        <v>0</v>
      </c>
      <c r="BH344" s="31">
        <f t="shared" si="161"/>
        <v>0</v>
      </c>
      <c r="BI344" s="255">
        <f t="shared" si="162"/>
        <v>0</v>
      </c>
      <c r="BJ344" s="31">
        <f t="shared" si="163"/>
        <v>0</v>
      </c>
      <c r="BK344" s="31">
        <f t="shared" si="164"/>
        <v>0</v>
      </c>
      <c r="BL344" s="255">
        <f t="shared" si="165"/>
        <v>0</v>
      </c>
      <c r="BM344" s="31">
        <f t="shared" si="166"/>
        <v>0</v>
      </c>
      <c r="BN344" s="255">
        <f t="shared" si="167"/>
        <v>0</v>
      </c>
    </row>
    <row r="345" spans="1:66" x14ac:dyDescent="0.25">
      <c r="A345" s="62" t="s">
        <v>2256</v>
      </c>
      <c r="B345" s="186" t="str">
        <f>VLOOKUP(A345,kurspris!$A$1:$B$877,2,FALSE)</f>
        <v>Kulturslöjd - tradition, hantverk och nytänkande</v>
      </c>
      <c r="C345" s="37"/>
      <c r="D345" s="39" t="s">
        <v>117</v>
      </c>
      <c r="E345"/>
      <c r="F345" s="59" t="s">
        <v>2093</v>
      </c>
      <c r="G345" t="s">
        <v>2065</v>
      </c>
      <c r="H345"/>
      <c r="I345" s="18" t="s">
        <v>2066</v>
      </c>
      <c r="J345" s="159"/>
      <c r="K345" s="159"/>
      <c r="L345">
        <v>50</v>
      </c>
      <c r="M345">
        <v>7.5</v>
      </c>
      <c r="P345" s="31">
        <v>28</v>
      </c>
      <c r="Q345" s="232">
        <f t="shared" si="140"/>
        <v>3.5</v>
      </c>
      <c r="R345" s="40">
        <v>0.8</v>
      </c>
      <c r="S345" s="334">
        <f t="shared" si="141"/>
        <v>2.8000000000000003</v>
      </c>
      <c r="T345" s="31">
        <f>VLOOKUP(A345,'Ansvar kurs'!$A$1:$C$1010,2,FALSE)</f>
        <v>1650</v>
      </c>
      <c r="U345" s="31" t="str">
        <f>VLOOKUP(T345,Orgenheter!$A$1:$C$165,2,FALSE)</f>
        <v xml:space="preserve">Estetiska ämnen               </v>
      </c>
      <c r="V345" s="31" t="str">
        <f>VLOOKUP(T345,Orgenheter!$A$1:$C$165,3,FALSE)</f>
        <v>Hum</v>
      </c>
      <c r="W345" s="37" t="str">
        <f>VLOOKUP(D345,Program!$A$1:$B$34,2,FALSE)</f>
        <v>Fristående och övriga kurser</v>
      </c>
      <c r="X345" s="42">
        <f>VLOOKUP(A345,kurspris!$A$1:$Q$798,15,FALSE)</f>
        <v>17659.5</v>
      </c>
      <c r="Y345" s="42">
        <f>VLOOKUP(A345,kurspris!$A$1:$Q$798,16,FALSE)</f>
        <v>30866</v>
      </c>
      <c r="Z345" s="42">
        <f t="shared" si="142"/>
        <v>148233.04999999999</v>
      </c>
      <c r="AA345" s="42">
        <f>VLOOKUP(A345,kurspris!$A$1:$Q$798,17,FALSE)</f>
        <v>19550</v>
      </c>
      <c r="AB345" s="42">
        <f t="shared" si="143"/>
        <v>68425</v>
      </c>
      <c r="AC345" s="42">
        <f t="shared" si="144"/>
        <v>216658.05</v>
      </c>
      <c r="AD345" s="31">
        <f>VLOOKUP($A345,kurspris!$A$1:$Q$835,3,FALSE)</f>
        <v>0</v>
      </c>
      <c r="AE345" s="31">
        <f>VLOOKUP($A345,kurspris!$A$1:$Q$835,4,FALSE)</f>
        <v>0</v>
      </c>
      <c r="AF345" s="31">
        <f>VLOOKUP($A345,kurspris!$A$1:$Q$835,5,FALSE)</f>
        <v>0</v>
      </c>
      <c r="AG345" s="31">
        <f>VLOOKUP($A345,kurspris!$A$1:$Q$835,6,FALSE)</f>
        <v>0</v>
      </c>
      <c r="AH345" s="31">
        <f>VLOOKUP($A345,kurspris!$A$1:$Q$835,7,FALSE)</f>
        <v>0</v>
      </c>
      <c r="AI345" s="31">
        <f>VLOOKUP($A345,kurspris!$A$1:$Q$835,8,FALSE)</f>
        <v>0</v>
      </c>
      <c r="AJ345" s="31">
        <f>VLOOKUP($A345,kurspris!$A$1:$Q$835,9,FALSE)</f>
        <v>0</v>
      </c>
      <c r="AK345" s="31">
        <f>VLOOKUP($A345,kurspris!$A$1:$Q$835,10,FALSE)</f>
        <v>0.5</v>
      </c>
      <c r="AL345" s="31">
        <f>VLOOKUP($A345,kurspris!$A$1:$Q$835,11,FALSE)</f>
        <v>0</v>
      </c>
      <c r="AM345" s="31">
        <f>VLOOKUP($A345,kurspris!$A$1:$Q$835,12,FALSE)</f>
        <v>0</v>
      </c>
      <c r="AN345" s="31">
        <f>VLOOKUP($A345,kurspris!$A$1:$Q$835,13,FALSE)</f>
        <v>0.5</v>
      </c>
      <c r="AO345" s="31">
        <f>VLOOKUP($A345,kurspris!$A$1:$Q$835,14,FALSE)</f>
        <v>0</v>
      </c>
      <c r="AP345" s="39" t="s">
        <v>2250</v>
      </c>
      <c r="AQ345" s="39" t="s">
        <v>2258</v>
      </c>
      <c r="AR345" s="31">
        <f t="shared" si="145"/>
        <v>0</v>
      </c>
      <c r="AS345" s="255">
        <f t="shared" si="146"/>
        <v>0</v>
      </c>
      <c r="AT345" s="31">
        <f t="shared" si="147"/>
        <v>0</v>
      </c>
      <c r="AU345" s="255">
        <f t="shared" si="148"/>
        <v>0</v>
      </c>
      <c r="AV345" s="31">
        <f t="shared" si="149"/>
        <v>0</v>
      </c>
      <c r="AW345" s="31">
        <f t="shared" si="150"/>
        <v>0</v>
      </c>
      <c r="AX345" s="31">
        <f t="shared" si="151"/>
        <v>0</v>
      </c>
      <c r="AY345" s="255">
        <f t="shared" si="152"/>
        <v>0</v>
      </c>
      <c r="AZ345" s="232">
        <f t="shared" si="153"/>
        <v>0</v>
      </c>
      <c r="BA345" s="255">
        <f t="shared" si="154"/>
        <v>0</v>
      </c>
      <c r="BB345" s="31">
        <f t="shared" si="155"/>
        <v>0</v>
      </c>
      <c r="BC345" s="255">
        <f t="shared" si="156"/>
        <v>0</v>
      </c>
      <c r="BD345" s="31">
        <f t="shared" si="157"/>
        <v>0</v>
      </c>
      <c r="BE345" s="255">
        <f t="shared" si="158"/>
        <v>0</v>
      </c>
      <c r="BF345" s="31">
        <f t="shared" si="159"/>
        <v>1.75</v>
      </c>
      <c r="BG345" s="255">
        <f t="shared" si="160"/>
        <v>1.4000000000000001</v>
      </c>
      <c r="BH345" s="31">
        <f t="shared" si="161"/>
        <v>0</v>
      </c>
      <c r="BI345" s="255">
        <f t="shared" si="162"/>
        <v>0</v>
      </c>
      <c r="BJ345" s="31">
        <f t="shared" si="163"/>
        <v>0</v>
      </c>
      <c r="BK345" s="31">
        <f t="shared" si="164"/>
        <v>1.75</v>
      </c>
      <c r="BL345" s="255">
        <f t="shared" si="165"/>
        <v>1.4000000000000001</v>
      </c>
      <c r="BM345" s="31">
        <f t="shared" si="166"/>
        <v>0</v>
      </c>
      <c r="BN345" s="255">
        <f t="shared" si="167"/>
        <v>0</v>
      </c>
    </row>
    <row r="346" spans="1:66" x14ac:dyDescent="0.25">
      <c r="A346" s="62" t="s">
        <v>2257</v>
      </c>
      <c r="B346" s="186" t="str">
        <f>VLOOKUP(A346,kurspris!$A$1:$B$877,2,FALSE)</f>
        <v>Folkmusikdidaktik</v>
      </c>
      <c r="C346" s="37"/>
      <c r="D346" s="39" t="s">
        <v>117</v>
      </c>
      <c r="E346"/>
      <c r="F346" s="59" t="s">
        <v>2093</v>
      </c>
      <c r="G346" t="s">
        <v>2065</v>
      </c>
      <c r="H346"/>
      <c r="I346" s="18" t="s">
        <v>2066</v>
      </c>
      <c r="J346" s="159"/>
      <c r="K346" s="159"/>
      <c r="L346">
        <v>50</v>
      </c>
      <c r="M346">
        <v>7.5</v>
      </c>
      <c r="P346" s="31">
        <v>14</v>
      </c>
      <c r="Q346" s="232">
        <f t="shared" si="140"/>
        <v>1.75</v>
      </c>
      <c r="R346" s="40">
        <v>0.8</v>
      </c>
      <c r="S346" s="334">
        <f t="shared" si="141"/>
        <v>1.4000000000000001</v>
      </c>
      <c r="T346" s="31">
        <f>VLOOKUP(A346,'Ansvar kurs'!$A$1:$C$1010,2,FALSE)</f>
        <v>1650</v>
      </c>
      <c r="U346" s="31" t="str">
        <f>VLOOKUP(T346,Orgenheter!$A$1:$C$165,2,FALSE)</f>
        <v xml:space="preserve">Estetiska ämnen               </v>
      </c>
      <c r="V346" s="31" t="str">
        <f>VLOOKUP(T346,Orgenheter!$A$1:$C$165,3,FALSE)</f>
        <v>Hum</v>
      </c>
      <c r="W346" s="37" t="str">
        <f>VLOOKUP(D346,Program!$A$1:$B$34,2,FALSE)</f>
        <v>Fristående och övriga kurser</v>
      </c>
      <c r="X346" s="42">
        <f>VLOOKUP(A346,kurspris!$A$1:$Q$798,15,FALSE)</f>
        <v>24603.5</v>
      </c>
      <c r="Y346" s="42">
        <f>VLOOKUP(A346,kurspris!$A$1:$Q$798,16,FALSE)</f>
        <v>39785</v>
      </c>
      <c r="Z346" s="42">
        <f t="shared" si="142"/>
        <v>98755.125</v>
      </c>
      <c r="AA346" s="42">
        <f>VLOOKUP(A346,kurspris!$A$1:$Q$798,17,FALSE)</f>
        <v>37950</v>
      </c>
      <c r="AB346" s="42">
        <f t="shared" si="143"/>
        <v>66412.5</v>
      </c>
      <c r="AC346" s="42">
        <f t="shared" si="144"/>
        <v>165167.625</v>
      </c>
      <c r="AD346" s="31">
        <f>VLOOKUP($A346,kurspris!$A$1:$Q$835,3,FALSE)</f>
        <v>0</v>
      </c>
      <c r="AE346" s="31">
        <f>VLOOKUP($A346,kurspris!$A$1:$Q$835,4,FALSE)</f>
        <v>0.5</v>
      </c>
      <c r="AF346" s="31">
        <f>VLOOKUP($A346,kurspris!$A$1:$Q$835,5,FALSE)</f>
        <v>0</v>
      </c>
      <c r="AG346" s="31">
        <f>VLOOKUP($A346,kurspris!$A$1:$Q$835,6,FALSE)</f>
        <v>0</v>
      </c>
      <c r="AH346" s="31">
        <f>VLOOKUP($A346,kurspris!$A$1:$Q$835,7,FALSE)</f>
        <v>0.5</v>
      </c>
      <c r="AI346" s="31">
        <f>VLOOKUP($A346,kurspris!$A$1:$Q$835,8,FALSE)</f>
        <v>0</v>
      </c>
      <c r="AJ346" s="31">
        <f>VLOOKUP($A346,kurspris!$A$1:$Q$835,9,FALSE)</f>
        <v>0</v>
      </c>
      <c r="AK346" s="31">
        <f>VLOOKUP($A346,kurspris!$A$1:$Q$835,10,FALSE)</f>
        <v>0</v>
      </c>
      <c r="AL346" s="31">
        <f>VLOOKUP($A346,kurspris!$A$1:$Q$835,11,FALSE)</f>
        <v>0</v>
      </c>
      <c r="AM346" s="31">
        <f>VLOOKUP($A346,kurspris!$A$1:$Q$835,12,FALSE)</f>
        <v>0</v>
      </c>
      <c r="AN346" s="31">
        <f>VLOOKUP($A346,kurspris!$A$1:$Q$835,13,FALSE)</f>
        <v>0</v>
      </c>
      <c r="AO346" s="31">
        <f>VLOOKUP($A346,kurspris!$A$1:$Q$835,14,FALSE)</f>
        <v>0</v>
      </c>
      <c r="AP346" s="39" t="s">
        <v>2250</v>
      </c>
      <c r="AQ346" s="39" t="s">
        <v>2258</v>
      </c>
      <c r="AR346" s="31">
        <f t="shared" si="145"/>
        <v>0</v>
      </c>
      <c r="AS346" s="255">
        <f t="shared" si="146"/>
        <v>0</v>
      </c>
      <c r="AT346" s="31">
        <f t="shared" si="147"/>
        <v>0.875</v>
      </c>
      <c r="AU346" s="255">
        <f t="shared" si="148"/>
        <v>0.70000000000000007</v>
      </c>
      <c r="AV346" s="31">
        <f t="shared" si="149"/>
        <v>0</v>
      </c>
      <c r="AW346" s="31">
        <f t="shared" si="150"/>
        <v>0</v>
      </c>
      <c r="AX346" s="31">
        <f t="shared" si="151"/>
        <v>0</v>
      </c>
      <c r="AY346" s="255">
        <f t="shared" si="152"/>
        <v>0</v>
      </c>
      <c r="AZ346" s="232">
        <f t="shared" si="153"/>
        <v>0.875</v>
      </c>
      <c r="BA346" s="255">
        <f t="shared" si="154"/>
        <v>0.70000000000000007</v>
      </c>
      <c r="BB346" s="31">
        <f t="shared" si="155"/>
        <v>0</v>
      </c>
      <c r="BC346" s="255">
        <f t="shared" si="156"/>
        <v>0</v>
      </c>
      <c r="BD346" s="31">
        <f t="shared" si="157"/>
        <v>0</v>
      </c>
      <c r="BE346" s="255">
        <f t="shared" si="158"/>
        <v>0</v>
      </c>
      <c r="BF346" s="31">
        <f t="shared" si="159"/>
        <v>0</v>
      </c>
      <c r="BG346" s="255">
        <f t="shared" si="160"/>
        <v>0</v>
      </c>
      <c r="BH346" s="31">
        <f t="shared" si="161"/>
        <v>0</v>
      </c>
      <c r="BI346" s="255">
        <f t="shared" si="162"/>
        <v>0</v>
      </c>
      <c r="BJ346" s="31">
        <f t="shared" si="163"/>
        <v>0</v>
      </c>
      <c r="BK346" s="31">
        <f t="shared" si="164"/>
        <v>0</v>
      </c>
      <c r="BL346" s="255">
        <f t="shared" si="165"/>
        <v>0</v>
      </c>
      <c r="BM346" s="31">
        <f t="shared" si="166"/>
        <v>0</v>
      </c>
      <c r="BN346" s="255">
        <f t="shared" si="167"/>
        <v>0</v>
      </c>
    </row>
    <row r="347" spans="1:66" x14ac:dyDescent="0.25">
      <c r="A347" s="18" t="s">
        <v>1711</v>
      </c>
      <c r="B347" s="186" t="str">
        <f>VLOOKUP(A347,kurspris!$A$1:$B$877,2,FALSE)</f>
        <v>Ditt barns språk 2. Språkutveckling mellan 2 och 4 år</v>
      </c>
      <c r="C347" s="37"/>
      <c r="D347" t="s">
        <v>117</v>
      </c>
      <c r="E347"/>
      <c r="F347" s="59" t="s">
        <v>1930</v>
      </c>
      <c r="G347"/>
      <c r="H347"/>
      <c r="I347" t="s">
        <v>2066</v>
      </c>
      <c r="L347">
        <v>15</v>
      </c>
      <c r="M347">
        <v>5</v>
      </c>
      <c r="P347" s="31">
        <v>27</v>
      </c>
      <c r="Q347" s="232">
        <f t="shared" si="140"/>
        <v>2.25</v>
      </c>
      <c r="R347" s="40">
        <v>0.8</v>
      </c>
      <c r="S347" s="334">
        <f t="shared" si="141"/>
        <v>1.8</v>
      </c>
      <c r="T347" s="31">
        <f>VLOOKUP(A347,'Ansvar kurs'!$A$1:$C$1010,2,FALSE)</f>
        <v>1620</v>
      </c>
      <c r="U347" s="31" t="str">
        <f>VLOOKUP(T347,Orgenheter!$A$1:$C$165,2,FALSE)</f>
        <v>Inst för språkstudier</v>
      </c>
      <c r="V347" s="31" t="str">
        <f>VLOOKUP(T347,Orgenheter!$A$1:$C$165,3,FALSE)</f>
        <v>Hum</v>
      </c>
      <c r="W347" s="37" t="str">
        <f>VLOOKUP(D347,Program!$A$1:$B$34,2,FALSE)</f>
        <v>Fristående och övriga kurser</v>
      </c>
      <c r="X347" s="42">
        <f>VLOOKUP(A347,kurspris!$A$1:$Q$798,15,FALSE)</f>
        <v>18405</v>
      </c>
      <c r="Y347" s="42">
        <f>VLOOKUP(A347,kurspris!$A$1:$Q$798,16,FALSE)</f>
        <v>15773</v>
      </c>
      <c r="Z347" s="42">
        <f t="shared" si="142"/>
        <v>69802.649999999994</v>
      </c>
      <c r="AA347" s="42">
        <f>VLOOKUP(A347,kurspris!$A$1:$Q$798,17,FALSE)</f>
        <v>5800</v>
      </c>
      <c r="AB347" s="42">
        <f t="shared" si="143"/>
        <v>13050</v>
      </c>
      <c r="AC347" s="42">
        <f t="shared" si="144"/>
        <v>82852.649999999994</v>
      </c>
      <c r="AD347" s="31">
        <f>VLOOKUP($A347,kurspris!$A$1:$Q$835,3,FALSE)</f>
        <v>0</v>
      </c>
      <c r="AE347" s="31">
        <f>VLOOKUP($A347,kurspris!$A$1:$Q$835,4,FALSE)</f>
        <v>1</v>
      </c>
      <c r="AF347" s="31">
        <f>VLOOKUP($A347,kurspris!$A$1:$Q$835,5,FALSE)</f>
        <v>0</v>
      </c>
      <c r="AG347" s="31">
        <f>VLOOKUP($A347,kurspris!$A$1:$Q$835,6,FALSE)</f>
        <v>0</v>
      </c>
      <c r="AH347" s="31">
        <f>VLOOKUP($A347,kurspris!$A$1:$Q$835,7,FALSE)</f>
        <v>0</v>
      </c>
      <c r="AI347" s="31">
        <f>VLOOKUP($A347,kurspris!$A$1:$Q$835,8,FALSE)</f>
        <v>0</v>
      </c>
      <c r="AJ347" s="31">
        <f>VLOOKUP($A347,kurspris!$A$1:$Q$835,9,FALSE)</f>
        <v>0</v>
      </c>
      <c r="AK347" s="31">
        <f>VLOOKUP($A347,kurspris!$A$1:$Q$835,10,FALSE)</f>
        <v>0</v>
      </c>
      <c r="AL347" s="31">
        <f>VLOOKUP($A347,kurspris!$A$1:$Q$835,11,FALSE)</f>
        <v>0</v>
      </c>
      <c r="AM347" s="31">
        <f>VLOOKUP($A347,kurspris!$A$1:$Q$835,12,FALSE)</f>
        <v>0</v>
      </c>
      <c r="AN347" s="31">
        <f>VLOOKUP($A347,kurspris!$A$1:$Q$835,13,FALSE)</f>
        <v>0</v>
      </c>
      <c r="AO347" s="31">
        <f>VLOOKUP($A347,kurspris!$A$1:$Q$835,14,FALSE)</f>
        <v>0</v>
      </c>
      <c r="AP347" s="39" t="s">
        <v>2232</v>
      </c>
      <c r="AQ347"/>
      <c r="AR347" s="31">
        <f t="shared" si="145"/>
        <v>0</v>
      </c>
      <c r="AS347" s="255">
        <f t="shared" si="146"/>
        <v>0</v>
      </c>
      <c r="AT347" s="31">
        <f t="shared" si="147"/>
        <v>2.25</v>
      </c>
      <c r="AU347" s="255">
        <f t="shared" si="148"/>
        <v>1.8</v>
      </c>
      <c r="AV347" s="31">
        <f t="shared" si="149"/>
        <v>0</v>
      </c>
      <c r="AW347" s="31">
        <f t="shared" si="150"/>
        <v>0</v>
      </c>
      <c r="AX347" s="31">
        <f t="shared" si="151"/>
        <v>0</v>
      </c>
      <c r="AY347" s="255">
        <f t="shared" si="152"/>
        <v>0</v>
      </c>
      <c r="AZ347" s="232">
        <f t="shared" si="153"/>
        <v>0</v>
      </c>
      <c r="BA347" s="255">
        <f t="shared" si="154"/>
        <v>0</v>
      </c>
      <c r="BB347" s="31">
        <f t="shared" si="155"/>
        <v>0</v>
      </c>
      <c r="BC347" s="255">
        <f t="shared" si="156"/>
        <v>0</v>
      </c>
      <c r="BD347" s="31">
        <f t="shared" si="157"/>
        <v>0</v>
      </c>
      <c r="BE347" s="255">
        <f t="shared" si="158"/>
        <v>0</v>
      </c>
      <c r="BF347" s="31">
        <f t="shared" si="159"/>
        <v>0</v>
      </c>
      <c r="BG347" s="255">
        <f t="shared" si="160"/>
        <v>0</v>
      </c>
      <c r="BH347" s="31">
        <f t="shared" si="161"/>
        <v>0</v>
      </c>
      <c r="BI347" s="255">
        <f t="shared" si="162"/>
        <v>0</v>
      </c>
      <c r="BJ347" s="31">
        <f t="shared" si="163"/>
        <v>0</v>
      </c>
      <c r="BK347" s="31">
        <f t="shared" si="164"/>
        <v>0</v>
      </c>
      <c r="BL347" s="255">
        <f t="shared" si="165"/>
        <v>0</v>
      </c>
      <c r="BM347" s="31">
        <f t="shared" si="166"/>
        <v>0</v>
      </c>
      <c r="BN347" s="255">
        <f t="shared" si="167"/>
        <v>0</v>
      </c>
    </row>
    <row r="348" spans="1:66" x14ac:dyDescent="0.25">
      <c r="A348" s="18" t="s">
        <v>1711</v>
      </c>
      <c r="B348" s="186" t="str">
        <f>VLOOKUP(A348,kurspris!$A$1:$B$877,2,FALSE)</f>
        <v>Ditt barns språk 2. Språkutveckling mellan 2 och 4 år</v>
      </c>
      <c r="C348" s="37"/>
      <c r="D348" t="s">
        <v>117</v>
      </c>
      <c r="E348"/>
      <c r="F348" s="59" t="s">
        <v>1931</v>
      </c>
      <c r="G348"/>
      <c r="H348"/>
      <c r="I348" t="s">
        <v>1634</v>
      </c>
      <c r="L348">
        <v>25</v>
      </c>
      <c r="M348" s="463">
        <v>5</v>
      </c>
      <c r="P348">
        <v>35</v>
      </c>
      <c r="Q348" s="232">
        <f t="shared" si="140"/>
        <v>2.9166666666666665</v>
      </c>
      <c r="R348" s="40">
        <v>0.8</v>
      </c>
      <c r="S348" s="334">
        <f t="shared" si="141"/>
        <v>2.3333333333333335</v>
      </c>
      <c r="T348" s="31">
        <f>VLOOKUP(A348,'Ansvar kurs'!$A$1:$C$1010,2,FALSE)</f>
        <v>1620</v>
      </c>
      <c r="U348" s="31" t="str">
        <f>VLOOKUP(T348,Orgenheter!$A$1:$C$165,2,FALSE)</f>
        <v>Inst för språkstudier</v>
      </c>
      <c r="V348" s="31" t="str">
        <f>VLOOKUP(T348,Orgenheter!$A$1:$C$165,3,FALSE)</f>
        <v>Hum</v>
      </c>
      <c r="W348" s="37" t="str">
        <f>VLOOKUP(D348,Program!$A$1:$B$34,2,FALSE)</f>
        <v>Fristående och övriga kurser</v>
      </c>
      <c r="X348" s="42">
        <f>VLOOKUP(A348,kurspris!$A$1:$Q$798,15,FALSE)</f>
        <v>18405</v>
      </c>
      <c r="Y348" s="42">
        <f>VLOOKUP(A348,kurspris!$A$1:$Q$798,16,FALSE)</f>
        <v>15773</v>
      </c>
      <c r="Z348" s="42">
        <f t="shared" si="142"/>
        <v>90484.916666666672</v>
      </c>
      <c r="AA348" s="42">
        <f>VLOOKUP(A348,kurspris!$A$1:$Q$798,17,FALSE)</f>
        <v>5800</v>
      </c>
      <c r="AB348" s="42">
        <f t="shared" si="143"/>
        <v>16916.666666666664</v>
      </c>
      <c r="AC348" s="42">
        <f t="shared" si="144"/>
        <v>107401.58333333334</v>
      </c>
      <c r="AD348" s="31">
        <f>VLOOKUP($A348,kurspris!$A$1:$Q$835,3,FALSE)</f>
        <v>0</v>
      </c>
      <c r="AE348" s="31">
        <f>VLOOKUP($A348,kurspris!$A$1:$Q$835,4,FALSE)</f>
        <v>1</v>
      </c>
      <c r="AF348" s="31">
        <f>VLOOKUP($A348,kurspris!$A$1:$Q$835,5,FALSE)</f>
        <v>0</v>
      </c>
      <c r="AG348" s="31">
        <f>VLOOKUP($A348,kurspris!$A$1:$Q$835,6,FALSE)</f>
        <v>0</v>
      </c>
      <c r="AH348" s="31">
        <f>VLOOKUP($A348,kurspris!$A$1:$Q$835,7,FALSE)</f>
        <v>0</v>
      </c>
      <c r="AI348" s="31">
        <f>VLOOKUP($A348,kurspris!$A$1:$Q$835,8,FALSE)</f>
        <v>0</v>
      </c>
      <c r="AJ348" s="31">
        <f>VLOOKUP($A348,kurspris!$A$1:$Q$835,9,FALSE)</f>
        <v>0</v>
      </c>
      <c r="AK348" s="31">
        <f>VLOOKUP($A348,kurspris!$A$1:$Q$835,10,FALSE)</f>
        <v>0</v>
      </c>
      <c r="AL348" s="31">
        <f>VLOOKUP($A348,kurspris!$A$1:$Q$835,11,FALSE)</f>
        <v>0</v>
      </c>
      <c r="AM348" s="31">
        <f>VLOOKUP($A348,kurspris!$A$1:$Q$835,12,FALSE)</f>
        <v>0</v>
      </c>
      <c r="AN348" s="31">
        <f>VLOOKUP($A348,kurspris!$A$1:$Q$835,13,FALSE)</f>
        <v>0</v>
      </c>
      <c r="AO348" s="31">
        <f>VLOOKUP($A348,kurspris!$A$1:$Q$835,14,FALSE)</f>
        <v>0</v>
      </c>
      <c r="AP348" s="39" t="s">
        <v>2095</v>
      </c>
      <c r="AQ348"/>
      <c r="AR348" s="31">
        <f t="shared" si="145"/>
        <v>0</v>
      </c>
      <c r="AS348" s="255">
        <f t="shared" si="146"/>
        <v>0</v>
      </c>
      <c r="AT348" s="31">
        <f t="shared" si="147"/>
        <v>2.9166666666666665</v>
      </c>
      <c r="AU348" s="255">
        <f t="shared" si="148"/>
        <v>2.3333333333333335</v>
      </c>
      <c r="AV348" s="31">
        <f t="shared" si="149"/>
        <v>0</v>
      </c>
      <c r="AW348" s="31">
        <f t="shared" si="150"/>
        <v>0</v>
      </c>
      <c r="AX348" s="31">
        <f t="shared" si="151"/>
        <v>0</v>
      </c>
      <c r="AY348" s="255">
        <f t="shared" si="152"/>
        <v>0</v>
      </c>
      <c r="AZ348" s="232">
        <f t="shared" si="153"/>
        <v>0</v>
      </c>
      <c r="BA348" s="255">
        <f t="shared" si="154"/>
        <v>0</v>
      </c>
      <c r="BB348" s="31">
        <f t="shared" si="155"/>
        <v>0</v>
      </c>
      <c r="BC348" s="255">
        <f t="shared" si="156"/>
        <v>0</v>
      </c>
      <c r="BD348" s="31">
        <f t="shared" si="157"/>
        <v>0</v>
      </c>
      <c r="BE348" s="255">
        <f t="shared" si="158"/>
        <v>0</v>
      </c>
      <c r="BF348" s="31">
        <f t="shared" si="159"/>
        <v>0</v>
      </c>
      <c r="BG348" s="255">
        <f t="shared" si="160"/>
        <v>0</v>
      </c>
      <c r="BH348" s="31">
        <f t="shared" si="161"/>
        <v>0</v>
      </c>
      <c r="BI348" s="255">
        <f t="shared" si="162"/>
        <v>0</v>
      </c>
      <c r="BJ348" s="31">
        <f t="shared" si="163"/>
        <v>0</v>
      </c>
      <c r="BK348" s="31">
        <f t="shared" si="164"/>
        <v>0</v>
      </c>
      <c r="BL348" s="255">
        <f t="shared" si="165"/>
        <v>0</v>
      </c>
      <c r="BM348" s="31">
        <f t="shared" si="166"/>
        <v>0</v>
      </c>
      <c r="BN348" s="255">
        <f t="shared" si="167"/>
        <v>0</v>
      </c>
    </row>
    <row r="349" spans="1:66" x14ac:dyDescent="0.25">
      <c r="A349" s="18" t="s">
        <v>1829</v>
      </c>
      <c r="B349" s="186" t="str">
        <f>VLOOKUP(A349,kurspris!$A$1:$B$877,2,FALSE)</f>
        <v>Ditt barns språk I - Språkutvecklingen mellan 0 och 2 år</v>
      </c>
      <c r="C349" s="37"/>
      <c r="D349" t="s">
        <v>117</v>
      </c>
      <c r="E349"/>
      <c r="F349" s="59" t="s">
        <v>1930</v>
      </c>
      <c r="G349"/>
      <c r="H349"/>
      <c r="I349" t="s">
        <v>2066</v>
      </c>
      <c r="L349">
        <v>25</v>
      </c>
      <c r="M349">
        <v>7.5</v>
      </c>
      <c r="P349" s="31">
        <v>0</v>
      </c>
      <c r="Q349" s="232">
        <f t="shared" si="140"/>
        <v>0</v>
      </c>
      <c r="R349" s="40">
        <v>0.8</v>
      </c>
      <c r="S349" s="334">
        <f t="shared" si="141"/>
        <v>0</v>
      </c>
      <c r="T349" s="31">
        <f>VLOOKUP(A349,'Ansvar kurs'!$A$1:$C$1010,2,FALSE)</f>
        <v>1620</v>
      </c>
      <c r="U349" s="31" t="str">
        <f>VLOOKUP(T349,Orgenheter!$A$1:$C$165,2,FALSE)</f>
        <v>Inst för språkstudier</v>
      </c>
      <c r="V349" s="31" t="str">
        <f>VLOOKUP(T349,Orgenheter!$A$1:$C$165,3,FALSE)</f>
        <v>Hum</v>
      </c>
      <c r="W349" s="37" t="str">
        <f>VLOOKUP(D349,Program!$A$1:$B$34,2,FALSE)</f>
        <v>Fristående och övriga kurser</v>
      </c>
      <c r="X349" s="42">
        <f>VLOOKUP(A349,kurspris!$A$1:$Q$798,15,FALSE)</f>
        <v>18405</v>
      </c>
      <c r="Y349" s="42">
        <f>VLOOKUP(A349,kurspris!$A$1:$Q$798,16,FALSE)</f>
        <v>15773</v>
      </c>
      <c r="Z349" s="42">
        <f t="shared" si="142"/>
        <v>0</v>
      </c>
      <c r="AA349" s="42">
        <f>VLOOKUP(A349,kurspris!$A$1:$Q$798,17,FALSE)</f>
        <v>5800</v>
      </c>
      <c r="AB349" s="42">
        <f t="shared" si="143"/>
        <v>0</v>
      </c>
      <c r="AC349" s="42">
        <f t="shared" si="144"/>
        <v>0</v>
      </c>
      <c r="AD349" s="31">
        <f>VLOOKUP($A349,kurspris!$A$1:$Q$835,3,FALSE)</f>
        <v>0</v>
      </c>
      <c r="AE349" s="31">
        <f>VLOOKUP($A349,kurspris!$A$1:$Q$835,4,FALSE)</f>
        <v>1</v>
      </c>
      <c r="AF349" s="31">
        <f>VLOOKUP($A349,kurspris!$A$1:$Q$835,5,FALSE)</f>
        <v>0</v>
      </c>
      <c r="AG349" s="31">
        <f>VLOOKUP($A349,kurspris!$A$1:$Q$835,6,FALSE)</f>
        <v>0</v>
      </c>
      <c r="AH349" s="31">
        <f>VLOOKUP($A349,kurspris!$A$1:$Q$835,7,FALSE)</f>
        <v>0</v>
      </c>
      <c r="AI349" s="31">
        <f>VLOOKUP($A349,kurspris!$A$1:$Q$835,8,FALSE)</f>
        <v>0</v>
      </c>
      <c r="AJ349" s="31">
        <f>VLOOKUP($A349,kurspris!$A$1:$Q$835,9,FALSE)</f>
        <v>0</v>
      </c>
      <c r="AK349" s="31">
        <f>VLOOKUP($A349,kurspris!$A$1:$Q$835,10,FALSE)</f>
        <v>0</v>
      </c>
      <c r="AL349" s="31">
        <f>VLOOKUP($A349,kurspris!$A$1:$Q$835,11,FALSE)</f>
        <v>0</v>
      </c>
      <c r="AM349" s="31">
        <f>VLOOKUP($A349,kurspris!$A$1:$Q$835,12,FALSE)</f>
        <v>0</v>
      </c>
      <c r="AN349" s="31">
        <f>VLOOKUP($A349,kurspris!$A$1:$Q$835,13,FALSE)</f>
        <v>0</v>
      </c>
      <c r="AO349" s="31">
        <f>VLOOKUP($A349,kurspris!$A$1:$Q$835,14,FALSE)</f>
        <v>0</v>
      </c>
      <c r="AP349" s="39" t="s">
        <v>2232</v>
      </c>
      <c r="AQ349" s="39" t="s">
        <v>2095</v>
      </c>
      <c r="AR349" s="31">
        <f t="shared" si="145"/>
        <v>0</v>
      </c>
      <c r="AS349" s="255">
        <f t="shared" si="146"/>
        <v>0</v>
      </c>
      <c r="AT349" s="31">
        <f t="shared" si="147"/>
        <v>0</v>
      </c>
      <c r="AU349" s="255">
        <f t="shared" si="148"/>
        <v>0</v>
      </c>
      <c r="AV349" s="31">
        <f t="shared" si="149"/>
        <v>0</v>
      </c>
      <c r="AW349" s="31">
        <f t="shared" si="150"/>
        <v>0</v>
      </c>
      <c r="AX349" s="31">
        <f t="shared" si="151"/>
        <v>0</v>
      </c>
      <c r="AY349" s="255">
        <f t="shared" si="152"/>
        <v>0</v>
      </c>
      <c r="AZ349" s="232">
        <f t="shared" si="153"/>
        <v>0</v>
      </c>
      <c r="BA349" s="255">
        <f t="shared" si="154"/>
        <v>0</v>
      </c>
      <c r="BB349" s="31">
        <f t="shared" si="155"/>
        <v>0</v>
      </c>
      <c r="BC349" s="255">
        <f t="shared" si="156"/>
        <v>0</v>
      </c>
      <c r="BD349" s="31">
        <f t="shared" si="157"/>
        <v>0</v>
      </c>
      <c r="BE349" s="255">
        <f t="shared" si="158"/>
        <v>0</v>
      </c>
      <c r="BF349" s="31">
        <f t="shared" si="159"/>
        <v>0</v>
      </c>
      <c r="BG349" s="255">
        <f t="shared" si="160"/>
        <v>0</v>
      </c>
      <c r="BH349" s="31">
        <f t="shared" si="161"/>
        <v>0</v>
      </c>
      <c r="BI349" s="255">
        <f t="shared" si="162"/>
        <v>0</v>
      </c>
      <c r="BJ349" s="31">
        <f t="shared" si="163"/>
        <v>0</v>
      </c>
      <c r="BK349" s="31">
        <f t="shared" si="164"/>
        <v>0</v>
      </c>
      <c r="BL349" s="255">
        <f t="shared" si="165"/>
        <v>0</v>
      </c>
      <c r="BM349" s="31">
        <f t="shared" si="166"/>
        <v>0</v>
      </c>
      <c r="BN349" s="255">
        <f t="shared" si="167"/>
        <v>0</v>
      </c>
    </row>
    <row r="350" spans="1:66" x14ac:dyDescent="0.25">
      <c r="A350" s="18" t="s">
        <v>1830</v>
      </c>
      <c r="B350" s="186" t="str">
        <f>VLOOKUP(A350,kurspris!$A$1:$B$877,2,FALSE)</f>
        <v>Människans språk: Lingvistik för lärare</v>
      </c>
      <c r="C350" s="37"/>
      <c r="D350" t="s">
        <v>117</v>
      </c>
      <c r="E350"/>
      <c r="F350" s="59" t="s">
        <v>1930</v>
      </c>
      <c r="G350"/>
      <c r="H350"/>
      <c r="I350" t="s">
        <v>2066</v>
      </c>
      <c r="L350">
        <v>50</v>
      </c>
      <c r="M350" s="295">
        <v>15</v>
      </c>
      <c r="P350" s="31">
        <v>2</v>
      </c>
      <c r="Q350" s="232">
        <f t="shared" si="140"/>
        <v>0.5</v>
      </c>
      <c r="R350" s="40">
        <v>0.8</v>
      </c>
      <c r="S350" s="334">
        <f t="shared" si="141"/>
        <v>0.4</v>
      </c>
      <c r="T350" s="31">
        <f>VLOOKUP(A350,'Ansvar kurs'!$A$1:$C$1010,2,FALSE)</f>
        <v>1620</v>
      </c>
      <c r="U350" s="31" t="str">
        <f>VLOOKUP(T350,Orgenheter!$A$1:$C$165,2,FALSE)</f>
        <v>Inst för språkstudier</v>
      </c>
      <c r="V350" s="31" t="str">
        <f>VLOOKUP(T350,Orgenheter!$A$1:$C$165,3,FALSE)</f>
        <v>Hum</v>
      </c>
      <c r="W350" s="37" t="str">
        <f>VLOOKUP(D350,Program!$A$1:$B$34,2,FALSE)</f>
        <v>Fristående och övriga kurser</v>
      </c>
      <c r="X350" s="42">
        <f>VLOOKUP(A350,kurspris!$A$1:$Q$798,15,FALSE)</f>
        <v>18405</v>
      </c>
      <c r="Y350" s="42">
        <f>VLOOKUP(A350,kurspris!$A$1:$Q$798,16,FALSE)</f>
        <v>15773</v>
      </c>
      <c r="Z350" s="42">
        <f t="shared" si="142"/>
        <v>15511.7</v>
      </c>
      <c r="AA350" s="42">
        <f>VLOOKUP(A350,kurspris!$A$1:$Q$798,17,FALSE)</f>
        <v>5800</v>
      </c>
      <c r="AB350" s="42">
        <f t="shared" si="143"/>
        <v>2900</v>
      </c>
      <c r="AC350" s="42">
        <f t="shared" si="144"/>
        <v>18411.7</v>
      </c>
      <c r="AD350" s="31">
        <f>VLOOKUP($A350,kurspris!$A$1:$Q$835,3,FALSE)</f>
        <v>0</v>
      </c>
      <c r="AE350" s="31">
        <f>VLOOKUP($A350,kurspris!$A$1:$Q$835,4,FALSE)</f>
        <v>1</v>
      </c>
      <c r="AF350" s="31">
        <f>VLOOKUP($A350,kurspris!$A$1:$Q$835,5,FALSE)</f>
        <v>0</v>
      </c>
      <c r="AG350" s="31">
        <f>VLOOKUP($A350,kurspris!$A$1:$Q$835,6,FALSE)</f>
        <v>0</v>
      </c>
      <c r="AH350" s="31">
        <f>VLOOKUP($A350,kurspris!$A$1:$Q$835,7,FALSE)</f>
        <v>0</v>
      </c>
      <c r="AI350" s="31">
        <f>VLOOKUP($A350,kurspris!$A$1:$Q$835,8,FALSE)</f>
        <v>0</v>
      </c>
      <c r="AJ350" s="31">
        <f>VLOOKUP($A350,kurspris!$A$1:$Q$835,9,FALSE)</f>
        <v>0</v>
      </c>
      <c r="AK350" s="31">
        <f>VLOOKUP($A350,kurspris!$A$1:$Q$835,10,FALSE)</f>
        <v>0</v>
      </c>
      <c r="AL350" s="31">
        <f>VLOOKUP($A350,kurspris!$A$1:$Q$835,11,FALSE)</f>
        <v>0</v>
      </c>
      <c r="AM350" s="31">
        <f>VLOOKUP($A350,kurspris!$A$1:$Q$835,12,FALSE)</f>
        <v>0</v>
      </c>
      <c r="AN350" s="31">
        <f>VLOOKUP($A350,kurspris!$A$1:$Q$835,13,FALSE)</f>
        <v>0</v>
      </c>
      <c r="AO350" s="31">
        <f>VLOOKUP($A350,kurspris!$A$1:$Q$835,14,FALSE)</f>
        <v>0</v>
      </c>
      <c r="AP350" s="39" t="s">
        <v>2204</v>
      </c>
      <c r="AQ350" s="39" t="s">
        <v>2095</v>
      </c>
      <c r="AR350" s="31">
        <f t="shared" si="145"/>
        <v>0</v>
      </c>
      <c r="AS350" s="255">
        <f t="shared" si="146"/>
        <v>0</v>
      </c>
      <c r="AT350" s="31">
        <f t="shared" si="147"/>
        <v>0.5</v>
      </c>
      <c r="AU350" s="255">
        <f t="shared" si="148"/>
        <v>0.4</v>
      </c>
      <c r="AV350" s="31">
        <f t="shared" si="149"/>
        <v>0</v>
      </c>
      <c r="AW350" s="31">
        <f t="shared" si="150"/>
        <v>0</v>
      </c>
      <c r="AX350" s="31">
        <f t="shared" si="151"/>
        <v>0</v>
      </c>
      <c r="AY350" s="255">
        <f t="shared" si="152"/>
        <v>0</v>
      </c>
      <c r="AZ350" s="232">
        <f t="shared" si="153"/>
        <v>0</v>
      </c>
      <c r="BA350" s="255">
        <f t="shared" si="154"/>
        <v>0</v>
      </c>
      <c r="BB350" s="31">
        <f t="shared" si="155"/>
        <v>0</v>
      </c>
      <c r="BC350" s="255">
        <f t="shared" si="156"/>
        <v>0</v>
      </c>
      <c r="BD350" s="31">
        <f t="shared" si="157"/>
        <v>0</v>
      </c>
      <c r="BE350" s="255">
        <f t="shared" si="158"/>
        <v>0</v>
      </c>
      <c r="BF350" s="31">
        <f t="shared" si="159"/>
        <v>0</v>
      </c>
      <c r="BG350" s="255">
        <f t="shared" si="160"/>
        <v>0</v>
      </c>
      <c r="BH350" s="31">
        <f t="shared" si="161"/>
        <v>0</v>
      </c>
      <c r="BI350" s="255">
        <f t="shared" si="162"/>
        <v>0</v>
      </c>
      <c r="BJ350" s="31">
        <f t="shared" si="163"/>
        <v>0</v>
      </c>
      <c r="BK350" s="31">
        <f t="shared" si="164"/>
        <v>0</v>
      </c>
      <c r="BL350" s="255">
        <f t="shared" si="165"/>
        <v>0</v>
      </c>
      <c r="BM350" s="31">
        <f t="shared" si="166"/>
        <v>0</v>
      </c>
      <c r="BN350" s="255">
        <f t="shared" si="167"/>
        <v>0</v>
      </c>
    </row>
    <row r="351" spans="1:66" x14ac:dyDescent="0.25">
      <c r="A351" s="18" t="s">
        <v>1830</v>
      </c>
      <c r="B351" s="186" t="str">
        <f>VLOOKUP(A351,kurspris!$A$1:$B$877,2,FALSE)</f>
        <v>Människans språk: Lingvistik för lärare</v>
      </c>
      <c r="C351" s="37"/>
      <c r="D351" t="s">
        <v>117</v>
      </c>
      <c r="E351"/>
      <c r="F351" s="59" t="s">
        <v>1931</v>
      </c>
      <c r="G351"/>
      <c r="H351"/>
      <c r="I351" t="s">
        <v>2066</v>
      </c>
      <c r="L351">
        <v>50</v>
      </c>
      <c r="M351">
        <v>15</v>
      </c>
      <c r="P351">
        <v>5</v>
      </c>
      <c r="Q351" s="232">
        <f t="shared" si="140"/>
        <v>1.25</v>
      </c>
      <c r="R351" s="40">
        <v>0.8</v>
      </c>
      <c r="S351" s="334">
        <f t="shared" si="141"/>
        <v>1</v>
      </c>
      <c r="T351" s="31">
        <f>VLOOKUP(A351,'Ansvar kurs'!$A$1:$C$1010,2,FALSE)</f>
        <v>1620</v>
      </c>
      <c r="U351" s="31" t="str">
        <f>VLOOKUP(T351,Orgenheter!$A$1:$C$165,2,FALSE)</f>
        <v>Inst för språkstudier</v>
      </c>
      <c r="V351" s="31" t="str">
        <f>VLOOKUP(T351,Orgenheter!$A$1:$C$165,3,FALSE)</f>
        <v>Hum</v>
      </c>
      <c r="W351" s="37" t="str">
        <f>VLOOKUP(D351,Program!$A$1:$B$34,2,FALSE)</f>
        <v>Fristående och övriga kurser</v>
      </c>
      <c r="X351" s="42">
        <f>VLOOKUP(A351,kurspris!$A$1:$Q$798,15,FALSE)</f>
        <v>18405</v>
      </c>
      <c r="Y351" s="42">
        <f>VLOOKUP(A351,kurspris!$A$1:$Q$798,16,FALSE)</f>
        <v>15773</v>
      </c>
      <c r="Z351" s="42">
        <f t="shared" si="142"/>
        <v>38779.25</v>
      </c>
      <c r="AA351" s="42">
        <f>VLOOKUP(A351,kurspris!$A$1:$Q$798,17,FALSE)</f>
        <v>5800</v>
      </c>
      <c r="AB351" s="42">
        <f t="shared" si="143"/>
        <v>7250</v>
      </c>
      <c r="AC351" s="42">
        <f t="shared" si="144"/>
        <v>46029.25</v>
      </c>
      <c r="AD351" s="31">
        <f>VLOOKUP($A351,kurspris!$A$1:$Q$835,3,FALSE)</f>
        <v>0</v>
      </c>
      <c r="AE351" s="31">
        <f>VLOOKUP($A351,kurspris!$A$1:$Q$835,4,FALSE)</f>
        <v>1</v>
      </c>
      <c r="AF351" s="31">
        <f>VLOOKUP($A351,kurspris!$A$1:$Q$835,5,FALSE)</f>
        <v>0</v>
      </c>
      <c r="AG351" s="31">
        <f>VLOOKUP($A351,kurspris!$A$1:$Q$835,6,FALSE)</f>
        <v>0</v>
      </c>
      <c r="AH351" s="31">
        <f>VLOOKUP($A351,kurspris!$A$1:$Q$835,7,FALSE)</f>
        <v>0</v>
      </c>
      <c r="AI351" s="31">
        <f>VLOOKUP($A351,kurspris!$A$1:$Q$835,8,FALSE)</f>
        <v>0</v>
      </c>
      <c r="AJ351" s="31">
        <f>VLOOKUP($A351,kurspris!$A$1:$Q$835,9,FALSE)</f>
        <v>0</v>
      </c>
      <c r="AK351" s="31">
        <f>VLOOKUP($A351,kurspris!$A$1:$Q$835,10,FALSE)</f>
        <v>0</v>
      </c>
      <c r="AL351" s="31">
        <f>VLOOKUP($A351,kurspris!$A$1:$Q$835,11,FALSE)</f>
        <v>0</v>
      </c>
      <c r="AM351" s="31">
        <f>VLOOKUP($A351,kurspris!$A$1:$Q$835,12,FALSE)</f>
        <v>0</v>
      </c>
      <c r="AN351" s="31">
        <f>VLOOKUP($A351,kurspris!$A$1:$Q$835,13,FALSE)</f>
        <v>0</v>
      </c>
      <c r="AO351" s="31">
        <f>VLOOKUP($A351,kurspris!$A$1:$Q$835,14,FALSE)</f>
        <v>0</v>
      </c>
      <c r="AP351" s="39" t="s">
        <v>2095</v>
      </c>
      <c r="AQ351"/>
      <c r="AR351" s="31">
        <f t="shared" si="145"/>
        <v>0</v>
      </c>
      <c r="AS351" s="255">
        <f t="shared" si="146"/>
        <v>0</v>
      </c>
      <c r="AT351" s="31">
        <f t="shared" si="147"/>
        <v>1.25</v>
      </c>
      <c r="AU351" s="255">
        <f t="shared" si="148"/>
        <v>1</v>
      </c>
      <c r="AV351" s="31">
        <f t="shared" si="149"/>
        <v>0</v>
      </c>
      <c r="AW351" s="31">
        <f t="shared" si="150"/>
        <v>0</v>
      </c>
      <c r="AX351" s="31">
        <f t="shared" si="151"/>
        <v>0</v>
      </c>
      <c r="AY351" s="255">
        <f t="shared" si="152"/>
        <v>0</v>
      </c>
      <c r="AZ351" s="232">
        <f t="shared" si="153"/>
        <v>0</v>
      </c>
      <c r="BA351" s="255">
        <f t="shared" si="154"/>
        <v>0</v>
      </c>
      <c r="BB351" s="31">
        <f t="shared" si="155"/>
        <v>0</v>
      </c>
      <c r="BC351" s="255">
        <f t="shared" si="156"/>
        <v>0</v>
      </c>
      <c r="BD351" s="31">
        <f t="shared" si="157"/>
        <v>0</v>
      </c>
      <c r="BE351" s="255">
        <f t="shared" si="158"/>
        <v>0</v>
      </c>
      <c r="BF351" s="31">
        <f t="shared" si="159"/>
        <v>0</v>
      </c>
      <c r="BG351" s="255">
        <f t="shared" si="160"/>
        <v>0</v>
      </c>
      <c r="BH351" s="31">
        <f t="shared" si="161"/>
        <v>0</v>
      </c>
      <c r="BI351" s="255">
        <f t="shared" si="162"/>
        <v>0</v>
      </c>
      <c r="BJ351" s="31">
        <f t="shared" si="163"/>
        <v>0</v>
      </c>
      <c r="BK351" s="31">
        <f t="shared" si="164"/>
        <v>0</v>
      </c>
      <c r="BL351" s="255">
        <f t="shared" si="165"/>
        <v>0</v>
      </c>
      <c r="BM351" s="31">
        <f t="shared" si="166"/>
        <v>0</v>
      </c>
      <c r="BN351" s="255">
        <f t="shared" si="167"/>
        <v>0</v>
      </c>
    </row>
    <row r="352" spans="1:66" x14ac:dyDescent="0.25">
      <c r="A352" s="18" t="s">
        <v>1972</v>
      </c>
      <c r="B352" s="186" t="str">
        <f>VLOOKUP(A352,kurspris!$A$1:$B$877,2,FALSE)</f>
        <v>Specialpedagogik med fokus på svenska och matematik för F-3</v>
      </c>
      <c r="C352" s="37"/>
      <c r="D352" s="31" t="s">
        <v>486</v>
      </c>
      <c r="E352" s="31" t="s">
        <v>1976</v>
      </c>
      <c r="F352" s="59" t="s">
        <v>1931</v>
      </c>
      <c r="G352" s="31" t="s">
        <v>2270</v>
      </c>
      <c r="L352" s="31">
        <v>100</v>
      </c>
      <c r="M352" s="31">
        <v>15</v>
      </c>
      <c r="P352" s="31">
        <v>1</v>
      </c>
      <c r="Q352" s="232">
        <f t="shared" si="140"/>
        <v>0.25</v>
      </c>
      <c r="R352" s="40">
        <v>0.85</v>
      </c>
      <c r="S352" s="334">
        <f t="shared" si="141"/>
        <v>0.21249999999999999</v>
      </c>
      <c r="T352" s="31">
        <f>VLOOKUP(A352,'Ansvar kurs'!$A$1:$C$1010,2,FALSE)</f>
        <v>1620</v>
      </c>
      <c r="U352" s="31" t="str">
        <f>VLOOKUP(T352,Orgenheter!$A$1:$C$165,2,FALSE)</f>
        <v>Inst för språkstudier</v>
      </c>
      <c r="V352" s="31" t="str">
        <f>VLOOKUP(T352,Orgenheter!$A$1:$C$165,3,FALSE)</f>
        <v>Hum</v>
      </c>
      <c r="W352" s="37" t="str">
        <f>VLOOKUP(D352,Program!$A$1:$B$34,2,FALSE)</f>
        <v>Grundlärarprogrammet - förskoleklass och åk 1-3</v>
      </c>
      <c r="X352" s="42">
        <f>VLOOKUP(A352,kurspris!$A$1:$Q$798,15,FALSE)</f>
        <v>18405</v>
      </c>
      <c r="Y352" s="42">
        <f>VLOOKUP(A352,kurspris!$A$1:$Q$798,16,FALSE)</f>
        <v>15773</v>
      </c>
      <c r="Z352" s="42">
        <f t="shared" si="142"/>
        <v>7953.0124999999998</v>
      </c>
      <c r="AA352" s="42">
        <f>VLOOKUP(A352,kurspris!$A$1:$Q$798,17,FALSE)</f>
        <v>5800</v>
      </c>
      <c r="AB352" s="42">
        <f t="shared" si="143"/>
        <v>1450</v>
      </c>
      <c r="AC352" s="42">
        <f t="shared" si="144"/>
        <v>9403.0125000000007</v>
      </c>
      <c r="AD352" s="31">
        <f>VLOOKUP($A352,kurspris!$A$1:$Q$835,3,FALSE)</f>
        <v>0</v>
      </c>
      <c r="AE352" s="31">
        <f>VLOOKUP($A352,kurspris!$A$1:$Q$835,4,FALSE)</f>
        <v>1</v>
      </c>
      <c r="AF352" s="31">
        <f>VLOOKUP($A352,kurspris!$A$1:$Q$835,5,FALSE)</f>
        <v>0</v>
      </c>
      <c r="AG352" s="31">
        <f>VLOOKUP($A352,kurspris!$A$1:$Q$835,6,FALSE)</f>
        <v>0</v>
      </c>
      <c r="AH352" s="31">
        <f>VLOOKUP($A352,kurspris!$A$1:$Q$835,7,FALSE)</f>
        <v>0</v>
      </c>
      <c r="AI352" s="31">
        <f>VLOOKUP($A352,kurspris!$A$1:$Q$835,8,FALSE)</f>
        <v>0</v>
      </c>
      <c r="AJ352" s="31">
        <f>VLOOKUP($A352,kurspris!$A$1:$Q$835,9,FALSE)</f>
        <v>0</v>
      </c>
      <c r="AK352" s="31">
        <f>VLOOKUP($A352,kurspris!$A$1:$Q$835,10,FALSE)</f>
        <v>0</v>
      </c>
      <c r="AL352" s="31">
        <f>VLOOKUP($A352,kurspris!$A$1:$Q$835,11,FALSE)</f>
        <v>0</v>
      </c>
      <c r="AM352" s="31">
        <f>VLOOKUP($A352,kurspris!$A$1:$Q$835,12,FALSE)</f>
        <v>0</v>
      </c>
      <c r="AN352" s="31">
        <f>VLOOKUP($A352,kurspris!$A$1:$Q$835,13,FALSE)</f>
        <v>0</v>
      </c>
      <c r="AO352" s="31">
        <f>VLOOKUP($A352,kurspris!$A$1:$Q$835,14,FALSE)</f>
        <v>0</v>
      </c>
      <c r="AP352" s="39" t="s">
        <v>2326</v>
      </c>
      <c r="AQ352"/>
      <c r="AR352" s="31">
        <f t="shared" si="145"/>
        <v>0</v>
      </c>
      <c r="AS352" s="255">
        <f t="shared" si="146"/>
        <v>0</v>
      </c>
      <c r="AT352" s="31">
        <f t="shared" si="147"/>
        <v>0.25</v>
      </c>
      <c r="AU352" s="255">
        <f t="shared" si="148"/>
        <v>0.21249999999999999</v>
      </c>
      <c r="AV352" s="31">
        <f t="shared" si="149"/>
        <v>0</v>
      </c>
      <c r="AW352" s="31">
        <f t="shared" si="150"/>
        <v>0</v>
      </c>
      <c r="AX352" s="31">
        <f t="shared" si="151"/>
        <v>0</v>
      </c>
      <c r="AY352" s="255">
        <f t="shared" si="152"/>
        <v>0</v>
      </c>
      <c r="AZ352" s="232">
        <f t="shared" si="153"/>
        <v>0</v>
      </c>
      <c r="BA352" s="255">
        <f t="shared" si="154"/>
        <v>0</v>
      </c>
      <c r="BB352" s="31">
        <f t="shared" si="155"/>
        <v>0</v>
      </c>
      <c r="BC352" s="255">
        <f t="shared" si="156"/>
        <v>0</v>
      </c>
      <c r="BD352" s="31">
        <f t="shared" si="157"/>
        <v>0</v>
      </c>
      <c r="BE352" s="255">
        <f t="shared" si="158"/>
        <v>0</v>
      </c>
      <c r="BF352" s="31">
        <f t="shared" si="159"/>
        <v>0</v>
      </c>
      <c r="BG352" s="255">
        <f t="shared" si="160"/>
        <v>0</v>
      </c>
      <c r="BH352" s="31">
        <f t="shared" si="161"/>
        <v>0</v>
      </c>
      <c r="BI352" s="255">
        <f t="shared" si="162"/>
        <v>0</v>
      </c>
      <c r="BJ352" s="31">
        <f t="shared" si="163"/>
        <v>0</v>
      </c>
      <c r="BK352" s="31">
        <f t="shared" si="164"/>
        <v>0</v>
      </c>
      <c r="BL352" s="255">
        <f t="shared" si="165"/>
        <v>0</v>
      </c>
      <c r="BM352" s="31">
        <f t="shared" si="166"/>
        <v>0</v>
      </c>
      <c r="BN352" s="255">
        <f t="shared" si="167"/>
        <v>0</v>
      </c>
    </row>
    <row r="353" spans="1:66" x14ac:dyDescent="0.25">
      <c r="A353" s="18" t="s">
        <v>1972</v>
      </c>
      <c r="B353" s="186" t="str">
        <f>VLOOKUP(A353,kurspris!$A$1:$B$877,2,FALSE)</f>
        <v>Specialpedagogik med fokus på svenska och matematik för F-3</v>
      </c>
      <c r="C353" s="37"/>
      <c r="D353" s="31" t="s">
        <v>486</v>
      </c>
      <c r="E353" s="31" t="s">
        <v>1973</v>
      </c>
      <c r="F353" s="59" t="s">
        <v>1931</v>
      </c>
      <c r="G353" s="31" t="s">
        <v>2270</v>
      </c>
      <c r="L353" s="31">
        <v>100</v>
      </c>
      <c r="M353" s="31">
        <v>15</v>
      </c>
      <c r="P353" s="31">
        <v>1</v>
      </c>
      <c r="Q353" s="232">
        <f t="shared" si="140"/>
        <v>0.25</v>
      </c>
      <c r="R353" s="40">
        <v>0.85</v>
      </c>
      <c r="S353" s="334">
        <f t="shared" si="141"/>
        <v>0.21249999999999999</v>
      </c>
      <c r="T353" s="31">
        <f>VLOOKUP(A353,'Ansvar kurs'!$A$1:$C$1010,2,FALSE)</f>
        <v>1620</v>
      </c>
      <c r="U353" s="31" t="str">
        <f>VLOOKUP(T353,Orgenheter!$A$1:$C$165,2,FALSE)</f>
        <v>Inst för språkstudier</v>
      </c>
      <c r="V353" s="31" t="str">
        <f>VLOOKUP(T353,Orgenheter!$A$1:$C$165,3,FALSE)</f>
        <v>Hum</v>
      </c>
      <c r="W353" s="37" t="str">
        <f>VLOOKUP(D353,Program!$A$1:$B$34,2,FALSE)</f>
        <v>Grundlärarprogrammet - förskoleklass och åk 1-3</v>
      </c>
      <c r="X353" s="42">
        <f>VLOOKUP(A353,kurspris!$A$1:$Q$798,15,FALSE)</f>
        <v>18405</v>
      </c>
      <c r="Y353" s="42">
        <f>VLOOKUP(A353,kurspris!$A$1:$Q$798,16,FALSE)</f>
        <v>15773</v>
      </c>
      <c r="Z353" s="42">
        <f t="shared" si="142"/>
        <v>7953.0124999999998</v>
      </c>
      <c r="AA353" s="42">
        <f>VLOOKUP(A353,kurspris!$A$1:$Q$798,17,FALSE)</f>
        <v>5800</v>
      </c>
      <c r="AB353" s="42">
        <f t="shared" si="143"/>
        <v>1450</v>
      </c>
      <c r="AC353" s="42">
        <f t="shared" si="144"/>
        <v>9403.0125000000007</v>
      </c>
      <c r="AD353" s="31">
        <f>VLOOKUP($A353,kurspris!$A$1:$Q$835,3,FALSE)</f>
        <v>0</v>
      </c>
      <c r="AE353" s="31">
        <f>VLOOKUP($A353,kurspris!$A$1:$Q$835,4,FALSE)</f>
        <v>1</v>
      </c>
      <c r="AF353" s="31">
        <f>VLOOKUP($A353,kurspris!$A$1:$Q$835,5,FALSE)</f>
        <v>0</v>
      </c>
      <c r="AG353" s="31">
        <f>VLOOKUP($A353,kurspris!$A$1:$Q$835,6,FALSE)</f>
        <v>0</v>
      </c>
      <c r="AH353" s="31">
        <f>VLOOKUP($A353,kurspris!$A$1:$Q$835,7,FALSE)</f>
        <v>0</v>
      </c>
      <c r="AI353" s="31">
        <f>VLOOKUP($A353,kurspris!$A$1:$Q$835,8,FALSE)</f>
        <v>0</v>
      </c>
      <c r="AJ353" s="31">
        <f>VLOOKUP($A353,kurspris!$A$1:$Q$835,9,FALSE)</f>
        <v>0</v>
      </c>
      <c r="AK353" s="31">
        <f>VLOOKUP($A353,kurspris!$A$1:$Q$835,10,FALSE)</f>
        <v>0</v>
      </c>
      <c r="AL353" s="31">
        <f>VLOOKUP($A353,kurspris!$A$1:$Q$835,11,FALSE)</f>
        <v>0</v>
      </c>
      <c r="AM353" s="31">
        <f>VLOOKUP($A353,kurspris!$A$1:$Q$835,12,FALSE)</f>
        <v>0</v>
      </c>
      <c r="AN353" s="31">
        <f>VLOOKUP($A353,kurspris!$A$1:$Q$835,13,FALSE)</f>
        <v>0</v>
      </c>
      <c r="AO353" s="31">
        <f>VLOOKUP($A353,kurspris!$A$1:$Q$835,14,FALSE)</f>
        <v>0</v>
      </c>
      <c r="AP353" s="39" t="s">
        <v>2326</v>
      </c>
      <c r="AQ353"/>
      <c r="AR353" s="31">
        <f t="shared" si="145"/>
        <v>0</v>
      </c>
      <c r="AS353" s="255">
        <f t="shared" si="146"/>
        <v>0</v>
      </c>
      <c r="AT353" s="31">
        <f t="shared" si="147"/>
        <v>0.25</v>
      </c>
      <c r="AU353" s="255">
        <f t="shared" si="148"/>
        <v>0.21249999999999999</v>
      </c>
      <c r="AV353" s="31">
        <f t="shared" si="149"/>
        <v>0</v>
      </c>
      <c r="AW353" s="31">
        <f t="shared" si="150"/>
        <v>0</v>
      </c>
      <c r="AX353" s="31">
        <f t="shared" si="151"/>
        <v>0</v>
      </c>
      <c r="AY353" s="255">
        <f t="shared" si="152"/>
        <v>0</v>
      </c>
      <c r="AZ353" s="232">
        <f t="shared" si="153"/>
        <v>0</v>
      </c>
      <c r="BA353" s="255">
        <f t="shared" si="154"/>
        <v>0</v>
      </c>
      <c r="BB353" s="31">
        <f t="shared" si="155"/>
        <v>0</v>
      </c>
      <c r="BC353" s="255">
        <f t="shared" si="156"/>
        <v>0</v>
      </c>
      <c r="BD353" s="31">
        <f t="shared" si="157"/>
        <v>0</v>
      </c>
      <c r="BE353" s="255">
        <f t="shared" si="158"/>
        <v>0</v>
      </c>
      <c r="BF353" s="31">
        <f t="shared" si="159"/>
        <v>0</v>
      </c>
      <c r="BG353" s="255">
        <f t="shared" si="160"/>
        <v>0</v>
      </c>
      <c r="BH353" s="31">
        <f t="shared" si="161"/>
        <v>0</v>
      </c>
      <c r="BI353" s="255">
        <f t="shared" si="162"/>
        <v>0</v>
      </c>
      <c r="BJ353" s="31">
        <f t="shared" si="163"/>
        <v>0</v>
      </c>
      <c r="BK353" s="31">
        <f t="shared" si="164"/>
        <v>0</v>
      </c>
      <c r="BL353" s="255">
        <f t="shared" si="165"/>
        <v>0</v>
      </c>
      <c r="BM353" s="31">
        <f t="shared" si="166"/>
        <v>0</v>
      </c>
      <c r="BN353" s="255">
        <f t="shared" si="167"/>
        <v>0</v>
      </c>
    </row>
    <row r="354" spans="1:66" x14ac:dyDescent="0.25">
      <c r="A354" s="59" t="s">
        <v>1972</v>
      </c>
      <c r="B354" s="186" t="str">
        <f>VLOOKUP(A354,kurspris!$A$1:$B$877,2,FALSE)</f>
        <v>Specialpedagogik med fokus på svenska och matematik för F-3</v>
      </c>
      <c r="C354" s="37"/>
      <c r="D354" s="59" t="s">
        <v>486</v>
      </c>
      <c r="E354" s="62" t="s">
        <v>1609</v>
      </c>
      <c r="F354" s="59" t="s">
        <v>1931</v>
      </c>
      <c r="G354" s="31" t="s">
        <v>2270</v>
      </c>
      <c r="L354" s="31">
        <v>100</v>
      </c>
      <c r="M354" s="378">
        <v>15</v>
      </c>
      <c r="N354" s="40"/>
      <c r="P354" s="377">
        <v>34</v>
      </c>
      <c r="Q354" s="232">
        <f t="shared" si="140"/>
        <v>8.5</v>
      </c>
      <c r="R354" s="40">
        <v>0.85</v>
      </c>
      <c r="S354" s="334">
        <f t="shared" si="141"/>
        <v>7.2249999999999996</v>
      </c>
      <c r="T354" s="31">
        <f>VLOOKUP(A354,'Ansvar kurs'!$A$1:$C$1010,2,FALSE)</f>
        <v>1620</v>
      </c>
      <c r="U354" s="31" t="str">
        <f>VLOOKUP(T354,Orgenheter!$A$1:$C$165,2,FALSE)</f>
        <v>Inst för språkstudier</v>
      </c>
      <c r="V354" s="31" t="str">
        <f>VLOOKUP(T354,Orgenheter!$A$1:$C$165,3,FALSE)</f>
        <v>Hum</v>
      </c>
      <c r="W354" s="37" t="str">
        <f>VLOOKUP(D354,Program!$A$1:$B$34,2,FALSE)</f>
        <v>Grundlärarprogrammet - förskoleklass och åk 1-3</v>
      </c>
      <c r="X354" s="42">
        <f>VLOOKUP(A354,kurspris!$A$1:$Q$798,15,FALSE)</f>
        <v>18405</v>
      </c>
      <c r="Y354" s="42">
        <f>VLOOKUP(A354,kurspris!$A$1:$Q$798,16,FALSE)</f>
        <v>15773</v>
      </c>
      <c r="Z354" s="42">
        <f t="shared" si="142"/>
        <v>270402.42499999999</v>
      </c>
      <c r="AA354" s="42">
        <f>VLOOKUP(A354,kurspris!$A$1:$Q$798,17,FALSE)</f>
        <v>5800</v>
      </c>
      <c r="AB354" s="42">
        <f t="shared" si="143"/>
        <v>49300</v>
      </c>
      <c r="AC354" s="42">
        <f t="shared" si="144"/>
        <v>319702.42499999999</v>
      </c>
      <c r="AD354" s="31">
        <f>VLOOKUP($A354,kurspris!$A$1:$Q$835,3,FALSE)</f>
        <v>0</v>
      </c>
      <c r="AE354" s="31">
        <f>VLOOKUP($A354,kurspris!$A$1:$Q$835,4,FALSE)</f>
        <v>1</v>
      </c>
      <c r="AF354" s="31">
        <f>VLOOKUP($A354,kurspris!$A$1:$Q$835,5,FALSE)</f>
        <v>0</v>
      </c>
      <c r="AG354" s="31">
        <f>VLOOKUP($A354,kurspris!$A$1:$Q$835,6,FALSE)</f>
        <v>0</v>
      </c>
      <c r="AH354" s="31">
        <f>VLOOKUP($A354,kurspris!$A$1:$Q$835,7,FALSE)</f>
        <v>0</v>
      </c>
      <c r="AI354" s="31">
        <f>VLOOKUP($A354,kurspris!$A$1:$Q$835,8,FALSE)</f>
        <v>0</v>
      </c>
      <c r="AJ354" s="31">
        <f>VLOOKUP($A354,kurspris!$A$1:$Q$835,9,FALSE)</f>
        <v>0</v>
      </c>
      <c r="AK354" s="31">
        <f>VLOOKUP($A354,kurspris!$A$1:$Q$835,10,FALSE)</f>
        <v>0</v>
      </c>
      <c r="AL354" s="31">
        <f>VLOOKUP($A354,kurspris!$A$1:$Q$835,11,FALSE)</f>
        <v>0</v>
      </c>
      <c r="AM354" s="31">
        <f>VLOOKUP($A354,kurspris!$A$1:$Q$835,12,FALSE)</f>
        <v>0</v>
      </c>
      <c r="AN354" s="31">
        <f>VLOOKUP($A354,kurspris!$A$1:$Q$835,13,FALSE)</f>
        <v>0</v>
      </c>
      <c r="AO354" s="31">
        <f>VLOOKUP($A354,kurspris!$A$1:$Q$835,14,FALSE)</f>
        <v>0</v>
      </c>
      <c r="AP354" s="39" t="s">
        <v>2326</v>
      </c>
      <c r="AQ354"/>
      <c r="AR354" s="31">
        <f t="shared" si="145"/>
        <v>0</v>
      </c>
      <c r="AS354" s="255">
        <f t="shared" si="146"/>
        <v>0</v>
      </c>
      <c r="AT354" s="31">
        <f t="shared" si="147"/>
        <v>8.5</v>
      </c>
      <c r="AU354" s="255">
        <f t="shared" si="148"/>
        <v>7.2249999999999996</v>
      </c>
      <c r="AV354" s="31">
        <f t="shared" si="149"/>
        <v>0</v>
      </c>
      <c r="AW354" s="31">
        <f t="shared" si="150"/>
        <v>0</v>
      </c>
      <c r="AX354" s="31">
        <f t="shared" si="151"/>
        <v>0</v>
      </c>
      <c r="AY354" s="255">
        <f t="shared" si="152"/>
        <v>0</v>
      </c>
      <c r="AZ354" s="232">
        <f t="shared" si="153"/>
        <v>0</v>
      </c>
      <c r="BA354" s="255">
        <f t="shared" si="154"/>
        <v>0</v>
      </c>
      <c r="BB354" s="31">
        <f t="shared" si="155"/>
        <v>0</v>
      </c>
      <c r="BC354" s="255">
        <f t="shared" si="156"/>
        <v>0</v>
      </c>
      <c r="BD354" s="31">
        <f t="shared" si="157"/>
        <v>0</v>
      </c>
      <c r="BE354" s="255">
        <f t="shared" si="158"/>
        <v>0</v>
      </c>
      <c r="BF354" s="31">
        <f t="shared" si="159"/>
        <v>0</v>
      </c>
      <c r="BG354" s="255">
        <f t="shared" si="160"/>
        <v>0</v>
      </c>
      <c r="BH354" s="31">
        <f t="shared" si="161"/>
        <v>0</v>
      </c>
      <c r="BI354" s="255">
        <f t="shared" si="162"/>
        <v>0</v>
      </c>
      <c r="BJ354" s="31">
        <f t="shared" si="163"/>
        <v>0</v>
      </c>
      <c r="BK354" s="31">
        <f t="shared" si="164"/>
        <v>0</v>
      </c>
      <c r="BL354" s="255">
        <f t="shared" si="165"/>
        <v>0</v>
      </c>
      <c r="BM354" s="31">
        <f t="shared" si="166"/>
        <v>0</v>
      </c>
      <c r="BN354" s="255">
        <f t="shared" si="167"/>
        <v>0</v>
      </c>
    </row>
    <row r="355" spans="1:66" x14ac:dyDescent="0.25">
      <c r="A355" t="s">
        <v>470</v>
      </c>
      <c r="B355" s="186" t="str">
        <f>VLOOKUP(A355,kurspris!$A$1:$B$877,2,FALSE)</f>
        <v>Demokrati, individ och samhälle</v>
      </c>
      <c r="C355"/>
      <c r="D355" t="s">
        <v>629</v>
      </c>
      <c r="E355" t="s">
        <v>1788</v>
      </c>
      <c r="F355" s="39" t="s">
        <v>1930</v>
      </c>
      <c r="G355" t="s">
        <v>2124</v>
      </c>
      <c r="H355" t="s">
        <v>1910</v>
      </c>
      <c r="I355"/>
      <c r="J355"/>
      <c r="K355"/>
      <c r="L355">
        <v>50</v>
      </c>
      <c r="M355" s="295">
        <v>5</v>
      </c>
      <c r="N355"/>
      <c r="O355"/>
      <c r="P355" s="31">
        <v>16</v>
      </c>
      <c r="Q355" s="232">
        <f t="shared" si="140"/>
        <v>1.3333333333333333</v>
      </c>
      <c r="R355" s="40">
        <v>0.85</v>
      </c>
      <c r="S355" s="334">
        <f t="shared" si="141"/>
        <v>1.1333333333333333</v>
      </c>
      <c r="T355" s="31">
        <f>VLOOKUP(A355,'Ansvar kurs'!$A$1:$C$1010,2,FALSE)</f>
        <v>1630</v>
      </c>
      <c r="U355" s="31" t="str">
        <f>VLOOKUP(T355,Orgenheter!$A$1:$C$165,2,FALSE)</f>
        <v>Inst för ide- o samhällsstudier</v>
      </c>
      <c r="V355" s="31" t="str">
        <f>VLOOKUP(T355,Orgenheter!$A$1:$C$165,3,FALSE)</f>
        <v>Hum</v>
      </c>
      <c r="W355" s="37" t="str">
        <f>VLOOKUP(D355,Program!$A$1:$B$34,2,FALSE)</f>
        <v>KPU - åk 7-9</v>
      </c>
      <c r="X355" s="42">
        <f>VLOOKUP(A355,kurspris!$A$1:$Q$798,15,FALSE)</f>
        <v>23641</v>
      </c>
      <c r="Y355" s="42">
        <f>VLOOKUP(A355,kurspris!$A$1:$Q$798,16,FALSE)</f>
        <v>28786</v>
      </c>
      <c r="Z355" s="42">
        <f t="shared" si="142"/>
        <v>64145.46666666666</v>
      </c>
      <c r="AA355" s="42">
        <f>VLOOKUP(A355,kurspris!$A$1:$Q$798,17,FALSE)</f>
        <v>5800</v>
      </c>
      <c r="AB355" s="42">
        <f t="shared" si="143"/>
        <v>7733.333333333333</v>
      </c>
      <c r="AC355" s="42">
        <f t="shared" si="144"/>
        <v>71878.799999999988</v>
      </c>
      <c r="AD355" s="31">
        <f>VLOOKUP($A355,kurspris!$A$1:$Q$835,3,FALSE)</f>
        <v>0</v>
      </c>
      <c r="AE355" s="31">
        <f>VLOOKUP($A355,kurspris!$A$1:$Q$835,4,FALSE)</f>
        <v>0</v>
      </c>
      <c r="AF355" s="31">
        <f>VLOOKUP($A355,kurspris!$A$1:$Q$835,5,FALSE)</f>
        <v>0</v>
      </c>
      <c r="AG355" s="31">
        <f>VLOOKUP($A355,kurspris!$A$1:$Q$835,6,FALSE)</f>
        <v>1</v>
      </c>
      <c r="AH355" s="31">
        <f>VLOOKUP($A355,kurspris!$A$1:$Q$835,7,FALSE)</f>
        <v>0</v>
      </c>
      <c r="AI355" s="31">
        <f>VLOOKUP($A355,kurspris!$A$1:$Q$835,8,FALSE)</f>
        <v>0</v>
      </c>
      <c r="AJ355" s="31">
        <f>VLOOKUP($A355,kurspris!$A$1:$Q$835,9,FALSE)</f>
        <v>0</v>
      </c>
      <c r="AK355" s="31">
        <f>VLOOKUP($A355,kurspris!$A$1:$Q$835,10,FALSE)</f>
        <v>0</v>
      </c>
      <c r="AL355" s="31">
        <f>VLOOKUP($A355,kurspris!$A$1:$Q$835,11,FALSE)</f>
        <v>0</v>
      </c>
      <c r="AM355" s="31">
        <f>VLOOKUP($A355,kurspris!$A$1:$Q$835,12,FALSE)</f>
        <v>0</v>
      </c>
      <c r="AN355" s="31">
        <f>VLOOKUP($A355,kurspris!$A$1:$Q$835,13,FALSE)</f>
        <v>0</v>
      </c>
      <c r="AO355" s="31">
        <f>VLOOKUP($A355,kurspris!$A$1:$Q$835,14,FALSE)</f>
        <v>0</v>
      </c>
      <c r="AP355" s="39" t="s">
        <v>2204</v>
      </c>
      <c r="AQ355" s="39" t="s">
        <v>1628</v>
      </c>
      <c r="AR355" s="31">
        <f t="shared" si="145"/>
        <v>0</v>
      </c>
      <c r="AS355" s="255">
        <f t="shared" si="146"/>
        <v>0</v>
      </c>
      <c r="AT355" s="31">
        <f t="shared" si="147"/>
        <v>0</v>
      </c>
      <c r="AU355" s="255">
        <f t="shared" si="148"/>
        <v>0</v>
      </c>
      <c r="AV355" s="31">
        <f t="shared" si="149"/>
        <v>0</v>
      </c>
      <c r="AW355" s="31">
        <f t="shared" si="150"/>
        <v>0</v>
      </c>
      <c r="AX355" s="31">
        <f t="shared" si="151"/>
        <v>1.3333333333333333</v>
      </c>
      <c r="AY355" s="255">
        <f t="shared" si="152"/>
        <v>1.1333333333333333</v>
      </c>
      <c r="AZ355" s="232">
        <f t="shared" si="153"/>
        <v>0</v>
      </c>
      <c r="BA355" s="255">
        <f t="shared" si="154"/>
        <v>0</v>
      </c>
      <c r="BB355" s="31">
        <f t="shared" si="155"/>
        <v>0</v>
      </c>
      <c r="BC355" s="255">
        <f t="shared" si="156"/>
        <v>0</v>
      </c>
      <c r="BD355" s="31">
        <f t="shared" si="157"/>
        <v>0</v>
      </c>
      <c r="BE355" s="255">
        <f t="shared" si="158"/>
        <v>0</v>
      </c>
      <c r="BF355" s="31">
        <f t="shared" si="159"/>
        <v>0</v>
      </c>
      <c r="BG355" s="255">
        <f t="shared" si="160"/>
        <v>0</v>
      </c>
      <c r="BH355" s="31">
        <f t="shared" si="161"/>
        <v>0</v>
      </c>
      <c r="BI355" s="255">
        <f t="shared" si="162"/>
        <v>0</v>
      </c>
      <c r="BJ355" s="31">
        <f t="shared" si="163"/>
        <v>0</v>
      </c>
      <c r="BK355" s="31">
        <f t="shared" si="164"/>
        <v>0</v>
      </c>
      <c r="BL355" s="255">
        <f t="shared" si="165"/>
        <v>0</v>
      </c>
      <c r="BM355" s="31">
        <f t="shared" si="166"/>
        <v>0</v>
      </c>
      <c r="BN355" s="255">
        <f t="shared" si="167"/>
        <v>0</v>
      </c>
    </row>
    <row r="356" spans="1:66" x14ac:dyDescent="0.25">
      <c r="A356" s="18" t="s">
        <v>470</v>
      </c>
      <c r="B356" s="186" t="str">
        <f>VLOOKUP(A356,kurspris!$A$1:$B$877,2,FALSE)</f>
        <v>Demokrati, individ och samhälle</v>
      </c>
      <c r="C356" s="37"/>
      <c r="D356" s="31" t="s">
        <v>629</v>
      </c>
      <c r="E356" s="31" t="s">
        <v>1931</v>
      </c>
      <c r="F356" s="59" t="s">
        <v>1931</v>
      </c>
      <c r="G356" s="295" t="s">
        <v>2297</v>
      </c>
      <c r="J356" t="s">
        <v>2303</v>
      </c>
      <c r="L356" s="31">
        <v>50</v>
      </c>
      <c r="M356" s="31">
        <v>5</v>
      </c>
      <c r="P356" s="31">
        <v>18</v>
      </c>
      <c r="Q356" s="232">
        <f t="shared" si="140"/>
        <v>1.5</v>
      </c>
      <c r="R356" s="40">
        <v>0.85</v>
      </c>
      <c r="S356" s="334">
        <f t="shared" si="141"/>
        <v>1.2749999999999999</v>
      </c>
      <c r="T356" s="31">
        <f>VLOOKUP(A356,'Ansvar kurs'!$A$1:$C$1010,2,FALSE)</f>
        <v>1630</v>
      </c>
      <c r="U356" s="31" t="str">
        <f>VLOOKUP(T356,Orgenheter!$A$1:$C$165,2,FALSE)</f>
        <v>Inst för ide- o samhällsstudier</v>
      </c>
      <c r="V356" s="31" t="str">
        <f>VLOOKUP(T356,Orgenheter!$A$1:$C$165,3,FALSE)</f>
        <v>Hum</v>
      </c>
      <c r="W356" s="37" t="str">
        <f>VLOOKUP(D356,Program!$A$1:$B$34,2,FALSE)</f>
        <v>KPU - åk 7-9</v>
      </c>
      <c r="X356" s="42">
        <f>VLOOKUP(A356,kurspris!$A$1:$Q$798,15,FALSE)</f>
        <v>23641</v>
      </c>
      <c r="Y356" s="42">
        <f>VLOOKUP(A356,kurspris!$A$1:$Q$798,16,FALSE)</f>
        <v>28786</v>
      </c>
      <c r="Z356" s="42">
        <f t="shared" si="142"/>
        <v>72163.649999999994</v>
      </c>
      <c r="AA356" s="42">
        <f>VLOOKUP(A356,kurspris!$A$1:$Q$798,17,FALSE)</f>
        <v>5800</v>
      </c>
      <c r="AB356" s="42">
        <f t="shared" si="143"/>
        <v>8700</v>
      </c>
      <c r="AC356" s="42">
        <f t="shared" si="144"/>
        <v>80863.649999999994</v>
      </c>
      <c r="AD356" s="31">
        <f>VLOOKUP($A356,kurspris!$A$1:$Q$835,3,FALSE)</f>
        <v>0</v>
      </c>
      <c r="AE356" s="31">
        <f>VLOOKUP($A356,kurspris!$A$1:$Q$835,4,FALSE)</f>
        <v>0</v>
      </c>
      <c r="AF356" s="31">
        <f>VLOOKUP($A356,kurspris!$A$1:$Q$835,5,FALSE)</f>
        <v>0</v>
      </c>
      <c r="AG356" s="31">
        <f>VLOOKUP($A356,kurspris!$A$1:$Q$835,6,FALSE)</f>
        <v>1</v>
      </c>
      <c r="AH356" s="31">
        <f>VLOOKUP($A356,kurspris!$A$1:$Q$835,7,FALSE)</f>
        <v>0</v>
      </c>
      <c r="AI356" s="31">
        <f>VLOOKUP($A356,kurspris!$A$1:$Q$835,8,FALSE)</f>
        <v>0</v>
      </c>
      <c r="AJ356" s="31">
        <f>VLOOKUP($A356,kurspris!$A$1:$Q$835,9,FALSE)</f>
        <v>0</v>
      </c>
      <c r="AK356" s="31">
        <f>VLOOKUP($A356,kurspris!$A$1:$Q$835,10,FALSE)</f>
        <v>0</v>
      </c>
      <c r="AL356" s="31">
        <f>VLOOKUP($A356,kurspris!$A$1:$Q$835,11,FALSE)</f>
        <v>0</v>
      </c>
      <c r="AM356" s="31">
        <f>VLOOKUP($A356,kurspris!$A$1:$Q$835,12,FALSE)</f>
        <v>0</v>
      </c>
      <c r="AN356" s="31">
        <f>VLOOKUP($A356,kurspris!$A$1:$Q$835,13,FALSE)</f>
        <v>0</v>
      </c>
      <c r="AO356" s="31">
        <f>VLOOKUP($A356,kurspris!$A$1:$Q$835,14,FALSE)</f>
        <v>0</v>
      </c>
      <c r="AP356" s="39" t="s">
        <v>2326</v>
      </c>
      <c r="AQ356" t="s">
        <v>1628</v>
      </c>
      <c r="AR356" s="31">
        <f t="shared" si="145"/>
        <v>0</v>
      </c>
      <c r="AS356" s="255">
        <f t="shared" si="146"/>
        <v>0</v>
      </c>
      <c r="AT356" s="31">
        <f t="shared" si="147"/>
        <v>0</v>
      </c>
      <c r="AU356" s="255">
        <f t="shared" si="148"/>
        <v>0</v>
      </c>
      <c r="AV356" s="31">
        <f t="shared" si="149"/>
        <v>0</v>
      </c>
      <c r="AW356" s="31">
        <f t="shared" si="150"/>
        <v>0</v>
      </c>
      <c r="AX356" s="31">
        <f t="shared" si="151"/>
        <v>1.5</v>
      </c>
      <c r="AY356" s="255">
        <f t="shared" si="152"/>
        <v>1.2749999999999999</v>
      </c>
      <c r="AZ356" s="232">
        <f t="shared" si="153"/>
        <v>0</v>
      </c>
      <c r="BA356" s="255">
        <f t="shared" si="154"/>
        <v>0</v>
      </c>
      <c r="BB356" s="31">
        <f t="shared" si="155"/>
        <v>0</v>
      </c>
      <c r="BC356" s="255">
        <f t="shared" si="156"/>
        <v>0</v>
      </c>
      <c r="BD356" s="31">
        <f t="shared" si="157"/>
        <v>0</v>
      </c>
      <c r="BE356" s="255">
        <f t="shared" si="158"/>
        <v>0</v>
      </c>
      <c r="BF356" s="31">
        <f t="shared" si="159"/>
        <v>0</v>
      </c>
      <c r="BG356" s="255">
        <f t="shared" si="160"/>
        <v>0</v>
      </c>
      <c r="BH356" s="31">
        <f t="shared" si="161"/>
        <v>0</v>
      </c>
      <c r="BI356" s="255">
        <f t="shared" si="162"/>
        <v>0</v>
      </c>
      <c r="BJ356" s="31">
        <f t="shared" si="163"/>
        <v>0</v>
      </c>
      <c r="BK356" s="31">
        <f t="shared" si="164"/>
        <v>0</v>
      </c>
      <c r="BL356" s="255">
        <f t="shared" si="165"/>
        <v>0</v>
      </c>
      <c r="BM356" s="31">
        <f t="shared" si="166"/>
        <v>0</v>
      </c>
      <c r="BN356" s="255">
        <f t="shared" si="167"/>
        <v>0</v>
      </c>
    </row>
    <row r="357" spans="1:66" x14ac:dyDescent="0.25">
      <c r="A357" s="59" t="s">
        <v>470</v>
      </c>
      <c r="B357" s="186" t="str">
        <f>VLOOKUP(A357,kurspris!$A$1:$B$877,2,FALSE)</f>
        <v>Demokrati, individ och samhälle</v>
      </c>
      <c r="C357" s="37"/>
      <c r="D357" s="59" t="s">
        <v>629</v>
      </c>
      <c r="E357" s="62" t="s">
        <v>2262</v>
      </c>
      <c r="F357" s="59" t="s">
        <v>1931</v>
      </c>
      <c r="G357" s="295" t="s">
        <v>2297</v>
      </c>
      <c r="I357" s="62"/>
      <c r="J357" t="s">
        <v>2303</v>
      </c>
      <c r="L357" s="31">
        <v>50</v>
      </c>
      <c r="M357" s="378">
        <v>5</v>
      </c>
      <c r="N357" s="40"/>
      <c r="P357" s="377">
        <v>1</v>
      </c>
      <c r="Q357" s="232">
        <f t="shared" si="140"/>
        <v>8.3333333333333329E-2</v>
      </c>
      <c r="R357" s="40">
        <v>0.85</v>
      </c>
      <c r="S357" s="334">
        <f t="shared" si="141"/>
        <v>7.0833333333333331E-2</v>
      </c>
      <c r="T357" s="31">
        <f>VLOOKUP(A357,'Ansvar kurs'!$A$1:$C$1010,2,FALSE)</f>
        <v>1630</v>
      </c>
      <c r="U357" s="31" t="str">
        <f>VLOOKUP(T357,Orgenheter!$A$1:$C$165,2,FALSE)</f>
        <v>Inst för ide- o samhällsstudier</v>
      </c>
      <c r="V357" s="31" t="str">
        <f>VLOOKUP(T357,Orgenheter!$A$1:$C$165,3,FALSE)</f>
        <v>Hum</v>
      </c>
      <c r="W357" s="37" t="str">
        <f>VLOOKUP(D357,Program!$A$1:$B$34,2,FALSE)</f>
        <v>KPU - åk 7-9</v>
      </c>
      <c r="X357" s="42">
        <f>VLOOKUP(A357,kurspris!$A$1:$Q$798,15,FALSE)</f>
        <v>23641</v>
      </c>
      <c r="Y357" s="42">
        <f>VLOOKUP(A357,kurspris!$A$1:$Q$798,16,FALSE)</f>
        <v>28786</v>
      </c>
      <c r="Z357" s="42">
        <f t="shared" si="142"/>
        <v>4009.0916666666662</v>
      </c>
      <c r="AA357" s="42">
        <f>VLOOKUP(A357,kurspris!$A$1:$Q$798,17,FALSE)</f>
        <v>5800</v>
      </c>
      <c r="AB357" s="42">
        <f t="shared" si="143"/>
        <v>483.33333333333331</v>
      </c>
      <c r="AC357" s="42">
        <f t="shared" si="144"/>
        <v>4492.4249999999993</v>
      </c>
      <c r="AD357" s="31">
        <f>VLOOKUP($A357,kurspris!$A$1:$Q$835,3,FALSE)</f>
        <v>0</v>
      </c>
      <c r="AE357" s="31">
        <f>VLOOKUP($A357,kurspris!$A$1:$Q$835,4,FALSE)</f>
        <v>0</v>
      </c>
      <c r="AF357" s="31">
        <f>VLOOKUP($A357,kurspris!$A$1:$Q$835,5,FALSE)</f>
        <v>0</v>
      </c>
      <c r="AG357" s="31">
        <f>VLOOKUP($A357,kurspris!$A$1:$Q$835,6,FALSE)</f>
        <v>1</v>
      </c>
      <c r="AH357" s="31">
        <f>VLOOKUP($A357,kurspris!$A$1:$Q$835,7,FALSE)</f>
        <v>0</v>
      </c>
      <c r="AI357" s="31">
        <f>VLOOKUP($A357,kurspris!$A$1:$Q$835,8,FALSE)</f>
        <v>0</v>
      </c>
      <c r="AJ357" s="31">
        <f>VLOOKUP($A357,kurspris!$A$1:$Q$835,9,FALSE)</f>
        <v>0</v>
      </c>
      <c r="AK357" s="31">
        <f>VLOOKUP($A357,kurspris!$A$1:$Q$835,10,FALSE)</f>
        <v>0</v>
      </c>
      <c r="AL357" s="31">
        <f>VLOOKUP($A357,kurspris!$A$1:$Q$835,11,FALSE)</f>
        <v>0</v>
      </c>
      <c r="AM357" s="31">
        <f>VLOOKUP($A357,kurspris!$A$1:$Q$835,12,FALSE)</f>
        <v>0</v>
      </c>
      <c r="AN357" s="31">
        <f>VLOOKUP($A357,kurspris!$A$1:$Q$835,13,FALSE)</f>
        <v>0</v>
      </c>
      <c r="AO357" s="31">
        <f>VLOOKUP($A357,kurspris!$A$1:$Q$835,14,FALSE)</f>
        <v>0</v>
      </c>
      <c r="AP357" s="39" t="s">
        <v>2326</v>
      </c>
      <c r="AQ357" t="s">
        <v>1628</v>
      </c>
      <c r="AR357" s="31">
        <f t="shared" si="145"/>
        <v>0</v>
      </c>
      <c r="AS357" s="255">
        <f t="shared" si="146"/>
        <v>0</v>
      </c>
      <c r="AT357" s="31">
        <f t="shared" si="147"/>
        <v>0</v>
      </c>
      <c r="AU357" s="255">
        <f t="shared" si="148"/>
        <v>0</v>
      </c>
      <c r="AV357" s="31">
        <f t="shared" si="149"/>
        <v>0</v>
      </c>
      <c r="AW357" s="31">
        <f t="shared" si="150"/>
        <v>0</v>
      </c>
      <c r="AX357" s="31">
        <f t="shared" si="151"/>
        <v>8.3333333333333329E-2</v>
      </c>
      <c r="AY357" s="255">
        <f t="shared" si="152"/>
        <v>7.0833333333333331E-2</v>
      </c>
      <c r="AZ357" s="232">
        <f t="shared" si="153"/>
        <v>0</v>
      </c>
      <c r="BA357" s="255">
        <f t="shared" si="154"/>
        <v>0</v>
      </c>
      <c r="BB357" s="31">
        <f t="shared" si="155"/>
        <v>0</v>
      </c>
      <c r="BC357" s="255">
        <f t="shared" si="156"/>
        <v>0</v>
      </c>
      <c r="BD357" s="31">
        <f t="shared" si="157"/>
        <v>0</v>
      </c>
      <c r="BE357" s="255">
        <f t="shared" si="158"/>
        <v>0</v>
      </c>
      <c r="BF357" s="31">
        <f t="shared" si="159"/>
        <v>0</v>
      </c>
      <c r="BG357" s="255">
        <f t="shared" si="160"/>
        <v>0</v>
      </c>
      <c r="BH357" s="31">
        <f t="shared" si="161"/>
        <v>0</v>
      </c>
      <c r="BI357" s="255">
        <f t="shared" si="162"/>
        <v>0</v>
      </c>
      <c r="BJ357" s="31">
        <f t="shared" si="163"/>
        <v>0</v>
      </c>
      <c r="BK357" s="31">
        <f t="shared" si="164"/>
        <v>0</v>
      </c>
      <c r="BL357" s="255">
        <f t="shared" si="165"/>
        <v>0</v>
      </c>
      <c r="BM357" s="31">
        <f t="shared" si="166"/>
        <v>0</v>
      </c>
      <c r="BN357" s="255">
        <f t="shared" si="167"/>
        <v>0</v>
      </c>
    </row>
    <row r="358" spans="1:66" x14ac:dyDescent="0.25">
      <c r="A358" t="s">
        <v>470</v>
      </c>
      <c r="B358" s="186" t="str">
        <f>VLOOKUP(A358,kurspris!$A$1:$B$877,2,FALSE)</f>
        <v>Demokrati, individ och samhälle</v>
      </c>
      <c r="C358"/>
      <c r="D358" t="s">
        <v>630</v>
      </c>
      <c r="E358" t="s">
        <v>1788</v>
      </c>
      <c r="F358" s="39" t="s">
        <v>1930</v>
      </c>
      <c r="G358" t="s">
        <v>2124</v>
      </c>
      <c r="H358" t="s">
        <v>1910</v>
      </c>
      <c r="I358"/>
      <c r="J358"/>
      <c r="K358"/>
      <c r="L358">
        <v>50</v>
      </c>
      <c r="M358" s="295">
        <v>5</v>
      </c>
      <c r="N358"/>
      <c r="O358"/>
      <c r="P358" s="31">
        <v>8</v>
      </c>
      <c r="Q358" s="232">
        <f t="shared" si="140"/>
        <v>0.66666666666666663</v>
      </c>
      <c r="R358" s="40">
        <v>0.85</v>
      </c>
      <c r="S358" s="334">
        <f t="shared" si="141"/>
        <v>0.56666666666666665</v>
      </c>
      <c r="T358" s="31">
        <f>VLOOKUP(A358,'Ansvar kurs'!$A$1:$C$1010,2,FALSE)</f>
        <v>1630</v>
      </c>
      <c r="U358" s="31" t="str">
        <f>VLOOKUP(T358,Orgenheter!$A$1:$C$165,2,FALSE)</f>
        <v>Inst för ide- o samhällsstudier</v>
      </c>
      <c r="V358" s="31" t="str">
        <f>VLOOKUP(T358,Orgenheter!$A$1:$C$165,3,FALSE)</f>
        <v>Hum</v>
      </c>
      <c r="W358" s="37" t="str">
        <f>VLOOKUP(D358,Program!$A$1:$B$34,2,FALSE)</f>
        <v>KPU - Gy</v>
      </c>
      <c r="X358" s="42">
        <f>VLOOKUP(A358,kurspris!$A$1:$Q$798,15,FALSE)</f>
        <v>23641</v>
      </c>
      <c r="Y358" s="42">
        <f>VLOOKUP(A358,kurspris!$A$1:$Q$798,16,FALSE)</f>
        <v>28786</v>
      </c>
      <c r="Z358" s="42">
        <f t="shared" si="142"/>
        <v>32072.73333333333</v>
      </c>
      <c r="AA358" s="42">
        <f>VLOOKUP(A358,kurspris!$A$1:$Q$798,17,FALSE)</f>
        <v>5800</v>
      </c>
      <c r="AB358" s="42">
        <f t="shared" si="143"/>
        <v>3866.6666666666665</v>
      </c>
      <c r="AC358" s="42">
        <f t="shared" si="144"/>
        <v>35939.399999999994</v>
      </c>
      <c r="AD358" s="31">
        <f>VLOOKUP($A358,kurspris!$A$1:$Q$835,3,FALSE)</f>
        <v>0</v>
      </c>
      <c r="AE358" s="31">
        <f>VLOOKUP($A358,kurspris!$A$1:$Q$835,4,FALSE)</f>
        <v>0</v>
      </c>
      <c r="AF358" s="31">
        <f>VLOOKUP($A358,kurspris!$A$1:$Q$835,5,FALSE)</f>
        <v>0</v>
      </c>
      <c r="AG358" s="31">
        <f>VLOOKUP($A358,kurspris!$A$1:$Q$835,6,FALSE)</f>
        <v>1</v>
      </c>
      <c r="AH358" s="31">
        <f>VLOOKUP($A358,kurspris!$A$1:$Q$835,7,FALSE)</f>
        <v>0</v>
      </c>
      <c r="AI358" s="31">
        <f>VLOOKUP($A358,kurspris!$A$1:$Q$835,8,FALSE)</f>
        <v>0</v>
      </c>
      <c r="AJ358" s="31">
        <f>VLOOKUP($A358,kurspris!$A$1:$Q$835,9,FALSE)</f>
        <v>0</v>
      </c>
      <c r="AK358" s="31">
        <f>VLOOKUP($A358,kurspris!$A$1:$Q$835,10,FALSE)</f>
        <v>0</v>
      </c>
      <c r="AL358" s="31">
        <f>VLOOKUP($A358,kurspris!$A$1:$Q$835,11,FALSE)</f>
        <v>0</v>
      </c>
      <c r="AM358" s="31">
        <f>VLOOKUP($A358,kurspris!$A$1:$Q$835,12,FALSE)</f>
        <v>0</v>
      </c>
      <c r="AN358" s="31">
        <f>VLOOKUP($A358,kurspris!$A$1:$Q$835,13,FALSE)</f>
        <v>0</v>
      </c>
      <c r="AO358" s="31">
        <f>VLOOKUP($A358,kurspris!$A$1:$Q$835,14,FALSE)</f>
        <v>0</v>
      </c>
      <c r="AP358" s="39" t="s">
        <v>2204</v>
      </c>
      <c r="AQ358" s="39" t="s">
        <v>1628</v>
      </c>
      <c r="AR358" s="31">
        <f t="shared" si="145"/>
        <v>0</v>
      </c>
      <c r="AS358" s="255">
        <f t="shared" si="146"/>
        <v>0</v>
      </c>
      <c r="AT358" s="31">
        <f t="shared" si="147"/>
        <v>0</v>
      </c>
      <c r="AU358" s="255">
        <f t="shared" si="148"/>
        <v>0</v>
      </c>
      <c r="AV358" s="31">
        <f t="shared" si="149"/>
        <v>0</v>
      </c>
      <c r="AW358" s="31">
        <f t="shared" si="150"/>
        <v>0</v>
      </c>
      <c r="AX358" s="31">
        <f t="shared" si="151"/>
        <v>0.66666666666666663</v>
      </c>
      <c r="AY358" s="255">
        <f t="shared" si="152"/>
        <v>0.56666666666666665</v>
      </c>
      <c r="AZ358" s="232">
        <f t="shared" si="153"/>
        <v>0</v>
      </c>
      <c r="BA358" s="255">
        <f t="shared" si="154"/>
        <v>0</v>
      </c>
      <c r="BB358" s="31">
        <f t="shared" si="155"/>
        <v>0</v>
      </c>
      <c r="BC358" s="255">
        <f t="shared" si="156"/>
        <v>0</v>
      </c>
      <c r="BD358" s="31">
        <f t="shared" si="157"/>
        <v>0</v>
      </c>
      <c r="BE358" s="255">
        <f t="shared" si="158"/>
        <v>0</v>
      </c>
      <c r="BF358" s="31">
        <f t="shared" si="159"/>
        <v>0</v>
      </c>
      <c r="BG358" s="255">
        <f t="shared" si="160"/>
        <v>0</v>
      </c>
      <c r="BH358" s="31">
        <f t="shared" si="161"/>
        <v>0</v>
      </c>
      <c r="BI358" s="255">
        <f t="shared" si="162"/>
        <v>0</v>
      </c>
      <c r="BJ358" s="31">
        <f t="shared" si="163"/>
        <v>0</v>
      </c>
      <c r="BK358" s="31">
        <f t="shared" si="164"/>
        <v>0</v>
      </c>
      <c r="BL358" s="255">
        <f t="shared" si="165"/>
        <v>0</v>
      </c>
      <c r="BM358" s="31">
        <f t="shared" si="166"/>
        <v>0</v>
      </c>
      <c r="BN358" s="255">
        <f t="shared" si="167"/>
        <v>0</v>
      </c>
    </row>
    <row r="359" spans="1:66" x14ac:dyDescent="0.25">
      <c r="A359" s="59" t="s">
        <v>470</v>
      </c>
      <c r="B359" s="186" t="str">
        <f>VLOOKUP(A359,kurspris!$A$1:$B$877,2,FALSE)</f>
        <v>Demokrati, individ och samhälle</v>
      </c>
      <c r="C359" s="37"/>
      <c r="D359" s="59" t="s">
        <v>630</v>
      </c>
      <c r="E359" s="62" t="s">
        <v>1931</v>
      </c>
      <c r="F359" s="59" t="s">
        <v>1931</v>
      </c>
      <c r="G359" s="295" t="s">
        <v>2297</v>
      </c>
      <c r="I359" s="62"/>
      <c r="J359" t="s">
        <v>2307</v>
      </c>
      <c r="L359" s="31">
        <v>50</v>
      </c>
      <c r="M359" s="378">
        <v>5</v>
      </c>
      <c r="N359" s="40"/>
      <c r="P359" s="377">
        <v>4</v>
      </c>
      <c r="Q359" s="232">
        <f t="shared" si="140"/>
        <v>0.33333333333333331</v>
      </c>
      <c r="R359" s="40">
        <v>0.85</v>
      </c>
      <c r="S359" s="334">
        <f t="shared" si="141"/>
        <v>0.28333333333333333</v>
      </c>
      <c r="T359" s="31">
        <f>VLOOKUP(A359,'Ansvar kurs'!$A$1:$C$1010,2,FALSE)</f>
        <v>1630</v>
      </c>
      <c r="U359" s="31" t="str">
        <f>VLOOKUP(T359,Orgenheter!$A$1:$C$165,2,FALSE)</f>
        <v>Inst för ide- o samhällsstudier</v>
      </c>
      <c r="V359" s="31" t="str">
        <f>VLOOKUP(T359,Orgenheter!$A$1:$C$165,3,FALSE)</f>
        <v>Hum</v>
      </c>
      <c r="W359" s="37" t="str">
        <f>VLOOKUP(D359,Program!$A$1:$B$34,2,FALSE)</f>
        <v>KPU - Gy</v>
      </c>
      <c r="X359" s="42">
        <f>VLOOKUP(A359,kurspris!$A$1:$Q$798,15,FALSE)</f>
        <v>23641</v>
      </c>
      <c r="Y359" s="42">
        <f>VLOOKUP(A359,kurspris!$A$1:$Q$798,16,FALSE)</f>
        <v>28786</v>
      </c>
      <c r="Z359" s="42">
        <f t="shared" si="142"/>
        <v>16036.366666666665</v>
      </c>
      <c r="AA359" s="42">
        <f>VLOOKUP(A359,kurspris!$A$1:$Q$798,17,FALSE)</f>
        <v>5800</v>
      </c>
      <c r="AB359" s="42">
        <f t="shared" si="143"/>
        <v>1933.3333333333333</v>
      </c>
      <c r="AC359" s="42">
        <f t="shared" si="144"/>
        <v>17969.699999999997</v>
      </c>
      <c r="AD359" s="31">
        <f>VLOOKUP($A359,kurspris!$A$1:$Q$835,3,FALSE)</f>
        <v>0</v>
      </c>
      <c r="AE359" s="31">
        <f>VLOOKUP($A359,kurspris!$A$1:$Q$835,4,FALSE)</f>
        <v>0</v>
      </c>
      <c r="AF359" s="31">
        <f>VLOOKUP($A359,kurspris!$A$1:$Q$835,5,FALSE)</f>
        <v>0</v>
      </c>
      <c r="AG359" s="31">
        <f>VLOOKUP($A359,kurspris!$A$1:$Q$835,6,FALSE)</f>
        <v>1</v>
      </c>
      <c r="AH359" s="31">
        <f>VLOOKUP($A359,kurspris!$A$1:$Q$835,7,FALSE)</f>
        <v>0</v>
      </c>
      <c r="AI359" s="31">
        <f>VLOOKUP($A359,kurspris!$A$1:$Q$835,8,FALSE)</f>
        <v>0</v>
      </c>
      <c r="AJ359" s="31">
        <f>VLOOKUP($A359,kurspris!$A$1:$Q$835,9,FALSE)</f>
        <v>0</v>
      </c>
      <c r="AK359" s="31">
        <f>VLOOKUP($A359,kurspris!$A$1:$Q$835,10,FALSE)</f>
        <v>0</v>
      </c>
      <c r="AL359" s="31">
        <f>VLOOKUP($A359,kurspris!$A$1:$Q$835,11,FALSE)</f>
        <v>0</v>
      </c>
      <c r="AM359" s="31">
        <f>VLOOKUP($A359,kurspris!$A$1:$Q$835,12,FALSE)</f>
        <v>0</v>
      </c>
      <c r="AN359" s="31">
        <f>VLOOKUP($A359,kurspris!$A$1:$Q$835,13,FALSE)</f>
        <v>0</v>
      </c>
      <c r="AO359" s="31">
        <f>VLOOKUP($A359,kurspris!$A$1:$Q$835,14,FALSE)</f>
        <v>0</v>
      </c>
      <c r="AP359" s="39" t="s">
        <v>2326</v>
      </c>
      <c r="AQ359" t="s">
        <v>1628</v>
      </c>
      <c r="AR359" s="31">
        <f t="shared" si="145"/>
        <v>0</v>
      </c>
      <c r="AS359" s="255">
        <f t="shared" si="146"/>
        <v>0</v>
      </c>
      <c r="AT359" s="31">
        <f t="shared" si="147"/>
        <v>0</v>
      </c>
      <c r="AU359" s="255">
        <f t="shared" si="148"/>
        <v>0</v>
      </c>
      <c r="AV359" s="31">
        <f t="shared" si="149"/>
        <v>0</v>
      </c>
      <c r="AW359" s="31">
        <f t="shared" si="150"/>
        <v>0</v>
      </c>
      <c r="AX359" s="31">
        <f t="shared" si="151"/>
        <v>0.33333333333333331</v>
      </c>
      <c r="AY359" s="255">
        <f t="shared" si="152"/>
        <v>0.28333333333333333</v>
      </c>
      <c r="AZ359" s="232">
        <f t="shared" si="153"/>
        <v>0</v>
      </c>
      <c r="BA359" s="255">
        <f t="shared" si="154"/>
        <v>0</v>
      </c>
      <c r="BB359" s="31">
        <f t="shared" si="155"/>
        <v>0</v>
      </c>
      <c r="BC359" s="255">
        <f t="shared" si="156"/>
        <v>0</v>
      </c>
      <c r="BD359" s="31">
        <f t="shared" si="157"/>
        <v>0</v>
      </c>
      <c r="BE359" s="255">
        <f t="shared" si="158"/>
        <v>0</v>
      </c>
      <c r="BF359" s="31">
        <f t="shared" si="159"/>
        <v>0</v>
      </c>
      <c r="BG359" s="255">
        <f t="shared" si="160"/>
        <v>0</v>
      </c>
      <c r="BH359" s="31">
        <f t="shared" si="161"/>
        <v>0</v>
      </c>
      <c r="BI359" s="255">
        <f t="shared" si="162"/>
        <v>0</v>
      </c>
      <c r="BJ359" s="31">
        <f t="shared" si="163"/>
        <v>0</v>
      </c>
      <c r="BK359" s="31">
        <f t="shared" si="164"/>
        <v>0</v>
      </c>
      <c r="BL359" s="255">
        <f t="shared" si="165"/>
        <v>0</v>
      </c>
      <c r="BM359" s="31">
        <f t="shared" si="166"/>
        <v>0</v>
      </c>
      <c r="BN359" s="255">
        <f t="shared" si="167"/>
        <v>0</v>
      </c>
    </row>
    <row r="360" spans="1:66" x14ac:dyDescent="0.25">
      <c r="A360" t="s">
        <v>470</v>
      </c>
      <c r="B360" s="186" t="str">
        <f>VLOOKUP(A360,kurspris!$A$1:$B$877,2,FALSE)</f>
        <v>Demokrati, individ och samhälle</v>
      </c>
      <c r="C360"/>
      <c r="D360" t="s">
        <v>627</v>
      </c>
      <c r="E360" t="s">
        <v>1609</v>
      </c>
      <c r="F360" s="39" t="s">
        <v>1930</v>
      </c>
      <c r="G360" t="s">
        <v>2124</v>
      </c>
      <c r="H360" t="s">
        <v>1910</v>
      </c>
      <c r="I360"/>
      <c r="J360"/>
      <c r="K360"/>
      <c r="L360">
        <v>50</v>
      </c>
      <c r="M360" s="295">
        <v>5</v>
      </c>
      <c r="N360"/>
      <c r="O360"/>
      <c r="P360" s="31">
        <v>0</v>
      </c>
      <c r="Q360" s="232">
        <f t="shared" si="140"/>
        <v>0</v>
      </c>
      <c r="R360" s="40">
        <v>0.85</v>
      </c>
      <c r="S360" s="334">
        <f t="shared" si="141"/>
        <v>0</v>
      </c>
      <c r="T360" s="31">
        <f>VLOOKUP(A360,'Ansvar kurs'!$A$1:$C$1010,2,FALSE)</f>
        <v>1630</v>
      </c>
      <c r="U360" s="31" t="str">
        <f>VLOOKUP(T360,Orgenheter!$A$1:$C$165,2,FALSE)</f>
        <v>Inst för ide- o samhällsstudier</v>
      </c>
      <c r="V360" s="31" t="str">
        <f>VLOOKUP(T360,Orgenheter!$A$1:$C$165,3,FALSE)</f>
        <v>Hum</v>
      </c>
      <c r="W360" s="37" t="str">
        <f>VLOOKUP(D360,Program!$A$1:$B$34,2,FALSE)</f>
        <v>Yrkeslärarprogrammet</v>
      </c>
      <c r="X360" s="42">
        <f>VLOOKUP(A360,kurspris!$A$1:$Q$798,15,FALSE)</f>
        <v>23641</v>
      </c>
      <c r="Y360" s="42">
        <f>VLOOKUP(A360,kurspris!$A$1:$Q$798,16,FALSE)</f>
        <v>28786</v>
      </c>
      <c r="Z360" s="42">
        <f t="shared" si="142"/>
        <v>0</v>
      </c>
      <c r="AA360" s="42">
        <f>VLOOKUP(A360,kurspris!$A$1:$Q$798,17,FALSE)</f>
        <v>5800</v>
      </c>
      <c r="AB360" s="42">
        <f t="shared" si="143"/>
        <v>0</v>
      </c>
      <c r="AC360" s="42">
        <f t="shared" si="144"/>
        <v>0</v>
      </c>
      <c r="AD360" s="31">
        <f>VLOOKUP($A360,kurspris!$A$1:$Q$835,3,FALSE)</f>
        <v>0</v>
      </c>
      <c r="AE360" s="31">
        <f>VLOOKUP($A360,kurspris!$A$1:$Q$835,4,FALSE)</f>
        <v>0</v>
      </c>
      <c r="AF360" s="31">
        <f>VLOOKUP($A360,kurspris!$A$1:$Q$835,5,FALSE)</f>
        <v>0</v>
      </c>
      <c r="AG360" s="31">
        <f>VLOOKUP($A360,kurspris!$A$1:$Q$835,6,FALSE)</f>
        <v>1</v>
      </c>
      <c r="AH360" s="31">
        <f>VLOOKUP($A360,kurspris!$A$1:$Q$835,7,FALSE)</f>
        <v>0</v>
      </c>
      <c r="AI360" s="31">
        <f>VLOOKUP($A360,kurspris!$A$1:$Q$835,8,FALSE)</f>
        <v>0</v>
      </c>
      <c r="AJ360" s="31">
        <f>VLOOKUP($A360,kurspris!$A$1:$Q$835,9,FALSE)</f>
        <v>0</v>
      </c>
      <c r="AK360" s="31">
        <f>VLOOKUP($A360,kurspris!$A$1:$Q$835,10,FALSE)</f>
        <v>0</v>
      </c>
      <c r="AL360" s="31">
        <f>VLOOKUP($A360,kurspris!$A$1:$Q$835,11,FALSE)</f>
        <v>0</v>
      </c>
      <c r="AM360" s="31">
        <f>VLOOKUP($A360,kurspris!$A$1:$Q$835,12,FALSE)</f>
        <v>0</v>
      </c>
      <c r="AN360" s="31">
        <f>VLOOKUP($A360,kurspris!$A$1:$Q$835,13,FALSE)</f>
        <v>0</v>
      </c>
      <c r="AO360" s="31">
        <f>VLOOKUP($A360,kurspris!$A$1:$Q$835,14,FALSE)</f>
        <v>0</v>
      </c>
      <c r="AP360" s="39" t="s">
        <v>2204</v>
      </c>
      <c r="AQ360" s="39" t="s">
        <v>1628</v>
      </c>
      <c r="AR360" s="31">
        <f t="shared" si="145"/>
        <v>0</v>
      </c>
      <c r="AS360" s="255">
        <f t="shared" si="146"/>
        <v>0</v>
      </c>
      <c r="AT360" s="31">
        <f t="shared" si="147"/>
        <v>0</v>
      </c>
      <c r="AU360" s="255">
        <f t="shared" si="148"/>
        <v>0</v>
      </c>
      <c r="AV360" s="31">
        <f t="shared" si="149"/>
        <v>0</v>
      </c>
      <c r="AW360" s="31">
        <f t="shared" si="150"/>
        <v>0</v>
      </c>
      <c r="AX360" s="31">
        <f t="shared" si="151"/>
        <v>0</v>
      </c>
      <c r="AY360" s="255">
        <f t="shared" si="152"/>
        <v>0</v>
      </c>
      <c r="AZ360" s="232">
        <f t="shared" si="153"/>
        <v>0</v>
      </c>
      <c r="BA360" s="255">
        <f t="shared" si="154"/>
        <v>0</v>
      </c>
      <c r="BB360" s="31">
        <f t="shared" si="155"/>
        <v>0</v>
      </c>
      <c r="BC360" s="255">
        <f t="shared" si="156"/>
        <v>0</v>
      </c>
      <c r="BD360" s="31">
        <f t="shared" si="157"/>
        <v>0</v>
      </c>
      <c r="BE360" s="255">
        <f t="shared" si="158"/>
        <v>0</v>
      </c>
      <c r="BF360" s="31">
        <f t="shared" si="159"/>
        <v>0</v>
      </c>
      <c r="BG360" s="255">
        <f t="shared" si="160"/>
        <v>0</v>
      </c>
      <c r="BH360" s="31">
        <f t="shared" si="161"/>
        <v>0</v>
      </c>
      <c r="BI360" s="255">
        <f t="shared" si="162"/>
        <v>0</v>
      </c>
      <c r="BJ360" s="31">
        <f t="shared" si="163"/>
        <v>0</v>
      </c>
      <c r="BK360" s="31">
        <f t="shared" si="164"/>
        <v>0</v>
      </c>
      <c r="BL360" s="255">
        <f t="shared" si="165"/>
        <v>0</v>
      </c>
      <c r="BM360" s="31">
        <f t="shared" si="166"/>
        <v>0</v>
      </c>
      <c r="BN360" s="255">
        <f t="shared" si="167"/>
        <v>0</v>
      </c>
    </row>
    <row r="361" spans="1:66" x14ac:dyDescent="0.25">
      <c r="A361" t="s">
        <v>470</v>
      </c>
      <c r="B361" s="186" t="str">
        <f>VLOOKUP(A361,kurspris!$A$1:$B$877,2,FALSE)</f>
        <v>Demokrati, individ och samhälle</v>
      </c>
      <c r="C361"/>
      <c r="D361" t="s">
        <v>627</v>
      </c>
      <c r="E361" t="s">
        <v>1788</v>
      </c>
      <c r="F361" s="39" t="s">
        <v>1930</v>
      </c>
      <c r="G361" t="s">
        <v>2124</v>
      </c>
      <c r="H361" t="s">
        <v>1910</v>
      </c>
      <c r="I361"/>
      <c r="J361"/>
      <c r="K361"/>
      <c r="L361">
        <v>50</v>
      </c>
      <c r="M361" s="295">
        <v>5</v>
      </c>
      <c r="N361"/>
      <c r="O361"/>
      <c r="P361" s="31">
        <v>0</v>
      </c>
      <c r="Q361" s="232">
        <f t="shared" si="140"/>
        <v>0</v>
      </c>
      <c r="R361" s="40">
        <v>0.85</v>
      </c>
      <c r="S361" s="334">
        <f t="shared" si="141"/>
        <v>0</v>
      </c>
      <c r="T361" s="31">
        <f>VLOOKUP(A361,'Ansvar kurs'!$A$1:$C$1010,2,FALSE)</f>
        <v>1630</v>
      </c>
      <c r="U361" s="31" t="str">
        <f>VLOOKUP(T361,Orgenheter!$A$1:$C$165,2,FALSE)</f>
        <v>Inst för ide- o samhällsstudier</v>
      </c>
      <c r="V361" s="31" t="str">
        <f>VLOOKUP(T361,Orgenheter!$A$1:$C$165,3,FALSE)</f>
        <v>Hum</v>
      </c>
      <c r="W361" s="37" t="str">
        <f>VLOOKUP(D361,Program!$A$1:$B$34,2,FALSE)</f>
        <v>Yrkeslärarprogrammet</v>
      </c>
      <c r="X361" s="42">
        <f>VLOOKUP(A361,kurspris!$A$1:$Q$798,15,FALSE)</f>
        <v>23641</v>
      </c>
      <c r="Y361" s="42">
        <f>VLOOKUP(A361,kurspris!$A$1:$Q$798,16,FALSE)</f>
        <v>28786</v>
      </c>
      <c r="Z361" s="42">
        <f t="shared" si="142"/>
        <v>0</v>
      </c>
      <c r="AA361" s="42">
        <f>VLOOKUP(A361,kurspris!$A$1:$Q$798,17,FALSE)</f>
        <v>5800</v>
      </c>
      <c r="AB361" s="42">
        <f t="shared" si="143"/>
        <v>0</v>
      </c>
      <c r="AC361" s="42">
        <f t="shared" si="144"/>
        <v>0</v>
      </c>
      <c r="AD361" s="31">
        <f>VLOOKUP($A361,kurspris!$A$1:$Q$835,3,FALSE)</f>
        <v>0</v>
      </c>
      <c r="AE361" s="31">
        <f>VLOOKUP($A361,kurspris!$A$1:$Q$835,4,FALSE)</f>
        <v>0</v>
      </c>
      <c r="AF361" s="31">
        <f>VLOOKUP($A361,kurspris!$A$1:$Q$835,5,FALSE)</f>
        <v>0</v>
      </c>
      <c r="AG361" s="31">
        <f>VLOOKUP($A361,kurspris!$A$1:$Q$835,6,FALSE)</f>
        <v>1</v>
      </c>
      <c r="AH361" s="31">
        <f>VLOOKUP($A361,kurspris!$A$1:$Q$835,7,FALSE)</f>
        <v>0</v>
      </c>
      <c r="AI361" s="31">
        <f>VLOOKUP($A361,kurspris!$A$1:$Q$835,8,FALSE)</f>
        <v>0</v>
      </c>
      <c r="AJ361" s="31">
        <f>VLOOKUP($A361,kurspris!$A$1:$Q$835,9,FALSE)</f>
        <v>0</v>
      </c>
      <c r="AK361" s="31">
        <f>VLOOKUP($A361,kurspris!$A$1:$Q$835,10,FALSE)</f>
        <v>0</v>
      </c>
      <c r="AL361" s="31">
        <f>VLOOKUP($A361,kurspris!$A$1:$Q$835,11,FALSE)</f>
        <v>0</v>
      </c>
      <c r="AM361" s="31">
        <f>VLOOKUP($A361,kurspris!$A$1:$Q$835,12,FALSE)</f>
        <v>0</v>
      </c>
      <c r="AN361" s="31">
        <f>VLOOKUP($A361,kurspris!$A$1:$Q$835,13,FALSE)</f>
        <v>0</v>
      </c>
      <c r="AO361" s="31">
        <f>VLOOKUP($A361,kurspris!$A$1:$Q$835,14,FALSE)</f>
        <v>0</v>
      </c>
      <c r="AP361" s="39" t="s">
        <v>2204</v>
      </c>
      <c r="AQ361" s="39" t="s">
        <v>1628</v>
      </c>
      <c r="AR361" s="31">
        <f t="shared" si="145"/>
        <v>0</v>
      </c>
      <c r="AS361" s="255">
        <f t="shared" si="146"/>
        <v>0</v>
      </c>
      <c r="AT361" s="31">
        <f t="shared" si="147"/>
        <v>0</v>
      </c>
      <c r="AU361" s="255">
        <f t="shared" si="148"/>
        <v>0</v>
      </c>
      <c r="AV361" s="31">
        <f t="shared" si="149"/>
        <v>0</v>
      </c>
      <c r="AW361" s="31">
        <f t="shared" si="150"/>
        <v>0</v>
      </c>
      <c r="AX361" s="31">
        <f t="shared" si="151"/>
        <v>0</v>
      </c>
      <c r="AY361" s="255">
        <f t="shared" si="152"/>
        <v>0</v>
      </c>
      <c r="AZ361" s="232">
        <f t="shared" si="153"/>
        <v>0</v>
      </c>
      <c r="BA361" s="255">
        <f t="shared" si="154"/>
        <v>0</v>
      </c>
      <c r="BB361" s="31">
        <f t="shared" si="155"/>
        <v>0</v>
      </c>
      <c r="BC361" s="255">
        <f t="shared" si="156"/>
        <v>0</v>
      </c>
      <c r="BD361" s="31">
        <f t="shared" si="157"/>
        <v>0</v>
      </c>
      <c r="BE361" s="255">
        <f t="shared" si="158"/>
        <v>0</v>
      </c>
      <c r="BF361" s="31">
        <f t="shared" si="159"/>
        <v>0</v>
      </c>
      <c r="BG361" s="255">
        <f t="shared" si="160"/>
        <v>0</v>
      </c>
      <c r="BH361" s="31">
        <f t="shared" si="161"/>
        <v>0</v>
      </c>
      <c r="BI361" s="255">
        <f t="shared" si="162"/>
        <v>0</v>
      </c>
      <c r="BJ361" s="31">
        <f t="shared" si="163"/>
        <v>0</v>
      </c>
      <c r="BK361" s="31">
        <f t="shared" si="164"/>
        <v>0</v>
      </c>
      <c r="BL361" s="255">
        <f t="shared" si="165"/>
        <v>0</v>
      </c>
      <c r="BM361" s="31">
        <f t="shared" si="166"/>
        <v>0</v>
      </c>
      <c r="BN361" s="255">
        <f t="shared" si="167"/>
        <v>0</v>
      </c>
    </row>
    <row r="362" spans="1:66" x14ac:dyDescent="0.25">
      <c r="A362" t="s">
        <v>470</v>
      </c>
      <c r="B362" s="186" t="str">
        <f>VLOOKUP(A362,kurspris!$A$1:$B$877,2,FALSE)</f>
        <v>Demokrati, individ och samhälle</v>
      </c>
      <c r="C362"/>
      <c r="D362" t="s">
        <v>627</v>
      </c>
      <c r="E362" t="s">
        <v>1788</v>
      </c>
      <c r="F362" s="39" t="s">
        <v>1930</v>
      </c>
      <c r="G362" t="s">
        <v>2124</v>
      </c>
      <c r="H362" t="s">
        <v>1910</v>
      </c>
      <c r="I362"/>
      <c r="J362"/>
      <c r="K362"/>
      <c r="L362">
        <v>50</v>
      </c>
      <c r="M362" s="295">
        <v>5</v>
      </c>
      <c r="N362"/>
      <c r="O362"/>
      <c r="P362" s="31">
        <v>43</v>
      </c>
      <c r="Q362" s="232">
        <f t="shared" si="140"/>
        <v>3.583333333333333</v>
      </c>
      <c r="R362" s="40">
        <v>0.85</v>
      </c>
      <c r="S362" s="334">
        <f t="shared" si="141"/>
        <v>3.0458333333333329</v>
      </c>
      <c r="T362" s="31">
        <f>VLOOKUP(A362,'Ansvar kurs'!$A$1:$C$1010,2,FALSE)</f>
        <v>1630</v>
      </c>
      <c r="U362" s="31" t="str">
        <f>VLOOKUP(T362,Orgenheter!$A$1:$C$165,2,FALSE)</f>
        <v>Inst för ide- o samhällsstudier</v>
      </c>
      <c r="V362" s="31" t="str">
        <f>VLOOKUP(T362,Orgenheter!$A$1:$C$165,3,FALSE)</f>
        <v>Hum</v>
      </c>
      <c r="W362" s="37" t="str">
        <f>VLOOKUP(D362,Program!$A$1:$B$34,2,FALSE)</f>
        <v>Yrkeslärarprogrammet</v>
      </c>
      <c r="X362" s="42">
        <f>VLOOKUP(A362,kurspris!$A$1:$Q$798,15,FALSE)</f>
        <v>23641</v>
      </c>
      <c r="Y362" s="42">
        <f>VLOOKUP(A362,kurspris!$A$1:$Q$798,16,FALSE)</f>
        <v>28786</v>
      </c>
      <c r="Z362" s="42">
        <f t="shared" si="142"/>
        <v>172390.94166666665</v>
      </c>
      <c r="AA362" s="42">
        <f>VLOOKUP(A362,kurspris!$A$1:$Q$798,17,FALSE)</f>
        <v>5800</v>
      </c>
      <c r="AB362" s="42">
        <f t="shared" si="143"/>
        <v>20783.333333333332</v>
      </c>
      <c r="AC362" s="42">
        <f t="shared" si="144"/>
        <v>193174.27499999999</v>
      </c>
      <c r="AD362" s="31">
        <f>VLOOKUP($A362,kurspris!$A$1:$Q$835,3,FALSE)</f>
        <v>0</v>
      </c>
      <c r="AE362" s="31">
        <f>VLOOKUP($A362,kurspris!$A$1:$Q$835,4,FALSE)</f>
        <v>0</v>
      </c>
      <c r="AF362" s="31">
        <f>VLOOKUP($A362,kurspris!$A$1:$Q$835,5,FALSE)</f>
        <v>0</v>
      </c>
      <c r="AG362" s="31">
        <f>VLOOKUP($A362,kurspris!$A$1:$Q$835,6,FALSE)</f>
        <v>1</v>
      </c>
      <c r="AH362" s="31">
        <f>VLOOKUP($A362,kurspris!$A$1:$Q$835,7,FALSE)</f>
        <v>0</v>
      </c>
      <c r="AI362" s="31">
        <f>VLOOKUP($A362,kurspris!$A$1:$Q$835,8,FALSE)</f>
        <v>0</v>
      </c>
      <c r="AJ362" s="31">
        <f>VLOOKUP($A362,kurspris!$A$1:$Q$835,9,FALSE)</f>
        <v>0</v>
      </c>
      <c r="AK362" s="31">
        <f>VLOOKUP($A362,kurspris!$A$1:$Q$835,10,FALSE)</f>
        <v>0</v>
      </c>
      <c r="AL362" s="31">
        <f>VLOOKUP($A362,kurspris!$A$1:$Q$835,11,FALSE)</f>
        <v>0</v>
      </c>
      <c r="AM362" s="31">
        <f>VLOOKUP($A362,kurspris!$A$1:$Q$835,12,FALSE)</f>
        <v>0</v>
      </c>
      <c r="AN362" s="31">
        <f>VLOOKUP($A362,kurspris!$A$1:$Q$835,13,FALSE)</f>
        <v>0</v>
      </c>
      <c r="AO362" s="31">
        <f>VLOOKUP($A362,kurspris!$A$1:$Q$835,14,FALSE)</f>
        <v>0</v>
      </c>
      <c r="AP362" s="39" t="s">
        <v>2204</v>
      </c>
      <c r="AQ362" s="39" t="s">
        <v>1628</v>
      </c>
      <c r="AR362" s="31">
        <f t="shared" si="145"/>
        <v>0</v>
      </c>
      <c r="AS362" s="255">
        <f t="shared" si="146"/>
        <v>0</v>
      </c>
      <c r="AT362" s="31">
        <f t="shared" si="147"/>
        <v>0</v>
      </c>
      <c r="AU362" s="255">
        <f t="shared" si="148"/>
        <v>0</v>
      </c>
      <c r="AV362" s="31">
        <f t="shared" si="149"/>
        <v>0</v>
      </c>
      <c r="AW362" s="31">
        <f t="shared" si="150"/>
        <v>0</v>
      </c>
      <c r="AX362" s="31">
        <f t="shared" si="151"/>
        <v>3.583333333333333</v>
      </c>
      <c r="AY362" s="255">
        <f t="shared" si="152"/>
        <v>3.0458333333333329</v>
      </c>
      <c r="AZ362" s="232">
        <f t="shared" si="153"/>
        <v>0</v>
      </c>
      <c r="BA362" s="255">
        <f t="shared" si="154"/>
        <v>0</v>
      </c>
      <c r="BB362" s="31">
        <f t="shared" si="155"/>
        <v>0</v>
      </c>
      <c r="BC362" s="255">
        <f t="shared" si="156"/>
        <v>0</v>
      </c>
      <c r="BD362" s="31">
        <f t="shared" si="157"/>
        <v>0</v>
      </c>
      <c r="BE362" s="255">
        <f t="shared" si="158"/>
        <v>0</v>
      </c>
      <c r="BF362" s="31">
        <f t="shared" si="159"/>
        <v>0</v>
      </c>
      <c r="BG362" s="255">
        <f t="shared" si="160"/>
        <v>0</v>
      </c>
      <c r="BH362" s="31">
        <f t="shared" si="161"/>
        <v>0</v>
      </c>
      <c r="BI362" s="255">
        <f t="shared" si="162"/>
        <v>0</v>
      </c>
      <c r="BJ362" s="31">
        <f t="shared" si="163"/>
        <v>0</v>
      </c>
      <c r="BK362" s="31">
        <f t="shared" si="164"/>
        <v>0</v>
      </c>
      <c r="BL362" s="255">
        <f t="shared" si="165"/>
        <v>0</v>
      </c>
      <c r="BM362" s="31">
        <f t="shared" si="166"/>
        <v>0</v>
      </c>
      <c r="BN362" s="255">
        <f t="shared" si="167"/>
        <v>0</v>
      </c>
    </row>
    <row r="363" spans="1:66" x14ac:dyDescent="0.25">
      <c r="A363" s="18" t="s">
        <v>470</v>
      </c>
      <c r="B363" s="186" t="str">
        <f>VLOOKUP(A363,kurspris!$A$1:$B$877,2,FALSE)</f>
        <v>Demokrati, individ och samhälle</v>
      </c>
      <c r="C363" s="37"/>
      <c r="D363" s="31" t="s">
        <v>627</v>
      </c>
      <c r="E363" s="31" t="s">
        <v>1931</v>
      </c>
      <c r="F363" s="59" t="s">
        <v>1931</v>
      </c>
      <c r="G363" s="295" t="s">
        <v>2297</v>
      </c>
      <c r="L363" s="31">
        <v>50</v>
      </c>
      <c r="M363" s="295">
        <v>5</v>
      </c>
      <c r="N363" s="40">
        <v>-0.1</v>
      </c>
      <c r="O363" s="31">
        <v>74</v>
      </c>
      <c r="P363" s="377">
        <f>O363+(O363*N363)</f>
        <v>66.599999999999994</v>
      </c>
      <c r="Q363" s="232">
        <f t="shared" si="140"/>
        <v>5.5499999999999989</v>
      </c>
      <c r="R363" s="40">
        <v>0.85</v>
      </c>
      <c r="S363" s="334">
        <f t="shared" si="141"/>
        <v>4.7174999999999994</v>
      </c>
      <c r="T363" s="31">
        <f>VLOOKUP(A363,'Ansvar kurs'!$A$1:$C$1010,2,FALSE)</f>
        <v>1630</v>
      </c>
      <c r="U363" s="31" t="str">
        <f>VLOOKUP(T363,Orgenheter!$A$1:$C$165,2,FALSE)</f>
        <v>Inst för ide- o samhällsstudier</v>
      </c>
      <c r="V363" s="31" t="str">
        <f>VLOOKUP(T363,Orgenheter!$A$1:$C$165,3,FALSE)</f>
        <v>Hum</v>
      </c>
      <c r="W363" s="37" t="str">
        <f>VLOOKUP(D363,Program!$A$1:$B$34,2,FALSE)</f>
        <v>Yrkeslärarprogrammet</v>
      </c>
      <c r="X363" s="42">
        <f>VLOOKUP(A363,kurspris!$A$1:$Q$798,15,FALSE)</f>
        <v>23641</v>
      </c>
      <c r="Y363" s="42">
        <f>VLOOKUP(A363,kurspris!$A$1:$Q$798,16,FALSE)</f>
        <v>28786</v>
      </c>
      <c r="Z363" s="42">
        <f t="shared" si="142"/>
        <v>267005.505</v>
      </c>
      <c r="AA363" s="42">
        <f>VLOOKUP(A363,kurspris!$A$1:$Q$798,17,FALSE)</f>
        <v>5800</v>
      </c>
      <c r="AB363" s="42">
        <f t="shared" si="143"/>
        <v>32189.999999999993</v>
      </c>
      <c r="AC363" s="42">
        <f t="shared" si="144"/>
        <v>299195.505</v>
      </c>
      <c r="AD363" s="31">
        <f>VLOOKUP($A363,kurspris!$A$1:$Q$835,3,FALSE)</f>
        <v>0</v>
      </c>
      <c r="AE363" s="31">
        <f>VLOOKUP($A363,kurspris!$A$1:$Q$835,4,FALSE)</f>
        <v>0</v>
      </c>
      <c r="AF363" s="31">
        <f>VLOOKUP($A363,kurspris!$A$1:$Q$835,5,FALSE)</f>
        <v>0</v>
      </c>
      <c r="AG363" s="31">
        <f>VLOOKUP($A363,kurspris!$A$1:$Q$835,6,FALSE)</f>
        <v>1</v>
      </c>
      <c r="AH363" s="31">
        <f>VLOOKUP($A363,kurspris!$A$1:$Q$835,7,FALSE)</f>
        <v>0</v>
      </c>
      <c r="AI363" s="31">
        <f>VLOOKUP($A363,kurspris!$A$1:$Q$835,8,FALSE)</f>
        <v>0</v>
      </c>
      <c r="AJ363" s="31">
        <f>VLOOKUP($A363,kurspris!$A$1:$Q$835,9,FALSE)</f>
        <v>0</v>
      </c>
      <c r="AK363" s="31">
        <f>VLOOKUP($A363,kurspris!$A$1:$Q$835,10,FALSE)</f>
        <v>0</v>
      </c>
      <c r="AL363" s="31">
        <f>VLOOKUP($A363,kurspris!$A$1:$Q$835,11,FALSE)</f>
        <v>0</v>
      </c>
      <c r="AM363" s="31">
        <f>VLOOKUP($A363,kurspris!$A$1:$Q$835,12,FALSE)</f>
        <v>0</v>
      </c>
      <c r="AN363" s="31">
        <f>VLOOKUP($A363,kurspris!$A$1:$Q$835,13,FALSE)</f>
        <v>0</v>
      </c>
      <c r="AO363" s="31">
        <f>VLOOKUP($A363,kurspris!$A$1:$Q$835,14,FALSE)</f>
        <v>0</v>
      </c>
      <c r="AP363" s="39" t="s">
        <v>1631</v>
      </c>
      <c r="AQ363" t="s">
        <v>1628</v>
      </c>
      <c r="AR363" s="31">
        <f t="shared" si="145"/>
        <v>0</v>
      </c>
      <c r="AS363" s="255">
        <f t="shared" si="146"/>
        <v>0</v>
      </c>
      <c r="AT363" s="31">
        <f t="shared" si="147"/>
        <v>0</v>
      </c>
      <c r="AU363" s="255">
        <f t="shared" si="148"/>
        <v>0</v>
      </c>
      <c r="AV363" s="31">
        <f t="shared" si="149"/>
        <v>0</v>
      </c>
      <c r="AW363" s="31">
        <f t="shared" si="150"/>
        <v>0</v>
      </c>
      <c r="AX363" s="31">
        <f t="shared" si="151"/>
        <v>5.5499999999999989</v>
      </c>
      <c r="AY363" s="255">
        <f t="shared" si="152"/>
        <v>4.7174999999999994</v>
      </c>
      <c r="AZ363" s="232">
        <f t="shared" si="153"/>
        <v>0</v>
      </c>
      <c r="BA363" s="255">
        <f t="shared" si="154"/>
        <v>0</v>
      </c>
      <c r="BB363" s="31">
        <f t="shared" si="155"/>
        <v>0</v>
      </c>
      <c r="BC363" s="255">
        <f t="shared" si="156"/>
        <v>0</v>
      </c>
      <c r="BD363" s="31">
        <f t="shared" si="157"/>
        <v>0</v>
      </c>
      <c r="BE363" s="255">
        <f t="shared" si="158"/>
        <v>0</v>
      </c>
      <c r="BF363" s="31">
        <f t="shared" si="159"/>
        <v>0</v>
      </c>
      <c r="BG363" s="255">
        <f t="shared" si="160"/>
        <v>0</v>
      </c>
      <c r="BH363" s="31">
        <f t="shared" si="161"/>
        <v>0</v>
      </c>
      <c r="BI363" s="255">
        <f t="shared" si="162"/>
        <v>0</v>
      </c>
      <c r="BJ363" s="31">
        <f t="shared" si="163"/>
        <v>0</v>
      </c>
      <c r="BK363" s="31">
        <f t="shared" si="164"/>
        <v>0</v>
      </c>
      <c r="BL363" s="255">
        <f t="shared" si="165"/>
        <v>0</v>
      </c>
      <c r="BM363" s="31">
        <f t="shared" si="166"/>
        <v>0</v>
      </c>
      <c r="BN363" s="255">
        <f t="shared" si="167"/>
        <v>0</v>
      </c>
    </row>
    <row r="364" spans="1:66" x14ac:dyDescent="0.25">
      <c r="A364" s="18" t="s">
        <v>471</v>
      </c>
      <c r="B364" s="186" t="str">
        <f>VLOOKUP(A364,kurspris!$A$1:$B$877,2,FALSE)</f>
        <v>Kunskap, undervisning och lärande I</v>
      </c>
      <c r="C364" s="37"/>
      <c r="D364" s="31" t="s">
        <v>629</v>
      </c>
      <c r="E364" s="31" t="s">
        <v>1931</v>
      </c>
      <c r="F364" s="59" t="s">
        <v>1931</v>
      </c>
      <c r="G364" s="31" t="s">
        <v>2267</v>
      </c>
      <c r="J364" t="s">
        <v>2303</v>
      </c>
      <c r="L364" s="31">
        <v>50</v>
      </c>
      <c r="M364" s="31">
        <v>10</v>
      </c>
      <c r="P364" s="31">
        <v>18</v>
      </c>
      <c r="Q364" s="232">
        <f t="shared" si="140"/>
        <v>3</v>
      </c>
      <c r="R364" s="40">
        <v>0.85</v>
      </c>
      <c r="S364" s="334">
        <f t="shared" si="141"/>
        <v>2.5499999999999998</v>
      </c>
      <c r="T364" s="31">
        <f>VLOOKUP(A364,'Ansvar kurs'!$A$1:$C$1010,2,FALSE)</f>
        <v>1630</v>
      </c>
      <c r="U364" s="31" t="str">
        <f>VLOOKUP(T364,Orgenheter!$A$1:$C$165,2,FALSE)</f>
        <v>Inst för ide- o samhällsstudier</v>
      </c>
      <c r="V364" s="31" t="str">
        <f>VLOOKUP(T364,Orgenheter!$A$1:$C$165,3,FALSE)</f>
        <v>Hum</v>
      </c>
      <c r="W364" s="37" t="str">
        <f>VLOOKUP(D364,Program!$A$1:$B$34,2,FALSE)</f>
        <v>KPU - åk 7-9</v>
      </c>
      <c r="X364" s="42">
        <f>VLOOKUP(A364,kurspris!$A$1:$Q$798,15,FALSE)</f>
        <v>23641</v>
      </c>
      <c r="Y364" s="42">
        <f>VLOOKUP(A364,kurspris!$A$1:$Q$798,16,FALSE)</f>
        <v>28786</v>
      </c>
      <c r="Z364" s="42">
        <f t="shared" si="142"/>
        <v>144327.29999999999</v>
      </c>
      <c r="AA364" s="42">
        <f>VLOOKUP(A364,kurspris!$A$1:$Q$798,17,FALSE)</f>
        <v>5800</v>
      </c>
      <c r="AB364" s="42">
        <f t="shared" si="143"/>
        <v>17400</v>
      </c>
      <c r="AC364" s="42">
        <f t="shared" si="144"/>
        <v>161727.29999999999</v>
      </c>
      <c r="AD364" s="31">
        <f>VLOOKUP($A364,kurspris!$A$1:$Q$835,3,FALSE)</f>
        <v>0</v>
      </c>
      <c r="AE364" s="31">
        <f>VLOOKUP($A364,kurspris!$A$1:$Q$835,4,FALSE)</f>
        <v>0</v>
      </c>
      <c r="AF364" s="31">
        <f>VLOOKUP($A364,kurspris!$A$1:$Q$835,5,FALSE)</f>
        <v>0</v>
      </c>
      <c r="AG364" s="31">
        <f>VLOOKUP($A364,kurspris!$A$1:$Q$835,6,FALSE)</f>
        <v>1</v>
      </c>
      <c r="AH364" s="31">
        <f>VLOOKUP($A364,kurspris!$A$1:$Q$835,7,FALSE)</f>
        <v>0</v>
      </c>
      <c r="AI364" s="31">
        <f>VLOOKUP($A364,kurspris!$A$1:$Q$835,8,FALSE)</f>
        <v>0</v>
      </c>
      <c r="AJ364" s="31">
        <f>VLOOKUP($A364,kurspris!$A$1:$Q$835,9,FALSE)</f>
        <v>0</v>
      </c>
      <c r="AK364" s="31">
        <f>VLOOKUP($A364,kurspris!$A$1:$Q$835,10,FALSE)</f>
        <v>0</v>
      </c>
      <c r="AL364" s="31">
        <f>VLOOKUP($A364,kurspris!$A$1:$Q$835,11,FALSE)</f>
        <v>0</v>
      </c>
      <c r="AM364" s="31">
        <f>VLOOKUP($A364,kurspris!$A$1:$Q$835,12,FALSE)</f>
        <v>0</v>
      </c>
      <c r="AN364" s="31">
        <f>VLOOKUP($A364,kurspris!$A$1:$Q$835,13,FALSE)</f>
        <v>0</v>
      </c>
      <c r="AO364" s="31">
        <f>VLOOKUP($A364,kurspris!$A$1:$Q$835,14,FALSE)</f>
        <v>0</v>
      </c>
      <c r="AP364" s="39" t="s">
        <v>2326</v>
      </c>
      <c r="AQ364"/>
      <c r="AR364" s="31">
        <f t="shared" si="145"/>
        <v>0</v>
      </c>
      <c r="AS364" s="255">
        <f t="shared" si="146"/>
        <v>0</v>
      </c>
      <c r="AT364" s="31">
        <f t="shared" si="147"/>
        <v>0</v>
      </c>
      <c r="AU364" s="255">
        <f t="shared" si="148"/>
        <v>0</v>
      </c>
      <c r="AV364" s="31">
        <f t="shared" si="149"/>
        <v>0</v>
      </c>
      <c r="AW364" s="31">
        <f t="shared" si="150"/>
        <v>0</v>
      </c>
      <c r="AX364" s="31">
        <f t="shared" si="151"/>
        <v>3</v>
      </c>
      <c r="AY364" s="255">
        <f t="shared" si="152"/>
        <v>2.5499999999999998</v>
      </c>
      <c r="AZ364" s="232">
        <f t="shared" si="153"/>
        <v>0</v>
      </c>
      <c r="BA364" s="255">
        <f t="shared" si="154"/>
        <v>0</v>
      </c>
      <c r="BB364" s="31">
        <f t="shared" si="155"/>
        <v>0</v>
      </c>
      <c r="BC364" s="255">
        <f t="shared" si="156"/>
        <v>0</v>
      </c>
      <c r="BD364" s="31">
        <f t="shared" si="157"/>
        <v>0</v>
      </c>
      <c r="BE364" s="255">
        <f t="shared" si="158"/>
        <v>0</v>
      </c>
      <c r="BF364" s="31">
        <f t="shared" si="159"/>
        <v>0</v>
      </c>
      <c r="BG364" s="255">
        <f t="shared" si="160"/>
        <v>0</v>
      </c>
      <c r="BH364" s="31">
        <f t="shared" si="161"/>
        <v>0</v>
      </c>
      <c r="BI364" s="255">
        <f t="shared" si="162"/>
        <v>0</v>
      </c>
      <c r="BJ364" s="31">
        <f t="shared" si="163"/>
        <v>0</v>
      </c>
      <c r="BK364" s="31">
        <f t="shared" si="164"/>
        <v>0</v>
      </c>
      <c r="BL364" s="255">
        <f t="shared" si="165"/>
        <v>0</v>
      </c>
      <c r="BM364" s="31">
        <f t="shared" si="166"/>
        <v>0</v>
      </c>
      <c r="BN364" s="255">
        <f t="shared" si="167"/>
        <v>0</v>
      </c>
    </row>
    <row r="365" spans="1:66" x14ac:dyDescent="0.25">
      <c r="A365" s="59" t="s">
        <v>471</v>
      </c>
      <c r="B365" s="186" t="str">
        <f>VLOOKUP(A365,kurspris!$A$1:$B$877,2,FALSE)</f>
        <v>Kunskap, undervisning och lärande I</v>
      </c>
      <c r="D365" s="59" t="s">
        <v>629</v>
      </c>
      <c r="E365" s="62" t="s">
        <v>2262</v>
      </c>
      <c r="F365" s="59" t="s">
        <v>1931</v>
      </c>
      <c r="G365" s="31" t="s">
        <v>2267</v>
      </c>
      <c r="I365" s="62"/>
      <c r="J365" t="s">
        <v>2303</v>
      </c>
      <c r="L365" s="31">
        <v>50</v>
      </c>
      <c r="M365" s="378">
        <v>10</v>
      </c>
      <c r="P365" s="377">
        <v>1</v>
      </c>
      <c r="Q365" s="232">
        <f t="shared" si="140"/>
        <v>0.16666666666666666</v>
      </c>
      <c r="R365" s="40">
        <v>0.85</v>
      </c>
      <c r="S365" s="334">
        <f t="shared" si="141"/>
        <v>0.14166666666666666</v>
      </c>
      <c r="T365" s="31">
        <f>VLOOKUP(A365,'Ansvar kurs'!$A$1:$C$1010,2,FALSE)</f>
        <v>1630</v>
      </c>
      <c r="U365" s="31" t="str">
        <f>VLOOKUP(T365,Orgenheter!$A$1:$C$165,2,FALSE)</f>
        <v>Inst för ide- o samhällsstudier</v>
      </c>
      <c r="V365" s="31" t="str">
        <f>VLOOKUP(T365,Orgenheter!$A$1:$C$165,3,FALSE)</f>
        <v>Hum</v>
      </c>
      <c r="W365" s="37" t="str">
        <f>VLOOKUP(D365,Program!$A$1:$B$34,2,FALSE)</f>
        <v>KPU - åk 7-9</v>
      </c>
      <c r="X365" s="42">
        <f>VLOOKUP(A365,kurspris!$A$1:$Q$798,15,FALSE)</f>
        <v>23641</v>
      </c>
      <c r="Y365" s="42">
        <f>VLOOKUP(A365,kurspris!$A$1:$Q$798,16,FALSE)</f>
        <v>28786</v>
      </c>
      <c r="Z365" s="42">
        <f t="shared" si="142"/>
        <v>8018.1833333333325</v>
      </c>
      <c r="AA365" s="42">
        <f>VLOOKUP(A365,kurspris!$A$1:$Q$798,17,FALSE)</f>
        <v>5800</v>
      </c>
      <c r="AB365" s="42">
        <f t="shared" si="143"/>
        <v>966.66666666666663</v>
      </c>
      <c r="AC365" s="42">
        <f t="shared" si="144"/>
        <v>8984.8499999999985</v>
      </c>
      <c r="AD365" s="31">
        <f>VLOOKUP($A365,kurspris!$A$1:$Q$835,3,FALSE)</f>
        <v>0</v>
      </c>
      <c r="AE365" s="31">
        <f>VLOOKUP($A365,kurspris!$A$1:$Q$835,4,FALSE)</f>
        <v>0</v>
      </c>
      <c r="AF365" s="31">
        <f>VLOOKUP($A365,kurspris!$A$1:$Q$835,5,FALSE)</f>
        <v>0</v>
      </c>
      <c r="AG365" s="31">
        <f>VLOOKUP($A365,kurspris!$A$1:$Q$835,6,FALSE)</f>
        <v>1</v>
      </c>
      <c r="AH365" s="31">
        <f>VLOOKUP($A365,kurspris!$A$1:$Q$835,7,FALSE)</f>
        <v>0</v>
      </c>
      <c r="AI365" s="31">
        <f>VLOOKUP($A365,kurspris!$A$1:$Q$835,8,FALSE)</f>
        <v>0</v>
      </c>
      <c r="AJ365" s="31">
        <f>VLOOKUP($A365,kurspris!$A$1:$Q$835,9,FALSE)</f>
        <v>0</v>
      </c>
      <c r="AK365" s="31">
        <f>VLOOKUP($A365,kurspris!$A$1:$Q$835,10,FALSE)</f>
        <v>0</v>
      </c>
      <c r="AL365" s="31">
        <f>VLOOKUP($A365,kurspris!$A$1:$Q$835,11,FALSE)</f>
        <v>0</v>
      </c>
      <c r="AM365" s="31">
        <f>VLOOKUP($A365,kurspris!$A$1:$Q$835,12,FALSE)</f>
        <v>0</v>
      </c>
      <c r="AN365" s="31">
        <f>VLOOKUP($A365,kurspris!$A$1:$Q$835,13,FALSE)</f>
        <v>0</v>
      </c>
      <c r="AO365" s="31">
        <f>VLOOKUP($A365,kurspris!$A$1:$Q$835,14,FALSE)</f>
        <v>0</v>
      </c>
      <c r="AP365" s="39" t="s">
        <v>2326</v>
      </c>
      <c r="AQ365"/>
      <c r="AR365" s="31">
        <f t="shared" si="145"/>
        <v>0</v>
      </c>
      <c r="AS365" s="255">
        <f t="shared" si="146"/>
        <v>0</v>
      </c>
      <c r="AT365" s="31">
        <f t="shared" si="147"/>
        <v>0</v>
      </c>
      <c r="AU365" s="255">
        <f t="shared" si="148"/>
        <v>0</v>
      </c>
      <c r="AV365" s="31">
        <f t="shared" si="149"/>
        <v>0</v>
      </c>
      <c r="AW365" s="31">
        <f t="shared" si="150"/>
        <v>0</v>
      </c>
      <c r="AX365" s="31">
        <f t="shared" si="151"/>
        <v>0.16666666666666666</v>
      </c>
      <c r="AY365" s="255">
        <f t="shared" si="152"/>
        <v>0.14166666666666666</v>
      </c>
      <c r="AZ365" s="232">
        <f t="shared" si="153"/>
        <v>0</v>
      </c>
      <c r="BA365" s="255">
        <f t="shared" si="154"/>
        <v>0</v>
      </c>
      <c r="BB365" s="31">
        <f t="shared" si="155"/>
        <v>0</v>
      </c>
      <c r="BC365" s="255">
        <f t="shared" si="156"/>
        <v>0</v>
      </c>
      <c r="BD365" s="31">
        <f t="shared" si="157"/>
        <v>0</v>
      </c>
      <c r="BE365" s="255">
        <f t="shared" si="158"/>
        <v>0</v>
      </c>
      <c r="BF365" s="31">
        <f t="shared" si="159"/>
        <v>0</v>
      </c>
      <c r="BG365" s="255">
        <f t="shared" si="160"/>
        <v>0</v>
      </c>
      <c r="BH365" s="31">
        <f t="shared" si="161"/>
        <v>0</v>
      </c>
      <c r="BI365" s="255">
        <f t="shared" si="162"/>
        <v>0</v>
      </c>
      <c r="BJ365" s="31">
        <f t="shared" si="163"/>
        <v>0</v>
      </c>
      <c r="BK365" s="31">
        <f t="shared" si="164"/>
        <v>0</v>
      </c>
      <c r="BL365" s="255">
        <f t="shared" si="165"/>
        <v>0</v>
      </c>
      <c r="BM365" s="31">
        <f t="shared" si="166"/>
        <v>0</v>
      </c>
      <c r="BN365" s="255">
        <f t="shared" si="167"/>
        <v>0</v>
      </c>
    </row>
    <row r="366" spans="1:66" x14ac:dyDescent="0.25">
      <c r="A366" s="59" t="s">
        <v>471</v>
      </c>
      <c r="B366" s="186" t="str">
        <f>VLOOKUP(A366,kurspris!$A$1:$B$877,2,FALSE)</f>
        <v>Kunskap, undervisning och lärande I</v>
      </c>
      <c r="C366" s="37"/>
      <c r="D366" s="59" t="s">
        <v>630</v>
      </c>
      <c r="E366" s="62" t="s">
        <v>1931</v>
      </c>
      <c r="F366" s="59" t="s">
        <v>1931</v>
      </c>
      <c r="G366" s="31" t="s">
        <v>2267</v>
      </c>
      <c r="I366" s="62"/>
      <c r="J366" t="s">
        <v>2307</v>
      </c>
      <c r="L366" s="31">
        <v>50</v>
      </c>
      <c r="M366" s="378">
        <v>10</v>
      </c>
      <c r="P366" s="31">
        <v>4</v>
      </c>
      <c r="Q366" s="232">
        <f t="shared" si="140"/>
        <v>0.66666666666666663</v>
      </c>
      <c r="R366" s="40">
        <v>0.85</v>
      </c>
      <c r="S366" s="334">
        <f t="shared" si="141"/>
        <v>0.56666666666666665</v>
      </c>
      <c r="T366" s="31">
        <f>VLOOKUP(A366,'Ansvar kurs'!$A$1:$C$1010,2,FALSE)</f>
        <v>1630</v>
      </c>
      <c r="U366" s="31" t="str">
        <f>VLOOKUP(T366,Orgenheter!$A$1:$C$165,2,FALSE)</f>
        <v>Inst för ide- o samhällsstudier</v>
      </c>
      <c r="V366" s="31" t="str">
        <f>VLOOKUP(T366,Orgenheter!$A$1:$C$165,3,FALSE)</f>
        <v>Hum</v>
      </c>
      <c r="W366" s="37" t="str">
        <f>VLOOKUP(D366,Program!$A$1:$B$34,2,FALSE)</f>
        <v>KPU - Gy</v>
      </c>
      <c r="X366" s="42">
        <f>VLOOKUP(A366,kurspris!$A$1:$Q$798,15,FALSE)</f>
        <v>23641</v>
      </c>
      <c r="Y366" s="42">
        <f>VLOOKUP(A366,kurspris!$A$1:$Q$798,16,FALSE)</f>
        <v>28786</v>
      </c>
      <c r="Z366" s="42">
        <f t="shared" si="142"/>
        <v>32072.73333333333</v>
      </c>
      <c r="AA366" s="42">
        <f>VLOOKUP(A366,kurspris!$A$1:$Q$798,17,FALSE)</f>
        <v>5800</v>
      </c>
      <c r="AB366" s="42">
        <f t="shared" si="143"/>
        <v>3866.6666666666665</v>
      </c>
      <c r="AC366" s="42">
        <f t="shared" si="144"/>
        <v>35939.399999999994</v>
      </c>
      <c r="AD366" s="31">
        <f>VLOOKUP($A366,kurspris!$A$1:$Q$835,3,FALSE)</f>
        <v>0</v>
      </c>
      <c r="AE366" s="31">
        <f>VLOOKUP($A366,kurspris!$A$1:$Q$835,4,FALSE)</f>
        <v>0</v>
      </c>
      <c r="AF366" s="31">
        <f>VLOOKUP($A366,kurspris!$A$1:$Q$835,5,FALSE)</f>
        <v>0</v>
      </c>
      <c r="AG366" s="31">
        <f>VLOOKUP($A366,kurspris!$A$1:$Q$835,6,FALSE)</f>
        <v>1</v>
      </c>
      <c r="AH366" s="31">
        <f>VLOOKUP($A366,kurspris!$A$1:$Q$835,7,FALSE)</f>
        <v>0</v>
      </c>
      <c r="AI366" s="31">
        <f>VLOOKUP($A366,kurspris!$A$1:$Q$835,8,FALSE)</f>
        <v>0</v>
      </c>
      <c r="AJ366" s="31">
        <f>VLOOKUP($A366,kurspris!$A$1:$Q$835,9,FALSE)</f>
        <v>0</v>
      </c>
      <c r="AK366" s="31">
        <f>VLOOKUP($A366,kurspris!$A$1:$Q$835,10,FALSE)</f>
        <v>0</v>
      </c>
      <c r="AL366" s="31">
        <f>VLOOKUP($A366,kurspris!$A$1:$Q$835,11,FALSE)</f>
        <v>0</v>
      </c>
      <c r="AM366" s="31">
        <f>VLOOKUP($A366,kurspris!$A$1:$Q$835,12,FALSE)</f>
        <v>0</v>
      </c>
      <c r="AN366" s="31">
        <f>VLOOKUP($A366,kurspris!$A$1:$Q$835,13,FALSE)</f>
        <v>0</v>
      </c>
      <c r="AO366" s="31">
        <f>VLOOKUP($A366,kurspris!$A$1:$Q$835,14,FALSE)</f>
        <v>0</v>
      </c>
      <c r="AP366" s="39" t="s">
        <v>2326</v>
      </c>
      <c r="AQ366"/>
      <c r="AR366" s="31">
        <f t="shared" si="145"/>
        <v>0</v>
      </c>
      <c r="AS366" s="255">
        <f t="shared" si="146"/>
        <v>0</v>
      </c>
      <c r="AT366" s="31">
        <f t="shared" si="147"/>
        <v>0</v>
      </c>
      <c r="AU366" s="255">
        <f t="shared" si="148"/>
        <v>0</v>
      </c>
      <c r="AV366" s="31">
        <f t="shared" si="149"/>
        <v>0</v>
      </c>
      <c r="AW366" s="31">
        <f t="shared" si="150"/>
        <v>0</v>
      </c>
      <c r="AX366" s="31">
        <f t="shared" si="151"/>
        <v>0.66666666666666663</v>
      </c>
      <c r="AY366" s="255">
        <f t="shared" si="152"/>
        <v>0.56666666666666665</v>
      </c>
      <c r="AZ366" s="232">
        <f t="shared" si="153"/>
        <v>0</v>
      </c>
      <c r="BA366" s="255">
        <f t="shared" si="154"/>
        <v>0</v>
      </c>
      <c r="BB366" s="31">
        <f t="shared" si="155"/>
        <v>0</v>
      </c>
      <c r="BC366" s="255">
        <f t="shared" si="156"/>
        <v>0</v>
      </c>
      <c r="BD366" s="31">
        <f t="shared" si="157"/>
        <v>0</v>
      </c>
      <c r="BE366" s="255">
        <f t="shared" si="158"/>
        <v>0</v>
      </c>
      <c r="BF366" s="31">
        <f t="shared" si="159"/>
        <v>0</v>
      </c>
      <c r="BG366" s="255">
        <f t="shared" si="160"/>
        <v>0</v>
      </c>
      <c r="BH366" s="31">
        <f t="shared" si="161"/>
        <v>0</v>
      </c>
      <c r="BI366" s="255">
        <f t="shared" si="162"/>
        <v>0</v>
      </c>
      <c r="BJ366" s="31">
        <f t="shared" si="163"/>
        <v>0</v>
      </c>
      <c r="BK366" s="31">
        <f t="shared" si="164"/>
        <v>0</v>
      </c>
      <c r="BL366" s="255">
        <f t="shared" si="165"/>
        <v>0</v>
      </c>
      <c r="BM366" s="31">
        <f t="shared" si="166"/>
        <v>0</v>
      </c>
      <c r="BN366" s="255">
        <f t="shared" si="167"/>
        <v>0</v>
      </c>
    </row>
    <row r="367" spans="1:66" x14ac:dyDescent="0.25">
      <c r="A367" s="18" t="s">
        <v>471</v>
      </c>
      <c r="B367" s="186" t="str">
        <f>VLOOKUP(A367,kurspris!$A$1:$B$877,2,FALSE)</f>
        <v>Kunskap, undervisning och lärande I</v>
      </c>
      <c r="C367" s="37"/>
      <c r="D367" s="31" t="s">
        <v>627</v>
      </c>
      <c r="E367" s="31" t="s">
        <v>1931</v>
      </c>
      <c r="F367" s="59" t="s">
        <v>1931</v>
      </c>
      <c r="G367" s="31" t="s">
        <v>2267</v>
      </c>
      <c r="L367" s="31">
        <v>50</v>
      </c>
      <c r="M367" s="31">
        <v>10</v>
      </c>
      <c r="P367" s="31">
        <v>74</v>
      </c>
      <c r="Q367" s="232">
        <f t="shared" si="140"/>
        <v>12.333333333333332</v>
      </c>
      <c r="R367" s="40">
        <v>0.85</v>
      </c>
      <c r="S367" s="334">
        <f t="shared" si="141"/>
        <v>10.483333333333333</v>
      </c>
      <c r="T367" s="31">
        <f>VLOOKUP(A367,'Ansvar kurs'!$A$1:$C$1010,2,FALSE)</f>
        <v>1630</v>
      </c>
      <c r="U367" s="31" t="str">
        <f>VLOOKUP(T367,Orgenheter!$A$1:$C$165,2,FALSE)</f>
        <v>Inst för ide- o samhällsstudier</v>
      </c>
      <c r="V367" s="31" t="str">
        <f>VLOOKUP(T367,Orgenheter!$A$1:$C$165,3,FALSE)</f>
        <v>Hum</v>
      </c>
      <c r="W367" s="37" t="str">
        <f>VLOOKUP(D367,Program!$A$1:$B$34,2,FALSE)</f>
        <v>Yrkeslärarprogrammet</v>
      </c>
      <c r="X367" s="42">
        <f>VLOOKUP(A367,kurspris!$A$1:$Q$798,15,FALSE)</f>
        <v>23641</v>
      </c>
      <c r="Y367" s="42">
        <f>VLOOKUP(A367,kurspris!$A$1:$Q$798,16,FALSE)</f>
        <v>28786</v>
      </c>
      <c r="Z367" s="42">
        <f t="shared" si="142"/>
        <v>593345.56666666665</v>
      </c>
      <c r="AA367" s="42">
        <f>VLOOKUP(A367,kurspris!$A$1:$Q$798,17,FALSE)</f>
        <v>5800</v>
      </c>
      <c r="AB367" s="42">
        <f t="shared" si="143"/>
        <v>71533.333333333328</v>
      </c>
      <c r="AC367" s="42">
        <f t="shared" si="144"/>
        <v>664878.9</v>
      </c>
      <c r="AD367" s="31">
        <f>VLOOKUP($A367,kurspris!$A$1:$Q$835,3,FALSE)</f>
        <v>0</v>
      </c>
      <c r="AE367" s="31">
        <f>VLOOKUP($A367,kurspris!$A$1:$Q$835,4,FALSE)</f>
        <v>0</v>
      </c>
      <c r="AF367" s="31">
        <f>VLOOKUP($A367,kurspris!$A$1:$Q$835,5,FALSE)</f>
        <v>0</v>
      </c>
      <c r="AG367" s="31">
        <f>VLOOKUP($A367,kurspris!$A$1:$Q$835,6,FALSE)</f>
        <v>1</v>
      </c>
      <c r="AH367" s="31">
        <f>VLOOKUP($A367,kurspris!$A$1:$Q$835,7,FALSE)</f>
        <v>0</v>
      </c>
      <c r="AI367" s="31">
        <f>VLOOKUP($A367,kurspris!$A$1:$Q$835,8,FALSE)</f>
        <v>0</v>
      </c>
      <c r="AJ367" s="31">
        <f>VLOOKUP($A367,kurspris!$A$1:$Q$835,9,FALSE)</f>
        <v>0</v>
      </c>
      <c r="AK367" s="31">
        <f>VLOOKUP($A367,kurspris!$A$1:$Q$835,10,FALSE)</f>
        <v>0</v>
      </c>
      <c r="AL367" s="31">
        <f>VLOOKUP($A367,kurspris!$A$1:$Q$835,11,FALSE)</f>
        <v>0</v>
      </c>
      <c r="AM367" s="31">
        <f>VLOOKUP($A367,kurspris!$A$1:$Q$835,12,FALSE)</f>
        <v>0</v>
      </c>
      <c r="AN367" s="31">
        <f>VLOOKUP($A367,kurspris!$A$1:$Q$835,13,FALSE)</f>
        <v>0</v>
      </c>
      <c r="AO367" s="31">
        <f>VLOOKUP($A367,kurspris!$A$1:$Q$835,14,FALSE)</f>
        <v>0</v>
      </c>
      <c r="AP367" s="39" t="s">
        <v>2326</v>
      </c>
      <c r="AQ367"/>
      <c r="AR367" s="31">
        <f t="shared" si="145"/>
        <v>0</v>
      </c>
      <c r="AS367" s="255">
        <f t="shared" si="146"/>
        <v>0</v>
      </c>
      <c r="AT367" s="31">
        <f t="shared" si="147"/>
        <v>0</v>
      </c>
      <c r="AU367" s="255">
        <f t="shared" si="148"/>
        <v>0</v>
      </c>
      <c r="AV367" s="31">
        <f t="shared" si="149"/>
        <v>0</v>
      </c>
      <c r="AW367" s="31">
        <f t="shared" si="150"/>
        <v>0</v>
      </c>
      <c r="AX367" s="31">
        <f t="shared" si="151"/>
        <v>12.333333333333332</v>
      </c>
      <c r="AY367" s="255">
        <f t="shared" si="152"/>
        <v>10.483333333333333</v>
      </c>
      <c r="AZ367" s="232">
        <f t="shared" si="153"/>
        <v>0</v>
      </c>
      <c r="BA367" s="255">
        <f t="shared" si="154"/>
        <v>0</v>
      </c>
      <c r="BB367" s="31">
        <f t="shared" si="155"/>
        <v>0</v>
      </c>
      <c r="BC367" s="255">
        <f t="shared" si="156"/>
        <v>0</v>
      </c>
      <c r="BD367" s="31">
        <f t="shared" si="157"/>
        <v>0</v>
      </c>
      <c r="BE367" s="255">
        <f t="shared" si="158"/>
        <v>0</v>
      </c>
      <c r="BF367" s="31">
        <f t="shared" si="159"/>
        <v>0</v>
      </c>
      <c r="BG367" s="255">
        <f t="shared" si="160"/>
        <v>0</v>
      </c>
      <c r="BH367" s="31">
        <f t="shared" si="161"/>
        <v>0</v>
      </c>
      <c r="BI367" s="255">
        <f t="shared" si="162"/>
        <v>0</v>
      </c>
      <c r="BJ367" s="31">
        <f t="shared" si="163"/>
        <v>0</v>
      </c>
      <c r="BK367" s="31">
        <f t="shared" si="164"/>
        <v>0</v>
      </c>
      <c r="BL367" s="255">
        <f t="shared" si="165"/>
        <v>0</v>
      </c>
      <c r="BM367" s="31">
        <f t="shared" si="166"/>
        <v>0</v>
      </c>
      <c r="BN367" s="255">
        <f t="shared" si="167"/>
        <v>0</v>
      </c>
    </row>
    <row r="368" spans="1:66" x14ac:dyDescent="0.25">
      <c r="A368" t="s">
        <v>873</v>
      </c>
      <c r="B368" s="186" t="str">
        <f>VLOOKUP(A368,kurspris!$A$1:$B$877,2,FALSE)</f>
        <v>Samhällsorientering åk 4-6</v>
      </c>
      <c r="C368"/>
      <c r="D368" t="s">
        <v>524</v>
      </c>
      <c r="E368" t="s">
        <v>1994</v>
      </c>
      <c r="F368" s="39" t="s">
        <v>1930</v>
      </c>
      <c r="G368" t="s">
        <v>1995</v>
      </c>
      <c r="H368" t="s">
        <v>1910</v>
      </c>
      <c r="I368"/>
      <c r="J368"/>
      <c r="K368"/>
      <c r="L368">
        <v>100</v>
      </c>
      <c r="M368">
        <v>30</v>
      </c>
      <c r="N368"/>
      <c r="O368"/>
      <c r="P368" s="31">
        <v>1</v>
      </c>
      <c r="Q368" s="232">
        <f t="shared" si="140"/>
        <v>0.5</v>
      </c>
      <c r="R368" s="40">
        <v>0.85</v>
      </c>
      <c r="S368" s="334">
        <f t="shared" si="141"/>
        <v>0.42499999999999999</v>
      </c>
      <c r="T368" s="31">
        <f>VLOOKUP(A368,'Ansvar kurs'!$A$1:$C$1010,2,FALSE)</f>
        <v>1630</v>
      </c>
      <c r="U368" s="31" t="str">
        <f>VLOOKUP(T368,Orgenheter!$A$1:$C$165,2,FALSE)</f>
        <v>Inst för ide- o samhällsstudier</v>
      </c>
      <c r="V368" s="31" t="str">
        <f>VLOOKUP(T368,Orgenheter!$A$1:$C$165,3,FALSE)</f>
        <v>Hum</v>
      </c>
      <c r="W368" s="37" t="str">
        <f>VLOOKUP(D368,Program!$A$1:$B$34,2,FALSE)</f>
        <v>Grundlärarprogrammet - grundskolans åk 4-6</v>
      </c>
      <c r="X368" s="42">
        <f>VLOOKUP(A368,kurspris!$A$1:$Q$798,15,FALSE)</f>
        <v>18405</v>
      </c>
      <c r="Y368" s="42">
        <f>VLOOKUP(A368,kurspris!$A$1:$Q$798,16,FALSE)</f>
        <v>15773</v>
      </c>
      <c r="Z368" s="42">
        <f t="shared" si="142"/>
        <v>15906.025</v>
      </c>
      <c r="AA368" s="42">
        <f>VLOOKUP(A368,kurspris!$A$1:$Q$798,17,FALSE)</f>
        <v>5800</v>
      </c>
      <c r="AB368" s="42">
        <f t="shared" si="143"/>
        <v>2900</v>
      </c>
      <c r="AC368" s="42">
        <f t="shared" si="144"/>
        <v>18806.025000000001</v>
      </c>
      <c r="AD368" s="31">
        <f>VLOOKUP($A368,kurspris!$A$1:$Q$835,3,FALSE)</f>
        <v>0</v>
      </c>
      <c r="AE368" s="31">
        <f>VLOOKUP($A368,kurspris!$A$1:$Q$835,4,FALSE)</f>
        <v>1</v>
      </c>
      <c r="AF368" s="31">
        <f>VLOOKUP($A368,kurspris!$A$1:$Q$835,5,FALSE)</f>
        <v>0</v>
      </c>
      <c r="AG368" s="31">
        <f>VLOOKUP($A368,kurspris!$A$1:$Q$835,6,FALSE)</f>
        <v>0</v>
      </c>
      <c r="AH368" s="31">
        <f>VLOOKUP($A368,kurspris!$A$1:$Q$835,7,FALSE)</f>
        <v>0</v>
      </c>
      <c r="AI368" s="31">
        <f>VLOOKUP($A368,kurspris!$A$1:$Q$835,8,FALSE)</f>
        <v>0</v>
      </c>
      <c r="AJ368" s="31">
        <f>VLOOKUP($A368,kurspris!$A$1:$Q$835,9,FALSE)</f>
        <v>0</v>
      </c>
      <c r="AK368" s="31">
        <f>VLOOKUP($A368,kurspris!$A$1:$Q$835,10,FALSE)</f>
        <v>0</v>
      </c>
      <c r="AL368" s="31">
        <f>VLOOKUP($A368,kurspris!$A$1:$Q$835,11,FALSE)</f>
        <v>0</v>
      </c>
      <c r="AM368" s="31">
        <f>VLOOKUP($A368,kurspris!$A$1:$Q$835,12,FALSE)</f>
        <v>0</v>
      </c>
      <c r="AN368" s="31">
        <f>VLOOKUP($A368,kurspris!$A$1:$Q$835,13,FALSE)</f>
        <v>0</v>
      </c>
      <c r="AO368" s="31">
        <f>VLOOKUP($A368,kurspris!$A$1:$Q$835,14,FALSE)</f>
        <v>0</v>
      </c>
      <c r="AP368" s="39" t="s">
        <v>2204</v>
      </c>
      <c r="AQ368"/>
      <c r="AR368" s="31">
        <f t="shared" si="145"/>
        <v>0</v>
      </c>
      <c r="AS368" s="255">
        <f t="shared" si="146"/>
        <v>0</v>
      </c>
      <c r="AT368" s="31">
        <f t="shared" si="147"/>
        <v>0.5</v>
      </c>
      <c r="AU368" s="255">
        <f t="shared" si="148"/>
        <v>0.42499999999999999</v>
      </c>
      <c r="AV368" s="31">
        <f t="shared" si="149"/>
        <v>0</v>
      </c>
      <c r="AW368" s="31">
        <f t="shared" si="150"/>
        <v>0</v>
      </c>
      <c r="AX368" s="31">
        <f t="shared" si="151"/>
        <v>0</v>
      </c>
      <c r="AY368" s="255">
        <f t="shared" si="152"/>
        <v>0</v>
      </c>
      <c r="AZ368" s="232">
        <f t="shared" si="153"/>
        <v>0</v>
      </c>
      <c r="BA368" s="255">
        <f t="shared" si="154"/>
        <v>0</v>
      </c>
      <c r="BB368" s="31">
        <f t="shared" si="155"/>
        <v>0</v>
      </c>
      <c r="BC368" s="255">
        <f t="shared" si="156"/>
        <v>0</v>
      </c>
      <c r="BD368" s="31">
        <f t="shared" si="157"/>
        <v>0</v>
      </c>
      <c r="BE368" s="255">
        <f t="shared" si="158"/>
        <v>0</v>
      </c>
      <c r="BF368" s="31">
        <f t="shared" si="159"/>
        <v>0</v>
      </c>
      <c r="BG368" s="255">
        <f t="shared" si="160"/>
        <v>0</v>
      </c>
      <c r="BH368" s="31">
        <f t="shared" si="161"/>
        <v>0</v>
      </c>
      <c r="BI368" s="255">
        <f t="shared" si="162"/>
        <v>0</v>
      </c>
      <c r="BJ368" s="31">
        <f t="shared" si="163"/>
        <v>0</v>
      </c>
      <c r="BK368" s="31">
        <f t="shared" si="164"/>
        <v>0</v>
      </c>
      <c r="BL368" s="255">
        <f t="shared" si="165"/>
        <v>0</v>
      </c>
      <c r="BM368" s="31">
        <f t="shared" si="166"/>
        <v>0</v>
      </c>
      <c r="BN368" s="255">
        <f t="shared" si="167"/>
        <v>0</v>
      </c>
    </row>
    <row r="369" spans="1:66" x14ac:dyDescent="0.25">
      <c r="A369" t="s">
        <v>873</v>
      </c>
      <c r="B369" s="186" t="str">
        <f>VLOOKUP(A369,kurspris!$A$1:$B$877,2,FALSE)</f>
        <v>Samhällsorientering åk 4-6</v>
      </c>
      <c r="C369"/>
      <c r="D369" t="s">
        <v>524</v>
      </c>
      <c r="E369" t="s">
        <v>1973</v>
      </c>
      <c r="F369" s="39" t="s">
        <v>1930</v>
      </c>
      <c r="G369" t="s">
        <v>1995</v>
      </c>
      <c r="H369" t="s">
        <v>1910</v>
      </c>
      <c r="I369"/>
      <c r="J369"/>
      <c r="K369"/>
      <c r="L369">
        <v>100</v>
      </c>
      <c r="M369">
        <v>30</v>
      </c>
      <c r="N369"/>
      <c r="O369"/>
      <c r="P369" s="31">
        <v>13</v>
      </c>
      <c r="Q369" s="232">
        <f t="shared" si="140"/>
        <v>6.5</v>
      </c>
      <c r="R369" s="40">
        <v>0.85</v>
      </c>
      <c r="S369" s="334">
        <f t="shared" si="141"/>
        <v>5.5249999999999995</v>
      </c>
      <c r="T369" s="31">
        <f>VLOOKUP(A369,'Ansvar kurs'!$A$1:$C$1010,2,FALSE)</f>
        <v>1630</v>
      </c>
      <c r="U369" s="31" t="str">
        <f>VLOOKUP(T369,Orgenheter!$A$1:$C$165,2,FALSE)</f>
        <v>Inst för ide- o samhällsstudier</v>
      </c>
      <c r="V369" s="31" t="str">
        <f>VLOOKUP(T369,Orgenheter!$A$1:$C$165,3,FALSE)</f>
        <v>Hum</v>
      </c>
      <c r="W369" s="37" t="str">
        <f>VLOOKUP(D369,Program!$A$1:$B$34,2,FALSE)</f>
        <v>Grundlärarprogrammet - grundskolans åk 4-6</v>
      </c>
      <c r="X369" s="42">
        <f>VLOOKUP(A369,kurspris!$A$1:$Q$798,15,FALSE)</f>
        <v>18405</v>
      </c>
      <c r="Y369" s="42">
        <f>VLOOKUP(A369,kurspris!$A$1:$Q$798,16,FALSE)</f>
        <v>15773</v>
      </c>
      <c r="Z369" s="42">
        <f t="shared" si="142"/>
        <v>206778.32500000001</v>
      </c>
      <c r="AA369" s="42">
        <f>VLOOKUP(A369,kurspris!$A$1:$Q$798,17,FALSE)</f>
        <v>5800</v>
      </c>
      <c r="AB369" s="42">
        <f t="shared" si="143"/>
        <v>37700</v>
      </c>
      <c r="AC369" s="42">
        <f t="shared" si="144"/>
        <v>244478.32500000001</v>
      </c>
      <c r="AD369" s="31">
        <f>VLOOKUP($A369,kurspris!$A$1:$Q$835,3,FALSE)</f>
        <v>0</v>
      </c>
      <c r="AE369" s="31">
        <f>VLOOKUP($A369,kurspris!$A$1:$Q$835,4,FALSE)</f>
        <v>1</v>
      </c>
      <c r="AF369" s="31">
        <f>VLOOKUP($A369,kurspris!$A$1:$Q$835,5,FALSE)</f>
        <v>0</v>
      </c>
      <c r="AG369" s="31">
        <f>VLOOKUP($A369,kurspris!$A$1:$Q$835,6,FALSE)</f>
        <v>0</v>
      </c>
      <c r="AH369" s="31">
        <f>VLOOKUP($A369,kurspris!$A$1:$Q$835,7,FALSE)</f>
        <v>0</v>
      </c>
      <c r="AI369" s="31">
        <f>VLOOKUP($A369,kurspris!$A$1:$Q$835,8,FALSE)</f>
        <v>0</v>
      </c>
      <c r="AJ369" s="31">
        <f>VLOOKUP($A369,kurspris!$A$1:$Q$835,9,FALSE)</f>
        <v>0</v>
      </c>
      <c r="AK369" s="31">
        <f>VLOOKUP($A369,kurspris!$A$1:$Q$835,10,FALSE)</f>
        <v>0</v>
      </c>
      <c r="AL369" s="31">
        <f>VLOOKUP($A369,kurspris!$A$1:$Q$835,11,FALSE)</f>
        <v>0</v>
      </c>
      <c r="AM369" s="31">
        <f>VLOOKUP($A369,kurspris!$A$1:$Q$835,12,FALSE)</f>
        <v>0</v>
      </c>
      <c r="AN369" s="31">
        <f>VLOOKUP($A369,kurspris!$A$1:$Q$835,13,FALSE)</f>
        <v>0</v>
      </c>
      <c r="AO369" s="31">
        <f>VLOOKUP($A369,kurspris!$A$1:$Q$835,14,FALSE)</f>
        <v>0</v>
      </c>
      <c r="AP369" s="39" t="s">
        <v>2204</v>
      </c>
      <c r="AQ369"/>
      <c r="AR369" s="31">
        <f t="shared" si="145"/>
        <v>0</v>
      </c>
      <c r="AS369" s="255">
        <f t="shared" si="146"/>
        <v>0</v>
      </c>
      <c r="AT369" s="31">
        <f t="shared" si="147"/>
        <v>6.5</v>
      </c>
      <c r="AU369" s="255">
        <f t="shared" si="148"/>
        <v>5.5249999999999995</v>
      </c>
      <c r="AV369" s="31">
        <f t="shared" si="149"/>
        <v>0</v>
      </c>
      <c r="AW369" s="31">
        <f t="shared" si="150"/>
        <v>0</v>
      </c>
      <c r="AX369" s="31">
        <f t="shared" si="151"/>
        <v>0</v>
      </c>
      <c r="AY369" s="255">
        <f t="shared" si="152"/>
        <v>0</v>
      </c>
      <c r="AZ369" s="232">
        <f t="shared" si="153"/>
        <v>0</v>
      </c>
      <c r="BA369" s="255">
        <f t="shared" si="154"/>
        <v>0</v>
      </c>
      <c r="BB369" s="31">
        <f t="shared" si="155"/>
        <v>0</v>
      </c>
      <c r="BC369" s="255">
        <f t="shared" si="156"/>
        <v>0</v>
      </c>
      <c r="BD369" s="31">
        <f t="shared" si="157"/>
        <v>0</v>
      </c>
      <c r="BE369" s="255">
        <f t="shared" si="158"/>
        <v>0</v>
      </c>
      <c r="BF369" s="31">
        <f t="shared" si="159"/>
        <v>0</v>
      </c>
      <c r="BG369" s="255">
        <f t="shared" si="160"/>
        <v>0</v>
      </c>
      <c r="BH369" s="31">
        <f t="shared" si="161"/>
        <v>0</v>
      </c>
      <c r="BI369" s="255">
        <f t="shared" si="162"/>
        <v>0</v>
      </c>
      <c r="BJ369" s="31">
        <f t="shared" si="163"/>
        <v>0</v>
      </c>
      <c r="BK369" s="31">
        <f t="shared" si="164"/>
        <v>0</v>
      </c>
      <c r="BL369" s="255">
        <f t="shared" si="165"/>
        <v>0</v>
      </c>
      <c r="BM369" s="31">
        <f t="shared" si="166"/>
        <v>0</v>
      </c>
      <c r="BN369" s="255">
        <f t="shared" si="167"/>
        <v>0</v>
      </c>
    </row>
    <row r="370" spans="1:66" x14ac:dyDescent="0.25">
      <c r="A370" s="18" t="s">
        <v>1152</v>
      </c>
      <c r="B370" s="186" t="str">
        <f>VLOOKUP(A370,kurspris!$A$1:$B$877,2,FALSE)</f>
        <v>Kunskap, vetenskap och forskningsmetodik, 7,5 hp</v>
      </c>
      <c r="C370" s="37"/>
      <c r="D370" s="31" t="s">
        <v>483</v>
      </c>
      <c r="E370" s="31" t="s">
        <v>1609</v>
      </c>
      <c r="F370" s="59" t="s">
        <v>1931</v>
      </c>
      <c r="G370" s="31" t="s">
        <v>2277</v>
      </c>
      <c r="J370" t="s">
        <v>1593</v>
      </c>
      <c r="L370" s="31">
        <v>100</v>
      </c>
      <c r="M370" s="31">
        <v>7.5</v>
      </c>
      <c r="P370" s="31">
        <v>1</v>
      </c>
      <c r="Q370" s="232">
        <f t="shared" si="140"/>
        <v>0.125</v>
      </c>
      <c r="R370" s="40">
        <v>0.85</v>
      </c>
      <c r="S370" s="334">
        <f t="shared" si="141"/>
        <v>0.10625</v>
      </c>
      <c r="T370" s="31">
        <f>VLOOKUP(A370,'Ansvar kurs'!$A$1:$C$1010,2,FALSE)</f>
        <v>1630</v>
      </c>
      <c r="U370" s="31" t="str">
        <f>VLOOKUP(T370,Orgenheter!$A$1:$C$165,2,FALSE)</f>
        <v>Inst för ide- o samhällsstudier</v>
      </c>
      <c r="V370" s="31" t="str">
        <f>VLOOKUP(T370,Orgenheter!$A$1:$C$165,3,FALSE)</f>
        <v>Hum</v>
      </c>
      <c r="W370" s="37" t="str">
        <f>VLOOKUP(D370,Program!$A$1:$B$34,2,FALSE)</f>
        <v>Ämneslärarprogrammet - Gy</v>
      </c>
      <c r="X370" s="42">
        <f>VLOOKUP(A370,kurspris!$A$1:$Q$798,15,FALSE)</f>
        <v>23641</v>
      </c>
      <c r="Y370" s="42">
        <f>VLOOKUP(A370,kurspris!$A$1:$Q$798,16,FALSE)</f>
        <v>28786</v>
      </c>
      <c r="Z370" s="42">
        <f t="shared" si="142"/>
        <v>6013.6374999999998</v>
      </c>
      <c r="AA370" s="42">
        <f>VLOOKUP(A370,kurspris!$A$1:$Q$798,17,FALSE)</f>
        <v>5800</v>
      </c>
      <c r="AB370" s="42">
        <f t="shared" si="143"/>
        <v>725</v>
      </c>
      <c r="AC370" s="42">
        <f t="shared" si="144"/>
        <v>6738.6374999999998</v>
      </c>
      <c r="AD370" s="31">
        <f>VLOOKUP($A370,kurspris!$A$1:$Q$835,3,FALSE)</f>
        <v>0</v>
      </c>
      <c r="AE370" s="31">
        <f>VLOOKUP($A370,kurspris!$A$1:$Q$835,4,FALSE)</f>
        <v>0</v>
      </c>
      <c r="AF370" s="31">
        <f>VLOOKUP($A370,kurspris!$A$1:$Q$835,5,FALSE)</f>
        <v>0</v>
      </c>
      <c r="AG370" s="31">
        <f>VLOOKUP($A370,kurspris!$A$1:$Q$835,6,FALSE)</f>
        <v>1</v>
      </c>
      <c r="AH370" s="31">
        <f>VLOOKUP($A370,kurspris!$A$1:$Q$835,7,FALSE)</f>
        <v>0</v>
      </c>
      <c r="AI370" s="31">
        <f>VLOOKUP($A370,kurspris!$A$1:$Q$835,8,FALSE)</f>
        <v>0</v>
      </c>
      <c r="AJ370" s="31">
        <f>VLOOKUP($A370,kurspris!$A$1:$Q$835,9,FALSE)</f>
        <v>0</v>
      </c>
      <c r="AK370" s="31">
        <f>VLOOKUP($A370,kurspris!$A$1:$Q$835,10,FALSE)</f>
        <v>0</v>
      </c>
      <c r="AL370" s="31">
        <f>VLOOKUP($A370,kurspris!$A$1:$Q$835,11,FALSE)</f>
        <v>0</v>
      </c>
      <c r="AM370" s="31">
        <f>VLOOKUP($A370,kurspris!$A$1:$Q$835,12,FALSE)</f>
        <v>0</v>
      </c>
      <c r="AN370" s="31">
        <f>VLOOKUP($A370,kurspris!$A$1:$Q$835,13,FALSE)</f>
        <v>0</v>
      </c>
      <c r="AO370" s="31">
        <f>VLOOKUP($A370,kurspris!$A$1:$Q$835,14,FALSE)</f>
        <v>0</v>
      </c>
      <c r="AP370" s="39" t="s">
        <v>2326</v>
      </c>
      <c r="AQ370"/>
      <c r="AR370" s="31">
        <f t="shared" si="145"/>
        <v>0</v>
      </c>
      <c r="AS370" s="255">
        <f t="shared" si="146"/>
        <v>0</v>
      </c>
      <c r="AT370" s="31">
        <f t="shared" si="147"/>
        <v>0</v>
      </c>
      <c r="AU370" s="255">
        <f t="shared" si="148"/>
        <v>0</v>
      </c>
      <c r="AV370" s="31">
        <f t="shared" si="149"/>
        <v>0</v>
      </c>
      <c r="AW370" s="31">
        <f t="shared" si="150"/>
        <v>0</v>
      </c>
      <c r="AX370" s="31">
        <f t="shared" si="151"/>
        <v>0.125</v>
      </c>
      <c r="AY370" s="255">
        <f t="shared" si="152"/>
        <v>0.10625</v>
      </c>
      <c r="AZ370" s="232">
        <f t="shared" si="153"/>
        <v>0</v>
      </c>
      <c r="BA370" s="255">
        <f t="shared" si="154"/>
        <v>0</v>
      </c>
      <c r="BB370" s="31">
        <f t="shared" si="155"/>
        <v>0</v>
      </c>
      <c r="BC370" s="255">
        <f t="shared" si="156"/>
        <v>0</v>
      </c>
      <c r="BD370" s="31">
        <f t="shared" si="157"/>
        <v>0</v>
      </c>
      <c r="BE370" s="255">
        <f t="shared" si="158"/>
        <v>0</v>
      </c>
      <c r="BF370" s="31">
        <f t="shared" si="159"/>
        <v>0</v>
      </c>
      <c r="BG370" s="255">
        <f t="shared" si="160"/>
        <v>0</v>
      </c>
      <c r="BH370" s="31">
        <f t="shared" si="161"/>
        <v>0</v>
      </c>
      <c r="BI370" s="255">
        <f t="shared" si="162"/>
        <v>0</v>
      </c>
      <c r="BJ370" s="31">
        <f t="shared" si="163"/>
        <v>0</v>
      </c>
      <c r="BK370" s="31">
        <f t="shared" si="164"/>
        <v>0</v>
      </c>
      <c r="BL370" s="255">
        <f t="shared" si="165"/>
        <v>0</v>
      </c>
      <c r="BM370" s="31">
        <f t="shared" si="166"/>
        <v>0</v>
      </c>
      <c r="BN370" s="255">
        <f t="shared" si="167"/>
        <v>0</v>
      </c>
    </row>
    <row r="371" spans="1:66" x14ac:dyDescent="0.25">
      <c r="A371" s="18" t="s">
        <v>1152</v>
      </c>
      <c r="B371" s="186" t="str">
        <f>VLOOKUP(A371,kurspris!$A$1:$B$877,2,FALSE)</f>
        <v>Kunskap, vetenskap och forskningsmetodik, 7,5 hp</v>
      </c>
      <c r="C371" s="37"/>
      <c r="D371" s="31" t="s">
        <v>483</v>
      </c>
      <c r="E371" s="31" t="s">
        <v>1788</v>
      </c>
      <c r="F371" s="59" t="s">
        <v>1931</v>
      </c>
      <c r="G371" s="31" t="s">
        <v>2277</v>
      </c>
      <c r="J371" t="s">
        <v>771</v>
      </c>
      <c r="L371" s="31">
        <v>100</v>
      </c>
      <c r="M371" s="31">
        <v>7.5</v>
      </c>
      <c r="P371" s="31">
        <v>1</v>
      </c>
      <c r="Q371" s="232">
        <f t="shared" si="140"/>
        <v>0.125</v>
      </c>
      <c r="R371" s="40">
        <v>0.85</v>
      </c>
      <c r="S371" s="334">
        <f t="shared" si="141"/>
        <v>0.10625</v>
      </c>
      <c r="T371" s="31">
        <f>VLOOKUP(A371,'Ansvar kurs'!$A$1:$C$1010,2,FALSE)</f>
        <v>1630</v>
      </c>
      <c r="U371" s="31" t="str">
        <f>VLOOKUP(T371,Orgenheter!$A$1:$C$165,2,FALSE)</f>
        <v>Inst för ide- o samhällsstudier</v>
      </c>
      <c r="V371" s="31" t="str">
        <f>VLOOKUP(T371,Orgenheter!$A$1:$C$165,3,FALSE)</f>
        <v>Hum</v>
      </c>
      <c r="W371" s="37" t="str">
        <f>VLOOKUP(D371,Program!$A$1:$B$34,2,FALSE)</f>
        <v>Ämneslärarprogrammet - Gy</v>
      </c>
      <c r="X371" s="42">
        <f>VLOOKUP(A371,kurspris!$A$1:$Q$798,15,FALSE)</f>
        <v>23641</v>
      </c>
      <c r="Y371" s="42">
        <f>VLOOKUP(A371,kurspris!$A$1:$Q$798,16,FALSE)</f>
        <v>28786</v>
      </c>
      <c r="Z371" s="42">
        <f t="shared" si="142"/>
        <v>6013.6374999999998</v>
      </c>
      <c r="AA371" s="42">
        <f>VLOOKUP(A371,kurspris!$A$1:$Q$798,17,FALSE)</f>
        <v>5800</v>
      </c>
      <c r="AB371" s="42">
        <f t="shared" si="143"/>
        <v>725</v>
      </c>
      <c r="AC371" s="42">
        <f t="shared" si="144"/>
        <v>6738.6374999999998</v>
      </c>
      <c r="AD371" s="31">
        <f>VLOOKUP($A371,kurspris!$A$1:$Q$835,3,FALSE)</f>
        <v>0</v>
      </c>
      <c r="AE371" s="31">
        <f>VLOOKUP($A371,kurspris!$A$1:$Q$835,4,FALSE)</f>
        <v>0</v>
      </c>
      <c r="AF371" s="31">
        <f>VLOOKUP($A371,kurspris!$A$1:$Q$835,5,FALSE)</f>
        <v>0</v>
      </c>
      <c r="AG371" s="31">
        <f>VLOOKUP($A371,kurspris!$A$1:$Q$835,6,FALSE)</f>
        <v>1</v>
      </c>
      <c r="AH371" s="31">
        <f>VLOOKUP($A371,kurspris!$A$1:$Q$835,7,FALSE)</f>
        <v>0</v>
      </c>
      <c r="AI371" s="31">
        <f>VLOOKUP($A371,kurspris!$A$1:$Q$835,8,FALSE)</f>
        <v>0</v>
      </c>
      <c r="AJ371" s="31">
        <f>VLOOKUP($A371,kurspris!$A$1:$Q$835,9,FALSE)</f>
        <v>0</v>
      </c>
      <c r="AK371" s="31">
        <f>VLOOKUP($A371,kurspris!$A$1:$Q$835,10,FALSE)</f>
        <v>0</v>
      </c>
      <c r="AL371" s="31">
        <f>VLOOKUP($A371,kurspris!$A$1:$Q$835,11,FALSE)</f>
        <v>0</v>
      </c>
      <c r="AM371" s="31">
        <f>VLOOKUP($A371,kurspris!$A$1:$Q$835,12,FALSE)</f>
        <v>0</v>
      </c>
      <c r="AN371" s="31">
        <f>VLOOKUP($A371,kurspris!$A$1:$Q$835,13,FALSE)</f>
        <v>0</v>
      </c>
      <c r="AO371" s="31">
        <f>VLOOKUP($A371,kurspris!$A$1:$Q$835,14,FALSE)</f>
        <v>0</v>
      </c>
      <c r="AP371" s="39" t="s">
        <v>2326</v>
      </c>
      <c r="AQ371"/>
      <c r="AR371" s="31">
        <f t="shared" si="145"/>
        <v>0</v>
      </c>
      <c r="AS371" s="255">
        <f t="shared" si="146"/>
        <v>0</v>
      </c>
      <c r="AT371" s="31">
        <f t="shared" si="147"/>
        <v>0</v>
      </c>
      <c r="AU371" s="255">
        <f t="shared" si="148"/>
        <v>0</v>
      </c>
      <c r="AV371" s="31">
        <f t="shared" si="149"/>
        <v>0</v>
      </c>
      <c r="AW371" s="31">
        <f t="shared" si="150"/>
        <v>0</v>
      </c>
      <c r="AX371" s="31">
        <f t="shared" si="151"/>
        <v>0.125</v>
      </c>
      <c r="AY371" s="255">
        <f t="shared" si="152"/>
        <v>0.10625</v>
      </c>
      <c r="AZ371" s="232">
        <f t="shared" si="153"/>
        <v>0</v>
      </c>
      <c r="BA371" s="255">
        <f t="shared" si="154"/>
        <v>0</v>
      </c>
      <c r="BB371" s="31">
        <f t="shared" si="155"/>
        <v>0</v>
      </c>
      <c r="BC371" s="255">
        <f t="shared" si="156"/>
        <v>0</v>
      </c>
      <c r="BD371" s="31">
        <f t="shared" si="157"/>
        <v>0</v>
      </c>
      <c r="BE371" s="255">
        <f t="shared" si="158"/>
        <v>0</v>
      </c>
      <c r="BF371" s="31">
        <f t="shared" si="159"/>
        <v>0</v>
      </c>
      <c r="BG371" s="255">
        <f t="shared" si="160"/>
        <v>0</v>
      </c>
      <c r="BH371" s="31">
        <f t="shared" si="161"/>
        <v>0</v>
      </c>
      <c r="BI371" s="255">
        <f t="shared" si="162"/>
        <v>0</v>
      </c>
      <c r="BJ371" s="31">
        <f t="shared" si="163"/>
        <v>0</v>
      </c>
      <c r="BK371" s="31">
        <f t="shared" si="164"/>
        <v>0</v>
      </c>
      <c r="BL371" s="255">
        <f t="shared" si="165"/>
        <v>0</v>
      </c>
      <c r="BM371" s="31">
        <f t="shared" si="166"/>
        <v>0</v>
      </c>
      <c r="BN371" s="255">
        <f t="shared" si="167"/>
        <v>0</v>
      </c>
    </row>
    <row r="372" spans="1:66" x14ac:dyDescent="0.25">
      <c r="A372" s="18" t="s">
        <v>1152</v>
      </c>
      <c r="B372" s="186" t="str">
        <f>VLOOKUP(A372,kurspris!$A$1:$B$877,2,FALSE)</f>
        <v>Kunskap, vetenskap och forskningsmetodik, 7,5 hp</v>
      </c>
      <c r="C372" s="37"/>
      <c r="D372" s="31" t="s">
        <v>483</v>
      </c>
      <c r="E372" s="31" t="s">
        <v>1788</v>
      </c>
      <c r="F372" s="59" t="s">
        <v>1931</v>
      </c>
      <c r="G372" s="31" t="s">
        <v>2277</v>
      </c>
      <c r="J372" t="s">
        <v>777</v>
      </c>
      <c r="L372" s="31">
        <v>100</v>
      </c>
      <c r="M372" s="31">
        <v>7.5</v>
      </c>
      <c r="P372" s="31">
        <v>1</v>
      </c>
      <c r="Q372" s="232">
        <f t="shared" si="140"/>
        <v>0.125</v>
      </c>
      <c r="R372" s="40">
        <v>0.85</v>
      </c>
      <c r="S372" s="334">
        <f t="shared" si="141"/>
        <v>0.10625</v>
      </c>
      <c r="T372" s="31">
        <f>VLOOKUP(A372,'Ansvar kurs'!$A$1:$C$1010,2,FALSE)</f>
        <v>1630</v>
      </c>
      <c r="U372" s="31" t="str">
        <f>VLOOKUP(T372,Orgenheter!$A$1:$C$165,2,FALSE)</f>
        <v>Inst för ide- o samhällsstudier</v>
      </c>
      <c r="V372" s="31" t="str">
        <f>VLOOKUP(T372,Orgenheter!$A$1:$C$165,3,FALSE)</f>
        <v>Hum</v>
      </c>
      <c r="W372" s="37" t="str">
        <f>VLOOKUP(D372,Program!$A$1:$B$34,2,FALSE)</f>
        <v>Ämneslärarprogrammet - Gy</v>
      </c>
      <c r="X372" s="42">
        <f>VLOOKUP(A372,kurspris!$A$1:$Q$798,15,FALSE)</f>
        <v>23641</v>
      </c>
      <c r="Y372" s="42">
        <f>VLOOKUP(A372,kurspris!$A$1:$Q$798,16,FALSE)</f>
        <v>28786</v>
      </c>
      <c r="Z372" s="42">
        <f t="shared" si="142"/>
        <v>6013.6374999999998</v>
      </c>
      <c r="AA372" s="42">
        <f>VLOOKUP(A372,kurspris!$A$1:$Q$798,17,FALSE)</f>
        <v>5800</v>
      </c>
      <c r="AB372" s="42">
        <f t="shared" si="143"/>
        <v>725</v>
      </c>
      <c r="AC372" s="42">
        <f t="shared" si="144"/>
        <v>6738.6374999999998</v>
      </c>
      <c r="AD372" s="31">
        <f>VLOOKUP($A372,kurspris!$A$1:$Q$835,3,FALSE)</f>
        <v>0</v>
      </c>
      <c r="AE372" s="31">
        <f>VLOOKUP($A372,kurspris!$A$1:$Q$835,4,FALSE)</f>
        <v>0</v>
      </c>
      <c r="AF372" s="31">
        <f>VLOOKUP($A372,kurspris!$A$1:$Q$835,5,FALSE)</f>
        <v>0</v>
      </c>
      <c r="AG372" s="31">
        <f>VLOOKUP($A372,kurspris!$A$1:$Q$835,6,FALSE)</f>
        <v>1</v>
      </c>
      <c r="AH372" s="31">
        <f>VLOOKUP($A372,kurspris!$A$1:$Q$835,7,FALSE)</f>
        <v>0</v>
      </c>
      <c r="AI372" s="31">
        <f>VLOOKUP($A372,kurspris!$A$1:$Q$835,8,FALSE)</f>
        <v>0</v>
      </c>
      <c r="AJ372" s="31">
        <f>VLOOKUP($A372,kurspris!$A$1:$Q$835,9,FALSE)</f>
        <v>0</v>
      </c>
      <c r="AK372" s="31">
        <f>VLOOKUP($A372,kurspris!$A$1:$Q$835,10,FALSE)</f>
        <v>0</v>
      </c>
      <c r="AL372" s="31">
        <f>VLOOKUP($A372,kurspris!$A$1:$Q$835,11,FALSE)</f>
        <v>0</v>
      </c>
      <c r="AM372" s="31">
        <f>VLOOKUP($A372,kurspris!$A$1:$Q$835,12,FALSE)</f>
        <v>0</v>
      </c>
      <c r="AN372" s="31">
        <f>VLOOKUP($A372,kurspris!$A$1:$Q$835,13,FALSE)</f>
        <v>0</v>
      </c>
      <c r="AO372" s="31">
        <f>VLOOKUP($A372,kurspris!$A$1:$Q$835,14,FALSE)</f>
        <v>0</v>
      </c>
      <c r="AP372" s="39" t="s">
        <v>2326</v>
      </c>
      <c r="AQ372"/>
      <c r="AR372" s="31">
        <f t="shared" si="145"/>
        <v>0</v>
      </c>
      <c r="AS372" s="255">
        <f t="shared" si="146"/>
        <v>0</v>
      </c>
      <c r="AT372" s="31">
        <f t="shared" si="147"/>
        <v>0</v>
      </c>
      <c r="AU372" s="255">
        <f t="shared" si="148"/>
        <v>0</v>
      </c>
      <c r="AV372" s="31">
        <f t="shared" si="149"/>
        <v>0</v>
      </c>
      <c r="AW372" s="31">
        <f t="shared" si="150"/>
        <v>0</v>
      </c>
      <c r="AX372" s="31">
        <f t="shared" si="151"/>
        <v>0.125</v>
      </c>
      <c r="AY372" s="255">
        <f t="shared" si="152"/>
        <v>0.10625</v>
      </c>
      <c r="AZ372" s="232">
        <f t="shared" si="153"/>
        <v>0</v>
      </c>
      <c r="BA372" s="255">
        <f t="shared" si="154"/>
        <v>0</v>
      </c>
      <c r="BB372" s="31">
        <f t="shared" si="155"/>
        <v>0</v>
      </c>
      <c r="BC372" s="255">
        <f t="shared" si="156"/>
        <v>0</v>
      </c>
      <c r="BD372" s="31">
        <f t="shared" si="157"/>
        <v>0</v>
      </c>
      <c r="BE372" s="255">
        <f t="shared" si="158"/>
        <v>0</v>
      </c>
      <c r="BF372" s="31">
        <f t="shared" si="159"/>
        <v>0</v>
      </c>
      <c r="BG372" s="255">
        <f t="shared" si="160"/>
        <v>0</v>
      </c>
      <c r="BH372" s="31">
        <f t="shared" si="161"/>
        <v>0</v>
      </c>
      <c r="BI372" s="255">
        <f t="shared" si="162"/>
        <v>0</v>
      </c>
      <c r="BJ372" s="31">
        <f t="shared" si="163"/>
        <v>0</v>
      </c>
      <c r="BK372" s="31">
        <f t="shared" si="164"/>
        <v>0</v>
      </c>
      <c r="BL372" s="255">
        <f t="shared" si="165"/>
        <v>0</v>
      </c>
      <c r="BM372" s="31">
        <f t="shared" si="166"/>
        <v>0</v>
      </c>
      <c r="BN372" s="255">
        <f t="shared" si="167"/>
        <v>0</v>
      </c>
    </row>
    <row r="373" spans="1:66" x14ac:dyDescent="0.25">
      <c r="A373" s="18" t="s">
        <v>1152</v>
      </c>
      <c r="B373" s="186" t="str">
        <f>VLOOKUP(A373,kurspris!$A$1:$B$877,2,FALSE)</f>
        <v>Kunskap, vetenskap och forskningsmetodik, 7,5 hp</v>
      </c>
      <c r="C373" s="37"/>
      <c r="D373" s="31" t="s">
        <v>483</v>
      </c>
      <c r="E373" s="31" t="s">
        <v>1931</v>
      </c>
      <c r="F373" s="59" t="s">
        <v>1931</v>
      </c>
      <c r="G373" s="31" t="s">
        <v>2277</v>
      </c>
      <c r="J373" t="s">
        <v>1952</v>
      </c>
      <c r="L373" s="31">
        <v>100</v>
      </c>
      <c r="M373" s="31">
        <v>7.5</v>
      </c>
      <c r="P373" s="31">
        <v>4</v>
      </c>
      <c r="Q373" s="232">
        <f t="shared" si="140"/>
        <v>0.5</v>
      </c>
      <c r="R373" s="40">
        <v>0.85</v>
      </c>
      <c r="S373" s="334">
        <f t="shared" si="141"/>
        <v>0.42499999999999999</v>
      </c>
      <c r="T373" s="31">
        <f>VLOOKUP(A373,'Ansvar kurs'!$A$1:$C$1010,2,FALSE)</f>
        <v>1630</v>
      </c>
      <c r="U373" s="31" t="str">
        <f>VLOOKUP(T373,Orgenheter!$A$1:$C$165,2,FALSE)</f>
        <v>Inst för ide- o samhällsstudier</v>
      </c>
      <c r="V373" s="31" t="str">
        <f>VLOOKUP(T373,Orgenheter!$A$1:$C$165,3,FALSE)</f>
        <v>Hum</v>
      </c>
      <c r="W373" s="37" t="str">
        <f>VLOOKUP(D373,Program!$A$1:$B$34,2,FALSE)</f>
        <v>Ämneslärarprogrammet - Gy</v>
      </c>
      <c r="X373" s="42">
        <f>VLOOKUP(A373,kurspris!$A$1:$Q$798,15,FALSE)</f>
        <v>23641</v>
      </c>
      <c r="Y373" s="42">
        <f>VLOOKUP(A373,kurspris!$A$1:$Q$798,16,FALSE)</f>
        <v>28786</v>
      </c>
      <c r="Z373" s="42">
        <f t="shared" si="142"/>
        <v>24054.55</v>
      </c>
      <c r="AA373" s="42">
        <f>VLOOKUP(A373,kurspris!$A$1:$Q$798,17,FALSE)</f>
        <v>5800</v>
      </c>
      <c r="AB373" s="42">
        <f t="shared" si="143"/>
        <v>2900</v>
      </c>
      <c r="AC373" s="42">
        <f t="shared" si="144"/>
        <v>26954.55</v>
      </c>
      <c r="AD373" s="31">
        <f>VLOOKUP($A373,kurspris!$A$1:$Q$835,3,FALSE)</f>
        <v>0</v>
      </c>
      <c r="AE373" s="31">
        <f>VLOOKUP($A373,kurspris!$A$1:$Q$835,4,FALSE)</f>
        <v>0</v>
      </c>
      <c r="AF373" s="31">
        <f>VLOOKUP($A373,kurspris!$A$1:$Q$835,5,FALSE)</f>
        <v>0</v>
      </c>
      <c r="AG373" s="31">
        <f>VLOOKUP($A373,kurspris!$A$1:$Q$835,6,FALSE)</f>
        <v>1</v>
      </c>
      <c r="AH373" s="31">
        <f>VLOOKUP($A373,kurspris!$A$1:$Q$835,7,FALSE)</f>
        <v>0</v>
      </c>
      <c r="AI373" s="31">
        <f>VLOOKUP($A373,kurspris!$A$1:$Q$835,8,FALSE)</f>
        <v>0</v>
      </c>
      <c r="AJ373" s="31">
        <f>VLOOKUP($A373,kurspris!$A$1:$Q$835,9,FALSE)</f>
        <v>0</v>
      </c>
      <c r="AK373" s="31">
        <f>VLOOKUP($A373,kurspris!$A$1:$Q$835,10,FALSE)</f>
        <v>0</v>
      </c>
      <c r="AL373" s="31">
        <f>VLOOKUP($A373,kurspris!$A$1:$Q$835,11,FALSE)</f>
        <v>0</v>
      </c>
      <c r="AM373" s="31">
        <f>VLOOKUP($A373,kurspris!$A$1:$Q$835,12,FALSE)</f>
        <v>0</v>
      </c>
      <c r="AN373" s="31">
        <f>VLOOKUP($A373,kurspris!$A$1:$Q$835,13,FALSE)</f>
        <v>0</v>
      </c>
      <c r="AO373" s="31">
        <f>VLOOKUP($A373,kurspris!$A$1:$Q$835,14,FALSE)</f>
        <v>0</v>
      </c>
      <c r="AP373" s="39" t="s">
        <v>2326</v>
      </c>
      <c r="AQ373"/>
      <c r="AR373" s="31">
        <f t="shared" si="145"/>
        <v>0</v>
      </c>
      <c r="AS373" s="255">
        <f t="shared" si="146"/>
        <v>0</v>
      </c>
      <c r="AT373" s="31">
        <f t="shared" si="147"/>
        <v>0</v>
      </c>
      <c r="AU373" s="255">
        <f t="shared" si="148"/>
        <v>0</v>
      </c>
      <c r="AV373" s="31">
        <f t="shared" si="149"/>
        <v>0</v>
      </c>
      <c r="AW373" s="31">
        <f t="shared" si="150"/>
        <v>0</v>
      </c>
      <c r="AX373" s="31">
        <f t="shared" si="151"/>
        <v>0.5</v>
      </c>
      <c r="AY373" s="255">
        <f t="shared" si="152"/>
        <v>0.42499999999999999</v>
      </c>
      <c r="AZ373" s="232">
        <f t="shared" si="153"/>
        <v>0</v>
      </c>
      <c r="BA373" s="255">
        <f t="shared" si="154"/>
        <v>0</v>
      </c>
      <c r="BB373" s="31">
        <f t="shared" si="155"/>
        <v>0</v>
      </c>
      <c r="BC373" s="255">
        <f t="shared" si="156"/>
        <v>0</v>
      </c>
      <c r="BD373" s="31">
        <f t="shared" si="157"/>
        <v>0</v>
      </c>
      <c r="BE373" s="255">
        <f t="shared" si="158"/>
        <v>0</v>
      </c>
      <c r="BF373" s="31">
        <f t="shared" si="159"/>
        <v>0</v>
      </c>
      <c r="BG373" s="255">
        <f t="shared" si="160"/>
        <v>0</v>
      </c>
      <c r="BH373" s="31">
        <f t="shared" si="161"/>
        <v>0</v>
      </c>
      <c r="BI373" s="255">
        <f t="shared" si="162"/>
        <v>0</v>
      </c>
      <c r="BJ373" s="31">
        <f t="shared" si="163"/>
        <v>0</v>
      </c>
      <c r="BK373" s="31">
        <f t="shared" si="164"/>
        <v>0</v>
      </c>
      <c r="BL373" s="255">
        <f t="shared" si="165"/>
        <v>0</v>
      </c>
      <c r="BM373" s="31">
        <f t="shared" si="166"/>
        <v>0</v>
      </c>
      <c r="BN373" s="255">
        <f t="shared" si="167"/>
        <v>0</v>
      </c>
    </row>
    <row r="374" spans="1:66" x14ac:dyDescent="0.25">
      <c r="A374" s="18" t="s">
        <v>1152</v>
      </c>
      <c r="B374" s="186" t="str">
        <f>VLOOKUP(A374,kurspris!$A$1:$B$877,2,FALSE)</f>
        <v>Kunskap, vetenskap och forskningsmetodik, 7,5 hp</v>
      </c>
      <c r="C374" s="37"/>
      <c r="D374" s="31" t="s">
        <v>483</v>
      </c>
      <c r="E374" s="31" t="s">
        <v>1931</v>
      </c>
      <c r="F374" s="59" t="s">
        <v>1931</v>
      </c>
      <c r="G374" s="31" t="s">
        <v>2277</v>
      </c>
      <c r="J374" t="s">
        <v>1591</v>
      </c>
      <c r="L374" s="31">
        <v>100</v>
      </c>
      <c r="M374" s="31">
        <v>7.5</v>
      </c>
      <c r="P374" s="31">
        <v>4</v>
      </c>
      <c r="Q374" s="232">
        <f t="shared" si="140"/>
        <v>0.5</v>
      </c>
      <c r="R374" s="40">
        <v>0.85</v>
      </c>
      <c r="S374" s="334">
        <f t="shared" si="141"/>
        <v>0.42499999999999999</v>
      </c>
      <c r="T374" s="31">
        <f>VLOOKUP(A374,'Ansvar kurs'!$A$1:$C$1010,2,FALSE)</f>
        <v>1630</v>
      </c>
      <c r="U374" s="31" t="str">
        <f>VLOOKUP(T374,Orgenheter!$A$1:$C$165,2,FALSE)</f>
        <v>Inst för ide- o samhällsstudier</v>
      </c>
      <c r="V374" s="31" t="str">
        <f>VLOOKUP(T374,Orgenheter!$A$1:$C$165,3,FALSE)</f>
        <v>Hum</v>
      </c>
      <c r="W374" s="37" t="str">
        <f>VLOOKUP(D374,Program!$A$1:$B$34,2,FALSE)</f>
        <v>Ämneslärarprogrammet - Gy</v>
      </c>
      <c r="X374" s="42">
        <f>VLOOKUP(A374,kurspris!$A$1:$Q$798,15,FALSE)</f>
        <v>23641</v>
      </c>
      <c r="Y374" s="42">
        <f>VLOOKUP(A374,kurspris!$A$1:$Q$798,16,FALSE)</f>
        <v>28786</v>
      </c>
      <c r="Z374" s="42">
        <f t="shared" si="142"/>
        <v>24054.55</v>
      </c>
      <c r="AA374" s="42">
        <f>VLOOKUP(A374,kurspris!$A$1:$Q$798,17,FALSE)</f>
        <v>5800</v>
      </c>
      <c r="AB374" s="42">
        <f t="shared" si="143"/>
        <v>2900</v>
      </c>
      <c r="AC374" s="42">
        <f t="shared" si="144"/>
        <v>26954.55</v>
      </c>
      <c r="AD374" s="31">
        <f>VLOOKUP($A374,kurspris!$A$1:$Q$835,3,FALSE)</f>
        <v>0</v>
      </c>
      <c r="AE374" s="31">
        <f>VLOOKUP($A374,kurspris!$A$1:$Q$835,4,FALSE)</f>
        <v>0</v>
      </c>
      <c r="AF374" s="31">
        <f>VLOOKUP($A374,kurspris!$A$1:$Q$835,5,FALSE)</f>
        <v>0</v>
      </c>
      <c r="AG374" s="31">
        <f>VLOOKUP($A374,kurspris!$A$1:$Q$835,6,FALSE)</f>
        <v>1</v>
      </c>
      <c r="AH374" s="31">
        <f>VLOOKUP($A374,kurspris!$A$1:$Q$835,7,FALSE)</f>
        <v>0</v>
      </c>
      <c r="AI374" s="31">
        <f>VLOOKUP($A374,kurspris!$A$1:$Q$835,8,FALSE)</f>
        <v>0</v>
      </c>
      <c r="AJ374" s="31">
        <f>VLOOKUP($A374,kurspris!$A$1:$Q$835,9,FALSE)</f>
        <v>0</v>
      </c>
      <c r="AK374" s="31">
        <f>VLOOKUP($A374,kurspris!$A$1:$Q$835,10,FALSE)</f>
        <v>0</v>
      </c>
      <c r="AL374" s="31">
        <f>VLOOKUP($A374,kurspris!$A$1:$Q$835,11,FALSE)</f>
        <v>0</v>
      </c>
      <c r="AM374" s="31">
        <f>VLOOKUP($A374,kurspris!$A$1:$Q$835,12,FALSE)</f>
        <v>0</v>
      </c>
      <c r="AN374" s="31">
        <f>VLOOKUP($A374,kurspris!$A$1:$Q$835,13,FALSE)</f>
        <v>0</v>
      </c>
      <c r="AO374" s="31">
        <f>VLOOKUP($A374,kurspris!$A$1:$Q$835,14,FALSE)</f>
        <v>0</v>
      </c>
      <c r="AP374" s="39" t="s">
        <v>2326</v>
      </c>
      <c r="AQ374"/>
      <c r="AR374" s="31">
        <f t="shared" si="145"/>
        <v>0</v>
      </c>
      <c r="AS374" s="255">
        <f t="shared" si="146"/>
        <v>0</v>
      </c>
      <c r="AT374" s="31">
        <f t="shared" si="147"/>
        <v>0</v>
      </c>
      <c r="AU374" s="255">
        <f t="shared" si="148"/>
        <v>0</v>
      </c>
      <c r="AV374" s="31">
        <f t="shared" si="149"/>
        <v>0</v>
      </c>
      <c r="AW374" s="31">
        <f t="shared" si="150"/>
        <v>0</v>
      </c>
      <c r="AX374" s="31">
        <f t="shared" si="151"/>
        <v>0.5</v>
      </c>
      <c r="AY374" s="255">
        <f t="shared" si="152"/>
        <v>0.42499999999999999</v>
      </c>
      <c r="AZ374" s="232">
        <f t="shared" si="153"/>
        <v>0</v>
      </c>
      <c r="BA374" s="255">
        <f t="shared" si="154"/>
        <v>0</v>
      </c>
      <c r="BB374" s="31">
        <f t="shared" si="155"/>
        <v>0</v>
      </c>
      <c r="BC374" s="255">
        <f t="shared" si="156"/>
        <v>0</v>
      </c>
      <c r="BD374" s="31">
        <f t="shared" si="157"/>
        <v>0</v>
      </c>
      <c r="BE374" s="255">
        <f t="shared" si="158"/>
        <v>0</v>
      </c>
      <c r="BF374" s="31">
        <f t="shared" si="159"/>
        <v>0</v>
      </c>
      <c r="BG374" s="255">
        <f t="shared" si="160"/>
        <v>0</v>
      </c>
      <c r="BH374" s="31">
        <f t="shared" si="161"/>
        <v>0</v>
      </c>
      <c r="BI374" s="255">
        <f t="shared" si="162"/>
        <v>0</v>
      </c>
      <c r="BJ374" s="31">
        <f t="shared" si="163"/>
        <v>0</v>
      </c>
      <c r="BK374" s="31">
        <f t="shared" si="164"/>
        <v>0</v>
      </c>
      <c r="BL374" s="255">
        <f t="shared" si="165"/>
        <v>0</v>
      </c>
      <c r="BM374" s="31">
        <f t="shared" si="166"/>
        <v>0</v>
      </c>
      <c r="BN374" s="255">
        <f t="shared" si="167"/>
        <v>0</v>
      </c>
    </row>
    <row r="375" spans="1:66" x14ac:dyDescent="0.25">
      <c r="A375" s="18" t="s">
        <v>1152</v>
      </c>
      <c r="B375" s="186" t="str">
        <f>VLOOKUP(A375,kurspris!$A$1:$B$877,2,FALSE)</f>
        <v>Kunskap, vetenskap och forskningsmetodik, 7,5 hp</v>
      </c>
      <c r="C375" s="37"/>
      <c r="D375" s="31" t="s">
        <v>483</v>
      </c>
      <c r="E375" s="31" t="s">
        <v>1931</v>
      </c>
      <c r="F375" s="59" t="s">
        <v>1931</v>
      </c>
      <c r="G375" s="31" t="s">
        <v>2277</v>
      </c>
      <c r="J375" t="s">
        <v>771</v>
      </c>
      <c r="L375" s="31">
        <v>100</v>
      </c>
      <c r="M375" s="31">
        <v>7.5</v>
      </c>
      <c r="P375" s="31">
        <v>17</v>
      </c>
      <c r="Q375" s="232">
        <f t="shared" si="140"/>
        <v>2.125</v>
      </c>
      <c r="R375" s="40">
        <v>0.85</v>
      </c>
      <c r="S375" s="334">
        <f t="shared" si="141"/>
        <v>1.8062499999999999</v>
      </c>
      <c r="T375" s="31">
        <f>VLOOKUP(A375,'Ansvar kurs'!$A$1:$C$1010,2,FALSE)</f>
        <v>1630</v>
      </c>
      <c r="U375" s="31" t="str">
        <f>VLOOKUP(T375,Orgenheter!$A$1:$C$165,2,FALSE)</f>
        <v>Inst för ide- o samhällsstudier</v>
      </c>
      <c r="V375" s="31" t="str">
        <f>VLOOKUP(T375,Orgenheter!$A$1:$C$165,3,FALSE)</f>
        <v>Hum</v>
      </c>
      <c r="W375" s="37" t="str">
        <f>VLOOKUP(D375,Program!$A$1:$B$34,2,FALSE)</f>
        <v>Ämneslärarprogrammet - Gy</v>
      </c>
      <c r="X375" s="42">
        <f>VLOOKUP(A375,kurspris!$A$1:$Q$798,15,FALSE)</f>
        <v>23641</v>
      </c>
      <c r="Y375" s="42">
        <f>VLOOKUP(A375,kurspris!$A$1:$Q$798,16,FALSE)</f>
        <v>28786</v>
      </c>
      <c r="Z375" s="42">
        <f t="shared" si="142"/>
        <v>102231.83749999999</v>
      </c>
      <c r="AA375" s="42">
        <f>VLOOKUP(A375,kurspris!$A$1:$Q$798,17,FALSE)</f>
        <v>5800</v>
      </c>
      <c r="AB375" s="42">
        <f t="shared" si="143"/>
        <v>12325</v>
      </c>
      <c r="AC375" s="42">
        <f t="shared" si="144"/>
        <v>114556.83749999999</v>
      </c>
      <c r="AD375" s="31">
        <f>VLOOKUP($A375,kurspris!$A$1:$Q$835,3,FALSE)</f>
        <v>0</v>
      </c>
      <c r="AE375" s="31">
        <f>VLOOKUP($A375,kurspris!$A$1:$Q$835,4,FALSE)</f>
        <v>0</v>
      </c>
      <c r="AF375" s="31">
        <f>VLOOKUP($A375,kurspris!$A$1:$Q$835,5,FALSE)</f>
        <v>0</v>
      </c>
      <c r="AG375" s="31">
        <f>VLOOKUP($A375,kurspris!$A$1:$Q$835,6,FALSE)</f>
        <v>1</v>
      </c>
      <c r="AH375" s="31">
        <f>VLOOKUP($A375,kurspris!$A$1:$Q$835,7,FALSE)</f>
        <v>0</v>
      </c>
      <c r="AI375" s="31">
        <f>VLOOKUP($A375,kurspris!$A$1:$Q$835,8,FALSE)</f>
        <v>0</v>
      </c>
      <c r="AJ375" s="31">
        <f>VLOOKUP($A375,kurspris!$A$1:$Q$835,9,FALSE)</f>
        <v>0</v>
      </c>
      <c r="AK375" s="31">
        <f>VLOOKUP($A375,kurspris!$A$1:$Q$835,10,FALSE)</f>
        <v>0</v>
      </c>
      <c r="AL375" s="31">
        <f>VLOOKUP($A375,kurspris!$A$1:$Q$835,11,FALSE)</f>
        <v>0</v>
      </c>
      <c r="AM375" s="31">
        <f>VLOOKUP($A375,kurspris!$A$1:$Q$835,12,FALSE)</f>
        <v>0</v>
      </c>
      <c r="AN375" s="31">
        <f>VLOOKUP($A375,kurspris!$A$1:$Q$835,13,FALSE)</f>
        <v>0</v>
      </c>
      <c r="AO375" s="31">
        <f>VLOOKUP($A375,kurspris!$A$1:$Q$835,14,FALSE)</f>
        <v>0</v>
      </c>
      <c r="AP375" s="39" t="s">
        <v>2326</v>
      </c>
      <c r="AQ375"/>
      <c r="AR375" s="31">
        <f t="shared" si="145"/>
        <v>0</v>
      </c>
      <c r="AS375" s="255">
        <f t="shared" si="146"/>
        <v>0</v>
      </c>
      <c r="AT375" s="31">
        <f t="shared" si="147"/>
        <v>0</v>
      </c>
      <c r="AU375" s="255">
        <f t="shared" si="148"/>
        <v>0</v>
      </c>
      <c r="AV375" s="31">
        <f t="shared" si="149"/>
        <v>0</v>
      </c>
      <c r="AW375" s="31">
        <f t="shared" si="150"/>
        <v>0</v>
      </c>
      <c r="AX375" s="31">
        <f t="shared" si="151"/>
        <v>2.125</v>
      </c>
      <c r="AY375" s="255">
        <f t="shared" si="152"/>
        <v>1.8062499999999999</v>
      </c>
      <c r="AZ375" s="232">
        <f t="shared" si="153"/>
        <v>0</v>
      </c>
      <c r="BA375" s="255">
        <f t="shared" si="154"/>
        <v>0</v>
      </c>
      <c r="BB375" s="31">
        <f t="shared" si="155"/>
        <v>0</v>
      </c>
      <c r="BC375" s="255">
        <f t="shared" si="156"/>
        <v>0</v>
      </c>
      <c r="BD375" s="31">
        <f t="shared" si="157"/>
        <v>0</v>
      </c>
      <c r="BE375" s="255">
        <f t="shared" si="158"/>
        <v>0</v>
      </c>
      <c r="BF375" s="31">
        <f t="shared" si="159"/>
        <v>0</v>
      </c>
      <c r="BG375" s="255">
        <f t="shared" si="160"/>
        <v>0</v>
      </c>
      <c r="BH375" s="31">
        <f t="shared" si="161"/>
        <v>0</v>
      </c>
      <c r="BI375" s="255">
        <f t="shared" si="162"/>
        <v>0</v>
      </c>
      <c r="BJ375" s="31">
        <f t="shared" si="163"/>
        <v>0</v>
      </c>
      <c r="BK375" s="31">
        <f t="shared" si="164"/>
        <v>0</v>
      </c>
      <c r="BL375" s="255">
        <f t="shared" si="165"/>
        <v>0</v>
      </c>
      <c r="BM375" s="31">
        <f t="shared" si="166"/>
        <v>0</v>
      </c>
      <c r="BN375" s="255">
        <f t="shared" si="167"/>
        <v>0</v>
      </c>
    </row>
    <row r="376" spans="1:66" x14ac:dyDescent="0.25">
      <c r="A376" s="18" t="s">
        <v>1152</v>
      </c>
      <c r="B376" s="186" t="str">
        <f>VLOOKUP(A376,kurspris!$A$1:$B$877,2,FALSE)</f>
        <v>Kunskap, vetenskap och forskningsmetodik, 7,5 hp</v>
      </c>
      <c r="C376" s="37"/>
      <c r="D376" s="31" t="s">
        <v>483</v>
      </c>
      <c r="E376" s="31" t="s">
        <v>1931</v>
      </c>
      <c r="F376" s="59" t="s">
        <v>1931</v>
      </c>
      <c r="G376" s="31" t="s">
        <v>2277</v>
      </c>
      <c r="J376" t="s">
        <v>1813</v>
      </c>
      <c r="L376" s="31">
        <v>100</v>
      </c>
      <c r="M376" s="31">
        <v>7.5</v>
      </c>
      <c r="P376" s="31">
        <v>7</v>
      </c>
      <c r="Q376" s="232">
        <f t="shared" si="140"/>
        <v>0.875</v>
      </c>
      <c r="R376" s="40">
        <v>0.85</v>
      </c>
      <c r="S376" s="334">
        <f t="shared" si="141"/>
        <v>0.74375000000000002</v>
      </c>
      <c r="T376" s="31">
        <f>VLOOKUP(A376,'Ansvar kurs'!$A$1:$C$1010,2,FALSE)</f>
        <v>1630</v>
      </c>
      <c r="U376" s="31" t="str">
        <f>VLOOKUP(T376,Orgenheter!$A$1:$C$165,2,FALSE)</f>
        <v>Inst för ide- o samhällsstudier</v>
      </c>
      <c r="V376" s="31" t="str">
        <f>VLOOKUP(T376,Orgenheter!$A$1:$C$165,3,FALSE)</f>
        <v>Hum</v>
      </c>
      <c r="W376" s="37" t="str">
        <f>VLOOKUP(D376,Program!$A$1:$B$34,2,FALSE)</f>
        <v>Ämneslärarprogrammet - Gy</v>
      </c>
      <c r="X376" s="42">
        <f>VLOOKUP(A376,kurspris!$A$1:$Q$798,15,FALSE)</f>
        <v>23641</v>
      </c>
      <c r="Y376" s="42">
        <f>VLOOKUP(A376,kurspris!$A$1:$Q$798,16,FALSE)</f>
        <v>28786</v>
      </c>
      <c r="Z376" s="42">
        <f t="shared" si="142"/>
        <v>42095.462500000001</v>
      </c>
      <c r="AA376" s="42">
        <f>VLOOKUP(A376,kurspris!$A$1:$Q$798,17,FALSE)</f>
        <v>5800</v>
      </c>
      <c r="AB376" s="42">
        <f t="shared" si="143"/>
        <v>5075</v>
      </c>
      <c r="AC376" s="42">
        <f t="shared" si="144"/>
        <v>47170.462500000001</v>
      </c>
      <c r="AD376" s="31">
        <f>VLOOKUP($A376,kurspris!$A$1:$Q$835,3,FALSE)</f>
        <v>0</v>
      </c>
      <c r="AE376" s="31">
        <f>VLOOKUP($A376,kurspris!$A$1:$Q$835,4,FALSE)</f>
        <v>0</v>
      </c>
      <c r="AF376" s="31">
        <f>VLOOKUP($A376,kurspris!$A$1:$Q$835,5,FALSE)</f>
        <v>0</v>
      </c>
      <c r="AG376" s="31">
        <f>VLOOKUP($A376,kurspris!$A$1:$Q$835,6,FALSE)</f>
        <v>1</v>
      </c>
      <c r="AH376" s="31">
        <f>VLOOKUP($A376,kurspris!$A$1:$Q$835,7,FALSE)</f>
        <v>0</v>
      </c>
      <c r="AI376" s="31">
        <f>VLOOKUP($A376,kurspris!$A$1:$Q$835,8,FALSE)</f>
        <v>0</v>
      </c>
      <c r="AJ376" s="31">
        <f>VLOOKUP($A376,kurspris!$A$1:$Q$835,9,FALSE)</f>
        <v>0</v>
      </c>
      <c r="AK376" s="31">
        <f>VLOOKUP($A376,kurspris!$A$1:$Q$835,10,FALSE)</f>
        <v>0</v>
      </c>
      <c r="AL376" s="31">
        <f>VLOOKUP($A376,kurspris!$A$1:$Q$835,11,FALSE)</f>
        <v>0</v>
      </c>
      <c r="AM376" s="31">
        <f>VLOOKUP($A376,kurspris!$A$1:$Q$835,12,FALSE)</f>
        <v>0</v>
      </c>
      <c r="AN376" s="31">
        <f>VLOOKUP($A376,kurspris!$A$1:$Q$835,13,FALSE)</f>
        <v>0</v>
      </c>
      <c r="AO376" s="31">
        <f>VLOOKUP($A376,kurspris!$A$1:$Q$835,14,FALSE)</f>
        <v>0</v>
      </c>
      <c r="AP376" s="39" t="s">
        <v>2326</v>
      </c>
      <c r="AQ376"/>
      <c r="AR376" s="31">
        <f t="shared" si="145"/>
        <v>0</v>
      </c>
      <c r="AS376" s="255">
        <f t="shared" si="146"/>
        <v>0</v>
      </c>
      <c r="AT376" s="31">
        <f t="shared" si="147"/>
        <v>0</v>
      </c>
      <c r="AU376" s="255">
        <f t="shared" si="148"/>
        <v>0</v>
      </c>
      <c r="AV376" s="31">
        <f t="shared" si="149"/>
        <v>0</v>
      </c>
      <c r="AW376" s="31">
        <f t="shared" si="150"/>
        <v>0</v>
      </c>
      <c r="AX376" s="31">
        <f t="shared" si="151"/>
        <v>0.875</v>
      </c>
      <c r="AY376" s="255">
        <f t="shared" si="152"/>
        <v>0.74375000000000002</v>
      </c>
      <c r="AZ376" s="232">
        <f t="shared" si="153"/>
        <v>0</v>
      </c>
      <c r="BA376" s="255">
        <f t="shared" si="154"/>
        <v>0</v>
      </c>
      <c r="BB376" s="31">
        <f t="shared" si="155"/>
        <v>0</v>
      </c>
      <c r="BC376" s="255">
        <f t="shared" si="156"/>
        <v>0</v>
      </c>
      <c r="BD376" s="31">
        <f t="shared" si="157"/>
        <v>0</v>
      </c>
      <c r="BE376" s="255">
        <f t="shared" si="158"/>
        <v>0</v>
      </c>
      <c r="BF376" s="31">
        <f t="shared" si="159"/>
        <v>0</v>
      </c>
      <c r="BG376" s="255">
        <f t="shared" si="160"/>
        <v>0</v>
      </c>
      <c r="BH376" s="31">
        <f t="shared" si="161"/>
        <v>0</v>
      </c>
      <c r="BI376" s="255">
        <f t="shared" si="162"/>
        <v>0</v>
      </c>
      <c r="BJ376" s="31">
        <f t="shared" si="163"/>
        <v>0</v>
      </c>
      <c r="BK376" s="31">
        <f t="shared" si="164"/>
        <v>0</v>
      </c>
      <c r="BL376" s="255">
        <f t="shared" si="165"/>
        <v>0</v>
      </c>
      <c r="BM376" s="31">
        <f t="shared" si="166"/>
        <v>0</v>
      </c>
      <c r="BN376" s="255">
        <f t="shared" si="167"/>
        <v>0</v>
      </c>
    </row>
    <row r="377" spans="1:66" x14ac:dyDescent="0.25">
      <c r="A377" s="18" t="s">
        <v>1152</v>
      </c>
      <c r="B377" s="186" t="str">
        <f>VLOOKUP(A377,kurspris!$A$1:$B$877,2,FALSE)</f>
        <v>Kunskap, vetenskap och forskningsmetodik, 7,5 hp</v>
      </c>
      <c r="C377" s="37"/>
      <c r="D377" s="31" t="s">
        <v>483</v>
      </c>
      <c r="E377" s="31" t="s">
        <v>1931</v>
      </c>
      <c r="F377" s="59" t="s">
        <v>1931</v>
      </c>
      <c r="G377" s="31" t="s">
        <v>2277</v>
      </c>
      <c r="J377" t="s">
        <v>772</v>
      </c>
      <c r="L377" s="31">
        <v>100</v>
      </c>
      <c r="M377" s="31">
        <v>7.5</v>
      </c>
      <c r="P377" s="31">
        <v>29</v>
      </c>
      <c r="Q377" s="232">
        <f t="shared" si="140"/>
        <v>3.625</v>
      </c>
      <c r="R377" s="40">
        <v>0.85</v>
      </c>
      <c r="S377" s="334">
        <f t="shared" si="141"/>
        <v>3.0812499999999998</v>
      </c>
      <c r="T377" s="31">
        <f>VLOOKUP(A377,'Ansvar kurs'!$A$1:$C$1010,2,FALSE)</f>
        <v>1630</v>
      </c>
      <c r="U377" s="31" t="str">
        <f>VLOOKUP(T377,Orgenheter!$A$1:$C$165,2,FALSE)</f>
        <v>Inst för ide- o samhällsstudier</v>
      </c>
      <c r="V377" s="31" t="str">
        <f>VLOOKUP(T377,Orgenheter!$A$1:$C$165,3,FALSE)</f>
        <v>Hum</v>
      </c>
      <c r="W377" s="37" t="str">
        <f>VLOOKUP(D377,Program!$A$1:$B$34,2,FALSE)</f>
        <v>Ämneslärarprogrammet - Gy</v>
      </c>
      <c r="X377" s="42">
        <f>VLOOKUP(A377,kurspris!$A$1:$Q$798,15,FALSE)</f>
        <v>23641</v>
      </c>
      <c r="Y377" s="42">
        <f>VLOOKUP(A377,kurspris!$A$1:$Q$798,16,FALSE)</f>
        <v>28786</v>
      </c>
      <c r="Z377" s="42">
        <f t="shared" si="142"/>
        <v>174395.48749999999</v>
      </c>
      <c r="AA377" s="42">
        <f>VLOOKUP(A377,kurspris!$A$1:$Q$798,17,FALSE)</f>
        <v>5800</v>
      </c>
      <c r="AB377" s="42">
        <f t="shared" si="143"/>
        <v>21025</v>
      </c>
      <c r="AC377" s="42">
        <f t="shared" si="144"/>
        <v>195420.48749999999</v>
      </c>
      <c r="AD377" s="31">
        <f>VLOOKUP($A377,kurspris!$A$1:$Q$835,3,FALSE)</f>
        <v>0</v>
      </c>
      <c r="AE377" s="31">
        <f>VLOOKUP($A377,kurspris!$A$1:$Q$835,4,FALSE)</f>
        <v>0</v>
      </c>
      <c r="AF377" s="31">
        <f>VLOOKUP($A377,kurspris!$A$1:$Q$835,5,FALSE)</f>
        <v>0</v>
      </c>
      <c r="AG377" s="31">
        <f>VLOOKUP($A377,kurspris!$A$1:$Q$835,6,FALSE)</f>
        <v>1</v>
      </c>
      <c r="AH377" s="31">
        <f>VLOOKUP($A377,kurspris!$A$1:$Q$835,7,FALSE)</f>
        <v>0</v>
      </c>
      <c r="AI377" s="31">
        <f>VLOOKUP($A377,kurspris!$A$1:$Q$835,8,FALSE)</f>
        <v>0</v>
      </c>
      <c r="AJ377" s="31">
        <f>VLOOKUP($A377,kurspris!$A$1:$Q$835,9,FALSE)</f>
        <v>0</v>
      </c>
      <c r="AK377" s="31">
        <f>VLOOKUP($A377,kurspris!$A$1:$Q$835,10,FALSE)</f>
        <v>0</v>
      </c>
      <c r="AL377" s="31">
        <f>VLOOKUP($A377,kurspris!$A$1:$Q$835,11,FALSE)</f>
        <v>0</v>
      </c>
      <c r="AM377" s="31">
        <f>VLOOKUP($A377,kurspris!$A$1:$Q$835,12,FALSE)</f>
        <v>0</v>
      </c>
      <c r="AN377" s="31">
        <f>VLOOKUP($A377,kurspris!$A$1:$Q$835,13,FALSE)</f>
        <v>0</v>
      </c>
      <c r="AO377" s="31">
        <f>VLOOKUP($A377,kurspris!$A$1:$Q$835,14,FALSE)</f>
        <v>0</v>
      </c>
      <c r="AP377" s="39" t="s">
        <v>2326</v>
      </c>
      <c r="AQ377"/>
      <c r="AR377" s="31">
        <f t="shared" si="145"/>
        <v>0</v>
      </c>
      <c r="AS377" s="255">
        <f t="shared" si="146"/>
        <v>0</v>
      </c>
      <c r="AT377" s="31">
        <f t="shared" si="147"/>
        <v>0</v>
      </c>
      <c r="AU377" s="255">
        <f t="shared" si="148"/>
        <v>0</v>
      </c>
      <c r="AV377" s="31">
        <f t="shared" si="149"/>
        <v>0</v>
      </c>
      <c r="AW377" s="31">
        <f t="shared" si="150"/>
        <v>0</v>
      </c>
      <c r="AX377" s="31">
        <f t="shared" si="151"/>
        <v>3.625</v>
      </c>
      <c r="AY377" s="255">
        <f t="shared" si="152"/>
        <v>3.0812499999999998</v>
      </c>
      <c r="AZ377" s="232">
        <f t="shared" si="153"/>
        <v>0</v>
      </c>
      <c r="BA377" s="255">
        <f t="shared" si="154"/>
        <v>0</v>
      </c>
      <c r="BB377" s="31">
        <f t="shared" si="155"/>
        <v>0</v>
      </c>
      <c r="BC377" s="255">
        <f t="shared" si="156"/>
        <v>0</v>
      </c>
      <c r="BD377" s="31">
        <f t="shared" si="157"/>
        <v>0</v>
      </c>
      <c r="BE377" s="255">
        <f t="shared" si="158"/>
        <v>0</v>
      </c>
      <c r="BF377" s="31">
        <f t="shared" si="159"/>
        <v>0</v>
      </c>
      <c r="BG377" s="255">
        <f t="shared" si="160"/>
        <v>0</v>
      </c>
      <c r="BH377" s="31">
        <f t="shared" si="161"/>
        <v>0</v>
      </c>
      <c r="BI377" s="255">
        <f t="shared" si="162"/>
        <v>0</v>
      </c>
      <c r="BJ377" s="31">
        <f t="shared" si="163"/>
        <v>0</v>
      </c>
      <c r="BK377" s="31">
        <f t="shared" si="164"/>
        <v>0</v>
      </c>
      <c r="BL377" s="255">
        <f t="shared" si="165"/>
        <v>0</v>
      </c>
      <c r="BM377" s="31">
        <f t="shared" si="166"/>
        <v>0</v>
      </c>
      <c r="BN377" s="255">
        <f t="shared" si="167"/>
        <v>0</v>
      </c>
    </row>
    <row r="378" spans="1:66" x14ac:dyDescent="0.25">
      <c r="A378" s="18" t="s">
        <v>1152</v>
      </c>
      <c r="B378" s="186" t="str">
        <f>VLOOKUP(A378,kurspris!$A$1:$B$877,2,FALSE)</f>
        <v>Kunskap, vetenskap och forskningsmetodik, 7,5 hp</v>
      </c>
      <c r="C378" s="37"/>
      <c r="D378" s="31" t="s">
        <v>483</v>
      </c>
      <c r="E378" s="31" t="s">
        <v>1931</v>
      </c>
      <c r="F378" s="59" t="s">
        <v>1931</v>
      </c>
      <c r="G378" s="31" t="s">
        <v>2277</v>
      </c>
      <c r="J378" t="s">
        <v>773</v>
      </c>
      <c r="L378" s="31">
        <v>100</v>
      </c>
      <c r="M378" s="31">
        <v>7.5</v>
      </c>
      <c r="P378" s="31">
        <v>21</v>
      </c>
      <c r="Q378" s="232">
        <f t="shared" si="140"/>
        <v>2.625</v>
      </c>
      <c r="R378" s="40">
        <v>0.85</v>
      </c>
      <c r="S378" s="334">
        <f t="shared" si="141"/>
        <v>2.2312499999999997</v>
      </c>
      <c r="T378" s="31">
        <f>VLOOKUP(A378,'Ansvar kurs'!$A$1:$C$1010,2,FALSE)</f>
        <v>1630</v>
      </c>
      <c r="U378" s="31" t="str">
        <f>VLOOKUP(T378,Orgenheter!$A$1:$C$165,2,FALSE)</f>
        <v>Inst för ide- o samhällsstudier</v>
      </c>
      <c r="V378" s="31" t="str">
        <f>VLOOKUP(T378,Orgenheter!$A$1:$C$165,3,FALSE)</f>
        <v>Hum</v>
      </c>
      <c r="W378" s="37" t="str">
        <f>VLOOKUP(D378,Program!$A$1:$B$34,2,FALSE)</f>
        <v>Ämneslärarprogrammet - Gy</v>
      </c>
      <c r="X378" s="42">
        <f>VLOOKUP(A378,kurspris!$A$1:$Q$798,15,FALSE)</f>
        <v>23641</v>
      </c>
      <c r="Y378" s="42">
        <f>VLOOKUP(A378,kurspris!$A$1:$Q$798,16,FALSE)</f>
        <v>28786</v>
      </c>
      <c r="Z378" s="42">
        <f t="shared" si="142"/>
        <v>126286.38749999998</v>
      </c>
      <c r="AA378" s="42">
        <f>VLOOKUP(A378,kurspris!$A$1:$Q$798,17,FALSE)</f>
        <v>5800</v>
      </c>
      <c r="AB378" s="42">
        <f t="shared" si="143"/>
        <v>15225</v>
      </c>
      <c r="AC378" s="42">
        <f t="shared" si="144"/>
        <v>141511.38749999998</v>
      </c>
      <c r="AD378" s="31">
        <f>VLOOKUP($A378,kurspris!$A$1:$Q$835,3,FALSE)</f>
        <v>0</v>
      </c>
      <c r="AE378" s="31">
        <f>VLOOKUP($A378,kurspris!$A$1:$Q$835,4,FALSE)</f>
        <v>0</v>
      </c>
      <c r="AF378" s="31">
        <f>VLOOKUP($A378,kurspris!$A$1:$Q$835,5,FALSE)</f>
        <v>0</v>
      </c>
      <c r="AG378" s="31">
        <f>VLOOKUP($A378,kurspris!$A$1:$Q$835,6,FALSE)</f>
        <v>1</v>
      </c>
      <c r="AH378" s="31">
        <f>VLOOKUP($A378,kurspris!$A$1:$Q$835,7,FALSE)</f>
        <v>0</v>
      </c>
      <c r="AI378" s="31">
        <f>VLOOKUP($A378,kurspris!$A$1:$Q$835,8,FALSE)</f>
        <v>0</v>
      </c>
      <c r="AJ378" s="31">
        <f>VLOOKUP($A378,kurspris!$A$1:$Q$835,9,FALSE)</f>
        <v>0</v>
      </c>
      <c r="AK378" s="31">
        <f>VLOOKUP($A378,kurspris!$A$1:$Q$835,10,FALSE)</f>
        <v>0</v>
      </c>
      <c r="AL378" s="31">
        <f>VLOOKUP($A378,kurspris!$A$1:$Q$835,11,FALSE)</f>
        <v>0</v>
      </c>
      <c r="AM378" s="31">
        <f>VLOOKUP($A378,kurspris!$A$1:$Q$835,12,FALSE)</f>
        <v>0</v>
      </c>
      <c r="AN378" s="31">
        <f>VLOOKUP($A378,kurspris!$A$1:$Q$835,13,FALSE)</f>
        <v>0</v>
      </c>
      <c r="AO378" s="31">
        <f>VLOOKUP($A378,kurspris!$A$1:$Q$835,14,FALSE)</f>
        <v>0</v>
      </c>
      <c r="AP378" s="39" t="s">
        <v>2326</v>
      </c>
      <c r="AQ378"/>
      <c r="AR378" s="31">
        <f t="shared" si="145"/>
        <v>0</v>
      </c>
      <c r="AS378" s="255">
        <f t="shared" si="146"/>
        <v>0</v>
      </c>
      <c r="AT378" s="31">
        <f t="shared" si="147"/>
        <v>0</v>
      </c>
      <c r="AU378" s="255">
        <f t="shared" si="148"/>
        <v>0</v>
      </c>
      <c r="AV378" s="31">
        <f t="shared" si="149"/>
        <v>0</v>
      </c>
      <c r="AW378" s="31">
        <f t="shared" si="150"/>
        <v>0</v>
      </c>
      <c r="AX378" s="31">
        <f t="shared" si="151"/>
        <v>2.625</v>
      </c>
      <c r="AY378" s="255">
        <f t="shared" si="152"/>
        <v>2.2312499999999997</v>
      </c>
      <c r="AZ378" s="232">
        <f t="shared" si="153"/>
        <v>0</v>
      </c>
      <c r="BA378" s="255">
        <f t="shared" si="154"/>
        <v>0</v>
      </c>
      <c r="BB378" s="31">
        <f t="shared" si="155"/>
        <v>0</v>
      </c>
      <c r="BC378" s="255">
        <f t="shared" si="156"/>
        <v>0</v>
      </c>
      <c r="BD378" s="31">
        <f t="shared" si="157"/>
        <v>0</v>
      </c>
      <c r="BE378" s="255">
        <f t="shared" si="158"/>
        <v>0</v>
      </c>
      <c r="BF378" s="31">
        <f t="shared" si="159"/>
        <v>0</v>
      </c>
      <c r="BG378" s="255">
        <f t="shared" si="160"/>
        <v>0</v>
      </c>
      <c r="BH378" s="31">
        <f t="shared" si="161"/>
        <v>0</v>
      </c>
      <c r="BI378" s="255">
        <f t="shared" si="162"/>
        <v>0</v>
      </c>
      <c r="BJ378" s="31">
        <f t="shared" si="163"/>
        <v>0</v>
      </c>
      <c r="BK378" s="31">
        <f t="shared" si="164"/>
        <v>0</v>
      </c>
      <c r="BL378" s="255">
        <f t="shared" si="165"/>
        <v>0</v>
      </c>
      <c r="BM378" s="31">
        <f t="shared" si="166"/>
        <v>0</v>
      </c>
      <c r="BN378" s="255">
        <f t="shared" si="167"/>
        <v>0</v>
      </c>
    </row>
    <row r="379" spans="1:66" x14ac:dyDescent="0.25">
      <c r="A379" s="18" t="s">
        <v>1152</v>
      </c>
      <c r="B379" s="186" t="str">
        <f>VLOOKUP(A379,kurspris!$A$1:$B$877,2,FALSE)</f>
        <v>Kunskap, vetenskap och forskningsmetodik, 7,5 hp</v>
      </c>
      <c r="C379" s="37"/>
      <c r="D379" s="31" t="s">
        <v>483</v>
      </c>
      <c r="E379" s="31" t="s">
        <v>1931</v>
      </c>
      <c r="F379" s="59" t="s">
        <v>1931</v>
      </c>
      <c r="G379" s="31" t="s">
        <v>2277</v>
      </c>
      <c r="J379" t="s">
        <v>774</v>
      </c>
      <c r="L379" s="31">
        <v>100</v>
      </c>
      <c r="M379" s="31">
        <v>7.5</v>
      </c>
      <c r="P379" s="31">
        <v>18</v>
      </c>
      <c r="Q379" s="232">
        <f t="shared" si="140"/>
        <v>2.25</v>
      </c>
      <c r="R379" s="40">
        <v>0.85</v>
      </c>
      <c r="S379" s="334">
        <f t="shared" si="141"/>
        <v>1.9124999999999999</v>
      </c>
      <c r="T379" s="31">
        <f>VLOOKUP(A379,'Ansvar kurs'!$A$1:$C$1010,2,FALSE)</f>
        <v>1630</v>
      </c>
      <c r="U379" s="31" t="str">
        <f>VLOOKUP(T379,Orgenheter!$A$1:$C$165,2,FALSE)</f>
        <v>Inst för ide- o samhällsstudier</v>
      </c>
      <c r="V379" s="31" t="str">
        <f>VLOOKUP(T379,Orgenheter!$A$1:$C$165,3,FALSE)</f>
        <v>Hum</v>
      </c>
      <c r="W379" s="37" t="str">
        <f>VLOOKUP(D379,Program!$A$1:$B$34,2,FALSE)</f>
        <v>Ämneslärarprogrammet - Gy</v>
      </c>
      <c r="X379" s="42">
        <f>VLOOKUP(A379,kurspris!$A$1:$Q$798,15,FALSE)</f>
        <v>23641</v>
      </c>
      <c r="Y379" s="42">
        <f>VLOOKUP(A379,kurspris!$A$1:$Q$798,16,FALSE)</f>
        <v>28786</v>
      </c>
      <c r="Z379" s="42">
        <f t="shared" si="142"/>
        <v>108245.47500000001</v>
      </c>
      <c r="AA379" s="42">
        <f>VLOOKUP(A379,kurspris!$A$1:$Q$798,17,FALSE)</f>
        <v>5800</v>
      </c>
      <c r="AB379" s="42">
        <f t="shared" si="143"/>
        <v>13050</v>
      </c>
      <c r="AC379" s="42">
        <f t="shared" si="144"/>
        <v>121295.47500000001</v>
      </c>
      <c r="AD379" s="31">
        <f>VLOOKUP($A379,kurspris!$A$1:$Q$835,3,FALSE)</f>
        <v>0</v>
      </c>
      <c r="AE379" s="31">
        <f>VLOOKUP($A379,kurspris!$A$1:$Q$835,4,FALSE)</f>
        <v>0</v>
      </c>
      <c r="AF379" s="31">
        <f>VLOOKUP($A379,kurspris!$A$1:$Q$835,5,FALSE)</f>
        <v>0</v>
      </c>
      <c r="AG379" s="31">
        <f>VLOOKUP($A379,kurspris!$A$1:$Q$835,6,FALSE)</f>
        <v>1</v>
      </c>
      <c r="AH379" s="31">
        <f>VLOOKUP($A379,kurspris!$A$1:$Q$835,7,FALSE)</f>
        <v>0</v>
      </c>
      <c r="AI379" s="31">
        <f>VLOOKUP($A379,kurspris!$A$1:$Q$835,8,FALSE)</f>
        <v>0</v>
      </c>
      <c r="AJ379" s="31">
        <f>VLOOKUP($A379,kurspris!$A$1:$Q$835,9,FALSE)</f>
        <v>0</v>
      </c>
      <c r="AK379" s="31">
        <f>VLOOKUP($A379,kurspris!$A$1:$Q$835,10,FALSE)</f>
        <v>0</v>
      </c>
      <c r="AL379" s="31">
        <f>VLOOKUP($A379,kurspris!$A$1:$Q$835,11,FALSE)</f>
        <v>0</v>
      </c>
      <c r="AM379" s="31">
        <f>VLOOKUP($A379,kurspris!$A$1:$Q$835,12,FALSE)</f>
        <v>0</v>
      </c>
      <c r="AN379" s="31">
        <f>VLOOKUP($A379,kurspris!$A$1:$Q$835,13,FALSE)</f>
        <v>0</v>
      </c>
      <c r="AO379" s="31">
        <f>VLOOKUP($A379,kurspris!$A$1:$Q$835,14,FALSE)</f>
        <v>0</v>
      </c>
      <c r="AP379" s="39" t="s">
        <v>2326</v>
      </c>
      <c r="AQ379"/>
      <c r="AR379" s="31">
        <f t="shared" si="145"/>
        <v>0</v>
      </c>
      <c r="AS379" s="255">
        <f t="shared" si="146"/>
        <v>0</v>
      </c>
      <c r="AT379" s="31">
        <f t="shared" si="147"/>
        <v>0</v>
      </c>
      <c r="AU379" s="255">
        <f t="shared" si="148"/>
        <v>0</v>
      </c>
      <c r="AV379" s="31">
        <f t="shared" si="149"/>
        <v>0</v>
      </c>
      <c r="AW379" s="31">
        <f t="shared" si="150"/>
        <v>0</v>
      </c>
      <c r="AX379" s="31">
        <f t="shared" si="151"/>
        <v>2.25</v>
      </c>
      <c r="AY379" s="255">
        <f t="shared" si="152"/>
        <v>1.9124999999999999</v>
      </c>
      <c r="AZ379" s="232">
        <f t="shared" si="153"/>
        <v>0</v>
      </c>
      <c r="BA379" s="255">
        <f t="shared" si="154"/>
        <v>0</v>
      </c>
      <c r="BB379" s="31">
        <f t="shared" si="155"/>
        <v>0</v>
      </c>
      <c r="BC379" s="255">
        <f t="shared" si="156"/>
        <v>0</v>
      </c>
      <c r="BD379" s="31">
        <f t="shared" si="157"/>
        <v>0</v>
      </c>
      <c r="BE379" s="255">
        <f t="shared" si="158"/>
        <v>0</v>
      </c>
      <c r="BF379" s="31">
        <f t="shared" si="159"/>
        <v>0</v>
      </c>
      <c r="BG379" s="255">
        <f t="shared" si="160"/>
        <v>0</v>
      </c>
      <c r="BH379" s="31">
        <f t="shared" si="161"/>
        <v>0</v>
      </c>
      <c r="BI379" s="255">
        <f t="shared" si="162"/>
        <v>0</v>
      </c>
      <c r="BJ379" s="31">
        <f t="shared" si="163"/>
        <v>0</v>
      </c>
      <c r="BK379" s="31">
        <f t="shared" si="164"/>
        <v>0</v>
      </c>
      <c r="BL379" s="255">
        <f t="shared" si="165"/>
        <v>0</v>
      </c>
      <c r="BM379" s="31">
        <f t="shared" si="166"/>
        <v>0</v>
      </c>
      <c r="BN379" s="255">
        <f t="shared" si="167"/>
        <v>0</v>
      </c>
    </row>
    <row r="380" spans="1:66" x14ac:dyDescent="0.25">
      <c r="A380" s="18" t="s">
        <v>1152</v>
      </c>
      <c r="B380" s="186" t="str">
        <f>VLOOKUP(A380,kurspris!$A$1:$B$877,2,FALSE)</f>
        <v>Kunskap, vetenskap och forskningsmetodik, 7,5 hp</v>
      </c>
      <c r="C380" s="37"/>
      <c r="D380" s="31" t="s">
        <v>483</v>
      </c>
      <c r="E380" s="31" t="s">
        <v>1931</v>
      </c>
      <c r="F380" s="59" t="s">
        <v>1931</v>
      </c>
      <c r="G380" s="31" t="s">
        <v>2277</v>
      </c>
      <c r="J380" t="s">
        <v>1594</v>
      </c>
      <c r="L380" s="31">
        <v>100</v>
      </c>
      <c r="M380" s="31">
        <v>7.5</v>
      </c>
      <c r="P380" s="31">
        <v>1</v>
      </c>
      <c r="Q380" s="232">
        <f t="shared" si="140"/>
        <v>0.125</v>
      </c>
      <c r="R380" s="40">
        <v>0.85</v>
      </c>
      <c r="S380" s="334">
        <f t="shared" si="141"/>
        <v>0.10625</v>
      </c>
      <c r="T380" s="31">
        <f>VLOOKUP(A380,'Ansvar kurs'!$A$1:$C$1010,2,FALSE)</f>
        <v>1630</v>
      </c>
      <c r="U380" s="31" t="str">
        <f>VLOOKUP(T380,Orgenheter!$A$1:$C$165,2,FALSE)</f>
        <v>Inst för ide- o samhällsstudier</v>
      </c>
      <c r="V380" s="31" t="str">
        <f>VLOOKUP(T380,Orgenheter!$A$1:$C$165,3,FALSE)</f>
        <v>Hum</v>
      </c>
      <c r="W380" s="37" t="str">
        <f>VLOOKUP(D380,Program!$A$1:$B$34,2,FALSE)</f>
        <v>Ämneslärarprogrammet - Gy</v>
      </c>
      <c r="X380" s="42">
        <f>VLOOKUP(A380,kurspris!$A$1:$Q$798,15,FALSE)</f>
        <v>23641</v>
      </c>
      <c r="Y380" s="42">
        <f>VLOOKUP(A380,kurspris!$A$1:$Q$798,16,FALSE)</f>
        <v>28786</v>
      </c>
      <c r="Z380" s="42">
        <f t="shared" si="142"/>
        <v>6013.6374999999998</v>
      </c>
      <c r="AA380" s="42">
        <f>VLOOKUP(A380,kurspris!$A$1:$Q$798,17,FALSE)</f>
        <v>5800</v>
      </c>
      <c r="AB380" s="42">
        <f t="shared" si="143"/>
        <v>725</v>
      </c>
      <c r="AC380" s="42">
        <f t="shared" si="144"/>
        <v>6738.6374999999998</v>
      </c>
      <c r="AD380" s="31">
        <f>VLOOKUP($A380,kurspris!$A$1:$Q$835,3,FALSE)</f>
        <v>0</v>
      </c>
      <c r="AE380" s="31">
        <f>VLOOKUP($A380,kurspris!$A$1:$Q$835,4,FALSE)</f>
        <v>0</v>
      </c>
      <c r="AF380" s="31">
        <f>VLOOKUP($A380,kurspris!$A$1:$Q$835,5,FALSE)</f>
        <v>0</v>
      </c>
      <c r="AG380" s="31">
        <f>VLOOKUP($A380,kurspris!$A$1:$Q$835,6,FALSE)</f>
        <v>1</v>
      </c>
      <c r="AH380" s="31">
        <f>VLOOKUP($A380,kurspris!$A$1:$Q$835,7,FALSE)</f>
        <v>0</v>
      </c>
      <c r="AI380" s="31">
        <f>VLOOKUP($A380,kurspris!$A$1:$Q$835,8,FALSE)</f>
        <v>0</v>
      </c>
      <c r="AJ380" s="31">
        <f>VLOOKUP($A380,kurspris!$A$1:$Q$835,9,FALSE)</f>
        <v>0</v>
      </c>
      <c r="AK380" s="31">
        <f>VLOOKUP($A380,kurspris!$A$1:$Q$835,10,FALSE)</f>
        <v>0</v>
      </c>
      <c r="AL380" s="31">
        <f>VLOOKUP($A380,kurspris!$A$1:$Q$835,11,FALSE)</f>
        <v>0</v>
      </c>
      <c r="AM380" s="31">
        <f>VLOOKUP($A380,kurspris!$A$1:$Q$835,12,FALSE)</f>
        <v>0</v>
      </c>
      <c r="AN380" s="31">
        <f>VLOOKUP($A380,kurspris!$A$1:$Q$835,13,FALSE)</f>
        <v>0</v>
      </c>
      <c r="AO380" s="31">
        <f>VLOOKUP($A380,kurspris!$A$1:$Q$835,14,FALSE)</f>
        <v>0</v>
      </c>
      <c r="AP380" s="39" t="s">
        <v>2326</v>
      </c>
      <c r="AQ380"/>
      <c r="AR380" s="31">
        <f t="shared" si="145"/>
        <v>0</v>
      </c>
      <c r="AS380" s="255">
        <f t="shared" si="146"/>
        <v>0</v>
      </c>
      <c r="AT380" s="31">
        <f t="shared" si="147"/>
        <v>0</v>
      </c>
      <c r="AU380" s="255">
        <f t="shared" si="148"/>
        <v>0</v>
      </c>
      <c r="AV380" s="31">
        <f t="shared" si="149"/>
        <v>0</v>
      </c>
      <c r="AW380" s="31">
        <f t="shared" si="150"/>
        <v>0</v>
      </c>
      <c r="AX380" s="31">
        <f t="shared" si="151"/>
        <v>0.125</v>
      </c>
      <c r="AY380" s="255">
        <f t="shared" si="152"/>
        <v>0.10625</v>
      </c>
      <c r="AZ380" s="232">
        <f t="shared" si="153"/>
        <v>0</v>
      </c>
      <c r="BA380" s="255">
        <f t="shared" si="154"/>
        <v>0</v>
      </c>
      <c r="BB380" s="31">
        <f t="shared" si="155"/>
        <v>0</v>
      </c>
      <c r="BC380" s="255">
        <f t="shared" si="156"/>
        <v>0</v>
      </c>
      <c r="BD380" s="31">
        <f t="shared" si="157"/>
        <v>0</v>
      </c>
      <c r="BE380" s="255">
        <f t="shared" si="158"/>
        <v>0</v>
      </c>
      <c r="BF380" s="31">
        <f t="shared" si="159"/>
        <v>0</v>
      </c>
      <c r="BG380" s="255">
        <f t="shared" si="160"/>
        <v>0</v>
      </c>
      <c r="BH380" s="31">
        <f t="shared" si="161"/>
        <v>0</v>
      </c>
      <c r="BI380" s="255">
        <f t="shared" si="162"/>
        <v>0</v>
      </c>
      <c r="BJ380" s="31">
        <f t="shared" si="163"/>
        <v>0</v>
      </c>
      <c r="BK380" s="31">
        <f t="shared" si="164"/>
        <v>0</v>
      </c>
      <c r="BL380" s="255">
        <f t="shared" si="165"/>
        <v>0</v>
      </c>
      <c r="BM380" s="31">
        <f t="shared" si="166"/>
        <v>0</v>
      </c>
      <c r="BN380" s="255">
        <f t="shared" si="167"/>
        <v>0</v>
      </c>
    </row>
    <row r="381" spans="1:66" x14ac:dyDescent="0.25">
      <c r="A381" s="18" t="s">
        <v>1152</v>
      </c>
      <c r="B381" s="186" t="str">
        <f>VLOOKUP(A381,kurspris!$A$1:$B$877,2,FALSE)</f>
        <v>Kunskap, vetenskap och forskningsmetodik, 7,5 hp</v>
      </c>
      <c r="C381" s="37"/>
      <c r="D381" s="31" t="s">
        <v>483</v>
      </c>
      <c r="E381" s="31" t="s">
        <v>1931</v>
      </c>
      <c r="F381" s="59" t="s">
        <v>1931</v>
      </c>
      <c r="G381" s="31" t="s">
        <v>2277</v>
      </c>
      <c r="J381" t="s">
        <v>776</v>
      </c>
      <c r="L381" s="31">
        <v>100</v>
      </c>
      <c r="M381" s="31">
        <v>7.5</v>
      </c>
      <c r="P381" s="31">
        <v>8</v>
      </c>
      <c r="Q381" s="232">
        <f t="shared" si="140"/>
        <v>1</v>
      </c>
      <c r="R381" s="40">
        <v>0.85</v>
      </c>
      <c r="S381" s="334">
        <f t="shared" si="141"/>
        <v>0.85</v>
      </c>
      <c r="T381" s="31">
        <f>VLOOKUP(A381,'Ansvar kurs'!$A$1:$C$1010,2,FALSE)</f>
        <v>1630</v>
      </c>
      <c r="U381" s="31" t="str">
        <f>VLOOKUP(T381,Orgenheter!$A$1:$C$165,2,FALSE)</f>
        <v>Inst för ide- o samhällsstudier</v>
      </c>
      <c r="V381" s="31" t="str">
        <f>VLOOKUP(T381,Orgenheter!$A$1:$C$165,3,FALSE)</f>
        <v>Hum</v>
      </c>
      <c r="W381" s="37" t="str">
        <f>VLOOKUP(D381,Program!$A$1:$B$34,2,FALSE)</f>
        <v>Ämneslärarprogrammet - Gy</v>
      </c>
      <c r="X381" s="42">
        <f>VLOOKUP(A381,kurspris!$A$1:$Q$798,15,FALSE)</f>
        <v>23641</v>
      </c>
      <c r="Y381" s="42">
        <f>VLOOKUP(A381,kurspris!$A$1:$Q$798,16,FALSE)</f>
        <v>28786</v>
      </c>
      <c r="Z381" s="42">
        <f t="shared" si="142"/>
        <v>48109.1</v>
      </c>
      <c r="AA381" s="42">
        <f>VLOOKUP(A381,kurspris!$A$1:$Q$798,17,FALSE)</f>
        <v>5800</v>
      </c>
      <c r="AB381" s="42">
        <f t="shared" si="143"/>
        <v>5800</v>
      </c>
      <c r="AC381" s="42">
        <f t="shared" si="144"/>
        <v>53909.1</v>
      </c>
      <c r="AD381" s="31">
        <f>VLOOKUP($A381,kurspris!$A$1:$Q$835,3,FALSE)</f>
        <v>0</v>
      </c>
      <c r="AE381" s="31">
        <f>VLOOKUP($A381,kurspris!$A$1:$Q$835,4,FALSE)</f>
        <v>0</v>
      </c>
      <c r="AF381" s="31">
        <f>VLOOKUP($A381,kurspris!$A$1:$Q$835,5,FALSE)</f>
        <v>0</v>
      </c>
      <c r="AG381" s="31">
        <f>VLOOKUP($A381,kurspris!$A$1:$Q$835,6,FALSE)</f>
        <v>1</v>
      </c>
      <c r="AH381" s="31">
        <f>VLOOKUP($A381,kurspris!$A$1:$Q$835,7,FALSE)</f>
        <v>0</v>
      </c>
      <c r="AI381" s="31">
        <f>VLOOKUP($A381,kurspris!$A$1:$Q$835,8,FALSE)</f>
        <v>0</v>
      </c>
      <c r="AJ381" s="31">
        <f>VLOOKUP($A381,kurspris!$A$1:$Q$835,9,FALSE)</f>
        <v>0</v>
      </c>
      <c r="AK381" s="31">
        <f>VLOOKUP($A381,kurspris!$A$1:$Q$835,10,FALSE)</f>
        <v>0</v>
      </c>
      <c r="AL381" s="31">
        <f>VLOOKUP($A381,kurspris!$A$1:$Q$835,11,FALSE)</f>
        <v>0</v>
      </c>
      <c r="AM381" s="31">
        <f>VLOOKUP($A381,kurspris!$A$1:$Q$835,12,FALSE)</f>
        <v>0</v>
      </c>
      <c r="AN381" s="31">
        <f>VLOOKUP($A381,kurspris!$A$1:$Q$835,13,FALSE)</f>
        <v>0</v>
      </c>
      <c r="AO381" s="31">
        <f>VLOOKUP($A381,kurspris!$A$1:$Q$835,14,FALSE)</f>
        <v>0</v>
      </c>
      <c r="AP381" s="39" t="s">
        <v>2326</v>
      </c>
      <c r="AQ381"/>
      <c r="AR381" s="31">
        <f t="shared" si="145"/>
        <v>0</v>
      </c>
      <c r="AS381" s="255">
        <f t="shared" si="146"/>
        <v>0</v>
      </c>
      <c r="AT381" s="31">
        <f t="shared" si="147"/>
        <v>0</v>
      </c>
      <c r="AU381" s="255">
        <f t="shared" si="148"/>
        <v>0</v>
      </c>
      <c r="AV381" s="31">
        <f t="shared" si="149"/>
        <v>0</v>
      </c>
      <c r="AW381" s="31">
        <f t="shared" si="150"/>
        <v>0</v>
      </c>
      <c r="AX381" s="31">
        <f t="shared" si="151"/>
        <v>1</v>
      </c>
      <c r="AY381" s="255">
        <f t="shared" si="152"/>
        <v>0.85</v>
      </c>
      <c r="AZ381" s="232">
        <f t="shared" si="153"/>
        <v>0</v>
      </c>
      <c r="BA381" s="255">
        <f t="shared" si="154"/>
        <v>0</v>
      </c>
      <c r="BB381" s="31">
        <f t="shared" si="155"/>
        <v>0</v>
      </c>
      <c r="BC381" s="255">
        <f t="shared" si="156"/>
        <v>0</v>
      </c>
      <c r="BD381" s="31">
        <f t="shared" si="157"/>
        <v>0</v>
      </c>
      <c r="BE381" s="255">
        <f t="shared" si="158"/>
        <v>0</v>
      </c>
      <c r="BF381" s="31">
        <f t="shared" si="159"/>
        <v>0</v>
      </c>
      <c r="BG381" s="255">
        <f t="shared" si="160"/>
        <v>0</v>
      </c>
      <c r="BH381" s="31">
        <f t="shared" si="161"/>
        <v>0</v>
      </c>
      <c r="BI381" s="255">
        <f t="shared" si="162"/>
        <v>0</v>
      </c>
      <c r="BJ381" s="31">
        <f t="shared" si="163"/>
        <v>0</v>
      </c>
      <c r="BK381" s="31">
        <f t="shared" si="164"/>
        <v>0</v>
      </c>
      <c r="BL381" s="255">
        <f t="shared" si="165"/>
        <v>0</v>
      </c>
      <c r="BM381" s="31">
        <f t="shared" si="166"/>
        <v>0</v>
      </c>
      <c r="BN381" s="255">
        <f t="shared" si="167"/>
        <v>0</v>
      </c>
    </row>
    <row r="382" spans="1:66" x14ac:dyDescent="0.25">
      <c r="A382" s="18" t="s">
        <v>1152</v>
      </c>
      <c r="B382" s="186" t="str">
        <f>VLOOKUP(A382,kurspris!$A$1:$B$877,2,FALSE)</f>
        <v>Kunskap, vetenskap och forskningsmetodik, 7,5 hp</v>
      </c>
      <c r="C382" s="37"/>
      <c r="D382" s="31" t="s">
        <v>483</v>
      </c>
      <c r="E382" s="31" t="s">
        <v>1931</v>
      </c>
      <c r="F382" s="59" t="s">
        <v>1931</v>
      </c>
      <c r="G382" s="31" t="s">
        <v>2277</v>
      </c>
      <c r="J382" t="s">
        <v>777</v>
      </c>
      <c r="L382" s="31">
        <v>100</v>
      </c>
      <c r="M382" s="31">
        <v>7.5</v>
      </c>
      <c r="P382" s="31">
        <v>18</v>
      </c>
      <c r="Q382" s="232">
        <f t="shared" si="140"/>
        <v>2.25</v>
      </c>
      <c r="R382" s="40">
        <v>0.85</v>
      </c>
      <c r="S382" s="334">
        <f t="shared" si="141"/>
        <v>1.9124999999999999</v>
      </c>
      <c r="T382" s="31">
        <f>VLOOKUP(A382,'Ansvar kurs'!$A$1:$C$1010,2,FALSE)</f>
        <v>1630</v>
      </c>
      <c r="U382" s="31" t="str">
        <f>VLOOKUP(T382,Orgenheter!$A$1:$C$165,2,FALSE)</f>
        <v>Inst för ide- o samhällsstudier</v>
      </c>
      <c r="V382" s="31" t="str">
        <f>VLOOKUP(T382,Orgenheter!$A$1:$C$165,3,FALSE)</f>
        <v>Hum</v>
      </c>
      <c r="W382" s="37" t="str">
        <f>VLOOKUP(D382,Program!$A$1:$B$34,2,FALSE)</f>
        <v>Ämneslärarprogrammet - Gy</v>
      </c>
      <c r="X382" s="42">
        <f>VLOOKUP(A382,kurspris!$A$1:$Q$798,15,FALSE)</f>
        <v>23641</v>
      </c>
      <c r="Y382" s="42">
        <f>VLOOKUP(A382,kurspris!$A$1:$Q$798,16,FALSE)</f>
        <v>28786</v>
      </c>
      <c r="Z382" s="42">
        <f t="shared" si="142"/>
        <v>108245.47500000001</v>
      </c>
      <c r="AA382" s="42">
        <f>VLOOKUP(A382,kurspris!$A$1:$Q$798,17,FALSE)</f>
        <v>5800</v>
      </c>
      <c r="AB382" s="42">
        <f t="shared" si="143"/>
        <v>13050</v>
      </c>
      <c r="AC382" s="42">
        <f t="shared" si="144"/>
        <v>121295.47500000001</v>
      </c>
      <c r="AD382" s="31">
        <f>VLOOKUP($A382,kurspris!$A$1:$Q$835,3,FALSE)</f>
        <v>0</v>
      </c>
      <c r="AE382" s="31">
        <f>VLOOKUP($A382,kurspris!$A$1:$Q$835,4,FALSE)</f>
        <v>0</v>
      </c>
      <c r="AF382" s="31">
        <f>VLOOKUP($A382,kurspris!$A$1:$Q$835,5,FALSE)</f>
        <v>0</v>
      </c>
      <c r="AG382" s="31">
        <f>VLOOKUP($A382,kurspris!$A$1:$Q$835,6,FALSE)</f>
        <v>1</v>
      </c>
      <c r="AH382" s="31">
        <f>VLOOKUP($A382,kurspris!$A$1:$Q$835,7,FALSE)</f>
        <v>0</v>
      </c>
      <c r="AI382" s="31">
        <f>VLOOKUP($A382,kurspris!$A$1:$Q$835,8,FALSE)</f>
        <v>0</v>
      </c>
      <c r="AJ382" s="31">
        <f>VLOOKUP($A382,kurspris!$A$1:$Q$835,9,FALSE)</f>
        <v>0</v>
      </c>
      <c r="AK382" s="31">
        <f>VLOOKUP($A382,kurspris!$A$1:$Q$835,10,FALSE)</f>
        <v>0</v>
      </c>
      <c r="AL382" s="31">
        <f>VLOOKUP($A382,kurspris!$A$1:$Q$835,11,FALSE)</f>
        <v>0</v>
      </c>
      <c r="AM382" s="31">
        <f>VLOOKUP($A382,kurspris!$A$1:$Q$835,12,FALSE)</f>
        <v>0</v>
      </c>
      <c r="AN382" s="31">
        <f>VLOOKUP($A382,kurspris!$A$1:$Q$835,13,FALSE)</f>
        <v>0</v>
      </c>
      <c r="AO382" s="31">
        <f>VLOOKUP($A382,kurspris!$A$1:$Q$835,14,FALSE)</f>
        <v>0</v>
      </c>
      <c r="AP382" s="39" t="s">
        <v>2326</v>
      </c>
      <c r="AQ382"/>
      <c r="AR382" s="31">
        <f t="shared" si="145"/>
        <v>0</v>
      </c>
      <c r="AS382" s="255">
        <f t="shared" si="146"/>
        <v>0</v>
      </c>
      <c r="AT382" s="31">
        <f t="shared" si="147"/>
        <v>0</v>
      </c>
      <c r="AU382" s="255">
        <f t="shared" si="148"/>
        <v>0</v>
      </c>
      <c r="AV382" s="31">
        <f t="shared" si="149"/>
        <v>0</v>
      </c>
      <c r="AW382" s="31">
        <f t="shared" si="150"/>
        <v>0</v>
      </c>
      <c r="AX382" s="31">
        <f t="shared" si="151"/>
        <v>2.25</v>
      </c>
      <c r="AY382" s="255">
        <f t="shared" si="152"/>
        <v>1.9124999999999999</v>
      </c>
      <c r="AZ382" s="232">
        <f t="shared" si="153"/>
        <v>0</v>
      </c>
      <c r="BA382" s="255">
        <f t="shared" si="154"/>
        <v>0</v>
      </c>
      <c r="BB382" s="31">
        <f t="shared" si="155"/>
        <v>0</v>
      </c>
      <c r="BC382" s="255">
        <f t="shared" si="156"/>
        <v>0</v>
      </c>
      <c r="BD382" s="31">
        <f t="shared" si="157"/>
        <v>0</v>
      </c>
      <c r="BE382" s="255">
        <f t="shared" si="158"/>
        <v>0</v>
      </c>
      <c r="BF382" s="31">
        <f t="shared" si="159"/>
        <v>0</v>
      </c>
      <c r="BG382" s="255">
        <f t="shared" si="160"/>
        <v>0</v>
      </c>
      <c r="BH382" s="31">
        <f t="shared" si="161"/>
        <v>0</v>
      </c>
      <c r="BI382" s="255">
        <f t="shared" si="162"/>
        <v>0</v>
      </c>
      <c r="BJ382" s="31">
        <f t="shared" si="163"/>
        <v>0</v>
      </c>
      <c r="BK382" s="31">
        <f t="shared" si="164"/>
        <v>0</v>
      </c>
      <c r="BL382" s="255">
        <f t="shared" si="165"/>
        <v>0</v>
      </c>
      <c r="BM382" s="31">
        <f t="shared" si="166"/>
        <v>0</v>
      </c>
      <c r="BN382" s="255">
        <f t="shared" si="167"/>
        <v>0</v>
      </c>
    </row>
    <row r="383" spans="1:66" x14ac:dyDescent="0.25">
      <c r="A383" s="18" t="s">
        <v>1152</v>
      </c>
      <c r="B383" s="186" t="str">
        <f>VLOOKUP(A383,kurspris!$A$1:$B$877,2,FALSE)</f>
        <v>Kunskap, vetenskap och forskningsmetodik, 7,5 hp</v>
      </c>
      <c r="C383" s="37"/>
      <c r="D383" s="31" t="s">
        <v>483</v>
      </c>
      <c r="E383" s="31" t="s">
        <v>1931</v>
      </c>
      <c r="F383" s="59" t="s">
        <v>1931</v>
      </c>
      <c r="G383" s="31" t="s">
        <v>2277</v>
      </c>
      <c r="J383" t="s">
        <v>1803</v>
      </c>
      <c r="L383" s="31">
        <v>100</v>
      </c>
      <c r="M383" s="31">
        <v>7.5</v>
      </c>
      <c r="P383" s="31">
        <v>1</v>
      </c>
      <c r="Q383" s="232">
        <f t="shared" si="140"/>
        <v>0.125</v>
      </c>
      <c r="R383" s="40">
        <v>0.85</v>
      </c>
      <c r="S383" s="334">
        <f t="shared" si="141"/>
        <v>0.10625</v>
      </c>
      <c r="T383" s="31">
        <f>VLOOKUP(A383,'Ansvar kurs'!$A$1:$C$1010,2,FALSE)</f>
        <v>1630</v>
      </c>
      <c r="U383" s="31" t="str">
        <f>VLOOKUP(T383,Orgenheter!$A$1:$C$165,2,FALSE)</f>
        <v>Inst för ide- o samhällsstudier</v>
      </c>
      <c r="V383" s="31" t="str">
        <f>VLOOKUP(T383,Orgenheter!$A$1:$C$165,3,FALSE)</f>
        <v>Hum</v>
      </c>
      <c r="W383" s="37" t="str">
        <f>VLOOKUP(D383,Program!$A$1:$B$34,2,FALSE)</f>
        <v>Ämneslärarprogrammet - Gy</v>
      </c>
      <c r="X383" s="42">
        <f>VLOOKUP(A383,kurspris!$A$1:$Q$798,15,FALSE)</f>
        <v>23641</v>
      </c>
      <c r="Y383" s="42">
        <f>VLOOKUP(A383,kurspris!$A$1:$Q$798,16,FALSE)</f>
        <v>28786</v>
      </c>
      <c r="Z383" s="42">
        <f t="shared" si="142"/>
        <v>6013.6374999999998</v>
      </c>
      <c r="AA383" s="42">
        <f>VLOOKUP(A383,kurspris!$A$1:$Q$798,17,FALSE)</f>
        <v>5800</v>
      </c>
      <c r="AB383" s="42">
        <f t="shared" si="143"/>
        <v>725</v>
      </c>
      <c r="AC383" s="42">
        <f t="shared" si="144"/>
        <v>6738.6374999999998</v>
      </c>
      <c r="AD383" s="31">
        <f>VLOOKUP($A383,kurspris!$A$1:$Q$835,3,FALSE)</f>
        <v>0</v>
      </c>
      <c r="AE383" s="31">
        <f>VLOOKUP($A383,kurspris!$A$1:$Q$835,4,FALSE)</f>
        <v>0</v>
      </c>
      <c r="AF383" s="31">
        <f>VLOOKUP($A383,kurspris!$A$1:$Q$835,5,FALSE)</f>
        <v>0</v>
      </c>
      <c r="AG383" s="31">
        <f>VLOOKUP($A383,kurspris!$A$1:$Q$835,6,FALSE)</f>
        <v>1</v>
      </c>
      <c r="AH383" s="31">
        <f>VLOOKUP($A383,kurspris!$A$1:$Q$835,7,FALSE)</f>
        <v>0</v>
      </c>
      <c r="AI383" s="31">
        <f>VLOOKUP($A383,kurspris!$A$1:$Q$835,8,FALSE)</f>
        <v>0</v>
      </c>
      <c r="AJ383" s="31">
        <f>VLOOKUP($A383,kurspris!$A$1:$Q$835,9,FALSE)</f>
        <v>0</v>
      </c>
      <c r="AK383" s="31">
        <f>VLOOKUP($A383,kurspris!$A$1:$Q$835,10,FALSE)</f>
        <v>0</v>
      </c>
      <c r="AL383" s="31">
        <f>VLOOKUP($A383,kurspris!$A$1:$Q$835,11,FALSE)</f>
        <v>0</v>
      </c>
      <c r="AM383" s="31">
        <f>VLOOKUP($A383,kurspris!$A$1:$Q$835,12,FALSE)</f>
        <v>0</v>
      </c>
      <c r="AN383" s="31">
        <f>VLOOKUP($A383,kurspris!$A$1:$Q$835,13,FALSE)</f>
        <v>0</v>
      </c>
      <c r="AO383" s="31">
        <f>VLOOKUP($A383,kurspris!$A$1:$Q$835,14,FALSE)</f>
        <v>0</v>
      </c>
      <c r="AP383" s="39" t="s">
        <v>2326</v>
      </c>
      <c r="AQ383"/>
      <c r="AR383" s="31">
        <f t="shared" si="145"/>
        <v>0</v>
      </c>
      <c r="AS383" s="255">
        <f t="shared" si="146"/>
        <v>0</v>
      </c>
      <c r="AT383" s="31">
        <f t="shared" si="147"/>
        <v>0</v>
      </c>
      <c r="AU383" s="255">
        <f t="shared" si="148"/>
        <v>0</v>
      </c>
      <c r="AV383" s="31">
        <f t="shared" si="149"/>
        <v>0</v>
      </c>
      <c r="AW383" s="31">
        <f t="shared" si="150"/>
        <v>0</v>
      </c>
      <c r="AX383" s="31">
        <f t="shared" si="151"/>
        <v>0.125</v>
      </c>
      <c r="AY383" s="255">
        <f t="shared" si="152"/>
        <v>0.10625</v>
      </c>
      <c r="AZ383" s="232">
        <f t="shared" si="153"/>
        <v>0</v>
      </c>
      <c r="BA383" s="255">
        <f t="shared" si="154"/>
        <v>0</v>
      </c>
      <c r="BB383" s="31">
        <f t="shared" si="155"/>
        <v>0</v>
      </c>
      <c r="BC383" s="255">
        <f t="shared" si="156"/>
        <v>0</v>
      </c>
      <c r="BD383" s="31">
        <f t="shared" si="157"/>
        <v>0</v>
      </c>
      <c r="BE383" s="255">
        <f t="shared" si="158"/>
        <v>0</v>
      </c>
      <c r="BF383" s="31">
        <f t="shared" si="159"/>
        <v>0</v>
      </c>
      <c r="BG383" s="255">
        <f t="shared" si="160"/>
        <v>0</v>
      </c>
      <c r="BH383" s="31">
        <f t="shared" si="161"/>
        <v>0</v>
      </c>
      <c r="BI383" s="255">
        <f t="shared" si="162"/>
        <v>0</v>
      </c>
      <c r="BJ383" s="31">
        <f t="shared" si="163"/>
        <v>0</v>
      </c>
      <c r="BK383" s="31">
        <f t="shared" si="164"/>
        <v>0</v>
      </c>
      <c r="BL383" s="255">
        <f t="shared" si="165"/>
        <v>0</v>
      </c>
      <c r="BM383" s="31">
        <f t="shared" si="166"/>
        <v>0</v>
      </c>
      <c r="BN383" s="255">
        <f t="shared" si="167"/>
        <v>0</v>
      </c>
    </row>
    <row r="384" spans="1:66" x14ac:dyDescent="0.25">
      <c r="A384" s="18" t="s">
        <v>1152</v>
      </c>
      <c r="B384" s="186" t="str">
        <f>VLOOKUP(A384,kurspris!$A$1:$B$877,2,FALSE)</f>
        <v>Kunskap, vetenskap och forskningsmetodik, 7,5 hp</v>
      </c>
      <c r="C384" s="37"/>
      <c r="D384" s="31" t="s">
        <v>483</v>
      </c>
      <c r="E384" s="31" t="s">
        <v>1931</v>
      </c>
      <c r="F384" s="59" t="s">
        <v>1931</v>
      </c>
      <c r="G384" s="31" t="s">
        <v>2277</v>
      </c>
      <c r="J384" t="s">
        <v>778</v>
      </c>
      <c r="L384" s="31">
        <v>100</v>
      </c>
      <c r="M384" s="31">
        <v>7.5</v>
      </c>
      <c r="P384" s="31">
        <v>13</v>
      </c>
      <c r="Q384" s="232">
        <f t="shared" si="140"/>
        <v>1.625</v>
      </c>
      <c r="R384" s="40">
        <v>0.85</v>
      </c>
      <c r="S384" s="334">
        <f t="shared" si="141"/>
        <v>1.3812499999999999</v>
      </c>
      <c r="T384" s="31">
        <f>VLOOKUP(A384,'Ansvar kurs'!$A$1:$C$1010,2,FALSE)</f>
        <v>1630</v>
      </c>
      <c r="U384" s="31" t="str">
        <f>VLOOKUP(T384,Orgenheter!$A$1:$C$165,2,FALSE)</f>
        <v>Inst för ide- o samhällsstudier</v>
      </c>
      <c r="V384" s="31" t="str">
        <f>VLOOKUP(T384,Orgenheter!$A$1:$C$165,3,FALSE)</f>
        <v>Hum</v>
      </c>
      <c r="W384" s="37" t="str">
        <f>VLOOKUP(D384,Program!$A$1:$B$34,2,FALSE)</f>
        <v>Ämneslärarprogrammet - Gy</v>
      </c>
      <c r="X384" s="42">
        <f>VLOOKUP(A384,kurspris!$A$1:$Q$798,15,FALSE)</f>
        <v>23641</v>
      </c>
      <c r="Y384" s="42">
        <f>VLOOKUP(A384,kurspris!$A$1:$Q$798,16,FALSE)</f>
        <v>28786</v>
      </c>
      <c r="Z384" s="42">
        <f t="shared" si="142"/>
        <v>78177.287500000006</v>
      </c>
      <c r="AA384" s="42">
        <f>VLOOKUP(A384,kurspris!$A$1:$Q$798,17,FALSE)</f>
        <v>5800</v>
      </c>
      <c r="AB384" s="42">
        <f t="shared" si="143"/>
        <v>9425</v>
      </c>
      <c r="AC384" s="42">
        <f t="shared" si="144"/>
        <v>87602.287500000006</v>
      </c>
      <c r="AD384" s="31">
        <f>VLOOKUP($A384,kurspris!$A$1:$Q$835,3,FALSE)</f>
        <v>0</v>
      </c>
      <c r="AE384" s="31">
        <f>VLOOKUP($A384,kurspris!$A$1:$Q$835,4,FALSE)</f>
        <v>0</v>
      </c>
      <c r="AF384" s="31">
        <f>VLOOKUP($A384,kurspris!$A$1:$Q$835,5,FALSE)</f>
        <v>0</v>
      </c>
      <c r="AG384" s="31">
        <f>VLOOKUP($A384,kurspris!$A$1:$Q$835,6,FALSE)</f>
        <v>1</v>
      </c>
      <c r="AH384" s="31">
        <f>VLOOKUP($A384,kurspris!$A$1:$Q$835,7,FALSE)</f>
        <v>0</v>
      </c>
      <c r="AI384" s="31">
        <f>VLOOKUP($A384,kurspris!$A$1:$Q$835,8,FALSE)</f>
        <v>0</v>
      </c>
      <c r="AJ384" s="31">
        <f>VLOOKUP($A384,kurspris!$A$1:$Q$835,9,FALSE)</f>
        <v>0</v>
      </c>
      <c r="AK384" s="31">
        <f>VLOOKUP($A384,kurspris!$A$1:$Q$835,10,FALSE)</f>
        <v>0</v>
      </c>
      <c r="AL384" s="31">
        <f>VLOOKUP($A384,kurspris!$A$1:$Q$835,11,FALSE)</f>
        <v>0</v>
      </c>
      <c r="AM384" s="31">
        <f>VLOOKUP($A384,kurspris!$A$1:$Q$835,12,FALSE)</f>
        <v>0</v>
      </c>
      <c r="AN384" s="31">
        <f>VLOOKUP($A384,kurspris!$A$1:$Q$835,13,FALSE)</f>
        <v>0</v>
      </c>
      <c r="AO384" s="31">
        <f>VLOOKUP($A384,kurspris!$A$1:$Q$835,14,FALSE)</f>
        <v>0</v>
      </c>
      <c r="AP384" s="39" t="s">
        <v>2326</v>
      </c>
      <c r="AQ384"/>
      <c r="AR384" s="31">
        <f t="shared" si="145"/>
        <v>0</v>
      </c>
      <c r="AS384" s="255">
        <f t="shared" si="146"/>
        <v>0</v>
      </c>
      <c r="AT384" s="31">
        <f t="shared" si="147"/>
        <v>0</v>
      </c>
      <c r="AU384" s="255">
        <f t="shared" si="148"/>
        <v>0</v>
      </c>
      <c r="AV384" s="31">
        <f t="shared" si="149"/>
        <v>0</v>
      </c>
      <c r="AW384" s="31">
        <f t="shared" si="150"/>
        <v>0</v>
      </c>
      <c r="AX384" s="31">
        <f t="shared" si="151"/>
        <v>1.625</v>
      </c>
      <c r="AY384" s="255">
        <f t="shared" si="152"/>
        <v>1.3812499999999999</v>
      </c>
      <c r="AZ384" s="232">
        <f t="shared" si="153"/>
        <v>0</v>
      </c>
      <c r="BA384" s="255">
        <f t="shared" si="154"/>
        <v>0</v>
      </c>
      <c r="BB384" s="31">
        <f t="shared" si="155"/>
        <v>0</v>
      </c>
      <c r="BC384" s="255">
        <f t="shared" si="156"/>
        <v>0</v>
      </c>
      <c r="BD384" s="31">
        <f t="shared" si="157"/>
        <v>0</v>
      </c>
      <c r="BE384" s="255">
        <f t="shared" si="158"/>
        <v>0</v>
      </c>
      <c r="BF384" s="31">
        <f t="shared" si="159"/>
        <v>0</v>
      </c>
      <c r="BG384" s="255">
        <f t="shared" si="160"/>
        <v>0</v>
      </c>
      <c r="BH384" s="31">
        <f t="shared" si="161"/>
        <v>0</v>
      </c>
      <c r="BI384" s="255">
        <f t="shared" si="162"/>
        <v>0</v>
      </c>
      <c r="BJ384" s="31">
        <f t="shared" si="163"/>
        <v>0</v>
      </c>
      <c r="BK384" s="31">
        <f t="shared" si="164"/>
        <v>0</v>
      </c>
      <c r="BL384" s="255">
        <f t="shared" si="165"/>
        <v>0</v>
      </c>
      <c r="BM384" s="31">
        <f t="shared" si="166"/>
        <v>0</v>
      </c>
      <c r="BN384" s="255">
        <f t="shared" si="167"/>
        <v>0</v>
      </c>
    </row>
    <row r="385" spans="1:66" x14ac:dyDescent="0.25">
      <c r="A385" s="18" t="s">
        <v>1152</v>
      </c>
      <c r="B385" s="186" t="str">
        <f>VLOOKUP(A385,kurspris!$A$1:$B$877,2,FALSE)</f>
        <v>Kunskap, vetenskap och forskningsmetodik, 7,5 hp</v>
      </c>
      <c r="C385" s="37"/>
      <c r="D385" s="31" t="s">
        <v>483</v>
      </c>
      <c r="E385" s="31" t="s">
        <v>1931</v>
      </c>
      <c r="F385" s="59" t="s">
        <v>1931</v>
      </c>
      <c r="G385" s="31" t="s">
        <v>2277</v>
      </c>
      <c r="J385" t="s">
        <v>1592</v>
      </c>
      <c r="L385" s="31">
        <v>100</v>
      </c>
      <c r="M385" s="31">
        <v>7.5</v>
      </c>
      <c r="P385" s="31">
        <v>3</v>
      </c>
      <c r="Q385" s="232">
        <f t="shared" ref="Q385:Q448" si="168">(M385/60)*P385</f>
        <v>0.375</v>
      </c>
      <c r="R385" s="40">
        <v>0.85</v>
      </c>
      <c r="S385" s="334">
        <f t="shared" ref="S385:S448" si="169">Q385*R385</f>
        <v>0.31874999999999998</v>
      </c>
      <c r="T385" s="31">
        <f>VLOOKUP(A385,'Ansvar kurs'!$A$1:$C$1010,2,FALSE)</f>
        <v>1630</v>
      </c>
      <c r="U385" s="31" t="str">
        <f>VLOOKUP(T385,Orgenheter!$A$1:$C$165,2,FALSE)</f>
        <v>Inst för ide- o samhällsstudier</v>
      </c>
      <c r="V385" s="31" t="str">
        <f>VLOOKUP(T385,Orgenheter!$A$1:$C$165,3,FALSE)</f>
        <v>Hum</v>
      </c>
      <c r="W385" s="37" t="str">
        <f>VLOOKUP(D385,Program!$A$1:$B$34,2,FALSE)</f>
        <v>Ämneslärarprogrammet - Gy</v>
      </c>
      <c r="X385" s="42">
        <f>VLOOKUP(A385,kurspris!$A$1:$Q$798,15,FALSE)</f>
        <v>23641</v>
      </c>
      <c r="Y385" s="42">
        <f>VLOOKUP(A385,kurspris!$A$1:$Q$798,16,FALSE)</f>
        <v>28786</v>
      </c>
      <c r="Z385" s="42">
        <f t="shared" ref="Z385:Z448" si="170">X385*Q385+S385*Y385</f>
        <v>18040.912499999999</v>
      </c>
      <c r="AA385" s="42">
        <f>VLOOKUP(A385,kurspris!$A$1:$Q$798,17,FALSE)</f>
        <v>5800</v>
      </c>
      <c r="AB385" s="42">
        <f t="shared" ref="AB385:AB448" si="171">AA385*Q385</f>
        <v>2175</v>
      </c>
      <c r="AC385" s="42">
        <f t="shared" ref="AC385:AC448" si="172">Z385+AB385</f>
        <v>20215.912499999999</v>
      </c>
      <c r="AD385" s="31">
        <f>VLOOKUP($A385,kurspris!$A$1:$Q$835,3,FALSE)</f>
        <v>0</v>
      </c>
      <c r="AE385" s="31">
        <f>VLOOKUP($A385,kurspris!$A$1:$Q$835,4,FALSE)</f>
        <v>0</v>
      </c>
      <c r="AF385" s="31">
        <f>VLOOKUP($A385,kurspris!$A$1:$Q$835,5,FALSE)</f>
        <v>0</v>
      </c>
      <c r="AG385" s="31">
        <f>VLOOKUP($A385,kurspris!$A$1:$Q$835,6,FALSE)</f>
        <v>1</v>
      </c>
      <c r="AH385" s="31">
        <f>VLOOKUP($A385,kurspris!$A$1:$Q$835,7,FALSE)</f>
        <v>0</v>
      </c>
      <c r="AI385" s="31">
        <f>VLOOKUP($A385,kurspris!$A$1:$Q$835,8,FALSE)</f>
        <v>0</v>
      </c>
      <c r="AJ385" s="31">
        <f>VLOOKUP($A385,kurspris!$A$1:$Q$835,9,FALSE)</f>
        <v>0</v>
      </c>
      <c r="AK385" s="31">
        <f>VLOOKUP($A385,kurspris!$A$1:$Q$835,10,FALSE)</f>
        <v>0</v>
      </c>
      <c r="AL385" s="31">
        <f>VLOOKUP($A385,kurspris!$A$1:$Q$835,11,FALSE)</f>
        <v>0</v>
      </c>
      <c r="AM385" s="31">
        <f>VLOOKUP($A385,kurspris!$A$1:$Q$835,12,FALSE)</f>
        <v>0</v>
      </c>
      <c r="AN385" s="31">
        <f>VLOOKUP($A385,kurspris!$A$1:$Q$835,13,FALSE)</f>
        <v>0</v>
      </c>
      <c r="AO385" s="31">
        <f>VLOOKUP($A385,kurspris!$A$1:$Q$835,14,FALSE)</f>
        <v>0</v>
      </c>
      <c r="AP385" s="39" t="s">
        <v>2326</v>
      </c>
      <c r="AQ385"/>
      <c r="AR385" s="31">
        <f t="shared" ref="AR385:AR448" si="173">$Q385*AD385</f>
        <v>0</v>
      </c>
      <c r="AS385" s="255">
        <f t="shared" ref="AS385:AS448" si="174">$S385*AD385</f>
        <v>0</v>
      </c>
      <c r="AT385" s="31">
        <f t="shared" ref="AT385:AT448" si="175">$Q385*AE385</f>
        <v>0</v>
      </c>
      <c r="AU385" s="255">
        <f t="shared" ref="AU385:AU448" si="176">$S385*AE385</f>
        <v>0</v>
      </c>
      <c r="AV385" s="31">
        <f t="shared" ref="AV385:AV448" si="177">$Q385*AF385</f>
        <v>0</v>
      </c>
      <c r="AW385" s="31">
        <f t="shared" ref="AW385:AW448" si="178">$S385*AF385</f>
        <v>0</v>
      </c>
      <c r="AX385" s="31">
        <f t="shared" ref="AX385:AX448" si="179">$Q385*AG385</f>
        <v>0.375</v>
      </c>
      <c r="AY385" s="255">
        <f t="shared" ref="AY385:AY448" si="180">$S385*AG385</f>
        <v>0.31874999999999998</v>
      </c>
      <c r="AZ385" s="232">
        <f t="shared" ref="AZ385:AZ448" si="181">$Q385*AH385</f>
        <v>0</v>
      </c>
      <c r="BA385" s="255">
        <f t="shared" ref="BA385:BA448" si="182">$S385*AH385</f>
        <v>0</v>
      </c>
      <c r="BB385" s="31">
        <f t="shared" ref="BB385:BB448" si="183">$Q385*AI385</f>
        <v>0</v>
      </c>
      <c r="BC385" s="255">
        <f t="shared" ref="BC385:BC448" si="184">$S385*AI385</f>
        <v>0</v>
      </c>
      <c r="BD385" s="31">
        <f t="shared" ref="BD385:BD448" si="185">$Q385*AJ385</f>
        <v>0</v>
      </c>
      <c r="BE385" s="255">
        <f t="shared" ref="BE385:BE448" si="186">$S385*AJ385</f>
        <v>0</v>
      </c>
      <c r="BF385" s="31">
        <f t="shared" ref="BF385:BF448" si="187">$Q385*AK385</f>
        <v>0</v>
      </c>
      <c r="BG385" s="255">
        <f t="shared" ref="BG385:BG448" si="188">$S385*AK385</f>
        <v>0</v>
      </c>
      <c r="BH385" s="31">
        <f t="shared" ref="BH385:BH448" si="189">$Q385*AL385</f>
        <v>0</v>
      </c>
      <c r="BI385" s="255">
        <f t="shared" ref="BI385:BI448" si="190">$S385*AL385</f>
        <v>0</v>
      </c>
      <c r="BJ385" s="31">
        <f t="shared" ref="BJ385:BJ448" si="191">$Q385*AM385</f>
        <v>0</v>
      </c>
      <c r="BK385" s="31">
        <f t="shared" ref="BK385:BK448" si="192">$Q385*AN385</f>
        <v>0</v>
      </c>
      <c r="BL385" s="255">
        <f t="shared" ref="BL385:BL448" si="193">$S385*AN385</f>
        <v>0</v>
      </c>
      <c r="BM385" s="31">
        <f t="shared" ref="BM385:BM448" si="194">$Q385*AO385</f>
        <v>0</v>
      </c>
      <c r="BN385" s="255">
        <f t="shared" ref="BN385:BN448" si="195">$S385*AO385</f>
        <v>0</v>
      </c>
    </row>
    <row r="386" spans="1:66" x14ac:dyDescent="0.25">
      <c r="A386" s="18" t="s">
        <v>1152</v>
      </c>
      <c r="B386" s="186" t="str">
        <f>VLOOKUP(A386,kurspris!$A$1:$B$877,2,FALSE)</f>
        <v>Kunskap, vetenskap och forskningsmetodik, 7,5 hp</v>
      </c>
      <c r="C386" s="37"/>
      <c r="D386" s="31" t="s">
        <v>483</v>
      </c>
      <c r="E386" s="31" t="s">
        <v>1931</v>
      </c>
      <c r="F386" s="59" t="s">
        <v>1931</v>
      </c>
      <c r="G386" s="31" t="s">
        <v>2277</v>
      </c>
      <c r="J386" t="s">
        <v>1593</v>
      </c>
      <c r="L386" s="31">
        <v>100</v>
      </c>
      <c r="M386" s="31">
        <v>7.5</v>
      </c>
      <c r="P386" s="31">
        <v>2</v>
      </c>
      <c r="Q386" s="232">
        <f t="shared" si="168"/>
        <v>0.25</v>
      </c>
      <c r="R386" s="40">
        <v>0.85</v>
      </c>
      <c r="S386" s="334">
        <f t="shared" si="169"/>
        <v>0.21249999999999999</v>
      </c>
      <c r="T386" s="31">
        <f>VLOOKUP(A386,'Ansvar kurs'!$A$1:$C$1010,2,FALSE)</f>
        <v>1630</v>
      </c>
      <c r="U386" s="31" t="str">
        <f>VLOOKUP(T386,Orgenheter!$A$1:$C$165,2,FALSE)</f>
        <v>Inst för ide- o samhällsstudier</v>
      </c>
      <c r="V386" s="31" t="str">
        <f>VLOOKUP(T386,Orgenheter!$A$1:$C$165,3,FALSE)</f>
        <v>Hum</v>
      </c>
      <c r="W386" s="37" t="str">
        <f>VLOOKUP(D386,Program!$A$1:$B$34,2,FALSE)</f>
        <v>Ämneslärarprogrammet - Gy</v>
      </c>
      <c r="X386" s="42">
        <f>VLOOKUP(A386,kurspris!$A$1:$Q$798,15,FALSE)</f>
        <v>23641</v>
      </c>
      <c r="Y386" s="42">
        <f>VLOOKUP(A386,kurspris!$A$1:$Q$798,16,FALSE)</f>
        <v>28786</v>
      </c>
      <c r="Z386" s="42">
        <f t="shared" si="170"/>
        <v>12027.275</v>
      </c>
      <c r="AA386" s="42">
        <f>VLOOKUP(A386,kurspris!$A$1:$Q$798,17,FALSE)</f>
        <v>5800</v>
      </c>
      <c r="AB386" s="42">
        <f t="shared" si="171"/>
        <v>1450</v>
      </c>
      <c r="AC386" s="42">
        <f t="shared" si="172"/>
        <v>13477.275</v>
      </c>
      <c r="AD386" s="31">
        <f>VLOOKUP($A386,kurspris!$A$1:$Q$835,3,FALSE)</f>
        <v>0</v>
      </c>
      <c r="AE386" s="31">
        <f>VLOOKUP($A386,kurspris!$A$1:$Q$835,4,FALSE)</f>
        <v>0</v>
      </c>
      <c r="AF386" s="31">
        <f>VLOOKUP($A386,kurspris!$A$1:$Q$835,5,FALSE)</f>
        <v>0</v>
      </c>
      <c r="AG386" s="31">
        <f>VLOOKUP($A386,kurspris!$A$1:$Q$835,6,FALSE)</f>
        <v>1</v>
      </c>
      <c r="AH386" s="31">
        <f>VLOOKUP($A386,kurspris!$A$1:$Q$835,7,FALSE)</f>
        <v>0</v>
      </c>
      <c r="AI386" s="31">
        <f>VLOOKUP($A386,kurspris!$A$1:$Q$835,8,FALSE)</f>
        <v>0</v>
      </c>
      <c r="AJ386" s="31">
        <f>VLOOKUP($A386,kurspris!$A$1:$Q$835,9,FALSE)</f>
        <v>0</v>
      </c>
      <c r="AK386" s="31">
        <f>VLOOKUP($A386,kurspris!$A$1:$Q$835,10,FALSE)</f>
        <v>0</v>
      </c>
      <c r="AL386" s="31">
        <f>VLOOKUP($A386,kurspris!$A$1:$Q$835,11,FALSE)</f>
        <v>0</v>
      </c>
      <c r="AM386" s="31">
        <f>VLOOKUP($A386,kurspris!$A$1:$Q$835,12,FALSE)</f>
        <v>0</v>
      </c>
      <c r="AN386" s="31">
        <f>VLOOKUP($A386,kurspris!$A$1:$Q$835,13,FALSE)</f>
        <v>0</v>
      </c>
      <c r="AO386" s="31">
        <f>VLOOKUP($A386,kurspris!$A$1:$Q$835,14,FALSE)</f>
        <v>0</v>
      </c>
      <c r="AP386" s="39" t="s">
        <v>2326</v>
      </c>
      <c r="AQ386"/>
      <c r="AR386" s="31">
        <f t="shared" si="173"/>
        <v>0</v>
      </c>
      <c r="AS386" s="255">
        <f t="shared" si="174"/>
        <v>0</v>
      </c>
      <c r="AT386" s="31">
        <f t="shared" si="175"/>
        <v>0</v>
      </c>
      <c r="AU386" s="255">
        <f t="shared" si="176"/>
        <v>0</v>
      </c>
      <c r="AV386" s="31">
        <f t="shared" si="177"/>
        <v>0</v>
      </c>
      <c r="AW386" s="31">
        <f t="shared" si="178"/>
        <v>0</v>
      </c>
      <c r="AX386" s="31">
        <f t="shared" si="179"/>
        <v>0.25</v>
      </c>
      <c r="AY386" s="255">
        <f t="shared" si="180"/>
        <v>0.21249999999999999</v>
      </c>
      <c r="AZ386" s="232">
        <f t="shared" si="181"/>
        <v>0</v>
      </c>
      <c r="BA386" s="255">
        <f t="shared" si="182"/>
        <v>0</v>
      </c>
      <c r="BB386" s="31">
        <f t="shared" si="183"/>
        <v>0</v>
      </c>
      <c r="BC386" s="255">
        <f t="shared" si="184"/>
        <v>0</v>
      </c>
      <c r="BD386" s="31">
        <f t="shared" si="185"/>
        <v>0</v>
      </c>
      <c r="BE386" s="255">
        <f t="shared" si="186"/>
        <v>0</v>
      </c>
      <c r="BF386" s="31">
        <f t="shared" si="187"/>
        <v>0</v>
      </c>
      <c r="BG386" s="255">
        <f t="shared" si="188"/>
        <v>0</v>
      </c>
      <c r="BH386" s="31">
        <f t="shared" si="189"/>
        <v>0</v>
      </c>
      <c r="BI386" s="255">
        <f t="shared" si="190"/>
        <v>0</v>
      </c>
      <c r="BJ386" s="31">
        <f t="shared" si="191"/>
        <v>0</v>
      </c>
      <c r="BK386" s="31">
        <f t="shared" si="192"/>
        <v>0</v>
      </c>
      <c r="BL386" s="255">
        <f t="shared" si="193"/>
        <v>0</v>
      </c>
      <c r="BM386" s="31">
        <f t="shared" si="194"/>
        <v>0</v>
      </c>
      <c r="BN386" s="255">
        <f t="shared" si="195"/>
        <v>0</v>
      </c>
    </row>
    <row r="387" spans="1:66" x14ac:dyDescent="0.25">
      <c r="A387" s="18" t="s">
        <v>1152</v>
      </c>
      <c r="B387" s="186" t="str">
        <f>VLOOKUP(A387,kurspris!$A$1:$B$877,2,FALSE)</f>
        <v>Kunskap, vetenskap och forskningsmetodik, 7,5 hp</v>
      </c>
      <c r="C387" s="37"/>
      <c r="D387" s="31" t="s">
        <v>484</v>
      </c>
      <c r="E387" s="31" t="s">
        <v>1931</v>
      </c>
      <c r="F387" s="59" t="s">
        <v>1931</v>
      </c>
      <c r="G387" s="31" t="s">
        <v>2277</v>
      </c>
      <c r="L387" s="31">
        <v>100</v>
      </c>
      <c r="M387" s="31">
        <v>7.5</v>
      </c>
      <c r="N387" s="40">
        <v>-0.1</v>
      </c>
      <c r="O387" s="31">
        <v>57</v>
      </c>
      <c r="P387" s="377">
        <f>O387+(O387*N387)</f>
        <v>51.3</v>
      </c>
      <c r="Q387" s="232">
        <f t="shared" si="168"/>
        <v>6.4124999999999996</v>
      </c>
      <c r="R387" s="40">
        <v>0.85</v>
      </c>
      <c r="S387" s="334">
        <f t="shared" si="169"/>
        <v>5.4506249999999996</v>
      </c>
      <c r="T387" s="31">
        <f>VLOOKUP(A387,'Ansvar kurs'!$A$1:$C$1010,2,FALSE)</f>
        <v>1630</v>
      </c>
      <c r="U387" s="31" t="str">
        <f>VLOOKUP(T387,Orgenheter!$A$1:$C$165,2,FALSE)</f>
        <v>Inst för ide- o samhällsstudier</v>
      </c>
      <c r="V387" s="31" t="str">
        <f>VLOOKUP(T387,Orgenheter!$A$1:$C$165,3,FALSE)</f>
        <v>Hum</v>
      </c>
      <c r="W387" s="37" t="str">
        <f>VLOOKUP(D387,Program!$A$1:$B$34,2,FALSE)</f>
        <v>Förskollärarprogrammet</v>
      </c>
      <c r="X387" s="42">
        <f>VLOOKUP(A387,kurspris!$A$1:$Q$798,15,FALSE)</f>
        <v>23641</v>
      </c>
      <c r="Y387" s="42">
        <f>VLOOKUP(A387,kurspris!$A$1:$Q$798,16,FALSE)</f>
        <v>28786</v>
      </c>
      <c r="Z387" s="42">
        <f t="shared" si="170"/>
        <v>308499.60375000001</v>
      </c>
      <c r="AA387" s="42">
        <f>VLOOKUP(A387,kurspris!$A$1:$Q$798,17,FALSE)</f>
        <v>5800</v>
      </c>
      <c r="AB387" s="42">
        <f t="shared" si="171"/>
        <v>37192.5</v>
      </c>
      <c r="AC387" s="42">
        <f t="shared" si="172"/>
        <v>345692.10375000001</v>
      </c>
      <c r="AD387" s="31">
        <f>VLOOKUP($A387,kurspris!$A$1:$Q$835,3,FALSE)</f>
        <v>0</v>
      </c>
      <c r="AE387" s="31">
        <f>VLOOKUP($A387,kurspris!$A$1:$Q$835,4,FALSE)</f>
        <v>0</v>
      </c>
      <c r="AF387" s="31">
        <f>VLOOKUP($A387,kurspris!$A$1:$Q$835,5,FALSE)</f>
        <v>0</v>
      </c>
      <c r="AG387" s="31">
        <f>VLOOKUP($A387,kurspris!$A$1:$Q$835,6,FALSE)</f>
        <v>1</v>
      </c>
      <c r="AH387" s="31">
        <f>VLOOKUP($A387,kurspris!$A$1:$Q$835,7,FALSE)</f>
        <v>0</v>
      </c>
      <c r="AI387" s="31">
        <f>VLOOKUP($A387,kurspris!$A$1:$Q$835,8,FALSE)</f>
        <v>0</v>
      </c>
      <c r="AJ387" s="31">
        <f>VLOOKUP($A387,kurspris!$A$1:$Q$835,9,FALSE)</f>
        <v>0</v>
      </c>
      <c r="AK387" s="31">
        <f>VLOOKUP($A387,kurspris!$A$1:$Q$835,10,FALSE)</f>
        <v>0</v>
      </c>
      <c r="AL387" s="31">
        <f>VLOOKUP($A387,kurspris!$A$1:$Q$835,11,FALSE)</f>
        <v>0</v>
      </c>
      <c r="AM387" s="31">
        <f>VLOOKUP($A387,kurspris!$A$1:$Q$835,12,FALSE)</f>
        <v>0</v>
      </c>
      <c r="AN387" s="31">
        <f>VLOOKUP($A387,kurspris!$A$1:$Q$835,13,FALSE)</f>
        <v>0</v>
      </c>
      <c r="AO387" s="31">
        <f>VLOOKUP($A387,kurspris!$A$1:$Q$835,14,FALSE)</f>
        <v>0</v>
      </c>
      <c r="AP387" s="39" t="s">
        <v>1631</v>
      </c>
      <c r="AQ387"/>
      <c r="AR387" s="31">
        <f t="shared" si="173"/>
        <v>0</v>
      </c>
      <c r="AS387" s="255">
        <f t="shared" si="174"/>
        <v>0</v>
      </c>
      <c r="AT387" s="31">
        <f t="shared" si="175"/>
        <v>0</v>
      </c>
      <c r="AU387" s="255">
        <f t="shared" si="176"/>
        <v>0</v>
      </c>
      <c r="AV387" s="31">
        <f t="shared" si="177"/>
        <v>0</v>
      </c>
      <c r="AW387" s="31">
        <f t="shared" si="178"/>
        <v>0</v>
      </c>
      <c r="AX387" s="31">
        <f t="shared" si="179"/>
        <v>6.4124999999999996</v>
      </c>
      <c r="AY387" s="255">
        <f t="shared" si="180"/>
        <v>5.4506249999999996</v>
      </c>
      <c r="AZ387" s="232">
        <f t="shared" si="181"/>
        <v>0</v>
      </c>
      <c r="BA387" s="255">
        <f t="shared" si="182"/>
        <v>0</v>
      </c>
      <c r="BB387" s="31">
        <f t="shared" si="183"/>
        <v>0</v>
      </c>
      <c r="BC387" s="255">
        <f t="shared" si="184"/>
        <v>0</v>
      </c>
      <c r="BD387" s="31">
        <f t="shared" si="185"/>
        <v>0</v>
      </c>
      <c r="BE387" s="255">
        <f t="shared" si="186"/>
        <v>0</v>
      </c>
      <c r="BF387" s="31">
        <f t="shared" si="187"/>
        <v>0</v>
      </c>
      <c r="BG387" s="255">
        <f t="shared" si="188"/>
        <v>0</v>
      </c>
      <c r="BH387" s="31">
        <f t="shared" si="189"/>
        <v>0</v>
      </c>
      <c r="BI387" s="255">
        <f t="shared" si="190"/>
        <v>0</v>
      </c>
      <c r="BJ387" s="31">
        <f t="shared" si="191"/>
        <v>0</v>
      </c>
      <c r="BK387" s="31">
        <f t="shared" si="192"/>
        <v>0</v>
      </c>
      <c r="BL387" s="255">
        <f t="shared" si="193"/>
        <v>0</v>
      </c>
      <c r="BM387" s="31">
        <f t="shared" si="194"/>
        <v>0</v>
      </c>
      <c r="BN387" s="255">
        <f t="shared" si="195"/>
        <v>0</v>
      </c>
    </row>
    <row r="388" spans="1:66" x14ac:dyDescent="0.25">
      <c r="A388" t="s">
        <v>1152</v>
      </c>
      <c r="B388" s="186" t="str">
        <f>VLOOKUP(A388,kurspris!$A$1:$B$877,2,FALSE)</f>
        <v>Kunskap, vetenskap och forskningsmetodik, 7,5 hp</v>
      </c>
      <c r="C388"/>
      <c r="D388" t="s">
        <v>484</v>
      </c>
      <c r="E388" s="39" t="s">
        <v>1930</v>
      </c>
      <c r="F388" s="39" t="s">
        <v>1930</v>
      </c>
      <c r="G388" t="s">
        <v>1932</v>
      </c>
      <c r="H388" t="s">
        <v>1910</v>
      </c>
      <c r="I388"/>
      <c r="J388"/>
      <c r="K388"/>
      <c r="L388">
        <v>100</v>
      </c>
      <c r="M388">
        <v>7.5</v>
      </c>
      <c r="N388"/>
      <c r="O388"/>
      <c r="P388" s="31">
        <v>20</v>
      </c>
      <c r="Q388" s="232">
        <f t="shared" si="168"/>
        <v>2.5</v>
      </c>
      <c r="R388" s="40">
        <v>0.85</v>
      </c>
      <c r="S388" s="334">
        <f t="shared" si="169"/>
        <v>2.125</v>
      </c>
      <c r="T388" s="31">
        <f>VLOOKUP(A388,'Ansvar kurs'!$A$1:$C$1010,2,FALSE)</f>
        <v>1630</v>
      </c>
      <c r="U388" s="31" t="str">
        <f>VLOOKUP(T388,Orgenheter!$A$1:$C$165,2,FALSE)</f>
        <v>Inst för ide- o samhällsstudier</v>
      </c>
      <c r="V388" s="31" t="str">
        <f>VLOOKUP(T388,Orgenheter!$A$1:$C$165,3,FALSE)</f>
        <v>Hum</v>
      </c>
      <c r="W388" s="37" t="str">
        <f>VLOOKUP(D388,Program!$A$1:$B$34,2,FALSE)</f>
        <v>Förskollärarprogrammet</v>
      </c>
      <c r="X388" s="42">
        <f>VLOOKUP(A388,kurspris!$A$1:$Q$798,15,FALSE)</f>
        <v>23641</v>
      </c>
      <c r="Y388" s="42">
        <f>VLOOKUP(A388,kurspris!$A$1:$Q$798,16,FALSE)</f>
        <v>28786</v>
      </c>
      <c r="Z388" s="42">
        <f t="shared" si="170"/>
        <v>120272.75</v>
      </c>
      <c r="AA388" s="42">
        <f>VLOOKUP(A388,kurspris!$A$1:$Q$798,17,FALSE)</f>
        <v>5800</v>
      </c>
      <c r="AB388" s="42">
        <f t="shared" si="171"/>
        <v>14500</v>
      </c>
      <c r="AC388" s="42">
        <f t="shared" si="172"/>
        <v>134772.75</v>
      </c>
      <c r="AD388" s="31">
        <f>VLOOKUP($A388,kurspris!$A$1:$Q$835,3,FALSE)</f>
        <v>0</v>
      </c>
      <c r="AE388" s="31">
        <f>VLOOKUP($A388,kurspris!$A$1:$Q$835,4,FALSE)</f>
        <v>0</v>
      </c>
      <c r="AF388" s="31">
        <f>VLOOKUP($A388,kurspris!$A$1:$Q$835,5,FALSE)</f>
        <v>0</v>
      </c>
      <c r="AG388" s="31">
        <f>VLOOKUP($A388,kurspris!$A$1:$Q$835,6,FALSE)</f>
        <v>1</v>
      </c>
      <c r="AH388" s="31">
        <f>VLOOKUP($A388,kurspris!$A$1:$Q$835,7,FALSE)</f>
        <v>0</v>
      </c>
      <c r="AI388" s="31">
        <f>VLOOKUP($A388,kurspris!$A$1:$Q$835,8,FALSE)</f>
        <v>0</v>
      </c>
      <c r="AJ388" s="31">
        <f>VLOOKUP($A388,kurspris!$A$1:$Q$835,9,FALSE)</f>
        <v>0</v>
      </c>
      <c r="AK388" s="31">
        <f>VLOOKUP($A388,kurspris!$A$1:$Q$835,10,FALSE)</f>
        <v>0</v>
      </c>
      <c r="AL388" s="31">
        <f>VLOOKUP($A388,kurspris!$A$1:$Q$835,11,FALSE)</f>
        <v>0</v>
      </c>
      <c r="AM388" s="31">
        <f>VLOOKUP($A388,kurspris!$A$1:$Q$835,12,FALSE)</f>
        <v>0</v>
      </c>
      <c r="AN388" s="31">
        <f>VLOOKUP($A388,kurspris!$A$1:$Q$835,13,FALSE)</f>
        <v>0</v>
      </c>
      <c r="AO388" s="31">
        <f>VLOOKUP($A388,kurspris!$A$1:$Q$835,14,FALSE)</f>
        <v>0</v>
      </c>
      <c r="AP388" s="39" t="s">
        <v>2232</v>
      </c>
      <c r="AQ388"/>
      <c r="AR388" s="31">
        <f t="shared" si="173"/>
        <v>0</v>
      </c>
      <c r="AS388" s="255">
        <f t="shared" si="174"/>
        <v>0</v>
      </c>
      <c r="AT388" s="31">
        <f t="shared" si="175"/>
        <v>0</v>
      </c>
      <c r="AU388" s="255">
        <f t="shared" si="176"/>
        <v>0</v>
      </c>
      <c r="AV388" s="31">
        <f t="shared" si="177"/>
        <v>0</v>
      </c>
      <c r="AW388" s="31">
        <f t="shared" si="178"/>
        <v>0</v>
      </c>
      <c r="AX388" s="31">
        <f t="shared" si="179"/>
        <v>2.5</v>
      </c>
      <c r="AY388" s="255">
        <f t="shared" si="180"/>
        <v>2.125</v>
      </c>
      <c r="AZ388" s="232">
        <f t="shared" si="181"/>
        <v>0</v>
      </c>
      <c r="BA388" s="255">
        <f t="shared" si="182"/>
        <v>0</v>
      </c>
      <c r="BB388" s="31">
        <f t="shared" si="183"/>
        <v>0</v>
      </c>
      <c r="BC388" s="255">
        <f t="shared" si="184"/>
        <v>0</v>
      </c>
      <c r="BD388" s="31">
        <f t="shared" si="185"/>
        <v>0</v>
      </c>
      <c r="BE388" s="255">
        <f t="shared" si="186"/>
        <v>0</v>
      </c>
      <c r="BF388" s="31">
        <f t="shared" si="187"/>
        <v>0</v>
      </c>
      <c r="BG388" s="255">
        <f t="shared" si="188"/>
        <v>0</v>
      </c>
      <c r="BH388" s="31">
        <f t="shared" si="189"/>
        <v>0</v>
      </c>
      <c r="BI388" s="255">
        <f t="shared" si="190"/>
        <v>0</v>
      </c>
      <c r="BJ388" s="31">
        <f t="shared" si="191"/>
        <v>0</v>
      </c>
      <c r="BK388" s="31">
        <f t="shared" si="192"/>
        <v>0</v>
      </c>
      <c r="BL388" s="255">
        <f t="shared" si="193"/>
        <v>0</v>
      </c>
      <c r="BM388" s="31">
        <f t="shared" si="194"/>
        <v>0</v>
      </c>
      <c r="BN388" s="255">
        <f t="shared" si="195"/>
        <v>0</v>
      </c>
    </row>
    <row r="389" spans="1:66" x14ac:dyDescent="0.25">
      <c r="A389" s="18" t="s">
        <v>1152</v>
      </c>
      <c r="B389" s="186" t="str">
        <f>VLOOKUP(A389,kurspris!$A$1:$B$877,2,FALSE)</f>
        <v>Kunskap, vetenskap och forskningsmetodik, 7,5 hp</v>
      </c>
      <c r="C389" s="37"/>
      <c r="D389" s="31" t="s">
        <v>485</v>
      </c>
      <c r="E389" s="31" t="s">
        <v>1931</v>
      </c>
      <c r="F389" s="59" t="s">
        <v>1931</v>
      </c>
      <c r="G389" s="31" t="s">
        <v>2277</v>
      </c>
      <c r="L389" s="31">
        <v>100</v>
      </c>
      <c r="M389" s="31">
        <v>7.5</v>
      </c>
      <c r="N389" s="40">
        <v>-0.12</v>
      </c>
      <c r="O389" s="31">
        <v>25</v>
      </c>
      <c r="P389" s="377">
        <f>O389+(O389*N389)</f>
        <v>22</v>
      </c>
      <c r="Q389" s="232">
        <f t="shared" si="168"/>
        <v>2.75</v>
      </c>
      <c r="R389" s="40">
        <v>0.85</v>
      </c>
      <c r="S389" s="334">
        <f t="shared" si="169"/>
        <v>2.3374999999999999</v>
      </c>
      <c r="T389" s="31">
        <f>VLOOKUP(A389,'Ansvar kurs'!$A$1:$C$1010,2,FALSE)</f>
        <v>1630</v>
      </c>
      <c r="U389" s="31" t="str">
        <f>VLOOKUP(T389,Orgenheter!$A$1:$C$165,2,FALSE)</f>
        <v>Inst för ide- o samhällsstudier</v>
      </c>
      <c r="V389" s="31" t="str">
        <f>VLOOKUP(T389,Orgenheter!$A$1:$C$165,3,FALSE)</f>
        <v>Hum</v>
      </c>
      <c r="W389" s="37" t="str">
        <f>VLOOKUP(D389,Program!$A$1:$B$34,2,FALSE)</f>
        <v>Grundlärarprogrammet - fritidshem</v>
      </c>
      <c r="X389" s="42">
        <f>VLOOKUP(A389,kurspris!$A$1:$Q$798,15,FALSE)</f>
        <v>23641</v>
      </c>
      <c r="Y389" s="42">
        <f>VLOOKUP(A389,kurspris!$A$1:$Q$798,16,FALSE)</f>
        <v>28786</v>
      </c>
      <c r="Z389" s="42">
        <f t="shared" si="170"/>
        <v>132300.02499999999</v>
      </c>
      <c r="AA389" s="42">
        <f>VLOOKUP(A389,kurspris!$A$1:$Q$798,17,FALSE)</f>
        <v>5800</v>
      </c>
      <c r="AB389" s="42">
        <f t="shared" si="171"/>
        <v>15950</v>
      </c>
      <c r="AC389" s="42">
        <f t="shared" si="172"/>
        <v>148250.02499999999</v>
      </c>
      <c r="AD389" s="31">
        <f>VLOOKUP($A389,kurspris!$A$1:$Q$835,3,FALSE)</f>
        <v>0</v>
      </c>
      <c r="AE389" s="31">
        <f>VLOOKUP($A389,kurspris!$A$1:$Q$835,4,FALSE)</f>
        <v>0</v>
      </c>
      <c r="AF389" s="31">
        <f>VLOOKUP($A389,kurspris!$A$1:$Q$835,5,FALSE)</f>
        <v>0</v>
      </c>
      <c r="AG389" s="31">
        <f>VLOOKUP($A389,kurspris!$A$1:$Q$835,6,FALSE)</f>
        <v>1</v>
      </c>
      <c r="AH389" s="31">
        <f>VLOOKUP($A389,kurspris!$A$1:$Q$835,7,FALSE)</f>
        <v>0</v>
      </c>
      <c r="AI389" s="31">
        <f>VLOOKUP($A389,kurspris!$A$1:$Q$835,8,FALSE)</f>
        <v>0</v>
      </c>
      <c r="AJ389" s="31">
        <f>VLOOKUP($A389,kurspris!$A$1:$Q$835,9,FALSE)</f>
        <v>0</v>
      </c>
      <c r="AK389" s="31">
        <f>VLOOKUP($A389,kurspris!$A$1:$Q$835,10,FALSE)</f>
        <v>0</v>
      </c>
      <c r="AL389" s="31">
        <f>VLOOKUP($A389,kurspris!$A$1:$Q$835,11,FALSE)</f>
        <v>0</v>
      </c>
      <c r="AM389" s="31">
        <f>VLOOKUP($A389,kurspris!$A$1:$Q$835,12,FALSE)</f>
        <v>0</v>
      </c>
      <c r="AN389" s="31">
        <f>VLOOKUP($A389,kurspris!$A$1:$Q$835,13,FALSE)</f>
        <v>0</v>
      </c>
      <c r="AO389" s="31">
        <f>VLOOKUP($A389,kurspris!$A$1:$Q$835,14,FALSE)</f>
        <v>0</v>
      </c>
      <c r="AP389" s="39" t="s">
        <v>1631</v>
      </c>
      <c r="AQ389"/>
      <c r="AR389" s="31">
        <f t="shared" si="173"/>
        <v>0</v>
      </c>
      <c r="AS389" s="255">
        <f t="shared" si="174"/>
        <v>0</v>
      </c>
      <c r="AT389" s="31">
        <f t="shared" si="175"/>
        <v>0</v>
      </c>
      <c r="AU389" s="255">
        <f t="shared" si="176"/>
        <v>0</v>
      </c>
      <c r="AV389" s="31">
        <f t="shared" si="177"/>
        <v>0</v>
      </c>
      <c r="AW389" s="31">
        <f t="shared" si="178"/>
        <v>0</v>
      </c>
      <c r="AX389" s="31">
        <f t="shared" si="179"/>
        <v>2.75</v>
      </c>
      <c r="AY389" s="255">
        <f t="shared" si="180"/>
        <v>2.3374999999999999</v>
      </c>
      <c r="AZ389" s="232">
        <f t="shared" si="181"/>
        <v>0</v>
      </c>
      <c r="BA389" s="255">
        <f t="shared" si="182"/>
        <v>0</v>
      </c>
      <c r="BB389" s="31">
        <f t="shared" si="183"/>
        <v>0</v>
      </c>
      <c r="BC389" s="255">
        <f t="shared" si="184"/>
        <v>0</v>
      </c>
      <c r="BD389" s="31">
        <f t="shared" si="185"/>
        <v>0</v>
      </c>
      <c r="BE389" s="255">
        <f t="shared" si="186"/>
        <v>0</v>
      </c>
      <c r="BF389" s="31">
        <f t="shared" si="187"/>
        <v>0</v>
      </c>
      <c r="BG389" s="255">
        <f t="shared" si="188"/>
        <v>0</v>
      </c>
      <c r="BH389" s="31">
        <f t="shared" si="189"/>
        <v>0</v>
      </c>
      <c r="BI389" s="255">
        <f t="shared" si="190"/>
        <v>0</v>
      </c>
      <c r="BJ389" s="31">
        <f t="shared" si="191"/>
        <v>0</v>
      </c>
      <c r="BK389" s="31">
        <f t="shared" si="192"/>
        <v>0</v>
      </c>
      <c r="BL389" s="255">
        <f t="shared" si="193"/>
        <v>0</v>
      </c>
      <c r="BM389" s="31">
        <f t="shared" si="194"/>
        <v>0</v>
      </c>
      <c r="BN389" s="255">
        <f t="shared" si="195"/>
        <v>0</v>
      </c>
    </row>
    <row r="390" spans="1:66" x14ac:dyDescent="0.25">
      <c r="A390" s="18" t="s">
        <v>1152</v>
      </c>
      <c r="B390" s="186" t="str">
        <f>VLOOKUP(A390,kurspris!$A$1:$B$877,2,FALSE)</f>
        <v>Kunskap, vetenskap och forskningsmetodik, 7,5 hp</v>
      </c>
      <c r="C390" s="37"/>
      <c r="D390" s="31" t="s">
        <v>486</v>
      </c>
      <c r="E390" s="31" t="s">
        <v>1975</v>
      </c>
      <c r="F390" s="59" t="s">
        <v>1931</v>
      </c>
      <c r="G390" s="31" t="s">
        <v>2277</v>
      </c>
      <c r="L390" s="31">
        <v>100</v>
      </c>
      <c r="M390" s="31">
        <v>7.5</v>
      </c>
      <c r="P390" s="31">
        <v>1</v>
      </c>
      <c r="Q390" s="232">
        <f t="shared" si="168"/>
        <v>0.125</v>
      </c>
      <c r="R390" s="40">
        <v>0.85</v>
      </c>
      <c r="S390" s="334">
        <f t="shared" si="169"/>
        <v>0.10625</v>
      </c>
      <c r="T390" s="31">
        <f>VLOOKUP(A390,'Ansvar kurs'!$A$1:$C$1010,2,FALSE)</f>
        <v>1630</v>
      </c>
      <c r="U390" s="31" t="str">
        <f>VLOOKUP(T390,Orgenheter!$A$1:$C$165,2,FALSE)</f>
        <v>Inst för ide- o samhällsstudier</v>
      </c>
      <c r="V390" s="31" t="str">
        <f>VLOOKUP(T390,Orgenheter!$A$1:$C$165,3,FALSE)</f>
        <v>Hum</v>
      </c>
      <c r="W390" s="37" t="str">
        <f>VLOOKUP(D390,Program!$A$1:$B$34,2,FALSE)</f>
        <v>Grundlärarprogrammet - förskoleklass och åk 1-3</v>
      </c>
      <c r="X390" s="42">
        <f>VLOOKUP(A390,kurspris!$A$1:$Q$798,15,FALSE)</f>
        <v>23641</v>
      </c>
      <c r="Y390" s="42">
        <f>VLOOKUP(A390,kurspris!$A$1:$Q$798,16,FALSE)</f>
        <v>28786</v>
      </c>
      <c r="Z390" s="42">
        <f t="shared" si="170"/>
        <v>6013.6374999999998</v>
      </c>
      <c r="AA390" s="42">
        <f>VLOOKUP(A390,kurspris!$A$1:$Q$798,17,FALSE)</f>
        <v>5800</v>
      </c>
      <c r="AB390" s="42">
        <f t="shared" si="171"/>
        <v>725</v>
      </c>
      <c r="AC390" s="42">
        <f t="shared" si="172"/>
        <v>6738.6374999999998</v>
      </c>
      <c r="AD390" s="31">
        <f>VLOOKUP($A390,kurspris!$A$1:$Q$835,3,FALSE)</f>
        <v>0</v>
      </c>
      <c r="AE390" s="31">
        <f>VLOOKUP($A390,kurspris!$A$1:$Q$835,4,FALSE)</f>
        <v>0</v>
      </c>
      <c r="AF390" s="31">
        <f>VLOOKUP($A390,kurspris!$A$1:$Q$835,5,FALSE)</f>
        <v>0</v>
      </c>
      <c r="AG390" s="31">
        <f>VLOOKUP($A390,kurspris!$A$1:$Q$835,6,FALSE)</f>
        <v>1</v>
      </c>
      <c r="AH390" s="31">
        <f>VLOOKUP($A390,kurspris!$A$1:$Q$835,7,FALSE)</f>
        <v>0</v>
      </c>
      <c r="AI390" s="31">
        <f>VLOOKUP($A390,kurspris!$A$1:$Q$835,8,FALSE)</f>
        <v>0</v>
      </c>
      <c r="AJ390" s="31">
        <f>VLOOKUP($A390,kurspris!$A$1:$Q$835,9,FALSE)</f>
        <v>0</v>
      </c>
      <c r="AK390" s="31">
        <f>VLOOKUP($A390,kurspris!$A$1:$Q$835,10,FALSE)</f>
        <v>0</v>
      </c>
      <c r="AL390" s="31">
        <f>VLOOKUP($A390,kurspris!$A$1:$Q$835,11,FALSE)</f>
        <v>0</v>
      </c>
      <c r="AM390" s="31">
        <f>VLOOKUP($A390,kurspris!$A$1:$Q$835,12,FALSE)</f>
        <v>0</v>
      </c>
      <c r="AN390" s="31">
        <f>VLOOKUP($A390,kurspris!$A$1:$Q$835,13,FALSE)</f>
        <v>0</v>
      </c>
      <c r="AO390" s="31">
        <f>VLOOKUP($A390,kurspris!$A$1:$Q$835,14,FALSE)</f>
        <v>0</v>
      </c>
      <c r="AP390" s="39" t="s">
        <v>2326</v>
      </c>
      <c r="AQ390"/>
      <c r="AR390" s="31">
        <f t="shared" si="173"/>
        <v>0</v>
      </c>
      <c r="AS390" s="255">
        <f t="shared" si="174"/>
        <v>0</v>
      </c>
      <c r="AT390" s="31">
        <f t="shared" si="175"/>
        <v>0</v>
      </c>
      <c r="AU390" s="255">
        <f t="shared" si="176"/>
        <v>0</v>
      </c>
      <c r="AV390" s="31">
        <f t="shared" si="177"/>
        <v>0</v>
      </c>
      <c r="AW390" s="31">
        <f t="shared" si="178"/>
        <v>0</v>
      </c>
      <c r="AX390" s="31">
        <f t="shared" si="179"/>
        <v>0.125</v>
      </c>
      <c r="AY390" s="255">
        <f t="shared" si="180"/>
        <v>0.10625</v>
      </c>
      <c r="AZ390" s="232">
        <f t="shared" si="181"/>
        <v>0</v>
      </c>
      <c r="BA390" s="255">
        <f t="shared" si="182"/>
        <v>0</v>
      </c>
      <c r="BB390" s="31">
        <f t="shared" si="183"/>
        <v>0</v>
      </c>
      <c r="BC390" s="255">
        <f t="shared" si="184"/>
        <v>0</v>
      </c>
      <c r="BD390" s="31">
        <f t="shared" si="185"/>
        <v>0</v>
      </c>
      <c r="BE390" s="255">
        <f t="shared" si="186"/>
        <v>0</v>
      </c>
      <c r="BF390" s="31">
        <f t="shared" si="187"/>
        <v>0</v>
      </c>
      <c r="BG390" s="255">
        <f t="shared" si="188"/>
        <v>0</v>
      </c>
      <c r="BH390" s="31">
        <f t="shared" si="189"/>
        <v>0</v>
      </c>
      <c r="BI390" s="255">
        <f t="shared" si="190"/>
        <v>0</v>
      </c>
      <c r="BJ390" s="31">
        <f t="shared" si="191"/>
        <v>0</v>
      </c>
      <c r="BK390" s="31">
        <f t="shared" si="192"/>
        <v>0</v>
      </c>
      <c r="BL390" s="255">
        <f t="shared" si="193"/>
        <v>0</v>
      </c>
      <c r="BM390" s="31">
        <f t="shared" si="194"/>
        <v>0</v>
      </c>
      <c r="BN390" s="255">
        <f t="shared" si="195"/>
        <v>0</v>
      </c>
    </row>
    <row r="391" spans="1:66" x14ac:dyDescent="0.25">
      <c r="A391" s="59" t="s">
        <v>1152</v>
      </c>
      <c r="B391" s="186" t="str">
        <f>VLOOKUP(A391,kurspris!$A$1:$B$877,2,FALSE)</f>
        <v>Kunskap, vetenskap och forskningsmetodik, 7,5 hp</v>
      </c>
      <c r="C391" s="37"/>
      <c r="D391" s="59" t="s">
        <v>486</v>
      </c>
      <c r="E391" s="62" t="s">
        <v>1788</v>
      </c>
      <c r="F391" s="59" t="s">
        <v>1931</v>
      </c>
      <c r="G391" s="31" t="s">
        <v>2277</v>
      </c>
      <c r="L391" s="31">
        <v>100</v>
      </c>
      <c r="M391" s="378">
        <v>7.5</v>
      </c>
      <c r="N391" s="40"/>
      <c r="P391" s="377">
        <v>1</v>
      </c>
      <c r="Q391" s="232">
        <f t="shared" si="168"/>
        <v>0.125</v>
      </c>
      <c r="R391" s="40">
        <v>0.85</v>
      </c>
      <c r="S391" s="334">
        <f t="shared" si="169"/>
        <v>0.10625</v>
      </c>
      <c r="T391" s="31">
        <f>VLOOKUP(A391,'Ansvar kurs'!$A$1:$C$1010,2,FALSE)</f>
        <v>1630</v>
      </c>
      <c r="U391" s="31" t="str">
        <f>VLOOKUP(T391,Orgenheter!$A$1:$C$165,2,FALSE)</f>
        <v>Inst för ide- o samhällsstudier</v>
      </c>
      <c r="V391" s="31" t="str">
        <f>VLOOKUP(T391,Orgenheter!$A$1:$C$165,3,FALSE)</f>
        <v>Hum</v>
      </c>
      <c r="W391" s="37" t="str">
        <f>VLOOKUP(D391,Program!$A$1:$B$34,2,FALSE)</f>
        <v>Grundlärarprogrammet - förskoleklass och åk 1-3</v>
      </c>
      <c r="X391" s="42">
        <f>VLOOKUP(A391,kurspris!$A$1:$Q$798,15,FALSE)</f>
        <v>23641</v>
      </c>
      <c r="Y391" s="42">
        <f>VLOOKUP(A391,kurspris!$A$1:$Q$798,16,FALSE)</f>
        <v>28786</v>
      </c>
      <c r="Z391" s="42">
        <f t="shared" si="170"/>
        <v>6013.6374999999998</v>
      </c>
      <c r="AA391" s="42">
        <f>VLOOKUP(A391,kurspris!$A$1:$Q$798,17,FALSE)</f>
        <v>5800</v>
      </c>
      <c r="AB391" s="42">
        <f t="shared" si="171"/>
        <v>725</v>
      </c>
      <c r="AC391" s="42">
        <f t="shared" si="172"/>
        <v>6738.6374999999998</v>
      </c>
      <c r="AD391" s="31">
        <f>VLOOKUP($A391,kurspris!$A$1:$Q$835,3,FALSE)</f>
        <v>0</v>
      </c>
      <c r="AE391" s="31">
        <f>VLOOKUP($A391,kurspris!$A$1:$Q$835,4,FALSE)</f>
        <v>0</v>
      </c>
      <c r="AF391" s="31">
        <f>VLOOKUP($A391,kurspris!$A$1:$Q$835,5,FALSE)</f>
        <v>0</v>
      </c>
      <c r="AG391" s="31">
        <f>VLOOKUP($A391,kurspris!$A$1:$Q$835,6,FALSE)</f>
        <v>1</v>
      </c>
      <c r="AH391" s="31">
        <f>VLOOKUP($A391,kurspris!$A$1:$Q$835,7,FALSE)</f>
        <v>0</v>
      </c>
      <c r="AI391" s="31">
        <f>VLOOKUP($A391,kurspris!$A$1:$Q$835,8,FALSE)</f>
        <v>0</v>
      </c>
      <c r="AJ391" s="31">
        <f>VLOOKUP($A391,kurspris!$A$1:$Q$835,9,FALSE)</f>
        <v>0</v>
      </c>
      <c r="AK391" s="31">
        <f>VLOOKUP($A391,kurspris!$A$1:$Q$835,10,FALSE)</f>
        <v>0</v>
      </c>
      <c r="AL391" s="31">
        <f>VLOOKUP($A391,kurspris!$A$1:$Q$835,11,FALSE)</f>
        <v>0</v>
      </c>
      <c r="AM391" s="31">
        <f>VLOOKUP($A391,kurspris!$A$1:$Q$835,12,FALSE)</f>
        <v>0</v>
      </c>
      <c r="AN391" s="31">
        <f>VLOOKUP($A391,kurspris!$A$1:$Q$835,13,FALSE)</f>
        <v>0</v>
      </c>
      <c r="AO391" s="31">
        <f>VLOOKUP($A391,kurspris!$A$1:$Q$835,14,FALSE)</f>
        <v>0</v>
      </c>
      <c r="AP391" s="39" t="s">
        <v>2326</v>
      </c>
      <c r="AQ391"/>
      <c r="AR391" s="31">
        <f t="shared" si="173"/>
        <v>0</v>
      </c>
      <c r="AS391" s="255">
        <f t="shared" si="174"/>
        <v>0</v>
      </c>
      <c r="AT391" s="31">
        <f t="shared" si="175"/>
        <v>0</v>
      </c>
      <c r="AU391" s="255">
        <f t="shared" si="176"/>
        <v>0</v>
      </c>
      <c r="AV391" s="31">
        <f t="shared" si="177"/>
        <v>0</v>
      </c>
      <c r="AW391" s="31">
        <f t="shared" si="178"/>
        <v>0</v>
      </c>
      <c r="AX391" s="31">
        <f t="shared" si="179"/>
        <v>0.125</v>
      </c>
      <c r="AY391" s="255">
        <f t="shared" si="180"/>
        <v>0.10625</v>
      </c>
      <c r="AZ391" s="232">
        <f t="shared" si="181"/>
        <v>0</v>
      </c>
      <c r="BA391" s="255">
        <f t="shared" si="182"/>
        <v>0</v>
      </c>
      <c r="BB391" s="31">
        <f t="shared" si="183"/>
        <v>0</v>
      </c>
      <c r="BC391" s="255">
        <f t="shared" si="184"/>
        <v>0</v>
      </c>
      <c r="BD391" s="31">
        <f t="shared" si="185"/>
        <v>0</v>
      </c>
      <c r="BE391" s="255">
        <f t="shared" si="186"/>
        <v>0</v>
      </c>
      <c r="BF391" s="31">
        <f t="shared" si="187"/>
        <v>0</v>
      </c>
      <c r="BG391" s="255">
        <f t="shared" si="188"/>
        <v>0</v>
      </c>
      <c r="BH391" s="31">
        <f t="shared" si="189"/>
        <v>0</v>
      </c>
      <c r="BI391" s="255">
        <f t="shared" si="190"/>
        <v>0</v>
      </c>
      <c r="BJ391" s="31">
        <f t="shared" si="191"/>
        <v>0</v>
      </c>
      <c r="BK391" s="31">
        <f t="shared" si="192"/>
        <v>0</v>
      </c>
      <c r="BL391" s="255">
        <f t="shared" si="193"/>
        <v>0</v>
      </c>
      <c r="BM391" s="31">
        <f t="shared" si="194"/>
        <v>0</v>
      </c>
      <c r="BN391" s="255">
        <f t="shared" si="195"/>
        <v>0</v>
      </c>
    </row>
    <row r="392" spans="1:66" x14ac:dyDescent="0.25">
      <c r="A392" s="18" t="s">
        <v>1152</v>
      </c>
      <c r="B392" s="186" t="str">
        <f>VLOOKUP(A392,kurspris!$A$1:$B$877,2,FALSE)</f>
        <v>Kunskap, vetenskap och forskningsmetodik, 7,5 hp</v>
      </c>
      <c r="C392" s="37"/>
      <c r="D392" s="31" t="s">
        <v>486</v>
      </c>
      <c r="E392" s="31" t="s">
        <v>1931</v>
      </c>
      <c r="F392" s="59" t="s">
        <v>1931</v>
      </c>
      <c r="G392" s="31" t="s">
        <v>2277</v>
      </c>
      <c r="L392" s="31">
        <v>100</v>
      </c>
      <c r="M392" s="31">
        <v>7.5</v>
      </c>
      <c r="N392" s="40">
        <v>-0.08</v>
      </c>
      <c r="O392" s="31">
        <v>51</v>
      </c>
      <c r="P392" s="377">
        <f>O392+(O392*N392)</f>
        <v>46.92</v>
      </c>
      <c r="Q392" s="232">
        <f t="shared" si="168"/>
        <v>5.8650000000000002</v>
      </c>
      <c r="R392" s="40">
        <v>0.85</v>
      </c>
      <c r="S392" s="334">
        <f t="shared" si="169"/>
        <v>4.9852499999999997</v>
      </c>
      <c r="T392" s="31">
        <f>VLOOKUP(A392,'Ansvar kurs'!$A$1:$C$1010,2,FALSE)</f>
        <v>1630</v>
      </c>
      <c r="U392" s="31" t="str">
        <f>VLOOKUP(T392,Orgenheter!$A$1:$C$165,2,FALSE)</f>
        <v>Inst för ide- o samhällsstudier</v>
      </c>
      <c r="V392" s="31" t="str">
        <f>VLOOKUP(T392,Orgenheter!$A$1:$C$165,3,FALSE)</f>
        <v>Hum</v>
      </c>
      <c r="W392" s="37" t="str">
        <f>VLOOKUP(D392,Program!$A$1:$B$34,2,FALSE)</f>
        <v>Grundlärarprogrammet - förskoleklass och åk 1-3</v>
      </c>
      <c r="X392" s="42">
        <f>VLOOKUP(A392,kurspris!$A$1:$Q$798,15,FALSE)</f>
        <v>23641</v>
      </c>
      <c r="Y392" s="42">
        <f>VLOOKUP(A392,kurspris!$A$1:$Q$798,16,FALSE)</f>
        <v>28786</v>
      </c>
      <c r="Z392" s="42">
        <f t="shared" si="170"/>
        <v>282159.87150000001</v>
      </c>
      <c r="AA392" s="42">
        <f>VLOOKUP(A392,kurspris!$A$1:$Q$798,17,FALSE)</f>
        <v>5800</v>
      </c>
      <c r="AB392" s="42">
        <f t="shared" si="171"/>
        <v>34017</v>
      </c>
      <c r="AC392" s="42">
        <f t="shared" si="172"/>
        <v>316176.87150000001</v>
      </c>
      <c r="AD392" s="31">
        <f>VLOOKUP($A392,kurspris!$A$1:$Q$835,3,FALSE)</f>
        <v>0</v>
      </c>
      <c r="AE392" s="31">
        <f>VLOOKUP($A392,kurspris!$A$1:$Q$835,4,FALSE)</f>
        <v>0</v>
      </c>
      <c r="AF392" s="31">
        <f>VLOOKUP($A392,kurspris!$A$1:$Q$835,5,FALSE)</f>
        <v>0</v>
      </c>
      <c r="AG392" s="31">
        <f>VLOOKUP($A392,kurspris!$A$1:$Q$835,6,FALSE)</f>
        <v>1</v>
      </c>
      <c r="AH392" s="31">
        <f>VLOOKUP($A392,kurspris!$A$1:$Q$835,7,FALSE)</f>
        <v>0</v>
      </c>
      <c r="AI392" s="31">
        <f>VLOOKUP($A392,kurspris!$A$1:$Q$835,8,FALSE)</f>
        <v>0</v>
      </c>
      <c r="AJ392" s="31">
        <f>VLOOKUP($A392,kurspris!$A$1:$Q$835,9,FALSE)</f>
        <v>0</v>
      </c>
      <c r="AK392" s="31">
        <f>VLOOKUP($A392,kurspris!$A$1:$Q$835,10,FALSE)</f>
        <v>0</v>
      </c>
      <c r="AL392" s="31">
        <f>VLOOKUP($A392,kurspris!$A$1:$Q$835,11,FALSE)</f>
        <v>0</v>
      </c>
      <c r="AM392" s="31">
        <f>VLOOKUP($A392,kurspris!$A$1:$Q$835,12,FALSE)</f>
        <v>0</v>
      </c>
      <c r="AN392" s="31">
        <f>VLOOKUP($A392,kurspris!$A$1:$Q$835,13,FALSE)</f>
        <v>0</v>
      </c>
      <c r="AO392" s="31">
        <f>VLOOKUP($A392,kurspris!$A$1:$Q$835,14,FALSE)</f>
        <v>0</v>
      </c>
      <c r="AP392" s="39" t="s">
        <v>1631</v>
      </c>
      <c r="AQ392"/>
      <c r="AR392" s="31">
        <f t="shared" si="173"/>
        <v>0</v>
      </c>
      <c r="AS392" s="255">
        <f t="shared" si="174"/>
        <v>0</v>
      </c>
      <c r="AT392" s="31">
        <f t="shared" si="175"/>
        <v>0</v>
      </c>
      <c r="AU392" s="255">
        <f t="shared" si="176"/>
        <v>0</v>
      </c>
      <c r="AV392" s="31">
        <f t="shared" si="177"/>
        <v>0</v>
      </c>
      <c r="AW392" s="31">
        <f t="shared" si="178"/>
        <v>0</v>
      </c>
      <c r="AX392" s="31">
        <f t="shared" si="179"/>
        <v>5.8650000000000002</v>
      </c>
      <c r="AY392" s="255">
        <f t="shared" si="180"/>
        <v>4.9852499999999997</v>
      </c>
      <c r="AZ392" s="232">
        <f t="shared" si="181"/>
        <v>0</v>
      </c>
      <c r="BA392" s="255">
        <f t="shared" si="182"/>
        <v>0</v>
      </c>
      <c r="BB392" s="31">
        <f t="shared" si="183"/>
        <v>0</v>
      </c>
      <c r="BC392" s="255">
        <f t="shared" si="184"/>
        <v>0</v>
      </c>
      <c r="BD392" s="31">
        <f t="shared" si="185"/>
        <v>0</v>
      </c>
      <c r="BE392" s="255">
        <f t="shared" si="186"/>
        <v>0</v>
      </c>
      <c r="BF392" s="31">
        <f t="shared" si="187"/>
        <v>0</v>
      </c>
      <c r="BG392" s="255">
        <f t="shared" si="188"/>
        <v>0</v>
      </c>
      <c r="BH392" s="31">
        <f t="shared" si="189"/>
        <v>0</v>
      </c>
      <c r="BI392" s="255">
        <f t="shared" si="190"/>
        <v>0</v>
      </c>
      <c r="BJ392" s="31">
        <f t="shared" si="191"/>
        <v>0</v>
      </c>
      <c r="BK392" s="31">
        <f t="shared" si="192"/>
        <v>0</v>
      </c>
      <c r="BL392" s="255">
        <f t="shared" si="193"/>
        <v>0</v>
      </c>
      <c r="BM392" s="31">
        <f t="shared" si="194"/>
        <v>0</v>
      </c>
      <c r="BN392" s="255">
        <f t="shared" si="195"/>
        <v>0</v>
      </c>
    </row>
    <row r="393" spans="1:66" x14ac:dyDescent="0.25">
      <c r="A393" s="39" t="s">
        <v>1152</v>
      </c>
      <c r="B393" s="186" t="str">
        <f>VLOOKUP(A393,kurspris!$A$1:$B$877,2,FALSE)</f>
        <v>Kunskap, vetenskap och forskningsmetodik, 7,5 hp</v>
      </c>
      <c r="C393" s="37"/>
      <c r="D393" s="59" t="s">
        <v>486</v>
      </c>
      <c r="E393" s="62" t="s">
        <v>1787</v>
      </c>
      <c r="F393" s="59" t="s">
        <v>1931</v>
      </c>
      <c r="G393" s="31" t="s">
        <v>2277</v>
      </c>
      <c r="L393" s="31">
        <v>100</v>
      </c>
      <c r="M393" s="376">
        <v>7.5</v>
      </c>
      <c r="N393" s="40"/>
      <c r="P393" s="377">
        <v>1</v>
      </c>
      <c r="Q393" s="232">
        <f t="shared" si="168"/>
        <v>0.125</v>
      </c>
      <c r="R393" s="40">
        <v>0.85</v>
      </c>
      <c r="S393" s="334">
        <f t="shared" si="169"/>
        <v>0.10625</v>
      </c>
      <c r="T393" s="31">
        <f>VLOOKUP(A393,'Ansvar kurs'!$A$1:$C$1010,2,FALSE)</f>
        <v>1630</v>
      </c>
      <c r="U393" s="31" t="str">
        <f>VLOOKUP(T393,Orgenheter!$A$1:$C$165,2,FALSE)</f>
        <v>Inst för ide- o samhällsstudier</v>
      </c>
      <c r="V393" s="31" t="str">
        <f>VLOOKUP(T393,Orgenheter!$A$1:$C$165,3,FALSE)</f>
        <v>Hum</v>
      </c>
      <c r="W393" s="37" t="str">
        <f>VLOOKUP(D393,Program!$A$1:$B$34,2,FALSE)</f>
        <v>Grundlärarprogrammet - förskoleklass och åk 1-3</v>
      </c>
      <c r="X393" s="42">
        <f>VLOOKUP(A393,kurspris!$A$1:$Q$798,15,FALSE)</f>
        <v>23641</v>
      </c>
      <c r="Y393" s="42">
        <f>VLOOKUP(A393,kurspris!$A$1:$Q$798,16,FALSE)</f>
        <v>28786</v>
      </c>
      <c r="Z393" s="42">
        <f t="shared" si="170"/>
        <v>6013.6374999999998</v>
      </c>
      <c r="AA393" s="42">
        <f>VLOOKUP(A393,kurspris!$A$1:$Q$798,17,FALSE)</f>
        <v>5800</v>
      </c>
      <c r="AB393" s="42">
        <f t="shared" si="171"/>
        <v>725</v>
      </c>
      <c r="AC393" s="42">
        <f t="shared" si="172"/>
        <v>6738.6374999999998</v>
      </c>
      <c r="AD393" s="31">
        <f>VLOOKUP($A393,kurspris!$A$1:$Q$835,3,FALSE)</f>
        <v>0</v>
      </c>
      <c r="AE393" s="31">
        <f>VLOOKUP($A393,kurspris!$A$1:$Q$835,4,FALSE)</f>
        <v>0</v>
      </c>
      <c r="AF393" s="31">
        <f>VLOOKUP($A393,kurspris!$A$1:$Q$835,5,FALSE)</f>
        <v>0</v>
      </c>
      <c r="AG393" s="31">
        <f>VLOOKUP($A393,kurspris!$A$1:$Q$835,6,FALSE)</f>
        <v>1</v>
      </c>
      <c r="AH393" s="31">
        <f>VLOOKUP($A393,kurspris!$A$1:$Q$835,7,FALSE)</f>
        <v>0</v>
      </c>
      <c r="AI393" s="31">
        <f>VLOOKUP($A393,kurspris!$A$1:$Q$835,8,FALSE)</f>
        <v>0</v>
      </c>
      <c r="AJ393" s="31">
        <f>VLOOKUP($A393,kurspris!$A$1:$Q$835,9,FALSE)</f>
        <v>0</v>
      </c>
      <c r="AK393" s="31">
        <f>VLOOKUP($A393,kurspris!$A$1:$Q$835,10,FALSE)</f>
        <v>0</v>
      </c>
      <c r="AL393" s="31">
        <f>VLOOKUP($A393,kurspris!$A$1:$Q$835,11,FALSE)</f>
        <v>0</v>
      </c>
      <c r="AM393" s="31">
        <f>VLOOKUP($A393,kurspris!$A$1:$Q$835,12,FALSE)</f>
        <v>0</v>
      </c>
      <c r="AN393" s="31">
        <f>VLOOKUP($A393,kurspris!$A$1:$Q$835,13,FALSE)</f>
        <v>0</v>
      </c>
      <c r="AO393" s="31">
        <f>VLOOKUP($A393,kurspris!$A$1:$Q$835,14,FALSE)</f>
        <v>0</v>
      </c>
      <c r="AP393" s="39" t="s">
        <v>2326</v>
      </c>
      <c r="AQ393"/>
      <c r="AR393" s="31">
        <f t="shared" si="173"/>
        <v>0</v>
      </c>
      <c r="AS393" s="255">
        <f t="shared" si="174"/>
        <v>0</v>
      </c>
      <c r="AT393" s="31">
        <f t="shared" si="175"/>
        <v>0</v>
      </c>
      <c r="AU393" s="255">
        <f t="shared" si="176"/>
        <v>0</v>
      </c>
      <c r="AV393" s="31">
        <f t="shared" si="177"/>
        <v>0</v>
      </c>
      <c r="AW393" s="31">
        <f t="shared" si="178"/>
        <v>0</v>
      </c>
      <c r="AX393" s="31">
        <f t="shared" si="179"/>
        <v>0.125</v>
      </c>
      <c r="AY393" s="255">
        <f t="shared" si="180"/>
        <v>0.10625</v>
      </c>
      <c r="AZ393" s="232">
        <f t="shared" si="181"/>
        <v>0</v>
      </c>
      <c r="BA393" s="255">
        <f t="shared" si="182"/>
        <v>0</v>
      </c>
      <c r="BB393" s="31">
        <f t="shared" si="183"/>
        <v>0</v>
      </c>
      <c r="BC393" s="255">
        <f t="shared" si="184"/>
        <v>0</v>
      </c>
      <c r="BD393" s="31">
        <f t="shared" si="185"/>
        <v>0</v>
      </c>
      <c r="BE393" s="255">
        <f t="shared" si="186"/>
        <v>0</v>
      </c>
      <c r="BF393" s="31">
        <f t="shared" si="187"/>
        <v>0</v>
      </c>
      <c r="BG393" s="255">
        <f t="shared" si="188"/>
        <v>0</v>
      </c>
      <c r="BH393" s="31">
        <f t="shared" si="189"/>
        <v>0</v>
      </c>
      <c r="BI393" s="255">
        <f t="shared" si="190"/>
        <v>0</v>
      </c>
      <c r="BJ393" s="31">
        <f t="shared" si="191"/>
        <v>0</v>
      </c>
      <c r="BK393" s="31">
        <f t="shared" si="192"/>
        <v>0</v>
      </c>
      <c r="BL393" s="255">
        <f t="shared" si="193"/>
        <v>0</v>
      </c>
      <c r="BM393" s="31">
        <f t="shared" si="194"/>
        <v>0</v>
      </c>
      <c r="BN393" s="255">
        <f t="shared" si="195"/>
        <v>0</v>
      </c>
    </row>
    <row r="394" spans="1:66" x14ac:dyDescent="0.25">
      <c r="A394" s="18" t="s">
        <v>1152</v>
      </c>
      <c r="B394" s="186" t="str">
        <f>VLOOKUP(A394,kurspris!$A$1:$B$877,2,FALSE)</f>
        <v>Kunskap, vetenskap och forskningsmetodik, 7,5 hp</v>
      </c>
      <c r="C394" s="37"/>
      <c r="D394" s="31" t="s">
        <v>524</v>
      </c>
      <c r="E394" s="31" t="s">
        <v>1931</v>
      </c>
      <c r="F394" s="59" t="s">
        <v>1931</v>
      </c>
      <c r="G394" s="31" t="s">
        <v>2277</v>
      </c>
      <c r="L394" s="31">
        <v>100</v>
      </c>
      <c r="M394" s="31">
        <v>7.5</v>
      </c>
      <c r="N394" s="40">
        <v>-0.1</v>
      </c>
      <c r="O394" s="31">
        <v>35</v>
      </c>
      <c r="P394" s="377">
        <f>O394+(O394*N394)</f>
        <v>31.5</v>
      </c>
      <c r="Q394" s="232">
        <f t="shared" si="168"/>
        <v>3.9375</v>
      </c>
      <c r="R394" s="40">
        <v>0.85</v>
      </c>
      <c r="S394" s="334">
        <f t="shared" si="169"/>
        <v>3.3468749999999998</v>
      </c>
      <c r="T394" s="31">
        <f>VLOOKUP(A394,'Ansvar kurs'!$A$1:$C$1010,2,FALSE)</f>
        <v>1630</v>
      </c>
      <c r="U394" s="31" t="str">
        <f>VLOOKUP(T394,Orgenheter!$A$1:$C$165,2,FALSE)</f>
        <v>Inst för ide- o samhällsstudier</v>
      </c>
      <c r="V394" s="31" t="str">
        <f>VLOOKUP(T394,Orgenheter!$A$1:$C$165,3,FALSE)</f>
        <v>Hum</v>
      </c>
      <c r="W394" s="37" t="str">
        <f>VLOOKUP(D394,Program!$A$1:$B$34,2,FALSE)</f>
        <v>Grundlärarprogrammet - grundskolans åk 4-6</v>
      </c>
      <c r="X394" s="42">
        <f>VLOOKUP(A394,kurspris!$A$1:$Q$798,15,FALSE)</f>
        <v>23641</v>
      </c>
      <c r="Y394" s="42">
        <f>VLOOKUP(A394,kurspris!$A$1:$Q$798,16,FALSE)</f>
        <v>28786</v>
      </c>
      <c r="Z394" s="42">
        <f t="shared" si="170"/>
        <v>189429.58124999999</v>
      </c>
      <c r="AA394" s="42">
        <f>VLOOKUP(A394,kurspris!$A$1:$Q$798,17,FALSE)</f>
        <v>5800</v>
      </c>
      <c r="AB394" s="42">
        <f t="shared" si="171"/>
        <v>22837.5</v>
      </c>
      <c r="AC394" s="42">
        <f t="shared" si="172"/>
        <v>212267.08124999999</v>
      </c>
      <c r="AD394" s="31">
        <f>VLOOKUP($A394,kurspris!$A$1:$Q$835,3,FALSE)</f>
        <v>0</v>
      </c>
      <c r="AE394" s="31">
        <f>VLOOKUP($A394,kurspris!$A$1:$Q$835,4,FALSE)</f>
        <v>0</v>
      </c>
      <c r="AF394" s="31">
        <f>VLOOKUP($A394,kurspris!$A$1:$Q$835,5,FALSE)</f>
        <v>0</v>
      </c>
      <c r="AG394" s="31">
        <f>VLOOKUP($A394,kurspris!$A$1:$Q$835,6,FALSE)</f>
        <v>1</v>
      </c>
      <c r="AH394" s="31">
        <f>VLOOKUP($A394,kurspris!$A$1:$Q$835,7,FALSE)</f>
        <v>0</v>
      </c>
      <c r="AI394" s="31">
        <f>VLOOKUP($A394,kurspris!$A$1:$Q$835,8,FALSE)</f>
        <v>0</v>
      </c>
      <c r="AJ394" s="31">
        <f>VLOOKUP($A394,kurspris!$A$1:$Q$835,9,FALSE)</f>
        <v>0</v>
      </c>
      <c r="AK394" s="31">
        <f>VLOOKUP($A394,kurspris!$A$1:$Q$835,10,FALSE)</f>
        <v>0</v>
      </c>
      <c r="AL394" s="31">
        <f>VLOOKUP($A394,kurspris!$A$1:$Q$835,11,FALSE)</f>
        <v>0</v>
      </c>
      <c r="AM394" s="31">
        <f>VLOOKUP($A394,kurspris!$A$1:$Q$835,12,FALSE)</f>
        <v>0</v>
      </c>
      <c r="AN394" s="31">
        <f>VLOOKUP($A394,kurspris!$A$1:$Q$835,13,FALSE)</f>
        <v>0</v>
      </c>
      <c r="AO394" s="31">
        <f>VLOOKUP($A394,kurspris!$A$1:$Q$835,14,FALSE)</f>
        <v>0</v>
      </c>
      <c r="AP394" s="39" t="s">
        <v>1631</v>
      </c>
      <c r="AQ394"/>
      <c r="AR394" s="31">
        <f t="shared" si="173"/>
        <v>0</v>
      </c>
      <c r="AS394" s="255">
        <f t="shared" si="174"/>
        <v>0</v>
      </c>
      <c r="AT394" s="31">
        <f t="shared" si="175"/>
        <v>0</v>
      </c>
      <c r="AU394" s="255">
        <f t="shared" si="176"/>
        <v>0</v>
      </c>
      <c r="AV394" s="31">
        <f t="shared" si="177"/>
        <v>0</v>
      </c>
      <c r="AW394" s="31">
        <f t="shared" si="178"/>
        <v>0</v>
      </c>
      <c r="AX394" s="31">
        <f t="shared" si="179"/>
        <v>3.9375</v>
      </c>
      <c r="AY394" s="255">
        <f t="shared" si="180"/>
        <v>3.3468749999999998</v>
      </c>
      <c r="AZ394" s="232">
        <f t="shared" si="181"/>
        <v>0</v>
      </c>
      <c r="BA394" s="255">
        <f t="shared" si="182"/>
        <v>0</v>
      </c>
      <c r="BB394" s="31">
        <f t="shared" si="183"/>
        <v>0</v>
      </c>
      <c r="BC394" s="255">
        <f t="shared" si="184"/>
        <v>0</v>
      </c>
      <c r="BD394" s="31">
        <f t="shared" si="185"/>
        <v>0</v>
      </c>
      <c r="BE394" s="255">
        <f t="shared" si="186"/>
        <v>0</v>
      </c>
      <c r="BF394" s="31">
        <f t="shared" si="187"/>
        <v>0</v>
      </c>
      <c r="BG394" s="255">
        <f t="shared" si="188"/>
        <v>0</v>
      </c>
      <c r="BH394" s="31">
        <f t="shared" si="189"/>
        <v>0</v>
      </c>
      <c r="BI394" s="255">
        <f t="shared" si="190"/>
        <v>0</v>
      </c>
      <c r="BJ394" s="31">
        <f t="shared" si="191"/>
        <v>0</v>
      </c>
      <c r="BK394" s="31">
        <f t="shared" si="192"/>
        <v>0</v>
      </c>
      <c r="BL394" s="255">
        <f t="shared" si="193"/>
        <v>0</v>
      </c>
      <c r="BM394" s="31">
        <f t="shared" si="194"/>
        <v>0</v>
      </c>
      <c r="BN394" s="255">
        <f t="shared" si="195"/>
        <v>0</v>
      </c>
    </row>
    <row r="395" spans="1:66" x14ac:dyDescent="0.25">
      <c r="A395" s="18" t="s">
        <v>1154</v>
      </c>
      <c r="B395" s="186" t="str">
        <f>VLOOKUP(A395,kurspris!$A$1:$B$877,2,FALSE)</f>
        <v>Etik, demokrati och det heterogena klassrummet, 7,5 hp</v>
      </c>
      <c r="C395" s="37"/>
      <c r="D395" s="31" t="s">
        <v>483</v>
      </c>
      <c r="E395" s="31" t="s">
        <v>1609</v>
      </c>
      <c r="F395" s="59" t="s">
        <v>1931</v>
      </c>
      <c r="G395" s="31" t="s">
        <v>2269</v>
      </c>
      <c r="J395" t="s">
        <v>1593</v>
      </c>
      <c r="L395" s="31">
        <v>100</v>
      </c>
      <c r="M395" s="31">
        <v>7.5</v>
      </c>
      <c r="P395" s="31">
        <v>1</v>
      </c>
      <c r="Q395" s="232">
        <f t="shared" si="168"/>
        <v>0.125</v>
      </c>
      <c r="R395" s="40">
        <v>0.85</v>
      </c>
      <c r="S395" s="334">
        <f t="shared" si="169"/>
        <v>0.10625</v>
      </c>
      <c r="T395" s="31">
        <f>VLOOKUP(A395,'Ansvar kurs'!$A$1:$C$1010,2,FALSE)</f>
        <v>1630</v>
      </c>
      <c r="U395" s="31" t="str">
        <f>VLOOKUP(T395,Orgenheter!$A$1:$C$165,2,FALSE)</f>
        <v>Inst för ide- o samhällsstudier</v>
      </c>
      <c r="V395" s="31" t="str">
        <f>VLOOKUP(T395,Orgenheter!$A$1:$C$165,3,FALSE)</f>
        <v>Hum</v>
      </c>
      <c r="W395" s="37" t="str">
        <f>VLOOKUP(D395,Program!$A$1:$B$34,2,FALSE)</f>
        <v>Ämneslärarprogrammet - Gy</v>
      </c>
      <c r="X395" s="42">
        <f>VLOOKUP(A395,kurspris!$A$1:$Q$798,15,FALSE)</f>
        <v>23641</v>
      </c>
      <c r="Y395" s="42">
        <f>VLOOKUP(A395,kurspris!$A$1:$Q$798,16,FALSE)</f>
        <v>28786</v>
      </c>
      <c r="Z395" s="42">
        <f t="shared" si="170"/>
        <v>6013.6374999999998</v>
      </c>
      <c r="AA395" s="42">
        <f>VLOOKUP(A395,kurspris!$A$1:$Q$798,17,FALSE)</f>
        <v>5800</v>
      </c>
      <c r="AB395" s="42">
        <f t="shared" si="171"/>
        <v>725</v>
      </c>
      <c r="AC395" s="42">
        <f t="shared" si="172"/>
        <v>6738.6374999999998</v>
      </c>
      <c r="AD395" s="31">
        <f>VLOOKUP($A395,kurspris!$A$1:$Q$835,3,FALSE)</f>
        <v>0</v>
      </c>
      <c r="AE395" s="31">
        <f>VLOOKUP($A395,kurspris!$A$1:$Q$835,4,FALSE)</f>
        <v>0</v>
      </c>
      <c r="AF395" s="31">
        <f>VLOOKUP($A395,kurspris!$A$1:$Q$835,5,FALSE)</f>
        <v>0</v>
      </c>
      <c r="AG395" s="31">
        <f>VLOOKUP($A395,kurspris!$A$1:$Q$835,6,FALSE)</f>
        <v>1</v>
      </c>
      <c r="AH395" s="31">
        <f>VLOOKUP($A395,kurspris!$A$1:$Q$835,7,FALSE)</f>
        <v>0</v>
      </c>
      <c r="AI395" s="31">
        <f>VLOOKUP($A395,kurspris!$A$1:$Q$835,8,FALSE)</f>
        <v>0</v>
      </c>
      <c r="AJ395" s="31">
        <f>VLOOKUP($A395,kurspris!$A$1:$Q$835,9,FALSE)</f>
        <v>0</v>
      </c>
      <c r="AK395" s="31">
        <f>VLOOKUP($A395,kurspris!$A$1:$Q$835,10,FALSE)</f>
        <v>0</v>
      </c>
      <c r="AL395" s="31">
        <f>VLOOKUP($A395,kurspris!$A$1:$Q$835,11,FALSE)</f>
        <v>0</v>
      </c>
      <c r="AM395" s="31">
        <f>VLOOKUP($A395,kurspris!$A$1:$Q$835,12,FALSE)</f>
        <v>0</v>
      </c>
      <c r="AN395" s="31">
        <f>VLOOKUP($A395,kurspris!$A$1:$Q$835,13,FALSE)</f>
        <v>0</v>
      </c>
      <c r="AO395" s="31">
        <f>VLOOKUP($A395,kurspris!$A$1:$Q$835,14,FALSE)</f>
        <v>0</v>
      </c>
      <c r="AP395" s="39" t="s">
        <v>2326</v>
      </c>
      <c r="AQ395"/>
      <c r="AR395" s="31">
        <f t="shared" si="173"/>
        <v>0</v>
      </c>
      <c r="AS395" s="255">
        <f t="shared" si="174"/>
        <v>0</v>
      </c>
      <c r="AT395" s="31">
        <f t="shared" si="175"/>
        <v>0</v>
      </c>
      <c r="AU395" s="255">
        <f t="shared" si="176"/>
        <v>0</v>
      </c>
      <c r="AV395" s="31">
        <f t="shared" si="177"/>
        <v>0</v>
      </c>
      <c r="AW395" s="31">
        <f t="shared" si="178"/>
        <v>0</v>
      </c>
      <c r="AX395" s="31">
        <f t="shared" si="179"/>
        <v>0.125</v>
      </c>
      <c r="AY395" s="255">
        <f t="shared" si="180"/>
        <v>0.10625</v>
      </c>
      <c r="AZ395" s="232">
        <f t="shared" si="181"/>
        <v>0</v>
      </c>
      <c r="BA395" s="255">
        <f t="shared" si="182"/>
        <v>0</v>
      </c>
      <c r="BB395" s="31">
        <f t="shared" si="183"/>
        <v>0</v>
      </c>
      <c r="BC395" s="255">
        <f t="shared" si="184"/>
        <v>0</v>
      </c>
      <c r="BD395" s="31">
        <f t="shared" si="185"/>
        <v>0</v>
      </c>
      <c r="BE395" s="255">
        <f t="shared" si="186"/>
        <v>0</v>
      </c>
      <c r="BF395" s="31">
        <f t="shared" si="187"/>
        <v>0</v>
      </c>
      <c r="BG395" s="255">
        <f t="shared" si="188"/>
        <v>0</v>
      </c>
      <c r="BH395" s="31">
        <f t="shared" si="189"/>
        <v>0</v>
      </c>
      <c r="BI395" s="255">
        <f t="shared" si="190"/>
        <v>0</v>
      </c>
      <c r="BJ395" s="31">
        <f t="shared" si="191"/>
        <v>0</v>
      </c>
      <c r="BK395" s="31">
        <f t="shared" si="192"/>
        <v>0</v>
      </c>
      <c r="BL395" s="255">
        <f t="shared" si="193"/>
        <v>0</v>
      </c>
      <c r="BM395" s="31">
        <f t="shared" si="194"/>
        <v>0</v>
      </c>
      <c r="BN395" s="255">
        <f t="shared" si="195"/>
        <v>0</v>
      </c>
    </row>
    <row r="396" spans="1:66" x14ac:dyDescent="0.25">
      <c r="A396" s="18" t="s">
        <v>1154</v>
      </c>
      <c r="B396" s="186" t="str">
        <f>VLOOKUP(A396,kurspris!$A$1:$B$877,2,FALSE)</f>
        <v>Etik, demokrati och det heterogena klassrummet, 7,5 hp</v>
      </c>
      <c r="C396" s="37"/>
      <c r="D396" s="31" t="s">
        <v>483</v>
      </c>
      <c r="E396" s="31" t="s">
        <v>1788</v>
      </c>
      <c r="F396" s="59" t="s">
        <v>1931</v>
      </c>
      <c r="G396" s="31" t="s">
        <v>2269</v>
      </c>
      <c r="J396" t="s">
        <v>771</v>
      </c>
      <c r="L396" s="31">
        <v>100</v>
      </c>
      <c r="M396" s="31">
        <v>7.5</v>
      </c>
      <c r="P396" s="31">
        <v>1</v>
      </c>
      <c r="Q396" s="232">
        <f t="shared" si="168"/>
        <v>0.125</v>
      </c>
      <c r="R396" s="40">
        <v>0.85</v>
      </c>
      <c r="S396" s="334">
        <f t="shared" si="169"/>
        <v>0.10625</v>
      </c>
      <c r="T396" s="31">
        <f>VLOOKUP(A396,'Ansvar kurs'!$A$1:$C$1010,2,FALSE)</f>
        <v>1630</v>
      </c>
      <c r="U396" s="31" t="str">
        <f>VLOOKUP(T396,Orgenheter!$A$1:$C$165,2,FALSE)</f>
        <v>Inst för ide- o samhällsstudier</v>
      </c>
      <c r="V396" s="31" t="str">
        <f>VLOOKUP(T396,Orgenheter!$A$1:$C$165,3,FALSE)</f>
        <v>Hum</v>
      </c>
      <c r="W396" s="37" t="str">
        <f>VLOOKUP(D396,Program!$A$1:$B$34,2,FALSE)</f>
        <v>Ämneslärarprogrammet - Gy</v>
      </c>
      <c r="X396" s="42">
        <f>VLOOKUP(A396,kurspris!$A$1:$Q$798,15,FALSE)</f>
        <v>23641</v>
      </c>
      <c r="Y396" s="42">
        <f>VLOOKUP(A396,kurspris!$A$1:$Q$798,16,FALSE)</f>
        <v>28786</v>
      </c>
      <c r="Z396" s="42">
        <f t="shared" si="170"/>
        <v>6013.6374999999998</v>
      </c>
      <c r="AA396" s="42">
        <f>VLOOKUP(A396,kurspris!$A$1:$Q$798,17,FALSE)</f>
        <v>5800</v>
      </c>
      <c r="AB396" s="42">
        <f t="shared" si="171"/>
        <v>725</v>
      </c>
      <c r="AC396" s="42">
        <f t="shared" si="172"/>
        <v>6738.6374999999998</v>
      </c>
      <c r="AD396" s="31">
        <f>VLOOKUP($A396,kurspris!$A$1:$Q$835,3,FALSE)</f>
        <v>0</v>
      </c>
      <c r="AE396" s="31">
        <f>VLOOKUP($A396,kurspris!$A$1:$Q$835,4,FALSE)</f>
        <v>0</v>
      </c>
      <c r="AF396" s="31">
        <f>VLOOKUP($A396,kurspris!$A$1:$Q$835,5,FALSE)</f>
        <v>0</v>
      </c>
      <c r="AG396" s="31">
        <f>VLOOKUP($A396,kurspris!$A$1:$Q$835,6,FALSE)</f>
        <v>1</v>
      </c>
      <c r="AH396" s="31">
        <f>VLOOKUP($A396,kurspris!$A$1:$Q$835,7,FALSE)</f>
        <v>0</v>
      </c>
      <c r="AI396" s="31">
        <f>VLOOKUP($A396,kurspris!$A$1:$Q$835,8,FALSE)</f>
        <v>0</v>
      </c>
      <c r="AJ396" s="31">
        <f>VLOOKUP($A396,kurspris!$A$1:$Q$835,9,FALSE)</f>
        <v>0</v>
      </c>
      <c r="AK396" s="31">
        <f>VLOOKUP($A396,kurspris!$A$1:$Q$835,10,FALSE)</f>
        <v>0</v>
      </c>
      <c r="AL396" s="31">
        <f>VLOOKUP($A396,kurspris!$A$1:$Q$835,11,FALSE)</f>
        <v>0</v>
      </c>
      <c r="AM396" s="31">
        <f>VLOOKUP($A396,kurspris!$A$1:$Q$835,12,FALSE)</f>
        <v>0</v>
      </c>
      <c r="AN396" s="31">
        <f>VLOOKUP($A396,kurspris!$A$1:$Q$835,13,FALSE)</f>
        <v>0</v>
      </c>
      <c r="AO396" s="31">
        <f>VLOOKUP($A396,kurspris!$A$1:$Q$835,14,FALSE)</f>
        <v>0</v>
      </c>
      <c r="AP396" s="39" t="s">
        <v>2326</v>
      </c>
      <c r="AQ396"/>
      <c r="AR396" s="31">
        <f t="shared" si="173"/>
        <v>0</v>
      </c>
      <c r="AS396" s="255">
        <f t="shared" si="174"/>
        <v>0</v>
      </c>
      <c r="AT396" s="31">
        <f t="shared" si="175"/>
        <v>0</v>
      </c>
      <c r="AU396" s="255">
        <f t="shared" si="176"/>
        <v>0</v>
      </c>
      <c r="AV396" s="31">
        <f t="shared" si="177"/>
        <v>0</v>
      </c>
      <c r="AW396" s="31">
        <f t="shared" si="178"/>
        <v>0</v>
      </c>
      <c r="AX396" s="31">
        <f t="shared" si="179"/>
        <v>0.125</v>
      </c>
      <c r="AY396" s="255">
        <f t="shared" si="180"/>
        <v>0.10625</v>
      </c>
      <c r="AZ396" s="232">
        <f t="shared" si="181"/>
        <v>0</v>
      </c>
      <c r="BA396" s="255">
        <f t="shared" si="182"/>
        <v>0</v>
      </c>
      <c r="BB396" s="31">
        <f t="shared" si="183"/>
        <v>0</v>
      </c>
      <c r="BC396" s="255">
        <f t="shared" si="184"/>
        <v>0</v>
      </c>
      <c r="BD396" s="31">
        <f t="shared" si="185"/>
        <v>0</v>
      </c>
      <c r="BE396" s="255">
        <f t="shared" si="186"/>
        <v>0</v>
      </c>
      <c r="BF396" s="31">
        <f t="shared" si="187"/>
        <v>0</v>
      </c>
      <c r="BG396" s="255">
        <f t="shared" si="188"/>
        <v>0</v>
      </c>
      <c r="BH396" s="31">
        <f t="shared" si="189"/>
        <v>0</v>
      </c>
      <c r="BI396" s="255">
        <f t="shared" si="190"/>
        <v>0</v>
      </c>
      <c r="BJ396" s="31">
        <f t="shared" si="191"/>
        <v>0</v>
      </c>
      <c r="BK396" s="31">
        <f t="shared" si="192"/>
        <v>0</v>
      </c>
      <c r="BL396" s="255">
        <f t="shared" si="193"/>
        <v>0</v>
      </c>
      <c r="BM396" s="31">
        <f t="shared" si="194"/>
        <v>0</v>
      </c>
      <c r="BN396" s="255">
        <f t="shared" si="195"/>
        <v>0</v>
      </c>
    </row>
    <row r="397" spans="1:66" x14ac:dyDescent="0.25">
      <c r="A397" s="18" t="s">
        <v>1154</v>
      </c>
      <c r="B397" s="186" t="str">
        <f>VLOOKUP(A397,kurspris!$A$1:$B$877,2,FALSE)</f>
        <v>Etik, demokrati och det heterogena klassrummet, 7,5 hp</v>
      </c>
      <c r="C397" s="37"/>
      <c r="D397" s="31" t="s">
        <v>483</v>
      </c>
      <c r="E397" s="31" t="s">
        <v>1788</v>
      </c>
      <c r="F397" s="59" t="s">
        <v>1931</v>
      </c>
      <c r="G397" s="31" t="s">
        <v>2269</v>
      </c>
      <c r="J397" t="s">
        <v>777</v>
      </c>
      <c r="L397" s="31">
        <v>100</v>
      </c>
      <c r="M397" s="31">
        <v>7.5</v>
      </c>
      <c r="P397" s="31">
        <v>1</v>
      </c>
      <c r="Q397" s="232">
        <f t="shared" si="168"/>
        <v>0.125</v>
      </c>
      <c r="R397" s="40">
        <v>0.85</v>
      </c>
      <c r="S397" s="334">
        <f t="shared" si="169"/>
        <v>0.10625</v>
      </c>
      <c r="T397" s="31">
        <f>VLOOKUP(A397,'Ansvar kurs'!$A$1:$C$1010,2,FALSE)</f>
        <v>1630</v>
      </c>
      <c r="U397" s="31" t="str">
        <f>VLOOKUP(T397,Orgenheter!$A$1:$C$165,2,FALSE)</f>
        <v>Inst för ide- o samhällsstudier</v>
      </c>
      <c r="V397" s="31" t="str">
        <f>VLOOKUP(T397,Orgenheter!$A$1:$C$165,3,FALSE)</f>
        <v>Hum</v>
      </c>
      <c r="W397" s="37" t="str">
        <f>VLOOKUP(D397,Program!$A$1:$B$34,2,FALSE)</f>
        <v>Ämneslärarprogrammet - Gy</v>
      </c>
      <c r="X397" s="42">
        <f>VLOOKUP(A397,kurspris!$A$1:$Q$798,15,FALSE)</f>
        <v>23641</v>
      </c>
      <c r="Y397" s="42">
        <f>VLOOKUP(A397,kurspris!$A$1:$Q$798,16,FALSE)</f>
        <v>28786</v>
      </c>
      <c r="Z397" s="42">
        <f t="shared" si="170"/>
        <v>6013.6374999999998</v>
      </c>
      <c r="AA397" s="42">
        <f>VLOOKUP(A397,kurspris!$A$1:$Q$798,17,FALSE)</f>
        <v>5800</v>
      </c>
      <c r="AB397" s="42">
        <f t="shared" si="171"/>
        <v>725</v>
      </c>
      <c r="AC397" s="42">
        <f t="shared" si="172"/>
        <v>6738.6374999999998</v>
      </c>
      <c r="AD397" s="31">
        <f>VLOOKUP($A397,kurspris!$A$1:$Q$835,3,FALSE)</f>
        <v>0</v>
      </c>
      <c r="AE397" s="31">
        <f>VLOOKUP($A397,kurspris!$A$1:$Q$835,4,FALSE)</f>
        <v>0</v>
      </c>
      <c r="AF397" s="31">
        <f>VLOOKUP($A397,kurspris!$A$1:$Q$835,5,FALSE)</f>
        <v>0</v>
      </c>
      <c r="AG397" s="31">
        <f>VLOOKUP($A397,kurspris!$A$1:$Q$835,6,FALSE)</f>
        <v>1</v>
      </c>
      <c r="AH397" s="31">
        <f>VLOOKUP($A397,kurspris!$A$1:$Q$835,7,FALSE)</f>
        <v>0</v>
      </c>
      <c r="AI397" s="31">
        <f>VLOOKUP($A397,kurspris!$A$1:$Q$835,8,FALSE)</f>
        <v>0</v>
      </c>
      <c r="AJ397" s="31">
        <f>VLOOKUP($A397,kurspris!$A$1:$Q$835,9,FALSE)</f>
        <v>0</v>
      </c>
      <c r="AK397" s="31">
        <f>VLOOKUP($A397,kurspris!$A$1:$Q$835,10,FALSE)</f>
        <v>0</v>
      </c>
      <c r="AL397" s="31">
        <f>VLOOKUP($A397,kurspris!$A$1:$Q$835,11,FALSE)</f>
        <v>0</v>
      </c>
      <c r="AM397" s="31">
        <f>VLOOKUP($A397,kurspris!$A$1:$Q$835,12,FALSE)</f>
        <v>0</v>
      </c>
      <c r="AN397" s="31">
        <f>VLOOKUP($A397,kurspris!$A$1:$Q$835,13,FALSE)</f>
        <v>0</v>
      </c>
      <c r="AO397" s="31">
        <f>VLOOKUP($A397,kurspris!$A$1:$Q$835,14,FALSE)</f>
        <v>0</v>
      </c>
      <c r="AP397" s="39" t="s">
        <v>2326</v>
      </c>
      <c r="AQ397"/>
      <c r="AR397" s="31">
        <f t="shared" si="173"/>
        <v>0</v>
      </c>
      <c r="AS397" s="255">
        <f t="shared" si="174"/>
        <v>0</v>
      </c>
      <c r="AT397" s="31">
        <f t="shared" si="175"/>
        <v>0</v>
      </c>
      <c r="AU397" s="255">
        <f t="shared" si="176"/>
        <v>0</v>
      </c>
      <c r="AV397" s="31">
        <f t="shared" si="177"/>
        <v>0</v>
      </c>
      <c r="AW397" s="31">
        <f t="shared" si="178"/>
        <v>0</v>
      </c>
      <c r="AX397" s="31">
        <f t="shared" si="179"/>
        <v>0.125</v>
      </c>
      <c r="AY397" s="255">
        <f t="shared" si="180"/>
        <v>0.10625</v>
      </c>
      <c r="AZ397" s="232">
        <f t="shared" si="181"/>
        <v>0</v>
      </c>
      <c r="BA397" s="255">
        <f t="shared" si="182"/>
        <v>0</v>
      </c>
      <c r="BB397" s="31">
        <f t="shared" si="183"/>
        <v>0</v>
      </c>
      <c r="BC397" s="255">
        <f t="shared" si="184"/>
        <v>0</v>
      </c>
      <c r="BD397" s="31">
        <f t="shared" si="185"/>
        <v>0</v>
      </c>
      <c r="BE397" s="255">
        <f t="shared" si="186"/>
        <v>0</v>
      </c>
      <c r="BF397" s="31">
        <f t="shared" si="187"/>
        <v>0</v>
      </c>
      <c r="BG397" s="255">
        <f t="shared" si="188"/>
        <v>0</v>
      </c>
      <c r="BH397" s="31">
        <f t="shared" si="189"/>
        <v>0</v>
      </c>
      <c r="BI397" s="255">
        <f t="shared" si="190"/>
        <v>0</v>
      </c>
      <c r="BJ397" s="31">
        <f t="shared" si="191"/>
        <v>0</v>
      </c>
      <c r="BK397" s="31">
        <f t="shared" si="192"/>
        <v>0</v>
      </c>
      <c r="BL397" s="255">
        <f t="shared" si="193"/>
        <v>0</v>
      </c>
      <c r="BM397" s="31">
        <f t="shared" si="194"/>
        <v>0</v>
      </c>
      <c r="BN397" s="255">
        <f t="shared" si="195"/>
        <v>0</v>
      </c>
    </row>
    <row r="398" spans="1:66" x14ac:dyDescent="0.25">
      <c r="A398" s="18" t="s">
        <v>1154</v>
      </c>
      <c r="B398" s="186" t="str">
        <f>VLOOKUP(A398,kurspris!$A$1:$B$877,2,FALSE)</f>
        <v>Etik, demokrati och det heterogena klassrummet, 7,5 hp</v>
      </c>
      <c r="C398" s="37"/>
      <c r="D398" s="31" t="s">
        <v>483</v>
      </c>
      <c r="E398" s="31" t="s">
        <v>1931</v>
      </c>
      <c r="F398" s="59" t="s">
        <v>1931</v>
      </c>
      <c r="G398" s="31" t="s">
        <v>2269</v>
      </c>
      <c r="J398" t="s">
        <v>1952</v>
      </c>
      <c r="L398" s="31">
        <v>100</v>
      </c>
      <c r="M398" s="31">
        <v>7.5</v>
      </c>
      <c r="P398" s="31">
        <v>4</v>
      </c>
      <c r="Q398" s="232">
        <f t="shared" si="168"/>
        <v>0.5</v>
      </c>
      <c r="R398" s="40">
        <v>0.85</v>
      </c>
      <c r="S398" s="334">
        <f t="shared" si="169"/>
        <v>0.42499999999999999</v>
      </c>
      <c r="T398" s="31">
        <f>VLOOKUP(A398,'Ansvar kurs'!$A$1:$C$1010,2,FALSE)</f>
        <v>1630</v>
      </c>
      <c r="U398" s="31" t="str">
        <f>VLOOKUP(T398,Orgenheter!$A$1:$C$165,2,FALSE)</f>
        <v>Inst för ide- o samhällsstudier</v>
      </c>
      <c r="V398" s="31" t="str">
        <f>VLOOKUP(T398,Orgenheter!$A$1:$C$165,3,FALSE)</f>
        <v>Hum</v>
      </c>
      <c r="W398" s="37" t="str">
        <f>VLOOKUP(D398,Program!$A$1:$B$34,2,FALSE)</f>
        <v>Ämneslärarprogrammet - Gy</v>
      </c>
      <c r="X398" s="42">
        <f>VLOOKUP(A398,kurspris!$A$1:$Q$798,15,FALSE)</f>
        <v>23641</v>
      </c>
      <c r="Y398" s="42">
        <f>VLOOKUP(A398,kurspris!$A$1:$Q$798,16,FALSE)</f>
        <v>28786</v>
      </c>
      <c r="Z398" s="42">
        <f t="shared" si="170"/>
        <v>24054.55</v>
      </c>
      <c r="AA398" s="42">
        <f>VLOOKUP(A398,kurspris!$A$1:$Q$798,17,FALSE)</f>
        <v>5800</v>
      </c>
      <c r="AB398" s="42">
        <f t="shared" si="171"/>
        <v>2900</v>
      </c>
      <c r="AC398" s="42">
        <f t="shared" si="172"/>
        <v>26954.55</v>
      </c>
      <c r="AD398" s="31">
        <f>VLOOKUP($A398,kurspris!$A$1:$Q$835,3,FALSE)</f>
        <v>0</v>
      </c>
      <c r="AE398" s="31">
        <f>VLOOKUP($A398,kurspris!$A$1:$Q$835,4,FALSE)</f>
        <v>0</v>
      </c>
      <c r="AF398" s="31">
        <f>VLOOKUP($A398,kurspris!$A$1:$Q$835,5,FALSE)</f>
        <v>0</v>
      </c>
      <c r="AG398" s="31">
        <f>VLOOKUP($A398,kurspris!$A$1:$Q$835,6,FALSE)</f>
        <v>1</v>
      </c>
      <c r="AH398" s="31">
        <f>VLOOKUP($A398,kurspris!$A$1:$Q$835,7,FALSE)</f>
        <v>0</v>
      </c>
      <c r="AI398" s="31">
        <f>VLOOKUP($A398,kurspris!$A$1:$Q$835,8,FALSE)</f>
        <v>0</v>
      </c>
      <c r="AJ398" s="31">
        <f>VLOOKUP($A398,kurspris!$A$1:$Q$835,9,FALSE)</f>
        <v>0</v>
      </c>
      <c r="AK398" s="31">
        <f>VLOOKUP($A398,kurspris!$A$1:$Q$835,10,FALSE)</f>
        <v>0</v>
      </c>
      <c r="AL398" s="31">
        <f>VLOOKUP($A398,kurspris!$A$1:$Q$835,11,FALSE)</f>
        <v>0</v>
      </c>
      <c r="AM398" s="31">
        <f>VLOOKUP($A398,kurspris!$A$1:$Q$835,12,FALSE)</f>
        <v>0</v>
      </c>
      <c r="AN398" s="31">
        <f>VLOOKUP($A398,kurspris!$A$1:$Q$835,13,FALSE)</f>
        <v>0</v>
      </c>
      <c r="AO398" s="31">
        <f>VLOOKUP($A398,kurspris!$A$1:$Q$835,14,FALSE)</f>
        <v>0</v>
      </c>
      <c r="AP398" s="39" t="s">
        <v>2326</v>
      </c>
      <c r="AQ398"/>
      <c r="AR398" s="31">
        <f t="shared" si="173"/>
        <v>0</v>
      </c>
      <c r="AS398" s="255">
        <f t="shared" si="174"/>
        <v>0</v>
      </c>
      <c r="AT398" s="31">
        <f t="shared" si="175"/>
        <v>0</v>
      </c>
      <c r="AU398" s="255">
        <f t="shared" si="176"/>
        <v>0</v>
      </c>
      <c r="AV398" s="31">
        <f t="shared" si="177"/>
        <v>0</v>
      </c>
      <c r="AW398" s="31">
        <f t="shared" si="178"/>
        <v>0</v>
      </c>
      <c r="AX398" s="31">
        <f t="shared" si="179"/>
        <v>0.5</v>
      </c>
      <c r="AY398" s="255">
        <f t="shared" si="180"/>
        <v>0.42499999999999999</v>
      </c>
      <c r="AZ398" s="232">
        <f t="shared" si="181"/>
        <v>0</v>
      </c>
      <c r="BA398" s="255">
        <f t="shared" si="182"/>
        <v>0</v>
      </c>
      <c r="BB398" s="31">
        <f t="shared" si="183"/>
        <v>0</v>
      </c>
      <c r="BC398" s="255">
        <f t="shared" si="184"/>
        <v>0</v>
      </c>
      <c r="BD398" s="31">
        <f t="shared" si="185"/>
        <v>0</v>
      </c>
      <c r="BE398" s="255">
        <f t="shared" si="186"/>
        <v>0</v>
      </c>
      <c r="BF398" s="31">
        <f t="shared" si="187"/>
        <v>0</v>
      </c>
      <c r="BG398" s="255">
        <f t="shared" si="188"/>
        <v>0</v>
      </c>
      <c r="BH398" s="31">
        <f t="shared" si="189"/>
        <v>0</v>
      </c>
      <c r="BI398" s="255">
        <f t="shared" si="190"/>
        <v>0</v>
      </c>
      <c r="BJ398" s="31">
        <f t="shared" si="191"/>
        <v>0</v>
      </c>
      <c r="BK398" s="31">
        <f t="shared" si="192"/>
        <v>0</v>
      </c>
      <c r="BL398" s="255">
        <f t="shared" si="193"/>
        <v>0</v>
      </c>
      <c r="BM398" s="31">
        <f t="shared" si="194"/>
        <v>0</v>
      </c>
      <c r="BN398" s="255">
        <f t="shared" si="195"/>
        <v>0</v>
      </c>
    </row>
    <row r="399" spans="1:66" x14ac:dyDescent="0.25">
      <c r="A399" s="18" t="s">
        <v>1154</v>
      </c>
      <c r="B399" s="186" t="str">
        <f>VLOOKUP(A399,kurspris!$A$1:$B$877,2,FALSE)</f>
        <v>Etik, demokrati och det heterogena klassrummet, 7,5 hp</v>
      </c>
      <c r="C399" s="37"/>
      <c r="D399" s="31" t="s">
        <v>483</v>
      </c>
      <c r="E399" s="31" t="s">
        <v>1931</v>
      </c>
      <c r="F399" s="59" t="s">
        <v>1931</v>
      </c>
      <c r="G399" s="31" t="s">
        <v>2269</v>
      </c>
      <c r="J399" t="s">
        <v>1591</v>
      </c>
      <c r="L399" s="31">
        <v>100</v>
      </c>
      <c r="M399" s="31">
        <v>7.5</v>
      </c>
      <c r="P399" s="31">
        <v>4</v>
      </c>
      <c r="Q399" s="232">
        <f t="shared" si="168"/>
        <v>0.5</v>
      </c>
      <c r="R399" s="40">
        <v>0.85</v>
      </c>
      <c r="S399" s="334">
        <f t="shared" si="169"/>
        <v>0.42499999999999999</v>
      </c>
      <c r="T399" s="31">
        <f>VLOOKUP(A399,'Ansvar kurs'!$A$1:$C$1010,2,FALSE)</f>
        <v>1630</v>
      </c>
      <c r="U399" s="31" t="str">
        <f>VLOOKUP(T399,Orgenheter!$A$1:$C$165,2,FALSE)</f>
        <v>Inst för ide- o samhällsstudier</v>
      </c>
      <c r="V399" s="31" t="str">
        <f>VLOOKUP(T399,Orgenheter!$A$1:$C$165,3,FALSE)</f>
        <v>Hum</v>
      </c>
      <c r="W399" s="37" t="str">
        <f>VLOOKUP(D399,Program!$A$1:$B$34,2,FALSE)</f>
        <v>Ämneslärarprogrammet - Gy</v>
      </c>
      <c r="X399" s="42">
        <f>VLOOKUP(A399,kurspris!$A$1:$Q$798,15,FALSE)</f>
        <v>23641</v>
      </c>
      <c r="Y399" s="42">
        <f>VLOOKUP(A399,kurspris!$A$1:$Q$798,16,FALSE)</f>
        <v>28786</v>
      </c>
      <c r="Z399" s="42">
        <f t="shared" si="170"/>
        <v>24054.55</v>
      </c>
      <c r="AA399" s="42">
        <f>VLOOKUP(A399,kurspris!$A$1:$Q$798,17,FALSE)</f>
        <v>5800</v>
      </c>
      <c r="AB399" s="42">
        <f t="shared" si="171"/>
        <v>2900</v>
      </c>
      <c r="AC399" s="42">
        <f t="shared" si="172"/>
        <v>26954.55</v>
      </c>
      <c r="AD399" s="31">
        <f>VLOOKUP($A399,kurspris!$A$1:$Q$835,3,FALSE)</f>
        <v>0</v>
      </c>
      <c r="AE399" s="31">
        <f>VLOOKUP($A399,kurspris!$A$1:$Q$835,4,FALSE)</f>
        <v>0</v>
      </c>
      <c r="AF399" s="31">
        <f>VLOOKUP($A399,kurspris!$A$1:$Q$835,5,FALSE)</f>
        <v>0</v>
      </c>
      <c r="AG399" s="31">
        <f>VLOOKUP($A399,kurspris!$A$1:$Q$835,6,FALSE)</f>
        <v>1</v>
      </c>
      <c r="AH399" s="31">
        <f>VLOOKUP($A399,kurspris!$A$1:$Q$835,7,FALSE)</f>
        <v>0</v>
      </c>
      <c r="AI399" s="31">
        <f>VLOOKUP($A399,kurspris!$A$1:$Q$835,8,FALSE)</f>
        <v>0</v>
      </c>
      <c r="AJ399" s="31">
        <f>VLOOKUP($A399,kurspris!$A$1:$Q$835,9,FALSE)</f>
        <v>0</v>
      </c>
      <c r="AK399" s="31">
        <f>VLOOKUP($A399,kurspris!$A$1:$Q$835,10,FALSE)</f>
        <v>0</v>
      </c>
      <c r="AL399" s="31">
        <f>VLOOKUP($A399,kurspris!$A$1:$Q$835,11,FALSE)</f>
        <v>0</v>
      </c>
      <c r="AM399" s="31">
        <f>VLOOKUP($A399,kurspris!$A$1:$Q$835,12,FALSE)</f>
        <v>0</v>
      </c>
      <c r="AN399" s="31">
        <f>VLOOKUP($A399,kurspris!$A$1:$Q$835,13,FALSE)</f>
        <v>0</v>
      </c>
      <c r="AO399" s="31">
        <f>VLOOKUP($A399,kurspris!$A$1:$Q$835,14,FALSE)</f>
        <v>0</v>
      </c>
      <c r="AP399" s="39" t="s">
        <v>2326</v>
      </c>
      <c r="AQ399"/>
      <c r="AR399" s="31">
        <f t="shared" si="173"/>
        <v>0</v>
      </c>
      <c r="AS399" s="255">
        <f t="shared" si="174"/>
        <v>0</v>
      </c>
      <c r="AT399" s="31">
        <f t="shared" si="175"/>
        <v>0</v>
      </c>
      <c r="AU399" s="255">
        <f t="shared" si="176"/>
        <v>0</v>
      </c>
      <c r="AV399" s="31">
        <f t="shared" si="177"/>
        <v>0</v>
      </c>
      <c r="AW399" s="31">
        <f t="shared" si="178"/>
        <v>0</v>
      </c>
      <c r="AX399" s="31">
        <f t="shared" si="179"/>
        <v>0.5</v>
      </c>
      <c r="AY399" s="255">
        <f t="shared" si="180"/>
        <v>0.42499999999999999</v>
      </c>
      <c r="AZ399" s="232">
        <f t="shared" si="181"/>
        <v>0</v>
      </c>
      <c r="BA399" s="255">
        <f t="shared" si="182"/>
        <v>0</v>
      </c>
      <c r="BB399" s="31">
        <f t="shared" si="183"/>
        <v>0</v>
      </c>
      <c r="BC399" s="255">
        <f t="shared" si="184"/>
        <v>0</v>
      </c>
      <c r="BD399" s="31">
        <f t="shared" si="185"/>
        <v>0</v>
      </c>
      <c r="BE399" s="255">
        <f t="shared" si="186"/>
        <v>0</v>
      </c>
      <c r="BF399" s="31">
        <f t="shared" si="187"/>
        <v>0</v>
      </c>
      <c r="BG399" s="255">
        <f t="shared" si="188"/>
        <v>0</v>
      </c>
      <c r="BH399" s="31">
        <f t="shared" si="189"/>
        <v>0</v>
      </c>
      <c r="BI399" s="255">
        <f t="shared" si="190"/>
        <v>0</v>
      </c>
      <c r="BJ399" s="31">
        <f t="shared" si="191"/>
        <v>0</v>
      </c>
      <c r="BK399" s="31">
        <f t="shared" si="192"/>
        <v>0</v>
      </c>
      <c r="BL399" s="255">
        <f t="shared" si="193"/>
        <v>0</v>
      </c>
      <c r="BM399" s="31">
        <f t="shared" si="194"/>
        <v>0</v>
      </c>
      <c r="BN399" s="255">
        <f t="shared" si="195"/>
        <v>0</v>
      </c>
    </row>
    <row r="400" spans="1:66" x14ac:dyDescent="0.25">
      <c r="A400" s="18" t="s">
        <v>1154</v>
      </c>
      <c r="B400" s="186" t="str">
        <f>VLOOKUP(A400,kurspris!$A$1:$B$877,2,FALSE)</f>
        <v>Etik, demokrati och det heterogena klassrummet, 7,5 hp</v>
      </c>
      <c r="C400" s="37"/>
      <c r="D400" s="31" t="s">
        <v>483</v>
      </c>
      <c r="E400" s="31" t="s">
        <v>1931</v>
      </c>
      <c r="F400" s="59" t="s">
        <v>1931</v>
      </c>
      <c r="G400" s="31" t="s">
        <v>2269</v>
      </c>
      <c r="J400" t="s">
        <v>771</v>
      </c>
      <c r="L400" s="31">
        <v>100</v>
      </c>
      <c r="M400" s="31">
        <v>7.5</v>
      </c>
      <c r="P400" s="31">
        <v>17</v>
      </c>
      <c r="Q400" s="232">
        <f t="shared" si="168"/>
        <v>2.125</v>
      </c>
      <c r="R400" s="40">
        <v>0.85</v>
      </c>
      <c r="S400" s="334">
        <f t="shared" si="169"/>
        <v>1.8062499999999999</v>
      </c>
      <c r="T400" s="31">
        <f>VLOOKUP(A400,'Ansvar kurs'!$A$1:$C$1010,2,FALSE)</f>
        <v>1630</v>
      </c>
      <c r="U400" s="31" t="str">
        <f>VLOOKUP(T400,Orgenheter!$A$1:$C$165,2,FALSE)</f>
        <v>Inst för ide- o samhällsstudier</v>
      </c>
      <c r="V400" s="31" t="str">
        <f>VLOOKUP(T400,Orgenheter!$A$1:$C$165,3,FALSE)</f>
        <v>Hum</v>
      </c>
      <c r="W400" s="37" t="str">
        <f>VLOOKUP(D400,Program!$A$1:$B$34,2,FALSE)</f>
        <v>Ämneslärarprogrammet - Gy</v>
      </c>
      <c r="X400" s="42">
        <f>VLOOKUP(A400,kurspris!$A$1:$Q$798,15,FALSE)</f>
        <v>23641</v>
      </c>
      <c r="Y400" s="42">
        <f>VLOOKUP(A400,kurspris!$A$1:$Q$798,16,FALSE)</f>
        <v>28786</v>
      </c>
      <c r="Z400" s="42">
        <f t="shared" si="170"/>
        <v>102231.83749999999</v>
      </c>
      <c r="AA400" s="42">
        <f>VLOOKUP(A400,kurspris!$A$1:$Q$798,17,FALSE)</f>
        <v>5800</v>
      </c>
      <c r="AB400" s="42">
        <f t="shared" si="171"/>
        <v>12325</v>
      </c>
      <c r="AC400" s="42">
        <f t="shared" si="172"/>
        <v>114556.83749999999</v>
      </c>
      <c r="AD400" s="31">
        <f>VLOOKUP($A400,kurspris!$A$1:$Q$835,3,FALSE)</f>
        <v>0</v>
      </c>
      <c r="AE400" s="31">
        <f>VLOOKUP($A400,kurspris!$A$1:$Q$835,4,FALSE)</f>
        <v>0</v>
      </c>
      <c r="AF400" s="31">
        <f>VLOOKUP($A400,kurspris!$A$1:$Q$835,5,FALSE)</f>
        <v>0</v>
      </c>
      <c r="AG400" s="31">
        <f>VLOOKUP($A400,kurspris!$A$1:$Q$835,6,FALSE)</f>
        <v>1</v>
      </c>
      <c r="AH400" s="31">
        <f>VLOOKUP($A400,kurspris!$A$1:$Q$835,7,FALSE)</f>
        <v>0</v>
      </c>
      <c r="AI400" s="31">
        <f>VLOOKUP($A400,kurspris!$A$1:$Q$835,8,FALSE)</f>
        <v>0</v>
      </c>
      <c r="AJ400" s="31">
        <f>VLOOKUP($A400,kurspris!$A$1:$Q$835,9,FALSE)</f>
        <v>0</v>
      </c>
      <c r="AK400" s="31">
        <f>VLOOKUP($A400,kurspris!$A$1:$Q$835,10,FALSE)</f>
        <v>0</v>
      </c>
      <c r="AL400" s="31">
        <f>VLOOKUP($A400,kurspris!$A$1:$Q$835,11,FALSE)</f>
        <v>0</v>
      </c>
      <c r="AM400" s="31">
        <f>VLOOKUP($A400,kurspris!$A$1:$Q$835,12,FALSE)</f>
        <v>0</v>
      </c>
      <c r="AN400" s="31">
        <f>VLOOKUP($A400,kurspris!$A$1:$Q$835,13,FALSE)</f>
        <v>0</v>
      </c>
      <c r="AO400" s="31">
        <f>VLOOKUP($A400,kurspris!$A$1:$Q$835,14,FALSE)</f>
        <v>0</v>
      </c>
      <c r="AP400" s="39" t="s">
        <v>2326</v>
      </c>
      <c r="AQ400"/>
      <c r="AR400" s="31">
        <f t="shared" si="173"/>
        <v>0</v>
      </c>
      <c r="AS400" s="255">
        <f t="shared" si="174"/>
        <v>0</v>
      </c>
      <c r="AT400" s="31">
        <f t="shared" si="175"/>
        <v>0</v>
      </c>
      <c r="AU400" s="255">
        <f t="shared" si="176"/>
        <v>0</v>
      </c>
      <c r="AV400" s="31">
        <f t="shared" si="177"/>
        <v>0</v>
      </c>
      <c r="AW400" s="31">
        <f t="shared" si="178"/>
        <v>0</v>
      </c>
      <c r="AX400" s="31">
        <f t="shared" si="179"/>
        <v>2.125</v>
      </c>
      <c r="AY400" s="255">
        <f t="shared" si="180"/>
        <v>1.8062499999999999</v>
      </c>
      <c r="AZ400" s="232">
        <f t="shared" si="181"/>
        <v>0</v>
      </c>
      <c r="BA400" s="255">
        <f t="shared" si="182"/>
        <v>0</v>
      </c>
      <c r="BB400" s="31">
        <f t="shared" si="183"/>
        <v>0</v>
      </c>
      <c r="BC400" s="255">
        <f t="shared" si="184"/>
        <v>0</v>
      </c>
      <c r="BD400" s="31">
        <f t="shared" si="185"/>
        <v>0</v>
      </c>
      <c r="BE400" s="255">
        <f t="shared" si="186"/>
        <v>0</v>
      </c>
      <c r="BF400" s="31">
        <f t="shared" si="187"/>
        <v>0</v>
      </c>
      <c r="BG400" s="255">
        <f t="shared" si="188"/>
        <v>0</v>
      </c>
      <c r="BH400" s="31">
        <f t="shared" si="189"/>
        <v>0</v>
      </c>
      <c r="BI400" s="255">
        <f t="shared" si="190"/>
        <v>0</v>
      </c>
      <c r="BJ400" s="31">
        <f t="shared" si="191"/>
        <v>0</v>
      </c>
      <c r="BK400" s="31">
        <f t="shared" si="192"/>
        <v>0</v>
      </c>
      <c r="BL400" s="255">
        <f t="shared" si="193"/>
        <v>0</v>
      </c>
      <c r="BM400" s="31">
        <f t="shared" si="194"/>
        <v>0</v>
      </c>
      <c r="BN400" s="255">
        <f t="shared" si="195"/>
        <v>0</v>
      </c>
    </row>
    <row r="401" spans="1:66" x14ac:dyDescent="0.25">
      <c r="A401" s="18" t="s">
        <v>1154</v>
      </c>
      <c r="B401" s="186" t="str">
        <f>VLOOKUP(A401,kurspris!$A$1:$B$877,2,FALSE)</f>
        <v>Etik, demokrati och det heterogena klassrummet, 7,5 hp</v>
      </c>
      <c r="C401" s="37"/>
      <c r="D401" s="31" t="s">
        <v>483</v>
      </c>
      <c r="E401" s="31" t="s">
        <v>1931</v>
      </c>
      <c r="F401" s="59" t="s">
        <v>1931</v>
      </c>
      <c r="G401" s="31" t="s">
        <v>2269</v>
      </c>
      <c r="J401" t="s">
        <v>1813</v>
      </c>
      <c r="L401" s="31">
        <v>100</v>
      </c>
      <c r="M401" s="31">
        <v>7.5</v>
      </c>
      <c r="P401" s="31">
        <v>7</v>
      </c>
      <c r="Q401" s="232">
        <f t="shared" si="168"/>
        <v>0.875</v>
      </c>
      <c r="R401" s="40">
        <v>0.85</v>
      </c>
      <c r="S401" s="334">
        <f t="shared" si="169"/>
        <v>0.74375000000000002</v>
      </c>
      <c r="T401" s="31">
        <f>VLOOKUP(A401,'Ansvar kurs'!$A$1:$C$1010,2,FALSE)</f>
        <v>1630</v>
      </c>
      <c r="U401" s="31" t="str">
        <f>VLOOKUP(T401,Orgenheter!$A$1:$C$165,2,FALSE)</f>
        <v>Inst för ide- o samhällsstudier</v>
      </c>
      <c r="V401" s="31" t="str">
        <f>VLOOKUP(T401,Orgenheter!$A$1:$C$165,3,FALSE)</f>
        <v>Hum</v>
      </c>
      <c r="W401" s="37" t="str">
        <f>VLOOKUP(D401,Program!$A$1:$B$34,2,FALSE)</f>
        <v>Ämneslärarprogrammet - Gy</v>
      </c>
      <c r="X401" s="42">
        <f>VLOOKUP(A401,kurspris!$A$1:$Q$798,15,FALSE)</f>
        <v>23641</v>
      </c>
      <c r="Y401" s="42">
        <f>VLOOKUP(A401,kurspris!$A$1:$Q$798,16,FALSE)</f>
        <v>28786</v>
      </c>
      <c r="Z401" s="42">
        <f t="shared" si="170"/>
        <v>42095.462500000001</v>
      </c>
      <c r="AA401" s="42">
        <f>VLOOKUP(A401,kurspris!$A$1:$Q$798,17,FALSE)</f>
        <v>5800</v>
      </c>
      <c r="AB401" s="42">
        <f t="shared" si="171"/>
        <v>5075</v>
      </c>
      <c r="AC401" s="42">
        <f t="shared" si="172"/>
        <v>47170.462500000001</v>
      </c>
      <c r="AD401" s="31">
        <f>VLOOKUP($A401,kurspris!$A$1:$Q$835,3,FALSE)</f>
        <v>0</v>
      </c>
      <c r="AE401" s="31">
        <f>VLOOKUP($A401,kurspris!$A$1:$Q$835,4,FALSE)</f>
        <v>0</v>
      </c>
      <c r="AF401" s="31">
        <f>VLOOKUP($A401,kurspris!$A$1:$Q$835,5,FALSE)</f>
        <v>0</v>
      </c>
      <c r="AG401" s="31">
        <f>VLOOKUP($A401,kurspris!$A$1:$Q$835,6,FALSE)</f>
        <v>1</v>
      </c>
      <c r="AH401" s="31">
        <f>VLOOKUP($A401,kurspris!$A$1:$Q$835,7,FALSE)</f>
        <v>0</v>
      </c>
      <c r="AI401" s="31">
        <f>VLOOKUP($A401,kurspris!$A$1:$Q$835,8,FALSE)</f>
        <v>0</v>
      </c>
      <c r="AJ401" s="31">
        <f>VLOOKUP($A401,kurspris!$A$1:$Q$835,9,FALSE)</f>
        <v>0</v>
      </c>
      <c r="AK401" s="31">
        <f>VLOOKUP($A401,kurspris!$A$1:$Q$835,10,FALSE)</f>
        <v>0</v>
      </c>
      <c r="AL401" s="31">
        <f>VLOOKUP($A401,kurspris!$A$1:$Q$835,11,FALSE)</f>
        <v>0</v>
      </c>
      <c r="AM401" s="31">
        <f>VLOOKUP($A401,kurspris!$A$1:$Q$835,12,FALSE)</f>
        <v>0</v>
      </c>
      <c r="AN401" s="31">
        <f>VLOOKUP($A401,kurspris!$A$1:$Q$835,13,FALSE)</f>
        <v>0</v>
      </c>
      <c r="AO401" s="31">
        <f>VLOOKUP($A401,kurspris!$A$1:$Q$835,14,FALSE)</f>
        <v>0</v>
      </c>
      <c r="AP401" s="39" t="s">
        <v>2326</v>
      </c>
      <c r="AQ401"/>
      <c r="AR401" s="31">
        <f t="shared" si="173"/>
        <v>0</v>
      </c>
      <c r="AS401" s="255">
        <f t="shared" si="174"/>
        <v>0</v>
      </c>
      <c r="AT401" s="31">
        <f t="shared" si="175"/>
        <v>0</v>
      </c>
      <c r="AU401" s="255">
        <f t="shared" si="176"/>
        <v>0</v>
      </c>
      <c r="AV401" s="31">
        <f t="shared" si="177"/>
        <v>0</v>
      </c>
      <c r="AW401" s="31">
        <f t="shared" si="178"/>
        <v>0</v>
      </c>
      <c r="AX401" s="31">
        <f t="shared" si="179"/>
        <v>0.875</v>
      </c>
      <c r="AY401" s="255">
        <f t="shared" si="180"/>
        <v>0.74375000000000002</v>
      </c>
      <c r="AZ401" s="232">
        <f t="shared" si="181"/>
        <v>0</v>
      </c>
      <c r="BA401" s="255">
        <f t="shared" si="182"/>
        <v>0</v>
      </c>
      <c r="BB401" s="31">
        <f t="shared" si="183"/>
        <v>0</v>
      </c>
      <c r="BC401" s="255">
        <f t="shared" si="184"/>
        <v>0</v>
      </c>
      <c r="BD401" s="31">
        <f t="shared" si="185"/>
        <v>0</v>
      </c>
      <c r="BE401" s="255">
        <f t="shared" si="186"/>
        <v>0</v>
      </c>
      <c r="BF401" s="31">
        <f t="shared" si="187"/>
        <v>0</v>
      </c>
      <c r="BG401" s="255">
        <f t="shared" si="188"/>
        <v>0</v>
      </c>
      <c r="BH401" s="31">
        <f t="shared" si="189"/>
        <v>0</v>
      </c>
      <c r="BI401" s="255">
        <f t="shared" si="190"/>
        <v>0</v>
      </c>
      <c r="BJ401" s="31">
        <f t="shared" si="191"/>
        <v>0</v>
      </c>
      <c r="BK401" s="31">
        <f t="shared" si="192"/>
        <v>0</v>
      </c>
      <c r="BL401" s="255">
        <f t="shared" si="193"/>
        <v>0</v>
      </c>
      <c r="BM401" s="31">
        <f t="shared" si="194"/>
        <v>0</v>
      </c>
      <c r="BN401" s="255">
        <f t="shared" si="195"/>
        <v>0</v>
      </c>
    </row>
    <row r="402" spans="1:66" x14ac:dyDescent="0.25">
      <c r="A402" s="18" t="s">
        <v>1154</v>
      </c>
      <c r="B402" s="186" t="str">
        <f>VLOOKUP(A402,kurspris!$A$1:$B$877,2,FALSE)</f>
        <v>Etik, demokrati och det heterogena klassrummet, 7,5 hp</v>
      </c>
      <c r="C402" s="37"/>
      <c r="D402" s="31" t="s">
        <v>483</v>
      </c>
      <c r="E402" s="31" t="s">
        <v>1931</v>
      </c>
      <c r="F402" s="59" t="s">
        <v>1931</v>
      </c>
      <c r="G402" s="31" t="s">
        <v>2269</v>
      </c>
      <c r="J402" t="s">
        <v>772</v>
      </c>
      <c r="L402" s="31">
        <v>100</v>
      </c>
      <c r="M402" s="31">
        <v>7.5</v>
      </c>
      <c r="P402" s="31">
        <v>29</v>
      </c>
      <c r="Q402" s="232">
        <f t="shared" si="168"/>
        <v>3.625</v>
      </c>
      <c r="R402" s="40">
        <v>0.85</v>
      </c>
      <c r="S402" s="334">
        <f t="shared" si="169"/>
        <v>3.0812499999999998</v>
      </c>
      <c r="T402" s="31">
        <f>VLOOKUP(A402,'Ansvar kurs'!$A$1:$C$1010,2,FALSE)</f>
        <v>1630</v>
      </c>
      <c r="U402" s="31" t="str">
        <f>VLOOKUP(T402,Orgenheter!$A$1:$C$165,2,FALSE)</f>
        <v>Inst för ide- o samhällsstudier</v>
      </c>
      <c r="V402" s="31" t="str">
        <f>VLOOKUP(T402,Orgenheter!$A$1:$C$165,3,FALSE)</f>
        <v>Hum</v>
      </c>
      <c r="W402" s="37" t="str">
        <f>VLOOKUP(D402,Program!$A$1:$B$34,2,FALSE)</f>
        <v>Ämneslärarprogrammet - Gy</v>
      </c>
      <c r="X402" s="42">
        <f>VLOOKUP(A402,kurspris!$A$1:$Q$798,15,FALSE)</f>
        <v>23641</v>
      </c>
      <c r="Y402" s="42">
        <f>VLOOKUP(A402,kurspris!$A$1:$Q$798,16,FALSE)</f>
        <v>28786</v>
      </c>
      <c r="Z402" s="42">
        <f t="shared" si="170"/>
        <v>174395.48749999999</v>
      </c>
      <c r="AA402" s="42">
        <f>VLOOKUP(A402,kurspris!$A$1:$Q$798,17,FALSE)</f>
        <v>5800</v>
      </c>
      <c r="AB402" s="42">
        <f t="shared" si="171"/>
        <v>21025</v>
      </c>
      <c r="AC402" s="42">
        <f t="shared" si="172"/>
        <v>195420.48749999999</v>
      </c>
      <c r="AD402" s="31">
        <f>VLOOKUP($A402,kurspris!$A$1:$Q$835,3,FALSE)</f>
        <v>0</v>
      </c>
      <c r="AE402" s="31">
        <f>VLOOKUP($A402,kurspris!$A$1:$Q$835,4,FALSE)</f>
        <v>0</v>
      </c>
      <c r="AF402" s="31">
        <f>VLOOKUP($A402,kurspris!$A$1:$Q$835,5,FALSE)</f>
        <v>0</v>
      </c>
      <c r="AG402" s="31">
        <f>VLOOKUP($A402,kurspris!$A$1:$Q$835,6,FALSE)</f>
        <v>1</v>
      </c>
      <c r="AH402" s="31">
        <f>VLOOKUP($A402,kurspris!$A$1:$Q$835,7,FALSE)</f>
        <v>0</v>
      </c>
      <c r="AI402" s="31">
        <f>VLOOKUP($A402,kurspris!$A$1:$Q$835,8,FALSE)</f>
        <v>0</v>
      </c>
      <c r="AJ402" s="31">
        <f>VLOOKUP($A402,kurspris!$A$1:$Q$835,9,FALSE)</f>
        <v>0</v>
      </c>
      <c r="AK402" s="31">
        <f>VLOOKUP($A402,kurspris!$A$1:$Q$835,10,FALSE)</f>
        <v>0</v>
      </c>
      <c r="AL402" s="31">
        <f>VLOOKUP($A402,kurspris!$A$1:$Q$835,11,FALSE)</f>
        <v>0</v>
      </c>
      <c r="AM402" s="31">
        <f>VLOOKUP($A402,kurspris!$A$1:$Q$835,12,FALSE)</f>
        <v>0</v>
      </c>
      <c r="AN402" s="31">
        <f>VLOOKUP($A402,kurspris!$A$1:$Q$835,13,FALSE)</f>
        <v>0</v>
      </c>
      <c r="AO402" s="31">
        <f>VLOOKUP($A402,kurspris!$A$1:$Q$835,14,FALSE)</f>
        <v>0</v>
      </c>
      <c r="AP402" s="39" t="s">
        <v>2326</v>
      </c>
      <c r="AQ402"/>
      <c r="AR402" s="31">
        <f t="shared" si="173"/>
        <v>0</v>
      </c>
      <c r="AS402" s="255">
        <f t="shared" si="174"/>
        <v>0</v>
      </c>
      <c r="AT402" s="31">
        <f t="shared" si="175"/>
        <v>0</v>
      </c>
      <c r="AU402" s="255">
        <f t="shared" si="176"/>
        <v>0</v>
      </c>
      <c r="AV402" s="31">
        <f t="shared" si="177"/>
        <v>0</v>
      </c>
      <c r="AW402" s="31">
        <f t="shared" si="178"/>
        <v>0</v>
      </c>
      <c r="AX402" s="31">
        <f t="shared" si="179"/>
        <v>3.625</v>
      </c>
      <c r="AY402" s="255">
        <f t="shared" si="180"/>
        <v>3.0812499999999998</v>
      </c>
      <c r="AZ402" s="232">
        <f t="shared" si="181"/>
        <v>0</v>
      </c>
      <c r="BA402" s="255">
        <f t="shared" si="182"/>
        <v>0</v>
      </c>
      <c r="BB402" s="31">
        <f t="shared" si="183"/>
        <v>0</v>
      </c>
      <c r="BC402" s="255">
        <f t="shared" si="184"/>
        <v>0</v>
      </c>
      <c r="BD402" s="31">
        <f t="shared" si="185"/>
        <v>0</v>
      </c>
      <c r="BE402" s="255">
        <f t="shared" si="186"/>
        <v>0</v>
      </c>
      <c r="BF402" s="31">
        <f t="shared" si="187"/>
        <v>0</v>
      </c>
      <c r="BG402" s="255">
        <f t="shared" si="188"/>
        <v>0</v>
      </c>
      <c r="BH402" s="31">
        <f t="shared" si="189"/>
        <v>0</v>
      </c>
      <c r="BI402" s="255">
        <f t="shared" si="190"/>
        <v>0</v>
      </c>
      <c r="BJ402" s="31">
        <f t="shared" si="191"/>
        <v>0</v>
      </c>
      <c r="BK402" s="31">
        <f t="shared" si="192"/>
        <v>0</v>
      </c>
      <c r="BL402" s="255">
        <f t="shared" si="193"/>
        <v>0</v>
      </c>
      <c r="BM402" s="31">
        <f t="shared" si="194"/>
        <v>0</v>
      </c>
      <c r="BN402" s="255">
        <f t="shared" si="195"/>
        <v>0</v>
      </c>
    </row>
    <row r="403" spans="1:66" x14ac:dyDescent="0.25">
      <c r="A403" s="18" t="s">
        <v>1154</v>
      </c>
      <c r="B403" s="186" t="str">
        <f>VLOOKUP(A403,kurspris!$A$1:$B$877,2,FALSE)</f>
        <v>Etik, demokrati och det heterogena klassrummet, 7,5 hp</v>
      </c>
      <c r="C403" s="37"/>
      <c r="D403" s="31" t="s">
        <v>483</v>
      </c>
      <c r="E403" s="31" t="s">
        <v>1931</v>
      </c>
      <c r="F403" s="59" t="s">
        <v>1931</v>
      </c>
      <c r="G403" s="31" t="s">
        <v>2269</v>
      </c>
      <c r="J403" t="s">
        <v>773</v>
      </c>
      <c r="L403" s="31">
        <v>100</v>
      </c>
      <c r="M403" s="31">
        <v>7.5</v>
      </c>
      <c r="P403" s="31">
        <v>21</v>
      </c>
      <c r="Q403" s="232">
        <f t="shared" si="168"/>
        <v>2.625</v>
      </c>
      <c r="R403" s="40">
        <v>0.85</v>
      </c>
      <c r="S403" s="334">
        <f t="shared" si="169"/>
        <v>2.2312499999999997</v>
      </c>
      <c r="T403" s="31">
        <f>VLOOKUP(A403,'Ansvar kurs'!$A$1:$C$1010,2,FALSE)</f>
        <v>1630</v>
      </c>
      <c r="U403" s="31" t="str">
        <f>VLOOKUP(T403,Orgenheter!$A$1:$C$165,2,FALSE)</f>
        <v>Inst för ide- o samhällsstudier</v>
      </c>
      <c r="V403" s="31" t="str">
        <f>VLOOKUP(T403,Orgenheter!$A$1:$C$165,3,FALSE)</f>
        <v>Hum</v>
      </c>
      <c r="W403" s="37" t="str">
        <f>VLOOKUP(D403,Program!$A$1:$B$34,2,FALSE)</f>
        <v>Ämneslärarprogrammet - Gy</v>
      </c>
      <c r="X403" s="42">
        <f>VLOOKUP(A403,kurspris!$A$1:$Q$798,15,FALSE)</f>
        <v>23641</v>
      </c>
      <c r="Y403" s="42">
        <f>VLOOKUP(A403,kurspris!$A$1:$Q$798,16,FALSE)</f>
        <v>28786</v>
      </c>
      <c r="Z403" s="42">
        <f t="shared" si="170"/>
        <v>126286.38749999998</v>
      </c>
      <c r="AA403" s="42">
        <f>VLOOKUP(A403,kurspris!$A$1:$Q$798,17,FALSE)</f>
        <v>5800</v>
      </c>
      <c r="AB403" s="42">
        <f t="shared" si="171"/>
        <v>15225</v>
      </c>
      <c r="AC403" s="42">
        <f t="shared" si="172"/>
        <v>141511.38749999998</v>
      </c>
      <c r="AD403" s="31">
        <f>VLOOKUP($A403,kurspris!$A$1:$Q$835,3,FALSE)</f>
        <v>0</v>
      </c>
      <c r="AE403" s="31">
        <f>VLOOKUP($A403,kurspris!$A$1:$Q$835,4,FALSE)</f>
        <v>0</v>
      </c>
      <c r="AF403" s="31">
        <f>VLOOKUP($A403,kurspris!$A$1:$Q$835,5,FALSE)</f>
        <v>0</v>
      </c>
      <c r="AG403" s="31">
        <f>VLOOKUP($A403,kurspris!$A$1:$Q$835,6,FALSE)</f>
        <v>1</v>
      </c>
      <c r="AH403" s="31">
        <f>VLOOKUP($A403,kurspris!$A$1:$Q$835,7,FALSE)</f>
        <v>0</v>
      </c>
      <c r="AI403" s="31">
        <f>VLOOKUP($A403,kurspris!$A$1:$Q$835,8,FALSE)</f>
        <v>0</v>
      </c>
      <c r="AJ403" s="31">
        <f>VLOOKUP($A403,kurspris!$A$1:$Q$835,9,FALSE)</f>
        <v>0</v>
      </c>
      <c r="AK403" s="31">
        <f>VLOOKUP($A403,kurspris!$A$1:$Q$835,10,FALSE)</f>
        <v>0</v>
      </c>
      <c r="AL403" s="31">
        <f>VLOOKUP($A403,kurspris!$A$1:$Q$835,11,FALSE)</f>
        <v>0</v>
      </c>
      <c r="AM403" s="31">
        <f>VLOOKUP($A403,kurspris!$A$1:$Q$835,12,FALSE)</f>
        <v>0</v>
      </c>
      <c r="AN403" s="31">
        <f>VLOOKUP($A403,kurspris!$A$1:$Q$835,13,FALSE)</f>
        <v>0</v>
      </c>
      <c r="AO403" s="31">
        <f>VLOOKUP($A403,kurspris!$A$1:$Q$835,14,FALSE)</f>
        <v>0</v>
      </c>
      <c r="AP403" s="39" t="s">
        <v>2326</v>
      </c>
      <c r="AQ403"/>
      <c r="AR403" s="31">
        <f t="shared" si="173"/>
        <v>0</v>
      </c>
      <c r="AS403" s="255">
        <f t="shared" si="174"/>
        <v>0</v>
      </c>
      <c r="AT403" s="31">
        <f t="shared" si="175"/>
        <v>0</v>
      </c>
      <c r="AU403" s="255">
        <f t="shared" si="176"/>
        <v>0</v>
      </c>
      <c r="AV403" s="31">
        <f t="shared" si="177"/>
        <v>0</v>
      </c>
      <c r="AW403" s="31">
        <f t="shared" si="178"/>
        <v>0</v>
      </c>
      <c r="AX403" s="31">
        <f t="shared" si="179"/>
        <v>2.625</v>
      </c>
      <c r="AY403" s="255">
        <f t="shared" si="180"/>
        <v>2.2312499999999997</v>
      </c>
      <c r="AZ403" s="232">
        <f t="shared" si="181"/>
        <v>0</v>
      </c>
      <c r="BA403" s="255">
        <f t="shared" si="182"/>
        <v>0</v>
      </c>
      <c r="BB403" s="31">
        <f t="shared" si="183"/>
        <v>0</v>
      </c>
      <c r="BC403" s="255">
        <f t="shared" si="184"/>
        <v>0</v>
      </c>
      <c r="BD403" s="31">
        <f t="shared" si="185"/>
        <v>0</v>
      </c>
      <c r="BE403" s="255">
        <f t="shared" si="186"/>
        <v>0</v>
      </c>
      <c r="BF403" s="31">
        <f t="shared" si="187"/>
        <v>0</v>
      </c>
      <c r="BG403" s="255">
        <f t="shared" si="188"/>
        <v>0</v>
      </c>
      <c r="BH403" s="31">
        <f t="shared" si="189"/>
        <v>0</v>
      </c>
      <c r="BI403" s="255">
        <f t="shared" si="190"/>
        <v>0</v>
      </c>
      <c r="BJ403" s="31">
        <f t="shared" si="191"/>
        <v>0</v>
      </c>
      <c r="BK403" s="31">
        <f t="shared" si="192"/>
        <v>0</v>
      </c>
      <c r="BL403" s="255">
        <f t="shared" si="193"/>
        <v>0</v>
      </c>
      <c r="BM403" s="31">
        <f t="shared" si="194"/>
        <v>0</v>
      </c>
      <c r="BN403" s="255">
        <f t="shared" si="195"/>
        <v>0</v>
      </c>
    </row>
    <row r="404" spans="1:66" x14ac:dyDescent="0.25">
      <c r="A404" s="18" t="s">
        <v>1154</v>
      </c>
      <c r="B404" s="186" t="str">
        <f>VLOOKUP(A404,kurspris!$A$1:$B$877,2,FALSE)</f>
        <v>Etik, demokrati och det heterogena klassrummet, 7,5 hp</v>
      </c>
      <c r="C404" s="37"/>
      <c r="D404" s="31" t="s">
        <v>483</v>
      </c>
      <c r="E404" s="31" t="s">
        <v>1931</v>
      </c>
      <c r="F404" s="59" t="s">
        <v>1931</v>
      </c>
      <c r="G404" s="31" t="s">
        <v>2269</v>
      </c>
      <c r="J404" t="s">
        <v>774</v>
      </c>
      <c r="L404" s="31">
        <v>100</v>
      </c>
      <c r="M404" s="31">
        <v>7.5</v>
      </c>
      <c r="P404" s="31">
        <v>18</v>
      </c>
      <c r="Q404" s="232">
        <f t="shared" si="168"/>
        <v>2.25</v>
      </c>
      <c r="R404" s="40">
        <v>0.85</v>
      </c>
      <c r="S404" s="334">
        <f t="shared" si="169"/>
        <v>1.9124999999999999</v>
      </c>
      <c r="T404" s="31">
        <f>VLOOKUP(A404,'Ansvar kurs'!$A$1:$C$1010,2,FALSE)</f>
        <v>1630</v>
      </c>
      <c r="U404" s="31" t="str">
        <f>VLOOKUP(T404,Orgenheter!$A$1:$C$165,2,FALSE)</f>
        <v>Inst för ide- o samhällsstudier</v>
      </c>
      <c r="V404" s="31" t="str">
        <f>VLOOKUP(T404,Orgenheter!$A$1:$C$165,3,FALSE)</f>
        <v>Hum</v>
      </c>
      <c r="W404" s="37" t="str">
        <f>VLOOKUP(D404,Program!$A$1:$B$34,2,FALSE)</f>
        <v>Ämneslärarprogrammet - Gy</v>
      </c>
      <c r="X404" s="42">
        <f>VLOOKUP(A404,kurspris!$A$1:$Q$798,15,FALSE)</f>
        <v>23641</v>
      </c>
      <c r="Y404" s="42">
        <f>VLOOKUP(A404,kurspris!$A$1:$Q$798,16,FALSE)</f>
        <v>28786</v>
      </c>
      <c r="Z404" s="42">
        <f t="shared" si="170"/>
        <v>108245.47500000001</v>
      </c>
      <c r="AA404" s="42">
        <f>VLOOKUP(A404,kurspris!$A$1:$Q$798,17,FALSE)</f>
        <v>5800</v>
      </c>
      <c r="AB404" s="42">
        <f t="shared" si="171"/>
        <v>13050</v>
      </c>
      <c r="AC404" s="42">
        <f t="shared" si="172"/>
        <v>121295.47500000001</v>
      </c>
      <c r="AD404" s="31">
        <f>VLOOKUP($A404,kurspris!$A$1:$Q$835,3,FALSE)</f>
        <v>0</v>
      </c>
      <c r="AE404" s="31">
        <f>VLOOKUP($A404,kurspris!$A$1:$Q$835,4,FALSE)</f>
        <v>0</v>
      </c>
      <c r="AF404" s="31">
        <f>VLOOKUP($A404,kurspris!$A$1:$Q$835,5,FALSE)</f>
        <v>0</v>
      </c>
      <c r="AG404" s="31">
        <f>VLOOKUP($A404,kurspris!$A$1:$Q$835,6,FALSE)</f>
        <v>1</v>
      </c>
      <c r="AH404" s="31">
        <f>VLOOKUP($A404,kurspris!$A$1:$Q$835,7,FALSE)</f>
        <v>0</v>
      </c>
      <c r="AI404" s="31">
        <f>VLOOKUP($A404,kurspris!$A$1:$Q$835,8,FALSE)</f>
        <v>0</v>
      </c>
      <c r="AJ404" s="31">
        <f>VLOOKUP($A404,kurspris!$A$1:$Q$835,9,FALSE)</f>
        <v>0</v>
      </c>
      <c r="AK404" s="31">
        <f>VLOOKUP($A404,kurspris!$A$1:$Q$835,10,FALSE)</f>
        <v>0</v>
      </c>
      <c r="AL404" s="31">
        <f>VLOOKUP($A404,kurspris!$A$1:$Q$835,11,FALSE)</f>
        <v>0</v>
      </c>
      <c r="AM404" s="31">
        <f>VLOOKUP($A404,kurspris!$A$1:$Q$835,12,FALSE)</f>
        <v>0</v>
      </c>
      <c r="AN404" s="31">
        <f>VLOOKUP($A404,kurspris!$A$1:$Q$835,13,FALSE)</f>
        <v>0</v>
      </c>
      <c r="AO404" s="31">
        <f>VLOOKUP($A404,kurspris!$A$1:$Q$835,14,FALSE)</f>
        <v>0</v>
      </c>
      <c r="AP404" s="39" t="s">
        <v>2326</v>
      </c>
      <c r="AQ404"/>
      <c r="AR404" s="31">
        <f t="shared" si="173"/>
        <v>0</v>
      </c>
      <c r="AS404" s="255">
        <f t="shared" si="174"/>
        <v>0</v>
      </c>
      <c r="AT404" s="31">
        <f t="shared" si="175"/>
        <v>0</v>
      </c>
      <c r="AU404" s="255">
        <f t="shared" si="176"/>
        <v>0</v>
      </c>
      <c r="AV404" s="31">
        <f t="shared" si="177"/>
        <v>0</v>
      </c>
      <c r="AW404" s="31">
        <f t="shared" si="178"/>
        <v>0</v>
      </c>
      <c r="AX404" s="31">
        <f t="shared" si="179"/>
        <v>2.25</v>
      </c>
      <c r="AY404" s="255">
        <f t="shared" si="180"/>
        <v>1.9124999999999999</v>
      </c>
      <c r="AZ404" s="232">
        <f t="shared" si="181"/>
        <v>0</v>
      </c>
      <c r="BA404" s="255">
        <f t="shared" si="182"/>
        <v>0</v>
      </c>
      <c r="BB404" s="31">
        <f t="shared" si="183"/>
        <v>0</v>
      </c>
      <c r="BC404" s="255">
        <f t="shared" si="184"/>
        <v>0</v>
      </c>
      <c r="BD404" s="31">
        <f t="shared" si="185"/>
        <v>0</v>
      </c>
      <c r="BE404" s="255">
        <f t="shared" si="186"/>
        <v>0</v>
      </c>
      <c r="BF404" s="31">
        <f t="shared" si="187"/>
        <v>0</v>
      </c>
      <c r="BG404" s="255">
        <f t="shared" si="188"/>
        <v>0</v>
      </c>
      <c r="BH404" s="31">
        <f t="shared" si="189"/>
        <v>0</v>
      </c>
      <c r="BI404" s="255">
        <f t="shared" si="190"/>
        <v>0</v>
      </c>
      <c r="BJ404" s="31">
        <f t="shared" si="191"/>
        <v>0</v>
      </c>
      <c r="BK404" s="31">
        <f t="shared" si="192"/>
        <v>0</v>
      </c>
      <c r="BL404" s="255">
        <f t="shared" si="193"/>
        <v>0</v>
      </c>
      <c r="BM404" s="31">
        <f t="shared" si="194"/>
        <v>0</v>
      </c>
      <c r="BN404" s="255">
        <f t="shared" si="195"/>
        <v>0</v>
      </c>
    </row>
    <row r="405" spans="1:66" x14ac:dyDescent="0.25">
      <c r="A405" s="18" t="s">
        <v>1154</v>
      </c>
      <c r="B405" s="186" t="str">
        <f>VLOOKUP(A405,kurspris!$A$1:$B$877,2,FALSE)</f>
        <v>Etik, demokrati och det heterogena klassrummet, 7,5 hp</v>
      </c>
      <c r="C405" s="37"/>
      <c r="D405" s="31" t="s">
        <v>483</v>
      </c>
      <c r="E405" s="31" t="s">
        <v>1931</v>
      </c>
      <c r="F405" s="59" t="s">
        <v>1931</v>
      </c>
      <c r="G405" s="31" t="s">
        <v>2269</v>
      </c>
      <c r="J405" t="s">
        <v>1594</v>
      </c>
      <c r="L405" s="31">
        <v>100</v>
      </c>
      <c r="M405" s="31">
        <v>7.5</v>
      </c>
      <c r="P405" s="31">
        <v>1</v>
      </c>
      <c r="Q405" s="232">
        <f t="shared" si="168"/>
        <v>0.125</v>
      </c>
      <c r="R405" s="40">
        <v>0.85</v>
      </c>
      <c r="S405" s="334">
        <f t="shared" si="169"/>
        <v>0.10625</v>
      </c>
      <c r="T405" s="31">
        <f>VLOOKUP(A405,'Ansvar kurs'!$A$1:$C$1010,2,FALSE)</f>
        <v>1630</v>
      </c>
      <c r="U405" s="31" t="str">
        <f>VLOOKUP(T405,Orgenheter!$A$1:$C$165,2,FALSE)</f>
        <v>Inst för ide- o samhällsstudier</v>
      </c>
      <c r="V405" s="31" t="str">
        <f>VLOOKUP(T405,Orgenheter!$A$1:$C$165,3,FALSE)</f>
        <v>Hum</v>
      </c>
      <c r="W405" s="37" t="str">
        <f>VLOOKUP(D405,Program!$A$1:$B$34,2,FALSE)</f>
        <v>Ämneslärarprogrammet - Gy</v>
      </c>
      <c r="X405" s="42">
        <f>VLOOKUP(A405,kurspris!$A$1:$Q$798,15,FALSE)</f>
        <v>23641</v>
      </c>
      <c r="Y405" s="42">
        <f>VLOOKUP(A405,kurspris!$A$1:$Q$798,16,FALSE)</f>
        <v>28786</v>
      </c>
      <c r="Z405" s="42">
        <f t="shared" si="170"/>
        <v>6013.6374999999998</v>
      </c>
      <c r="AA405" s="42">
        <f>VLOOKUP(A405,kurspris!$A$1:$Q$798,17,FALSE)</f>
        <v>5800</v>
      </c>
      <c r="AB405" s="42">
        <f t="shared" si="171"/>
        <v>725</v>
      </c>
      <c r="AC405" s="42">
        <f t="shared" si="172"/>
        <v>6738.6374999999998</v>
      </c>
      <c r="AD405" s="31">
        <f>VLOOKUP($A405,kurspris!$A$1:$Q$835,3,FALSE)</f>
        <v>0</v>
      </c>
      <c r="AE405" s="31">
        <f>VLOOKUP($A405,kurspris!$A$1:$Q$835,4,FALSE)</f>
        <v>0</v>
      </c>
      <c r="AF405" s="31">
        <f>VLOOKUP($A405,kurspris!$A$1:$Q$835,5,FALSE)</f>
        <v>0</v>
      </c>
      <c r="AG405" s="31">
        <f>VLOOKUP($A405,kurspris!$A$1:$Q$835,6,FALSE)</f>
        <v>1</v>
      </c>
      <c r="AH405" s="31">
        <f>VLOOKUP($A405,kurspris!$A$1:$Q$835,7,FALSE)</f>
        <v>0</v>
      </c>
      <c r="AI405" s="31">
        <f>VLOOKUP($A405,kurspris!$A$1:$Q$835,8,FALSE)</f>
        <v>0</v>
      </c>
      <c r="AJ405" s="31">
        <f>VLOOKUP($A405,kurspris!$A$1:$Q$835,9,FALSE)</f>
        <v>0</v>
      </c>
      <c r="AK405" s="31">
        <f>VLOOKUP($A405,kurspris!$A$1:$Q$835,10,FALSE)</f>
        <v>0</v>
      </c>
      <c r="AL405" s="31">
        <f>VLOOKUP($A405,kurspris!$A$1:$Q$835,11,FALSE)</f>
        <v>0</v>
      </c>
      <c r="AM405" s="31">
        <f>VLOOKUP($A405,kurspris!$A$1:$Q$835,12,FALSE)</f>
        <v>0</v>
      </c>
      <c r="AN405" s="31">
        <f>VLOOKUP($A405,kurspris!$A$1:$Q$835,13,FALSE)</f>
        <v>0</v>
      </c>
      <c r="AO405" s="31">
        <f>VLOOKUP($A405,kurspris!$A$1:$Q$835,14,FALSE)</f>
        <v>0</v>
      </c>
      <c r="AP405" s="39" t="s">
        <v>2326</v>
      </c>
      <c r="AQ405"/>
      <c r="AR405" s="31">
        <f t="shared" si="173"/>
        <v>0</v>
      </c>
      <c r="AS405" s="255">
        <f t="shared" si="174"/>
        <v>0</v>
      </c>
      <c r="AT405" s="31">
        <f t="shared" si="175"/>
        <v>0</v>
      </c>
      <c r="AU405" s="255">
        <f t="shared" si="176"/>
        <v>0</v>
      </c>
      <c r="AV405" s="31">
        <f t="shared" si="177"/>
        <v>0</v>
      </c>
      <c r="AW405" s="31">
        <f t="shared" si="178"/>
        <v>0</v>
      </c>
      <c r="AX405" s="31">
        <f t="shared" si="179"/>
        <v>0.125</v>
      </c>
      <c r="AY405" s="255">
        <f t="shared" si="180"/>
        <v>0.10625</v>
      </c>
      <c r="AZ405" s="232">
        <f t="shared" si="181"/>
        <v>0</v>
      </c>
      <c r="BA405" s="255">
        <f t="shared" si="182"/>
        <v>0</v>
      </c>
      <c r="BB405" s="31">
        <f t="shared" si="183"/>
        <v>0</v>
      </c>
      <c r="BC405" s="255">
        <f t="shared" si="184"/>
        <v>0</v>
      </c>
      <c r="BD405" s="31">
        <f t="shared" si="185"/>
        <v>0</v>
      </c>
      <c r="BE405" s="255">
        <f t="shared" si="186"/>
        <v>0</v>
      </c>
      <c r="BF405" s="31">
        <f t="shared" si="187"/>
        <v>0</v>
      </c>
      <c r="BG405" s="255">
        <f t="shared" si="188"/>
        <v>0</v>
      </c>
      <c r="BH405" s="31">
        <f t="shared" si="189"/>
        <v>0</v>
      </c>
      <c r="BI405" s="255">
        <f t="shared" si="190"/>
        <v>0</v>
      </c>
      <c r="BJ405" s="31">
        <f t="shared" si="191"/>
        <v>0</v>
      </c>
      <c r="BK405" s="31">
        <f t="shared" si="192"/>
        <v>0</v>
      </c>
      <c r="BL405" s="255">
        <f t="shared" si="193"/>
        <v>0</v>
      </c>
      <c r="BM405" s="31">
        <f t="shared" si="194"/>
        <v>0</v>
      </c>
      <c r="BN405" s="255">
        <f t="shared" si="195"/>
        <v>0</v>
      </c>
    </row>
    <row r="406" spans="1:66" x14ac:dyDescent="0.25">
      <c r="A406" s="18" t="s">
        <v>1154</v>
      </c>
      <c r="B406" s="186" t="str">
        <f>VLOOKUP(A406,kurspris!$A$1:$B$877,2,FALSE)</f>
        <v>Etik, demokrati och det heterogena klassrummet, 7,5 hp</v>
      </c>
      <c r="C406" s="37"/>
      <c r="D406" s="31" t="s">
        <v>483</v>
      </c>
      <c r="E406" s="31" t="s">
        <v>1931</v>
      </c>
      <c r="F406" s="59" t="s">
        <v>1931</v>
      </c>
      <c r="G406" s="31" t="s">
        <v>2269</v>
      </c>
      <c r="J406" t="s">
        <v>776</v>
      </c>
      <c r="L406" s="31">
        <v>100</v>
      </c>
      <c r="M406" s="31">
        <v>7.5</v>
      </c>
      <c r="P406" s="31">
        <v>8</v>
      </c>
      <c r="Q406" s="232">
        <f t="shared" si="168"/>
        <v>1</v>
      </c>
      <c r="R406" s="40">
        <v>0.85</v>
      </c>
      <c r="S406" s="334">
        <f t="shared" si="169"/>
        <v>0.85</v>
      </c>
      <c r="T406" s="31">
        <f>VLOOKUP(A406,'Ansvar kurs'!$A$1:$C$1010,2,FALSE)</f>
        <v>1630</v>
      </c>
      <c r="U406" s="31" t="str">
        <f>VLOOKUP(T406,Orgenheter!$A$1:$C$165,2,FALSE)</f>
        <v>Inst för ide- o samhällsstudier</v>
      </c>
      <c r="V406" s="31" t="str">
        <f>VLOOKUP(T406,Orgenheter!$A$1:$C$165,3,FALSE)</f>
        <v>Hum</v>
      </c>
      <c r="W406" s="37" t="str">
        <f>VLOOKUP(D406,Program!$A$1:$B$34,2,FALSE)</f>
        <v>Ämneslärarprogrammet - Gy</v>
      </c>
      <c r="X406" s="42">
        <f>VLOOKUP(A406,kurspris!$A$1:$Q$798,15,FALSE)</f>
        <v>23641</v>
      </c>
      <c r="Y406" s="42">
        <f>VLOOKUP(A406,kurspris!$A$1:$Q$798,16,FALSE)</f>
        <v>28786</v>
      </c>
      <c r="Z406" s="42">
        <f t="shared" si="170"/>
        <v>48109.1</v>
      </c>
      <c r="AA406" s="42">
        <f>VLOOKUP(A406,kurspris!$A$1:$Q$798,17,FALSE)</f>
        <v>5800</v>
      </c>
      <c r="AB406" s="42">
        <f t="shared" si="171"/>
        <v>5800</v>
      </c>
      <c r="AC406" s="42">
        <f t="shared" si="172"/>
        <v>53909.1</v>
      </c>
      <c r="AD406" s="31">
        <f>VLOOKUP($A406,kurspris!$A$1:$Q$835,3,FALSE)</f>
        <v>0</v>
      </c>
      <c r="AE406" s="31">
        <f>VLOOKUP($A406,kurspris!$A$1:$Q$835,4,FALSE)</f>
        <v>0</v>
      </c>
      <c r="AF406" s="31">
        <f>VLOOKUP($A406,kurspris!$A$1:$Q$835,5,FALSE)</f>
        <v>0</v>
      </c>
      <c r="AG406" s="31">
        <f>VLOOKUP($A406,kurspris!$A$1:$Q$835,6,FALSE)</f>
        <v>1</v>
      </c>
      <c r="AH406" s="31">
        <f>VLOOKUP($A406,kurspris!$A$1:$Q$835,7,FALSE)</f>
        <v>0</v>
      </c>
      <c r="AI406" s="31">
        <f>VLOOKUP($A406,kurspris!$A$1:$Q$835,8,FALSE)</f>
        <v>0</v>
      </c>
      <c r="AJ406" s="31">
        <f>VLOOKUP($A406,kurspris!$A$1:$Q$835,9,FALSE)</f>
        <v>0</v>
      </c>
      <c r="AK406" s="31">
        <f>VLOOKUP($A406,kurspris!$A$1:$Q$835,10,FALSE)</f>
        <v>0</v>
      </c>
      <c r="AL406" s="31">
        <f>VLOOKUP($A406,kurspris!$A$1:$Q$835,11,FALSE)</f>
        <v>0</v>
      </c>
      <c r="AM406" s="31">
        <f>VLOOKUP($A406,kurspris!$A$1:$Q$835,12,FALSE)</f>
        <v>0</v>
      </c>
      <c r="AN406" s="31">
        <f>VLOOKUP($A406,kurspris!$A$1:$Q$835,13,FALSE)</f>
        <v>0</v>
      </c>
      <c r="AO406" s="31">
        <f>VLOOKUP($A406,kurspris!$A$1:$Q$835,14,FALSE)</f>
        <v>0</v>
      </c>
      <c r="AP406" s="39" t="s">
        <v>2326</v>
      </c>
      <c r="AQ406"/>
      <c r="AR406" s="31">
        <f t="shared" si="173"/>
        <v>0</v>
      </c>
      <c r="AS406" s="255">
        <f t="shared" si="174"/>
        <v>0</v>
      </c>
      <c r="AT406" s="31">
        <f t="shared" si="175"/>
        <v>0</v>
      </c>
      <c r="AU406" s="255">
        <f t="shared" si="176"/>
        <v>0</v>
      </c>
      <c r="AV406" s="31">
        <f t="shared" si="177"/>
        <v>0</v>
      </c>
      <c r="AW406" s="31">
        <f t="shared" si="178"/>
        <v>0</v>
      </c>
      <c r="AX406" s="31">
        <f t="shared" si="179"/>
        <v>1</v>
      </c>
      <c r="AY406" s="255">
        <f t="shared" si="180"/>
        <v>0.85</v>
      </c>
      <c r="AZ406" s="232">
        <f t="shared" si="181"/>
        <v>0</v>
      </c>
      <c r="BA406" s="255">
        <f t="shared" si="182"/>
        <v>0</v>
      </c>
      <c r="BB406" s="31">
        <f t="shared" si="183"/>
        <v>0</v>
      </c>
      <c r="BC406" s="255">
        <f t="shared" si="184"/>
        <v>0</v>
      </c>
      <c r="BD406" s="31">
        <f t="shared" si="185"/>
        <v>0</v>
      </c>
      <c r="BE406" s="255">
        <f t="shared" si="186"/>
        <v>0</v>
      </c>
      <c r="BF406" s="31">
        <f t="shared" si="187"/>
        <v>0</v>
      </c>
      <c r="BG406" s="255">
        <f t="shared" si="188"/>
        <v>0</v>
      </c>
      <c r="BH406" s="31">
        <f t="shared" si="189"/>
        <v>0</v>
      </c>
      <c r="BI406" s="255">
        <f t="shared" si="190"/>
        <v>0</v>
      </c>
      <c r="BJ406" s="31">
        <f t="shared" si="191"/>
        <v>0</v>
      </c>
      <c r="BK406" s="31">
        <f t="shared" si="192"/>
        <v>0</v>
      </c>
      <c r="BL406" s="255">
        <f t="shared" si="193"/>
        <v>0</v>
      </c>
      <c r="BM406" s="31">
        <f t="shared" si="194"/>
        <v>0</v>
      </c>
      <c r="BN406" s="255">
        <f t="shared" si="195"/>
        <v>0</v>
      </c>
    </row>
    <row r="407" spans="1:66" x14ac:dyDescent="0.25">
      <c r="A407" s="18" t="s">
        <v>1154</v>
      </c>
      <c r="B407" s="186" t="str">
        <f>VLOOKUP(A407,kurspris!$A$1:$B$877,2,FALSE)</f>
        <v>Etik, demokrati och det heterogena klassrummet, 7,5 hp</v>
      </c>
      <c r="C407" s="37"/>
      <c r="D407" s="31" t="s">
        <v>483</v>
      </c>
      <c r="E407" s="31" t="s">
        <v>1931</v>
      </c>
      <c r="F407" s="59" t="s">
        <v>1931</v>
      </c>
      <c r="G407" s="31" t="s">
        <v>2269</v>
      </c>
      <c r="J407" t="s">
        <v>777</v>
      </c>
      <c r="L407" s="31">
        <v>100</v>
      </c>
      <c r="M407" s="31">
        <v>7.5</v>
      </c>
      <c r="P407" s="31">
        <v>18</v>
      </c>
      <c r="Q407" s="232">
        <f t="shared" si="168"/>
        <v>2.25</v>
      </c>
      <c r="R407" s="40">
        <v>0.85</v>
      </c>
      <c r="S407" s="334">
        <f t="shared" si="169"/>
        <v>1.9124999999999999</v>
      </c>
      <c r="T407" s="31">
        <f>VLOOKUP(A407,'Ansvar kurs'!$A$1:$C$1010,2,FALSE)</f>
        <v>1630</v>
      </c>
      <c r="U407" s="31" t="str">
        <f>VLOOKUP(T407,Orgenheter!$A$1:$C$165,2,FALSE)</f>
        <v>Inst för ide- o samhällsstudier</v>
      </c>
      <c r="V407" s="31" t="str">
        <f>VLOOKUP(T407,Orgenheter!$A$1:$C$165,3,FALSE)</f>
        <v>Hum</v>
      </c>
      <c r="W407" s="37" t="str">
        <f>VLOOKUP(D407,Program!$A$1:$B$34,2,FALSE)</f>
        <v>Ämneslärarprogrammet - Gy</v>
      </c>
      <c r="X407" s="42">
        <f>VLOOKUP(A407,kurspris!$A$1:$Q$798,15,FALSE)</f>
        <v>23641</v>
      </c>
      <c r="Y407" s="42">
        <f>VLOOKUP(A407,kurspris!$A$1:$Q$798,16,FALSE)</f>
        <v>28786</v>
      </c>
      <c r="Z407" s="42">
        <f t="shared" si="170"/>
        <v>108245.47500000001</v>
      </c>
      <c r="AA407" s="42">
        <f>VLOOKUP(A407,kurspris!$A$1:$Q$798,17,FALSE)</f>
        <v>5800</v>
      </c>
      <c r="AB407" s="42">
        <f t="shared" si="171"/>
        <v>13050</v>
      </c>
      <c r="AC407" s="42">
        <f t="shared" si="172"/>
        <v>121295.47500000001</v>
      </c>
      <c r="AD407" s="31">
        <f>VLOOKUP($A407,kurspris!$A$1:$Q$835,3,FALSE)</f>
        <v>0</v>
      </c>
      <c r="AE407" s="31">
        <f>VLOOKUP($A407,kurspris!$A$1:$Q$835,4,FALSE)</f>
        <v>0</v>
      </c>
      <c r="AF407" s="31">
        <f>VLOOKUP($A407,kurspris!$A$1:$Q$835,5,FALSE)</f>
        <v>0</v>
      </c>
      <c r="AG407" s="31">
        <f>VLOOKUP($A407,kurspris!$A$1:$Q$835,6,FALSE)</f>
        <v>1</v>
      </c>
      <c r="AH407" s="31">
        <f>VLOOKUP($A407,kurspris!$A$1:$Q$835,7,FALSE)</f>
        <v>0</v>
      </c>
      <c r="AI407" s="31">
        <f>VLOOKUP($A407,kurspris!$A$1:$Q$835,8,FALSE)</f>
        <v>0</v>
      </c>
      <c r="AJ407" s="31">
        <f>VLOOKUP($A407,kurspris!$A$1:$Q$835,9,FALSE)</f>
        <v>0</v>
      </c>
      <c r="AK407" s="31">
        <f>VLOOKUP($A407,kurspris!$A$1:$Q$835,10,FALSE)</f>
        <v>0</v>
      </c>
      <c r="AL407" s="31">
        <f>VLOOKUP($A407,kurspris!$A$1:$Q$835,11,FALSE)</f>
        <v>0</v>
      </c>
      <c r="AM407" s="31">
        <f>VLOOKUP($A407,kurspris!$A$1:$Q$835,12,FALSE)</f>
        <v>0</v>
      </c>
      <c r="AN407" s="31">
        <f>VLOOKUP($A407,kurspris!$A$1:$Q$835,13,FALSE)</f>
        <v>0</v>
      </c>
      <c r="AO407" s="31">
        <f>VLOOKUP($A407,kurspris!$A$1:$Q$835,14,FALSE)</f>
        <v>0</v>
      </c>
      <c r="AP407" s="39" t="s">
        <v>2326</v>
      </c>
      <c r="AQ407"/>
      <c r="AR407" s="31">
        <f t="shared" si="173"/>
        <v>0</v>
      </c>
      <c r="AS407" s="255">
        <f t="shared" si="174"/>
        <v>0</v>
      </c>
      <c r="AT407" s="31">
        <f t="shared" si="175"/>
        <v>0</v>
      </c>
      <c r="AU407" s="255">
        <f t="shared" si="176"/>
        <v>0</v>
      </c>
      <c r="AV407" s="31">
        <f t="shared" si="177"/>
        <v>0</v>
      </c>
      <c r="AW407" s="31">
        <f t="shared" si="178"/>
        <v>0</v>
      </c>
      <c r="AX407" s="31">
        <f t="shared" si="179"/>
        <v>2.25</v>
      </c>
      <c r="AY407" s="255">
        <f t="shared" si="180"/>
        <v>1.9124999999999999</v>
      </c>
      <c r="AZ407" s="232">
        <f t="shared" si="181"/>
        <v>0</v>
      </c>
      <c r="BA407" s="255">
        <f t="shared" si="182"/>
        <v>0</v>
      </c>
      <c r="BB407" s="31">
        <f t="shared" si="183"/>
        <v>0</v>
      </c>
      <c r="BC407" s="255">
        <f t="shared" si="184"/>
        <v>0</v>
      </c>
      <c r="BD407" s="31">
        <f t="shared" si="185"/>
        <v>0</v>
      </c>
      <c r="BE407" s="255">
        <f t="shared" si="186"/>
        <v>0</v>
      </c>
      <c r="BF407" s="31">
        <f t="shared" si="187"/>
        <v>0</v>
      </c>
      <c r="BG407" s="255">
        <f t="shared" si="188"/>
        <v>0</v>
      </c>
      <c r="BH407" s="31">
        <f t="shared" si="189"/>
        <v>0</v>
      </c>
      <c r="BI407" s="255">
        <f t="shared" si="190"/>
        <v>0</v>
      </c>
      <c r="BJ407" s="31">
        <f t="shared" si="191"/>
        <v>0</v>
      </c>
      <c r="BK407" s="31">
        <f t="shared" si="192"/>
        <v>0</v>
      </c>
      <c r="BL407" s="255">
        <f t="shared" si="193"/>
        <v>0</v>
      </c>
      <c r="BM407" s="31">
        <f t="shared" si="194"/>
        <v>0</v>
      </c>
      <c r="BN407" s="255">
        <f t="shared" si="195"/>
        <v>0</v>
      </c>
    </row>
    <row r="408" spans="1:66" x14ac:dyDescent="0.25">
      <c r="A408" s="18" t="s">
        <v>1154</v>
      </c>
      <c r="B408" s="186" t="str">
        <f>VLOOKUP(A408,kurspris!$A$1:$B$877,2,FALSE)</f>
        <v>Etik, demokrati och det heterogena klassrummet, 7,5 hp</v>
      </c>
      <c r="C408" s="37"/>
      <c r="D408" s="31" t="s">
        <v>483</v>
      </c>
      <c r="E408" s="31" t="s">
        <v>1931</v>
      </c>
      <c r="F408" s="59" t="s">
        <v>1931</v>
      </c>
      <c r="G408" s="31" t="s">
        <v>2269</v>
      </c>
      <c r="J408" t="s">
        <v>1803</v>
      </c>
      <c r="L408" s="31">
        <v>100</v>
      </c>
      <c r="M408" s="31">
        <v>7.5</v>
      </c>
      <c r="P408" s="31">
        <v>1</v>
      </c>
      <c r="Q408" s="232">
        <f t="shared" si="168"/>
        <v>0.125</v>
      </c>
      <c r="R408" s="40">
        <v>0.85</v>
      </c>
      <c r="S408" s="334">
        <f t="shared" si="169"/>
        <v>0.10625</v>
      </c>
      <c r="T408" s="31">
        <f>VLOOKUP(A408,'Ansvar kurs'!$A$1:$C$1010,2,FALSE)</f>
        <v>1630</v>
      </c>
      <c r="U408" s="31" t="str">
        <f>VLOOKUP(T408,Orgenheter!$A$1:$C$165,2,FALSE)</f>
        <v>Inst för ide- o samhällsstudier</v>
      </c>
      <c r="V408" s="31" t="str">
        <f>VLOOKUP(T408,Orgenheter!$A$1:$C$165,3,FALSE)</f>
        <v>Hum</v>
      </c>
      <c r="W408" s="37" t="str">
        <f>VLOOKUP(D408,Program!$A$1:$B$34,2,FALSE)</f>
        <v>Ämneslärarprogrammet - Gy</v>
      </c>
      <c r="X408" s="42">
        <f>VLOOKUP(A408,kurspris!$A$1:$Q$798,15,FALSE)</f>
        <v>23641</v>
      </c>
      <c r="Y408" s="42">
        <f>VLOOKUP(A408,kurspris!$A$1:$Q$798,16,FALSE)</f>
        <v>28786</v>
      </c>
      <c r="Z408" s="42">
        <f t="shared" si="170"/>
        <v>6013.6374999999998</v>
      </c>
      <c r="AA408" s="42">
        <f>VLOOKUP(A408,kurspris!$A$1:$Q$798,17,FALSE)</f>
        <v>5800</v>
      </c>
      <c r="AB408" s="42">
        <f t="shared" si="171"/>
        <v>725</v>
      </c>
      <c r="AC408" s="42">
        <f t="shared" si="172"/>
        <v>6738.6374999999998</v>
      </c>
      <c r="AD408" s="31">
        <f>VLOOKUP($A408,kurspris!$A$1:$Q$835,3,FALSE)</f>
        <v>0</v>
      </c>
      <c r="AE408" s="31">
        <f>VLOOKUP($A408,kurspris!$A$1:$Q$835,4,FALSE)</f>
        <v>0</v>
      </c>
      <c r="AF408" s="31">
        <f>VLOOKUP($A408,kurspris!$A$1:$Q$835,5,FALSE)</f>
        <v>0</v>
      </c>
      <c r="AG408" s="31">
        <f>VLOOKUP($A408,kurspris!$A$1:$Q$835,6,FALSE)</f>
        <v>1</v>
      </c>
      <c r="AH408" s="31">
        <f>VLOOKUP($A408,kurspris!$A$1:$Q$835,7,FALSE)</f>
        <v>0</v>
      </c>
      <c r="AI408" s="31">
        <f>VLOOKUP($A408,kurspris!$A$1:$Q$835,8,FALSE)</f>
        <v>0</v>
      </c>
      <c r="AJ408" s="31">
        <f>VLOOKUP($A408,kurspris!$A$1:$Q$835,9,FALSE)</f>
        <v>0</v>
      </c>
      <c r="AK408" s="31">
        <f>VLOOKUP($A408,kurspris!$A$1:$Q$835,10,FALSE)</f>
        <v>0</v>
      </c>
      <c r="AL408" s="31">
        <f>VLOOKUP($A408,kurspris!$A$1:$Q$835,11,FALSE)</f>
        <v>0</v>
      </c>
      <c r="AM408" s="31">
        <f>VLOOKUP($A408,kurspris!$A$1:$Q$835,12,FALSE)</f>
        <v>0</v>
      </c>
      <c r="AN408" s="31">
        <f>VLOOKUP($A408,kurspris!$A$1:$Q$835,13,FALSE)</f>
        <v>0</v>
      </c>
      <c r="AO408" s="31">
        <f>VLOOKUP($A408,kurspris!$A$1:$Q$835,14,FALSE)</f>
        <v>0</v>
      </c>
      <c r="AP408" s="39" t="s">
        <v>2326</v>
      </c>
      <c r="AQ408"/>
      <c r="AR408" s="31">
        <f t="shared" si="173"/>
        <v>0</v>
      </c>
      <c r="AS408" s="255">
        <f t="shared" si="174"/>
        <v>0</v>
      </c>
      <c r="AT408" s="31">
        <f t="shared" si="175"/>
        <v>0</v>
      </c>
      <c r="AU408" s="255">
        <f t="shared" si="176"/>
        <v>0</v>
      </c>
      <c r="AV408" s="31">
        <f t="shared" si="177"/>
        <v>0</v>
      </c>
      <c r="AW408" s="31">
        <f t="shared" si="178"/>
        <v>0</v>
      </c>
      <c r="AX408" s="31">
        <f t="shared" si="179"/>
        <v>0.125</v>
      </c>
      <c r="AY408" s="255">
        <f t="shared" si="180"/>
        <v>0.10625</v>
      </c>
      <c r="AZ408" s="232">
        <f t="shared" si="181"/>
        <v>0</v>
      </c>
      <c r="BA408" s="255">
        <f t="shared" si="182"/>
        <v>0</v>
      </c>
      <c r="BB408" s="31">
        <f t="shared" si="183"/>
        <v>0</v>
      </c>
      <c r="BC408" s="255">
        <f t="shared" si="184"/>
        <v>0</v>
      </c>
      <c r="BD408" s="31">
        <f t="shared" si="185"/>
        <v>0</v>
      </c>
      <c r="BE408" s="255">
        <f t="shared" si="186"/>
        <v>0</v>
      </c>
      <c r="BF408" s="31">
        <f t="shared" si="187"/>
        <v>0</v>
      </c>
      <c r="BG408" s="255">
        <f t="shared" si="188"/>
        <v>0</v>
      </c>
      <c r="BH408" s="31">
        <f t="shared" si="189"/>
        <v>0</v>
      </c>
      <c r="BI408" s="255">
        <f t="shared" si="190"/>
        <v>0</v>
      </c>
      <c r="BJ408" s="31">
        <f t="shared" si="191"/>
        <v>0</v>
      </c>
      <c r="BK408" s="31">
        <f t="shared" si="192"/>
        <v>0</v>
      </c>
      <c r="BL408" s="255">
        <f t="shared" si="193"/>
        <v>0</v>
      </c>
      <c r="BM408" s="31">
        <f t="shared" si="194"/>
        <v>0</v>
      </c>
      <c r="BN408" s="255">
        <f t="shared" si="195"/>
        <v>0</v>
      </c>
    </row>
    <row r="409" spans="1:66" x14ac:dyDescent="0.25">
      <c r="A409" s="18" t="s">
        <v>1154</v>
      </c>
      <c r="B409" s="186" t="str">
        <f>VLOOKUP(A409,kurspris!$A$1:$B$877,2,FALSE)</f>
        <v>Etik, demokrati och det heterogena klassrummet, 7,5 hp</v>
      </c>
      <c r="C409" s="37"/>
      <c r="D409" s="31" t="s">
        <v>483</v>
      </c>
      <c r="E409" s="31" t="s">
        <v>1931</v>
      </c>
      <c r="F409" s="59" t="s">
        <v>1931</v>
      </c>
      <c r="G409" s="31" t="s">
        <v>2269</v>
      </c>
      <c r="J409" t="s">
        <v>778</v>
      </c>
      <c r="L409" s="31">
        <v>100</v>
      </c>
      <c r="M409" s="31">
        <v>7.5</v>
      </c>
      <c r="P409" s="31">
        <v>13</v>
      </c>
      <c r="Q409" s="232">
        <f t="shared" si="168"/>
        <v>1.625</v>
      </c>
      <c r="R409" s="40">
        <v>0.85</v>
      </c>
      <c r="S409" s="334">
        <f t="shared" si="169"/>
        <v>1.3812499999999999</v>
      </c>
      <c r="T409" s="31">
        <f>VLOOKUP(A409,'Ansvar kurs'!$A$1:$C$1010,2,FALSE)</f>
        <v>1630</v>
      </c>
      <c r="U409" s="31" t="str">
        <f>VLOOKUP(T409,Orgenheter!$A$1:$C$165,2,FALSE)</f>
        <v>Inst för ide- o samhällsstudier</v>
      </c>
      <c r="V409" s="31" t="str">
        <f>VLOOKUP(T409,Orgenheter!$A$1:$C$165,3,FALSE)</f>
        <v>Hum</v>
      </c>
      <c r="W409" s="37" t="str">
        <f>VLOOKUP(D409,Program!$A$1:$B$34,2,FALSE)</f>
        <v>Ämneslärarprogrammet - Gy</v>
      </c>
      <c r="X409" s="42">
        <f>VLOOKUP(A409,kurspris!$A$1:$Q$798,15,FALSE)</f>
        <v>23641</v>
      </c>
      <c r="Y409" s="42">
        <f>VLOOKUP(A409,kurspris!$A$1:$Q$798,16,FALSE)</f>
        <v>28786</v>
      </c>
      <c r="Z409" s="42">
        <f t="shared" si="170"/>
        <v>78177.287500000006</v>
      </c>
      <c r="AA409" s="42">
        <f>VLOOKUP(A409,kurspris!$A$1:$Q$798,17,FALSE)</f>
        <v>5800</v>
      </c>
      <c r="AB409" s="42">
        <f t="shared" si="171"/>
        <v>9425</v>
      </c>
      <c r="AC409" s="42">
        <f t="shared" si="172"/>
        <v>87602.287500000006</v>
      </c>
      <c r="AD409" s="31">
        <f>VLOOKUP($A409,kurspris!$A$1:$Q$835,3,FALSE)</f>
        <v>0</v>
      </c>
      <c r="AE409" s="31">
        <f>VLOOKUP($A409,kurspris!$A$1:$Q$835,4,FALSE)</f>
        <v>0</v>
      </c>
      <c r="AF409" s="31">
        <f>VLOOKUP($A409,kurspris!$A$1:$Q$835,5,FALSE)</f>
        <v>0</v>
      </c>
      <c r="AG409" s="31">
        <f>VLOOKUP($A409,kurspris!$A$1:$Q$835,6,FALSE)</f>
        <v>1</v>
      </c>
      <c r="AH409" s="31">
        <f>VLOOKUP($A409,kurspris!$A$1:$Q$835,7,FALSE)</f>
        <v>0</v>
      </c>
      <c r="AI409" s="31">
        <f>VLOOKUP($A409,kurspris!$A$1:$Q$835,8,FALSE)</f>
        <v>0</v>
      </c>
      <c r="AJ409" s="31">
        <f>VLOOKUP($A409,kurspris!$A$1:$Q$835,9,FALSE)</f>
        <v>0</v>
      </c>
      <c r="AK409" s="31">
        <f>VLOOKUP($A409,kurspris!$A$1:$Q$835,10,FALSE)</f>
        <v>0</v>
      </c>
      <c r="AL409" s="31">
        <f>VLOOKUP($A409,kurspris!$A$1:$Q$835,11,FALSE)</f>
        <v>0</v>
      </c>
      <c r="AM409" s="31">
        <f>VLOOKUP($A409,kurspris!$A$1:$Q$835,12,FALSE)</f>
        <v>0</v>
      </c>
      <c r="AN409" s="31">
        <f>VLOOKUP($A409,kurspris!$A$1:$Q$835,13,FALSE)</f>
        <v>0</v>
      </c>
      <c r="AO409" s="31">
        <f>VLOOKUP($A409,kurspris!$A$1:$Q$835,14,FALSE)</f>
        <v>0</v>
      </c>
      <c r="AP409" s="39" t="s">
        <v>2326</v>
      </c>
      <c r="AQ409"/>
      <c r="AR409" s="31">
        <f t="shared" si="173"/>
        <v>0</v>
      </c>
      <c r="AS409" s="255">
        <f t="shared" si="174"/>
        <v>0</v>
      </c>
      <c r="AT409" s="31">
        <f t="shared" si="175"/>
        <v>0</v>
      </c>
      <c r="AU409" s="255">
        <f t="shared" si="176"/>
        <v>0</v>
      </c>
      <c r="AV409" s="31">
        <f t="shared" si="177"/>
        <v>0</v>
      </c>
      <c r="AW409" s="31">
        <f t="shared" si="178"/>
        <v>0</v>
      </c>
      <c r="AX409" s="31">
        <f t="shared" si="179"/>
        <v>1.625</v>
      </c>
      <c r="AY409" s="255">
        <f t="shared" si="180"/>
        <v>1.3812499999999999</v>
      </c>
      <c r="AZ409" s="232">
        <f t="shared" si="181"/>
        <v>0</v>
      </c>
      <c r="BA409" s="255">
        <f t="shared" si="182"/>
        <v>0</v>
      </c>
      <c r="BB409" s="31">
        <f t="shared" si="183"/>
        <v>0</v>
      </c>
      <c r="BC409" s="255">
        <f t="shared" si="184"/>
        <v>0</v>
      </c>
      <c r="BD409" s="31">
        <f t="shared" si="185"/>
        <v>0</v>
      </c>
      <c r="BE409" s="255">
        <f t="shared" si="186"/>
        <v>0</v>
      </c>
      <c r="BF409" s="31">
        <f t="shared" si="187"/>
        <v>0</v>
      </c>
      <c r="BG409" s="255">
        <f t="shared" si="188"/>
        <v>0</v>
      </c>
      <c r="BH409" s="31">
        <f t="shared" si="189"/>
        <v>0</v>
      </c>
      <c r="BI409" s="255">
        <f t="shared" si="190"/>
        <v>0</v>
      </c>
      <c r="BJ409" s="31">
        <f t="shared" si="191"/>
        <v>0</v>
      </c>
      <c r="BK409" s="31">
        <f t="shared" si="192"/>
        <v>0</v>
      </c>
      <c r="BL409" s="255">
        <f t="shared" si="193"/>
        <v>0</v>
      </c>
      <c r="BM409" s="31">
        <f t="shared" si="194"/>
        <v>0</v>
      </c>
      <c r="BN409" s="255">
        <f t="shared" si="195"/>
        <v>0</v>
      </c>
    </row>
    <row r="410" spans="1:66" x14ac:dyDescent="0.25">
      <c r="A410" s="18" t="s">
        <v>1154</v>
      </c>
      <c r="B410" s="186" t="str">
        <f>VLOOKUP(A410,kurspris!$A$1:$B$877,2,FALSE)</f>
        <v>Etik, demokrati och det heterogena klassrummet, 7,5 hp</v>
      </c>
      <c r="C410" s="37"/>
      <c r="D410" s="31" t="s">
        <v>483</v>
      </c>
      <c r="E410" s="31" t="s">
        <v>1931</v>
      </c>
      <c r="F410" s="59" t="s">
        <v>1931</v>
      </c>
      <c r="G410" s="31" t="s">
        <v>2269</v>
      </c>
      <c r="J410" t="s">
        <v>1592</v>
      </c>
      <c r="L410" s="31">
        <v>100</v>
      </c>
      <c r="M410" s="31">
        <v>7.5</v>
      </c>
      <c r="P410" s="31">
        <v>3</v>
      </c>
      <c r="Q410" s="232">
        <f t="shared" si="168"/>
        <v>0.375</v>
      </c>
      <c r="R410" s="40">
        <v>0.85</v>
      </c>
      <c r="S410" s="334">
        <f t="shared" si="169"/>
        <v>0.31874999999999998</v>
      </c>
      <c r="T410" s="31">
        <f>VLOOKUP(A410,'Ansvar kurs'!$A$1:$C$1010,2,FALSE)</f>
        <v>1630</v>
      </c>
      <c r="U410" s="31" t="str">
        <f>VLOOKUP(T410,Orgenheter!$A$1:$C$165,2,FALSE)</f>
        <v>Inst för ide- o samhällsstudier</v>
      </c>
      <c r="V410" s="31" t="str">
        <f>VLOOKUP(T410,Orgenheter!$A$1:$C$165,3,FALSE)</f>
        <v>Hum</v>
      </c>
      <c r="W410" s="37" t="str">
        <f>VLOOKUP(D410,Program!$A$1:$B$34,2,FALSE)</f>
        <v>Ämneslärarprogrammet - Gy</v>
      </c>
      <c r="X410" s="42">
        <f>VLOOKUP(A410,kurspris!$A$1:$Q$798,15,FALSE)</f>
        <v>23641</v>
      </c>
      <c r="Y410" s="42">
        <f>VLOOKUP(A410,kurspris!$A$1:$Q$798,16,FALSE)</f>
        <v>28786</v>
      </c>
      <c r="Z410" s="42">
        <f t="shared" si="170"/>
        <v>18040.912499999999</v>
      </c>
      <c r="AA410" s="42">
        <f>VLOOKUP(A410,kurspris!$A$1:$Q$798,17,FALSE)</f>
        <v>5800</v>
      </c>
      <c r="AB410" s="42">
        <f t="shared" si="171"/>
        <v>2175</v>
      </c>
      <c r="AC410" s="42">
        <f t="shared" si="172"/>
        <v>20215.912499999999</v>
      </c>
      <c r="AD410" s="31">
        <f>VLOOKUP($A410,kurspris!$A$1:$Q$835,3,FALSE)</f>
        <v>0</v>
      </c>
      <c r="AE410" s="31">
        <f>VLOOKUP($A410,kurspris!$A$1:$Q$835,4,FALSE)</f>
        <v>0</v>
      </c>
      <c r="AF410" s="31">
        <f>VLOOKUP($A410,kurspris!$A$1:$Q$835,5,FALSE)</f>
        <v>0</v>
      </c>
      <c r="AG410" s="31">
        <f>VLOOKUP($A410,kurspris!$A$1:$Q$835,6,FALSE)</f>
        <v>1</v>
      </c>
      <c r="AH410" s="31">
        <f>VLOOKUP($A410,kurspris!$A$1:$Q$835,7,FALSE)</f>
        <v>0</v>
      </c>
      <c r="AI410" s="31">
        <f>VLOOKUP($A410,kurspris!$A$1:$Q$835,8,FALSE)</f>
        <v>0</v>
      </c>
      <c r="AJ410" s="31">
        <f>VLOOKUP($A410,kurspris!$A$1:$Q$835,9,FALSE)</f>
        <v>0</v>
      </c>
      <c r="AK410" s="31">
        <f>VLOOKUP($A410,kurspris!$A$1:$Q$835,10,FALSE)</f>
        <v>0</v>
      </c>
      <c r="AL410" s="31">
        <f>VLOOKUP($A410,kurspris!$A$1:$Q$835,11,FALSE)</f>
        <v>0</v>
      </c>
      <c r="AM410" s="31">
        <f>VLOOKUP($A410,kurspris!$A$1:$Q$835,12,FALSE)</f>
        <v>0</v>
      </c>
      <c r="AN410" s="31">
        <f>VLOOKUP($A410,kurspris!$A$1:$Q$835,13,FALSE)</f>
        <v>0</v>
      </c>
      <c r="AO410" s="31">
        <f>VLOOKUP($A410,kurspris!$A$1:$Q$835,14,FALSE)</f>
        <v>0</v>
      </c>
      <c r="AP410" s="39" t="s">
        <v>2326</v>
      </c>
      <c r="AQ410"/>
      <c r="AR410" s="31">
        <f t="shared" si="173"/>
        <v>0</v>
      </c>
      <c r="AS410" s="255">
        <f t="shared" si="174"/>
        <v>0</v>
      </c>
      <c r="AT410" s="31">
        <f t="shared" si="175"/>
        <v>0</v>
      </c>
      <c r="AU410" s="255">
        <f t="shared" si="176"/>
        <v>0</v>
      </c>
      <c r="AV410" s="31">
        <f t="shared" si="177"/>
        <v>0</v>
      </c>
      <c r="AW410" s="31">
        <f t="shared" si="178"/>
        <v>0</v>
      </c>
      <c r="AX410" s="31">
        <f t="shared" si="179"/>
        <v>0.375</v>
      </c>
      <c r="AY410" s="255">
        <f t="shared" si="180"/>
        <v>0.31874999999999998</v>
      </c>
      <c r="AZ410" s="232">
        <f t="shared" si="181"/>
        <v>0</v>
      </c>
      <c r="BA410" s="255">
        <f t="shared" si="182"/>
        <v>0</v>
      </c>
      <c r="BB410" s="31">
        <f t="shared" si="183"/>
        <v>0</v>
      </c>
      <c r="BC410" s="255">
        <f t="shared" si="184"/>
        <v>0</v>
      </c>
      <c r="BD410" s="31">
        <f t="shared" si="185"/>
        <v>0</v>
      </c>
      <c r="BE410" s="255">
        <f t="shared" si="186"/>
        <v>0</v>
      </c>
      <c r="BF410" s="31">
        <f t="shared" si="187"/>
        <v>0</v>
      </c>
      <c r="BG410" s="255">
        <f t="shared" si="188"/>
        <v>0</v>
      </c>
      <c r="BH410" s="31">
        <f t="shared" si="189"/>
        <v>0</v>
      </c>
      <c r="BI410" s="255">
        <f t="shared" si="190"/>
        <v>0</v>
      </c>
      <c r="BJ410" s="31">
        <f t="shared" si="191"/>
        <v>0</v>
      </c>
      <c r="BK410" s="31">
        <f t="shared" si="192"/>
        <v>0</v>
      </c>
      <c r="BL410" s="255">
        <f t="shared" si="193"/>
        <v>0</v>
      </c>
      <c r="BM410" s="31">
        <f t="shared" si="194"/>
        <v>0</v>
      </c>
      <c r="BN410" s="255">
        <f t="shared" si="195"/>
        <v>0</v>
      </c>
    </row>
    <row r="411" spans="1:66" x14ac:dyDescent="0.25">
      <c r="A411" s="18" t="s">
        <v>1154</v>
      </c>
      <c r="B411" s="186" t="str">
        <f>VLOOKUP(A411,kurspris!$A$1:$B$877,2,FALSE)</f>
        <v>Etik, demokrati och det heterogena klassrummet, 7,5 hp</v>
      </c>
      <c r="C411" s="37"/>
      <c r="D411" s="31" t="s">
        <v>483</v>
      </c>
      <c r="E411" s="31" t="s">
        <v>1931</v>
      </c>
      <c r="F411" s="59" t="s">
        <v>1931</v>
      </c>
      <c r="G411" s="31" t="s">
        <v>2269</v>
      </c>
      <c r="J411" t="s">
        <v>1593</v>
      </c>
      <c r="L411" s="31">
        <v>100</v>
      </c>
      <c r="M411" s="31">
        <v>7.5</v>
      </c>
      <c r="P411" s="31">
        <v>2</v>
      </c>
      <c r="Q411" s="232">
        <f t="shared" si="168"/>
        <v>0.25</v>
      </c>
      <c r="R411" s="40">
        <v>0.85</v>
      </c>
      <c r="S411" s="334">
        <f t="shared" si="169"/>
        <v>0.21249999999999999</v>
      </c>
      <c r="T411" s="31">
        <f>VLOOKUP(A411,'Ansvar kurs'!$A$1:$C$1010,2,FALSE)</f>
        <v>1630</v>
      </c>
      <c r="U411" s="31" t="str">
        <f>VLOOKUP(T411,Orgenheter!$A$1:$C$165,2,FALSE)</f>
        <v>Inst för ide- o samhällsstudier</v>
      </c>
      <c r="V411" s="31" t="str">
        <f>VLOOKUP(T411,Orgenheter!$A$1:$C$165,3,FALSE)</f>
        <v>Hum</v>
      </c>
      <c r="W411" s="37" t="str">
        <f>VLOOKUP(D411,Program!$A$1:$B$34,2,FALSE)</f>
        <v>Ämneslärarprogrammet - Gy</v>
      </c>
      <c r="X411" s="42">
        <f>VLOOKUP(A411,kurspris!$A$1:$Q$798,15,FALSE)</f>
        <v>23641</v>
      </c>
      <c r="Y411" s="42">
        <f>VLOOKUP(A411,kurspris!$A$1:$Q$798,16,FALSE)</f>
        <v>28786</v>
      </c>
      <c r="Z411" s="42">
        <f t="shared" si="170"/>
        <v>12027.275</v>
      </c>
      <c r="AA411" s="42">
        <f>VLOOKUP(A411,kurspris!$A$1:$Q$798,17,FALSE)</f>
        <v>5800</v>
      </c>
      <c r="AB411" s="42">
        <f t="shared" si="171"/>
        <v>1450</v>
      </c>
      <c r="AC411" s="42">
        <f t="shared" si="172"/>
        <v>13477.275</v>
      </c>
      <c r="AD411" s="31">
        <f>VLOOKUP($A411,kurspris!$A$1:$Q$835,3,FALSE)</f>
        <v>0</v>
      </c>
      <c r="AE411" s="31">
        <f>VLOOKUP($A411,kurspris!$A$1:$Q$835,4,FALSE)</f>
        <v>0</v>
      </c>
      <c r="AF411" s="31">
        <f>VLOOKUP($A411,kurspris!$A$1:$Q$835,5,FALSE)</f>
        <v>0</v>
      </c>
      <c r="AG411" s="31">
        <f>VLOOKUP($A411,kurspris!$A$1:$Q$835,6,FALSE)</f>
        <v>1</v>
      </c>
      <c r="AH411" s="31">
        <f>VLOOKUP($A411,kurspris!$A$1:$Q$835,7,FALSE)</f>
        <v>0</v>
      </c>
      <c r="AI411" s="31">
        <f>VLOOKUP($A411,kurspris!$A$1:$Q$835,8,FALSE)</f>
        <v>0</v>
      </c>
      <c r="AJ411" s="31">
        <f>VLOOKUP($A411,kurspris!$A$1:$Q$835,9,FALSE)</f>
        <v>0</v>
      </c>
      <c r="AK411" s="31">
        <f>VLOOKUP($A411,kurspris!$A$1:$Q$835,10,FALSE)</f>
        <v>0</v>
      </c>
      <c r="AL411" s="31">
        <f>VLOOKUP($A411,kurspris!$A$1:$Q$835,11,FALSE)</f>
        <v>0</v>
      </c>
      <c r="AM411" s="31">
        <f>VLOOKUP($A411,kurspris!$A$1:$Q$835,12,FALSE)</f>
        <v>0</v>
      </c>
      <c r="AN411" s="31">
        <f>VLOOKUP($A411,kurspris!$A$1:$Q$835,13,FALSE)</f>
        <v>0</v>
      </c>
      <c r="AO411" s="31">
        <f>VLOOKUP($A411,kurspris!$A$1:$Q$835,14,FALSE)</f>
        <v>0</v>
      </c>
      <c r="AP411" s="39" t="s">
        <v>2326</v>
      </c>
      <c r="AQ411"/>
      <c r="AR411" s="31">
        <f t="shared" si="173"/>
        <v>0</v>
      </c>
      <c r="AS411" s="255">
        <f t="shared" si="174"/>
        <v>0</v>
      </c>
      <c r="AT411" s="31">
        <f t="shared" si="175"/>
        <v>0</v>
      </c>
      <c r="AU411" s="255">
        <f t="shared" si="176"/>
        <v>0</v>
      </c>
      <c r="AV411" s="31">
        <f t="shared" si="177"/>
        <v>0</v>
      </c>
      <c r="AW411" s="31">
        <f t="shared" si="178"/>
        <v>0</v>
      </c>
      <c r="AX411" s="31">
        <f t="shared" si="179"/>
        <v>0.25</v>
      </c>
      <c r="AY411" s="255">
        <f t="shared" si="180"/>
        <v>0.21249999999999999</v>
      </c>
      <c r="AZ411" s="232">
        <f t="shared" si="181"/>
        <v>0</v>
      </c>
      <c r="BA411" s="255">
        <f t="shared" si="182"/>
        <v>0</v>
      </c>
      <c r="BB411" s="31">
        <f t="shared" si="183"/>
        <v>0</v>
      </c>
      <c r="BC411" s="255">
        <f t="shared" si="184"/>
        <v>0</v>
      </c>
      <c r="BD411" s="31">
        <f t="shared" si="185"/>
        <v>0</v>
      </c>
      <c r="BE411" s="255">
        <f t="shared" si="186"/>
        <v>0</v>
      </c>
      <c r="BF411" s="31">
        <f t="shared" si="187"/>
        <v>0</v>
      </c>
      <c r="BG411" s="255">
        <f t="shared" si="188"/>
        <v>0</v>
      </c>
      <c r="BH411" s="31">
        <f t="shared" si="189"/>
        <v>0</v>
      </c>
      <c r="BI411" s="255">
        <f t="shared" si="190"/>
        <v>0</v>
      </c>
      <c r="BJ411" s="31">
        <f t="shared" si="191"/>
        <v>0</v>
      </c>
      <c r="BK411" s="31">
        <f t="shared" si="192"/>
        <v>0</v>
      </c>
      <c r="BL411" s="255">
        <f t="shared" si="193"/>
        <v>0</v>
      </c>
      <c r="BM411" s="31">
        <f t="shared" si="194"/>
        <v>0</v>
      </c>
      <c r="BN411" s="255">
        <f t="shared" si="195"/>
        <v>0</v>
      </c>
    </row>
    <row r="412" spans="1:66" x14ac:dyDescent="0.25">
      <c r="A412" s="18" t="s">
        <v>1154</v>
      </c>
      <c r="B412" s="186" t="str">
        <f>VLOOKUP(A412,kurspris!$A$1:$B$877,2,FALSE)</f>
        <v>Etik, demokrati och det heterogena klassrummet, 7,5 hp</v>
      </c>
      <c r="C412" s="37"/>
      <c r="D412" s="31" t="s">
        <v>484</v>
      </c>
      <c r="E412" s="31" t="s">
        <v>1931</v>
      </c>
      <c r="F412" s="59" t="s">
        <v>1931</v>
      </c>
      <c r="G412" s="31" t="s">
        <v>2269</v>
      </c>
      <c r="L412" s="31">
        <v>100</v>
      </c>
      <c r="M412" s="31">
        <v>7.5</v>
      </c>
      <c r="N412" s="40">
        <v>-0.1</v>
      </c>
      <c r="O412" s="31">
        <v>57</v>
      </c>
      <c r="P412" s="377">
        <f>O412+(O412*N412)</f>
        <v>51.3</v>
      </c>
      <c r="Q412" s="232">
        <f t="shared" si="168"/>
        <v>6.4124999999999996</v>
      </c>
      <c r="R412" s="40">
        <v>0.85</v>
      </c>
      <c r="S412" s="334">
        <f t="shared" si="169"/>
        <v>5.4506249999999996</v>
      </c>
      <c r="T412" s="31">
        <f>VLOOKUP(A412,'Ansvar kurs'!$A$1:$C$1010,2,FALSE)</f>
        <v>1630</v>
      </c>
      <c r="U412" s="31" t="str">
        <f>VLOOKUP(T412,Orgenheter!$A$1:$C$165,2,FALSE)</f>
        <v>Inst för ide- o samhällsstudier</v>
      </c>
      <c r="V412" s="31" t="str">
        <f>VLOOKUP(T412,Orgenheter!$A$1:$C$165,3,FALSE)</f>
        <v>Hum</v>
      </c>
      <c r="W412" s="37" t="str">
        <f>VLOOKUP(D412,Program!$A$1:$B$34,2,FALSE)</f>
        <v>Förskollärarprogrammet</v>
      </c>
      <c r="X412" s="42">
        <f>VLOOKUP(A412,kurspris!$A$1:$Q$798,15,FALSE)</f>
        <v>23641</v>
      </c>
      <c r="Y412" s="42">
        <f>VLOOKUP(A412,kurspris!$A$1:$Q$798,16,FALSE)</f>
        <v>28786</v>
      </c>
      <c r="Z412" s="42">
        <f t="shared" si="170"/>
        <v>308499.60375000001</v>
      </c>
      <c r="AA412" s="42">
        <f>VLOOKUP(A412,kurspris!$A$1:$Q$798,17,FALSE)</f>
        <v>5800</v>
      </c>
      <c r="AB412" s="42">
        <f t="shared" si="171"/>
        <v>37192.5</v>
      </c>
      <c r="AC412" s="42">
        <f t="shared" si="172"/>
        <v>345692.10375000001</v>
      </c>
      <c r="AD412" s="31">
        <f>VLOOKUP($A412,kurspris!$A$1:$Q$835,3,FALSE)</f>
        <v>0</v>
      </c>
      <c r="AE412" s="31">
        <f>VLOOKUP($A412,kurspris!$A$1:$Q$835,4,FALSE)</f>
        <v>0</v>
      </c>
      <c r="AF412" s="31">
        <f>VLOOKUP($A412,kurspris!$A$1:$Q$835,5,FALSE)</f>
        <v>0</v>
      </c>
      <c r="AG412" s="31">
        <f>VLOOKUP($A412,kurspris!$A$1:$Q$835,6,FALSE)</f>
        <v>1</v>
      </c>
      <c r="AH412" s="31">
        <f>VLOOKUP($A412,kurspris!$A$1:$Q$835,7,FALSE)</f>
        <v>0</v>
      </c>
      <c r="AI412" s="31">
        <f>VLOOKUP($A412,kurspris!$A$1:$Q$835,8,FALSE)</f>
        <v>0</v>
      </c>
      <c r="AJ412" s="31">
        <f>VLOOKUP($A412,kurspris!$A$1:$Q$835,9,FALSE)</f>
        <v>0</v>
      </c>
      <c r="AK412" s="31">
        <f>VLOOKUP($A412,kurspris!$A$1:$Q$835,10,FALSE)</f>
        <v>0</v>
      </c>
      <c r="AL412" s="31">
        <f>VLOOKUP($A412,kurspris!$A$1:$Q$835,11,FALSE)</f>
        <v>0</v>
      </c>
      <c r="AM412" s="31">
        <f>VLOOKUP($A412,kurspris!$A$1:$Q$835,12,FALSE)</f>
        <v>0</v>
      </c>
      <c r="AN412" s="31">
        <f>VLOOKUP($A412,kurspris!$A$1:$Q$835,13,FALSE)</f>
        <v>0</v>
      </c>
      <c r="AO412" s="31">
        <f>VLOOKUP($A412,kurspris!$A$1:$Q$835,14,FALSE)</f>
        <v>0</v>
      </c>
      <c r="AP412" s="39" t="s">
        <v>1631</v>
      </c>
      <c r="AQ412"/>
      <c r="AR412" s="31">
        <f t="shared" si="173"/>
        <v>0</v>
      </c>
      <c r="AS412" s="255">
        <f t="shared" si="174"/>
        <v>0</v>
      </c>
      <c r="AT412" s="31">
        <f t="shared" si="175"/>
        <v>0</v>
      </c>
      <c r="AU412" s="255">
        <f t="shared" si="176"/>
        <v>0</v>
      </c>
      <c r="AV412" s="31">
        <f t="shared" si="177"/>
        <v>0</v>
      </c>
      <c r="AW412" s="31">
        <f t="shared" si="178"/>
        <v>0</v>
      </c>
      <c r="AX412" s="31">
        <f t="shared" si="179"/>
        <v>6.4124999999999996</v>
      </c>
      <c r="AY412" s="255">
        <f t="shared" si="180"/>
        <v>5.4506249999999996</v>
      </c>
      <c r="AZ412" s="232">
        <f t="shared" si="181"/>
        <v>0</v>
      </c>
      <c r="BA412" s="255">
        <f t="shared" si="182"/>
        <v>0</v>
      </c>
      <c r="BB412" s="31">
        <f t="shared" si="183"/>
        <v>0</v>
      </c>
      <c r="BC412" s="255">
        <f t="shared" si="184"/>
        <v>0</v>
      </c>
      <c r="BD412" s="31">
        <f t="shared" si="185"/>
        <v>0</v>
      </c>
      <c r="BE412" s="255">
        <f t="shared" si="186"/>
        <v>0</v>
      </c>
      <c r="BF412" s="31">
        <f t="shared" si="187"/>
        <v>0</v>
      </c>
      <c r="BG412" s="255">
        <f t="shared" si="188"/>
        <v>0</v>
      </c>
      <c r="BH412" s="31">
        <f t="shared" si="189"/>
        <v>0</v>
      </c>
      <c r="BI412" s="255">
        <f t="shared" si="190"/>
        <v>0</v>
      </c>
      <c r="BJ412" s="31">
        <f t="shared" si="191"/>
        <v>0</v>
      </c>
      <c r="BK412" s="31">
        <f t="shared" si="192"/>
        <v>0</v>
      </c>
      <c r="BL412" s="255">
        <f t="shared" si="193"/>
        <v>0</v>
      </c>
      <c r="BM412" s="31">
        <f t="shared" si="194"/>
        <v>0</v>
      </c>
      <c r="BN412" s="255">
        <f t="shared" si="195"/>
        <v>0</v>
      </c>
    </row>
    <row r="413" spans="1:66" x14ac:dyDescent="0.25">
      <c r="A413" t="s">
        <v>1154</v>
      </c>
      <c r="B413" s="186" t="str">
        <f>VLOOKUP(A413,kurspris!$A$1:$B$877,2,FALSE)</f>
        <v>Etik, demokrati och det heterogena klassrummet, 7,5 hp</v>
      </c>
      <c r="C413"/>
      <c r="D413" t="s">
        <v>484</v>
      </c>
      <c r="E413" s="39" t="s">
        <v>1930</v>
      </c>
      <c r="F413" s="39" t="s">
        <v>1930</v>
      </c>
      <c r="G413" t="s">
        <v>1933</v>
      </c>
      <c r="H413" t="s">
        <v>1910</v>
      </c>
      <c r="I413"/>
      <c r="J413"/>
      <c r="K413"/>
      <c r="L413">
        <v>100</v>
      </c>
      <c r="M413">
        <v>7.5</v>
      </c>
      <c r="N413"/>
      <c r="O413"/>
      <c r="P413" s="31">
        <v>19</v>
      </c>
      <c r="Q413" s="232">
        <f t="shared" si="168"/>
        <v>2.375</v>
      </c>
      <c r="R413" s="40">
        <v>0.85</v>
      </c>
      <c r="S413" s="334">
        <f t="shared" si="169"/>
        <v>2.0187499999999998</v>
      </c>
      <c r="T413" s="31">
        <f>VLOOKUP(A413,'Ansvar kurs'!$A$1:$C$1010,2,FALSE)</f>
        <v>1630</v>
      </c>
      <c r="U413" s="31" t="str">
        <f>VLOOKUP(T413,Orgenheter!$A$1:$C$165,2,FALSE)</f>
        <v>Inst för ide- o samhällsstudier</v>
      </c>
      <c r="V413" s="31" t="str">
        <f>VLOOKUP(T413,Orgenheter!$A$1:$C$165,3,FALSE)</f>
        <v>Hum</v>
      </c>
      <c r="W413" s="37" t="str">
        <f>VLOOKUP(D413,Program!$A$1:$B$34,2,FALSE)</f>
        <v>Förskollärarprogrammet</v>
      </c>
      <c r="X413" s="42">
        <f>VLOOKUP(A413,kurspris!$A$1:$Q$798,15,FALSE)</f>
        <v>23641</v>
      </c>
      <c r="Y413" s="42">
        <f>VLOOKUP(A413,kurspris!$A$1:$Q$798,16,FALSE)</f>
        <v>28786</v>
      </c>
      <c r="Z413" s="42">
        <f t="shared" si="170"/>
        <v>114259.11249999999</v>
      </c>
      <c r="AA413" s="42">
        <f>VLOOKUP(A413,kurspris!$A$1:$Q$798,17,FALSE)</f>
        <v>5800</v>
      </c>
      <c r="AB413" s="42">
        <f t="shared" si="171"/>
        <v>13775</v>
      </c>
      <c r="AC413" s="42">
        <f t="shared" si="172"/>
        <v>128034.11249999999</v>
      </c>
      <c r="AD413" s="31">
        <f>VLOOKUP($A413,kurspris!$A$1:$Q$835,3,FALSE)</f>
        <v>0</v>
      </c>
      <c r="AE413" s="31">
        <f>VLOOKUP($A413,kurspris!$A$1:$Q$835,4,FALSE)</f>
        <v>0</v>
      </c>
      <c r="AF413" s="31">
        <f>VLOOKUP($A413,kurspris!$A$1:$Q$835,5,FALSE)</f>
        <v>0</v>
      </c>
      <c r="AG413" s="31">
        <f>VLOOKUP($A413,kurspris!$A$1:$Q$835,6,FALSE)</f>
        <v>1</v>
      </c>
      <c r="AH413" s="31">
        <f>VLOOKUP($A413,kurspris!$A$1:$Q$835,7,FALSE)</f>
        <v>0</v>
      </c>
      <c r="AI413" s="31">
        <f>VLOOKUP($A413,kurspris!$A$1:$Q$835,8,FALSE)</f>
        <v>0</v>
      </c>
      <c r="AJ413" s="31">
        <f>VLOOKUP($A413,kurspris!$A$1:$Q$835,9,FALSE)</f>
        <v>0</v>
      </c>
      <c r="AK413" s="31">
        <f>VLOOKUP($A413,kurspris!$A$1:$Q$835,10,FALSE)</f>
        <v>0</v>
      </c>
      <c r="AL413" s="31">
        <f>VLOOKUP($A413,kurspris!$A$1:$Q$835,11,FALSE)</f>
        <v>0</v>
      </c>
      <c r="AM413" s="31">
        <f>VLOOKUP($A413,kurspris!$A$1:$Q$835,12,FALSE)</f>
        <v>0</v>
      </c>
      <c r="AN413" s="31">
        <f>VLOOKUP($A413,kurspris!$A$1:$Q$835,13,FALSE)</f>
        <v>0</v>
      </c>
      <c r="AO413" s="31">
        <f>VLOOKUP($A413,kurspris!$A$1:$Q$835,14,FALSE)</f>
        <v>0</v>
      </c>
      <c r="AP413" s="39" t="s">
        <v>2232</v>
      </c>
      <c r="AQ413"/>
      <c r="AR413" s="31">
        <f t="shared" si="173"/>
        <v>0</v>
      </c>
      <c r="AS413" s="255">
        <f t="shared" si="174"/>
        <v>0</v>
      </c>
      <c r="AT413" s="31">
        <f t="shared" si="175"/>
        <v>0</v>
      </c>
      <c r="AU413" s="255">
        <f t="shared" si="176"/>
        <v>0</v>
      </c>
      <c r="AV413" s="31">
        <f t="shared" si="177"/>
        <v>0</v>
      </c>
      <c r="AW413" s="31">
        <f t="shared" si="178"/>
        <v>0</v>
      </c>
      <c r="AX413" s="31">
        <f t="shared" si="179"/>
        <v>2.375</v>
      </c>
      <c r="AY413" s="255">
        <f t="shared" si="180"/>
        <v>2.0187499999999998</v>
      </c>
      <c r="AZ413" s="232">
        <f t="shared" si="181"/>
        <v>0</v>
      </c>
      <c r="BA413" s="255">
        <f t="shared" si="182"/>
        <v>0</v>
      </c>
      <c r="BB413" s="31">
        <f t="shared" si="183"/>
        <v>0</v>
      </c>
      <c r="BC413" s="255">
        <f t="shared" si="184"/>
        <v>0</v>
      </c>
      <c r="BD413" s="31">
        <f t="shared" si="185"/>
        <v>0</v>
      </c>
      <c r="BE413" s="255">
        <f t="shared" si="186"/>
        <v>0</v>
      </c>
      <c r="BF413" s="31">
        <f t="shared" si="187"/>
        <v>0</v>
      </c>
      <c r="BG413" s="255">
        <f t="shared" si="188"/>
        <v>0</v>
      </c>
      <c r="BH413" s="31">
        <f t="shared" si="189"/>
        <v>0</v>
      </c>
      <c r="BI413" s="255">
        <f t="shared" si="190"/>
        <v>0</v>
      </c>
      <c r="BJ413" s="31">
        <f t="shared" si="191"/>
        <v>0</v>
      </c>
      <c r="BK413" s="31">
        <f t="shared" si="192"/>
        <v>0</v>
      </c>
      <c r="BL413" s="255">
        <f t="shared" si="193"/>
        <v>0</v>
      </c>
      <c r="BM413" s="31">
        <f t="shared" si="194"/>
        <v>0</v>
      </c>
      <c r="BN413" s="255">
        <f t="shared" si="195"/>
        <v>0</v>
      </c>
    </row>
    <row r="414" spans="1:66" x14ac:dyDescent="0.25">
      <c r="A414" s="18" t="s">
        <v>1154</v>
      </c>
      <c r="B414" s="186" t="str">
        <f>VLOOKUP(A414,kurspris!$A$1:$B$877,2,FALSE)</f>
        <v>Etik, demokrati och det heterogena klassrummet, 7,5 hp</v>
      </c>
      <c r="C414" s="37"/>
      <c r="D414" s="31" t="s">
        <v>485</v>
      </c>
      <c r="E414" s="31" t="s">
        <v>1931</v>
      </c>
      <c r="F414" s="59" t="s">
        <v>1931</v>
      </c>
      <c r="G414" s="31" t="s">
        <v>2269</v>
      </c>
      <c r="L414" s="31">
        <v>100</v>
      </c>
      <c r="M414" s="31">
        <v>7.5</v>
      </c>
      <c r="N414" s="40">
        <v>-0.15</v>
      </c>
      <c r="O414" s="31">
        <v>25</v>
      </c>
      <c r="P414" s="377">
        <f>O414+(O414*N414)</f>
        <v>21.25</v>
      </c>
      <c r="Q414" s="232">
        <f t="shared" si="168"/>
        <v>2.65625</v>
      </c>
      <c r="R414" s="40">
        <v>0.85</v>
      </c>
      <c r="S414" s="334">
        <f t="shared" si="169"/>
        <v>2.2578125</v>
      </c>
      <c r="T414" s="31">
        <f>VLOOKUP(A414,'Ansvar kurs'!$A$1:$C$1010,2,FALSE)</f>
        <v>1630</v>
      </c>
      <c r="U414" s="31" t="str">
        <f>VLOOKUP(T414,Orgenheter!$A$1:$C$165,2,FALSE)</f>
        <v>Inst för ide- o samhällsstudier</v>
      </c>
      <c r="V414" s="31" t="str">
        <f>VLOOKUP(T414,Orgenheter!$A$1:$C$165,3,FALSE)</f>
        <v>Hum</v>
      </c>
      <c r="W414" s="37" t="str">
        <f>VLOOKUP(D414,Program!$A$1:$B$34,2,FALSE)</f>
        <v>Grundlärarprogrammet - fritidshem</v>
      </c>
      <c r="X414" s="42">
        <f>VLOOKUP(A414,kurspris!$A$1:$Q$798,15,FALSE)</f>
        <v>23641</v>
      </c>
      <c r="Y414" s="42">
        <f>VLOOKUP(A414,kurspris!$A$1:$Q$798,16,FALSE)</f>
        <v>28786</v>
      </c>
      <c r="Z414" s="42">
        <f t="shared" si="170"/>
        <v>127789.796875</v>
      </c>
      <c r="AA414" s="42">
        <f>VLOOKUP(A414,kurspris!$A$1:$Q$798,17,FALSE)</f>
        <v>5800</v>
      </c>
      <c r="AB414" s="42">
        <f t="shared" si="171"/>
        <v>15406.25</v>
      </c>
      <c r="AC414" s="42">
        <f t="shared" si="172"/>
        <v>143196.046875</v>
      </c>
      <c r="AD414" s="31">
        <f>VLOOKUP($A414,kurspris!$A$1:$Q$835,3,FALSE)</f>
        <v>0</v>
      </c>
      <c r="AE414" s="31">
        <f>VLOOKUP($A414,kurspris!$A$1:$Q$835,4,FALSE)</f>
        <v>0</v>
      </c>
      <c r="AF414" s="31">
        <f>VLOOKUP($A414,kurspris!$A$1:$Q$835,5,FALSE)</f>
        <v>0</v>
      </c>
      <c r="AG414" s="31">
        <f>VLOOKUP($A414,kurspris!$A$1:$Q$835,6,FALSE)</f>
        <v>1</v>
      </c>
      <c r="AH414" s="31">
        <f>VLOOKUP($A414,kurspris!$A$1:$Q$835,7,FALSE)</f>
        <v>0</v>
      </c>
      <c r="AI414" s="31">
        <f>VLOOKUP($A414,kurspris!$A$1:$Q$835,8,FALSE)</f>
        <v>0</v>
      </c>
      <c r="AJ414" s="31">
        <f>VLOOKUP($A414,kurspris!$A$1:$Q$835,9,FALSE)</f>
        <v>0</v>
      </c>
      <c r="AK414" s="31">
        <f>VLOOKUP($A414,kurspris!$A$1:$Q$835,10,FALSE)</f>
        <v>0</v>
      </c>
      <c r="AL414" s="31">
        <f>VLOOKUP($A414,kurspris!$A$1:$Q$835,11,FALSE)</f>
        <v>0</v>
      </c>
      <c r="AM414" s="31">
        <f>VLOOKUP($A414,kurspris!$A$1:$Q$835,12,FALSE)</f>
        <v>0</v>
      </c>
      <c r="AN414" s="31">
        <f>VLOOKUP($A414,kurspris!$A$1:$Q$835,13,FALSE)</f>
        <v>0</v>
      </c>
      <c r="AO414" s="31">
        <f>VLOOKUP($A414,kurspris!$A$1:$Q$835,14,FALSE)</f>
        <v>0</v>
      </c>
      <c r="AP414" s="39" t="s">
        <v>1631</v>
      </c>
      <c r="AQ414"/>
      <c r="AR414" s="31">
        <f t="shared" si="173"/>
        <v>0</v>
      </c>
      <c r="AS414" s="255">
        <f t="shared" si="174"/>
        <v>0</v>
      </c>
      <c r="AT414" s="31">
        <f t="shared" si="175"/>
        <v>0</v>
      </c>
      <c r="AU414" s="255">
        <f t="shared" si="176"/>
        <v>0</v>
      </c>
      <c r="AV414" s="31">
        <f t="shared" si="177"/>
        <v>0</v>
      </c>
      <c r="AW414" s="31">
        <f t="shared" si="178"/>
        <v>0</v>
      </c>
      <c r="AX414" s="31">
        <f t="shared" si="179"/>
        <v>2.65625</v>
      </c>
      <c r="AY414" s="255">
        <f t="shared" si="180"/>
        <v>2.2578125</v>
      </c>
      <c r="AZ414" s="232">
        <f t="shared" si="181"/>
        <v>0</v>
      </c>
      <c r="BA414" s="255">
        <f t="shared" si="182"/>
        <v>0</v>
      </c>
      <c r="BB414" s="31">
        <f t="shared" si="183"/>
        <v>0</v>
      </c>
      <c r="BC414" s="255">
        <f t="shared" si="184"/>
        <v>0</v>
      </c>
      <c r="BD414" s="31">
        <f t="shared" si="185"/>
        <v>0</v>
      </c>
      <c r="BE414" s="255">
        <f t="shared" si="186"/>
        <v>0</v>
      </c>
      <c r="BF414" s="31">
        <f t="shared" si="187"/>
        <v>0</v>
      </c>
      <c r="BG414" s="255">
        <f t="shared" si="188"/>
        <v>0</v>
      </c>
      <c r="BH414" s="31">
        <f t="shared" si="189"/>
        <v>0</v>
      </c>
      <c r="BI414" s="255">
        <f t="shared" si="190"/>
        <v>0</v>
      </c>
      <c r="BJ414" s="31">
        <f t="shared" si="191"/>
        <v>0</v>
      </c>
      <c r="BK414" s="31">
        <f t="shared" si="192"/>
        <v>0</v>
      </c>
      <c r="BL414" s="255">
        <f t="shared" si="193"/>
        <v>0</v>
      </c>
      <c r="BM414" s="31">
        <f t="shared" si="194"/>
        <v>0</v>
      </c>
      <c r="BN414" s="255">
        <f t="shared" si="195"/>
        <v>0</v>
      </c>
    </row>
    <row r="415" spans="1:66" x14ac:dyDescent="0.25">
      <c r="A415" s="18" t="s">
        <v>1154</v>
      </c>
      <c r="B415" s="186" t="str">
        <f>VLOOKUP(A415,kurspris!$A$1:$B$877,2,FALSE)</f>
        <v>Etik, demokrati och det heterogena klassrummet, 7,5 hp</v>
      </c>
      <c r="C415" s="37"/>
      <c r="D415" s="31" t="s">
        <v>486</v>
      </c>
      <c r="E415" s="31" t="s">
        <v>1975</v>
      </c>
      <c r="F415" s="59" t="s">
        <v>1931</v>
      </c>
      <c r="G415" s="31" t="s">
        <v>2269</v>
      </c>
      <c r="L415" s="31">
        <v>100</v>
      </c>
      <c r="M415" s="31">
        <v>7.5</v>
      </c>
      <c r="P415" s="31">
        <v>1</v>
      </c>
      <c r="Q415" s="232">
        <f t="shared" si="168"/>
        <v>0.125</v>
      </c>
      <c r="R415" s="40">
        <v>0.85</v>
      </c>
      <c r="S415" s="334">
        <f t="shared" si="169"/>
        <v>0.10625</v>
      </c>
      <c r="T415" s="31">
        <f>VLOOKUP(A415,'Ansvar kurs'!$A$1:$C$1010,2,FALSE)</f>
        <v>1630</v>
      </c>
      <c r="U415" s="31" t="str">
        <f>VLOOKUP(T415,Orgenheter!$A$1:$C$165,2,FALSE)</f>
        <v>Inst för ide- o samhällsstudier</v>
      </c>
      <c r="V415" s="31" t="str">
        <f>VLOOKUP(T415,Orgenheter!$A$1:$C$165,3,FALSE)</f>
        <v>Hum</v>
      </c>
      <c r="W415" s="37" t="str">
        <f>VLOOKUP(D415,Program!$A$1:$B$34,2,FALSE)</f>
        <v>Grundlärarprogrammet - förskoleklass och åk 1-3</v>
      </c>
      <c r="X415" s="42">
        <f>VLOOKUP(A415,kurspris!$A$1:$Q$798,15,FALSE)</f>
        <v>23641</v>
      </c>
      <c r="Y415" s="42">
        <f>VLOOKUP(A415,kurspris!$A$1:$Q$798,16,FALSE)</f>
        <v>28786</v>
      </c>
      <c r="Z415" s="42">
        <f t="shared" si="170"/>
        <v>6013.6374999999998</v>
      </c>
      <c r="AA415" s="42">
        <f>VLOOKUP(A415,kurspris!$A$1:$Q$798,17,FALSE)</f>
        <v>5800</v>
      </c>
      <c r="AB415" s="42">
        <f t="shared" si="171"/>
        <v>725</v>
      </c>
      <c r="AC415" s="42">
        <f t="shared" si="172"/>
        <v>6738.6374999999998</v>
      </c>
      <c r="AD415" s="31">
        <f>VLOOKUP($A415,kurspris!$A$1:$Q$835,3,FALSE)</f>
        <v>0</v>
      </c>
      <c r="AE415" s="31">
        <f>VLOOKUP($A415,kurspris!$A$1:$Q$835,4,FALSE)</f>
        <v>0</v>
      </c>
      <c r="AF415" s="31">
        <f>VLOOKUP($A415,kurspris!$A$1:$Q$835,5,FALSE)</f>
        <v>0</v>
      </c>
      <c r="AG415" s="31">
        <f>VLOOKUP($A415,kurspris!$A$1:$Q$835,6,FALSE)</f>
        <v>1</v>
      </c>
      <c r="AH415" s="31">
        <f>VLOOKUP($A415,kurspris!$A$1:$Q$835,7,FALSE)</f>
        <v>0</v>
      </c>
      <c r="AI415" s="31">
        <f>VLOOKUP($A415,kurspris!$A$1:$Q$835,8,FALSE)</f>
        <v>0</v>
      </c>
      <c r="AJ415" s="31">
        <f>VLOOKUP($A415,kurspris!$A$1:$Q$835,9,FALSE)</f>
        <v>0</v>
      </c>
      <c r="AK415" s="31">
        <f>VLOOKUP($A415,kurspris!$A$1:$Q$835,10,FALSE)</f>
        <v>0</v>
      </c>
      <c r="AL415" s="31">
        <f>VLOOKUP($A415,kurspris!$A$1:$Q$835,11,FALSE)</f>
        <v>0</v>
      </c>
      <c r="AM415" s="31">
        <f>VLOOKUP($A415,kurspris!$A$1:$Q$835,12,FALSE)</f>
        <v>0</v>
      </c>
      <c r="AN415" s="31">
        <f>VLOOKUP($A415,kurspris!$A$1:$Q$835,13,FALSE)</f>
        <v>0</v>
      </c>
      <c r="AO415" s="31">
        <f>VLOOKUP($A415,kurspris!$A$1:$Q$835,14,FALSE)</f>
        <v>0</v>
      </c>
      <c r="AP415" s="39" t="s">
        <v>2326</v>
      </c>
      <c r="AQ415"/>
      <c r="AR415" s="31">
        <f t="shared" si="173"/>
        <v>0</v>
      </c>
      <c r="AS415" s="255">
        <f t="shared" si="174"/>
        <v>0</v>
      </c>
      <c r="AT415" s="31">
        <f t="shared" si="175"/>
        <v>0</v>
      </c>
      <c r="AU415" s="255">
        <f t="shared" si="176"/>
        <v>0</v>
      </c>
      <c r="AV415" s="31">
        <f t="shared" si="177"/>
        <v>0</v>
      </c>
      <c r="AW415" s="31">
        <f t="shared" si="178"/>
        <v>0</v>
      </c>
      <c r="AX415" s="31">
        <f t="shared" si="179"/>
        <v>0.125</v>
      </c>
      <c r="AY415" s="255">
        <f t="shared" si="180"/>
        <v>0.10625</v>
      </c>
      <c r="AZ415" s="232">
        <f t="shared" si="181"/>
        <v>0</v>
      </c>
      <c r="BA415" s="255">
        <f t="shared" si="182"/>
        <v>0</v>
      </c>
      <c r="BB415" s="31">
        <f t="shared" si="183"/>
        <v>0</v>
      </c>
      <c r="BC415" s="255">
        <f t="shared" si="184"/>
        <v>0</v>
      </c>
      <c r="BD415" s="31">
        <f t="shared" si="185"/>
        <v>0</v>
      </c>
      <c r="BE415" s="255">
        <f t="shared" si="186"/>
        <v>0</v>
      </c>
      <c r="BF415" s="31">
        <f t="shared" si="187"/>
        <v>0</v>
      </c>
      <c r="BG415" s="255">
        <f t="shared" si="188"/>
        <v>0</v>
      </c>
      <c r="BH415" s="31">
        <f t="shared" si="189"/>
        <v>0</v>
      </c>
      <c r="BI415" s="255">
        <f t="shared" si="190"/>
        <v>0</v>
      </c>
      <c r="BJ415" s="31">
        <f t="shared" si="191"/>
        <v>0</v>
      </c>
      <c r="BK415" s="31">
        <f t="shared" si="192"/>
        <v>0</v>
      </c>
      <c r="BL415" s="255">
        <f t="shared" si="193"/>
        <v>0</v>
      </c>
      <c r="BM415" s="31">
        <f t="shared" si="194"/>
        <v>0</v>
      </c>
      <c r="BN415" s="255">
        <f t="shared" si="195"/>
        <v>0</v>
      </c>
    </row>
    <row r="416" spans="1:66" x14ac:dyDescent="0.25">
      <c r="A416" s="18" t="s">
        <v>1154</v>
      </c>
      <c r="B416" s="186" t="str">
        <f>VLOOKUP(A416,kurspris!$A$1:$B$877,2,FALSE)</f>
        <v>Etik, demokrati och det heterogena klassrummet, 7,5 hp</v>
      </c>
      <c r="C416" s="37"/>
      <c r="D416" s="31" t="s">
        <v>486</v>
      </c>
      <c r="E416" s="31" t="s">
        <v>1788</v>
      </c>
      <c r="F416" s="59" t="s">
        <v>1931</v>
      </c>
      <c r="G416" s="31" t="s">
        <v>2269</v>
      </c>
      <c r="L416" s="31">
        <v>100</v>
      </c>
      <c r="M416" s="31">
        <v>7.5</v>
      </c>
      <c r="P416" s="31">
        <v>1</v>
      </c>
      <c r="Q416" s="232">
        <f t="shared" si="168"/>
        <v>0.125</v>
      </c>
      <c r="R416" s="40">
        <v>0.85</v>
      </c>
      <c r="S416" s="334">
        <f t="shared" si="169"/>
        <v>0.10625</v>
      </c>
      <c r="T416" s="31">
        <f>VLOOKUP(A416,'Ansvar kurs'!$A$1:$C$1010,2,FALSE)</f>
        <v>1630</v>
      </c>
      <c r="U416" s="31" t="str">
        <f>VLOOKUP(T416,Orgenheter!$A$1:$C$165,2,FALSE)</f>
        <v>Inst för ide- o samhällsstudier</v>
      </c>
      <c r="V416" s="31" t="str">
        <f>VLOOKUP(T416,Orgenheter!$A$1:$C$165,3,FALSE)</f>
        <v>Hum</v>
      </c>
      <c r="W416" s="37" t="str">
        <f>VLOOKUP(D416,Program!$A$1:$B$34,2,FALSE)</f>
        <v>Grundlärarprogrammet - förskoleklass och åk 1-3</v>
      </c>
      <c r="X416" s="42">
        <f>VLOOKUP(A416,kurspris!$A$1:$Q$798,15,FALSE)</f>
        <v>23641</v>
      </c>
      <c r="Y416" s="42">
        <f>VLOOKUP(A416,kurspris!$A$1:$Q$798,16,FALSE)</f>
        <v>28786</v>
      </c>
      <c r="Z416" s="42">
        <f t="shared" si="170"/>
        <v>6013.6374999999998</v>
      </c>
      <c r="AA416" s="42">
        <f>VLOOKUP(A416,kurspris!$A$1:$Q$798,17,FALSE)</f>
        <v>5800</v>
      </c>
      <c r="AB416" s="42">
        <f t="shared" si="171"/>
        <v>725</v>
      </c>
      <c r="AC416" s="42">
        <f t="shared" si="172"/>
        <v>6738.6374999999998</v>
      </c>
      <c r="AD416" s="31">
        <f>VLOOKUP($A416,kurspris!$A$1:$Q$835,3,FALSE)</f>
        <v>0</v>
      </c>
      <c r="AE416" s="31">
        <f>VLOOKUP($A416,kurspris!$A$1:$Q$835,4,FALSE)</f>
        <v>0</v>
      </c>
      <c r="AF416" s="31">
        <f>VLOOKUP($A416,kurspris!$A$1:$Q$835,5,FALSE)</f>
        <v>0</v>
      </c>
      <c r="AG416" s="31">
        <f>VLOOKUP($A416,kurspris!$A$1:$Q$835,6,FALSE)</f>
        <v>1</v>
      </c>
      <c r="AH416" s="31">
        <f>VLOOKUP($A416,kurspris!$A$1:$Q$835,7,FALSE)</f>
        <v>0</v>
      </c>
      <c r="AI416" s="31">
        <f>VLOOKUP($A416,kurspris!$A$1:$Q$835,8,FALSE)</f>
        <v>0</v>
      </c>
      <c r="AJ416" s="31">
        <f>VLOOKUP($A416,kurspris!$A$1:$Q$835,9,FALSE)</f>
        <v>0</v>
      </c>
      <c r="AK416" s="31">
        <f>VLOOKUP($A416,kurspris!$A$1:$Q$835,10,FALSE)</f>
        <v>0</v>
      </c>
      <c r="AL416" s="31">
        <f>VLOOKUP($A416,kurspris!$A$1:$Q$835,11,FALSE)</f>
        <v>0</v>
      </c>
      <c r="AM416" s="31">
        <f>VLOOKUP($A416,kurspris!$A$1:$Q$835,12,FALSE)</f>
        <v>0</v>
      </c>
      <c r="AN416" s="31">
        <f>VLOOKUP($A416,kurspris!$A$1:$Q$835,13,FALSE)</f>
        <v>0</v>
      </c>
      <c r="AO416" s="31">
        <f>VLOOKUP($A416,kurspris!$A$1:$Q$835,14,FALSE)</f>
        <v>0</v>
      </c>
      <c r="AP416" s="39" t="s">
        <v>2326</v>
      </c>
      <c r="AQ416"/>
      <c r="AR416" s="31">
        <f t="shared" si="173"/>
        <v>0</v>
      </c>
      <c r="AS416" s="255">
        <f t="shared" si="174"/>
        <v>0</v>
      </c>
      <c r="AT416" s="31">
        <f t="shared" si="175"/>
        <v>0</v>
      </c>
      <c r="AU416" s="255">
        <f t="shared" si="176"/>
        <v>0</v>
      </c>
      <c r="AV416" s="31">
        <f t="shared" si="177"/>
        <v>0</v>
      </c>
      <c r="AW416" s="31">
        <f t="shared" si="178"/>
        <v>0</v>
      </c>
      <c r="AX416" s="31">
        <f t="shared" si="179"/>
        <v>0.125</v>
      </c>
      <c r="AY416" s="255">
        <f t="shared" si="180"/>
        <v>0.10625</v>
      </c>
      <c r="AZ416" s="232">
        <f t="shared" si="181"/>
        <v>0</v>
      </c>
      <c r="BA416" s="255">
        <f t="shared" si="182"/>
        <v>0</v>
      </c>
      <c r="BB416" s="31">
        <f t="shared" si="183"/>
        <v>0</v>
      </c>
      <c r="BC416" s="255">
        <f t="shared" si="184"/>
        <v>0</v>
      </c>
      <c r="BD416" s="31">
        <f t="shared" si="185"/>
        <v>0</v>
      </c>
      <c r="BE416" s="255">
        <f t="shared" si="186"/>
        <v>0</v>
      </c>
      <c r="BF416" s="31">
        <f t="shared" si="187"/>
        <v>0</v>
      </c>
      <c r="BG416" s="255">
        <f t="shared" si="188"/>
        <v>0</v>
      </c>
      <c r="BH416" s="31">
        <f t="shared" si="189"/>
        <v>0</v>
      </c>
      <c r="BI416" s="255">
        <f t="shared" si="190"/>
        <v>0</v>
      </c>
      <c r="BJ416" s="31">
        <f t="shared" si="191"/>
        <v>0</v>
      </c>
      <c r="BK416" s="31">
        <f t="shared" si="192"/>
        <v>0</v>
      </c>
      <c r="BL416" s="255">
        <f t="shared" si="193"/>
        <v>0</v>
      </c>
      <c r="BM416" s="31">
        <f t="shared" si="194"/>
        <v>0</v>
      </c>
      <c r="BN416" s="255">
        <f t="shared" si="195"/>
        <v>0</v>
      </c>
    </row>
    <row r="417" spans="1:66" x14ac:dyDescent="0.25">
      <c r="A417" s="59" t="s">
        <v>1154</v>
      </c>
      <c r="B417" s="186" t="str">
        <f>VLOOKUP(A417,kurspris!$A$1:$B$877,2,FALSE)</f>
        <v>Etik, demokrati och det heterogena klassrummet, 7,5 hp</v>
      </c>
      <c r="D417" s="59" t="s">
        <v>486</v>
      </c>
      <c r="E417" s="62" t="s">
        <v>1931</v>
      </c>
      <c r="F417" s="59" t="s">
        <v>1931</v>
      </c>
      <c r="G417" s="31" t="s">
        <v>2269</v>
      </c>
      <c r="L417" s="31">
        <v>100</v>
      </c>
      <c r="M417" s="378">
        <v>7.5</v>
      </c>
      <c r="N417" s="40">
        <v>-0.08</v>
      </c>
      <c r="O417" s="31">
        <v>51</v>
      </c>
      <c r="P417" s="377">
        <f>O417+(O417*N417)</f>
        <v>46.92</v>
      </c>
      <c r="Q417" s="232">
        <f t="shared" si="168"/>
        <v>5.8650000000000002</v>
      </c>
      <c r="R417" s="40">
        <v>0.85</v>
      </c>
      <c r="S417" s="334">
        <f t="shared" si="169"/>
        <v>4.9852499999999997</v>
      </c>
      <c r="T417" s="31">
        <f>VLOOKUP(A417,'Ansvar kurs'!$A$1:$C$1010,2,FALSE)</f>
        <v>1630</v>
      </c>
      <c r="U417" s="31" t="str">
        <f>VLOOKUP(T417,Orgenheter!$A$1:$C$165,2,FALSE)</f>
        <v>Inst för ide- o samhällsstudier</v>
      </c>
      <c r="V417" s="31" t="str">
        <f>VLOOKUP(T417,Orgenheter!$A$1:$C$165,3,FALSE)</f>
        <v>Hum</v>
      </c>
      <c r="W417" s="37" t="str">
        <f>VLOOKUP(D417,Program!$A$1:$B$34,2,FALSE)</f>
        <v>Grundlärarprogrammet - förskoleklass och åk 1-3</v>
      </c>
      <c r="X417" s="42">
        <f>VLOOKUP(A417,kurspris!$A$1:$Q$798,15,FALSE)</f>
        <v>23641</v>
      </c>
      <c r="Y417" s="42">
        <f>VLOOKUP(A417,kurspris!$A$1:$Q$798,16,FALSE)</f>
        <v>28786</v>
      </c>
      <c r="Z417" s="42">
        <f t="shared" si="170"/>
        <v>282159.87150000001</v>
      </c>
      <c r="AA417" s="42">
        <f>VLOOKUP(A417,kurspris!$A$1:$Q$798,17,FALSE)</f>
        <v>5800</v>
      </c>
      <c r="AB417" s="42">
        <f t="shared" si="171"/>
        <v>34017</v>
      </c>
      <c r="AC417" s="42">
        <f t="shared" si="172"/>
        <v>316176.87150000001</v>
      </c>
      <c r="AD417" s="31">
        <f>VLOOKUP($A417,kurspris!$A$1:$Q$835,3,FALSE)</f>
        <v>0</v>
      </c>
      <c r="AE417" s="31">
        <f>VLOOKUP($A417,kurspris!$A$1:$Q$835,4,FALSE)</f>
        <v>0</v>
      </c>
      <c r="AF417" s="31">
        <f>VLOOKUP($A417,kurspris!$A$1:$Q$835,5,FALSE)</f>
        <v>0</v>
      </c>
      <c r="AG417" s="31">
        <f>VLOOKUP($A417,kurspris!$A$1:$Q$835,6,FALSE)</f>
        <v>1</v>
      </c>
      <c r="AH417" s="31">
        <f>VLOOKUP($A417,kurspris!$A$1:$Q$835,7,FALSE)</f>
        <v>0</v>
      </c>
      <c r="AI417" s="31">
        <f>VLOOKUP($A417,kurspris!$A$1:$Q$835,8,FALSE)</f>
        <v>0</v>
      </c>
      <c r="AJ417" s="31">
        <f>VLOOKUP($A417,kurspris!$A$1:$Q$835,9,FALSE)</f>
        <v>0</v>
      </c>
      <c r="AK417" s="31">
        <f>VLOOKUP($A417,kurspris!$A$1:$Q$835,10,FALSE)</f>
        <v>0</v>
      </c>
      <c r="AL417" s="31">
        <f>VLOOKUP($A417,kurspris!$A$1:$Q$835,11,FALSE)</f>
        <v>0</v>
      </c>
      <c r="AM417" s="31">
        <f>VLOOKUP($A417,kurspris!$A$1:$Q$835,12,FALSE)</f>
        <v>0</v>
      </c>
      <c r="AN417" s="31">
        <f>VLOOKUP($A417,kurspris!$A$1:$Q$835,13,FALSE)</f>
        <v>0</v>
      </c>
      <c r="AO417" s="31">
        <f>VLOOKUP($A417,kurspris!$A$1:$Q$835,14,FALSE)</f>
        <v>0</v>
      </c>
      <c r="AP417" s="39" t="s">
        <v>1631</v>
      </c>
      <c r="AQ417"/>
      <c r="AR417" s="31">
        <f t="shared" si="173"/>
        <v>0</v>
      </c>
      <c r="AS417" s="255">
        <f t="shared" si="174"/>
        <v>0</v>
      </c>
      <c r="AT417" s="31">
        <f t="shared" si="175"/>
        <v>0</v>
      </c>
      <c r="AU417" s="255">
        <f t="shared" si="176"/>
        <v>0</v>
      </c>
      <c r="AV417" s="31">
        <f t="shared" si="177"/>
        <v>0</v>
      </c>
      <c r="AW417" s="31">
        <f t="shared" si="178"/>
        <v>0</v>
      </c>
      <c r="AX417" s="31">
        <f t="shared" si="179"/>
        <v>5.8650000000000002</v>
      </c>
      <c r="AY417" s="255">
        <f t="shared" si="180"/>
        <v>4.9852499999999997</v>
      </c>
      <c r="AZ417" s="232">
        <f t="shared" si="181"/>
        <v>0</v>
      </c>
      <c r="BA417" s="255">
        <f t="shared" si="182"/>
        <v>0</v>
      </c>
      <c r="BB417" s="31">
        <f t="shared" si="183"/>
        <v>0</v>
      </c>
      <c r="BC417" s="255">
        <f t="shared" si="184"/>
        <v>0</v>
      </c>
      <c r="BD417" s="31">
        <f t="shared" si="185"/>
        <v>0</v>
      </c>
      <c r="BE417" s="255">
        <f t="shared" si="186"/>
        <v>0</v>
      </c>
      <c r="BF417" s="31">
        <f t="shared" si="187"/>
        <v>0</v>
      </c>
      <c r="BG417" s="255">
        <f t="shared" si="188"/>
        <v>0</v>
      </c>
      <c r="BH417" s="31">
        <f t="shared" si="189"/>
        <v>0</v>
      </c>
      <c r="BI417" s="255">
        <f t="shared" si="190"/>
        <v>0</v>
      </c>
      <c r="BJ417" s="31">
        <f t="shared" si="191"/>
        <v>0</v>
      </c>
      <c r="BK417" s="31">
        <f t="shared" si="192"/>
        <v>0</v>
      </c>
      <c r="BL417" s="255">
        <f t="shared" si="193"/>
        <v>0</v>
      </c>
      <c r="BM417" s="31">
        <f t="shared" si="194"/>
        <v>0</v>
      </c>
      <c r="BN417" s="255">
        <f t="shared" si="195"/>
        <v>0</v>
      </c>
    </row>
    <row r="418" spans="1:66" x14ac:dyDescent="0.25">
      <c r="A418" s="39" t="s">
        <v>1154</v>
      </c>
      <c r="B418" s="186" t="str">
        <f>VLOOKUP(A418,kurspris!$A$1:$B$877,2,FALSE)</f>
        <v>Etik, demokrati och det heterogena klassrummet, 7,5 hp</v>
      </c>
      <c r="C418" s="37"/>
      <c r="D418" s="59" t="s">
        <v>486</v>
      </c>
      <c r="E418" s="62" t="s">
        <v>1787</v>
      </c>
      <c r="F418" s="59" t="s">
        <v>1931</v>
      </c>
      <c r="G418" s="31" t="s">
        <v>2269</v>
      </c>
      <c r="L418" s="31">
        <v>100</v>
      </c>
      <c r="M418" s="376">
        <v>7.5</v>
      </c>
      <c r="N418" s="40"/>
      <c r="P418" s="377">
        <v>1</v>
      </c>
      <c r="Q418" s="232">
        <f t="shared" si="168"/>
        <v>0.125</v>
      </c>
      <c r="R418" s="40">
        <v>0.85</v>
      </c>
      <c r="S418" s="334">
        <f t="shared" si="169"/>
        <v>0.10625</v>
      </c>
      <c r="T418" s="31">
        <f>VLOOKUP(A418,'Ansvar kurs'!$A$1:$C$1010,2,FALSE)</f>
        <v>1630</v>
      </c>
      <c r="U418" s="31" t="str">
        <f>VLOOKUP(T418,Orgenheter!$A$1:$C$165,2,FALSE)</f>
        <v>Inst för ide- o samhällsstudier</v>
      </c>
      <c r="V418" s="31" t="str">
        <f>VLOOKUP(T418,Orgenheter!$A$1:$C$165,3,FALSE)</f>
        <v>Hum</v>
      </c>
      <c r="W418" s="37" t="str">
        <f>VLOOKUP(D418,Program!$A$1:$B$34,2,FALSE)</f>
        <v>Grundlärarprogrammet - förskoleklass och åk 1-3</v>
      </c>
      <c r="X418" s="42">
        <f>VLOOKUP(A418,kurspris!$A$1:$Q$798,15,FALSE)</f>
        <v>23641</v>
      </c>
      <c r="Y418" s="42">
        <f>VLOOKUP(A418,kurspris!$A$1:$Q$798,16,FALSE)</f>
        <v>28786</v>
      </c>
      <c r="Z418" s="42">
        <f t="shared" si="170"/>
        <v>6013.6374999999998</v>
      </c>
      <c r="AA418" s="42">
        <f>VLOOKUP(A418,kurspris!$A$1:$Q$798,17,FALSE)</f>
        <v>5800</v>
      </c>
      <c r="AB418" s="42">
        <f t="shared" si="171"/>
        <v>725</v>
      </c>
      <c r="AC418" s="42">
        <f t="shared" si="172"/>
        <v>6738.6374999999998</v>
      </c>
      <c r="AD418" s="31">
        <f>VLOOKUP($A418,kurspris!$A$1:$Q$835,3,FALSE)</f>
        <v>0</v>
      </c>
      <c r="AE418" s="31">
        <f>VLOOKUP($A418,kurspris!$A$1:$Q$835,4,FALSE)</f>
        <v>0</v>
      </c>
      <c r="AF418" s="31">
        <f>VLOOKUP($A418,kurspris!$A$1:$Q$835,5,FALSE)</f>
        <v>0</v>
      </c>
      <c r="AG418" s="31">
        <f>VLOOKUP($A418,kurspris!$A$1:$Q$835,6,FALSE)</f>
        <v>1</v>
      </c>
      <c r="AH418" s="31">
        <f>VLOOKUP($A418,kurspris!$A$1:$Q$835,7,FALSE)</f>
        <v>0</v>
      </c>
      <c r="AI418" s="31">
        <f>VLOOKUP($A418,kurspris!$A$1:$Q$835,8,FALSE)</f>
        <v>0</v>
      </c>
      <c r="AJ418" s="31">
        <f>VLOOKUP($A418,kurspris!$A$1:$Q$835,9,FALSE)</f>
        <v>0</v>
      </c>
      <c r="AK418" s="31">
        <f>VLOOKUP($A418,kurspris!$A$1:$Q$835,10,FALSE)</f>
        <v>0</v>
      </c>
      <c r="AL418" s="31">
        <f>VLOOKUP($A418,kurspris!$A$1:$Q$835,11,FALSE)</f>
        <v>0</v>
      </c>
      <c r="AM418" s="31">
        <f>VLOOKUP($A418,kurspris!$A$1:$Q$835,12,FALSE)</f>
        <v>0</v>
      </c>
      <c r="AN418" s="31">
        <f>VLOOKUP($A418,kurspris!$A$1:$Q$835,13,FALSE)</f>
        <v>0</v>
      </c>
      <c r="AO418" s="31">
        <f>VLOOKUP($A418,kurspris!$A$1:$Q$835,14,FALSE)</f>
        <v>0</v>
      </c>
      <c r="AP418" s="39" t="s">
        <v>2326</v>
      </c>
      <c r="AQ418"/>
      <c r="AR418" s="31">
        <f t="shared" si="173"/>
        <v>0</v>
      </c>
      <c r="AS418" s="255">
        <f t="shared" si="174"/>
        <v>0</v>
      </c>
      <c r="AT418" s="31">
        <f t="shared" si="175"/>
        <v>0</v>
      </c>
      <c r="AU418" s="255">
        <f t="shared" si="176"/>
        <v>0</v>
      </c>
      <c r="AV418" s="31">
        <f t="shared" si="177"/>
        <v>0</v>
      </c>
      <c r="AW418" s="31">
        <f t="shared" si="178"/>
        <v>0</v>
      </c>
      <c r="AX418" s="31">
        <f t="shared" si="179"/>
        <v>0.125</v>
      </c>
      <c r="AY418" s="255">
        <f t="shared" si="180"/>
        <v>0.10625</v>
      </c>
      <c r="AZ418" s="232">
        <f t="shared" si="181"/>
        <v>0</v>
      </c>
      <c r="BA418" s="255">
        <f t="shared" si="182"/>
        <v>0</v>
      </c>
      <c r="BB418" s="31">
        <f t="shared" si="183"/>
        <v>0</v>
      </c>
      <c r="BC418" s="255">
        <f t="shared" si="184"/>
        <v>0</v>
      </c>
      <c r="BD418" s="31">
        <f t="shared" si="185"/>
        <v>0</v>
      </c>
      <c r="BE418" s="255">
        <f t="shared" si="186"/>
        <v>0</v>
      </c>
      <c r="BF418" s="31">
        <f t="shared" si="187"/>
        <v>0</v>
      </c>
      <c r="BG418" s="255">
        <f t="shared" si="188"/>
        <v>0</v>
      </c>
      <c r="BH418" s="31">
        <f t="shared" si="189"/>
        <v>0</v>
      </c>
      <c r="BI418" s="255">
        <f t="shared" si="190"/>
        <v>0</v>
      </c>
      <c r="BJ418" s="31">
        <f t="shared" si="191"/>
        <v>0</v>
      </c>
      <c r="BK418" s="31">
        <f t="shared" si="192"/>
        <v>0</v>
      </c>
      <c r="BL418" s="255">
        <f t="shared" si="193"/>
        <v>0</v>
      </c>
      <c r="BM418" s="31">
        <f t="shared" si="194"/>
        <v>0</v>
      </c>
      <c r="BN418" s="255">
        <f t="shared" si="195"/>
        <v>0</v>
      </c>
    </row>
    <row r="419" spans="1:66" x14ac:dyDescent="0.25">
      <c r="A419" s="18" t="s">
        <v>1154</v>
      </c>
      <c r="B419" s="186" t="str">
        <f>VLOOKUP(A419,kurspris!$A$1:$B$877,2,FALSE)</f>
        <v>Etik, demokrati och det heterogena klassrummet, 7,5 hp</v>
      </c>
      <c r="C419" s="37"/>
      <c r="D419" s="31" t="s">
        <v>524</v>
      </c>
      <c r="E419" s="31" t="s">
        <v>1931</v>
      </c>
      <c r="F419" s="59" t="s">
        <v>1931</v>
      </c>
      <c r="G419" s="31" t="s">
        <v>2269</v>
      </c>
      <c r="L419" s="31">
        <v>100</v>
      </c>
      <c r="M419" s="31">
        <v>7.5</v>
      </c>
      <c r="N419" s="40">
        <v>-0.12</v>
      </c>
      <c r="O419" s="31">
        <v>35</v>
      </c>
      <c r="P419" s="377">
        <f>O419+(O419*N419)</f>
        <v>30.8</v>
      </c>
      <c r="Q419" s="232">
        <f t="shared" si="168"/>
        <v>3.85</v>
      </c>
      <c r="R419" s="40">
        <v>0.85</v>
      </c>
      <c r="S419" s="334">
        <f t="shared" si="169"/>
        <v>3.2725</v>
      </c>
      <c r="T419" s="31">
        <f>VLOOKUP(A419,'Ansvar kurs'!$A$1:$C$1010,2,FALSE)</f>
        <v>1630</v>
      </c>
      <c r="U419" s="31" t="str">
        <f>VLOOKUP(T419,Orgenheter!$A$1:$C$165,2,FALSE)</f>
        <v>Inst för ide- o samhällsstudier</v>
      </c>
      <c r="V419" s="31" t="str">
        <f>VLOOKUP(T419,Orgenheter!$A$1:$C$165,3,FALSE)</f>
        <v>Hum</v>
      </c>
      <c r="W419" s="37" t="str">
        <f>VLOOKUP(D419,Program!$A$1:$B$34,2,FALSE)</f>
        <v>Grundlärarprogrammet - grundskolans åk 4-6</v>
      </c>
      <c r="X419" s="42">
        <f>VLOOKUP(A419,kurspris!$A$1:$Q$798,15,FALSE)</f>
        <v>23641</v>
      </c>
      <c r="Y419" s="42">
        <f>VLOOKUP(A419,kurspris!$A$1:$Q$798,16,FALSE)</f>
        <v>28786</v>
      </c>
      <c r="Z419" s="42">
        <f t="shared" si="170"/>
        <v>185220.035</v>
      </c>
      <c r="AA419" s="42">
        <f>VLOOKUP(A419,kurspris!$A$1:$Q$798,17,FALSE)</f>
        <v>5800</v>
      </c>
      <c r="AB419" s="42">
        <f t="shared" si="171"/>
        <v>22330</v>
      </c>
      <c r="AC419" s="42">
        <f t="shared" si="172"/>
        <v>207550.035</v>
      </c>
      <c r="AD419" s="31">
        <f>VLOOKUP($A419,kurspris!$A$1:$Q$835,3,FALSE)</f>
        <v>0</v>
      </c>
      <c r="AE419" s="31">
        <f>VLOOKUP($A419,kurspris!$A$1:$Q$835,4,FALSE)</f>
        <v>0</v>
      </c>
      <c r="AF419" s="31">
        <f>VLOOKUP($A419,kurspris!$A$1:$Q$835,5,FALSE)</f>
        <v>0</v>
      </c>
      <c r="AG419" s="31">
        <f>VLOOKUP($A419,kurspris!$A$1:$Q$835,6,FALSE)</f>
        <v>1</v>
      </c>
      <c r="AH419" s="31">
        <f>VLOOKUP($A419,kurspris!$A$1:$Q$835,7,FALSE)</f>
        <v>0</v>
      </c>
      <c r="AI419" s="31">
        <f>VLOOKUP($A419,kurspris!$A$1:$Q$835,8,FALSE)</f>
        <v>0</v>
      </c>
      <c r="AJ419" s="31">
        <f>VLOOKUP($A419,kurspris!$A$1:$Q$835,9,FALSE)</f>
        <v>0</v>
      </c>
      <c r="AK419" s="31">
        <f>VLOOKUP($A419,kurspris!$A$1:$Q$835,10,FALSE)</f>
        <v>0</v>
      </c>
      <c r="AL419" s="31">
        <f>VLOOKUP($A419,kurspris!$A$1:$Q$835,11,FALSE)</f>
        <v>0</v>
      </c>
      <c r="AM419" s="31">
        <f>VLOOKUP($A419,kurspris!$A$1:$Q$835,12,FALSE)</f>
        <v>0</v>
      </c>
      <c r="AN419" s="31">
        <f>VLOOKUP($A419,kurspris!$A$1:$Q$835,13,FALSE)</f>
        <v>0</v>
      </c>
      <c r="AO419" s="31">
        <f>VLOOKUP($A419,kurspris!$A$1:$Q$835,14,FALSE)</f>
        <v>0</v>
      </c>
      <c r="AP419" s="39" t="s">
        <v>1631</v>
      </c>
      <c r="AQ419"/>
      <c r="AR419" s="31">
        <f t="shared" si="173"/>
        <v>0</v>
      </c>
      <c r="AS419" s="255">
        <f t="shared" si="174"/>
        <v>0</v>
      </c>
      <c r="AT419" s="31">
        <f t="shared" si="175"/>
        <v>0</v>
      </c>
      <c r="AU419" s="255">
        <f t="shared" si="176"/>
        <v>0</v>
      </c>
      <c r="AV419" s="31">
        <f t="shared" si="177"/>
        <v>0</v>
      </c>
      <c r="AW419" s="31">
        <f t="shared" si="178"/>
        <v>0</v>
      </c>
      <c r="AX419" s="31">
        <f t="shared" si="179"/>
        <v>3.85</v>
      </c>
      <c r="AY419" s="255">
        <f t="shared" si="180"/>
        <v>3.2725</v>
      </c>
      <c r="AZ419" s="232">
        <f t="shared" si="181"/>
        <v>0</v>
      </c>
      <c r="BA419" s="255">
        <f t="shared" si="182"/>
        <v>0</v>
      </c>
      <c r="BB419" s="31">
        <f t="shared" si="183"/>
        <v>0</v>
      </c>
      <c r="BC419" s="255">
        <f t="shared" si="184"/>
        <v>0</v>
      </c>
      <c r="BD419" s="31">
        <f t="shared" si="185"/>
        <v>0</v>
      </c>
      <c r="BE419" s="255">
        <f t="shared" si="186"/>
        <v>0</v>
      </c>
      <c r="BF419" s="31">
        <f t="shared" si="187"/>
        <v>0</v>
      </c>
      <c r="BG419" s="255">
        <f t="shared" si="188"/>
        <v>0</v>
      </c>
      <c r="BH419" s="31">
        <f t="shared" si="189"/>
        <v>0</v>
      </c>
      <c r="BI419" s="255">
        <f t="shared" si="190"/>
        <v>0</v>
      </c>
      <c r="BJ419" s="31">
        <f t="shared" si="191"/>
        <v>0</v>
      </c>
      <c r="BK419" s="31">
        <f t="shared" si="192"/>
        <v>0</v>
      </c>
      <c r="BL419" s="255">
        <f t="shared" si="193"/>
        <v>0</v>
      </c>
      <c r="BM419" s="31">
        <f t="shared" si="194"/>
        <v>0</v>
      </c>
      <c r="BN419" s="255">
        <f t="shared" si="195"/>
        <v>0</v>
      </c>
    </row>
    <row r="420" spans="1:66" x14ac:dyDescent="0.25">
      <c r="A420" t="s">
        <v>828</v>
      </c>
      <c r="B420" s="186" t="str">
        <f>VLOOKUP(A420,kurspris!$A$1:$B$877,2,FALSE)</f>
        <v>Att undervisa i åk 4-6</v>
      </c>
      <c r="C420"/>
      <c r="D420" t="s">
        <v>524</v>
      </c>
      <c r="E420" t="s">
        <v>1609</v>
      </c>
      <c r="F420" s="39" t="s">
        <v>1930</v>
      </c>
      <c r="G420" t="s">
        <v>1996</v>
      </c>
      <c r="H420" t="s">
        <v>1910</v>
      </c>
      <c r="I420"/>
      <c r="J420"/>
      <c r="K420"/>
      <c r="L420">
        <v>100</v>
      </c>
      <c r="M420">
        <v>6</v>
      </c>
      <c r="N420"/>
      <c r="O420"/>
      <c r="P420" s="31">
        <v>29</v>
      </c>
      <c r="Q420" s="232">
        <f t="shared" si="168"/>
        <v>2.9000000000000004</v>
      </c>
      <c r="R420" s="40">
        <v>0.85</v>
      </c>
      <c r="S420" s="334">
        <f t="shared" si="169"/>
        <v>2.4650000000000003</v>
      </c>
      <c r="T420" s="31">
        <f>VLOOKUP(A420,'Ansvar kurs'!$A$1:$C$1010,2,FALSE)</f>
        <v>1620</v>
      </c>
      <c r="U420" s="31" t="str">
        <f>VLOOKUP(T420,Orgenheter!$A$1:$C$165,2,FALSE)</f>
        <v>Inst för språkstudier</v>
      </c>
      <c r="V420" s="31" t="str">
        <f>VLOOKUP(T420,Orgenheter!$A$1:$C$165,3,FALSE)</f>
        <v>Hum</v>
      </c>
      <c r="W420" s="37" t="str">
        <f>VLOOKUP(D420,Program!$A$1:$B$34,2,FALSE)</f>
        <v>Grundlärarprogrammet - grundskolans åk 4-6</v>
      </c>
      <c r="X420" s="42">
        <f>VLOOKUP(A420,kurspris!$A$1:$Q$798,15,FALSE)</f>
        <v>21634</v>
      </c>
      <c r="Y420" s="42">
        <f>VLOOKUP(A420,kurspris!$A$1:$Q$798,16,FALSE)</f>
        <v>26986</v>
      </c>
      <c r="Z420" s="42">
        <f t="shared" si="170"/>
        <v>129259.09000000001</v>
      </c>
      <c r="AA420" s="42">
        <f>VLOOKUP(A420,kurspris!$A$1:$Q$798,17,FALSE)</f>
        <v>3400</v>
      </c>
      <c r="AB420" s="42">
        <f t="shared" si="171"/>
        <v>9860.0000000000018</v>
      </c>
      <c r="AC420" s="42">
        <f t="shared" si="172"/>
        <v>139119.09000000003</v>
      </c>
      <c r="AD420" s="31">
        <f>VLOOKUP($A420,kurspris!$A$1:$Q$835,3,FALSE)</f>
        <v>0</v>
      </c>
      <c r="AE420" s="31">
        <f>VLOOKUP($A420,kurspris!$A$1:$Q$835,4,FALSE)</f>
        <v>0</v>
      </c>
      <c r="AF420" s="31">
        <f>VLOOKUP($A420,kurspris!$A$1:$Q$835,5,FALSE)</f>
        <v>0</v>
      </c>
      <c r="AG420" s="31">
        <f>VLOOKUP($A420,kurspris!$A$1:$Q$835,6,FALSE)</f>
        <v>0</v>
      </c>
      <c r="AH420" s="31">
        <f>VLOOKUP($A420,kurspris!$A$1:$Q$835,7,FALSE)</f>
        <v>0</v>
      </c>
      <c r="AI420" s="31">
        <f>VLOOKUP($A420,kurspris!$A$1:$Q$835,8,FALSE)</f>
        <v>0</v>
      </c>
      <c r="AJ420" s="31">
        <f>VLOOKUP($A420,kurspris!$A$1:$Q$835,9,FALSE)</f>
        <v>0</v>
      </c>
      <c r="AK420" s="31">
        <f>VLOOKUP($A420,kurspris!$A$1:$Q$835,10,FALSE)</f>
        <v>0</v>
      </c>
      <c r="AL420" s="31">
        <f>VLOOKUP($A420,kurspris!$A$1:$Q$835,11,FALSE)</f>
        <v>1</v>
      </c>
      <c r="AM420" s="31">
        <f>VLOOKUP($A420,kurspris!$A$1:$Q$835,12,FALSE)</f>
        <v>0</v>
      </c>
      <c r="AN420" s="31">
        <f>VLOOKUP($A420,kurspris!$A$1:$Q$835,13,FALSE)</f>
        <v>0</v>
      </c>
      <c r="AO420" s="31">
        <f>VLOOKUP($A420,kurspris!$A$1:$Q$835,14,FALSE)</f>
        <v>0</v>
      </c>
      <c r="AP420" s="39" t="s">
        <v>2232</v>
      </c>
      <c r="AQ420"/>
      <c r="AR420" s="31">
        <f t="shared" si="173"/>
        <v>0</v>
      </c>
      <c r="AS420" s="255">
        <f t="shared" si="174"/>
        <v>0</v>
      </c>
      <c r="AT420" s="31">
        <f t="shared" si="175"/>
        <v>0</v>
      </c>
      <c r="AU420" s="255">
        <f t="shared" si="176"/>
        <v>0</v>
      </c>
      <c r="AV420" s="31">
        <f t="shared" si="177"/>
        <v>0</v>
      </c>
      <c r="AW420" s="31">
        <f t="shared" si="178"/>
        <v>0</v>
      </c>
      <c r="AX420" s="31">
        <f t="shared" si="179"/>
        <v>0</v>
      </c>
      <c r="AY420" s="255">
        <f t="shared" si="180"/>
        <v>0</v>
      </c>
      <c r="AZ420" s="232">
        <f t="shared" si="181"/>
        <v>0</v>
      </c>
      <c r="BA420" s="255">
        <f t="shared" si="182"/>
        <v>0</v>
      </c>
      <c r="BB420" s="31">
        <f t="shared" si="183"/>
        <v>0</v>
      </c>
      <c r="BC420" s="255">
        <f t="shared" si="184"/>
        <v>0</v>
      </c>
      <c r="BD420" s="31">
        <f t="shared" si="185"/>
        <v>0</v>
      </c>
      <c r="BE420" s="255">
        <f t="shared" si="186"/>
        <v>0</v>
      </c>
      <c r="BF420" s="31">
        <f t="shared" si="187"/>
        <v>0</v>
      </c>
      <c r="BG420" s="255">
        <f t="shared" si="188"/>
        <v>0</v>
      </c>
      <c r="BH420" s="31">
        <f t="shared" si="189"/>
        <v>2.9000000000000004</v>
      </c>
      <c r="BI420" s="255">
        <f t="shared" si="190"/>
        <v>2.4650000000000003</v>
      </c>
      <c r="BJ420" s="31">
        <f t="shared" si="191"/>
        <v>0</v>
      </c>
      <c r="BK420" s="31">
        <f t="shared" si="192"/>
        <v>0</v>
      </c>
      <c r="BL420" s="255">
        <f t="shared" si="193"/>
        <v>0</v>
      </c>
      <c r="BM420" s="31">
        <f t="shared" si="194"/>
        <v>0</v>
      </c>
      <c r="BN420" s="255">
        <f t="shared" si="195"/>
        <v>0</v>
      </c>
    </row>
    <row r="421" spans="1:66" x14ac:dyDescent="0.25">
      <c r="A421" t="s">
        <v>827</v>
      </c>
      <c r="B421" s="186" t="str">
        <f>VLOOKUP(A421,kurspris!$A$1:$B$877,2,FALSE)</f>
        <v>Att undervisa i F-3</v>
      </c>
      <c r="C421"/>
      <c r="D421" t="s">
        <v>486</v>
      </c>
      <c r="E421" t="s">
        <v>1609</v>
      </c>
      <c r="F421" s="59" t="s">
        <v>1930</v>
      </c>
      <c r="G421" t="s">
        <v>1978</v>
      </c>
      <c r="H421" t="s">
        <v>1910</v>
      </c>
      <c r="I421"/>
      <c r="J421"/>
      <c r="K421"/>
      <c r="L421">
        <v>100</v>
      </c>
      <c r="M421">
        <v>6</v>
      </c>
      <c r="N421"/>
      <c r="O421"/>
      <c r="P421" s="31">
        <v>29</v>
      </c>
      <c r="Q421" s="232">
        <f t="shared" si="168"/>
        <v>2.9000000000000004</v>
      </c>
      <c r="R421" s="40">
        <v>0.85</v>
      </c>
      <c r="S421" s="334">
        <f t="shared" si="169"/>
        <v>2.4650000000000003</v>
      </c>
      <c r="T421" s="31">
        <f>VLOOKUP(A421,'Ansvar kurs'!$A$1:$C$1010,2,FALSE)</f>
        <v>1620</v>
      </c>
      <c r="U421" s="31" t="str">
        <f>VLOOKUP(T421,Orgenheter!$A$1:$C$165,2,FALSE)</f>
        <v>Inst för språkstudier</v>
      </c>
      <c r="V421" s="31" t="str">
        <f>VLOOKUP(T421,Orgenheter!$A$1:$C$165,3,FALSE)</f>
        <v>Hum</v>
      </c>
      <c r="W421" s="37" t="str">
        <f>VLOOKUP(D421,Program!$A$1:$B$34,2,FALSE)</f>
        <v>Grundlärarprogrammet - förskoleklass och åk 1-3</v>
      </c>
      <c r="X421" s="42">
        <f>VLOOKUP(A421,kurspris!$A$1:$Q$798,15,FALSE)</f>
        <v>21634</v>
      </c>
      <c r="Y421" s="42">
        <f>VLOOKUP(A421,kurspris!$A$1:$Q$798,16,FALSE)</f>
        <v>26986</v>
      </c>
      <c r="Z421" s="42">
        <f t="shared" si="170"/>
        <v>129259.09000000001</v>
      </c>
      <c r="AA421" s="42">
        <f>VLOOKUP(A421,kurspris!$A$1:$Q$798,17,FALSE)</f>
        <v>3400</v>
      </c>
      <c r="AB421" s="42">
        <f t="shared" si="171"/>
        <v>9860.0000000000018</v>
      </c>
      <c r="AC421" s="42">
        <f t="shared" si="172"/>
        <v>139119.09000000003</v>
      </c>
      <c r="AD421" s="31">
        <f>VLOOKUP($A421,kurspris!$A$1:$Q$835,3,FALSE)</f>
        <v>0</v>
      </c>
      <c r="AE421" s="31">
        <f>VLOOKUP($A421,kurspris!$A$1:$Q$835,4,FALSE)</f>
        <v>0</v>
      </c>
      <c r="AF421" s="31">
        <f>VLOOKUP($A421,kurspris!$A$1:$Q$835,5,FALSE)</f>
        <v>0</v>
      </c>
      <c r="AG421" s="31">
        <f>VLOOKUP($A421,kurspris!$A$1:$Q$835,6,FALSE)</f>
        <v>0</v>
      </c>
      <c r="AH421" s="31">
        <f>VLOOKUP($A421,kurspris!$A$1:$Q$835,7,FALSE)</f>
        <v>0</v>
      </c>
      <c r="AI421" s="31">
        <f>VLOOKUP($A421,kurspris!$A$1:$Q$835,8,FALSE)</f>
        <v>0</v>
      </c>
      <c r="AJ421" s="31">
        <f>VLOOKUP($A421,kurspris!$A$1:$Q$835,9,FALSE)</f>
        <v>0</v>
      </c>
      <c r="AK421" s="31">
        <f>VLOOKUP($A421,kurspris!$A$1:$Q$835,10,FALSE)</f>
        <v>0</v>
      </c>
      <c r="AL421" s="31">
        <f>VLOOKUP($A421,kurspris!$A$1:$Q$835,11,FALSE)</f>
        <v>1</v>
      </c>
      <c r="AM421" s="31">
        <f>VLOOKUP($A421,kurspris!$A$1:$Q$835,12,FALSE)</f>
        <v>0</v>
      </c>
      <c r="AN421" s="31">
        <f>VLOOKUP($A421,kurspris!$A$1:$Q$835,13,FALSE)</f>
        <v>0</v>
      </c>
      <c r="AO421" s="31">
        <f>VLOOKUP($A421,kurspris!$A$1:$Q$835,14,FALSE)</f>
        <v>0</v>
      </c>
      <c r="AP421" s="39" t="s">
        <v>2235</v>
      </c>
      <c r="AQ421"/>
      <c r="AR421" s="31">
        <f t="shared" si="173"/>
        <v>0</v>
      </c>
      <c r="AS421" s="255">
        <f t="shared" si="174"/>
        <v>0</v>
      </c>
      <c r="AT421" s="31">
        <f t="shared" si="175"/>
        <v>0</v>
      </c>
      <c r="AU421" s="255">
        <f t="shared" si="176"/>
        <v>0</v>
      </c>
      <c r="AV421" s="31">
        <f t="shared" si="177"/>
        <v>0</v>
      </c>
      <c r="AW421" s="31">
        <f t="shared" si="178"/>
        <v>0</v>
      </c>
      <c r="AX421" s="31">
        <f t="shared" si="179"/>
        <v>0</v>
      </c>
      <c r="AY421" s="255">
        <f t="shared" si="180"/>
        <v>0</v>
      </c>
      <c r="AZ421" s="232">
        <f t="shared" si="181"/>
        <v>0</v>
      </c>
      <c r="BA421" s="255">
        <f t="shared" si="182"/>
        <v>0</v>
      </c>
      <c r="BB421" s="31">
        <f t="shared" si="183"/>
        <v>0</v>
      </c>
      <c r="BC421" s="255">
        <f t="shared" si="184"/>
        <v>0</v>
      </c>
      <c r="BD421" s="31">
        <f t="shared" si="185"/>
        <v>0</v>
      </c>
      <c r="BE421" s="255">
        <f t="shared" si="186"/>
        <v>0</v>
      </c>
      <c r="BF421" s="31">
        <f t="shared" si="187"/>
        <v>0</v>
      </c>
      <c r="BG421" s="255">
        <f t="shared" si="188"/>
        <v>0</v>
      </c>
      <c r="BH421" s="31">
        <f t="shared" si="189"/>
        <v>2.9000000000000004</v>
      </c>
      <c r="BI421" s="255">
        <f t="shared" si="190"/>
        <v>2.4650000000000003</v>
      </c>
      <c r="BJ421" s="31">
        <f t="shared" si="191"/>
        <v>0</v>
      </c>
      <c r="BK421" s="31">
        <f t="shared" si="192"/>
        <v>0</v>
      </c>
      <c r="BL421" s="255">
        <f t="shared" si="193"/>
        <v>0</v>
      </c>
      <c r="BM421" s="31">
        <f t="shared" si="194"/>
        <v>0</v>
      </c>
      <c r="BN421" s="255">
        <f t="shared" si="195"/>
        <v>0</v>
      </c>
    </row>
    <row r="422" spans="1:66" x14ac:dyDescent="0.25">
      <c r="A422" s="18" t="s">
        <v>1308</v>
      </c>
      <c r="B422" s="186" t="str">
        <f>VLOOKUP(A422,kurspris!$A$1:$B$877,2,FALSE)</f>
        <v>Läraryrkets dimensioner - ingångsämne engelska</v>
      </c>
      <c r="C422" s="37"/>
      <c r="D422" s="31" t="s">
        <v>483</v>
      </c>
      <c r="E422" s="31" t="s">
        <v>1994</v>
      </c>
      <c r="F422" s="59" t="s">
        <v>1931</v>
      </c>
      <c r="G422" s="31" t="s">
        <v>2267</v>
      </c>
      <c r="J422" t="s">
        <v>771</v>
      </c>
      <c r="L422" s="31">
        <v>100</v>
      </c>
      <c r="M422" s="31">
        <v>22.5</v>
      </c>
      <c r="P422" s="31">
        <v>1</v>
      </c>
      <c r="Q422" s="232">
        <f t="shared" si="168"/>
        <v>0.375</v>
      </c>
      <c r="R422" s="40">
        <v>0.85</v>
      </c>
      <c r="S422" s="334">
        <f t="shared" si="169"/>
        <v>0.31874999999999998</v>
      </c>
      <c r="T422" s="31">
        <f>VLOOKUP(A422,'Ansvar kurs'!$A$1:$C$1010,2,FALSE)</f>
        <v>1620</v>
      </c>
      <c r="U422" s="31" t="str">
        <f>VLOOKUP(T422,Orgenheter!$A$1:$C$165,2,FALSE)</f>
        <v>Inst för språkstudier</v>
      </c>
      <c r="V422" s="31" t="str">
        <f>VLOOKUP(T422,Orgenheter!$A$1:$C$165,3,FALSE)</f>
        <v>Hum</v>
      </c>
      <c r="W422" s="37" t="str">
        <f>VLOOKUP(D422,Program!$A$1:$B$34,2,FALSE)</f>
        <v>Ämneslärarprogrammet - Gy</v>
      </c>
      <c r="X422" s="42">
        <f>VLOOKUP(A422,kurspris!$A$1:$Q$798,15,FALSE)</f>
        <v>21634</v>
      </c>
      <c r="Y422" s="42">
        <f>VLOOKUP(A422,kurspris!$A$1:$Q$798,16,FALSE)</f>
        <v>26986</v>
      </c>
      <c r="Z422" s="42">
        <f t="shared" si="170"/>
        <v>16714.537499999999</v>
      </c>
      <c r="AA422" s="42">
        <f>VLOOKUP(A422,kurspris!$A$1:$Q$798,17,FALSE)</f>
        <v>3400</v>
      </c>
      <c r="AB422" s="42">
        <f t="shared" si="171"/>
        <v>1275</v>
      </c>
      <c r="AC422" s="42">
        <f t="shared" si="172"/>
        <v>17989.537499999999</v>
      </c>
      <c r="AD422" s="31">
        <f>VLOOKUP($A422,kurspris!$A$1:$Q$835,3,FALSE)</f>
        <v>0</v>
      </c>
      <c r="AE422" s="31">
        <f>VLOOKUP($A422,kurspris!$A$1:$Q$835,4,FALSE)</f>
        <v>0</v>
      </c>
      <c r="AF422" s="31">
        <f>VLOOKUP($A422,kurspris!$A$1:$Q$835,5,FALSE)</f>
        <v>0</v>
      </c>
      <c r="AG422" s="31">
        <f>VLOOKUP($A422,kurspris!$A$1:$Q$835,6,FALSE)</f>
        <v>0</v>
      </c>
      <c r="AH422" s="31">
        <f>VLOOKUP($A422,kurspris!$A$1:$Q$835,7,FALSE)</f>
        <v>0</v>
      </c>
      <c r="AI422" s="31">
        <f>VLOOKUP($A422,kurspris!$A$1:$Q$835,8,FALSE)</f>
        <v>0</v>
      </c>
      <c r="AJ422" s="31">
        <f>VLOOKUP($A422,kurspris!$A$1:$Q$835,9,FALSE)</f>
        <v>0</v>
      </c>
      <c r="AK422" s="31">
        <f>VLOOKUP($A422,kurspris!$A$1:$Q$835,10,FALSE)</f>
        <v>0</v>
      </c>
      <c r="AL422" s="31">
        <f>VLOOKUP($A422,kurspris!$A$1:$Q$835,11,FALSE)</f>
        <v>1</v>
      </c>
      <c r="AM422" s="31">
        <f>VLOOKUP($A422,kurspris!$A$1:$Q$835,12,FALSE)</f>
        <v>0</v>
      </c>
      <c r="AN422" s="31">
        <f>VLOOKUP($A422,kurspris!$A$1:$Q$835,13,FALSE)</f>
        <v>0</v>
      </c>
      <c r="AO422" s="31">
        <f>VLOOKUP($A422,kurspris!$A$1:$Q$835,14,FALSE)</f>
        <v>0</v>
      </c>
      <c r="AP422" s="39" t="s">
        <v>2326</v>
      </c>
      <c r="AQ422"/>
      <c r="AR422" s="31">
        <f t="shared" si="173"/>
        <v>0</v>
      </c>
      <c r="AS422" s="255">
        <f t="shared" si="174"/>
        <v>0</v>
      </c>
      <c r="AT422" s="31">
        <f t="shared" si="175"/>
        <v>0</v>
      </c>
      <c r="AU422" s="255">
        <f t="shared" si="176"/>
        <v>0</v>
      </c>
      <c r="AV422" s="31">
        <f t="shared" si="177"/>
        <v>0</v>
      </c>
      <c r="AW422" s="31">
        <f t="shared" si="178"/>
        <v>0</v>
      </c>
      <c r="AX422" s="31">
        <f t="shared" si="179"/>
        <v>0</v>
      </c>
      <c r="AY422" s="255">
        <f t="shared" si="180"/>
        <v>0</v>
      </c>
      <c r="AZ422" s="232">
        <f t="shared" si="181"/>
        <v>0</v>
      </c>
      <c r="BA422" s="255">
        <f t="shared" si="182"/>
        <v>0</v>
      </c>
      <c r="BB422" s="31">
        <f t="shared" si="183"/>
        <v>0</v>
      </c>
      <c r="BC422" s="255">
        <f t="shared" si="184"/>
        <v>0</v>
      </c>
      <c r="BD422" s="31">
        <f t="shared" si="185"/>
        <v>0</v>
      </c>
      <c r="BE422" s="255">
        <f t="shared" si="186"/>
        <v>0</v>
      </c>
      <c r="BF422" s="31">
        <f t="shared" si="187"/>
        <v>0</v>
      </c>
      <c r="BG422" s="255">
        <f t="shared" si="188"/>
        <v>0</v>
      </c>
      <c r="BH422" s="31">
        <f t="shared" si="189"/>
        <v>0.375</v>
      </c>
      <c r="BI422" s="255">
        <f t="shared" si="190"/>
        <v>0.31874999999999998</v>
      </c>
      <c r="BJ422" s="31">
        <f t="shared" si="191"/>
        <v>0</v>
      </c>
      <c r="BK422" s="31">
        <f t="shared" si="192"/>
        <v>0</v>
      </c>
      <c r="BL422" s="255">
        <f t="shared" si="193"/>
        <v>0</v>
      </c>
      <c r="BM422" s="31">
        <f t="shared" si="194"/>
        <v>0</v>
      </c>
      <c r="BN422" s="255">
        <f t="shared" si="195"/>
        <v>0</v>
      </c>
    </row>
    <row r="423" spans="1:66" x14ac:dyDescent="0.25">
      <c r="A423" s="18" t="s">
        <v>1308</v>
      </c>
      <c r="B423" s="186" t="str">
        <f>VLOOKUP(A423,kurspris!$A$1:$B$877,2,FALSE)</f>
        <v>Läraryrkets dimensioner - ingångsämne engelska</v>
      </c>
      <c r="C423" s="37"/>
      <c r="D423" s="31" t="s">
        <v>483</v>
      </c>
      <c r="E423" s="31" t="s">
        <v>1975</v>
      </c>
      <c r="F423" s="59" t="s">
        <v>1931</v>
      </c>
      <c r="G423" s="31" t="s">
        <v>2267</v>
      </c>
      <c r="J423" t="s">
        <v>771</v>
      </c>
      <c r="L423" s="31">
        <v>100</v>
      </c>
      <c r="M423" s="31">
        <v>22.5</v>
      </c>
      <c r="P423" s="31">
        <v>2</v>
      </c>
      <c r="Q423" s="232">
        <f t="shared" si="168"/>
        <v>0.75</v>
      </c>
      <c r="R423" s="40">
        <v>0.85</v>
      </c>
      <c r="S423" s="334">
        <f t="shared" si="169"/>
        <v>0.63749999999999996</v>
      </c>
      <c r="T423" s="31">
        <f>VLOOKUP(A423,'Ansvar kurs'!$A$1:$C$1010,2,FALSE)</f>
        <v>1620</v>
      </c>
      <c r="U423" s="31" t="str">
        <f>VLOOKUP(T423,Orgenheter!$A$1:$C$165,2,FALSE)</f>
        <v>Inst för språkstudier</v>
      </c>
      <c r="V423" s="31" t="str">
        <f>VLOOKUP(T423,Orgenheter!$A$1:$C$165,3,FALSE)</f>
        <v>Hum</v>
      </c>
      <c r="W423" s="37" t="str">
        <f>VLOOKUP(D423,Program!$A$1:$B$34,2,FALSE)</f>
        <v>Ämneslärarprogrammet - Gy</v>
      </c>
      <c r="X423" s="42">
        <f>VLOOKUP(A423,kurspris!$A$1:$Q$798,15,FALSE)</f>
        <v>21634</v>
      </c>
      <c r="Y423" s="42">
        <f>VLOOKUP(A423,kurspris!$A$1:$Q$798,16,FALSE)</f>
        <v>26986</v>
      </c>
      <c r="Z423" s="42">
        <f t="shared" si="170"/>
        <v>33429.074999999997</v>
      </c>
      <c r="AA423" s="42">
        <f>VLOOKUP(A423,kurspris!$A$1:$Q$798,17,FALSE)</f>
        <v>3400</v>
      </c>
      <c r="AB423" s="42">
        <f t="shared" si="171"/>
        <v>2550</v>
      </c>
      <c r="AC423" s="42">
        <f t="shared" si="172"/>
        <v>35979.074999999997</v>
      </c>
      <c r="AD423" s="31">
        <f>VLOOKUP($A423,kurspris!$A$1:$Q$835,3,FALSE)</f>
        <v>0</v>
      </c>
      <c r="AE423" s="31">
        <f>VLOOKUP($A423,kurspris!$A$1:$Q$835,4,FALSE)</f>
        <v>0</v>
      </c>
      <c r="AF423" s="31">
        <f>VLOOKUP($A423,kurspris!$A$1:$Q$835,5,FALSE)</f>
        <v>0</v>
      </c>
      <c r="AG423" s="31">
        <f>VLOOKUP($A423,kurspris!$A$1:$Q$835,6,FALSE)</f>
        <v>0</v>
      </c>
      <c r="AH423" s="31">
        <f>VLOOKUP($A423,kurspris!$A$1:$Q$835,7,FALSE)</f>
        <v>0</v>
      </c>
      <c r="AI423" s="31">
        <f>VLOOKUP($A423,kurspris!$A$1:$Q$835,8,FALSE)</f>
        <v>0</v>
      </c>
      <c r="AJ423" s="31">
        <f>VLOOKUP($A423,kurspris!$A$1:$Q$835,9,FALSE)</f>
        <v>0</v>
      </c>
      <c r="AK423" s="31">
        <f>VLOOKUP($A423,kurspris!$A$1:$Q$835,10,FALSE)</f>
        <v>0</v>
      </c>
      <c r="AL423" s="31">
        <f>VLOOKUP($A423,kurspris!$A$1:$Q$835,11,FALSE)</f>
        <v>1</v>
      </c>
      <c r="AM423" s="31">
        <f>VLOOKUP($A423,kurspris!$A$1:$Q$835,12,FALSE)</f>
        <v>0</v>
      </c>
      <c r="AN423" s="31">
        <f>VLOOKUP($A423,kurspris!$A$1:$Q$835,13,FALSE)</f>
        <v>0</v>
      </c>
      <c r="AO423" s="31">
        <f>VLOOKUP($A423,kurspris!$A$1:$Q$835,14,FALSE)</f>
        <v>0</v>
      </c>
      <c r="AP423" s="39" t="s">
        <v>2326</v>
      </c>
      <c r="AQ423"/>
      <c r="AR423" s="31">
        <f t="shared" si="173"/>
        <v>0</v>
      </c>
      <c r="AS423" s="255">
        <f t="shared" si="174"/>
        <v>0</v>
      </c>
      <c r="AT423" s="31">
        <f t="shared" si="175"/>
        <v>0</v>
      </c>
      <c r="AU423" s="255">
        <f t="shared" si="176"/>
        <v>0</v>
      </c>
      <c r="AV423" s="31">
        <f t="shared" si="177"/>
        <v>0</v>
      </c>
      <c r="AW423" s="31">
        <f t="shared" si="178"/>
        <v>0</v>
      </c>
      <c r="AX423" s="31">
        <f t="shared" si="179"/>
        <v>0</v>
      </c>
      <c r="AY423" s="255">
        <f t="shared" si="180"/>
        <v>0</v>
      </c>
      <c r="AZ423" s="232">
        <f t="shared" si="181"/>
        <v>0</v>
      </c>
      <c r="BA423" s="255">
        <f t="shared" si="182"/>
        <v>0</v>
      </c>
      <c r="BB423" s="31">
        <f t="shared" si="183"/>
        <v>0</v>
      </c>
      <c r="BC423" s="255">
        <f t="shared" si="184"/>
        <v>0</v>
      </c>
      <c r="BD423" s="31">
        <f t="shared" si="185"/>
        <v>0</v>
      </c>
      <c r="BE423" s="255">
        <f t="shared" si="186"/>
        <v>0</v>
      </c>
      <c r="BF423" s="31">
        <f t="shared" si="187"/>
        <v>0</v>
      </c>
      <c r="BG423" s="255">
        <f t="shared" si="188"/>
        <v>0</v>
      </c>
      <c r="BH423" s="31">
        <f t="shared" si="189"/>
        <v>0.75</v>
      </c>
      <c r="BI423" s="255">
        <f t="shared" si="190"/>
        <v>0.63749999999999996</v>
      </c>
      <c r="BJ423" s="31">
        <f t="shared" si="191"/>
        <v>0</v>
      </c>
      <c r="BK423" s="31">
        <f t="shared" si="192"/>
        <v>0</v>
      </c>
      <c r="BL423" s="255">
        <f t="shared" si="193"/>
        <v>0</v>
      </c>
      <c r="BM423" s="31">
        <f t="shared" si="194"/>
        <v>0</v>
      </c>
      <c r="BN423" s="255">
        <f t="shared" si="195"/>
        <v>0</v>
      </c>
    </row>
    <row r="424" spans="1:66" x14ac:dyDescent="0.25">
      <c r="A424" s="18" t="s">
        <v>1308</v>
      </c>
      <c r="B424" s="186" t="str">
        <f>VLOOKUP(A424,kurspris!$A$1:$B$877,2,FALSE)</f>
        <v>Läraryrkets dimensioner - ingångsämne engelska</v>
      </c>
      <c r="C424" s="37"/>
      <c r="D424" s="31" t="s">
        <v>483</v>
      </c>
      <c r="E424" s="31" t="s">
        <v>1976</v>
      </c>
      <c r="F424" s="59" t="s">
        <v>1931</v>
      </c>
      <c r="G424" s="31" t="s">
        <v>2267</v>
      </c>
      <c r="J424" t="s">
        <v>771</v>
      </c>
      <c r="L424" s="31">
        <v>100</v>
      </c>
      <c r="M424" s="31">
        <v>22.5</v>
      </c>
      <c r="P424" s="31">
        <v>10</v>
      </c>
      <c r="Q424" s="232">
        <f t="shared" si="168"/>
        <v>3.75</v>
      </c>
      <c r="R424" s="40">
        <v>0.85</v>
      </c>
      <c r="S424" s="334">
        <f t="shared" si="169"/>
        <v>3.1875</v>
      </c>
      <c r="T424" s="31">
        <f>VLOOKUP(A424,'Ansvar kurs'!$A$1:$C$1010,2,FALSE)</f>
        <v>1620</v>
      </c>
      <c r="U424" s="31" t="str">
        <f>VLOOKUP(T424,Orgenheter!$A$1:$C$165,2,FALSE)</f>
        <v>Inst för språkstudier</v>
      </c>
      <c r="V424" s="31" t="str">
        <f>VLOOKUP(T424,Orgenheter!$A$1:$C$165,3,FALSE)</f>
        <v>Hum</v>
      </c>
      <c r="W424" s="37" t="str">
        <f>VLOOKUP(D424,Program!$A$1:$B$34,2,FALSE)</f>
        <v>Ämneslärarprogrammet - Gy</v>
      </c>
      <c r="X424" s="42">
        <f>VLOOKUP(A424,kurspris!$A$1:$Q$798,15,FALSE)</f>
        <v>21634</v>
      </c>
      <c r="Y424" s="42">
        <f>VLOOKUP(A424,kurspris!$A$1:$Q$798,16,FALSE)</f>
        <v>26986</v>
      </c>
      <c r="Z424" s="42">
        <f t="shared" si="170"/>
        <v>167145.375</v>
      </c>
      <c r="AA424" s="42">
        <f>VLOOKUP(A424,kurspris!$A$1:$Q$798,17,FALSE)</f>
        <v>3400</v>
      </c>
      <c r="AB424" s="42">
        <f t="shared" si="171"/>
        <v>12750</v>
      </c>
      <c r="AC424" s="42">
        <f t="shared" si="172"/>
        <v>179895.375</v>
      </c>
      <c r="AD424" s="31">
        <f>VLOOKUP($A424,kurspris!$A$1:$Q$835,3,FALSE)</f>
        <v>0</v>
      </c>
      <c r="AE424" s="31">
        <f>VLOOKUP($A424,kurspris!$A$1:$Q$835,4,FALSE)</f>
        <v>0</v>
      </c>
      <c r="AF424" s="31">
        <f>VLOOKUP($A424,kurspris!$A$1:$Q$835,5,FALSE)</f>
        <v>0</v>
      </c>
      <c r="AG424" s="31">
        <f>VLOOKUP($A424,kurspris!$A$1:$Q$835,6,FALSE)</f>
        <v>0</v>
      </c>
      <c r="AH424" s="31">
        <f>VLOOKUP($A424,kurspris!$A$1:$Q$835,7,FALSE)</f>
        <v>0</v>
      </c>
      <c r="AI424" s="31">
        <f>VLOOKUP($A424,kurspris!$A$1:$Q$835,8,FALSE)</f>
        <v>0</v>
      </c>
      <c r="AJ424" s="31">
        <f>VLOOKUP($A424,kurspris!$A$1:$Q$835,9,FALSE)</f>
        <v>0</v>
      </c>
      <c r="AK424" s="31">
        <f>VLOOKUP($A424,kurspris!$A$1:$Q$835,10,FALSE)</f>
        <v>0</v>
      </c>
      <c r="AL424" s="31">
        <f>VLOOKUP($A424,kurspris!$A$1:$Q$835,11,FALSE)</f>
        <v>1</v>
      </c>
      <c r="AM424" s="31">
        <f>VLOOKUP($A424,kurspris!$A$1:$Q$835,12,FALSE)</f>
        <v>0</v>
      </c>
      <c r="AN424" s="31">
        <f>VLOOKUP($A424,kurspris!$A$1:$Q$835,13,FALSE)</f>
        <v>0</v>
      </c>
      <c r="AO424" s="31">
        <f>VLOOKUP($A424,kurspris!$A$1:$Q$835,14,FALSE)</f>
        <v>0</v>
      </c>
      <c r="AP424" s="39" t="s">
        <v>2326</v>
      </c>
      <c r="AQ424"/>
      <c r="AR424" s="31">
        <f t="shared" si="173"/>
        <v>0</v>
      </c>
      <c r="AS424" s="255">
        <f t="shared" si="174"/>
        <v>0</v>
      </c>
      <c r="AT424" s="31">
        <f t="shared" si="175"/>
        <v>0</v>
      </c>
      <c r="AU424" s="255">
        <f t="shared" si="176"/>
        <v>0</v>
      </c>
      <c r="AV424" s="31">
        <f t="shared" si="177"/>
        <v>0</v>
      </c>
      <c r="AW424" s="31">
        <f t="shared" si="178"/>
        <v>0</v>
      </c>
      <c r="AX424" s="31">
        <f t="shared" si="179"/>
        <v>0</v>
      </c>
      <c r="AY424" s="255">
        <f t="shared" si="180"/>
        <v>0</v>
      </c>
      <c r="AZ424" s="232">
        <f t="shared" si="181"/>
        <v>0</v>
      </c>
      <c r="BA424" s="255">
        <f t="shared" si="182"/>
        <v>0</v>
      </c>
      <c r="BB424" s="31">
        <f t="shared" si="183"/>
        <v>0</v>
      </c>
      <c r="BC424" s="255">
        <f t="shared" si="184"/>
        <v>0</v>
      </c>
      <c r="BD424" s="31">
        <f t="shared" si="185"/>
        <v>0</v>
      </c>
      <c r="BE424" s="255">
        <f t="shared" si="186"/>
        <v>0</v>
      </c>
      <c r="BF424" s="31">
        <f t="shared" si="187"/>
        <v>0</v>
      </c>
      <c r="BG424" s="255">
        <f t="shared" si="188"/>
        <v>0</v>
      </c>
      <c r="BH424" s="31">
        <f t="shared" si="189"/>
        <v>3.75</v>
      </c>
      <c r="BI424" s="255">
        <f t="shared" si="190"/>
        <v>3.1875</v>
      </c>
      <c r="BJ424" s="31">
        <f t="shared" si="191"/>
        <v>0</v>
      </c>
      <c r="BK424" s="31">
        <f t="shared" si="192"/>
        <v>0</v>
      </c>
      <c r="BL424" s="255">
        <f t="shared" si="193"/>
        <v>0</v>
      </c>
      <c r="BM424" s="31">
        <f t="shared" si="194"/>
        <v>0</v>
      </c>
      <c r="BN424" s="255">
        <f t="shared" si="195"/>
        <v>0</v>
      </c>
    </row>
    <row r="425" spans="1:66" x14ac:dyDescent="0.25">
      <c r="A425" s="18" t="s">
        <v>1309</v>
      </c>
      <c r="B425" s="186" t="str">
        <f>VLOOKUP(A425,kurspris!$A$1:$B$877,2,FALSE)</f>
        <v>Läraryrkets dimensioner - ingångsämne svenska</v>
      </c>
      <c r="C425" s="37"/>
      <c r="D425" s="31" t="s">
        <v>483</v>
      </c>
      <c r="E425" s="31" t="s">
        <v>1976</v>
      </c>
      <c r="F425" s="59" t="s">
        <v>1931</v>
      </c>
      <c r="G425" s="31" t="s">
        <v>2267</v>
      </c>
      <c r="J425" t="s">
        <v>778</v>
      </c>
      <c r="L425" s="31">
        <v>100</v>
      </c>
      <c r="M425" s="31">
        <v>22.5</v>
      </c>
      <c r="P425" s="31">
        <v>10</v>
      </c>
      <c r="Q425" s="232">
        <f t="shared" si="168"/>
        <v>3.75</v>
      </c>
      <c r="R425" s="40">
        <v>0.85</v>
      </c>
      <c r="S425" s="334">
        <f t="shared" si="169"/>
        <v>3.1875</v>
      </c>
      <c r="T425" s="31">
        <f>VLOOKUP(A425,'Ansvar kurs'!$A$1:$C$1010,2,FALSE)</f>
        <v>1620</v>
      </c>
      <c r="U425" s="31" t="str">
        <f>VLOOKUP(T425,Orgenheter!$A$1:$C$165,2,FALSE)</f>
        <v>Inst för språkstudier</v>
      </c>
      <c r="V425" s="31" t="str">
        <f>VLOOKUP(T425,Orgenheter!$A$1:$C$165,3,FALSE)</f>
        <v>Hum</v>
      </c>
      <c r="W425" s="37" t="str">
        <f>VLOOKUP(D425,Program!$A$1:$B$34,2,FALSE)</f>
        <v>Ämneslärarprogrammet - Gy</v>
      </c>
      <c r="X425" s="42">
        <f>VLOOKUP(A425,kurspris!$A$1:$Q$798,15,FALSE)</f>
        <v>21634</v>
      </c>
      <c r="Y425" s="42">
        <f>VLOOKUP(A425,kurspris!$A$1:$Q$798,16,FALSE)</f>
        <v>26986</v>
      </c>
      <c r="Z425" s="42">
        <f t="shared" si="170"/>
        <v>167145.375</v>
      </c>
      <c r="AA425" s="42">
        <f>VLOOKUP(A425,kurspris!$A$1:$Q$798,17,FALSE)</f>
        <v>3400</v>
      </c>
      <c r="AB425" s="42">
        <f t="shared" si="171"/>
        <v>12750</v>
      </c>
      <c r="AC425" s="42">
        <f t="shared" si="172"/>
        <v>179895.375</v>
      </c>
      <c r="AD425" s="31">
        <f>VLOOKUP($A425,kurspris!$A$1:$Q$835,3,FALSE)</f>
        <v>0</v>
      </c>
      <c r="AE425" s="31">
        <f>VLOOKUP($A425,kurspris!$A$1:$Q$835,4,FALSE)</f>
        <v>0</v>
      </c>
      <c r="AF425" s="31">
        <f>VLOOKUP($A425,kurspris!$A$1:$Q$835,5,FALSE)</f>
        <v>0</v>
      </c>
      <c r="AG425" s="31">
        <f>VLOOKUP($A425,kurspris!$A$1:$Q$835,6,FALSE)</f>
        <v>0</v>
      </c>
      <c r="AH425" s="31">
        <f>VLOOKUP($A425,kurspris!$A$1:$Q$835,7,FALSE)</f>
        <v>0</v>
      </c>
      <c r="AI425" s="31">
        <f>VLOOKUP($A425,kurspris!$A$1:$Q$835,8,FALSE)</f>
        <v>0</v>
      </c>
      <c r="AJ425" s="31">
        <f>VLOOKUP($A425,kurspris!$A$1:$Q$835,9,FALSE)</f>
        <v>0</v>
      </c>
      <c r="AK425" s="31">
        <f>VLOOKUP($A425,kurspris!$A$1:$Q$835,10,FALSE)</f>
        <v>0</v>
      </c>
      <c r="AL425" s="31">
        <f>VLOOKUP($A425,kurspris!$A$1:$Q$835,11,FALSE)</f>
        <v>1</v>
      </c>
      <c r="AM425" s="31">
        <f>VLOOKUP($A425,kurspris!$A$1:$Q$835,12,FALSE)</f>
        <v>0</v>
      </c>
      <c r="AN425" s="31">
        <f>VLOOKUP($A425,kurspris!$A$1:$Q$835,13,FALSE)</f>
        <v>0</v>
      </c>
      <c r="AO425" s="31">
        <f>VLOOKUP($A425,kurspris!$A$1:$Q$835,14,FALSE)</f>
        <v>0</v>
      </c>
      <c r="AP425" s="39" t="s">
        <v>2326</v>
      </c>
      <c r="AQ425"/>
      <c r="AR425" s="31">
        <f t="shared" si="173"/>
        <v>0</v>
      </c>
      <c r="AS425" s="255">
        <f t="shared" si="174"/>
        <v>0</v>
      </c>
      <c r="AT425" s="31">
        <f t="shared" si="175"/>
        <v>0</v>
      </c>
      <c r="AU425" s="255">
        <f t="shared" si="176"/>
        <v>0</v>
      </c>
      <c r="AV425" s="31">
        <f t="shared" si="177"/>
        <v>0</v>
      </c>
      <c r="AW425" s="31">
        <f t="shared" si="178"/>
        <v>0</v>
      </c>
      <c r="AX425" s="31">
        <f t="shared" si="179"/>
        <v>0</v>
      </c>
      <c r="AY425" s="255">
        <f t="shared" si="180"/>
        <v>0</v>
      </c>
      <c r="AZ425" s="232">
        <f t="shared" si="181"/>
        <v>0</v>
      </c>
      <c r="BA425" s="255">
        <f t="shared" si="182"/>
        <v>0</v>
      </c>
      <c r="BB425" s="31">
        <f t="shared" si="183"/>
        <v>0</v>
      </c>
      <c r="BC425" s="255">
        <f t="shared" si="184"/>
        <v>0</v>
      </c>
      <c r="BD425" s="31">
        <f t="shared" si="185"/>
        <v>0</v>
      </c>
      <c r="BE425" s="255">
        <f t="shared" si="186"/>
        <v>0</v>
      </c>
      <c r="BF425" s="31">
        <f t="shared" si="187"/>
        <v>0</v>
      </c>
      <c r="BG425" s="255">
        <f t="shared" si="188"/>
        <v>0</v>
      </c>
      <c r="BH425" s="31">
        <f t="shared" si="189"/>
        <v>3.75</v>
      </c>
      <c r="BI425" s="255">
        <f t="shared" si="190"/>
        <v>3.1875</v>
      </c>
      <c r="BJ425" s="31">
        <f t="shared" si="191"/>
        <v>0</v>
      </c>
      <c r="BK425" s="31">
        <f t="shared" si="192"/>
        <v>0</v>
      </c>
      <c r="BL425" s="255">
        <f t="shared" si="193"/>
        <v>0</v>
      </c>
      <c r="BM425" s="31">
        <f t="shared" si="194"/>
        <v>0</v>
      </c>
      <c r="BN425" s="255">
        <f t="shared" si="195"/>
        <v>0</v>
      </c>
    </row>
    <row r="426" spans="1:66" x14ac:dyDescent="0.25">
      <c r="A426" s="18" t="s">
        <v>1309</v>
      </c>
      <c r="B426" s="186" t="str">
        <f>VLOOKUP(A426,kurspris!$A$1:$B$877,2,FALSE)</f>
        <v>Läraryrkets dimensioner - ingångsämne svenska</v>
      </c>
      <c r="C426" s="37"/>
      <c r="D426" s="31" t="s">
        <v>483</v>
      </c>
      <c r="E426" s="31" t="s">
        <v>1973</v>
      </c>
      <c r="F426" s="59" t="s">
        <v>1931</v>
      </c>
      <c r="G426" s="31" t="s">
        <v>2267</v>
      </c>
      <c r="J426" t="s">
        <v>778</v>
      </c>
      <c r="L426" s="31">
        <v>100</v>
      </c>
      <c r="M426" s="31">
        <v>22.5</v>
      </c>
      <c r="P426" s="31">
        <v>1</v>
      </c>
      <c r="Q426" s="232">
        <f t="shared" si="168"/>
        <v>0.375</v>
      </c>
      <c r="R426" s="40">
        <v>0.85</v>
      </c>
      <c r="S426" s="334">
        <f t="shared" si="169"/>
        <v>0.31874999999999998</v>
      </c>
      <c r="T426" s="31">
        <f>VLOOKUP(A426,'Ansvar kurs'!$A$1:$C$1010,2,FALSE)</f>
        <v>1620</v>
      </c>
      <c r="U426" s="31" t="str">
        <f>VLOOKUP(T426,Orgenheter!$A$1:$C$165,2,FALSE)</f>
        <v>Inst för språkstudier</v>
      </c>
      <c r="V426" s="31" t="str">
        <f>VLOOKUP(T426,Orgenheter!$A$1:$C$165,3,FALSE)</f>
        <v>Hum</v>
      </c>
      <c r="W426" s="37" t="str">
        <f>VLOOKUP(D426,Program!$A$1:$B$34,2,FALSE)</f>
        <v>Ämneslärarprogrammet - Gy</v>
      </c>
      <c r="X426" s="42">
        <f>VLOOKUP(A426,kurspris!$A$1:$Q$798,15,FALSE)</f>
        <v>21634</v>
      </c>
      <c r="Y426" s="42">
        <f>VLOOKUP(A426,kurspris!$A$1:$Q$798,16,FALSE)</f>
        <v>26986</v>
      </c>
      <c r="Z426" s="42">
        <f t="shared" si="170"/>
        <v>16714.537499999999</v>
      </c>
      <c r="AA426" s="42">
        <f>VLOOKUP(A426,kurspris!$A$1:$Q$798,17,FALSE)</f>
        <v>3400</v>
      </c>
      <c r="AB426" s="42">
        <f t="shared" si="171"/>
        <v>1275</v>
      </c>
      <c r="AC426" s="42">
        <f t="shared" si="172"/>
        <v>17989.537499999999</v>
      </c>
      <c r="AD426" s="31">
        <f>VLOOKUP($A426,kurspris!$A$1:$Q$835,3,FALSE)</f>
        <v>0</v>
      </c>
      <c r="AE426" s="31">
        <f>VLOOKUP($A426,kurspris!$A$1:$Q$835,4,FALSE)</f>
        <v>0</v>
      </c>
      <c r="AF426" s="31">
        <f>VLOOKUP($A426,kurspris!$A$1:$Q$835,5,FALSE)</f>
        <v>0</v>
      </c>
      <c r="AG426" s="31">
        <f>VLOOKUP($A426,kurspris!$A$1:$Q$835,6,FALSE)</f>
        <v>0</v>
      </c>
      <c r="AH426" s="31">
        <f>VLOOKUP($A426,kurspris!$A$1:$Q$835,7,FALSE)</f>
        <v>0</v>
      </c>
      <c r="AI426" s="31">
        <f>VLOOKUP($A426,kurspris!$A$1:$Q$835,8,FALSE)</f>
        <v>0</v>
      </c>
      <c r="AJ426" s="31">
        <f>VLOOKUP($A426,kurspris!$A$1:$Q$835,9,FALSE)</f>
        <v>0</v>
      </c>
      <c r="AK426" s="31">
        <f>VLOOKUP($A426,kurspris!$A$1:$Q$835,10,FALSE)</f>
        <v>0</v>
      </c>
      <c r="AL426" s="31">
        <f>VLOOKUP($A426,kurspris!$A$1:$Q$835,11,FALSE)</f>
        <v>1</v>
      </c>
      <c r="AM426" s="31">
        <f>VLOOKUP($A426,kurspris!$A$1:$Q$835,12,FALSE)</f>
        <v>0</v>
      </c>
      <c r="AN426" s="31">
        <f>VLOOKUP($A426,kurspris!$A$1:$Q$835,13,FALSE)</f>
        <v>0</v>
      </c>
      <c r="AO426" s="31">
        <f>VLOOKUP($A426,kurspris!$A$1:$Q$835,14,FALSE)</f>
        <v>0</v>
      </c>
      <c r="AP426" s="39" t="s">
        <v>2326</v>
      </c>
      <c r="AQ426"/>
      <c r="AR426" s="31">
        <f t="shared" si="173"/>
        <v>0</v>
      </c>
      <c r="AS426" s="255">
        <f t="shared" si="174"/>
        <v>0</v>
      </c>
      <c r="AT426" s="31">
        <f t="shared" si="175"/>
        <v>0</v>
      </c>
      <c r="AU426" s="255">
        <f t="shared" si="176"/>
        <v>0</v>
      </c>
      <c r="AV426" s="31">
        <f t="shared" si="177"/>
        <v>0</v>
      </c>
      <c r="AW426" s="31">
        <f t="shared" si="178"/>
        <v>0</v>
      </c>
      <c r="AX426" s="31">
        <f t="shared" si="179"/>
        <v>0</v>
      </c>
      <c r="AY426" s="255">
        <f t="shared" si="180"/>
        <v>0</v>
      </c>
      <c r="AZ426" s="232">
        <f t="shared" si="181"/>
        <v>0</v>
      </c>
      <c r="BA426" s="255">
        <f t="shared" si="182"/>
        <v>0</v>
      </c>
      <c r="BB426" s="31">
        <f t="shared" si="183"/>
        <v>0</v>
      </c>
      <c r="BC426" s="255">
        <f t="shared" si="184"/>
        <v>0</v>
      </c>
      <c r="BD426" s="31">
        <f t="shared" si="185"/>
        <v>0</v>
      </c>
      <c r="BE426" s="255">
        <f t="shared" si="186"/>
        <v>0</v>
      </c>
      <c r="BF426" s="31">
        <f t="shared" si="187"/>
        <v>0</v>
      </c>
      <c r="BG426" s="255">
        <f t="shared" si="188"/>
        <v>0</v>
      </c>
      <c r="BH426" s="31">
        <f t="shared" si="189"/>
        <v>0.375</v>
      </c>
      <c r="BI426" s="255">
        <f t="shared" si="190"/>
        <v>0.31874999999999998</v>
      </c>
      <c r="BJ426" s="31">
        <f t="shared" si="191"/>
        <v>0</v>
      </c>
      <c r="BK426" s="31">
        <f t="shared" si="192"/>
        <v>0</v>
      </c>
      <c r="BL426" s="255">
        <f t="shared" si="193"/>
        <v>0</v>
      </c>
      <c r="BM426" s="31">
        <f t="shared" si="194"/>
        <v>0</v>
      </c>
      <c r="BN426" s="255">
        <f t="shared" si="195"/>
        <v>0</v>
      </c>
    </row>
    <row r="427" spans="1:66" x14ac:dyDescent="0.25">
      <c r="A427" s="18" t="s">
        <v>1565</v>
      </c>
      <c r="B427" s="186" t="str">
        <f>VLOOKUP(A427,kurspris!$A$1:$B$877,2,FALSE)</f>
        <v>Språk, kommunikation och språkutveckling i förskolans verksamhet</v>
      </c>
      <c r="C427" s="37"/>
      <c r="D427" s="31" t="s">
        <v>484</v>
      </c>
      <c r="E427" s="31" t="s">
        <v>1788</v>
      </c>
      <c r="F427" s="59" t="s">
        <v>1931</v>
      </c>
      <c r="G427" s="31" t="s">
        <v>2270</v>
      </c>
      <c r="L427" s="31">
        <v>100</v>
      </c>
      <c r="M427" s="31">
        <v>15</v>
      </c>
      <c r="P427" s="31">
        <v>46</v>
      </c>
      <c r="Q427" s="232">
        <f t="shared" si="168"/>
        <v>11.5</v>
      </c>
      <c r="R427" s="40">
        <v>0.85</v>
      </c>
      <c r="S427" s="334">
        <f t="shared" si="169"/>
        <v>9.7750000000000004</v>
      </c>
      <c r="T427" s="31">
        <f>VLOOKUP(A427,'Ansvar kurs'!$A$1:$C$1010,2,FALSE)</f>
        <v>1620</v>
      </c>
      <c r="U427" s="31" t="str">
        <f>VLOOKUP(T427,Orgenheter!$A$1:$C$165,2,FALSE)</f>
        <v>Inst för språkstudier</v>
      </c>
      <c r="V427" s="31" t="str">
        <f>VLOOKUP(T427,Orgenheter!$A$1:$C$165,3,FALSE)</f>
        <v>Hum</v>
      </c>
      <c r="W427" s="37" t="str">
        <f>VLOOKUP(D427,Program!$A$1:$B$34,2,FALSE)</f>
        <v>Förskollärarprogrammet</v>
      </c>
      <c r="X427" s="42">
        <f>VLOOKUP(A427,kurspris!$A$1:$Q$798,15,FALSE)</f>
        <v>18405</v>
      </c>
      <c r="Y427" s="42">
        <f>VLOOKUP(A427,kurspris!$A$1:$Q$798,16,FALSE)</f>
        <v>15773</v>
      </c>
      <c r="Z427" s="42">
        <f t="shared" si="170"/>
        <v>365838.57500000001</v>
      </c>
      <c r="AA427" s="42">
        <f>VLOOKUP(A427,kurspris!$A$1:$Q$798,17,FALSE)</f>
        <v>5800</v>
      </c>
      <c r="AB427" s="42">
        <f t="shared" si="171"/>
        <v>66700</v>
      </c>
      <c r="AC427" s="42">
        <f t="shared" si="172"/>
        <v>432538.57500000001</v>
      </c>
      <c r="AD427" s="31">
        <f>VLOOKUP($A427,kurspris!$A$1:$Q$835,3,FALSE)</f>
        <v>0</v>
      </c>
      <c r="AE427" s="31">
        <f>VLOOKUP($A427,kurspris!$A$1:$Q$835,4,FALSE)</f>
        <v>1</v>
      </c>
      <c r="AF427" s="31">
        <f>VLOOKUP($A427,kurspris!$A$1:$Q$835,5,FALSE)</f>
        <v>0</v>
      </c>
      <c r="AG427" s="31">
        <f>VLOOKUP($A427,kurspris!$A$1:$Q$835,6,FALSE)</f>
        <v>0</v>
      </c>
      <c r="AH427" s="31">
        <f>VLOOKUP($A427,kurspris!$A$1:$Q$835,7,FALSE)</f>
        <v>0</v>
      </c>
      <c r="AI427" s="31">
        <f>VLOOKUP($A427,kurspris!$A$1:$Q$835,8,FALSE)</f>
        <v>0</v>
      </c>
      <c r="AJ427" s="31">
        <f>VLOOKUP($A427,kurspris!$A$1:$Q$835,9,FALSE)</f>
        <v>0</v>
      </c>
      <c r="AK427" s="31">
        <f>VLOOKUP($A427,kurspris!$A$1:$Q$835,10,FALSE)</f>
        <v>0</v>
      </c>
      <c r="AL427" s="31">
        <f>VLOOKUP($A427,kurspris!$A$1:$Q$835,11,FALSE)</f>
        <v>0</v>
      </c>
      <c r="AM427" s="31">
        <f>VLOOKUP($A427,kurspris!$A$1:$Q$835,12,FALSE)</f>
        <v>0</v>
      </c>
      <c r="AN427" s="31">
        <f>VLOOKUP($A427,kurspris!$A$1:$Q$835,13,FALSE)</f>
        <v>0</v>
      </c>
      <c r="AO427" s="31">
        <f>VLOOKUP($A427,kurspris!$A$1:$Q$835,14,FALSE)</f>
        <v>0</v>
      </c>
      <c r="AP427" s="39" t="s">
        <v>2326</v>
      </c>
      <c r="AQ427"/>
      <c r="AR427" s="31">
        <f t="shared" si="173"/>
        <v>0</v>
      </c>
      <c r="AS427" s="255">
        <f t="shared" si="174"/>
        <v>0</v>
      </c>
      <c r="AT427" s="31">
        <f t="shared" si="175"/>
        <v>11.5</v>
      </c>
      <c r="AU427" s="255">
        <f t="shared" si="176"/>
        <v>9.7750000000000004</v>
      </c>
      <c r="AV427" s="31">
        <f t="shared" si="177"/>
        <v>0</v>
      </c>
      <c r="AW427" s="31">
        <f t="shared" si="178"/>
        <v>0</v>
      </c>
      <c r="AX427" s="31">
        <f t="shared" si="179"/>
        <v>0</v>
      </c>
      <c r="AY427" s="255">
        <f t="shared" si="180"/>
        <v>0</v>
      </c>
      <c r="AZ427" s="232">
        <f t="shared" si="181"/>
        <v>0</v>
      </c>
      <c r="BA427" s="255">
        <f t="shared" si="182"/>
        <v>0</v>
      </c>
      <c r="BB427" s="31">
        <f t="shared" si="183"/>
        <v>0</v>
      </c>
      <c r="BC427" s="255">
        <f t="shared" si="184"/>
        <v>0</v>
      </c>
      <c r="BD427" s="31">
        <f t="shared" si="185"/>
        <v>0</v>
      </c>
      <c r="BE427" s="255">
        <f t="shared" si="186"/>
        <v>0</v>
      </c>
      <c r="BF427" s="31">
        <f t="shared" si="187"/>
        <v>0</v>
      </c>
      <c r="BG427" s="255">
        <f t="shared" si="188"/>
        <v>0</v>
      </c>
      <c r="BH427" s="31">
        <f t="shared" si="189"/>
        <v>0</v>
      </c>
      <c r="BI427" s="255">
        <f t="shared" si="190"/>
        <v>0</v>
      </c>
      <c r="BJ427" s="31">
        <f t="shared" si="191"/>
        <v>0</v>
      </c>
      <c r="BK427" s="31">
        <f t="shared" si="192"/>
        <v>0</v>
      </c>
      <c r="BL427" s="255">
        <f t="shared" si="193"/>
        <v>0</v>
      </c>
      <c r="BM427" s="31">
        <f t="shared" si="194"/>
        <v>0</v>
      </c>
      <c r="BN427" s="255">
        <f t="shared" si="195"/>
        <v>0</v>
      </c>
    </row>
    <row r="428" spans="1:66" x14ac:dyDescent="0.25">
      <c r="A428" t="s">
        <v>1565</v>
      </c>
      <c r="B428" s="186" t="str">
        <f>VLOOKUP(A428,kurspris!$A$1:$B$877,2,FALSE)</f>
        <v>Språk, kommunikation och språkutveckling i förskolans verksamhet</v>
      </c>
      <c r="C428"/>
      <c r="D428" t="s">
        <v>484</v>
      </c>
      <c r="E428" t="s">
        <v>1787</v>
      </c>
      <c r="F428" s="39" t="s">
        <v>1930</v>
      </c>
      <c r="G428" t="s">
        <v>1979</v>
      </c>
      <c r="H428" t="s">
        <v>1910</v>
      </c>
      <c r="I428"/>
      <c r="J428"/>
      <c r="K428"/>
      <c r="L428">
        <v>100</v>
      </c>
      <c r="M428">
        <v>15</v>
      </c>
      <c r="N428"/>
      <c r="O428"/>
      <c r="P428" s="31">
        <v>25</v>
      </c>
      <c r="Q428" s="232">
        <f t="shared" si="168"/>
        <v>6.25</v>
      </c>
      <c r="R428" s="40">
        <v>0.85</v>
      </c>
      <c r="S428" s="334">
        <f t="shared" si="169"/>
        <v>5.3125</v>
      </c>
      <c r="T428" s="31">
        <f>VLOOKUP(A428,'Ansvar kurs'!$A$1:$C$1010,2,FALSE)</f>
        <v>1620</v>
      </c>
      <c r="U428" s="31" t="str">
        <f>VLOOKUP(T428,Orgenheter!$A$1:$C$165,2,FALSE)</f>
        <v>Inst för språkstudier</v>
      </c>
      <c r="V428" s="31" t="str">
        <f>VLOOKUP(T428,Orgenheter!$A$1:$C$165,3,FALSE)</f>
        <v>Hum</v>
      </c>
      <c r="W428" s="37" t="str">
        <f>VLOOKUP(D428,Program!$A$1:$B$34,2,FALSE)</f>
        <v>Förskollärarprogrammet</v>
      </c>
      <c r="X428" s="42">
        <f>VLOOKUP(A428,kurspris!$A$1:$Q$798,15,FALSE)</f>
        <v>18405</v>
      </c>
      <c r="Y428" s="42">
        <f>VLOOKUP(A428,kurspris!$A$1:$Q$798,16,FALSE)</f>
        <v>15773</v>
      </c>
      <c r="Z428" s="42">
        <f t="shared" si="170"/>
        <v>198825.3125</v>
      </c>
      <c r="AA428" s="42">
        <f>VLOOKUP(A428,kurspris!$A$1:$Q$798,17,FALSE)</f>
        <v>5800</v>
      </c>
      <c r="AB428" s="42">
        <f t="shared" si="171"/>
        <v>36250</v>
      </c>
      <c r="AC428" s="42">
        <f t="shared" si="172"/>
        <v>235075.3125</v>
      </c>
      <c r="AD428" s="31">
        <f>VLOOKUP($A428,kurspris!$A$1:$Q$835,3,FALSE)</f>
        <v>0</v>
      </c>
      <c r="AE428" s="31">
        <f>VLOOKUP($A428,kurspris!$A$1:$Q$835,4,FALSE)</f>
        <v>1</v>
      </c>
      <c r="AF428" s="31">
        <f>VLOOKUP($A428,kurspris!$A$1:$Q$835,5,FALSE)</f>
        <v>0</v>
      </c>
      <c r="AG428" s="31">
        <f>VLOOKUP($A428,kurspris!$A$1:$Q$835,6,FALSE)</f>
        <v>0</v>
      </c>
      <c r="AH428" s="31">
        <f>VLOOKUP($A428,kurspris!$A$1:$Q$835,7,FALSE)</f>
        <v>0</v>
      </c>
      <c r="AI428" s="31">
        <f>VLOOKUP($A428,kurspris!$A$1:$Q$835,8,FALSE)</f>
        <v>0</v>
      </c>
      <c r="AJ428" s="31">
        <f>VLOOKUP($A428,kurspris!$A$1:$Q$835,9,FALSE)</f>
        <v>0</v>
      </c>
      <c r="AK428" s="31">
        <f>VLOOKUP($A428,kurspris!$A$1:$Q$835,10,FALSE)</f>
        <v>0</v>
      </c>
      <c r="AL428" s="31">
        <f>VLOOKUP($A428,kurspris!$A$1:$Q$835,11,FALSE)</f>
        <v>0</v>
      </c>
      <c r="AM428" s="31">
        <f>VLOOKUP($A428,kurspris!$A$1:$Q$835,12,FALSE)</f>
        <v>0</v>
      </c>
      <c r="AN428" s="31">
        <f>VLOOKUP($A428,kurspris!$A$1:$Q$835,13,FALSE)</f>
        <v>0</v>
      </c>
      <c r="AO428" s="31">
        <f>VLOOKUP($A428,kurspris!$A$1:$Q$835,14,FALSE)</f>
        <v>0</v>
      </c>
      <c r="AP428" s="39" t="s">
        <v>2204</v>
      </c>
      <c r="AQ428"/>
      <c r="AR428" s="31">
        <f t="shared" si="173"/>
        <v>0</v>
      </c>
      <c r="AS428" s="255">
        <f t="shared" si="174"/>
        <v>0</v>
      </c>
      <c r="AT428" s="31">
        <f t="shared" si="175"/>
        <v>6.25</v>
      </c>
      <c r="AU428" s="255">
        <f t="shared" si="176"/>
        <v>5.3125</v>
      </c>
      <c r="AV428" s="31">
        <f t="shared" si="177"/>
        <v>0</v>
      </c>
      <c r="AW428" s="31">
        <f t="shared" si="178"/>
        <v>0</v>
      </c>
      <c r="AX428" s="31">
        <f t="shared" si="179"/>
        <v>0</v>
      </c>
      <c r="AY428" s="255">
        <f t="shared" si="180"/>
        <v>0</v>
      </c>
      <c r="AZ428" s="232">
        <f t="shared" si="181"/>
        <v>0</v>
      </c>
      <c r="BA428" s="255">
        <f t="shared" si="182"/>
        <v>0</v>
      </c>
      <c r="BB428" s="31">
        <f t="shared" si="183"/>
        <v>0</v>
      </c>
      <c r="BC428" s="255">
        <f t="shared" si="184"/>
        <v>0</v>
      </c>
      <c r="BD428" s="31">
        <f t="shared" si="185"/>
        <v>0</v>
      </c>
      <c r="BE428" s="255">
        <f t="shared" si="186"/>
        <v>0</v>
      </c>
      <c r="BF428" s="31">
        <f t="shared" si="187"/>
        <v>0</v>
      </c>
      <c r="BG428" s="255">
        <f t="shared" si="188"/>
        <v>0</v>
      </c>
      <c r="BH428" s="31">
        <f t="shared" si="189"/>
        <v>0</v>
      </c>
      <c r="BI428" s="255">
        <f t="shared" si="190"/>
        <v>0</v>
      </c>
      <c r="BJ428" s="31">
        <f t="shared" si="191"/>
        <v>0</v>
      </c>
      <c r="BK428" s="31">
        <f t="shared" si="192"/>
        <v>0</v>
      </c>
      <c r="BL428" s="255">
        <f t="shared" si="193"/>
        <v>0</v>
      </c>
      <c r="BM428" s="31">
        <f t="shared" si="194"/>
        <v>0</v>
      </c>
      <c r="BN428" s="255">
        <f t="shared" si="195"/>
        <v>0</v>
      </c>
    </row>
    <row r="429" spans="1:66" x14ac:dyDescent="0.25">
      <c r="A429" t="s">
        <v>1565</v>
      </c>
      <c r="B429" s="186" t="str">
        <f>VLOOKUP(A429,kurspris!$A$1:$B$877,2,FALSE)</f>
        <v>Språk, kommunikation och språkutveckling i förskolans verksamhet</v>
      </c>
      <c r="C429"/>
      <c r="D429" t="s">
        <v>484</v>
      </c>
      <c r="E429" t="s">
        <v>1787</v>
      </c>
      <c r="F429" s="39" t="s">
        <v>1930</v>
      </c>
      <c r="G429" t="s">
        <v>1979</v>
      </c>
      <c r="H429" t="s">
        <v>1977</v>
      </c>
      <c r="I429"/>
      <c r="J429"/>
      <c r="K429"/>
      <c r="L429">
        <v>100</v>
      </c>
      <c r="M429">
        <v>15</v>
      </c>
      <c r="N429"/>
      <c r="O429"/>
      <c r="P429" s="31">
        <v>16</v>
      </c>
      <c r="Q429" s="232">
        <f t="shared" si="168"/>
        <v>4</v>
      </c>
      <c r="R429" s="40">
        <v>0.85</v>
      </c>
      <c r="S429" s="334">
        <f t="shared" si="169"/>
        <v>3.4</v>
      </c>
      <c r="T429" s="31">
        <f>VLOOKUP(A429,'Ansvar kurs'!$A$1:$C$1010,2,FALSE)</f>
        <v>1620</v>
      </c>
      <c r="U429" s="31" t="str">
        <f>VLOOKUP(T429,Orgenheter!$A$1:$C$165,2,FALSE)</f>
        <v>Inst för språkstudier</v>
      </c>
      <c r="V429" s="31" t="str">
        <f>VLOOKUP(T429,Orgenheter!$A$1:$C$165,3,FALSE)</f>
        <v>Hum</v>
      </c>
      <c r="W429" s="37" t="str">
        <f>VLOOKUP(D429,Program!$A$1:$B$34,2,FALSE)</f>
        <v>Förskollärarprogrammet</v>
      </c>
      <c r="X429" s="42">
        <f>VLOOKUP(A429,kurspris!$A$1:$Q$798,15,FALSE)</f>
        <v>18405</v>
      </c>
      <c r="Y429" s="42">
        <f>VLOOKUP(A429,kurspris!$A$1:$Q$798,16,FALSE)</f>
        <v>15773</v>
      </c>
      <c r="Z429" s="42">
        <f t="shared" si="170"/>
        <v>127248.2</v>
      </c>
      <c r="AA429" s="42">
        <f>VLOOKUP(A429,kurspris!$A$1:$Q$798,17,FALSE)</f>
        <v>5800</v>
      </c>
      <c r="AB429" s="42">
        <f t="shared" si="171"/>
        <v>23200</v>
      </c>
      <c r="AC429" s="42">
        <f t="shared" si="172"/>
        <v>150448.20000000001</v>
      </c>
      <c r="AD429" s="31">
        <f>VLOOKUP($A429,kurspris!$A$1:$Q$835,3,FALSE)</f>
        <v>0</v>
      </c>
      <c r="AE429" s="31">
        <f>VLOOKUP($A429,kurspris!$A$1:$Q$835,4,FALSE)</f>
        <v>1</v>
      </c>
      <c r="AF429" s="31">
        <f>VLOOKUP($A429,kurspris!$A$1:$Q$835,5,FALSE)</f>
        <v>0</v>
      </c>
      <c r="AG429" s="31">
        <f>VLOOKUP($A429,kurspris!$A$1:$Q$835,6,FALSE)</f>
        <v>0</v>
      </c>
      <c r="AH429" s="31">
        <f>VLOOKUP($A429,kurspris!$A$1:$Q$835,7,FALSE)</f>
        <v>0</v>
      </c>
      <c r="AI429" s="31">
        <f>VLOOKUP($A429,kurspris!$A$1:$Q$835,8,FALSE)</f>
        <v>0</v>
      </c>
      <c r="AJ429" s="31">
        <f>VLOOKUP($A429,kurspris!$A$1:$Q$835,9,FALSE)</f>
        <v>0</v>
      </c>
      <c r="AK429" s="31">
        <f>VLOOKUP($A429,kurspris!$A$1:$Q$835,10,FALSE)</f>
        <v>0</v>
      </c>
      <c r="AL429" s="31">
        <f>VLOOKUP($A429,kurspris!$A$1:$Q$835,11,FALSE)</f>
        <v>0</v>
      </c>
      <c r="AM429" s="31">
        <f>VLOOKUP($A429,kurspris!$A$1:$Q$835,12,FALSE)</f>
        <v>0</v>
      </c>
      <c r="AN429" s="31">
        <f>VLOOKUP($A429,kurspris!$A$1:$Q$835,13,FALSE)</f>
        <v>0</v>
      </c>
      <c r="AO429" s="31">
        <f>VLOOKUP($A429,kurspris!$A$1:$Q$835,14,FALSE)</f>
        <v>0</v>
      </c>
      <c r="AP429" s="39" t="s">
        <v>2204</v>
      </c>
      <c r="AQ429"/>
      <c r="AR429" s="31">
        <f t="shared" si="173"/>
        <v>0</v>
      </c>
      <c r="AS429" s="255">
        <f t="shared" si="174"/>
        <v>0</v>
      </c>
      <c r="AT429" s="31">
        <f t="shared" si="175"/>
        <v>4</v>
      </c>
      <c r="AU429" s="255">
        <f t="shared" si="176"/>
        <v>3.4</v>
      </c>
      <c r="AV429" s="31">
        <f t="shared" si="177"/>
        <v>0</v>
      </c>
      <c r="AW429" s="31">
        <f t="shared" si="178"/>
        <v>0</v>
      </c>
      <c r="AX429" s="31">
        <f t="shared" si="179"/>
        <v>0</v>
      </c>
      <c r="AY429" s="255">
        <f t="shared" si="180"/>
        <v>0</v>
      </c>
      <c r="AZ429" s="232">
        <f t="shared" si="181"/>
        <v>0</v>
      </c>
      <c r="BA429" s="255">
        <f t="shared" si="182"/>
        <v>0</v>
      </c>
      <c r="BB429" s="31">
        <f t="shared" si="183"/>
        <v>0</v>
      </c>
      <c r="BC429" s="255">
        <f t="shared" si="184"/>
        <v>0</v>
      </c>
      <c r="BD429" s="31">
        <f t="shared" si="185"/>
        <v>0</v>
      </c>
      <c r="BE429" s="255">
        <f t="shared" si="186"/>
        <v>0</v>
      </c>
      <c r="BF429" s="31">
        <f t="shared" si="187"/>
        <v>0</v>
      </c>
      <c r="BG429" s="255">
        <f t="shared" si="188"/>
        <v>0</v>
      </c>
      <c r="BH429" s="31">
        <f t="shared" si="189"/>
        <v>0</v>
      </c>
      <c r="BI429" s="255">
        <f t="shared" si="190"/>
        <v>0</v>
      </c>
      <c r="BJ429" s="31">
        <f t="shared" si="191"/>
        <v>0</v>
      </c>
      <c r="BK429" s="31">
        <f t="shared" si="192"/>
        <v>0</v>
      </c>
      <c r="BL429" s="255">
        <f t="shared" si="193"/>
        <v>0</v>
      </c>
      <c r="BM429" s="31">
        <f t="shared" si="194"/>
        <v>0</v>
      </c>
      <c r="BN429" s="255">
        <f t="shared" si="195"/>
        <v>0</v>
      </c>
    </row>
    <row r="430" spans="1:66" x14ac:dyDescent="0.25">
      <c r="A430" t="s">
        <v>1681</v>
      </c>
      <c r="B430" s="186" t="str">
        <f>VLOOKUP(A430,kurspris!$A$1:$B$877,2,FALSE)</f>
        <v>Kommunikation och språkutveckling för fritidshem</v>
      </c>
      <c r="C430"/>
      <c r="D430" t="s">
        <v>485</v>
      </c>
      <c r="E430" t="s">
        <v>1788</v>
      </c>
      <c r="F430" s="59" t="s">
        <v>1930</v>
      </c>
      <c r="G430" t="s">
        <v>1933</v>
      </c>
      <c r="H430" t="s">
        <v>1910</v>
      </c>
      <c r="I430"/>
      <c r="J430"/>
      <c r="K430"/>
      <c r="L430">
        <v>100</v>
      </c>
      <c r="M430">
        <v>7.5</v>
      </c>
      <c r="N430"/>
      <c r="O430"/>
      <c r="P430" s="31">
        <v>25</v>
      </c>
      <c r="Q430" s="232">
        <f t="shared" si="168"/>
        <v>3.125</v>
      </c>
      <c r="R430" s="40">
        <v>0.85</v>
      </c>
      <c r="S430" s="334">
        <f t="shared" si="169"/>
        <v>2.65625</v>
      </c>
      <c r="T430" s="31">
        <f>VLOOKUP(A430,'Ansvar kurs'!$A$1:$C$1010,2,FALSE)</f>
        <v>1620</v>
      </c>
      <c r="U430" s="31" t="str">
        <f>VLOOKUP(T430,Orgenheter!$A$1:$C$165,2,FALSE)</f>
        <v>Inst för språkstudier</v>
      </c>
      <c r="V430" s="31" t="str">
        <f>VLOOKUP(T430,Orgenheter!$A$1:$C$165,3,FALSE)</f>
        <v>Hum</v>
      </c>
      <c r="W430" s="37" t="str">
        <f>VLOOKUP(D430,Program!$A$1:$B$34,2,FALSE)</f>
        <v>Grundlärarprogrammet - fritidshem</v>
      </c>
      <c r="X430" s="42">
        <f>VLOOKUP(A430,kurspris!$A$1:$Q$798,15,FALSE)</f>
        <v>18405</v>
      </c>
      <c r="Y430" s="42">
        <f>VLOOKUP(A430,kurspris!$A$1:$Q$798,16,FALSE)</f>
        <v>15773</v>
      </c>
      <c r="Z430" s="42">
        <f t="shared" si="170"/>
        <v>99412.65625</v>
      </c>
      <c r="AA430" s="42">
        <f>VLOOKUP(A430,kurspris!$A$1:$Q$798,17,FALSE)</f>
        <v>5800</v>
      </c>
      <c r="AB430" s="42">
        <f t="shared" si="171"/>
        <v>18125</v>
      </c>
      <c r="AC430" s="42">
        <f t="shared" si="172"/>
        <v>117537.65625</v>
      </c>
      <c r="AD430" s="31">
        <f>VLOOKUP($A430,kurspris!$A$1:$Q$835,3,FALSE)</f>
        <v>0</v>
      </c>
      <c r="AE430" s="31">
        <f>VLOOKUP($A430,kurspris!$A$1:$Q$835,4,FALSE)</f>
        <v>1</v>
      </c>
      <c r="AF430" s="31">
        <f>VLOOKUP($A430,kurspris!$A$1:$Q$835,5,FALSE)</f>
        <v>0</v>
      </c>
      <c r="AG430" s="31">
        <f>VLOOKUP($A430,kurspris!$A$1:$Q$835,6,FALSE)</f>
        <v>0</v>
      </c>
      <c r="AH430" s="31">
        <f>VLOOKUP($A430,kurspris!$A$1:$Q$835,7,FALSE)</f>
        <v>0</v>
      </c>
      <c r="AI430" s="31">
        <f>VLOOKUP($A430,kurspris!$A$1:$Q$835,8,FALSE)</f>
        <v>0</v>
      </c>
      <c r="AJ430" s="31">
        <f>VLOOKUP($A430,kurspris!$A$1:$Q$835,9,FALSE)</f>
        <v>0</v>
      </c>
      <c r="AK430" s="31">
        <f>VLOOKUP($A430,kurspris!$A$1:$Q$835,10,FALSE)</f>
        <v>0</v>
      </c>
      <c r="AL430" s="31">
        <f>VLOOKUP($A430,kurspris!$A$1:$Q$835,11,FALSE)</f>
        <v>0</v>
      </c>
      <c r="AM430" s="31">
        <f>VLOOKUP($A430,kurspris!$A$1:$Q$835,12,FALSE)</f>
        <v>0</v>
      </c>
      <c r="AN430" s="31">
        <f>VLOOKUP($A430,kurspris!$A$1:$Q$835,13,FALSE)</f>
        <v>0</v>
      </c>
      <c r="AO430" s="31">
        <f>VLOOKUP($A430,kurspris!$A$1:$Q$835,14,FALSE)</f>
        <v>0</v>
      </c>
      <c r="AP430" s="39" t="s">
        <v>2235</v>
      </c>
      <c r="AQ430"/>
      <c r="AR430" s="31">
        <f t="shared" si="173"/>
        <v>0</v>
      </c>
      <c r="AS430" s="255">
        <f t="shared" si="174"/>
        <v>0</v>
      </c>
      <c r="AT430" s="31">
        <f t="shared" si="175"/>
        <v>3.125</v>
      </c>
      <c r="AU430" s="255">
        <f t="shared" si="176"/>
        <v>2.65625</v>
      </c>
      <c r="AV430" s="31">
        <f t="shared" si="177"/>
        <v>0</v>
      </c>
      <c r="AW430" s="31">
        <f t="shared" si="178"/>
        <v>0</v>
      </c>
      <c r="AX430" s="31">
        <f t="shared" si="179"/>
        <v>0</v>
      </c>
      <c r="AY430" s="255">
        <f t="shared" si="180"/>
        <v>0</v>
      </c>
      <c r="AZ430" s="232">
        <f t="shared" si="181"/>
        <v>0</v>
      </c>
      <c r="BA430" s="255">
        <f t="shared" si="182"/>
        <v>0</v>
      </c>
      <c r="BB430" s="31">
        <f t="shared" si="183"/>
        <v>0</v>
      </c>
      <c r="BC430" s="255">
        <f t="shared" si="184"/>
        <v>0</v>
      </c>
      <c r="BD430" s="31">
        <f t="shared" si="185"/>
        <v>0</v>
      </c>
      <c r="BE430" s="255">
        <f t="shared" si="186"/>
        <v>0</v>
      </c>
      <c r="BF430" s="31">
        <f t="shared" si="187"/>
        <v>0</v>
      </c>
      <c r="BG430" s="255">
        <f t="shared" si="188"/>
        <v>0</v>
      </c>
      <c r="BH430" s="31">
        <f t="shared" si="189"/>
        <v>0</v>
      </c>
      <c r="BI430" s="255">
        <f t="shared" si="190"/>
        <v>0</v>
      </c>
      <c r="BJ430" s="31">
        <f t="shared" si="191"/>
        <v>0</v>
      </c>
      <c r="BK430" s="31">
        <f t="shared" si="192"/>
        <v>0</v>
      </c>
      <c r="BL430" s="255">
        <f t="shared" si="193"/>
        <v>0</v>
      </c>
      <c r="BM430" s="31">
        <f t="shared" si="194"/>
        <v>0</v>
      </c>
      <c r="BN430" s="255">
        <f t="shared" si="195"/>
        <v>0</v>
      </c>
    </row>
    <row r="431" spans="1:66" x14ac:dyDescent="0.25">
      <c r="A431" t="s">
        <v>1313</v>
      </c>
      <c r="B431" s="186" t="str">
        <f>VLOOKUP(A431,kurspris!$A$1:$B$877,2,FALSE)</f>
        <v>Läraryrkets dimensioner - ingångsämne matematik</v>
      </c>
      <c r="C431"/>
      <c r="D431" t="s">
        <v>482</v>
      </c>
      <c r="E431" t="s">
        <v>1975</v>
      </c>
      <c r="F431" s="59" t="s">
        <v>1930</v>
      </c>
      <c r="G431" t="s">
        <v>1998</v>
      </c>
      <c r="H431" t="s">
        <v>1910</v>
      </c>
      <c r="I431"/>
      <c r="J431" t="s">
        <v>774</v>
      </c>
      <c r="K431"/>
      <c r="L431">
        <v>100</v>
      </c>
      <c r="M431">
        <v>22.5</v>
      </c>
      <c r="N431"/>
      <c r="O431"/>
      <c r="P431" s="31">
        <v>1</v>
      </c>
      <c r="Q431" s="232">
        <f t="shared" si="168"/>
        <v>0.375</v>
      </c>
      <c r="R431" s="40">
        <v>0.85</v>
      </c>
      <c r="S431" s="334">
        <f t="shared" si="169"/>
        <v>0.31874999999999998</v>
      </c>
      <c r="T431" s="31">
        <f>VLOOKUP(A431,'Ansvar kurs'!$A$1:$C$1010,2,FALSE)</f>
        <v>5730</v>
      </c>
      <c r="U431" s="31" t="str">
        <f>VLOOKUP(T431,Orgenheter!$A$1:$C$165,2,FALSE)</f>
        <v>Inst för MA och MA statistik</v>
      </c>
      <c r="V431" s="31" t="str">
        <f>VLOOKUP(T431,Orgenheter!$A$1:$C$165,3,FALSE)</f>
        <v>TekNat</v>
      </c>
      <c r="W431" s="37" t="str">
        <f>VLOOKUP(D431,Program!$A$1:$B$34,2,FALSE)</f>
        <v>Ämneslärarprogrammet - åk 7-9</v>
      </c>
      <c r="X431" s="42">
        <f>VLOOKUP(A431,kurspris!$A$1:$Q$798,15,FALSE)</f>
        <v>21634</v>
      </c>
      <c r="Y431" s="42">
        <f>VLOOKUP(A431,kurspris!$A$1:$Q$798,16,FALSE)</f>
        <v>26986</v>
      </c>
      <c r="Z431" s="42">
        <f t="shared" si="170"/>
        <v>16714.537499999999</v>
      </c>
      <c r="AA431" s="42">
        <f>VLOOKUP(A431,kurspris!$A$1:$Q$798,17,FALSE)</f>
        <v>3400</v>
      </c>
      <c r="AB431" s="42">
        <f t="shared" si="171"/>
        <v>1275</v>
      </c>
      <c r="AC431" s="42">
        <f t="shared" si="172"/>
        <v>17989.537499999999</v>
      </c>
      <c r="AD431" s="31">
        <f>VLOOKUP($A431,kurspris!$A$1:$Q$835,3,FALSE)</f>
        <v>0</v>
      </c>
      <c r="AE431" s="31">
        <f>VLOOKUP($A431,kurspris!$A$1:$Q$835,4,FALSE)</f>
        <v>0</v>
      </c>
      <c r="AF431" s="31">
        <f>VLOOKUP($A431,kurspris!$A$1:$Q$835,5,FALSE)</f>
        <v>0</v>
      </c>
      <c r="AG431" s="31">
        <f>VLOOKUP($A431,kurspris!$A$1:$Q$835,6,FALSE)</f>
        <v>0</v>
      </c>
      <c r="AH431" s="31">
        <f>VLOOKUP($A431,kurspris!$A$1:$Q$835,7,FALSE)</f>
        <v>0</v>
      </c>
      <c r="AI431" s="31">
        <f>VLOOKUP($A431,kurspris!$A$1:$Q$835,8,FALSE)</f>
        <v>0</v>
      </c>
      <c r="AJ431" s="31">
        <f>VLOOKUP($A431,kurspris!$A$1:$Q$835,9,FALSE)</f>
        <v>0</v>
      </c>
      <c r="AK431" s="31">
        <f>VLOOKUP($A431,kurspris!$A$1:$Q$835,10,FALSE)</f>
        <v>0</v>
      </c>
      <c r="AL431" s="31">
        <f>VLOOKUP($A431,kurspris!$A$1:$Q$835,11,FALSE)</f>
        <v>1</v>
      </c>
      <c r="AM431" s="31">
        <f>VLOOKUP($A431,kurspris!$A$1:$Q$835,12,FALSE)</f>
        <v>0</v>
      </c>
      <c r="AN431" s="31">
        <f>VLOOKUP($A431,kurspris!$A$1:$Q$835,13,FALSE)</f>
        <v>0</v>
      </c>
      <c r="AO431" s="31">
        <f>VLOOKUP($A431,kurspris!$A$1:$Q$835,14,FALSE)</f>
        <v>0</v>
      </c>
      <c r="AP431" s="39" t="s">
        <v>2204</v>
      </c>
      <c r="AQ431"/>
      <c r="AR431" s="31">
        <f t="shared" si="173"/>
        <v>0</v>
      </c>
      <c r="AS431" s="255">
        <f t="shared" si="174"/>
        <v>0</v>
      </c>
      <c r="AT431" s="31">
        <f t="shared" si="175"/>
        <v>0</v>
      </c>
      <c r="AU431" s="255">
        <f t="shared" si="176"/>
        <v>0</v>
      </c>
      <c r="AV431" s="31">
        <f t="shared" si="177"/>
        <v>0</v>
      </c>
      <c r="AW431" s="31">
        <f t="shared" si="178"/>
        <v>0</v>
      </c>
      <c r="AX431" s="31">
        <f t="shared" si="179"/>
        <v>0</v>
      </c>
      <c r="AY431" s="255">
        <f t="shared" si="180"/>
        <v>0</v>
      </c>
      <c r="AZ431" s="232">
        <f t="shared" si="181"/>
        <v>0</v>
      </c>
      <c r="BA431" s="255">
        <f t="shared" si="182"/>
        <v>0</v>
      </c>
      <c r="BB431" s="31">
        <f t="shared" si="183"/>
        <v>0</v>
      </c>
      <c r="BC431" s="255">
        <f t="shared" si="184"/>
        <v>0</v>
      </c>
      <c r="BD431" s="31">
        <f t="shared" si="185"/>
        <v>0</v>
      </c>
      <c r="BE431" s="255">
        <f t="shared" si="186"/>
        <v>0</v>
      </c>
      <c r="BF431" s="31">
        <f t="shared" si="187"/>
        <v>0</v>
      </c>
      <c r="BG431" s="255">
        <f t="shared" si="188"/>
        <v>0</v>
      </c>
      <c r="BH431" s="31">
        <f t="shared" si="189"/>
        <v>0.375</v>
      </c>
      <c r="BI431" s="255">
        <f t="shared" si="190"/>
        <v>0.31874999999999998</v>
      </c>
      <c r="BJ431" s="31">
        <f t="shared" si="191"/>
        <v>0</v>
      </c>
      <c r="BK431" s="31">
        <f t="shared" si="192"/>
        <v>0</v>
      </c>
      <c r="BL431" s="255">
        <f t="shared" si="193"/>
        <v>0</v>
      </c>
      <c r="BM431" s="31">
        <f t="shared" si="194"/>
        <v>0</v>
      </c>
      <c r="BN431" s="255">
        <f t="shared" si="195"/>
        <v>0</v>
      </c>
    </row>
    <row r="432" spans="1:66" x14ac:dyDescent="0.25">
      <c r="A432" s="18" t="s">
        <v>1313</v>
      </c>
      <c r="B432" s="186" t="str">
        <f>VLOOKUP(A432,kurspris!$A$1:$B$877,2,FALSE)</f>
        <v>Läraryrkets dimensioner - ingångsämne matematik</v>
      </c>
      <c r="C432" s="37"/>
      <c r="D432" s="31" t="s">
        <v>483</v>
      </c>
      <c r="E432" s="31" t="s">
        <v>1992</v>
      </c>
      <c r="F432" s="59" t="s">
        <v>1931</v>
      </c>
      <c r="G432" s="31" t="s">
        <v>2267</v>
      </c>
      <c r="J432" t="s">
        <v>774</v>
      </c>
      <c r="L432" s="31">
        <v>100</v>
      </c>
      <c r="M432" s="31">
        <v>22.5</v>
      </c>
      <c r="P432" s="31">
        <v>1</v>
      </c>
      <c r="Q432" s="232">
        <f t="shared" si="168"/>
        <v>0.375</v>
      </c>
      <c r="R432" s="40">
        <v>0.85</v>
      </c>
      <c r="S432" s="334">
        <f t="shared" si="169"/>
        <v>0.31874999999999998</v>
      </c>
      <c r="T432" s="31">
        <f>VLOOKUP(A432,'Ansvar kurs'!$A$1:$C$1010,2,FALSE)</f>
        <v>5730</v>
      </c>
      <c r="U432" s="31" t="str">
        <f>VLOOKUP(T432,Orgenheter!$A$1:$C$165,2,FALSE)</f>
        <v>Inst för MA och MA statistik</v>
      </c>
      <c r="V432" s="31" t="str">
        <f>VLOOKUP(T432,Orgenheter!$A$1:$C$165,3,FALSE)</f>
        <v>TekNat</v>
      </c>
      <c r="W432" s="37" t="str">
        <f>VLOOKUP(D432,Program!$A$1:$B$34,2,FALSE)</f>
        <v>Ämneslärarprogrammet - Gy</v>
      </c>
      <c r="X432" s="42">
        <f>VLOOKUP(A432,kurspris!$A$1:$Q$798,15,FALSE)</f>
        <v>21634</v>
      </c>
      <c r="Y432" s="42">
        <f>VLOOKUP(A432,kurspris!$A$1:$Q$798,16,FALSE)</f>
        <v>26986</v>
      </c>
      <c r="Z432" s="42">
        <f t="shared" si="170"/>
        <v>16714.537499999999</v>
      </c>
      <c r="AA432" s="42">
        <f>VLOOKUP(A432,kurspris!$A$1:$Q$798,17,FALSE)</f>
        <v>3400</v>
      </c>
      <c r="AB432" s="42">
        <f t="shared" si="171"/>
        <v>1275</v>
      </c>
      <c r="AC432" s="42">
        <f t="shared" si="172"/>
        <v>17989.537499999999</v>
      </c>
      <c r="AD432" s="31">
        <f>VLOOKUP($A432,kurspris!$A$1:$Q$835,3,FALSE)</f>
        <v>0</v>
      </c>
      <c r="AE432" s="31">
        <f>VLOOKUP($A432,kurspris!$A$1:$Q$835,4,FALSE)</f>
        <v>0</v>
      </c>
      <c r="AF432" s="31">
        <f>VLOOKUP($A432,kurspris!$A$1:$Q$835,5,FALSE)</f>
        <v>0</v>
      </c>
      <c r="AG432" s="31">
        <f>VLOOKUP($A432,kurspris!$A$1:$Q$835,6,FALSE)</f>
        <v>0</v>
      </c>
      <c r="AH432" s="31">
        <f>VLOOKUP($A432,kurspris!$A$1:$Q$835,7,FALSE)</f>
        <v>0</v>
      </c>
      <c r="AI432" s="31">
        <f>VLOOKUP($A432,kurspris!$A$1:$Q$835,8,FALSE)</f>
        <v>0</v>
      </c>
      <c r="AJ432" s="31">
        <f>VLOOKUP($A432,kurspris!$A$1:$Q$835,9,FALSE)</f>
        <v>0</v>
      </c>
      <c r="AK432" s="31">
        <f>VLOOKUP($A432,kurspris!$A$1:$Q$835,10,FALSE)</f>
        <v>0</v>
      </c>
      <c r="AL432" s="31">
        <f>VLOOKUP($A432,kurspris!$A$1:$Q$835,11,FALSE)</f>
        <v>1</v>
      </c>
      <c r="AM432" s="31">
        <f>VLOOKUP($A432,kurspris!$A$1:$Q$835,12,FALSE)</f>
        <v>0</v>
      </c>
      <c r="AN432" s="31">
        <f>VLOOKUP($A432,kurspris!$A$1:$Q$835,13,FALSE)</f>
        <v>0</v>
      </c>
      <c r="AO432" s="31">
        <f>VLOOKUP($A432,kurspris!$A$1:$Q$835,14,FALSE)</f>
        <v>0</v>
      </c>
      <c r="AP432" s="39" t="s">
        <v>2326</v>
      </c>
      <c r="AQ432"/>
      <c r="AR432" s="31">
        <f t="shared" si="173"/>
        <v>0</v>
      </c>
      <c r="AS432" s="255">
        <f t="shared" si="174"/>
        <v>0</v>
      </c>
      <c r="AT432" s="31">
        <f t="shared" si="175"/>
        <v>0</v>
      </c>
      <c r="AU432" s="255">
        <f t="shared" si="176"/>
        <v>0</v>
      </c>
      <c r="AV432" s="31">
        <f t="shared" si="177"/>
        <v>0</v>
      </c>
      <c r="AW432" s="31">
        <f t="shared" si="178"/>
        <v>0</v>
      </c>
      <c r="AX432" s="31">
        <f t="shared" si="179"/>
        <v>0</v>
      </c>
      <c r="AY432" s="255">
        <f t="shared" si="180"/>
        <v>0</v>
      </c>
      <c r="AZ432" s="232">
        <f t="shared" si="181"/>
        <v>0</v>
      </c>
      <c r="BA432" s="255">
        <f t="shared" si="182"/>
        <v>0</v>
      </c>
      <c r="BB432" s="31">
        <f t="shared" si="183"/>
        <v>0</v>
      </c>
      <c r="BC432" s="255">
        <f t="shared" si="184"/>
        <v>0</v>
      </c>
      <c r="BD432" s="31">
        <f t="shared" si="185"/>
        <v>0</v>
      </c>
      <c r="BE432" s="255">
        <f t="shared" si="186"/>
        <v>0</v>
      </c>
      <c r="BF432" s="31">
        <f t="shared" si="187"/>
        <v>0</v>
      </c>
      <c r="BG432" s="255">
        <f t="shared" si="188"/>
        <v>0</v>
      </c>
      <c r="BH432" s="31">
        <f t="shared" si="189"/>
        <v>0.375</v>
      </c>
      <c r="BI432" s="255">
        <f t="shared" si="190"/>
        <v>0.31874999999999998</v>
      </c>
      <c r="BJ432" s="31">
        <f t="shared" si="191"/>
        <v>0</v>
      </c>
      <c r="BK432" s="31">
        <f t="shared" si="192"/>
        <v>0</v>
      </c>
      <c r="BL432" s="255">
        <f t="shared" si="193"/>
        <v>0</v>
      </c>
      <c r="BM432" s="31">
        <f t="shared" si="194"/>
        <v>0</v>
      </c>
      <c r="BN432" s="255">
        <f t="shared" si="195"/>
        <v>0</v>
      </c>
    </row>
    <row r="433" spans="1:66" x14ac:dyDescent="0.25">
      <c r="A433" s="18" t="s">
        <v>1313</v>
      </c>
      <c r="B433" s="186" t="str">
        <f>VLOOKUP(A433,kurspris!$A$1:$B$877,2,FALSE)</f>
        <v>Läraryrkets dimensioner - ingångsämne matematik</v>
      </c>
      <c r="C433" s="37"/>
      <c r="D433" s="31" t="s">
        <v>483</v>
      </c>
      <c r="E433" s="31" t="s">
        <v>1976</v>
      </c>
      <c r="F433" s="59" t="s">
        <v>1931</v>
      </c>
      <c r="G433" s="31" t="s">
        <v>2267</v>
      </c>
      <c r="J433" t="s">
        <v>774</v>
      </c>
      <c r="L433" s="31">
        <v>100</v>
      </c>
      <c r="M433" s="31">
        <v>22.5</v>
      </c>
      <c r="P433" s="31">
        <v>5</v>
      </c>
      <c r="Q433" s="232">
        <f t="shared" si="168"/>
        <v>1.875</v>
      </c>
      <c r="R433" s="40">
        <v>0.85</v>
      </c>
      <c r="S433" s="334">
        <f t="shared" si="169"/>
        <v>1.59375</v>
      </c>
      <c r="T433" s="31">
        <f>VLOOKUP(A433,'Ansvar kurs'!$A$1:$C$1010,2,FALSE)</f>
        <v>5730</v>
      </c>
      <c r="U433" s="31" t="str">
        <f>VLOOKUP(T433,Orgenheter!$A$1:$C$165,2,FALSE)</f>
        <v>Inst för MA och MA statistik</v>
      </c>
      <c r="V433" s="31" t="str">
        <f>VLOOKUP(T433,Orgenheter!$A$1:$C$165,3,FALSE)</f>
        <v>TekNat</v>
      </c>
      <c r="W433" s="37" t="str">
        <f>VLOOKUP(D433,Program!$A$1:$B$34,2,FALSE)</f>
        <v>Ämneslärarprogrammet - Gy</v>
      </c>
      <c r="X433" s="42">
        <f>VLOOKUP(A433,kurspris!$A$1:$Q$798,15,FALSE)</f>
        <v>21634</v>
      </c>
      <c r="Y433" s="42">
        <f>VLOOKUP(A433,kurspris!$A$1:$Q$798,16,FALSE)</f>
        <v>26986</v>
      </c>
      <c r="Z433" s="42">
        <f t="shared" si="170"/>
        <v>83572.6875</v>
      </c>
      <c r="AA433" s="42">
        <f>VLOOKUP(A433,kurspris!$A$1:$Q$798,17,FALSE)</f>
        <v>3400</v>
      </c>
      <c r="AB433" s="42">
        <f t="shared" si="171"/>
        <v>6375</v>
      </c>
      <c r="AC433" s="42">
        <f t="shared" si="172"/>
        <v>89947.6875</v>
      </c>
      <c r="AD433" s="31">
        <f>VLOOKUP($A433,kurspris!$A$1:$Q$835,3,FALSE)</f>
        <v>0</v>
      </c>
      <c r="AE433" s="31">
        <f>VLOOKUP($A433,kurspris!$A$1:$Q$835,4,FALSE)</f>
        <v>0</v>
      </c>
      <c r="AF433" s="31">
        <f>VLOOKUP($A433,kurspris!$A$1:$Q$835,5,FALSE)</f>
        <v>0</v>
      </c>
      <c r="AG433" s="31">
        <f>VLOOKUP($A433,kurspris!$A$1:$Q$835,6,FALSE)</f>
        <v>0</v>
      </c>
      <c r="AH433" s="31">
        <f>VLOOKUP($A433,kurspris!$A$1:$Q$835,7,FALSE)</f>
        <v>0</v>
      </c>
      <c r="AI433" s="31">
        <f>VLOOKUP($A433,kurspris!$A$1:$Q$835,8,FALSE)</f>
        <v>0</v>
      </c>
      <c r="AJ433" s="31">
        <f>VLOOKUP($A433,kurspris!$A$1:$Q$835,9,FALSE)</f>
        <v>0</v>
      </c>
      <c r="AK433" s="31">
        <f>VLOOKUP($A433,kurspris!$A$1:$Q$835,10,FALSE)</f>
        <v>0</v>
      </c>
      <c r="AL433" s="31">
        <f>VLOOKUP($A433,kurspris!$A$1:$Q$835,11,FALSE)</f>
        <v>1</v>
      </c>
      <c r="AM433" s="31">
        <f>VLOOKUP($A433,kurspris!$A$1:$Q$835,12,FALSE)</f>
        <v>0</v>
      </c>
      <c r="AN433" s="31">
        <f>VLOOKUP($A433,kurspris!$A$1:$Q$835,13,FALSE)</f>
        <v>0</v>
      </c>
      <c r="AO433" s="31">
        <f>VLOOKUP($A433,kurspris!$A$1:$Q$835,14,FALSE)</f>
        <v>0</v>
      </c>
      <c r="AP433" s="39" t="s">
        <v>2326</v>
      </c>
      <c r="AQ433"/>
      <c r="AR433" s="31">
        <f t="shared" si="173"/>
        <v>0</v>
      </c>
      <c r="AS433" s="255">
        <f t="shared" si="174"/>
        <v>0</v>
      </c>
      <c r="AT433" s="31">
        <f t="shared" si="175"/>
        <v>0</v>
      </c>
      <c r="AU433" s="255">
        <f t="shared" si="176"/>
        <v>0</v>
      </c>
      <c r="AV433" s="31">
        <f t="shared" si="177"/>
        <v>0</v>
      </c>
      <c r="AW433" s="31">
        <f t="shared" si="178"/>
        <v>0</v>
      </c>
      <c r="AX433" s="31">
        <f t="shared" si="179"/>
        <v>0</v>
      </c>
      <c r="AY433" s="255">
        <f t="shared" si="180"/>
        <v>0</v>
      </c>
      <c r="AZ433" s="232">
        <f t="shared" si="181"/>
        <v>0</v>
      </c>
      <c r="BA433" s="255">
        <f t="shared" si="182"/>
        <v>0</v>
      </c>
      <c r="BB433" s="31">
        <f t="shared" si="183"/>
        <v>0</v>
      </c>
      <c r="BC433" s="255">
        <f t="shared" si="184"/>
        <v>0</v>
      </c>
      <c r="BD433" s="31">
        <f t="shared" si="185"/>
        <v>0</v>
      </c>
      <c r="BE433" s="255">
        <f t="shared" si="186"/>
        <v>0</v>
      </c>
      <c r="BF433" s="31">
        <f t="shared" si="187"/>
        <v>0</v>
      </c>
      <c r="BG433" s="255">
        <f t="shared" si="188"/>
        <v>0</v>
      </c>
      <c r="BH433" s="31">
        <f t="shared" si="189"/>
        <v>1.875</v>
      </c>
      <c r="BI433" s="255">
        <f t="shared" si="190"/>
        <v>1.59375</v>
      </c>
      <c r="BJ433" s="31">
        <f t="shared" si="191"/>
        <v>0</v>
      </c>
      <c r="BK433" s="31">
        <f t="shared" si="192"/>
        <v>0</v>
      </c>
      <c r="BL433" s="255">
        <f t="shared" si="193"/>
        <v>0</v>
      </c>
      <c r="BM433" s="31">
        <f t="shared" si="194"/>
        <v>0</v>
      </c>
      <c r="BN433" s="255">
        <f t="shared" si="195"/>
        <v>0</v>
      </c>
    </row>
    <row r="434" spans="1:66" x14ac:dyDescent="0.25">
      <c r="A434" s="18" t="s">
        <v>1313</v>
      </c>
      <c r="B434" s="186" t="str">
        <f>VLOOKUP(A434,kurspris!$A$1:$B$877,2,FALSE)</f>
        <v>Läraryrkets dimensioner - ingångsämne matematik</v>
      </c>
      <c r="C434" s="37"/>
      <c r="D434" s="31" t="s">
        <v>483</v>
      </c>
      <c r="E434" s="31" t="s">
        <v>1973</v>
      </c>
      <c r="F434" s="59" t="s">
        <v>1931</v>
      </c>
      <c r="G434" s="31" t="s">
        <v>2267</v>
      </c>
      <c r="J434" t="s">
        <v>774</v>
      </c>
      <c r="L434" s="31">
        <v>100</v>
      </c>
      <c r="M434" s="31">
        <v>22.5</v>
      </c>
      <c r="P434" s="31">
        <v>1</v>
      </c>
      <c r="Q434" s="232">
        <f t="shared" si="168"/>
        <v>0.375</v>
      </c>
      <c r="R434" s="40">
        <v>0.85</v>
      </c>
      <c r="S434" s="334">
        <f t="shared" si="169"/>
        <v>0.31874999999999998</v>
      </c>
      <c r="T434" s="31">
        <f>VLOOKUP(A434,'Ansvar kurs'!$A$1:$C$1010,2,FALSE)</f>
        <v>5730</v>
      </c>
      <c r="U434" s="31" t="str">
        <f>VLOOKUP(T434,Orgenheter!$A$1:$C$165,2,FALSE)</f>
        <v>Inst för MA och MA statistik</v>
      </c>
      <c r="V434" s="31" t="str">
        <f>VLOOKUP(T434,Orgenheter!$A$1:$C$165,3,FALSE)</f>
        <v>TekNat</v>
      </c>
      <c r="W434" s="37" t="str">
        <f>VLOOKUP(D434,Program!$A$1:$B$34,2,FALSE)</f>
        <v>Ämneslärarprogrammet - Gy</v>
      </c>
      <c r="X434" s="42">
        <f>VLOOKUP(A434,kurspris!$A$1:$Q$798,15,FALSE)</f>
        <v>21634</v>
      </c>
      <c r="Y434" s="42">
        <f>VLOOKUP(A434,kurspris!$A$1:$Q$798,16,FALSE)</f>
        <v>26986</v>
      </c>
      <c r="Z434" s="42">
        <f t="shared" si="170"/>
        <v>16714.537499999999</v>
      </c>
      <c r="AA434" s="42">
        <f>VLOOKUP(A434,kurspris!$A$1:$Q$798,17,FALSE)</f>
        <v>3400</v>
      </c>
      <c r="AB434" s="42">
        <f t="shared" si="171"/>
        <v>1275</v>
      </c>
      <c r="AC434" s="42">
        <f t="shared" si="172"/>
        <v>17989.537499999999</v>
      </c>
      <c r="AD434" s="31">
        <f>VLOOKUP($A434,kurspris!$A$1:$Q$835,3,FALSE)</f>
        <v>0</v>
      </c>
      <c r="AE434" s="31">
        <f>VLOOKUP($A434,kurspris!$A$1:$Q$835,4,FALSE)</f>
        <v>0</v>
      </c>
      <c r="AF434" s="31">
        <f>VLOOKUP($A434,kurspris!$A$1:$Q$835,5,FALSE)</f>
        <v>0</v>
      </c>
      <c r="AG434" s="31">
        <f>VLOOKUP($A434,kurspris!$A$1:$Q$835,6,FALSE)</f>
        <v>0</v>
      </c>
      <c r="AH434" s="31">
        <f>VLOOKUP($A434,kurspris!$A$1:$Q$835,7,FALSE)</f>
        <v>0</v>
      </c>
      <c r="AI434" s="31">
        <f>VLOOKUP($A434,kurspris!$A$1:$Q$835,8,FALSE)</f>
        <v>0</v>
      </c>
      <c r="AJ434" s="31">
        <f>VLOOKUP($A434,kurspris!$A$1:$Q$835,9,FALSE)</f>
        <v>0</v>
      </c>
      <c r="AK434" s="31">
        <f>VLOOKUP($A434,kurspris!$A$1:$Q$835,10,FALSE)</f>
        <v>0</v>
      </c>
      <c r="AL434" s="31">
        <f>VLOOKUP($A434,kurspris!$A$1:$Q$835,11,FALSE)</f>
        <v>1</v>
      </c>
      <c r="AM434" s="31">
        <f>VLOOKUP($A434,kurspris!$A$1:$Q$835,12,FALSE)</f>
        <v>0</v>
      </c>
      <c r="AN434" s="31">
        <f>VLOOKUP($A434,kurspris!$A$1:$Q$835,13,FALSE)</f>
        <v>0</v>
      </c>
      <c r="AO434" s="31">
        <f>VLOOKUP($A434,kurspris!$A$1:$Q$835,14,FALSE)</f>
        <v>0</v>
      </c>
      <c r="AP434" s="39" t="s">
        <v>2326</v>
      </c>
      <c r="AQ434"/>
      <c r="AR434" s="31">
        <f t="shared" si="173"/>
        <v>0</v>
      </c>
      <c r="AS434" s="255">
        <f t="shared" si="174"/>
        <v>0</v>
      </c>
      <c r="AT434" s="31">
        <f t="shared" si="175"/>
        <v>0</v>
      </c>
      <c r="AU434" s="255">
        <f t="shared" si="176"/>
        <v>0</v>
      </c>
      <c r="AV434" s="31">
        <f t="shared" si="177"/>
        <v>0</v>
      </c>
      <c r="AW434" s="31">
        <f t="shared" si="178"/>
        <v>0</v>
      </c>
      <c r="AX434" s="31">
        <f t="shared" si="179"/>
        <v>0</v>
      </c>
      <c r="AY434" s="255">
        <f t="shared" si="180"/>
        <v>0</v>
      </c>
      <c r="AZ434" s="232">
        <f t="shared" si="181"/>
        <v>0</v>
      </c>
      <c r="BA434" s="255">
        <f t="shared" si="182"/>
        <v>0</v>
      </c>
      <c r="BB434" s="31">
        <f t="shared" si="183"/>
        <v>0</v>
      </c>
      <c r="BC434" s="255">
        <f t="shared" si="184"/>
        <v>0</v>
      </c>
      <c r="BD434" s="31">
        <f t="shared" si="185"/>
        <v>0</v>
      </c>
      <c r="BE434" s="255">
        <f t="shared" si="186"/>
        <v>0</v>
      </c>
      <c r="BF434" s="31">
        <f t="shared" si="187"/>
        <v>0</v>
      </c>
      <c r="BG434" s="255">
        <f t="shared" si="188"/>
        <v>0</v>
      </c>
      <c r="BH434" s="31">
        <f t="shared" si="189"/>
        <v>0.375</v>
      </c>
      <c r="BI434" s="255">
        <f t="shared" si="190"/>
        <v>0.31874999999999998</v>
      </c>
      <c r="BJ434" s="31">
        <f t="shared" si="191"/>
        <v>0</v>
      </c>
      <c r="BK434" s="31">
        <f t="shared" si="192"/>
        <v>0</v>
      </c>
      <c r="BL434" s="255">
        <f t="shared" si="193"/>
        <v>0</v>
      </c>
      <c r="BM434" s="31">
        <f t="shared" si="194"/>
        <v>0</v>
      </c>
      <c r="BN434" s="255">
        <f t="shared" si="195"/>
        <v>0</v>
      </c>
    </row>
    <row r="435" spans="1:66" x14ac:dyDescent="0.25">
      <c r="A435" s="18" t="s">
        <v>1297</v>
      </c>
      <c r="B435" s="186" t="str">
        <f>VLOOKUP(A435,kurspris!$A$1:$B$877,2,FALSE)</f>
        <v>Linjär algebra</v>
      </c>
      <c r="C435" s="37"/>
      <c r="D435" t="s">
        <v>117</v>
      </c>
      <c r="E435"/>
      <c r="F435" s="59" t="s">
        <v>1930</v>
      </c>
      <c r="G435"/>
      <c r="H435"/>
      <c r="I435" t="s">
        <v>1634</v>
      </c>
      <c r="L435">
        <v>100</v>
      </c>
      <c r="M435">
        <v>7.5</v>
      </c>
      <c r="P435" s="31">
        <v>2</v>
      </c>
      <c r="Q435" s="232">
        <f t="shared" si="168"/>
        <v>0.25</v>
      </c>
      <c r="R435" s="40">
        <v>0.8</v>
      </c>
      <c r="S435" s="334">
        <f t="shared" si="169"/>
        <v>0.2</v>
      </c>
      <c r="T435" s="31">
        <f>VLOOKUP(A435,'Ansvar kurs'!$A$1:$C$1010,2,FALSE)</f>
        <v>5730</v>
      </c>
      <c r="U435" s="31" t="str">
        <f>VLOOKUP(T435,Orgenheter!$A$1:$C$165,2,FALSE)</f>
        <v>Inst för MA och MA statistik</v>
      </c>
      <c r="V435" s="31" t="str">
        <f>VLOOKUP(T435,Orgenheter!$A$1:$C$165,3,FALSE)</f>
        <v>TekNat</v>
      </c>
      <c r="W435" s="37" t="str">
        <f>VLOOKUP(D435,Program!$A$1:$B$34,2,FALSE)</f>
        <v>Fristående och övriga kurser</v>
      </c>
      <c r="X435" s="42">
        <f>VLOOKUP(A435,kurspris!$A$1:$Q$798,15,FALSE)</f>
        <v>19473</v>
      </c>
      <c r="Y435" s="42">
        <f>VLOOKUP(A435,kurspris!$A$1:$Q$798,16,FALSE)</f>
        <v>34806</v>
      </c>
      <c r="Z435" s="42">
        <f t="shared" si="170"/>
        <v>11829.45</v>
      </c>
      <c r="AA435" s="42">
        <f>VLOOKUP(A435,kurspris!$A$1:$Q$798,17,FALSE)</f>
        <v>21800</v>
      </c>
      <c r="AB435" s="42">
        <f t="shared" si="171"/>
        <v>5450</v>
      </c>
      <c r="AC435" s="42">
        <f t="shared" si="172"/>
        <v>17279.45</v>
      </c>
      <c r="AD435" s="31">
        <f>VLOOKUP($A435,kurspris!$A$1:$Q$835,3,FALSE)</f>
        <v>0</v>
      </c>
      <c r="AE435" s="31">
        <f>VLOOKUP($A435,kurspris!$A$1:$Q$835,4,FALSE)</f>
        <v>0</v>
      </c>
      <c r="AF435" s="31">
        <f>VLOOKUP($A435,kurspris!$A$1:$Q$835,5,FALSE)</f>
        <v>0</v>
      </c>
      <c r="AG435" s="31">
        <f>VLOOKUP($A435,kurspris!$A$1:$Q$835,6,FALSE)</f>
        <v>0</v>
      </c>
      <c r="AH435" s="31">
        <f>VLOOKUP($A435,kurspris!$A$1:$Q$835,7,FALSE)</f>
        <v>0</v>
      </c>
      <c r="AI435" s="31">
        <f>VLOOKUP($A435,kurspris!$A$1:$Q$835,8,FALSE)</f>
        <v>1</v>
      </c>
      <c r="AJ435" s="31">
        <f>VLOOKUP($A435,kurspris!$A$1:$Q$835,9,FALSE)</f>
        <v>0</v>
      </c>
      <c r="AK435" s="31">
        <f>VLOOKUP($A435,kurspris!$A$1:$Q$835,10,FALSE)</f>
        <v>0</v>
      </c>
      <c r="AL435" s="31">
        <f>VLOOKUP($A435,kurspris!$A$1:$Q$835,11,FALSE)</f>
        <v>0</v>
      </c>
      <c r="AM435" s="31">
        <f>VLOOKUP($A435,kurspris!$A$1:$Q$835,12,FALSE)</f>
        <v>0</v>
      </c>
      <c r="AN435" s="31">
        <f>VLOOKUP($A435,kurspris!$A$1:$Q$835,13,FALSE)</f>
        <v>0</v>
      </c>
      <c r="AO435" s="31">
        <f>VLOOKUP($A435,kurspris!$A$1:$Q$835,14,FALSE)</f>
        <v>0</v>
      </c>
      <c r="AP435" s="39" t="s">
        <v>2232</v>
      </c>
      <c r="AQ435" s="39" t="s">
        <v>2095</v>
      </c>
      <c r="AR435" s="31">
        <f t="shared" si="173"/>
        <v>0</v>
      </c>
      <c r="AS435" s="255">
        <f t="shared" si="174"/>
        <v>0</v>
      </c>
      <c r="AT435" s="31">
        <f t="shared" si="175"/>
        <v>0</v>
      </c>
      <c r="AU435" s="255">
        <f t="shared" si="176"/>
        <v>0</v>
      </c>
      <c r="AV435" s="31">
        <f t="shared" si="177"/>
        <v>0</v>
      </c>
      <c r="AW435" s="31">
        <f t="shared" si="178"/>
        <v>0</v>
      </c>
      <c r="AX435" s="31">
        <f t="shared" si="179"/>
        <v>0</v>
      </c>
      <c r="AY435" s="255">
        <f t="shared" si="180"/>
        <v>0</v>
      </c>
      <c r="AZ435" s="232">
        <f t="shared" si="181"/>
        <v>0</v>
      </c>
      <c r="BA435" s="255">
        <f t="shared" si="182"/>
        <v>0</v>
      </c>
      <c r="BB435" s="31">
        <f t="shared" si="183"/>
        <v>0.25</v>
      </c>
      <c r="BC435" s="255">
        <f t="shared" si="184"/>
        <v>0.2</v>
      </c>
      <c r="BD435" s="31">
        <f t="shared" si="185"/>
        <v>0</v>
      </c>
      <c r="BE435" s="255">
        <f t="shared" si="186"/>
        <v>0</v>
      </c>
      <c r="BF435" s="31">
        <f t="shared" si="187"/>
        <v>0</v>
      </c>
      <c r="BG435" s="255">
        <f t="shared" si="188"/>
        <v>0</v>
      </c>
      <c r="BH435" s="31">
        <f t="shared" si="189"/>
        <v>0</v>
      </c>
      <c r="BI435" s="255">
        <f t="shared" si="190"/>
        <v>0</v>
      </c>
      <c r="BJ435" s="31">
        <f t="shared" si="191"/>
        <v>0</v>
      </c>
      <c r="BK435" s="31">
        <f t="shared" si="192"/>
        <v>0</v>
      </c>
      <c r="BL435" s="255">
        <f t="shared" si="193"/>
        <v>0</v>
      </c>
      <c r="BM435" s="31">
        <f t="shared" si="194"/>
        <v>0</v>
      </c>
      <c r="BN435" s="255">
        <f t="shared" si="195"/>
        <v>0</v>
      </c>
    </row>
    <row r="436" spans="1:66" x14ac:dyDescent="0.25">
      <c r="A436" t="s">
        <v>1297</v>
      </c>
      <c r="B436" s="186" t="str">
        <f>VLOOKUP(A436,kurspris!$A$1:$B$877,2,FALSE)</f>
        <v>Linjär algebra</v>
      </c>
      <c r="C436"/>
      <c r="D436" t="s">
        <v>483</v>
      </c>
      <c r="E436" t="s">
        <v>1976</v>
      </c>
      <c r="F436" s="59" t="s">
        <v>1930</v>
      </c>
      <c r="G436" t="s">
        <v>1989</v>
      </c>
      <c r="H436" t="s">
        <v>1910</v>
      </c>
      <c r="I436"/>
      <c r="J436" t="s">
        <v>773</v>
      </c>
      <c r="K436"/>
      <c r="L436">
        <v>100</v>
      </c>
      <c r="M436">
        <v>7.5</v>
      </c>
      <c r="N436"/>
      <c r="O436"/>
      <c r="P436" s="31">
        <v>3</v>
      </c>
      <c r="Q436" s="232">
        <f t="shared" si="168"/>
        <v>0.375</v>
      </c>
      <c r="R436" s="40">
        <v>0.85</v>
      </c>
      <c r="S436" s="334">
        <f t="shared" si="169"/>
        <v>0.31874999999999998</v>
      </c>
      <c r="T436" s="31">
        <f>VLOOKUP(A436,'Ansvar kurs'!$A$1:$C$1010,2,FALSE)</f>
        <v>5730</v>
      </c>
      <c r="U436" s="31" t="str">
        <f>VLOOKUP(T436,Orgenheter!$A$1:$C$165,2,FALSE)</f>
        <v>Inst för MA och MA statistik</v>
      </c>
      <c r="V436" s="31" t="str">
        <f>VLOOKUP(T436,Orgenheter!$A$1:$C$165,3,FALSE)</f>
        <v>TekNat</v>
      </c>
      <c r="W436" s="37" t="str">
        <f>VLOOKUP(D436,Program!$A$1:$B$34,2,FALSE)</f>
        <v>Ämneslärarprogrammet - Gy</v>
      </c>
      <c r="X436" s="42">
        <f>VLOOKUP(A436,kurspris!$A$1:$Q$798,15,FALSE)</f>
        <v>19473</v>
      </c>
      <c r="Y436" s="42">
        <f>VLOOKUP(A436,kurspris!$A$1:$Q$798,16,FALSE)</f>
        <v>34806</v>
      </c>
      <c r="Z436" s="42">
        <f t="shared" si="170"/>
        <v>18396.787499999999</v>
      </c>
      <c r="AA436" s="42">
        <f>VLOOKUP(A436,kurspris!$A$1:$Q$798,17,FALSE)</f>
        <v>21800</v>
      </c>
      <c r="AB436" s="42">
        <f t="shared" si="171"/>
        <v>8175</v>
      </c>
      <c r="AC436" s="42">
        <f t="shared" si="172"/>
        <v>26571.787499999999</v>
      </c>
      <c r="AD436" s="31">
        <f>VLOOKUP($A436,kurspris!$A$1:$Q$835,3,FALSE)</f>
        <v>0</v>
      </c>
      <c r="AE436" s="31">
        <f>VLOOKUP($A436,kurspris!$A$1:$Q$835,4,FALSE)</f>
        <v>0</v>
      </c>
      <c r="AF436" s="31">
        <f>VLOOKUP($A436,kurspris!$A$1:$Q$835,5,FALSE)</f>
        <v>0</v>
      </c>
      <c r="AG436" s="31">
        <f>VLOOKUP($A436,kurspris!$A$1:$Q$835,6,FALSE)</f>
        <v>0</v>
      </c>
      <c r="AH436" s="31">
        <f>VLOOKUP($A436,kurspris!$A$1:$Q$835,7,FALSE)</f>
        <v>0</v>
      </c>
      <c r="AI436" s="31">
        <f>VLOOKUP($A436,kurspris!$A$1:$Q$835,8,FALSE)</f>
        <v>1</v>
      </c>
      <c r="AJ436" s="31">
        <f>VLOOKUP($A436,kurspris!$A$1:$Q$835,9,FALSE)</f>
        <v>0</v>
      </c>
      <c r="AK436" s="31">
        <f>VLOOKUP($A436,kurspris!$A$1:$Q$835,10,FALSE)</f>
        <v>0</v>
      </c>
      <c r="AL436" s="31">
        <f>VLOOKUP($A436,kurspris!$A$1:$Q$835,11,FALSE)</f>
        <v>0</v>
      </c>
      <c r="AM436" s="31">
        <f>VLOOKUP($A436,kurspris!$A$1:$Q$835,12,FALSE)</f>
        <v>0</v>
      </c>
      <c r="AN436" s="31">
        <f>VLOOKUP($A436,kurspris!$A$1:$Q$835,13,FALSE)</f>
        <v>0</v>
      </c>
      <c r="AO436" s="31">
        <f>VLOOKUP($A436,kurspris!$A$1:$Q$835,14,FALSE)</f>
        <v>0</v>
      </c>
      <c r="AP436" s="39" t="s">
        <v>2204</v>
      </c>
      <c r="AQ436"/>
      <c r="AR436" s="31">
        <f t="shared" si="173"/>
        <v>0</v>
      </c>
      <c r="AS436" s="255">
        <f t="shared" si="174"/>
        <v>0</v>
      </c>
      <c r="AT436" s="31">
        <f t="shared" si="175"/>
        <v>0</v>
      </c>
      <c r="AU436" s="255">
        <f t="shared" si="176"/>
        <v>0</v>
      </c>
      <c r="AV436" s="31">
        <f t="shared" si="177"/>
        <v>0</v>
      </c>
      <c r="AW436" s="31">
        <f t="shared" si="178"/>
        <v>0</v>
      </c>
      <c r="AX436" s="31">
        <f t="shared" si="179"/>
        <v>0</v>
      </c>
      <c r="AY436" s="255">
        <f t="shared" si="180"/>
        <v>0</v>
      </c>
      <c r="AZ436" s="232">
        <f t="shared" si="181"/>
        <v>0</v>
      </c>
      <c r="BA436" s="255">
        <f t="shared" si="182"/>
        <v>0</v>
      </c>
      <c r="BB436" s="31">
        <f t="shared" si="183"/>
        <v>0.375</v>
      </c>
      <c r="BC436" s="255">
        <f t="shared" si="184"/>
        <v>0.31874999999999998</v>
      </c>
      <c r="BD436" s="31">
        <f t="shared" si="185"/>
        <v>0</v>
      </c>
      <c r="BE436" s="255">
        <f t="shared" si="186"/>
        <v>0</v>
      </c>
      <c r="BF436" s="31">
        <f t="shared" si="187"/>
        <v>0</v>
      </c>
      <c r="BG436" s="255">
        <f t="shared" si="188"/>
        <v>0</v>
      </c>
      <c r="BH436" s="31">
        <f t="shared" si="189"/>
        <v>0</v>
      </c>
      <c r="BI436" s="255">
        <f t="shared" si="190"/>
        <v>0</v>
      </c>
      <c r="BJ436" s="31">
        <f t="shared" si="191"/>
        <v>0</v>
      </c>
      <c r="BK436" s="31">
        <f t="shared" si="192"/>
        <v>0</v>
      </c>
      <c r="BL436" s="255">
        <f t="shared" si="193"/>
        <v>0</v>
      </c>
      <c r="BM436" s="31">
        <f t="shared" si="194"/>
        <v>0</v>
      </c>
      <c r="BN436" s="255">
        <f t="shared" si="195"/>
        <v>0</v>
      </c>
    </row>
    <row r="437" spans="1:66" x14ac:dyDescent="0.25">
      <c r="A437" t="s">
        <v>1297</v>
      </c>
      <c r="B437" s="186" t="str">
        <f>VLOOKUP(A437,kurspris!$A$1:$B$877,2,FALSE)</f>
        <v>Linjär algebra</v>
      </c>
      <c r="C437"/>
      <c r="D437" t="s">
        <v>483</v>
      </c>
      <c r="E437" t="s">
        <v>1609</v>
      </c>
      <c r="F437" s="59" t="s">
        <v>1930</v>
      </c>
      <c r="G437" t="s">
        <v>1989</v>
      </c>
      <c r="H437" t="s">
        <v>1910</v>
      </c>
      <c r="I437"/>
      <c r="J437" t="s">
        <v>774</v>
      </c>
      <c r="K437"/>
      <c r="L437">
        <v>100</v>
      </c>
      <c r="M437">
        <v>7.5</v>
      </c>
      <c r="N437"/>
      <c r="O437"/>
      <c r="P437" s="31">
        <v>13</v>
      </c>
      <c r="Q437" s="232">
        <f t="shared" si="168"/>
        <v>1.625</v>
      </c>
      <c r="R437" s="40">
        <v>0.85</v>
      </c>
      <c r="S437" s="334">
        <f t="shared" si="169"/>
        <v>1.3812499999999999</v>
      </c>
      <c r="T437" s="31">
        <f>VLOOKUP(A437,'Ansvar kurs'!$A$1:$C$1010,2,FALSE)</f>
        <v>5730</v>
      </c>
      <c r="U437" s="31" t="str">
        <f>VLOOKUP(T437,Orgenheter!$A$1:$C$165,2,FALSE)</f>
        <v>Inst för MA och MA statistik</v>
      </c>
      <c r="V437" s="31" t="str">
        <f>VLOOKUP(T437,Orgenheter!$A$1:$C$165,3,FALSE)</f>
        <v>TekNat</v>
      </c>
      <c r="W437" s="37" t="str">
        <f>VLOOKUP(D437,Program!$A$1:$B$34,2,FALSE)</f>
        <v>Ämneslärarprogrammet - Gy</v>
      </c>
      <c r="X437" s="42">
        <f>VLOOKUP(A437,kurspris!$A$1:$Q$798,15,FALSE)</f>
        <v>19473</v>
      </c>
      <c r="Y437" s="42">
        <f>VLOOKUP(A437,kurspris!$A$1:$Q$798,16,FALSE)</f>
        <v>34806</v>
      </c>
      <c r="Z437" s="42">
        <f t="shared" si="170"/>
        <v>79719.412500000006</v>
      </c>
      <c r="AA437" s="42">
        <f>VLOOKUP(A437,kurspris!$A$1:$Q$798,17,FALSE)</f>
        <v>21800</v>
      </c>
      <c r="AB437" s="42">
        <f t="shared" si="171"/>
        <v>35425</v>
      </c>
      <c r="AC437" s="42">
        <f t="shared" si="172"/>
        <v>115144.41250000001</v>
      </c>
      <c r="AD437" s="31">
        <f>VLOOKUP($A437,kurspris!$A$1:$Q$835,3,FALSE)</f>
        <v>0</v>
      </c>
      <c r="AE437" s="31">
        <f>VLOOKUP($A437,kurspris!$A$1:$Q$835,4,FALSE)</f>
        <v>0</v>
      </c>
      <c r="AF437" s="31">
        <f>VLOOKUP($A437,kurspris!$A$1:$Q$835,5,FALSE)</f>
        <v>0</v>
      </c>
      <c r="AG437" s="31">
        <f>VLOOKUP($A437,kurspris!$A$1:$Q$835,6,FALSE)</f>
        <v>0</v>
      </c>
      <c r="AH437" s="31">
        <f>VLOOKUP($A437,kurspris!$A$1:$Q$835,7,FALSE)</f>
        <v>0</v>
      </c>
      <c r="AI437" s="31">
        <f>VLOOKUP($A437,kurspris!$A$1:$Q$835,8,FALSE)</f>
        <v>1</v>
      </c>
      <c r="AJ437" s="31">
        <f>VLOOKUP($A437,kurspris!$A$1:$Q$835,9,FALSE)</f>
        <v>0</v>
      </c>
      <c r="AK437" s="31">
        <f>VLOOKUP($A437,kurspris!$A$1:$Q$835,10,FALSE)</f>
        <v>0</v>
      </c>
      <c r="AL437" s="31">
        <f>VLOOKUP($A437,kurspris!$A$1:$Q$835,11,FALSE)</f>
        <v>0</v>
      </c>
      <c r="AM437" s="31">
        <f>VLOOKUP($A437,kurspris!$A$1:$Q$835,12,FALSE)</f>
        <v>0</v>
      </c>
      <c r="AN437" s="31">
        <f>VLOOKUP($A437,kurspris!$A$1:$Q$835,13,FALSE)</f>
        <v>0</v>
      </c>
      <c r="AO437" s="31">
        <f>VLOOKUP($A437,kurspris!$A$1:$Q$835,14,FALSE)</f>
        <v>0</v>
      </c>
      <c r="AP437" s="39" t="s">
        <v>2204</v>
      </c>
      <c r="AQ437"/>
      <c r="AR437" s="31">
        <f t="shared" si="173"/>
        <v>0</v>
      </c>
      <c r="AS437" s="255">
        <f t="shared" si="174"/>
        <v>0</v>
      </c>
      <c r="AT437" s="31">
        <f t="shared" si="175"/>
        <v>0</v>
      </c>
      <c r="AU437" s="255">
        <f t="shared" si="176"/>
        <v>0</v>
      </c>
      <c r="AV437" s="31">
        <f t="shared" si="177"/>
        <v>0</v>
      </c>
      <c r="AW437" s="31">
        <f t="shared" si="178"/>
        <v>0</v>
      </c>
      <c r="AX437" s="31">
        <f t="shared" si="179"/>
        <v>0</v>
      </c>
      <c r="AY437" s="255">
        <f t="shared" si="180"/>
        <v>0</v>
      </c>
      <c r="AZ437" s="232">
        <f t="shared" si="181"/>
        <v>0</v>
      </c>
      <c r="BA437" s="255">
        <f t="shared" si="182"/>
        <v>0</v>
      </c>
      <c r="BB437" s="31">
        <f t="shared" si="183"/>
        <v>1.625</v>
      </c>
      <c r="BC437" s="255">
        <f t="shared" si="184"/>
        <v>1.3812499999999999</v>
      </c>
      <c r="BD437" s="31">
        <f t="shared" si="185"/>
        <v>0</v>
      </c>
      <c r="BE437" s="255">
        <f t="shared" si="186"/>
        <v>0</v>
      </c>
      <c r="BF437" s="31">
        <f t="shared" si="187"/>
        <v>0</v>
      </c>
      <c r="BG437" s="255">
        <f t="shared" si="188"/>
        <v>0</v>
      </c>
      <c r="BH437" s="31">
        <f t="shared" si="189"/>
        <v>0</v>
      </c>
      <c r="BI437" s="255">
        <f t="shared" si="190"/>
        <v>0</v>
      </c>
      <c r="BJ437" s="31">
        <f t="shared" si="191"/>
        <v>0</v>
      </c>
      <c r="BK437" s="31">
        <f t="shared" si="192"/>
        <v>0</v>
      </c>
      <c r="BL437" s="255">
        <f t="shared" si="193"/>
        <v>0</v>
      </c>
      <c r="BM437" s="31">
        <f t="shared" si="194"/>
        <v>0</v>
      </c>
      <c r="BN437" s="255">
        <f t="shared" si="195"/>
        <v>0</v>
      </c>
    </row>
    <row r="438" spans="1:66" x14ac:dyDescent="0.25">
      <c r="A438" t="s">
        <v>1297</v>
      </c>
      <c r="B438" s="186" t="str">
        <f>VLOOKUP(A438,kurspris!$A$1:$B$877,2,FALSE)</f>
        <v>Linjär algebra</v>
      </c>
      <c r="C438"/>
      <c r="D438" t="s">
        <v>483</v>
      </c>
      <c r="E438" t="s">
        <v>1788</v>
      </c>
      <c r="F438" s="59" t="s">
        <v>1930</v>
      </c>
      <c r="G438" t="s">
        <v>1989</v>
      </c>
      <c r="H438" t="s">
        <v>1910</v>
      </c>
      <c r="I438"/>
      <c r="J438" t="s">
        <v>774</v>
      </c>
      <c r="K438"/>
      <c r="L438">
        <v>100</v>
      </c>
      <c r="M438">
        <v>7.5</v>
      </c>
      <c r="N438"/>
      <c r="O438"/>
      <c r="P438" s="31">
        <v>1</v>
      </c>
      <c r="Q438" s="232">
        <f t="shared" si="168"/>
        <v>0.125</v>
      </c>
      <c r="R438" s="40">
        <v>0.85</v>
      </c>
      <c r="S438" s="334">
        <f t="shared" si="169"/>
        <v>0.10625</v>
      </c>
      <c r="T438" s="31">
        <f>VLOOKUP(A438,'Ansvar kurs'!$A$1:$C$1010,2,FALSE)</f>
        <v>5730</v>
      </c>
      <c r="U438" s="31" t="str">
        <f>VLOOKUP(T438,Orgenheter!$A$1:$C$165,2,FALSE)</f>
        <v>Inst för MA och MA statistik</v>
      </c>
      <c r="V438" s="31" t="str">
        <f>VLOOKUP(T438,Orgenheter!$A$1:$C$165,3,FALSE)</f>
        <v>TekNat</v>
      </c>
      <c r="W438" s="37" t="str">
        <f>VLOOKUP(D438,Program!$A$1:$B$34,2,FALSE)</f>
        <v>Ämneslärarprogrammet - Gy</v>
      </c>
      <c r="X438" s="42">
        <f>VLOOKUP(A438,kurspris!$A$1:$Q$798,15,FALSE)</f>
        <v>19473</v>
      </c>
      <c r="Y438" s="42">
        <f>VLOOKUP(A438,kurspris!$A$1:$Q$798,16,FALSE)</f>
        <v>34806</v>
      </c>
      <c r="Z438" s="42">
        <f t="shared" si="170"/>
        <v>6132.2624999999998</v>
      </c>
      <c r="AA438" s="42">
        <f>VLOOKUP(A438,kurspris!$A$1:$Q$798,17,FALSE)</f>
        <v>21800</v>
      </c>
      <c r="AB438" s="42">
        <f t="shared" si="171"/>
        <v>2725</v>
      </c>
      <c r="AC438" s="42">
        <f t="shared" si="172"/>
        <v>8857.2625000000007</v>
      </c>
      <c r="AD438" s="31">
        <f>VLOOKUP($A438,kurspris!$A$1:$Q$835,3,FALSE)</f>
        <v>0</v>
      </c>
      <c r="AE438" s="31">
        <f>VLOOKUP($A438,kurspris!$A$1:$Q$835,4,FALSE)</f>
        <v>0</v>
      </c>
      <c r="AF438" s="31">
        <f>VLOOKUP($A438,kurspris!$A$1:$Q$835,5,FALSE)</f>
        <v>0</v>
      </c>
      <c r="AG438" s="31">
        <f>VLOOKUP($A438,kurspris!$A$1:$Q$835,6,FALSE)</f>
        <v>0</v>
      </c>
      <c r="AH438" s="31">
        <f>VLOOKUP($A438,kurspris!$A$1:$Q$835,7,FALSE)</f>
        <v>0</v>
      </c>
      <c r="AI438" s="31">
        <f>VLOOKUP($A438,kurspris!$A$1:$Q$835,8,FALSE)</f>
        <v>1</v>
      </c>
      <c r="AJ438" s="31">
        <f>VLOOKUP($A438,kurspris!$A$1:$Q$835,9,FALSE)</f>
        <v>0</v>
      </c>
      <c r="AK438" s="31">
        <f>VLOOKUP($A438,kurspris!$A$1:$Q$835,10,FALSE)</f>
        <v>0</v>
      </c>
      <c r="AL438" s="31">
        <f>VLOOKUP($A438,kurspris!$A$1:$Q$835,11,FALSE)</f>
        <v>0</v>
      </c>
      <c r="AM438" s="31">
        <f>VLOOKUP($A438,kurspris!$A$1:$Q$835,12,FALSE)</f>
        <v>0</v>
      </c>
      <c r="AN438" s="31">
        <f>VLOOKUP($A438,kurspris!$A$1:$Q$835,13,FALSE)</f>
        <v>0</v>
      </c>
      <c r="AO438" s="31">
        <f>VLOOKUP($A438,kurspris!$A$1:$Q$835,14,FALSE)</f>
        <v>0</v>
      </c>
      <c r="AP438" s="39" t="s">
        <v>2204</v>
      </c>
      <c r="AQ438"/>
      <c r="AR438" s="31">
        <f t="shared" si="173"/>
        <v>0</v>
      </c>
      <c r="AS438" s="255">
        <f t="shared" si="174"/>
        <v>0</v>
      </c>
      <c r="AT438" s="31">
        <f t="shared" si="175"/>
        <v>0</v>
      </c>
      <c r="AU438" s="255">
        <f t="shared" si="176"/>
        <v>0</v>
      </c>
      <c r="AV438" s="31">
        <f t="shared" si="177"/>
        <v>0</v>
      </c>
      <c r="AW438" s="31">
        <f t="shared" si="178"/>
        <v>0</v>
      </c>
      <c r="AX438" s="31">
        <f t="shared" si="179"/>
        <v>0</v>
      </c>
      <c r="AY438" s="255">
        <f t="shared" si="180"/>
        <v>0</v>
      </c>
      <c r="AZ438" s="232">
        <f t="shared" si="181"/>
        <v>0</v>
      </c>
      <c r="BA438" s="255">
        <f t="shared" si="182"/>
        <v>0</v>
      </c>
      <c r="BB438" s="31">
        <f t="shared" si="183"/>
        <v>0.125</v>
      </c>
      <c r="BC438" s="255">
        <f t="shared" si="184"/>
        <v>0.10625</v>
      </c>
      <c r="BD438" s="31">
        <f t="shared" si="185"/>
        <v>0</v>
      </c>
      <c r="BE438" s="255">
        <f t="shared" si="186"/>
        <v>0</v>
      </c>
      <c r="BF438" s="31">
        <f t="shared" si="187"/>
        <v>0</v>
      </c>
      <c r="BG438" s="255">
        <f t="shared" si="188"/>
        <v>0</v>
      </c>
      <c r="BH438" s="31">
        <f t="shared" si="189"/>
        <v>0</v>
      </c>
      <c r="BI438" s="255">
        <f t="shared" si="190"/>
        <v>0</v>
      </c>
      <c r="BJ438" s="31">
        <f t="shared" si="191"/>
        <v>0</v>
      </c>
      <c r="BK438" s="31">
        <f t="shared" si="192"/>
        <v>0</v>
      </c>
      <c r="BL438" s="255">
        <f t="shared" si="193"/>
        <v>0</v>
      </c>
      <c r="BM438" s="31">
        <f t="shared" si="194"/>
        <v>0</v>
      </c>
      <c r="BN438" s="255">
        <f t="shared" si="195"/>
        <v>0</v>
      </c>
    </row>
    <row r="439" spans="1:66" x14ac:dyDescent="0.25">
      <c r="A439" s="18" t="s">
        <v>1455</v>
      </c>
      <c r="B439" s="186" t="str">
        <f>VLOOKUP(A439,kurspris!$A$1:$B$877,2,FALSE)</f>
        <v>Matematik 2 för förskoleklass och grundskolans årskurs 1-3</v>
      </c>
      <c r="C439" s="37"/>
      <c r="D439" s="31" t="s">
        <v>486</v>
      </c>
      <c r="E439" s="31" t="s">
        <v>1788</v>
      </c>
      <c r="F439" s="59" t="s">
        <v>1931</v>
      </c>
      <c r="G439" s="31" t="s">
        <v>2274</v>
      </c>
      <c r="L439" s="31">
        <v>100</v>
      </c>
      <c r="M439" s="31">
        <v>7.5</v>
      </c>
      <c r="P439" s="31">
        <v>44</v>
      </c>
      <c r="Q439" s="232">
        <f t="shared" si="168"/>
        <v>5.5</v>
      </c>
      <c r="R439" s="40">
        <v>0.85</v>
      </c>
      <c r="S439" s="334">
        <f t="shared" si="169"/>
        <v>4.6749999999999998</v>
      </c>
      <c r="T439" s="31">
        <f>VLOOKUP(A439,'Ansvar kurs'!$A$1:$C$1010,2,FALSE)</f>
        <v>5730</v>
      </c>
      <c r="U439" s="31" t="str">
        <f>VLOOKUP(T439,Orgenheter!$A$1:$C$165,2,FALSE)</f>
        <v>Inst för MA och MA statistik</v>
      </c>
      <c r="V439" s="31" t="str">
        <f>VLOOKUP(T439,Orgenheter!$A$1:$C$165,3,FALSE)</f>
        <v>TekNat</v>
      </c>
      <c r="W439" s="37" t="str">
        <f>VLOOKUP(D439,Program!$A$1:$B$34,2,FALSE)</f>
        <v>Grundlärarprogrammet - förskoleklass och åk 1-3</v>
      </c>
      <c r="X439" s="42">
        <f>VLOOKUP(A439,kurspris!$A$1:$Q$798,15,FALSE)</f>
        <v>19473</v>
      </c>
      <c r="Y439" s="42">
        <f>VLOOKUP(A439,kurspris!$A$1:$Q$798,16,FALSE)</f>
        <v>34806</v>
      </c>
      <c r="Z439" s="42">
        <f t="shared" si="170"/>
        <v>269819.55</v>
      </c>
      <c r="AA439" s="42">
        <f>VLOOKUP(A439,kurspris!$A$1:$Q$798,17,FALSE)</f>
        <v>21800</v>
      </c>
      <c r="AB439" s="42">
        <f t="shared" si="171"/>
        <v>119900</v>
      </c>
      <c r="AC439" s="42">
        <f t="shared" si="172"/>
        <v>389719.55</v>
      </c>
      <c r="AD439" s="31">
        <f>VLOOKUP($A439,kurspris!$A$1:$Q$835,3,FALSE)</f>
        <v>0</v>
      </c>
      <c r="AE439" s="31">
        <f>VLOOKUP($A439,kurspris!$A$1:$Q$835,4,FALSE)</f>
        <v>0</v>
      </c>
      <c r="AF439" s="31">
        <f>VLOOKUP($A439,kurspris!$A$1:$Q$835,5,FALSE)</f>
        <v>0</v>
      </c>
      <c r="AG439" s="31">
        <f>VLOOKUP($A439,kurspris!$A$1:$Q$835,6,FALSE)</f>
        <v>0</v>
      </c>
      <c r="AH439" s="31">
        <f>VLOOKUP($A439,kurspris!$A$1:$Q$835,7,FALSE)</f>
        <v>0</v>
      </c>
      <c r="AI439" s="31">
        <f>VLOOKUP($A439,kurspris!$A$1:$Q$835,8,FALSE)</f>
        <v>1</v>
      </c>
      <c r="AJ439" s="31">
        <f>VLOOKUP($A439,kurspris!$A$1:$Q$835,9,FALSE)</f>
        <v>0</v>
      </c>
      <c r="AK439" s="31">
        <f>VLOOKUP($A439,kurspris!$A$1:$Q$835,10,FALSE)</f>
        <v>0</v>
      </c>
      <c r="AL439" s="31">
        <f>VLOOKUP($A439,kurspris!$A$1:$Q$835,11,FALSE)</f>
        <v>0</v>
      </c>
      <c r="AM439" s="31">
        <f>VLOOKUP($A439,kurspris!$A$1:$Q$835,12,FALSE)</f>
        <v>0</v>
      </c>
      <c r="AN439" s="31">
        <f>VLOOKUP($A439,kurspris!$A$1:$Q$835,13,FALSE)</f>
        <v>0</v>
      </c>
      <c r="AO439" s="31">
        <f>VLOOKUP($A439,kurspris!$A$1:$Q$835,14,FALSE)</f>
        <v>0</v>
      </c>
      <c r="AP439" s="39" t="s">
        <v>2326</v>
      </c>
      <c r="AQ439"/>
      <c r="AR439" s="31">
        <f t="shared" si="173"/>
        <v>0</v>
      </c>
      <c r="AS439" s="255">
        <f t="shared" si="174"/>
        <v>0</v>
      </c>
      <c r="AT439" s="31">
        <f t="shared" si="175"/>
        <v>0</v>
      </c>
      <c r="AU439" s="255">
        <f t="shared" si="176"/>
        <v>0</v>
      </c>
      <c r="AV439" s="31">
        <f t="shared" si="177"/>
        <v>0</v>
      </c>
      <c r="AW439" s="31">
        <f t="shared" si="178"/>
        <v>0</v>
      </c>
      <c r="AX439" s="31">
        <f t="shared" si="179"/>
        <v>0</v>
      </c>
      <c r="AY439" s="255">
        <f t="shared" si="180"/>
        <v>0</v>
      </c>
      <c r="AZ439" s="232">
        <f t="shared" si="181"/>
        <v>0</v>
      </c>
      <c r="BA439" s="255">
        <f t="shared" si="182"/>
        <v>0</v>
      </c>
      <c r="BB439" s="31">
        <f t="shared" si="183"/>
        <v>5.5</v>
      </c>
      <c r="BC439" s="255">
        <f t="shared" si="184"/>
        <v>4.6749999999999998</v>
      </c>
      <c r="BD439" s="31">
        <f t="shared" si="185"/>
        <v>0</v>
      </c>
      <c r="BE439" s="255">
        <f t="shared" si="186"/>
        <v>0</v>
      </c>
      <c r="BF439" s="31">
        <f t="shared" si="187"/>
        <v>0</v>
      </c>
      <c r="BG439" s="255">
        <f t="shared" si="188"/>
        <v>0</v>
      </c>
      <c r="BH439" s="31">
        <f t="shared" si="189"/>
        <v>0</v>
      </c>
      <c r="BI439" s="255">
        <f t="shared" si="190"/>
        <v>0</v>
      </c>
      <c r="BJ439" s="31">
        <f t="shared" si="191"/>
        <v>0</v>
      </c>
      <c r="BK439" s="31">
        <f t="shared" si="192"/>
        <v>0</v>
      </c>
      <c r="BL439" s="255">
        <f t="shared" si="193"/>
        <v>0</v>
      </c>
      <c r="BM439" s="31">
        <f t="shared" si="194"/>
        <v>0</v>
      </c>
      <c r="BN439" s="255">
        <f t="shared" si="195"/>
        <v>0</v>
      </c>
    </row>
    <row r="440" spans="1:66" x14ac:dyDescent="0.25">
      <c r="A440" t="s">
        <v>1354</v>
      </c>
      <c r="B440" s="186" t="str">
        <f>VLOOKUP(A440,kurspris!$A$1:$B$877,2,FALSE)</f>
        <v>Matematik 1 för grundskolans årskurs 4-6</v>
      </c>
      <c r="C440"/>
      <c r="D440" t="s">
        <v>524</v>
      </c>
      <c r="E440" t="s">
        <v>1788</v>
      </c>
      <c r="F440" s="39" t="s">
        <v>1930</v>
      </c>
      <c r="G440" t="s">
        <v>1933</v>
      </c>
      <c r="H440" t="s">
        <v>1910</v>
      </c>
      <c r="I440"/>
      <c r="J440"/>
      <c r="K440"/>
      <c r="L440">
        <v>100</v>
      </c>
      <c r="M440">
        <v>7.5</v>
      </c>
      <c r="N440"/>
      <c r="O440"/>
      <c r="P440" s="31">
        <v>26</v>
      </c>
      <c r="Q440" s="232">
        <f t="shared" si="168"/>
        <v>3.25</v>
      </c>
      <c r="R440" s="40">
        <v>0.85</v>
      </c>
      <c r="S440" s="334">
        <f t="shared" si="169"/>
        <v>2.7624999999999997</v>
      </c>
      <c r="T440" s="31">
        <f>VLOOKUP(A440,'Ansvar kurs'!$A$1:$C$1010,2,FALSE)</f>
        <v>5730</v>
      </c>
      <c r="U440" s="31" t="str">
        <f>VLOOKUP(T440,Orgenheter!$A$1:$C$165,2,FALSE)</f>
        <v>Inst för MA och MA statistik</v>
      </c>
      <c r="V440" s="31" t="str">
        <f>VLOOKUP(T440,Orgenheter!$A$1:$C$165,3,FALSE)</f>
        <v>TekNat</v>
      </c>
      <c r="W440" s="37" t="str">
        <f>VLOOKUP(D440,Program!$A$1:$B$34,2,FALSE)</f>
        <v>Grundlärarprogrammet - grundskolans åk 4-6</v>
      </c>
      <c r="X440" s="42">
        <f>VLOOKUP(A440,kurspris!$A$1:$Q$798,15,FALSE)</f>
        <v>19473</v>
      </c>
      <c r="Y440" s="42">
        <f>VLOOKUP(A440,kurspris!$A$1:$Q$798,16,FALSE)</f>
        <v>34806</v>
      </c>
      <c r="Z440" s="42">
        <f t="shared" si="170"/>
        <v>159438.82500000001</v>
      </c>
      <c r="AA440" s="42">
        <f>VLOOKUP(A440,kurspris!$A$1:$Q$798,17,FALSE)</f>
        <v>21800</v>
      </c>
      <c r="AB440" s="42">
        <f t="shared" si="171"/>
        <v>70850</v>
      </c>
      <c r="AC440" s="42">
        <f t="shared" si="172"/>
        <v>230288.82500000001</v>
      </c>
      <c r="AD440" s="31">
        <f>VLOOKUP($A440,kurspris!$A$1:$Q$835,3,FALSE)</f>
        <v>0</v>
      </c>
      <c r="AE440" s="31">
        <f>VLOOKUP($A440,kurspris!$A$1:$Q$835,4,FALSE)</f>
        <v>0</v>
      </c>
      <c r="AF440" s="31">
        <f>VLOOKUP($A440,kurspris!$A$1:$Q$835,5,FALSE)</f>
        <v>0</v>
      </c>
      <c r="AG440" s="31">
        <f>VLOOKUP($A440,kurspris!$A$1:$Q$835,6,FALSE)</f>
        <v>0</v>
      </c>
      <c r="AH440" s="31">
        <f>VLOOKUP($A440,kurspris!$A$1:$Q$835,7,FALSE)</f>
        <v>0</v>
      </c>
      <c r="AI440" s="31">
        <f>VLOOKUP($A440,kurspris!$A$1:$Q$835,8,FALSE)</f>
        <v>1</v>
      </c>
      <c r="AJ440" s="31">
        <f>VLOOKUP($A440,kurspris!$A$1:$Q$835,9,FALSE)</f>
        <v>0</v>
      </c>
      <c r="AK440" s="31">
        <f>VLOOKUP($A440,kurspris!$A$1:$Q$835,10,FALSE)</f>
        <v>0</v>
      </c>
      <c r="AL440" s="31">
        <f>VLOOKUP($A440,kurspris!$A$1:$Q$835,11,FALSE)</f>
        <v>0</v>
      </c>
      <c r="AM440" s="31">
        <f>VLOOKUP($A440,kurspris!$A$1:$Q$835,12,FALSE)</f>
        <v>0</v>
      </c>
      <c r="AN440" s="31">
        <f>VLOOKUP($A440,kurspris!$A$1:$Q$835,13,FALSE)</f>
        <v>0</v>
      </c>
      <c r="AO440" s="31">
        <f>VLOOKUP($A440,kurspris!$A$1:$Q$835,14,FALSE)</f>
        <v>0</v>
      </c>
      <c r="AP440" s="39" t="s">
        <v>2235</v>
      </c>
      <c r="AQ440"/>
      <c r="AR440" s="31">
        <f t="shared" si="173"/>
        <v>0</v>
      </c>
      <c r="AS440" s="255">
        <f t="shared" si="174"/>
        <v>0</v>
      </c>
      <c r="AT440" s="31">
        <f t="shared" si="175"/>
        <v>0</v>
      </c>
      <c r="AU440" s="255">
        <f t="shared" si="176"/>
        <v>0</v>
      </c>
      <c r="AV440" s="31">
        <f t="shared" si="177"/>
        <v>0</v>
      </c>
      <c r="AW440" s="31">
        <f t="shared" si="178"/>
        <v>0</v>
      </c>
      <c r="AX440" s="31">
        <f t="shared" si="179"/>
        <v>0</v>
      </c>
      <c r="AY440" s="255">
        <f t="shared" si="180"/>
        <v>0</v>
      </c>
      <c r="AZ440" s="232">
        <f t="shared" si="181"/>
        <v>0</v>
      </c>
      <c r="BA440" s="255">
        <f t="shared" si="182"/>
        <v>0</v>
      </c>
      <c r="BB440" s="31">
        <f t="shared" si="183"/>
        <v>3.25</v>
      </c>
      <c r="BC440" s="255">
        <f t="shared" si="184"/>
        <v>2.7624999999999997</v>
      </c>
      <c r="BD440" s="31">
        <f t="shared" si="185"/>
        <v>0</v>
      </c>
      <c r="BE440" s="255">
        <f t="shared" si="186"/>
        <v>0</v>
      </c>
      <c r="BF440" s="31">
        <f t="shared" si="187"/>
        <v>0</v>
      </c>
      <c r="BG440" s="255">
        <f t="shared" si="188"/>
        <v>0</v>
      </c>
      <c r="BH440" s="31">
        <f t="shared" si="189"/>
        <v>0</v>
      </c>
      <c r="BI440" s="255">
        <f t="shared" si="190"/>
        <v>0</v>
      </c>
      <c r="BJ440" s="31">
        <f t="shared" si="191"/>
        <v>0</v>
      </c>
      <c r="BK440" s="31">
        <f t="shared" si="192"/>
        <v>0</v>
      </c>
      <c r="BL440" s="255">
        <f t="shared" si="193"/>
        <v>0</v>
      </c>
      <c r="BM440" s="31">
        <f t="shared" si="194"/>
        <v>0</v>
      </c>
      <c r="BN440" s="255">
        <f t="shared" si="195"/>
        <v>0</v>
      </c>
    </row>
    <row r="441" spans="1:66" x14ac:dyDescent="0.25">
      <c r="A441" s="18" t="s">
        <v>1861</v>
      </c>
      <c r="B441" s="186" t="str">
        <f>VLOOKUP(A441,kurspris!$A$1:$B$877,2,FALSE)</f>
        <v>Algebra</v>
      </c>
      <c r="C441" s="37"/>
      <c r="D441" t="s">
        <v>117</v>
      </c>
      <c r="E441"/>
      <c r="F441" s="59" t="s">
        <v>1930</v>
      </c>
      <c r="G441"/>
      <c r="H441"/>
      <c r="I441" t="s">
        <v>1634</v>
      </c>
      <c r="L441">
        <v>100</v>
      </c>
      <c r="M441">
        <v>7.5</v>
      </c>
      <c r="P441" s="31">
        <v>7</v>
      </c>
      <c r="Q441" s="232">
        <f t="shared" si="168"/>
        <v>0.875</v>
      </c>
      <c r="R441" s="40">
        <v>0.8</v>
      </c>
      <c r="S441" s="334">
        <f t="shared" si="169"/>
        <v>0.70000000000000007</v>
      </c>
      <c r="T441" s="31">
        <f>VLOOKUP(A441,'Ansvar kurs'!$A$1:$C$1010,2,FALSE)</f>
        <v>5730</v>
      </c>
      <c r="U441" s="31" t="str">
        <f>VLOOKUP(T441,Orgenheter!$A$1:$C$165,2,FALSE)</f>
        <v>Inst för MA och MA statistik</v>
      </c>
      <c r="V441" s="31" t="str">
        <f>VLOOKUP(T441,Orgenheter!$A$1:$C$165,3,FALSE)</f>
        <v>TekNat</v>
      </c>
      <c r="W441" s="37" t="str">
        <f>VLOOKUP(D441,Program!$A$1:$B$34,2,FALSE)</f>
        <v>Fristående och övriga kurser</v>
      </c>
      <c r="X441" s="42">
        <f>VLOOKUP(A441,kurspris!$A$1:$Q$798,15,FALSE)</f>
        <v>19473</v>
      </c>
      <c r="Y441" s="42">
        <f>VLOOKUP(A441,kurspris!$A$1:$Q$798,16,FALSE)</f>
        <v>34806</v>
      </c>
      <c r="Z441" s="42">
        <f t="shared" si="170"/>
        <v>41403.074999999997</v>
      </c>
      <c r="AA441" s="42">
        <f>VLOOKUP(A441,kurspris!$A$1:$Q$798,17,FALSE)</f>
        <v>21800</v>
      </c>
      <c r="AB441" s="42">
        <f t="shared" si="171"/>
        <v>19075</v>
      </c>
      <c r="AC441" s="42">
        <f t="shared" si="172"/>
        <v>60478.074999999997</v>
      </c>
      <c r="AD441" s="31">
        <f>VLOOKUP($A441,kurspris!$A$1:$Q$835,3,FALSE)</f>
        <v>0</v>
      </c>
      <c r="AE441" s="31">
        <f>VLOOKUP($A441,kurspris!$A$1:$Q$835,4,FALSE)</f>
        <v>0</v>
      </c>
      <c r="AF441" s="31">
        <f>VLOOKUP($A441,kurspris!$A$1:$Q$835,5,FALSE)</f>
        <v>0</v>
      </c>
      <c r="AG441" s="31">
        <f>VLOOKUP($A441,kurspris!$A$1:$Q$835,6,FALSE)</f>
        <v>0</v>
      </c>
      <c r="AH441" s="31">
        <f>VLOOKUP($A441,kurspris!$A$1:$Q$835,7,FALSE)</f>
        <v>0</v>
      </c>
      <c r="AI441" s="31">
        <f>VLOOKUP($A441,kurspris!$A$1:$Q$835,8,FALSE)</f>
        <v>1</v>
      </c>
      <c r="AJ441" s="31">
        <f>VLOOKUP($A441,kurspris!$A$1:$Q$835,9,FALSE)</f>
        <v>0</v>
      </c>
      <c r="AK441" s="31">
        <f>VLOOKUP($A441,kurspris!$A$1:$Q$835,10,FALSE)</f>
        <v>0</v>
      </c>
      <c r="AL441" s="31">
        <f>VLOOKUP($A441,kurspris!$A$1:$Q$835,11,FALSE)</f>
        <v>0</v>
      </c>
      <c r="AM441" s="31">
        <f>VLOOKUP($A441,kurspris!$A$1:$Q$835,12,FALSE)</f>
        <v>0</v>
      </c>
      <c r="AN441" s="31">
        <f>VLOOKUP($A441,kurspris!$A$1:$Q$835,13,FALSE)</f>
        <v>0</v>
      </c>
      <c r="AO441" s="31">
        <f>VLOOKUP($A441,kurspris!$A$1:$Q$835,14,FALSE)</f>
        <v>0</v>
      </c>
      <c r="AP441" s="39" t="s">
        <v>2095</v>
      </c>
      <c r="AQ441" s="39"/>
      <c r="AR441" s="31">
        <f t="shared" si="173"/>
        <v>0</v>
      </c>
      <c r="AS441" s="255">
        <f t="shared" si="174"/>
        <v>0</v>
      </c>
      <c r="AT441" s="31">
        <f t="shared" si="175"/>
        <v>0</v>
      </c>
      <c r="AU441" s="255">
        <f t="shared" si="176"/>
        <v>0</v>
      </c>
      <c r="AV441" s="31">
        <f t="shared" si="177"/>
        <v>0</v>
      </c>
      <c r="AW441" s="31">
        <f t="shared" si="178"/>
        <v>0</v>
      </c>
      <c r="AX441" s="31">
        <f t="shared" si="179"/>
        <v>0</v>
      </c>
      <c r="AY441" s="255">
        <f t="shared" si="180"/>
        <v>0</v>
      </c>
      <c r="AZ441" s="232">
        <f t="shared" si="181"/>
        <v>0</v>
      </c>
      <c r="BA441" s="255">
        <f t="shared" si="182"/>
        <v>0</v>
      </c>
      <c r="BB441" s="31">
        <f t="shared" si="183"/>
        <v>0.875</v>
      </c>
      <c r="BC441" s="255">
        <f t="shared" si="184"/>
        <v>0.70000000000000007</v>
      </c>
      <c r="BD441" s="31">
        <f t="shared" si="185"/>
        <v>0</v>
      </c>
      <c r="BE441" s="255">
        <f t="shared" si="186"/>
        <v>0</v>
      </c>
      <c r="BF441" s="31">
        <f t="shared" si="187"/>
        <v>0</v>
      </c>
      <c r="BG441" s="255">
        <f t="shared" si="188"/>
        <v>0</v>
      </c>
      <c r="BH441" s="31">
        <f t="shared" si="189"/>
        <v>0</v>
      </c>
      <c r="BI441" s="255">
        <f t="shared" si="190"/>
        <v>0</v>
      </c>
      <c r="BJ441" s="31">
        <f t="shared" si="191"/>
        <v>0</v>
      </c>
      <c r="BK441" s="31">
        <f t="shared" si="192"/>
        <v>0</v>
      </c>
      <c r="BL441" s="255">
        <f t="shared" si="193"/>
        <v>0</v>
      </c>
      <c r="BM441" s="31">
        <f t="shared" si="194"/>
        <v>0</v>
      </c>
      <c r="BN441" s="255">
        <f t="shared" si="195"/>
        <v>0</v>
      </c>
    </row>
    <row r="442" spans="1:66" x14ac:dyDescent="0.25">
      <c r="A442" t="s">
        <v>1861</v>
      </c>
      <c r="B442" s="186" t="str">
        <f>VLOOKUP(A442,kurspris!$A$1:$B$877,2,FALSE)</f>
        <v>Algebra</v>
      </c>
      <c r="C442"/>
      <c r="D442" t="s">
        <v>483</v>
      </c>
      <c r="E442" t="s">
        <v>1973</v>
      </c>
      <c r="F442" s="59" t="s">
        <v>1930</v>
      </c>
      <c r="G442" t="s">
        <v>1936</v>
      </c>
      <c r="H442" t="s">
        <v>1910</v>
      </c>
      <c r="I442"/>
      <c r="J442" t="s">
        <v>773</v>
      </c>
      <c r="K442"/>
      <c r="L442">
        <v>100</v>
      </c>
      <c r="M442">
        <v>7.5</v>
      </c>
      <c r="N442"/>
      <c r="O442"/>
      <c r="P442" s="31">
        <v>2</v>
      </c>
      <c r="Q442" s="232">
        <f t="shared" si="168"/>
        <v>0.25</v>
      </c>
      <c r="R442" s="40">
        <v>0.85</v>
      </c>
      <c r="S442" s="334">
        <f t="shared" si="169"/>
        <v>0.21249999999999999</v>
      </c>
      <c r="T442" s="31">
        <f>VLOOKUP(A442,'Ansvar kurs'!$A$1:$C$1010,2,FALSE)</f>
        <v>5730</v>
      </c>
      <c r="U442" s="31" t="str">
        <f>VLOOKUP(T442,Orgenheter!$A$1:$C$165,2,FALSE)</f>
        <v>Inst för MA och MA statistik</v>
      </c>
      <c r="V442" s="31" t="str">
        <f>VLOOKUP(T442,Orgenheter!$A$1:$C$165,3,FALSE)</f>
        <v>TekNat</v>
      </c>
      <c r="W442" s="37" t="str">
        <f>VLOOKUP(D442,Program!$A$1:$B$34,2,FALSE)</f>
        <v>Ämneslärarprogrammet - Gy</v>
      </c>
      <c r="X442" s="42">
        <f>VLOOKUP(A442,kurspris!$A$1:$Q$798,15,FALSE)</f>
        <v>19473</v>
      </c>
      <c r="Y442" s="42">
        <f>VLOOKUP(A442,kurspris!$A$1:$Q$798,16,FALSE)</f>
        <v>34806</v>
      </c>
      <c r="Z442" s="42">
        <f t="shared" si="170"/>
        <v>12264.525</v>
      </c>
      <c r="AA442" s="42">
        <f>VLOOKUP(A442,kurspris!$A$1:$Q$798,17,FALSE)</f>
        <v>21800</v>
      </c>
      <c r="AB442" s="42">
        <f t="shared" si="171"/>
        <v>5450</v>
      </c>
      <c r="AC442" s="42">
        <f t="shared" si="172"/>
        <v>17714.525000000001</v>
      </c>
      <c r="AD442" s="31">
        <f>VLOOKUP($A442,kurspris!$A$1:$Q$835,3,FALSE)</f>
        <v>0</v>
      </c>
      <c r="AE442" s="31">
        <f>VLOOKUP($A442,kurspris!$A$1:$Q$835,4,FALSE)</f>
        <v>0</v>
      </c>
      <c r="AF442" s="31">
        <f>VLOOKUP($A442,kurspris!$A$1:$Q$835,5,FALSE)</f>
        <v>0</v>
      </c>
      <c r="AG442" s="31">
        <f>VLOOKUP($A442,kurspris!$A$1:$Q$835,6,FALSE)</f>
        <v>0</v>
      </c>
      <c r="AH442" s="31">
        <f>VLOOKUP($A442,kurspris!$A$1:$Q$835,7,FALSE)</f>
        <v>0</v>
      </c>
      <c r="AI442" s="31">
        <f>VLOOKUP($A442,kurspris!$A$1:$Q$835,8,FALSE)</f>
        <v>1</v>
      </c>
      <c r="AJ442" s="31">
        <f>VLOOKUP($A442,kurspris!$A$1:$Q$835,9,FALSE)</f>
        <v>0</v>
      </c>
      <c r="AK442" s="31">
        <f>VLOOKUP($A442,kurspris!$A$1:$Q$835,10,FALSE)</f>
        <v>0</v>
      </c>
      <c r="AL442" s="31">
        <f>VLOOKUP($A442,kurspris!$A$1:$Q$835,11,FALSE)</f>
        <v>0</v>
      </c>
      <c r="AM442" s="31">
        <f>VLOOKUP($A442,kurspris!$A$1:$Q$835,12,FALSE)</f>
        <v>0</v>
      </c>
      <c r="AN442" s="31">
        <f>VLOOKUP($A442,kurspris!$A$1:$Q$835,13,FALSE)</f>
        <v>0</v>
      </c>
      <c r="AO442" s="31">
        <f>VLOOKUP($A442,kurspris!$A$1:$Q$835,14,FALSE)</f>
        <v>0</v>
      </c>
      <c r="AP442" s="39" t="s">
        <v>2204</v>
      </c>
      <c r="AQ442"/>
      <c r="AR442" s="31">
        <f t="shared" si="173"/>
        <v>0</v>
      </c>
      <c r="AS442" s="255">
        <f t="shared" si="174"/>
        <v>0</v>
      </c>
      <c r="AT442" s="31">
        <f t="shared" si="175"/>
        <v>0</v>
      </c>
      <c r="AU442" s="255">
        <f t="shared" si="176"/>
        <v>0</v>
      </c>
      <c r="AV442" s="31">
        <f t="shared" si="177"/>
        <v>0</v>
      </c>
      <c r="AW442" s="31">
        <f t="shared" si="178"/>
        <v>0</v>
      </c>
      <c r="AX442" s="31">
        <f t="shared" si="179"/>
        <v>0</v>
      </c>
      <c r="AY442" s="255">
        <f t="shared" si="180"/>
        <v>0</v>
      </c>
      <c r="AZ442" s="232">
        <f t="shared" si="181"/>
        <v>0</v>
      </c>
      <c r="BA442" s="255">
        <f t="shared" si="182"/>
        <v>0</v>
      </c>
      <c r="BB442" s="31">
        <f t="shared" si="183"/>
        <v>0.25</v>
      </c>
      <c r="BC442" s="255">
        <f t="shared" si="184"/>
        <v>0.21249999999999999</v>
      </c>
      <c r="BD442" s="31">
        <f t="shared" si="185"/>
        <v>0</v>
      </c>
      <c r="BE442" s="255">
        <f t="shared" si="186"/>
        <v>0</v>
      </c>
      <c r="BF442" s="31">
        <f t="shared" si="187"/>
        <v>0</v>
      </c>
      <c r="BG442" s="255">
        <f t="shared" si="188"/>
        <v>0</v>
      </c>
      <c r="BH442" s="31">
        <f t="shared" si="189"/>
        <v>0</v>
      </c>
      <c r="BI442" s="255">
        <f t="shared" si="190"/>
        <v>0</v>
      </c>
      <c r="BJ442" s="31">
        <f t="shared" si="191"/>
        <v>0</v>
      </c>
      <c r="BK442" s="31">
        <f t="shared" si="192"/>
        <v>0</v>
      </c>
      <c r="BL442" s="255">
        <f t="shared" si="193"/>
        <v>0</v>
      </c>
      <c r="BM442" s="31">
        <f t="shared" si="194"/>
        <v>0</v>
      </c>
      <c r="BN442" s="255">
        <f t="shared" si="195"/>
        <v>0</v>
      </c>
    </row>
    <row r="443" spans="1:66" x14ac:dyDescent="0.25">
      <c r="A443" t="s">
        <v>1861</v>
      </c>
      <c r="B443" s="186" t="str">
        <f>VLOOKUP(A443,kurspris!$A$1:$B$877,2,FALSE)</f>
        <v>Algebra</v>
      </c>
      <c r="C443"/>
      <c r="D443" t="s">
        <v>483</v>
      </c>
      <c r="E443" t="s">
        <v>1788</v>
      </c>
      <c r="F443" s="59" t="s">
        <v>1930</v>
      </c>
      <c r="G443" t="s">
        <v>1936</v>
      </c>
      <c r="H443" t="s">
        <v>1910</v>
      </c>
      <c r="I443"/>
      <c r="J443" t="s">
        <v>774</v>
      </c>
      <c r="K443"/>
      <c r="L443">
        <v>100</v>
      </c>
      <c r="M443">
        <v>7.5</v>
      </c>
      <c r="N443"/>
      <c r="O443"/>
      <c r="P443" s="31">
        <v>9</v>
      </c>
      <c r="Q443" s="232">
        <f t="shared" si="168"/>
        <v>1.125</v>
      </c>
      <c r="R443" s="40">
        <v>0.85</v>
      </c>
      <c r="S443" s="334">
        <f t="shared" si="169"/>
        <v>0.95624999999999993</v>
      </c>
      <c r="T443" s="31">
        <f>VLOOKUP(A443,'Ansvar kurs'!$A$1:$C$1010,2,FALSE)</f>
        <v>5730</v>
      </c>
      <c r="U443" s="31" t="str">
        <f>VLOOKUP(T443,Orgenheter!$A$1:$C$165,2,FALSE)</f>
        <v>Inst för MA och MA statistik</v>
      </c>
      <c r="V443" s="31" t="str">
        <f>VLOOKUP(T443,Orgenheter!$A$1:$C$165,3,FALSE)</f>
        <v>TekNat</v>
      </c>
      <c r="W443" s="37" t="str">
        <f>VLOOKUP(D443,Program!$A$1:$B$34,2,FALSE)</f>
        <v>Ämneslärarprogrammet - Gy</v>
      </c>
      <c r="X443" s="42">
        <f>VLOOKUP(A443,kurspris!$A$1:$Q$798,15,FALSE)</f>
        <v>19473</v>
      </c>
      <c r="Y443" s="42">
        <f>VLOOKUP(A443,kurspris!$A$1:$Q$798,16,FALSE)</f>
        <v>34806</v>
      </c>
      <c r="Z443" s="42">
        <f t="shared" si="170"/>
        <v>55190.362499999996</v>
      </c>
      <c r="AA443" s="42">
        <f>VLOOKUP(A443,kurspris!$A$1:$Q$798,17,FALSE)</f>
        <v>21800</v>
      </c>
      <c r="AB443" s="42">
        <f t="shared" si="171"/>
        <v>24525</v>
      </c>
      <c r="AC443" s="42">
        <f t="shared" si="172"/>
        <v>79715.362499999988</v>
      </c>
      <c r="AD443" s="31">
        <f>VLOOKUP($A443,kurspris!$A$1:$Q$835,3,FALSE)</f>
        <v>0</v>
      </c>
      <c r="AE443" s="31">
        <f>VLOOKUP($A443,kurspris!$A$1:$Q$835,4,FALSE)</f>
        <v>0</v>
      </c>
      <c r="AF443" s="31">
        <f>VLOOKUP($A443,kurspris!$A$1:$Q$835,5,FALSE)</f>
        <v>0</v>
      </c>
      <c r="AG443" s="31">
        <f>VLOOKUP($A443,kurspris!$A$1:$Q$835,6,FALSE)</f>
        <v>0</v>
      </c>
      <c r="AH443" s="31">
        <f>VLOOKUP($A443,kurspris!$A$1:$Q$835,7,FALSE)</f>
        <v>0</v>
      </c>
      <c r="AI443" s="31">
        <f>VLOOKUP($A443,kurspris!$A$1:$Q$835,8,FALSE)</f>
        <v>1</v>
      </c>
      <c r="AJ443" s="31">
        <f>VLOOKUP($A443,kurspris!$A$1:$Q$835,9,FALSE)</f>
        <v>0</v>
      </c>
      <c r="AK443" s="31">
        <f>VLOOKUP($A443,kurspris!$A$1:$Q$835,10,FALSE)</f>
        <v>0</v>
      </c>
      <c r="AL443" s="31">
        <f>VLOOKUP($A443,kurspris!$A$1:$Q$835,11,FALSE)</f>
        <v>0</v>
      </c>
      <c r="AM443" s="31">
        <f>VLOOKUP($A443,kurspris!$A$1:$Q$835,12,FALSE)</f>
        <v>0</v>
      </c>
      <c r="AN443" s="31">
        <f>VLOOKUP($A443,kurspris!$A$1:$Q$835,13,FALSE)</f>
        <v>0</v>
      </c>
      <c r="AO443" s="31">
        <f>VLOOKUP($A443,kurspris!$A$1:$Q$835,14,FALSE)</f>
        <v>0</v>
      </c>
      <c r="AP443" s="39" t="s">
        <v>2204</v>
      </c>
      <c r="AQ443"/>
      <c r="AR443" s="31">
        <f t="shared" si="173"/>
        <v>0</v>
      </c>
      <c r="AS443" s="255">
        <f t="shared" si="174"/>
        <v>0</v>
      </c>
      <c r="AT443" s="31">
        <f t="shared" si="175"/>
        <v>0</v>
      </c>
      <c r="AU443" s="255">
        <f t="shared" si="176"/>
        <v>0</v>
      </c>
      <c r="AV443" s="31">
        <f t="shared" si="177"/>
        <v>0</v>
      </c>
      <c r="AW443" s="31">
        <f t="shared" si="178"/>
        <v>0</v>
      </c>
      <c r="AX443" s="31">
        <f t="shared" si="179"/>
        <v>0</v>
      </c>
      <c r="AY443" s="255">
        <f t="shared" si="180"/>
        <v>0</v>
      </c>
      <c r="AZ443" s="232">
        <f t="shared" si="181"/>
        <v>0</v>
      </c>
      <c r="BA443" s="255">
        <f t="shared" si="182"/>
        <v>0</v>
      </c>
      <c r="BB443" s="31">
        <f t="shared" si="183"/>
        <v>1.125</v>
      </c>
      <c r="BC443" s="255">
        <f t="shared" si="184"/>
        <v>0.95624999999999993</v>
      </c>
      <c r="BD443" s="31">
        <f t="shared" si="185"/>
        <v>0</v>
      </c>
      <c r="BE443" s="255">
        <f t="shared" si="186"/>
        <v>0</v>
      </c>
      <c r="BF443" s="31">
        <f t="shared" si="187"/>
        <v>0</v>
      </c>
      <c r="BG443" s="255">
        <f t="shared" si="188"/>
        <v>0</v>
      </c>
      <c r="BH443" s="31">
        <f t="shared" si="189"/>
        <v>0</v>
      </c>
      <c r="BI443" s="255">
        <f t="shared" si="190"/>
        <v>0</v>
      </c>
      <c r="BJ443" s="31">
        <f t="shared" si="191"/>
        <v>0</v>
      </c>
      <c r="BK443" s="31">
        <f t="shared" si="192"/>
        <v>0</v>
      </c>
      <c r="BL443" s="255">
        <f t="shared" si="193"/>
        <v>0</v>
      </c>
      <c r="BM443" s="31">
        <f t="shared" si="194"/>
        <v>0</v>
      </c>
      <c r="BN443" s="255">
        <f t="shared" si="195"/>
        <v>0</v>
      </c>
    </row>
    <row r="444" spans="1:66" x14ac:dyDescent="0.25">
      <c r="A444" s="18" t="s">
        <v>1862</v>
      </c>
      <c r="B444" s="186" t="str">
        <f>VLOOKUP(A444,kurspris!$A$1:$B$877,2,FALSE)</f>
        <v>Envariabelanalys 1</v>
      </c>
      <c r="C444" s="37"/>
      <c r="D444" t="s">
        <v>117</v>
      </c>
      <c r="E444"/>
      <c r="F444" s="59" t="s">
        <v>1930</v>
      </c>
      <c r="G444"/>
      <c r="H444"/>
      <c r="I444" t="s">
        <v>1634</v>
      </c>
      <c r="L444">
        <v>100</v>
      </c>
      <c r="M444">
        <v>7.5</v>
      </c>
      <c r="P444" s="31">
        <v>4</v>
      </c>
      <c r="Q444" s="232">
        <f t="shared" si="168"/>
        <v>0.5</v>
      </c>
      <c r="R444" s="40">
        <v>0.8</v>
      </c>
      <c r="S444" s="334">
        <f t="shared" si="169"/>
        <v>0.4</v>
      </c>
      <c r="T444" s="31">
        <f>VLOOKUP(A444,'Ansvar kurs'!$A$1:$C$1010,2,FALSE)</f>
        <v>5730</v>
      </c>
      <c r="U444" s="31" t="str">
        <f>VLOOKUP(T444,Orgenheter!$A$1:$C$165,2,FALSE)</f>
        <v>Inst för MA och MA statistik</v>
      </c>
      <c r="V444" s="31" t="str">
        <f>VLOOKUP(T444,Orgenheter!$A$1:$C$165,3,FALSE)</f>
        <v>TekNat</v>
      </c>
      <c r="W444" s="37" t="str">
        <f>VLOOKUP(D444,Program!$A$1:$B$34,2,FALSE)</f>
        <v>Fristående och övriga kurser</v>
      </c>
      <c r="X444" s="42">
        <f>VLOOKUP(A444,kurspris!$A$1:$Q$798,15,FALSE)</f>
        <v>19473</v>
      </c>
      <c r="Y444" s="42">
        <f>VLOOKUP(A444,kurspris!$A$1:$Q$798,16,FALSE)</f>
        <v>34806</v>
      </c>
      <c r="Z444" s="42">
        <f t="shared" si="170"/>
        <v>23658.9</v>
      </c>
      <c r="AA444" s="42">
        <f>VLOOKUP(A444,kurspris!$A$1:$Q$798,17,FALSE)</f>
        <v>21800</v>
      </c>
      <c r="AB444" s="42">
        <f t="shared" si="171"/>
        <v>10900</v>
      </c>
      <c r="AC444" s="42">
        <f t="shared" si="172"/>
        <v>34558.9</v>
      </c>
      <c r="AD444" s="31">
        <f>VLOOKUP($A444,kurspris!$A$1:$Q$835,3,FALSE)</f>
        <v>0</v>
      </c>
      <c r="AE444" s="31">
        <f>VLOOKUP($A444,kurspris!$A$1:$Q$835,4,FALSE)</f>
        <v>0</v>
      </c>
      <c r="AF444" s="31">
        <f>VLOOKUP($A444,kurspris!$A$1:$Q$835,5,FALSE)</f>
        <v>0</v>
      </c>
      <c r="AG444" s="31">
        <f>VLOOKUP($A444,kurspris!$A$1:$Q$835,6,FALSE)</f>
        <v>0</v>
      </c>
      <c r="AH444" s="31">
        <f>VLOOKUP($A444,kurspris!$A$1:$Q$835,7,FALSE)</f>
        <v>0</v>
      </c>
      <c r="AI444" s="31">
        <f>VLOOKUP($A444,kurspris!$A$1:$Q$835,8,FALSE)</f>
        <v>0.5</v>
      </c>
      <c r="AJ444" s="31">
        <f>VLOOKUP($A444,kurspris!$A$1:$Q$835,9,FALSE)</f>
        <v>0</v>
      </c>
      <c r="AK444" s="31">
        <f>VLOOKUP($A444,kurspris!$A$1:$Q$835,10,FALSE)</f>
        <v>0.5</v>
      </c>
      <c r="AL444" s="31">
        <f>VLOOKUP($A444,kurspris!$A$1:$Q$835,11,FALSE)</f>
        <v>0</v>
      </c>
      <c r="AM444" s="31">
        <f>VLOOKUP($A444,kurspris!$A$1:$Q$835,12,FALSE)</f>
        <v>0</v>
      </c>
      <c r="AN444" s="31">
        <f>VLOOKUP($A444,kurspris!$A$1:$Q$835,13,FALSE)</f>
        <v>0</v>
      </c>
      <c r="AO444" s="31">
        <f>VLOOKUP($A444,kurspris!$A$1:$Q$835,14,FALSE)</f>
        <v>0</v>
      </c>
      <c r="AP444" s="39" t="s">
        <v>2232</v>
      </c>
      <c r="AQ444" s="39" t="s">
        <v>2095</v>
      </c>
      <c r="AR444" s="31">
        <f t="shared" si="173"/>
        <v>0</v>
      </c>
      <c r="AS444" s="255">
        <f t="shared" si="174"/>
        <v>0</v>
      </c>
      <c r="AT444" s="31">
        <f t="shared" si="175"/>
        <v>0</v>
      </c>
      <c r="AU444" s="255">
        <f t="shared" si="176"/>
        <v>0</v>
      </c>
      <c r="AV444" s="31">
        <f t="shared" si="177"/>
        <v>0</v>
      </c>
      <c r="AW444" s="31">
        <f t="shared" si="178"/>
        <v>0</v>
      </c>
      <c r="AX444" s="31">
        <f t="shared" si="179"/>
        <v>0</v>
      </c>
      <c r="AY444" s="255">
        <f t="shared" si="180"/>
        <v>0</v>
      </c>
      <c r="AZ444" s="232">
        <f t="shared" si="181"/>
        <v>0</v>
      </c>
      <c r="BA444" s="255">
        <f t="shared" si="182"/>
        <v>0</v>
      </c>
      <c r="BB444" s="31">
        <f t="shared" si="183"/>
        <v>0.25</v>
      </c>
      <c r="BC444" s="255">
        <f t="shared" si="184"/>
        <v>0.2</v>
      </c>
      <c r="BD444" s="31">
        <f t="shared" si="185"/>
        <v>0</v>
      </c>
      <c r="BE444" s="255">
        <f t="shared" si="186"/>
        <v>0</v>
      </c>
      <c r="BF444" s="31">
        <f t="shared" si="187"/>
        <v>0.25</v>
      </c>
      <c r="BG444" s="255">
        <f t="shared" si="188"/>
        <v>0.2</v>
      </c>
      <c r="BH444" s="31">
        <f t="shared" si="189"/>
        <v>0</v>
      </c>
      <c r="BI444" s="255">
        <f t="shared" si="190"/>
        <v>0</v>
      </c>
      <c r="BJ444" s="31">
        <f t="shared" si="191"/>
        <v>0</v>
      </c>
      <c r="BK444" s="31">
        <f t="shared" si="192"/>
        <v>0</v>
      </c>
      <c r="BL444" s="255">
        <f t="shared" si="193"/>
        <v>0</v>
      </c>
      <c r="BM444" s="31">
        <f t="shared" si="194"/>
        <v>0</v>
      </c>
      <c r="BN444" s="255">
        <f t="shared" si="195"/>
        <v>0</v>
      </c>
    </row>
    <row r="445" spans="1:66" x14ac:dyDescent="0.25">
      <c r="A445" t="s">
        <v>1862</v>
      </c>
      <c r="B445" s="186" t="str">
        <f>VLOOKUP(A445,kurspris!$A$1:$B$877,2,FALSE)</f>
        <v>Envariabelanalys 1</v>
      </c>
      <c r="C445"/>
      <c r="D445" t="s">
        <v>483</v>
      </c>
      <c r="E445" t="s">
        <v>1973</v>
      </c>
      <c r="F445" s="59" t="s">
        <v>1930</v>
      </c>
      <c r="G445" t="s">
        <v>1933</v>
      </c>
      <c r="H445" t="s">
        <v>1910</v>
      </c>
      <c r="I445"/>
      <c r="J445" t="s">
        <v>773</v>
      </c>
      <c r="K445"/>
      <c r="L445">
        <v>100</v>
      </c>
      <c r="M445">
        <v>7.5</v>
      </c>
      <c r="N445"/>
      <c r="O445"/>
      <c r="P445" s="31">
        <v>2</v>
      </c>
      <c r="Q445" s="232">
        <f t="shared" si="168"/>
        <v>0.25</v>
      </c>
      <c r="R445" s="40">
        <v>0.85</v>
      </c>
      <c r="S445" s="334">
        <f t="shared" si="169"/>
        <v>0.21249999999999999</v>
      </c>
      <c r="T445" s="31">
        <f>VLOOKUP(A445,'Ansvar kurs'!$A$1:$C$1010,2,FALSE)</f>
        <v>5730</v>
      </c>
      <c r="U445" s="31" t="str">
        <f>VLOOKUP(T445,Orgenheter!$A$1:$C$165,2,FALSE)</f>
        <v>Inst för MA och MA statistik</v>
      </c>
      <c r="V445" s="31" t="str">
        <f>VLOOKUP(T445,Orgenheter!$A$1:$C$165,3,FALSE)</f>
        <v>TekNat</v>
      </c>
      <c r="W445" s="37" t="str">
        <f>VLOOKUP(D445,Program!$A$1:$B$34,2,FALSE)</f>
        <v>Ämneslärarprogrammet - Gy</v>
      </c>
      <c r="X445" s="42">
        <f>VLOOKUP(A445,kurspris!$A$1:$Q$798,15,FALSE)</f>
        <v>19473</v>
      </c>
      <c r="Y445" s="42">
        <f>VLOOKUP(A445,kurspris!$A$1:$Q$798,16,FALSE)</f>
        <v>34806</v>
      </c>
      <c r="Z445" s="42">
        <f t="shared" si="170"/>
        <v>12264.525</v>
      </c>
      <c r="AA445" s="42">
        <f>VLOOKUP(A445,kurspris!$A$1:$Q$798,17,FALSE)</f>
        <v>21800</v>
      </c>
      <c r="AB445" s="42">
        <f t="shared" si="171"/>
        <v>5450</v>
      </c>
      <c r="AC445" s="42">
        <f t="shared" si="172"/>
        <v>17714.525000000001</v>
      </c>
      <c r="AD445" s="31">
        <f>VLOOKUP($A445,kurspris!$A$1:$Q$835,3,FALSE)</f>
        <v>0</v>
      </c>
      <c r="AE445" s="31">
        <f>VLOOKUP($A445,kurspris!$A$1:$Q$835,4,FALSE)</f>
        <v>0</v>
      </c>
      <c r="AF445" s="31">
        <f>VLOOKUP($A445,kurspris!$A$1:$Q$835,5,FALSE)</f>
        <v>0</v>
      </c>
      <c r="AG445" s="31">
        <f>VLOOKUP($A445,kurspris!$A$1:$Q$835,6,FALSE)</f>
        <v>0</v>
      </c>
      <c r="AH445" s="31">
        <f>VLOOKUP($A445,kurspris!$A$1:$Q$835,7,FALSE)</f>
        <v>0</v>
      </c>
      <c r="AI445" s="31">
        <f>VLOOKUP($A445,kurspris!$A$1:$Q$835,8,FALSE)</f>
        <v>0.5</v>
      </c>
      <c r="AJ445" s="31">
        <f>VLOOKUP($A445,kurspris!$A$1:$Q$835,9,FALSE)</f>
        <v>0</v>
      </c>
      <c r="AK445" s="31">
        <f>VLOOKUP($A445,kurspris!$A$1:$Q$835,10,FALSE)</f>
        <v>0.5</v>
      </c>
      <c r="AL445" s="31">
        <f>VLOOKUP($A445,kurspris!$A$1:$Q$835,11,FALSE)</f>
        <v>0</v>
      </c>
      <c r="AM445" s="31">
        <f>VLOOKUP($A445,kurspris!$A$1:$Q$835,12,FALSE)</f>
        <v>0</v>
      </c>
      <c r="AN445" s="31">
        <f>VLOOKUP($A445,kurspris!$A$1:$Q$835,13,FALSE)</f>
        <v>0</v>
      </c>
      <c r="AO445" s="31">
        <f>VLOOKUP($A445,kurspris!$A$1:$Q$835,14,FALSE)</f>
        <v>0</v>
      </c>
      <c r="AP445" s="39" t="s">
        <v>2235</v>
      </c>
      <c r="AQ445"/>
      <c r="AR445" s="31">
        <f t="shared" si="173"/>
        <v>0</v>
      </c>
      <c r="AS445" s="255">
        <f t="shared" si="174"/>
        <v>0</v>
      </c>
      <c r="AT445" s="31">
        <f t="shared" si="175"/>
        <v>0</v>
      </c>
      <c r="AU445" s="255">
        <f t="shared" si="176"/>
        <v>0</v>
      </c>
      <c r="AV445" s="31">
        <f t="shared" si="177"/>
        <v>0</v>
      </c>
      <c r="AW445" s="31">
        <f t="shared" si="178"/>
        <v>0</v>
      </c>
      <c r="AX445" s="31">
        <f t="shared" si="179"/>
        <v>0</v>
      </c>
      <c r="AY445" s="255">
        <f t="shared" si="180"/>
        <v>0</v>
      </c>
      <c r="AZ445" s="232">
        <f t="shared" si="181"/>
        <v>0</v>
      </c>
      <c r="BA445" s="255">
        <f t="shared" si="182"/>
        <v>0</v>
      </c>
      <c r="BB445" s="31">
        <f t="shared" si="183"/>
        <v>0.125</v>
      </c>
      <c r="BC445" s="255">
        <f t="shared" si="184"/>
        <v>0.10625</v>
      </c>
      <c r="BD445" s="31">
        <f t="shared" si="185"/>
        <v>0</v>
      </c>
      <c r="BE445" s="255">
        <f t="shared" si="186"/>
        <v>0</v>
      </c>
      <c r="BF445" s="31">
        <f t="shared" si="187"/>
        <v>0.125</v>
      </c>
      <c r="BG445" s="255">
        <f t="shared" si="188"/>
        <v>0.10625</v>
      </c>
      <c r="BH445" s="31">
        <f t="shared" si="189"/>
        <v>0</v>
      </c>
      <c r="BI445" s="255">
        <f t="shared" si="190"/>
        <v>0</v>
      </c>
      <c r="BJ445" s="31">
        <f t="shared" si="191"/>
        <v>0</v>
      </c>
      <c r="BK445" s="31">
        <f t="shared" si="192"/>
        <v>0</v>
      </c>
      <c r="BL445" s="255">
        <f t="shared" si="193"/>
        <v>0</v>
      </c>
      <c r="BM445" s="31">
        <f t="shared" si="194"/>
        <v>0</v>
      </c>
      <c r="BN445" s="255">
        <f t="shared" si="195"/>
        <v>0</v>
      </c>
    </row>
    <row r="446" spans="1:66" x14ac:dyDescent="0.25">
      <c r="A446" t="s">
        <v>1862</v>
      </c>
      <c r="B446" s="186" t="str">
        <f>VLOOKUP(A446,kurspris!$A$1:$B$877,2,FALSE)</f>
        <v>Envariabelanalys 1</v>
      </c>
      <c r="C446"/>
      <c r="D446" t="s">
        <v>483</v>
      </c>
      <c r="E446" t="s">
        <v>1788</v>
      </c>
      <c r="F446" s="59" t="s">
        <v>1930</v>
      </c>
      <c r="G446" t="s">
        <v>1933</v>
      </c>
      <c r="H446" t="s">
        <v>1910</v>
      </c>
      <c r="I446"/>
      <c r="J446" t="s">
        <v>774</v>
      </c>
      <c r="K446"/>
      <c r="L446">
        <v>100</v>
      </c>
      <c r="M446">
        <v>7.5</v>
      </c>
      <c r="N446"/>
      <c r="O446"/>
      <c r="P446" s="31">
        <v>6</v>
      </c>
      <c r="Q446" s="232">
        <f t="shared" si="168"/>
        <v>0.75</v>
      </c>
      <c r="R446" s="40">
        <v>0.85</v>
      </c>
      <c r="S446" s="334">
        <f t="shared" si="169"/>
        <v>0.63749999999999996</v>
      </c>
      <c r="T446" s="31">
        <f>VLOOKUP(A446,'Ansvar kurs'!$A$1:$C$1010,2,FALSE)</f>
        <v>5730</v>
      </c>
      <c r="U446" s="31" t="str">
        <f>VLOOKUP(T446,Orgenheter!$A$1:$C$165,2,FALSE)</f>
        <v>Inst för MA och MA statistik</v>
      </c>
      <c r="V446" s="31" t="str">
        <f>VLOOKUP(T446,Orgenheter!$A$1:$C$165,3,FALSE)</f>
        <v>TekNat</v>
      </c>
      <c r="W446" s="37" t="str">
        <f>VLOOKUP(D446,Program!$A$1:$B$34,2,FALSE)</f>
        <v>Ämneslärarprogrammet - Gy</v>
      </c>
      <c r="X446" s="42">
        <f>VLOOKUP(A446,kurspris!$A$1:$Q$798,15,FALSE)</f>
        <v>19473</v>
      </c>
      <c r="Y446" s="42">
        <f>VLOOKUP(A446,kurspris!$A$1:$Q$798,16,FALSE)</f>
        <v>34806</v>
      </c>
      <c r="Z446" s="42">
        <f t="shared" si="170"/>
        <v>36793.574999999997</v>
      </c>
      <c r="AA446" s="42">
        <f>VLOOKUP(A446,kurspris!$A$1:$Q$798,17,FALSE)</f>
        <v>21800</v>
      </c>
      <c r="AB446" s="42">
        <f t="shared" si="171"/>
        <v>16350</v>
      </c>
      <c r="AC446" s="42">
        <f t="shared" si="172"/>
        <v>53143.574999999997</v>
      </c>
      <c r="AD446" s="31">
        <f>VLOOKUP($A446,kurspris!$A$1:$Q$835,3,FALSE)</f>
        <v>0</v>
      </c>
      <c r="AE446" s="31">
        <f>VLOOKUP($A446,kurspris!$A$1:$Q$835,4,FALSE)</f>
        <v>0</v>
      </c>
      <c r="AF446" s="31">
        <f>VLOOKUP($A446,kurspris!$A$1:$Q$835,5,FALSE)</f>
        <v>0</v>
      </c>
      <c r="AG446" s="31">
        <f>VLOOKUP($A446,kurspris!$A$1:$Q$835,6,FALSE)</f>
        <v>0</v>
      </c>
      <c r="AH446" s="31">
        <f>VLOOKUP($A446,kurspris!$A$1:$Q$835,7,FALSE)</f>
        <v>0</v>
      </c>
      <c r="AI446" s="31">
        <f>VLOOKUP($A446,kurspris!$A$1:$Q$835,8,FALSE)</f>
        <v>0.5</v>
      </c>
      <c r="AJ446" s="31">
        <f>VLOOKUP($A446,kurspris!$A$1:$Q$835,9,FALSE)</f>
        <v>0</v>
      </c>
      <c r="AK446" s="31">
        <f>VLOOKUP($A446,kurspris!$A$1:$Q$835,10,FALSE)</f>
        <v>0.5</v>
      </c>
      <c r="AL446" s="31">
        <f>VLOOKUP($A446,kurspris!$A$1:$Q$835,11,FALSE)</f>
        <v>0</v>
      </c>
      <c r="AM446" s="31">
        <f>VLOOKUP($A446,kurspris!$A$1:$Q$835,12,FALSE)</f>
        <v>0</v>
      </c>
      <c r="AN446" s="31">
        <f>VLOOKUP($A446,kurspris!$A$1:$Q$835,13,FALSE)</f>
        <v>0</v>
      </c>
      <c r="AO446" s="31">
        <f>VLOOKUP($A446,kurspris!$A$1:$Q$835,14,FALSE)</f>
        <v>0</v>
      </c>
      <c r="AP446" s="39" t="s">
        <v>2235</v>
      </c>
      <c r="AQ446"/>
      <c r="AR446" s="31">
        <f t="shared" si="173"/>
        <v>0</v>
      </c>
      <c r="AS446" s="255">
        <f t="shared" si="174"/>
        <v>0</v>
      </c>
      <c r="AT446" s="31">
        <f t="shared" si="175"/>
        <v>0</v>
      </c>
      <c r="AU446" s="255">
        <f t="shared" si="176"/>
        <v>0</v>
      </c>
      <c r="AV446" s="31">
        <f t="shared" si="177"/>
        <v>0</v>
      </c>
      <c r="AW446" s="31">
        <f t="shared" si="178"/>
        <v>0</v>
      </c>
      <c r="AX446" s="31">
        <f t="shared" si="179"/>
        <v>0</v>
      </c>
      <c r="AY446" s="255">
        <f t="shared" si="180"/>
        <v>0</v>
      </c>
      <c r="AZ446" s="232">
        <f t="shared" si="181"/>
        <v>0</v>
      </c>
      <c r="BA446" s="255">
        <f t="shared" si="182"/>
        <v>0</v>
      </c>
      <c r="BB446" s="31">
        <f t="shared" si="183"/>
        <v>0.375</v>
      </c>
      <c r="BC446" s="255">
        <f t="shared" si="184"/>
        <v>0.31874999999999998</v>
      </c>
      <c r="BD446" s="31">
        <f t="shared" si="185"/>
        <v>0</v>
      </c>
      <c r="BE446" s="255">
        <f t="shared" si="186"/>
        <v>0</v>
      </c>
      <c r="BF446" s="31">
        <f t="shared" si="187"/>
        <v>0.375</v>
      </c>
      <c r="BG446" s="255">
        <f t="shared" si="188"/>
        <v>0.31874999999999998</v>
      </c>
      <c r="BH446" s="31">
        <f t="shared" si="189"/>
        <v>0</v>
      </c>
      <c r="BI446" s="255">
        <f t="shared" si="190"/>
        <v>0</v>
      </c>
      <c r="BJ446" s="31">
        <f t="shared" si="191"/>
        <v>0</v>
      </c>
      <c r="BK446" s="31">
        <f t="shared" si="192"/>
        <v>0</v>
      </c>
      <c r="BL446" s="255">
        <f t="shared" si="193"/>
        <v>0</v>
      </c>
      <c r="BM446" s="31">
        <f t="shared" si="194"/>
        <v>0</v>
      </c>
      <c r="BN446" s="255">
        <f t="shared" si="195"/>
        <v>0</v>
      </c>
    </row>
    <row r="447" spans="1:66" x14ac:dyDescent="0.25">
      <c r="A447" s="18" t="s">
        <v>1863</v>
      </c>
      <c r="B447" s="186" t="str">
        <f>VLOOKUP(A447,kurspris!$A$1:$B$877,2,FALSE)</f>
        <v>Matematiska metoder</v>
      </c>
      <c r="C447" s="37"/>
      <c r="D447" t="s">
        <v>117</v>
      </c>
      <c r="E447"/>
      <c r="F447" s="59" t="s">
        <v>1930</v>
      </c>
      <c r="G447"/>
      <c r="H447"/>
      <c r="I447" t="s">
        <v>1634</v>
      </c>
      <c r="L447">
        <v>100</v>
      </c>
      <c r="M447">
        <v>7.5</v>
      </c>
      <c r="P447" s="31">
        <v>6</v>
      </c>
      <c r="Q447" s="232">
        <f t="shared" si="168"/>
        <v>0.75</v>
      </c>
      <c r="R447" s="40">
        <v>0.8</v>
      </c>
      <c r="S447" s="334">
        <f t="shared" si="169"/>
        <v>0.60000000000000009</v>
      </c>
      <c r="T447" s="31">
        <f>VLOOKUP(A447,'Ansvar kurs'!$A$1:$C$1010,2,FALSE)</f>
        <v>5730</v>
      </c>
      <c r="U447" s="31" t="str">
        <f>VLOOKUP(T447,Orgenheter!$A$1:$C$165,2,FALSE)</f>
        <v>Inst för MA och MA statistik</v>
      </c>
      <c r="V447" s="31" t="str">
        <f>VLOOKUP(T447,Orgenheter!$A$1:$C$165,3,FALSE)</f>
        <v>TekNat</v>
      </c>
      <c r="W447" s="37" t="str">
        <f>VLOOKUP(D447,Program!$A$1:$B$34,2,FALSE)</f>
        <v>Fristående och övriga kurser</v>
      </c>
      <c r="X447" s="42">
        <f>VLOOKUP(A447,kurspris!$A$1:$Q$798,15,FALSE)</f>
        <v>19473</v>
      </c>
      <c r="Y447" s="42">
        <f>VLOOKUP(A447,kurspris!$A$1:$Q$798,16,FALSE)</f>
        <v>34806</v>
      </c>
      <c r="Z447" s="42">
        <f t="shared" si="170"/>
        <v>35488.350000000006</v>
      </c>
      <c r="AA447" s="42">
        <f>VLOOKUP(A447,kurspris!$A$1:$Q$798,17,FALSE)</f>
        <v>21800</v>
      </c>
      <c r="AB447" s="42">
        <f t="shared" si="171"/>
        <v>16350</v>
      </c>
      <c r="AC447" s="42">
        <f t="shared" si="172"/>
        <v>51838.350000000006</v>
      </c>
      <c r="AD447" s="31">
        <f>VLOOKUP($A447,kurspris!$A$1:$Q$835,3,FALSE)</f>
        <v>0</v>
      </c>
      <c r="AE447" s="31">
        <f>VLOOKUP($A447,kurspris!$A$1:$Q$835,4,FALSE)</f>
        <v>0</v>
      </c>
      <c r="AF447" s="31">
        <f>VLOOKUP($A447,kurspris!$A$1:$Q$835,5,FALSE)</f>
        <v>0</v>
      </c>
      <c r="AG447" s="31">
        <f>VLOOKUP($A447,kurspris!$A$1:$Q$835,6,FALSE)</f>
        <v>0</v>
      </c>
      <c r="AH447" s="31">
        <f>VLOOKUP($A447,kurspris!$A$1:$Q$835,7,FALSE)</f>
        <v>0</v>
      </c>
      <c r="AI447" s="31">
        <f>VLOOKUP($A447,kurspris!$A$1:$Q$835,8,FALSE)</f>
        <v>1</v>
      </c>
      <c r="AJ447" s="31">
        <f>VLOOKUP($A447,kurspris!$A$1:$Q$835,9,FALSE)</f>
        <v>0</v>
      </c>
      <c r="AK447" s="31">
        <f>VLOOKUP($A447,kurspris!$A$1:$Q$835,10,FALSE)</f>
        <v>0</v>
      </c>
      <c r="AL447" s="31">
        <f>VLOOKUP($A447,kurspris!$A$1:$Q$835,11,FALSE)</f>
        <v>0</v>
      </c>
      <c r="AM447" s="31">
        <f>VLOOKUP($A447,kurspris!$A$1:$Q$835,12,FALSE)</f>
        <v>0</v>
      </c>
      <c r="AN447" s="31">
        <f>VLOOKUP($A447,kurspris!$A$1:$Q$835,13,FALSE)</f>
        <v>0</v>
      </c>
      <c r="AO447" s="31">
        <f>VLOOKUP($A447,kurspris!$A$1:$Q$835,14,FALSE)</f>
        <v>0</v>
      </c>
      <c r="AP447" s="39" t="s">
        <v>2095</v>
      </c>
      <c r="AQ447"/>
      <c r="AR447" s="31">
        <f t="shared" si="173"/>
        <v>0</v>
      </c>
      <c r="AS447" s="255">
        <f t="shared" si="174"/>
        <v>0</v>
      </c>
      <c r="AT447" s="31">
        <f t="shared" si="175"/>
        <v>0</v>
      </c>
      <c r="AU447" s="255">
        <f t="shared" si="176"/>
        <v>0</v>
      </c>
      <c r="AV447" s="31">
        <f t="shared" si="177"/>
        <v>0</v>
      </c>
      <c r="AW447" s="31">
        <f t="shared" si="178"/>
        <v>0</v>
      </c>
      <c r="AX447" s="31">
        <f t="shared" si="179"/>
        <v>0</v>
      </c>
      <c r="AY447" s="255">
        <f t="shared" si="180"/>
        <v>0</v>
      </c>
      <c r="AZ447" s="232">
        <f t="shared" si="181"/>
        <v>0</v>
      </c>
      <c r="BA447" s="255">
        <f t="shared" si="182"/>
        <v>0</v>
      </c>
      <c r="BB447" s="31">
        <f t="shared" si="183"/>
        <v>0.75</v>
      </c>
      <c r="BC447" s="255">
        <f t="shared" si="184"/>
        <v>0.60000000000000009</v>
      </c>
      <c r="BD447" s="31">
        <f t="shared" si="185"/>
        <v>0</v>
      </c>
      <c r="BE447" s="255">
        <f t="shared" si="186"/>
        <v>0</v>
      </c>
      <c r="BF447" s="31">
        <f t="shared" si="187"/>
        <v>0</v>
      </c>
      <c r="BG447" s="255">
        <f t="shared" si="188"/>
        <v>0</v>
      </c>
      <c r="BH447" s="31">
        <f t="shared" si="189"/>
        <v>0</v>
      </c>
      <c r="BI447" s="255">
        <f t="shared" si="190"/>
        <v>0</v>
      </c>
      <c r="BJ447" s="31">
        <f t="shared" si="191"/>
        <v>0</v>
      </c>
      <c r="BK447" s="31">
        <f t="shared" si="192"/>
        <v>0</v>
      </c>
      <c r="BL447" s="255">
        <f t="shared" si="193"/>
        <v>0</v>
      </c>
      <c r="BM447" s="31">
        <f t="shared" si="194"/>
        <v>0</v>
      </c>
      <c r="BN447" s="255">
        <f t="shared" si="195"/>
        <v>0</v>
      </c>
    </row>
    <row r="448" spans="1:66" x14ac:dyDescent="0.25">
      <c r="A448" t="s">
        <v>1863</v>
      </c>
      <c r="B448" s="186" t="str">
        <f>VLOOKUP(A448,kurspris!$A$1:$B$877,2,FALSE)</f>
        <v>Matematiska metoder</v>
      </c>
      <c r="C448"/>
      <c r="D448" t="s">
        <v>483</v>
      </c>
      <c r="E448" t="s">
        <v>1973</v>
      </c>
      <c r="F448" s="59" t="s">
        <v>1930</v>
      </c>
      <c r="G448" t="s">
        <v>1989</v>
      </c>
      <c r="H448" t="s">
        <v>1910</v>
      </c>
      <c r="I448"/>
      <c r="J448" t="s">
        <v>773</v>
      </c>
      <c r="K448"/>
      <c r="L448">
        <v>100</v>
      </c>
      <c r="M448">
        <v>7.5</v>
      </c>
      <c r="N448"/>
      <c r="O448"/>
      <c r="P448" s="31">
        <v>2</v>
      </c>
      <c r="Q448" s="232">
        <f t="shared" si="168"/>
        <v>0.25</v>
      </c>
      <c r="R448" s="40">
        <v>0.85</v>
      </c>
      <c r="S448" s="334">
        <f t="shared" si="169"/>
        <v>0.21249999999999999</v>
      </c>
      <c r="T448" s="31">
        <f>VLOOKUP(A448,'Ansvar kurs'!$A$1:$C$1010,2,FALSE)</f>
        <v>5730</v>
      </c>
      <c r="U448" s="31" t="str">
        <f>VLOOKUP(T448,Orgenheter!$A$1:$C$165,2,FALSE)</f>
        <v>Inst för MA och MA statistik</v>
      </c>
      <c r="V448" s="31" t="str">
        <f>VLOOKUP(T448,Orgenheter!$A$1:$C$165,3,FALSE)</f>
        <v>TekNat</v>
      </c>
      <c r="W448" s="37" t="str">
        <f>VLOOKUP(D448,Program!$A$1:$B$34,2,FALSE)</f>
        <v>Ämneslärarprogrammet - Gy</v>
      </c>
      <c r="X448" s="42">
        <f>VLOOKUP(A448,kurspris!$A$1:$Q$798,15,FALSE)</f>
        <v>19473</v>
      </c>
      <c r="Y448" s="42">
        <f>VLOOKUP(A448,kurspris!$A$1:$Q$798,16,FALSE)</f>
        <v>34806</v>
      </c>
      <c r="Z448" s="42">
        <f t="shared" si="170"/>
        <v>12264.525</v>
      </c>
      <c r="AA448" s="42">
        <f>VLOOKUP(A448,kurspris!$A$1:$Q$798,17,FALSE)</f>
        <v>21800</v>
      </c>
      <c r="AB448" s="42">
        <f t="shared" si="171"/>
        <v>5450</v>
      </c>
      <c r="AC448" s="42">
        <f t="shared" si="172"/>
        <v>17714.525000000001</v>
      </c>
      <c r="AD448" s="31">
        <f>VLOOKUP($A448,kurspris!$A$1:$Q$835,3,FALSE)</f>
        <v>0</v>
      </c>
      <c r="AE448" s="31">
        <f>VLOOKUP($A448,kurspris!$A$1:$Q$835,4,FALSE)</f>
        <v>0</v>
      </c>
      <c r="AF448" s="31">
        <f>VLOOKUP($A448,kurspris!$A$1:$Q$835,5,FALSE)</f>
        <v>0</v>
      </c>
      <c r="AG448" s="31">
        <f>VLOOKUP($A448,kurspris!$A$1:$Q$835,6,FALSE)</f>
        <v>0</v>
      </c>
      <c r="AH448" s="31">
        <f>VLOOKUP($A448,kurspris!$A$1:$Q$835,7,FALSE)</f>
        <v>0</v>
      </c>
      <c r="AI448" s="31">
        <f>VLOOKUP($A448,kurspris!$A$1:$Q$835,8,FALSE)</f>
        <v>1</v>
      </c>
      <c r="AJ448" s="31">
        <f>VLOOKUP($A448,kurspris!$A$1:$Q$835,9,FALSE)</f>
        <v>0</v>
      </c>
      <c r="AK448" s="31">
        <f>VLOOKUP($A448,kurspris!$A$1:$Q$835,10,FALSE)</f>
        <v>0</v>
      </c>
      <c r="AL448" s="31">
        <f>VLOOKUP($A448,kurspris!$A$1:$Q$835,11,FALSE)</f>
        <v>0</v>
      </c>
      <c r="AM448" s="31">
        <f>VLOOKUP($A448,kurspris!$A$1:$Q$835,12,FALSE)</f>
        <v>0</v>
      </c>
      <c r="AN448" s="31">
        <f>VLOOKUP($A448,kurspris!$A$1:$Q$835,13,FALSE)</f>
        <v>0</v>
      </c>
      <c r="AO448" s="31">
        <f>VLOOKUP($A448,kurspris!$A$1:$Q$835,14,FALSE)</f>
        <v>0</v>
      </c>
      <c r="AP448" s="39" t="s">
        <v>2204</v>
      </c>
      <c r="AQ448"/>
      <c r="AR448" s="31">
        <f t="shared" si="173"/>
        <v>0</v>
      </c>
      <c r="AS448" s="255">
        <f t="shared" si="174"/>
        <v>0</v>
      </c>
      <c r="AT448" s="31">
        <f t="shared" si="175"/>
        <v>0</v>
      </c>
      <c r="AU448" s="255">
        <f t="shared" si="176"/>
        <v>0</v>
      </c>
      <c r="AV448" s="31">
        <f t="shared" si="177"/>
        <v>0</v>
      </c>
      <c r="AW448" s="31">
        <f t="shared" si="178"/>
        <v>0</v>
      </c>
      <c r="AX448" s="31">
        <f t="shared" si="179"/>
        <v>0</v>
      </c>
      <c r="AY448" s="255">
        <f t="shared" si="180"/>
        <v>0</v>
      </c>
      <c r="AZ448" s="232">
        <f t="shared" si="181"/>
        <v>0</v>
      </c>
      <c r="BA448" s="255">
        <f t="shared" si="182"/>
        <v>0</v>
      </c>
      <c r="BB448" s="31">
        <f t="shared" si="183"/>
        <v>0.25</v>
      </c>
      <c r="BC448" s="255">
        <f t="shared" si="184"/>
        <v>0.21249999999999999</v>
      </c>
      <c r="BD448" s="31">
        <f t="shared" si="185"/>
        <v>0</v>
      </c>
      <c r="BE448" s="255">
        <f t="shared" si="186"/>
        <v>0</v>
      </c>
      <c r="BF448" s="31">
        <f t="shared" si="187"/>
        <v>0</v>
      </c>
      <c r="BG448" s="255">
        <f t="shared" si="188"/>
        <v>0</v>
      </c>
      <c r="BH448" s="31">
        <f t="shared" si="189"/>
        <v>0</v>
      </c>
      <c r="BI448" s="255">
        <f t="shared" si="190"/>
        <v>0</v>
      </c>
      <c r="BJ448" s="31">
        <f t="shared" si="191"/>
        <v>0</v>
      </c>
      <c r="BK448" s="31">
        <f t="shared" si="192"/>
        <v>0</v>
      </c>
      <c r="BL448" s="255">
        <f t="shared" si="193"/>
        <v>0</v>
      </c>
      <c r="BM448" s="31">
        <f t="shared" si="194"/>
        <v>0</v>
      </c>
      <c r="BN448" s="255">
        <f t="shared" si="195"/>
        <v>0</v>
      </c>
    </row>
    <row r="449" spans="1:66" x14ac:dyDescent="0.25">
      <c r="A449" t="s">
        <v>1863</v>
      </c>
      <c r="B449" s="186" t="str">
        <f>VLOOKUP(A449,kurspris!$A$1:$B$877,2,FALSE)</f>
        <v>Matematiska metoder</v>
      </c>
      <c r="C449"/>
      <c r="D449" t="s">
        <v>483</v>
      </c>
      <c r="E449" t="s">
        <v>1788</v>
      </c>
      <c r="F449" s="59" t="s">
        <v>1930</v>
      </c>
      <c r="G449" t="s">
        <v>1989</v>
      </c>
      <c r="H449" t="s">
        <v>1910</v>
      </c>
      <c r="I449"/>
      <c r="J449" t="s">
        <v>774</v>
      </c>
      <c r="K449"/>
      <c r="L449">
        <v>100</v>
      </c>
      <c r="M449">
        <v>7.5</v>
      </c>
      <c r="N449"/>
      <c r="O449"/>
      <c r="P449" s="31">
        <v>8</v>
      </c>
      <c r="Q449" s="232">
        <f t="shared" ref="Q449:Q515" si="196">(M449/60)*P449</f>
        <v>1</v>
      </c>
      <c r="R449" s="40">
        <v>0.85</v>
      </c>
      <c r="S449" s="334">
        <f t="shared" ref="S449:S515" si="197">Q449*R449</f>
        <v>0.85</v>
      </c>
      <c r="T449" s="31">
        <f>VLOOKUP(A449,'Ansvar kurs'!$A$1:$C$1010,2,FALSE)</f>
        <v>5730</v>
      </c>
      <c r="U449" s="31" t="str">
        <f>VLOOKUP(T449,Orgenheter!$A$1:$C$165,2,FALSE)</f>
        <v>Inst för MA och MA statistik</v>
      </c>
      <c r="V449" s="31" t="str">
        <f>VLOOKUP(T449,Orgenheter!$A$1:$C$165,3,FALSE)</f>
        <v>TekNat</v>
      </c>
      <c r="W449" s="37" t="str">
        <f>VLOOKUP(D449,Program!$A$1:$B$34,2,FALSE)</f>
        <v>Ämneslärarprogrammet - Gy</v>
      </c>
      <c r="X449" s="42">
        <f>VLOOKUP(A449,kurspris!$A$1:$Q$798,15,FALSE)</f>
        <v>19473</v>
      </c>
      <c r="Y449" s="42">
        <f>VLOOKUP(A449,kurspris!$A$1:$Q$798,16,FALSE)</f>
        <v>34806</v>
      </c>
      <c r="Z449" s="42">
        <f t="shared" ref="Z449:Z515" si="198">X449*Q449+S449*Y449</f>
        <v>49058.1</v>
      </c>
      <c r="AA449" s="42">
        <f>VLOOKUP(A449,kurspris!$A$1:$Q$798,17,FALSE)</f>
        <v>21800</v>
      </c>
      <c r="AB449" s="42">
        <f t="shared" ref="AB449:AB515" si="199">AA449*Q449</f>
        <v>21800</v>
      </c>
      <c r="AC449" s="42">
        <f t="shared" ref="AC449:AC515" si="200">Z449+AB449</f>
        <v>70858.100000000006</v>
      </c>
      <c r="AD449" s="31">
        <f>VLOOKUP($A449,kurspris!$A$1:$Q$835,3,FALSE)</f>
        <v>0</v>
      </c>
      <c r="AE449" s="31">
        <f>VLOOKUP($A449,kurspris!$A$1:$Q$835,4,FALSE)</f>
        <v>0</v>
      </c>
      <c r="AF449" s="31">
        <f>VLOOKUP($A449,kurspris!$A$1:$Q$835,5,FALSE)</f>
        <v>0</v>
      </c>
      <c r="AG449" s="31">
        <f>VLOOKUP($A449,kurspris!$A$1:$Q$835,6,FALSE)</f>
        <v>0</v>
      </c>
      <c r="AH449" s="31">
        <f>VLOOKUP($A449,kurspris!$A$1:$Q$835,7,FALSE)</f>
        <v>0</v>
      </c>
      <c r="AI449" s="31">
        <f>VLOOKUP($A449,kurspris!$A$1:$Q$835,8,FALSE)</f>
        <v>1</v>
      </c>
      <c r="AJ449" s="31">
        <f>VLOOKUP($A449,kurspris!$A$1:$Q$835,9,FALSE)</f>
        <v>0</v>
      </c>
      <c r="AK449" s="31">
        <f>VLOOKUP($A449,kurspris!$A$1:$Q$835,10,FALSE)</f>
        <v>0</v>
      </c>
      <c r="AL449" s="31">
        <f>VLOOKUP($A449,kurspris!$A$1:$Q$835,11,FALSE)</f>
        <v>0</v>
      </c>
      <c r="AM449" s="31">
        <f>VLOOKUP($A449,kurspris!$A$1:$Q$835,12,FALSE)</f>
        <v>0</v>
      </c>
      <c r="AN449" s="31">
        <f>VLOOKUP($A449,kurspris!$A$1:$Q$835,13,FALSE)</f>
        <v>0</v>
      </c>
      <c r="AO449" s="31">
        <f>VLOOKUP($A449,kurspris!$A$1:$Q$835,14,FALSE)</f>
        <v>0</v>
      </c>
      <c r="AP449" s="39" t="s">
        <v>2204</v>
      </c>
      <c r="AQ449"/>
      <c r="AR449" s="31">
        <f t="shared" ref="AR449:AR515" si="201">$Q449*AD449</f>
        <v>0</v>
      </c>
      <c r="AS449" s="255">
        <f t="shared" ref="AS449:AS515" si="202">$S449*AD449</f>
        <v>0</v>
      </c>
      <c r="AT449" s="31">
        <f t="shared" ref="AT449:AT515" si="203">$Q449*AE449</f>
        <v>0</v>
      </c>
      <c r="AU449" s="255">
        <f t="shared" ref="AU449:AU515" si="204">$S449*AE449</f>
        <v>0</v>
      </c>
      <c r="AV449" s="31">
        <f t="shared" ref="AV449:AV515" si="205">$Q449*AF449</f>
        <v>0</v>
      </c>
      <c r="AW449" s="31">
        <f t="shared" ref="AW449:AW515" si="206">$S449*AF449</f>
        <v>0</v>
      </c>
      <c r="AX449" s="31">
        <f t="shared" ref="AX449:AX515" si="207">$Q449*AG449</f>
        <v>0</v>
      </c>
      <c r="AY449" s="255">
        <f t="shared" ref="AY449:AY515" si="208">$S449*AG449</f>
        <v>0</v>
      </c>
      <c r="AZ449" s="232">
        <f t="shared" ref="AZ449:AZ515" si="209">$Q449*AH449</f>
        <v>0</v>
      </c>
      <c r="BA449" s="255">
        <f t="shared" ref="BA449:BA515" si="210">$S449*AH449</f>
        <v>0</v>
      </c>
      <c r="BB449" s="31">
        <f t="shared" ref="BB449:BB515" si="211">$Q449*AI449</f>
        <v>1</v>
      </c>
      <c r="BC449" s="255">
        <f t="shared" ref="BC449:BC515" si="212">$S449*AI449</f>
        <v>0.85</v>
      </c>
      <c r="BD449" s="31">
        <f t="shared" ref="BD449:BD515" si="213">$Q449*AJ449</f>
        <v>0</v>
      </c>
      <c r="BE449" s="255">
        <f t="shared" ref="BE449:BE515" si="214">$S449*AJ449</f>
        <v>0</v>
      </c>
      <c r="BF449" s="31">
        <f t="shared" ref="BF449:BF515" si="215">$Q449*AK449</f>
        <v>0</v>
      </c>
      <c r="BG449" s="255">
        <f t="shared" ref="BG449:BG515" si="216">$S449*AK449</f>
        <v>0</v>
      </c>
      <c r="BH449" s="31">
        <f t="shared" ref="BH449:BH515" si="217">$Q449*AL449</f>
        <v>0</v>
      </c>
      <c r="BI449" s="255">
        <f t="shared" ref="BI449:BI515" si="218">$S449*AL449</f>
        <v>0</v>
      </c>
      <c r="BJ449" s="31">
        <f t="shared" ref="BJ449:BJ515" si="219">$Q449*AM449</f>
        <v>0</v>
      </c>
      <c r="BK449" s="31">
        <f t="shared" ref="BK449:BK515" si="220">$Q449*AN449</f>
        <v>0</v>
      </c>
      <c r="BL449" s="255">
        <f t="shared" ref="BL449:BL515" si="221">$S449*AN449</f>
        <v>0</v>
      </c>
      <c r="BM449" s="31">
        <f t="shared" ref="BM449:BM515" si="222">$Q449*AO449</f>
        <v>0</v>
      </c>
      <c r="BN449" s="255">
        <f t="shared" ref="BN449:BN515" si="223">$S449*AO449</f>
        <v>0</v>
      </c>
    </row>
    <row r="450" spans="1:66" x14ac:dyDescent="0.25">
      <c r="A450" s="18" t="s">
        <v>2007</v>
      </c>
      <c r="B450" s="186" t="str">
        <f>VLOOKUP(A450,kurspris!$A$1:$B$877,2,FALSE)</f>
        <v>Diskret matematik</v>
      </c>
      <c r="C450" s="37"/>
      <c r="D450" t="s">
        <v>117</v>
      </c>
      <c r="E450"/>
      <c r="F450" s="59" t="s">
        <v>1930</v>
      </c>
      <c r="G450"/>
      <c r="H450"/>
      <c r="I450" t="s">
        <v>1634</v>
      </c>
      <c r="L450">
        <v>100</v>
      </c>
      <c r="M450">
        <v>7.5</v>
      </c>
      <c r="P450" s="31">
        <v>9</v>
      </c>
      <c r="Q450" s="232">
        <f t="shared" si="196"/>
        <v>1.125</v>
      </c>
      <c r="R450" s="40">
        <v>0.8</v>
      </c>
      <c r="S450" s="334">
        <f t="shared" si="197"/>
        <v>0.9</v>
      </c>
      <c r="T450" s="31">
        <f>VLOOKUP(A450,'Ansvar kurs'!$A$1:$C$1010,2,FALSE)</f>
        <v>5730</v>
      </c>
      <c r="U450" s="31" t="str">
        <f>VLOOKUP(T450,Orgenheter!$A$1:$C$165,2,FALSE)</f>
        <v>Inst för MA och MA statistik</v>
      </c>
      <c r="V450" s="31" t="str">
        <f>VLOOKUP(T450,Orgenheter!$A$1:$C$165,3,FALSE)</f>
        <v>TekNat</v>
      </c>
      <c r="W450" s="37" t="str">
        <f>VLOOKUP(D450,Program!$A$1:$B$34,2,FALSE)</f>
        <v>Fristående och övriga kurser</v>
      </c>
      <c r="X450" s="42">
        <f>VLOOKUP(A450,kurspris!$A$1:$Q$798,15,FALSE)</f>
        <v>19473</v>
      </c>
      <c r="Y450" s="42">
        <f>VLOOKUP(A450,kurspris!$A$1:$Q$798,16,FALSE)</f>
        <v>34806</v>
      </c>
      <c r="Z450" s="42">
        <f t="shared" si="198"/>
        <v>53232.525000000001</v>
      </c>
      <c r="AA450" s="42">
        <f>VLOOKUP(A450,kurspris!$A$1:$Q$798,17,FALSE)</f>
        <v>21800</v>
      </c>
      <c r="AB450" s="42">
        <f t="shared" si="199"/>
        <v>24525</v>
      </c>
      <c r="AC450" s="42">
        <f t="shared" si="200"/>
        <v>77757.524999999994</v>
      </c>
      <c r="AD450" s="31">
        <f>VLOOKUP($A450,kurspris!$A$1:$Q$835,3,FALSE)</f>
        <v>0</v>
      </c>
      <c r="AE450" s="31">
        <f>VLOOKUP($A450,kurspris!$A$1:$Q$835,4,FALSE)</f>
        <v>0</v>
      </c>
      <c r="AF450" s="31">
        <f>VLOOKUP($A450,kurspris!$A$1:$Q$835,5,FALSE)</f>
        <v>0</v>
      </c>
      <c r="AG450" s="31">
        <f>VLOOKUP($A450,kurspris!$A$1:$Q$835,6,FALSE)</f>
        <v>0</v>
      </c>
      <c r="AH450" s="31">
        <f>VLOOKUP($A450,kurspris!$A$1:$Q$835,7,FALSE)</f>
        <v>0</v>
      </c>
      <c r="AI450" s="31">
        <f>VLOOKUP($A450,kurspris!$A$1:$Q$835,8,FALSE)</f>
        <v>0.5</v>
      </c>
      <c r="AJ450" s="31">
        <f>VLOOKUP($A450,kurspris!$A$1:$Q$835,9,FALSE)</f>
        <v>0</v>
      </c>
      <c r="AK450" s="31">
        <f>VLOOKUP($A450,kurspris!$A$1:$Q$835,10,FALSE)</f>
        <v>0.5</v>
      </c>
      <c r="AL450" s="31">
        <f>VLOOKUP($A450,kurspris!$A$1:$Q$835,11,FALSE)</f>
        <v>0</v>
      </c>
      <c r="AM450" s="31">
        <f>VLOOKUP($A450,kurspris!$A$1:$Q$835,12,FALSE)</f>
        <v>0</v>
      </c>
      <c r="AN450" s="31">
        <f>VLOOKUP($A450,kurspris!$A$1:$Q$835,13,FALSE)</f>
        <v>0</v>
      </c>
      <c r="AO450" s="31">
        <f>VLOOKUP($A450,kurspris!$A$1:$Q$835,14,FALSE)</f>
        <v>0</v>
      </c>
      <c r="AP450" s="39" t="s">
        <v>2232</v>
      </c>
      <c r="AQ450" s="39" t="s">
        <v>2095</v>
      </c>
      <c r="AR450" s="31">
        <f t="shared" si="201"/>
        <v>0</v>
      </c>
      <c r="AS450" s="255">
        <f t="shared" si="202"/>
        <v>0</v>
      </c>
      <c r="AT450" s="31">
        <f t="shared" si="203"/>
        <v>0</v>
      </c>
      <c r="AU450" s="255">
        <f t="shared" si="204"/>
        <v>0</v>
      </c>
      <c r="AV450" s="31">
        <f t="shared" si="205"/>
        <v>0</v>
      </c>
      <c r="AW450" s="31">
        <f t="shared" si="206"/>
        <v>0</v>
      </c>
      <c r="AX450" s="31">
        <f t="shared" si="207"/>
        <v>0</v>
      </c>
      <c r="AY450" s="255">
        <f t="shared" si="208"/>
        <v>0</v>
      </c>
      <c r="AZ450" s="232">
        <f t="shared" si="209"/>
        <v>0</v>
      </c>
      <c r="BA450" s="255">
        <f t="shared" si="210"/>
        <v>0</v>
      </c>
      <c r="BB450" s="31">
        <f t="shared" si="211"/>
        <v>0.5625</v>
      </c>
      <c r="BC450" s="255">
        <f t="shared" si="212"/>
        <v>0.45</v>
      </c>
      <c r="BD450" s="31">
        <f t="shared" si="213"/>
        <v>0</v>
      </c>
      <c r="BE450" s="255">
        <f t="shared" si="214"/>
        <v>0</v>
      </c>
      <c r="BF450" s="31">
        <f t="shared" si="215"/>
        <v>0.5625</v>
      </c>
      <c r="BG450" s="255">
        <f t="shared" si="216"/>
        <v>0.45</v>
      </c>
      <c r="BH450" s="31">
        <f t="shared" si="217"/>
        <v>0</v>
      </c>
      <c r="BI450" s="255">
        <f t="shared" si="218"/>
        <v>0</v>
      </c>
      <c r="BJ450" s="31">
        <f t="shared" si="219"/>
        <v>0</v>
      </c>
      <c r="BK450" s="31">
        <f t="shared" si="220"/>
        <v>0</v>
      </c>
      <c r="BL450" s="255">
        <f t="shared" si="221"/>
        <v>0</v>
      </c>
      <c r="BM450" s="31">
        <f t="shared" si="222"/>
        <v>0</v>
      </c>
      <c r="BN450" s="255">
        <f t="shared" si="223"/>
        <v>0</v>
      </c>
    </row>
    <row r="451" spans="1:66" x14ac:dyDescent="0.25">
      <c r="A451" t="s">
        <v>2007</v>
      </c>
      <c r="B451" s="186" t="str">
        <f>VLOOKUP(A451,kurspris!$A$1:$B$877,2,FALSE)</f>
        <v>Diskret matematik</v>
      </c>
      <c r="C451"/>
      <c r="D451" t="s">
        <v>483</v>
      </c>
      <c r="E451" t="s">
        <v>1992</v>
      </c>
      <c r="F451" s="59" t="s">
        <v>1930</v>
      </c>
      <c r="G451" t="s">
        <v>1932</v>
      </c>
      <c r="H451" t="s">
        <v>1910</v>
      </c>
      <c r="I451"/>
      <c r="J451" t="s">
        <v>774</v>
      </c>
      <c r="K451"/>
      <c r="L451">
        <v>100</v>
      </c>
      <c r="M451">
        <v>7.5</v>
      </c>
      <c r="N451"/>
      <c r="O451"/>
      <c r="P451" s="31">
        <v>1</v>
      </c>
      <c r="Q451" s="232">
        <f t="shared" si="196"/>
        <v>0.125</v>
      </c>
      <c r="R451" s="40">
        <v>0.85</v>
      </c>
      <c r="S451" s="334">
        <f t="shared" si="197"/>
        <v>0.10625</v>
      </c>
      <c r="T451" s="31">
        <f>VLOOKUP(A451,'Ansvar kurs'!$A$1:$C$1010,2,FALSE)</f>
        <v>5730</v>
      </c>
      <c r="U451" s="31" t="str">
        <f>VLOOKUP(T451,Orgenheter!$A$1:$C$165,2,FALSE)</f>
        <v>Inst för MA och MA statistik</v>
      </c>
      <c r="V451" s="31" t="str">
        <f>VLOOKUP(T451,Orgenheter!$A$1:$C$165,3,FALSE)</f>
        <v>TekNat</v>
      </c>
      <c r="W451" s="37" t="str">
        <f>VLOOKUP(D451,Program!$A$1:$B$34,2,FALSE)</f>
        <v>Ämneslärarprogrammet - Gy</v>
      </c>
      <c r="X451" s="42">
        <f>VLOOKUP(A451,kurspris!$A$1:$Q$798,15,FALSE)</f>
        <v>19473</v>
      </c>
      <c r="Y451" s="42">
        <f>VLOOKUP(A451,kurspris!$A$1:$Q$798,16,FALSE)</f>
        <v>34806</v>
      </c>
      <c r="Z451" s="42">
        <f t="shared" si="198"/>
        <v>6132.2624999999998</v>
      </c>
      <c r="AA451" s="42">
        <f>VLOOKUP(A451,kurspris!$A$1:$Q$798,17,FALSE)</f>
        <v>21800</v>
      </c>
      <c r="AB451" s="42">
        <f t="shared" si="199"/>
        <v>2725</v>
      </c>
      <c r="AC451" s="42">
        <f t="shared" si="200"/>
        <v>8857.2625000000007</v>
      </c>
      <c r="AD451" s="31">
        <f>VLOOKUP($A451,kurspris!$A$1:$Q$835,3,FALSE)</f>
        <v>0</v>
      </c>
      <c r="AE451" s="31">
        <f>VLOOKUP($A451,kurspris!$A$1:$Q$835,4,FALSE)</f>
        <v>0</v>
      </c>
      <c r="AF451" s="31">
        <f>VLOOKUP($A451,kurspris!$A$1:$Q$835,5,FALSE)</f>
        <v>0</v>
      </c>
      <c r="AG451" s="31">
        <f>VLOOKUP($A451,kurspris!$A$1:$Q$835,6,FALSE)</f>
        <v>0</v>
      </c>
      <c r="AH451" s="31">
        <f>VLOOKUP($A451,kurspris!$A$1:$Q$835,7,FALSE)</f>
        <v>0</v>
      </c>
      <c r="AI451" s="31">
        <f>VLOOKUP($A451,kurspris!$A$1:$Q$835,8,FALSE)</f>
        <v>0.5</v>
      </c>
      <c r="AJ451" s="31">
        <f>VLOOKUP($A451,kurspris!$A$1:$Q$835,9,FALSE)</f>
        <v>0</v>
      </c>
      <c r="AK451" s="31">
        <f>VLOOKUP($A451,kurspris!$A$1:$Q$835,10,FALSE)</f>
        <v>0.5</v>
      </c>
      <c r="AL451" s="31">
        <f>VLOOKUP($A451,kurspris!$A$1:$Q$835,11,FALSE)</f>
        <v>0</v>
      </c>
      <c r="AM451" s="31">
        <f>VLOOKUP($A451,kurspris!$A$1:$Q$835,12,FALSE)</f>
        <v>0</v>
      </c>
      <c r="AN451" s="31">
        <f>VLOOKUP($A451,kurspris!$A$1:$Q$835,13,FALSE)</f>
        <v>0</v>
      </c>
      <c r="AO451" s="31">
        <f>VLOOKUP($A451,kurspris!$A$1:$Q$835,14,FALSE)</f>
        <v>0</v>
      </c>
      <c r="AP451" s="39" t="s">
        <v>2235</v>
      </c>
      <c r="AQ451"/>
      <c r="AR451" s="31">
        <f t="shared" si="201"/>
        <v>0</v>
      </c>
      <c r="AS451" s="255">
        <f t="shared" si="202"/>
        <v>0</v>
      </c>
      <c r="AT451" s="31">
        <f t="shared" si="203"/>
        <v>0</v>
      </c>
      <c r="AU451" s="255">
        <f t="shared" si="204"/>
        <v>0</v>
      </c>
      <c r="AV451" s="31">
        <f t="shared" si="205"/>
        <v>0</v>
      </c>
      <c r="AW451" s="31">
        <f t="shared" si="206"/>
        <v>0</v>
      </c>
      <c r="AX451" s="31">
        <f t="shared" si="207"/>
        <v>0</v>
      </c>
      <c r="AY451" s="255">
        <f t="shared" si="208"/>
        <v>0</v>
      </c>
      <c r="AZ451" s="232">
        <f t="shared" si="209"/>
        <v>0</v>
      </c>
      <c r="BA451" s="255">
        <f t="shared" si="210"/>
        <v>0</v>
      </c>
      <c r="BB451" s="31">
        <f t="shared" si="211"/>
        <v>6.25E-2</v>
      </c>
      <c r="BC451" s="255">
        <f t="shared" si="212"/>
        <v>5.3124999999999999E-2</v>
      </c>
      <c r="BD451" s="31">
        <f t="shared" si="213"/>
        <v>0</v>
      </c>
      <c r="BE451" s="255">
        <f t="shared" si="214"/>
        <v>0</v>
      </c>
      <c r="BF451" s="31">
        <f t="shared" si="215"/>
        <v>6.25E-2</v>
      </c>
      <c r="BG451" s="255">
        <f t="shared" si="216"/>
        <v>5.3124999999999999E-2</v>
      </c>
      <c r="BH451" s="31">
        <f t="shared" si="217"/>
        <v>0</v>
      </c>
      <c r="BI451" s="255">
        <f t="shared" si="218"/>
        <v>0</v>
      </c>
      <c r="BJ451" s="31">
        <f t="shared" si="219"/>
        <v>0</v>
      </c>
      <c r="BK451" s="31">
        <f t="shared" si="220"/>
        <v>0</v>
      </c>
      <c r="BL451" s="255">
        <f t="shared" si="221"/>
        <v>0</v>
      </c>
      <c r="BM451" s="31">
        <f t="shared" si="222"/>
        <v>0</v>
      </c>
      <c r="BN451" s="255">
        <f t="shared" si="223"/>
        <v>0</v>
      </c>
    </row>
    <row r="452" spans="1:66" x14ac:dyDescent="0.25">
      <c r="A452" t="s">
        <v>2007</v>
      </c>
      <c r="B452" s="186" t="str">
        <f>VLOOKUP(A452,kurspris!$A$1:$B$877,2,FALSE)</f>
        <v>Diskret matematik</v>
      </c>
      <c r="C452"/>
      <c r="D452" t="s">
        <v>483</v>
      </c>
      <c r="E452" t="s">
        <v>1976</v>
      </c>
      <c r="F452" s="59" t="s">
        <v>1930</v>
      </c>
      <c r="G452" t="s">
        <v>1932</v>
      </c>
      <c r="H452" t="s">
        <v>1910</v>
      </c>
      <c r="I452"/>
      <c r="J452" t="s">
        <v>773</v>
      </c>
      <c r="K452"/>
      <c r="L452">
        <v>100</v>
      </c>
      <c r="M452">
        <v>7.5</v>
      </c>
      <c r="N452"/>
      <c r="O452"/>
      <c r="P452" s="31">
        <v>3</v>
      </c>
      <c r="Q452" s="232">
        <f t="shared" si="196"/>
        <v>0.375</v>
      </c>
      <c r="R452" s="40">
        <v>0.85</v>
      </c>
      <c r="S452" s="334">
        <f t="shared" si="197"/>
        <v>0.31874999999999998</v>
      </c>
      <c r="T452" s="31">
        <f>VLOOKUP(A452,'Ansvar kurs'!$A$1:$C$1010,2,FALSE)</f>
        <v>5730</v>
      </c>
      <c r="U452" s="31" t="str">
        <f>VLOOKUP(T452,Orgenheter!$A$1:$C$165,2,FALSE)</f>
        <v>Inst för MA och MA statistik</v>
      </c>
      <c r="V452" s="31" t="str">
        <f>VLOOKUP(T452,Orgenheter!$A$1:$C$165,3,FALSE)</f>
        <v>TekNat</v>
      </c>
      <c r="W452" s="37" t="str">
        <f>VLOOKUP(D452,Program!$A$1:$B$34,2,FALSE)</f>
        <v>Ämneslärarprogrammet - Gy</v>
      </c>
      <c r="X452" s="42">
        <f>VLOOKUP(A452,kurspris!$A$1:$Q$798,15,FALSE)</f>
        <v>19473</v>
      </c>
      <c r="Y452" s="42">
        <f>VLOOKUP(A452,kurspris!$A$1:$Q$798,16,FALSE)</f>
        <v>34806</v>
      </c>
      <c r="Z452" s="42">
        <f t="shared" si="198"/>
        <v>18396.787499999999</v>
      </c>
      <c r="AA452" s="42">
        <f>VLOOKUP(A452,kurspris!$A$1:$Q$798,17,FALSE)</f>
        <v>21800</v>
      </c>
      <c r="AB452" s="42">
        <f t="shared" si="199"/>
        <v>8175</v>
      </c>
      <c r="AC452" s="42">
        <f t="shared" si="200"/>
        <v>26571.787499999999</v>
      </c>
      <c r="AD452" s="31">
        <f>VLOOKUP($A452,kurspris!$A$1:$Q$835,3,FALSE)</f>
        <v>0</v>
      </c>
      <c r="AE452" s="31">
        <f>VLOOKUP($A452,kurspris!$A$1:$Q$835,4,FALSE)</f>
        <v>0</v>
      </c>
      <c r="AF452" s="31">
        <f>VLOOKUP($A452,kurspris!$A$1:$Q$835,5,FALSE)</f>
        <v>0</v>
      </c>
      <c r="AG452" s="31">
        <f>VLOOKUP($A452,kurspris!$A$1:$Q$835,6,FALSE)</f>
        <v>0</v>
      </c>
      <c r="AH452" s="31">
        <f>VLOOKUP($A452,kurspris!$A$1:$Q$835,7,FALSE)</f>
        <v>0</v>
      </c>
      <c r="AI452" s="31">
        <f>VLOOKUP($A452,kurspris!$A$1:$Q$835,8,FALSE)</f>
        <v>0.5</v>
      </c>
      <c r="AJ452" s="31">
        <f>VLOOKUP($A452,kurspris!$A$1:$Q$835,9,FALSE)</f>
        <v>0</v>
      </c>
      <c r="AK452" s="31">
        <f>VLOOKUP($A452,kurspris!$A$1:$Q$835,10,FALSE)</f>
        <v>0.5</v>
      </c>
      <c r="AL452" s="31">
        <f>VLOOKUP($A452,kurspris!$A$1:$Q$835,11,FALSE)</f>
        <v>0</v>
      </c>
      <c r="AM452" s="31">
        <f>VLOOKUP($A452,kurspris!$A$1:$Q$835,12,FALSE)</f>
        <v>0</v>
      </c>
      <c r="AN452" s="31">
        <f>VLOOKUP($A452,kurspris!$A$1:$Q$835,13,FALSE)</f>
        <v>0</v>
      </c>
      <c r="AO452" s="31">
        <f>VLOOKUP($A452,kurspris!$A$1:$Q$835,14,FALSE)</f>
        <v>0</v>
      </c>
      <c r="AP452" s="39" t="s">
        <v>2235</v>
      </c>
      <c r="AQ452"/>
      <c r="AR452" s="31">
        <f t="shared" si="201"/>
        <v>0</v>
      </c>
      <c r="AS452" s="255">
        <f t="shared" si="202"/>
        <v>0</v>
      </c>
      <c r="AT452" s="31">
        <f t="shared" si="203"/>
        <v>0</v>
      </c>
      <c r="AU452" s="255">
        <f t="shared" si="204"/>
        <v>0</v>
      </c>
      <c r="AV452" s="31">
        <f t="shared" si="205"/>
        <v>0</v>
      </c>
      <c r="AW452" s="31">
        <f t="shared" si="206"/>
        <v>0</v>
      </c>
      <c r="AX452" s="31">
        <f t="shared" si="207"/>
        <v>0</v>
      </c>
      <c r="AY452" s="255">
        <f t="shared" si="208"/>
        <v>0</v>
      </c>
      <c r="AZ452" s="232">
        <f t="shared" si="209"/>
        <v>0</v>
      </c>
      <c r="BA452" s="255">
        <f t="shared" si="210"/>
        <v>0</v>
      </c>
      <c r="BB452" s="31">
        <f t="shared" si="211"/>
        <v>0.1875</v>
      </c>
      <c r="BC452" s="255">
        <f t="shared" si="212"/>
        <v>0.15937499999999999</v>
      </c>
      <c r="BD452" s="31">
        <f t="shared" si="213"/>
        <v>0</v>
      </c>
      <c r="BE452" s="255">
        <f t="shared" si="214"/>
        <v>0</v>
      </c>
      <c r="BF452" s="31">
        <f t="shared" si="215"/>
        <v>0.1875</v>
      </c>
      <c r="BG452" s="255">
        <f t="shared" si="216"/>
        <v>0.15937499999999999</v>
      </c>
      <c r="BH452" s="31">
        <f t="shared" si="217"/>
        <v>0</v>
      </c>
      <c r="BI452" s="255">
        <f t="shared" si="218"/>
        <v>0</v>
      </c>
      <c r="BJ452" s="31">
        <f t="shared" si="219"/>
        <v>0</v>
      </c>
      <c r="BK452" s="31">
        <f t="shared" si="220"/>
        <v>0</v>
      </c>
      <c r="BL452" s="255">
        <f t="shared" si="221"/>
        <v>0</v>
      </c>
      <c r="BM452" s="31">
        <f t="shared" si="222"/>
        <v>0</v>
      </c>
      <c r="BN452" s="255">
        <f t="shared" si="223"/>
        <v>0</v>
      </c>
    </row>
    <row r="453" spans="1:66" x14ac:dyDescent="0.25">
      <c r="A453" t="s">
        <v>2007</v>
      </c>
      <c r="B453" s="186" t="str">
        <f>VLOOKUP(A453,kurspris!$A$1:$B$877,2,FALSE)</f>
        <v>Diskret matematik</v>
      </c>
      <c r="C453"/>
      <c r="D453" t="s">
        <v>483</v>
      </c>
      <c r="E453" t="s">
        <v>1609</v>
      </c>
      <c r="F453" s="59" t="s">
        <v>1930</v>
      </c>
      <c r="G453" t="s">
        <v>1932</v>
      </c>
      <c r="H453" t="s">
        <v>1910</v>
      </c>
      <c r="I453"/>
      <c r="J453" t="s">
        <v>774</v>
      </c>
      <c r="K453"/>
      <c r="L453">
        <v>100</v>
      </c>
      <c r="M453">
        <v>7.5</v>
      </c>
      <c r="N453"/>
      <c r="O453"/>
      <c r="P453" s="31">
        <v>12</v>
      </c>
      <c r="Q453" s="232">
        <f t="shared" si="196"/>
        <v>1.5</v>
      </c>
      <c r="R453" s="40">
        <v>0.85</v>
      </c>
      <c r="S453" s="334">
        <f t="shared" si="197"/>
        <v>1.2749999999999999</v>
      </c>
      <c r="T453" s="31">
        <f>VLOOKUP(A453,'Ansvar kurs'!$A$1:$C$1010,2,FALSE)</f>
        <v>5730</v>
      </c>
      <c r="U453" s="31" t="str">
        <f>VLOOKUP(T453,Orgenheter!$A$1:$C$165,2,FALSE)</f>
        <v>Inst för MA och MA statistik</v>
      </c>
      <c r="V453" s="31" t="str">
        <f>VLOOKUP(T453,Orgenheter!$A$1:$C$165,3,FALSE)</f>
        <v>TekNat</v>
      </c>
      <c r="W453" s="37" t="str">
        <f>VLOOKUP(D453,Program!$A$1:$B$34,2,FALSE)</f>
        <v>Ämneslärarprogrammet - Gy</v>
      </c>
      <c r="X453" s="42">
        <f>VLOOKUP(A453,kurspris!$A$1:$Q$798,15,FALSE)</f>
        <v>19473</v>
      </c>
      <c r="Y453" s="42">
        <f>VLOOKUP(A453,kurspris!$A$1:$Q$798,16,FALSE)</f>
        <v>34806</v>
      </c>
      <c r="Z453" s="42">
        <f t="shared" si="198"/>
        <v>73587.149999999994</v>
      </c>
      <c r="AA453" s="42">
        <f>VLOOKUP(A453,kurspris!$A$1:$Q$798,17,FALSE)</f>
        <v>21800</v>
      </c>
      <c r="AB453" s="42">
        <f t="shared" si="199"/>
        <v>32700</v>
      </c>
      <c r="AC453" s="42">
        <f t="shared" si="200"/>
        <v>106287.15</v>
      </c>
      <c r="AD453" s="31">
        <f>VLOOKUP($A453,kurspris!$A$1:$Q$835,3,FALSE)</f>
        <v>0</v>
      </c>
      <c r="AE453" s="31">
        <f>VLOOKUP($A453,kurspris!$A$1:$Q$835,4,FALSE)</f>
        <v>0</v>
      </c>
      <c r="AF453" s="31">
        <f>VLOOKUP($A453,kurspris!$A$1:$Q$835,5,FALSE)</f>
        <v>0</v>
      </c>
      <c r="AG453" s="31">
        <f>VLOOKUP($A453,kurspris!$A$1:$Q$835,6,FALSE)</f>
        <v>0</v>
      </c>
      <c r="AH453" s="31">
        <f>VLOOKUP($A453,kurspris!$A$1:$Q$835,7,FALSE)</f>
        <v>0</v>
      </c>
      <c r="AI453" s="31">
        <f>VLOOKUP($A453,kurspris!$A$1:$Q$835,8,FALSE)</f>
        <v>0.5</v>
      </c>
      <c r="AJ453" s="31">
        <f>VLOOKUP($A453,kurspris!$A$1:$Q$835,9,FALSE)</f>
        <v>0</v>
      </c>
      <c r="AK453" s="31">
        <f>VLOOKUP($A453,kurspris!$A$1:$Q$835,10,FALSE)</f>
        <v>0.5</v>
      </c>
      <c r="AL453" s="31">
        <f>VLOOKUP($A453,kurspris!$A$1:$Q$835,11,FALSE)</f>
        <v>0</v>
      </c>
      <c r="AM453" s="31">
        <f>VLOOKUP($A453,kurspris!$A$1:$Q$835,12,FALSE)</f>
        <v>0</v>
      </c>
      <c r="AN453" s="31">
        <f>VLOOKUP($A453,kurspris!$A$1:$Q$835,13,FALSE)</f>
        <v>0</v>
      </c>
      <c r="AO453" s="31">
        <f>VLOOKUP($A453,kurspris!$A$1:$Q$835,14,FALSE)</f>
        <v>0</v>
      </c>
      <c r="AP453" s="39" t="s">
        <v>2235</v>
      </c>
      <c r="AQ453"/>
      <c r="AR453" s="31">
        <f t="shared" si="201"/>
        <v>0</v>
      </c>
      <c r="AS453" s="255">
        <f t="shared" si="202"/>
        <v>0</v>
      </c>
      <c r="AT453" s="31">
        <f t="shared" si="203"/>
        <v>0</v>
      </c>
      <c r="AU453" s="255">
        <f t="shared" si="204"/>
        <v>0</v>
      </c>
      <c r="AV453" s="31">
        <f t="shared" si="205"/>
        <v>0</v>
      </c>
      <c r="AW453" s="31">
        <f t="shared" si="206"/>
        <v>0</v>
      </c>
      <c r="AX453" s="31">
        <f t="shared" si="207"/>
        <v>0</v>
      </c>
      <c r="AY453" s="255">
        <f t="shared" si="208"/>
        <v>0</v>
      </c>
      <c r="AZ453" s="232">
        <f t="shared" si="209"/>
        <v>0</v>
      </c>
      <c r="BA453" s="255">
        <f t="shared" si="210"/>
        <v>0</v>
      </c>
      <c r="BB453" s="31">
        <f t="shared" si="211"/>
        <v>0.75</v>
      </c>
      <c r="BC453" s="255">
        <f t="shared" si="212"/>
        <v>0.63749999999999996</v>
      </c>
      <c r="BD453" s="31">
        <f t="shared" si="213"/>
        <v>0</v>
      </c>
      <c r="BE453" s="255">
        <f t="shared" si="214"/>
        <v>0</v>
      </c>
      <c r="BF453" s="31">
        <f t="shared" si="215"/>
        <v>0.75</v>
      </c>
      <c r="BG453" s="255">
        <f t="shared" si="216"/>
        <v>0.63749999999999996</v>
      </c>
      <c r="BH453" s="31">
        <f t="shared" si="217"/>
        <v>0</v>
      </c>
      <c r="BI453" s="255">
        <f t="shared" si="218"/>
        <v>0</v>
      </c>
      <c r="BJ453" s="31">
        <f t="shared" si="219"/>
        <v>0</v>
      </c>
      <c r="BK453" s="31">
        <f t="shared" si="220"/>
        <v>0</v>
      </c>
      <c r="BL453" s="255">
        <f t="shared" si="221"/>
        <v>0</v>
      </c>
      <c r="BM453" s="31">
        <f t="shared" si="222"/>
        <v>0</v>
      </c>
      <c r="BN453" s="255">
        <f t="shared" si="223"/>
        <v>0</v>
      </c>
    </row>
    <row r="454" spans="1:66" x14ac:dyDescent="0.25">
      <c r="A454" s="18" t="s">
        <v>2008</v>
      </c>
      <c r="B454" s="186" t="str">
        <f>VLOOKUP(A454,kurspris!$A$1:$B$877,2,FALSE)</f>
        <v>Problemlösning och matematiska resonemang</v>
      </c>
      <c r="C454" s="37"/>
      <c r="D454" t="s">
        <v>117</v>
      </c>
      <c r="E454"/>
      <c r="F454" s="59" t="s">
        <v>1930</v>
      </c>
      <c r="G454"/>
      <c r="H454"/>
      <c r="I454" t="s">
        <v>1634</v>
      </c>
      <c r="L454">
        <v>100</v>
      </c>
      <c r="M454">
        <v>7.5</v>
      </c>
      <c r="P454" s="31">
        <v>4</v>
      </c>
      <c r="Q454" s="232">
        <f t="shared" si="196"/>
        <v>0.5</v>
      </c>
      <c r="R454" s="40">
        <v>0.8</v>
      </c>
      <c r="S454" s="334">
        <f t="shared" si="197"/>
        <v>0.4</v>
      </c>
      <c r="T454" s="31">
        <f>VLOOKUP(A454,'Ansvar kurs'!$A$1:$C$1010,2,FALSE)</f>
        <v>5730</v>
      </c>
      <c r="U454" s="31" t="str">
        <f>VLOOKUP(T454,Orgenheter!$A$1:$C$165,2,FALSE)</f>
        <v>Inst för MA och MA statistik</v>
      </c>
      <c r="V454" s="31" t="str">
        <f>VLOOKUP(T454,Orgenheter!$A$1:$C$165,3,FALSE)</f>
        <v>TekNat</v>
      </c>
      <c r="W454" s="37" t="str">
        <f>VLOOKUP(D454,Program!$A$1:$B$34,2,FALSE)</f>
        <v>Fristående och övriga kurser</v>
      </c>
      <c r="X454" s="42">
        <f>VLOOKUP(A454,kurspris!$A$1:$Q$798,15,FALSE)</f>
        <v>19473</v>
      </c>
      <c r="Y454" s="42">
        <f>VLOOKUP(A454,kurspris!$A$1:$Q$798,16,FALSE)</f>
        <v>34806</v>
      </c>
      <c r="Z454" s="42">
        <f t="shared" si="198"/>
        <v>23658.9</v>
      </c>
      <c r="AA454" s="42">
        <f>VLOOKUP(A454,kurspris!$A$1:$Q$798,17,FALSE)</f>
        <v>21800</v>
      </c>
      <c r="AB454" s="42">
        <f t="shared" si="199"/>
        <v>10900</v>
      </c>
      <c r="AC454" s="42">
        <f t="shared" si="200"/>
        <v>34558.9</v>
      </c>
      <c r="AD454" s="31">
        <f>VLOOKUP($A454,kurspris!$A$1:$Q$835,3,FALSE)</f>
        <v>0</v>
      </c>
      <c r="AE454" s="31">
        <f>VLOOKUP($A454,kurspris!$A$1:$Q$835,4,FALSE)</f>
        <v>0</v>
      </c>
      <c r="AF454" s="31">
        <f>VLOOKUP($A454,kurspris!$A$1:$Q$835,5,FALSE)</f>
        <v>0</v>
      </c>
      <c r="AG454" s="31">
        <f>VLOOKUP($A454,kurspris!$A$1:$Q$835,6,FALSE)</f>
        <v>0</v>
      </c>
      <c r="AH454" s="31">
        <f>VLOOKUP($A454,kurspris!$A$1:$Q$835,7,FALSE)</f>
        <v>0</v>
      </c>
      <c r="AI454" s="31">
        <f>VLOOKUP($A454,kurspris!$A$1:$Q$835,8,FALSE)</f>
        <v>0.5</v>
      </c>
      <c r="AJ454" s="31">
        <f>VLOOKUP($A454,kurspris!$A$1:$Q$835,9,FALSE)</f>
        <v>0</v>
      </c>
      <c r="AK454" s="31">
        <f>VLOOKUP($A454,kurspris!$A$1:$Q$835,10,FALSE)</f>
        <v>0.5</v>
      </c>
      <c r="AL454" s="31">
        <f>VLOOKUP($A454,kurspris!$A$1:$Q$835,11,FALSE)</f>
        <v>0</v>
      </c>
      <c r="AM454" s="31">
        <f>VLOOKUP($A454,kurspris!$A$1:$Q$835,12,FALSE)</f>
        <v>0</v>
      </c>
      <c r="AN454" s="31">
        <f>VLOOKUP($A454,kurspris!$A$1:$Q$835,13,FALSE)</f>
        <v>0</v>
      </c>
      <c r="AO454" s="31">
        <f>VLOOKUP($A454,kurspris!$A$1:$Q$835,14,FALSE)</f>
        <v>0</v>
      </c>
      <c r="AP454" s="39" t="s">
        <v>2232</v>
      </c>
      <c r="AQ454" s="39" t="s">
        <v>2095</v>
      </c>
      <c r="AR454" s="31">
        <f t="shared" si="201"/>
        <v>0</v>
      </c>
      <c r="AS454" s="255">
        <f t="shared" si="202"/>
        <v>0</v>
      </c>
      <c r="AT454" s="31">
        <f t="shared" si="203"/>
        <v>0</v>
      </c>
      <c r="AU454" s="255">
        <f t="shared" si="204"/>
        <v>0</v>
      </c>
      <c r="AV454" s="31">
        <f t="shared" si="205"/>
        <v>0</v>
      </c>
      <c r="AW454" s="31">
        <f t="shared" si="206"/>
        <v>0</v>
      </c>
      <c r="AX454" s="31">
        <f t="shared" si="207"/>
        <v>0</v>
      </c>
      <c r="AY454" s="255">
        <f t="shared" si="208"/>
        <v>0</v>
      </c>
      <c r="AZ454" s="232">
        <f t="shared" si="209"/>
        <v>0</v>
      </c>
      <c r="BA454" s="255">
        <f t="shared" si="210"/>
        <v>0</v>
      </c>
      <c r="BB454" s="31">
        <f t="shared" si="211"/>
        <v>0.25</v>
      </c>
      <c r="BC454" s="255">
        <f t="shared" si="212"/>
        <v>0.2</v>
      </c>
      <c r="BD454" s="31">
        <f t="shared" si="213"/>
        <v>0</v>
      </c>
      <c r="BE454" s="255">
        <f t="shared" si="214"/>
        <v>0</v>
      </c>
      <c r="BF454" s="31">
        <f t="shared" si="215"/>
        <v>0.25</v>
      </c>
      <c r="BG454" s="255">
        <f t="shared" si="216"/>
        <v>0.2</v>
      </c>
      <c r="BH454" s="31">
        <f t="shared" si="217"/>
        <v>0</v>
      </c>
      <c r="BI454" s="255">
        <f t="shared" si="218"/>
        <v>0</v>
      </c>
      <c r="BJ454" s="31">
        <f t="shared" si="219"/>
        <v>0</v>
      </c>
      <c r="BK454" s="31">
        <f t="shared" si="220"/>
        <v>0</v>
      </c>
      <c r="BL454" s="255">
        <f t="shared" si="221"/>
        <v>0</v>
      </c>
      <c r="BM454" s="31">
        <f t="shared" si="222"/>
        <v>0</v>
      </c>
      <c r="BN454" s="255">
        <f t="shared" si="223"/>
        <v>0</v>
      </c>
    </row>
    <row r="455" spans="1:66" x14ac:dyDescent="0.25">
      <c r="A455" t="s">
        <v>2008</v>
      </c>
      <c r="B455" s="186" t="str">
        <f>VLOOKUP(A455,kurspris!$A$1:$B$877,2,FALSE)</f>
        <v>Problemlösning och matematiska resonemang</v>
      </c>
      <c r="C455"/>
      <c r="D455" t="s">
        <v>483</v>
      </c>
      <c r="E455" t="s">
        <v>1976</v>
      </c>
      <c r="F455" s="59" t="s">
        <v>1930</v>
      </c>
      <c r="G455" t="s">
        <v>1936</v>
      </c>
      <c r="H455" t="s">
        <v>1910</v>
      </c>
      <c r="I455"/>
      <c r="J455" t="s">
        <v>773</v>
      </c>
      <c r="K455"/>
      <c r="L455">
        <v>100</v>
      </c>
      <c r="M455">
        <v>7.5</v>
      </c>
      <c r="N455"/>
      <c r="O455"/>
      <c r="P455" s="31">
        <v>3</v>
      </c>
      <c r="Q455" s="232">
        <f t="shared" si="196"/>
        <v>0.375</v>
      </c>
      <c r="R455" s="40">
        <v>0.85</v>
      </c>
      <c r="S455" s="334">
        <f t="shared" si="197"/>
        <v>0.31874999999999998</v>
      </c>
      <c r="T455" s="31">
        <f>VLOOKUP(A455,'Ansvar kurs'!$A$1:$C$1010,2,FALSE)</f>
        <v>5730</v>
      </c>
      <c r="U455" s="31" t="str">
        <f>VLOOKUP(T455,Orgenheter!$A$1:$C$165,2,FALSE)</f>
        <v>Inst för MA och MA statistik</v>
      </c>
      <c r="V455" s="31" t="str">
        <f>VLOOKUP(T455,Orgenheter!$A$1:$C$165,3,FALSE)</f>
        <v>TekNat</v>
      </c>
      <c r="W455" s="37" t="str">
        <f>VLOOKUP(D455,Program!$A$1:$B$34,2,FALSE)</f>
        <v>Ämneslärarprogrammet - Gy</v>
      </c>
      <c r="X455" s="42">
        <f>VLOOKUP(A455,kurspris!$A$1:$Q$798,15,FALSE)</f>
        <v>19473</v>
      </c>
      <c r="Y455" s="42">
        <f>VLOOKUP(A455,kurspris!$A$1:$Q$798,16,FALSE)</f>
        <v>34806</v>
      </c>
      <c r="Z455" s="42">
        <f t="shared" si="198"/>
        <v>18396.787499999999</v>
      </c>
      <c r="AA455" s="42">
        <f>VLOOKUP(A455,kurspris!$A$1:$Q$798,17,FALSE)</f>
        <v>21800</v>
      </c>
      <c r="AB455" s="42">
        <f t="shared" si="199"/>
        <v>8175</v>
      </c>
      <c r="AC455" s="42">
        <f t="shared" si="200"/>
        <v>26571.787499999999</v>
      </c>
      <c r="AD455" s="31">
        <f>VLOOKUP($A455,kurspris!$A$1:$Q$835,3,FALSE)</f>
        <v>0</v>
      </c>
      <c r="AE455" s="31">
        <f>VLOOKUP($A455,kurspris!$A$1:$Q$835,4,FALSE)</f>
        <v>0</v>
      </c>
      <c r="AF455" s="31">
        <f>VLOOKUP($A455,kurspris!$A$1:$Q$835,5,FALSE)</f>
        <v>0</v>
      </c>
      <c r="AG455" s="31">
        <f>VLOOKUP($A455,kurspris!$A$1:$Q$835,6,FALSE)</f>
        <v>0</v>
      </c>
      <c r="AH455" s="31">
        <f>VLOOKUP($A455,kurspris!$A$1:$Q$835,7,FALSE)</f>
        <v>0</v>
      </c>
      <c r="AI455" s="31">
        <f>VLOOKUP($A455,kurspris!$A$1:$Q$835,8,FALSE)</f>
        <v>0.5</v>
      </c>
      <c r="AJ455" s="31">
        <f>VLOOKUP($A455,kurspris!$A$1:$Q$835,9,FALSE)</f>
        <v>0</v>
      </c>
      <c r="AK455" s="31">
        <f>VLOOKUP($A455,kurspris!$A$1:$Q$835,10,FALSE)</f>
        <v>0.5</v>
      </c>
      <c r="AL455" s="31">
        <f>VLOOKUP($A455,kurspris!$A$1:$Q$835,11,FALSE)</f>
        <v>0</v>
      </c>
      <c r="AM455" s="31">
        <f>VLOOKUP($A455,kurspris!$A$1:$Q$835,12,FALSE)</f>
        <v>0</v>
      </c>
      <c r="AN455" s="31">
        <f>VLOOKUP($A455,kurspris!$A$1:$Q$835,13,FALSE)</f>
        <v>0</v>
      </c>
      <c r="AO455" s="31">
        <f>VLOOKUP($A455,kurspris!$A$1:$Q$835,14,FALSE)</f>
        <v>0</v>
      </c>
      <c r="AP455" s="39" t="s">
        <v>2204</v>
      </c>
      <c r="AQ455"/>
      <c r="AR455" s="31">
        <f t="shared" si="201"/>
        <v>0</v>
      </c>
      <c r="AS455" s="255">
        <f t="shared" si="202"/>
        <v>0</v>
      </c>
      <c r="AT455" s="31">
        <f t="shared" si="203"/>
        <v>0</v>
      </c>
      <c r="AU455" s="255">
        <f t="shared" si="204"/>
        <v>0</v>
      </c>
      <c r="AV455" s="31">
        <f t="shared" si="205"/>
        <v>0</v>
      </c>
      <c r="AW455" s="31">
        <f t="shared" si="206"/>
        <v>0</v>
      </c>
      <c r="AX455" s="31">
        <f t="shared" si="207"/>
        <v>0</v>
      </c>
      <c r="AY455" s="255">
        <f t="shared" si="208"/>
        <v>0</v>
      </c>
      <c r="AZ455" s="232">
        <f t="shared" si="209"/>
        <v>0</v>
      </c>
      <c r="BA455" s="255">
        <f t="shared" si="210"/>
        <v>0</v>
      </c>
      <c r="BB455" s="31">
        <f t="shared" si="211"/>
        <v>0.1875</v>
      </c>
      <c r="BC455" s="255">
        <f t="shared" si="212"/>
        <v>0.15937499999999999</v>
      </c>
      <c r="BD455" s="31">
        <f t="shared" si="213"/>
        <v>0</v>
      </c>
      <c r="BE455" s="255">
        <f t="shared" si="214"/>
        <v>0</v>
      </c>
      <c r="BF455" s="31">
        <f t="shared" si="215"/>
        <v>0.1875</v>
      </c>
      <c r="BG455" s="255">
        <f t="shared" si="216"/>
        <v>0.15937499999999999</v>
      </c>
      <c r="BH455" s="31">
        <f t="shared" si="217"/>
        <v>0</v>
      </c>
      <c r="BI455" s="255">
        <f t="shared" si="218"/>
        <v>0</v>
      </c>
      <c r="BJ455" s="31">
        <f t="shared" si="219"/>
        <v>0</v>
      </c>
      <c r="BK455" s="31">
        <f t="shared" si="220"/>
        <v>0</v>
      </c>
      <c r="BL455" s="255">
        <f t="shared" si="221"/>
        <v>0</v>
      </c>
      <c r="BM455" s="31">
        <f t="shared" si="222"/>
        <v>0</v>
      </c>
      <c r="BN455" s="255">
        <f t="shared" si="223"/>
        <v>0</v>
      </c>
    </row>
    <row r="456" spans="1:66" x14ac:dyDescent="0.25">
      <c r="A456" t="s">
        <v>2008</v>
      </c>
      <c r="B456" s="186" t="str">
        <f>VLOOKUP(A456,kurspris!$A$1:$B$877,2,FALSE)</f>
        <v>Problemlösning och matematiska resonemang</v>
      </c>
      <c r="C456"/>
      <c r="D456" t="s">
        <v>483</v>
      </c>
      <c r="E456" t="s">
        <v>1609</v>
      </c>
      <c r="F456" s="59" t="s">
        <v>1930</v>
      </c>
      <c r="G456" t="s">
        <v>1936</v>
      </c>
      <c r="H456" t="s">
        <v>1910</v>
      </c>
      <c r="I456"/>
      <c r="J456" t="s">
        <v>774</v>
      </c>
      <c r="K456"/>
      <c r="L456">
        <v>100</v>
      </c>
      <c r="M456">
        <v>7.5</v>
      </c>
      <c r="N456"/>
      <c r="O456"/>
      <c r="P456" s="31">
        <v>12</v>
      </c>
      <c r="Q456" s="232">
        <f t="shared" si="196"/>
        <v>1.5</v>
      </c>
      <c r="R456" s="40">
        <v>0.85</v>
      </c>
      <c r="S456" s="334">
        <f t="shared" si="197"/>
        <v>1.2749999999999999</v>
      </c>
      <c r="T456" s="31">
        <f>VLOOKUP(A456,'Ansvar kurs'!$A$1:$C$1010,2,FALSE)</f>
        <v>5730</v>
      </c>
      <c r="U456" s="31" t="str">
        <f>VLOOKUP(T456,Orgenheter!$A$1:$C$165,2,FALSE)</f>
        <v>Inst för MA och MA statistik</v>
      </c>
      <c r="V456" s="31" t="str">
        <f>VLOOKUP(T456,Orgenheter!$A$1:$C$165,3,FALSE)</f>
        <v>TekNat</v>
      </c>
      <c r="W456" s="37" t="str">
        <f>VLOOKUP(D456,Program!$A$1:$B$34,2,FALSE)</f>
        <v>Ämneslärarprogrammet - Gy</v>
      </c>
      <c r="X456" s="42">
        <f>VLOOKUP(A456,kurspris!$A$1:$Q$798,15,FALSE)</f>
        <v>19473</v>
      </c>
      <c r="Y456" s="42">
        <f>VLOOKUP(A456,kurspris!$A$1:$Q$798,16,FALSE)</f>
        <v>34806</v>
      </c>
      <c r="Z456" s="42">
        <f t="shared" si="198"/>
        <v>73587.149999999994</v>
      </c>
      <c r="AA456" s="42">
        <f>VLOOKUP(A456,kurspris!$A$1:$Q$798,17,FALSE)</f>
        <v>21800</v>
      </c>
      <c r="AB456" s="42">
        <f t="shared" si="199"/>
        <v>32700</v>
      </c>
      <c r="AC456" s="42">
        <f t="shared" si="200"/>
        <v>106287.15</v>
      </c>
      <c r="AD456" s="31">
        <f>VLOOKUP($A456,kurspris!$A$1:$Q$835,3,FALSE)</f>
        <v>0</v>
      </c>
      <c r="AE456" s="31">
        <f>VLOOKUP($A456,kurspris!$A$1:$Q$835,4,FALSE)</f>
        <v>0</v>
      </c>
      <c r="AF456" s="31">
        <f>VLOOKUP($A456,kurspris!$A$1:$Q$835,5,FALSE)</f>
        <v>0</v>
      </c>
      <c r="AG456" s="31">
        <f>VLOOKUP($A456,kurspris!$A$1:$Q$835,6,FALSE)</f>
        <v>0</v>
      </c>
      <c r="AH456" s="31">
        <f>VLOOKUP($A456,kurspris!$A$1:$Q$835,7,FALSE)</f>
        <v>0</v>
      </c>
      <c r="AI456" s="31">
        <f>VLOOKUP($A456,kurspris!$A$1:$Q$835,8,FALSE)</f>
        <v>0.5</v>
      </c>
      <c r="AJ456" s="31">
        <f>VLOOKUP($A456,kurspris!$A$1:$Q$835,9,FALSE)</f>
        <v>0</v>
      </c>
      <c r="AK456" s="31">
        <f>VLOOKUP($A456,kurspris!$A$1:$Q$835,10,FALSE)</f>
        <v>0.5</v>
      </c>
      <c r="AL456" s="31">
        <f>VLOOKUP($A456,kurspris!$A$1:$Q$835,11,FALSE)</f>
        <v>0</v>
      </c>
      <c r="AM456" s="31">
        <f>VLOOKUP($A456,kurspris!$A$1:$Q$835,12,FALSE)</f>
        <v>0</v>
      </c>
      <c r="AN456" s="31">
        <f>VLOOKUP($A456,kurspris!$A$1:$Q$835,13,FALSE)</f>
        <v>0</v>
      </c>
      <c r="AO456" s="31">
        <f>VLOOKUP($A456,kurspris!$A$1:$Q$835,14,FALSE)</f>
        <v>0</v>
      </c>
      <c r="AP456" s="39" t="s">
        <v>2204</v>
      </c>
      <c r="AQ456"/>
      <c r="AR456" s="31">
        <f t="shared" si="201"/>
        <v>0</v>
      </c>
      <c r="AS456" s="255">
        <f t="shared" si="202"/>
        <v>0</v>
      </c>
      <c r="AT456" s="31">
        <f t="shared" si="203"/>
        <v>0</v>
      </c>
      <c r="AU456" s="255">
        <f t="shared" si="204"/>
        <v>0</v>
      </c>
      <c r="AV456" s="31">
        <f t="shared" si="205"/>
        <v>0</v>
      </c>
      <c r="AW456" s="31">
        <f t="shared" si="206"/>
        <v>0</v>
      </c>
      <c r="AX456" s="31">
        <f t="shared" si="207"/>
        <v>0</v>
      </c>
      <c r="AY456" s="255">
        <f t="shared" si="208"/>
        <v>0</v>
      </c>
      <c r="AZ456" s="232">
        <f t="shared" si="209"/>
        <v>0</v>
      </c>
      <c r="BA456" s="255">
        <f t="shared" si="210"/>
        <v>0</v>
      </c>
      <c r="BB456" s="31">
        <f t="shared" si="211"/>
        <v>0.75</v>
      </c>
      <c r="BC456" s="255">
        <f t="shared" si="212"/>
        <v>0.63749999999999996</v>
      </c>
      <c r="BD456" s="31">
        <f t="shared" si="213"/>
        <v>0</v>
      </c>
      <c r="BE456" s="255">
        <f t="shared" si="214"/>
        <v>0</v>
      </c>
      <c r="BF456" s="31">
        <f t="shared" si="215"/>
        <v>0.75</v>
      </c>
      <c r="BG456" s="255">
        <f t="shared" si="216"/>
        <v>0.63749999999999996</v>
      </c>
      <c r="BH456" s="31">
        <f t="shared" si="217"/>
        <v>0</v>
      </c>
      <c r="BI456" s="255">
        <f t="shared" si="218"/>
        <v>0</v>
      </c>
      <c r="BJ456" s="31">
        <f t="shared" si="219"/>
        <v>0</v>
      </c>
      <c r="BK456" s="31">
        <f t="shared" si="220"/>
        <v>0</v>
      </c>
      <c r="BL456" s="255">
        <f t="shared" si="221"/>
        <v>0</v>
      </c>
      <c r="BM456" s="31">
        <f t="shared" si="222"/>
        <v>0</v>
      </c>
      <c r="BN456" s="255">
        <f t="shared" si="223"/>
        <v>0</v>
      </c>
    </row>
    <row r="457" spans="1:66" x14ac:dyDescent="0.25">
      <c r="A457" s="18" t="s">
        <v>2009</v>
      </c>
      <c r="B457" s="186" t="str">
        <f>VLOOKUP(A457,kurspris!$A$1:$B$877,2,FALSE)</f>
        <v>Differentialekvationer och flervariabelanalys</v>
      </c>
      <c r="C457" s="37"/>
      <c r="D457" t="s">
        <v>117</v>
      </c>
      <c r="E457"/>
      <c r="F457" s="59" t="s">
        <v>1930</v>
      </c>
      <c r="G457"/>
      <c r="H457"/>
      <c r="I457" t="s">
        <v>1634</v>
      </c>
      <c r="L457">
        <v>100</v>
      </c>
      <c r="M457">
        <v>7.5</v>
      </c>
      <c r="P457" s="31">
        <v>5</v>
      </c>
      <c r="Q457" s="232">
        <f t="shared" si="196"/>
        <v>0.625</v>
      </c>
      <c r="R457" s="40">
        <v>0.8</v>
      </c>
      <c r="S457" s="334">
        <f t="shared" si="197"/>
        <v>0.5</v>
      </c>
      <c r="T457" s="31">
        <f>VLOOKUP(A457,'Ansvar kurs'!$A$1:$C$1010,2,FALSE)</f>
        <v>5730</v>
      </c>
      <c r="U457" s="31" t="str">
        <f>VLOOKUP(T457,Orgenheter!$A$1:$C$165,2,FALSE)</f>
        <v>Inst för MA och MA statistik</v>
      </c>
      <c r="V457" s="31" t="str">
        <f>VLOOKUP(T457,Orgenheter!$A$1:$C$165,3,FALSE)</f>
        <v>TekNat</v>
      </c>
      <c r="W457" s="37" t="str">
        <f>VLOOKUP(D457,Program!$A$1:$B$34,2,FALSE)</f>
        <v>Fristående och övriga kurser</v>
      </c>
      <c r="X457" s="42">
        <f>VLOOKUP(A457,kurspris!$A$1:$Q$798,15,FALSE)</f>
        <v>19473</v>
      </c>
      <c r="Y457" s="42">
        <f>VLOOKUP(A457,kurspris!$A$1:$Q$798,16,FALSE)</f>
        <v>34806</v>
      </c>
      <c r="Z457" s="42">
        <f t="shared" si="198"/>
        <v>29573.625</v>
      </c>
      <c r="AA457" s="42">
        <f>VLOOKUP(A457,kurspris!$A$1:$Q$798,17,FALSE)</f>
        <v>21800</v>
      </c>
      <c r="AB457" s="42">
        <f t="shared" si="199"/>
        <v>13625</v>
      </c>
      <c r="AC457" s="42">
        <f t="shared" si="200"/>
        <v>43198.625</v>
      </c>
      <c r="AD457" s="31">
        <f>VLOOKUP($A457,kurspris!$A$1:$Q$835,3,FALSE)</f>
        <v>0</v>
      </c>
      <c r="AE457" s="31">
        <f>VLOOKUP($A457,kurspris!$A$1:$Q$835,4,FALSE)</f>
        <v>0</v>
      </c>
      <c r="AF457" s="31">
        <f>VLOOKUP($A457,kurspris!$A$1:$Q$835,5,FALSE)</f>
        <v>0</v>
      </c>
      <c r="AG457" s="31">
        <f>VLOOKUP($A457,kurspris!$A$1:$Q$835,6,FALSE)</f>
        <v>0</v>
      </c>
      <c r="AH457" s="31">
        <f>VLOOKUP($A457,kurspris!$A$1:$Q$835,7,FALSE)</f>
        <v>0</v>
      </c>
      <c r="AI457" s="31">
        <f>VLOOKUP($A457,kurspris!$A$1:$Q$835,8,FALSE)</f>
        <v>0.5</v>
      </c>
      <c r="AJ457" s="31">
        <f>VLOOKUP($A457,kurspris!$A$1:$Q$835,9,FALSE)</f>
        <v>0</v>
      </c>
      <c r="AK457" s="31">
        <f>VLOOKUP($A457,kurspris!$A$1:$Q$835,10,FALSE)</f>
        <v>0.5</v>
      </c>
      <c r="AL457" s="31">
        <f>VLOOKUP($A457,kurspris!$A$1:$Q$835,11,FALSE)</f>
        <v>0</v>
      </c>
      <c r="AM457" s="31">
        <f>VLOOKUP($A457,kurspris!$A$1:$Q$835,12,FALSE)</f>
        <v>0</v>
      </c>
      <c r="AN457" s="31">
        <f>VLOOKUP($A457,kurspris!$A$1:$Q$835,13,FALSE)</f>
        <v>0</v>
      </c>
      <c r="AO457" s="31">
        <f>VLOOKUP($A457,kurspris!$A$1:$Q$835,14,FALSE)</f>
        <v>0</v>
      </c>
      <c r="AP457" s="39" t="s">
        <v>2232</v>
      </c>
      <c r="AQ457" s="39" t="s">
        <v>2095</v>
      </c>
      <c r="AR457" s="31">
        <f t="shared" si="201"/>
        <v>0</v>
      </c>
      <c r="AS457" s="255">
        <f t="shared" si="202"/>
        <v>0</v>
      </c>
      <c r="AT457" s="31">
        <f t="shared" si="203"/>
        <v>0</v>
      </c>
      <c r="AU457" s="255">
        <f t="shared" si="204"/>
        <v>0</v>
      </c>
      <c r="AV457" s="31">
        <f t="shared" si="205"/>
        <v>0</v>
      </c>
      <c r="AW457" s="31">
        <f t="shared" si="206"/>
        <v>0</v>
      </c>
      <c r="AX457" s="31">
        <f t="shared" si="207"/>
        <v>0</v>
      </c>
      <c r="AY457" s="255">
        <f t="shared" si="208"/>
        <v>0</v>
      </c>
      <c r="AZ457" s="232">
        <f t="shared" si="209"/>
        <v>0</v>
      </c>
      <c r="BA457" s="255">
        <f t="shared" si="210"/>
        <v>0</v>
      </c>
      <c r="BB457" s="31">
        <f t="shared" si="211"/>
        <v>0.3125</v>
      </c>
      <c r="BC457" s="255">
        <f t="shared" si="212"/>
        <v>0.25</v>
      </c>
      <c r="BD457" s="31">
        <f t="shared" si="213"/>
        <v>0</v>
      </c>
      <c r="BE457" s="255">
        <f t="shared" si="214"/>
        <v>0</v>
      </c>
      <c r="BF457" s="31">
        <f t="shared" si="215"/>
        <v>0.3125</v>
      </c>
      <c r="BG457" s="255">
        <f t="shared" si="216"/>
        <v>0.25</v>
      </c>
      <c r="BH457" s="31">
        <f t="shared" si="217"/>
        <v>0</v>
      </c>
      <c r="BI457" s="255">
        <f t="shared" si="218"/>
        <v>0</v>
      </c>
      <c r="BJ457" s="31">
        <f t="shared" si="219"/>
        <v>0</v>
      </c>
      <c r="BK457" s="31">
        <f t="shared" si="220"/>
        <v>0</v>
      </c>
      <c r="BL457" s="255">
        <f t="shared" si="221"/>
        <v>0</v>
      </c>
      <c r="BM457" s="31">
        <f t="shared" si="222"/>
        <v>0</v>
      </c>
      <c r="BN457" s="255">
        <f t="shared" si="223"/>
        <v>0</v>
      </c>
    </row>
    <row r="458" spans="1:66" x14ac:dyDescent="0.25">
      <c r="A458" t="s">
        <v>2009</v>
      </c>
      <c r="B458" s="186" t="str">
        <f>VLOOKUP(A458,kurspris!$A$1:$B$877,2,FALSE)</f>
        <v>Differentialekvationer och flervariabelanalys</v>
      </c>
      <c r="C458"/>
      <c r="D458" t="s">
        <v>483</v>
      </c>
      <c r="E458" t="s">
        <v>1976</v>
      </c>
      <c r="F458" s="59" t="s">
        <v>1930</v>
      </c>
      <c r="G458" t="s">
        <v>1933</v>
      </c>
      <c r="H458" t="s">
        <v>1910</v>
      </c>
      <c r="I458"/>
      <c r="J458" t="s">
        <v>773</v>
      </c>
      <c r="K458"/>
      <c r="L458">
        <v>100</v>
      </c>
      <c r="M458">
        <v>7.5</v>
      </c>
      <c r="N458"/>
      <c r="O458"/>
      <c r="P458" s="31">
        <v>3</v>
      </c>
      <c r="Q458" s="232">
        <f t="shared" si="196"/>
        <v>0.375</v>
      </c>
      <c r="R458" s="40">
        <v>0.85</v>
      </c>
      <c r="S458" s="334">
        <f t="shared" si="197"/>
        <v>0.31874999999999998</v>
      </c>
      <c r="T458" s="31">
        <f>VLOOKUP(A458,'Ansvar kurs'!$A$1:$C$1010,2,FALSE)</f>
        <v>5730</v>
      </c>
      <c r="U458" s="31" t="str">
        <f>VLOOKUP(T458,Orgenheter!$A$1:$C$165,2,FALSE)</f>
        <v>Inst för MA och MA statistik</v>
      </c>
      <c r="V458" s="31" t="str">
        <f>VLOOKUP(T458,Orgenheter!$A$1:$C$165,3,FALSE)</f>
        <v>TekNat</v>
      </c>
      <c r="W458" s="37" t="str">
        <f>VLOOKUP(D458,Program!$A$1:$B$34,2,FALSE)</f>
        <v>Ämneslärarprogrammet - Gy</v>
      </c>
      <c r="X458" s="42">
        <f>VLOOKUP(A458,kurspris!$A$1:$Q$798,15,FALSE)</f>
        <v>19473</v>
      </c>
      <c r="Y458" s="42">
        <f>VLOOKUP(A458,kurspris!$A$1:$Q$798,16,FALSE)</f>
        <v>34806</v>
      </c>
      <c r="Z458" s="42">
        <f t="shared" si="198"/>
        <v>18396.787499999999</v>
      </c>
      <c r="AA458" s="42">
        <f>VLOOKUP(A458,kurspris!$A$1:$Q$798,17,FALSE)</f>
        <v>21800</v>
      </c>
      <c r="AB458" s="42">
        <f t="shared" si="199"/>
        <v>8175</v>
      </c>
      <c r="AC458" s="42">
        <f t="shared" si="200"/>
        <v>26571.787499999999</v>
      </c>
      <c r="AD458" s="31">
        <f>VLOOKUP($A458,kurspris!$A$1:$Q$835,3,FALSE)</f>
        <v>0</v>
      </c>
      <c r="AE458" s="31">
        <f>VLOOKUP($A458,kurspris!$A$1:$Q$835,4,FALSE)</f>
        <v>0</v>
      </c>
      <c r="AF458" s="31">
        <f>VLOOKUP($A458,kurspris!$A$1:$Q$835,5,FALSE)</f>
        <v>0</v>
      </c>
      <c r="AG458" s="31">
        <f>VLOOKUP($A458,kurspris!$A$1:$Q$835,6,FALSE)</f>
        <v>0</v>
      </c>
      <c r="AH458" s="31">
        <f>VLOOKUP($A458,kurspris!$A$1:$Q$835,7,FALSE)</f>
        <v>0</v>
      </c>
      <c r="AI458" s="31">
        <f>VLOOKUP($A458,kurspris!$A$1:$Q$835,8,FALSE)</f>
        <v>0.5</v>
      </c>
      <c r="AJ458" s="31">
        <f>VLOOKUP($A458,kurspris!$A$1:$Q$835,9,FALSE)</f>
        <v>0</v>
      </c>
      <c r="AK458" s="31">
        <f>VLOOKUP($A458,kurspris!$A$1:$Q$835,10,FALSE)</f>
        <v>0.5</v>
      </c>
      <c r="AL458" s="31">
        <f>VLOOKUP($A458,kurspris!$A$1:$Q$835,11,FALSE)</f>
        <v>0</v>
      </c>
      <c r="AM458" s="31">
        <f>VLOOKUP($A458,kurspris!$A$1:$Q$835,12,FALSE)</f>
        <v>0</v>
      </c>
      <c r="AN458" s="31">
        <f>VLOOKUP($A458,kurspris!$A$1:$Q$835,13,FALSE)</f>
        <v>0</v>
      </c>
      <c r="AO458" s="31">
        <f>VLOOKUP($A458,kurspris!$A$1:$Q$835,14,FALSE)</f>
        <v>0</v>
      </c>
      <c r="AP458" s="39" t="s">
        <v>2235</v>
      </c>
      <c r="AQ458"/>
      <c r="AR458" s="31">
        <f t="shared" si="201"/>
        <v>0</v>
      </c>
      <c r="AS458" s="255">
        <f t="shared" si="202"/>
        <v>0</v>
      </c>
      <c r="AT458" s="31">
        <f t="shared" si="203"/>
        <v>0</v>
      </c>
      <c r="AU458" s="255">
        <f t="shared" si="204"/>
        <v>0</v>
      </c>
      <c r="AV458" s="31">
        <f t="shared" si="205"/>
        <v>0</v>
      </c>
      <c r="AW458" s="31">
        <f t="shared" si="206"/>
        <v>0</v>
      </c>
      <c r="AX458" s="31">
        <f t="shared" si="207"/>
        <v>0</v>
      </c>
      <c r="AY458" s="255">
        <f t="shared" si="208"/>
        <v>0</v>
      </c>
      <c r="AZ458" s="232">
        <f t="shared" si="209"/>
        <v>0</v>
      </c>
      <c r="BA458" s="255">
        <f t="shared" si="210"/>
        <v>0</v>
      </c>
      <c r="BB458" s="31">
        <f t="shared" si="211"/>
        <v>0.1875</v>
      </c>
      <c r="BC458" s="255">
        <f t="shared" si="212"/>
        <v>0.15937499999999999</v>
      </c>
      <c r="BD458" s="31">
        <f t="shared" si="213"/>
        <v>0</v>
      </c>
      <c r="BE458" s="255">
        <f t="shared" si="214"/>
        <v>0</v>
      </c>
      <c r="BF458" s="31">
        <f t="shared" si="215"/>
        <v>0.1875</v>
      </c>
      <c r="BG458" s="255">
        <f t="shared" si="216"/>
        <v>0.15937499999999999</v>
      </c>
      <c r="BH458" s="31">
        <f t="shared" si="217"/>
        <v>0</v>
      </c>
      <c r="BI458" s="255">
        <f t="shared" si="218"/>
        <v>0</v>
      </c>
      <c r="BJ458" s="31">
        <f t="shared" si="219"/>
        <v>0</v>
      </c>
      <c r="BK458" s="31">
        <f t="shared" si="220"/>
        <v>0</v>
      </c>
      <c r="BL458" s="255">
        <f t="shared" si="221"/>
        <v>0</v>
      </c>
      <c r="BM458" s="31">
        <f t="shared" si="222"/>
        <v>0</v>
      </c>
      <c r="BN458" s="255">
        <f t="shared" si="223"/>
        <v>0</v>
      </c>
    </row>
    <row r="459" spans="1:66" x14ac:dyDescent="0.25">
      <c r="A459" t="s">
        <v>2009</v>
      </c>
      <c r="B459" s="186" t="str">
        <f>VLOOKUP(A459,kurspris!$A$1:$B$877,2,FALSE)</f>
        <v>Differentialekvationer och flervariabelanalys</v>
      </c>
      <c r="C459"/>
      <c r="D459" t="s">
        <v>483</v>
      </c>
      <c r="E459" t="s">
        <v>1609</v>
      </c>
      <c r="F459" s="59" t="s">
        <v>1930</v>
      </c>
      <c r="G459" t="s">
        <v>1933</v>
      </c>
      <c r="H459" t="s">
        <v>1910</v>
      </c>
      <c r="I459"/>
      <c r="J459" t="s">
        <v>774</v>
      </c>
      <c r="K459"/>
      <c r="L459">
        <v>100</v>
      </c>
      <c r="M459">
        <v>7.5</v>
      </c>
      <c r="N459"/>
      <c r="O459"/>
      <c r="P459" s="31">
        <v>11</v>
      </c>
      <c r="Q459" s="232">
        <f t="shared" si="196"/>
        <v>1.375</v>
      </c>
      <c r="R459" s="40">
        <v>0.85</v>
      </c>
      <c r="S459" s="334">
        <f t="shared" si="197"/>
        <v>1.16875</v>
      </c>
      <c r="T459" s="31">
        <f>VLOOKUP(A459,'Ansvar kurs'!$A$1:$C$1010,2,FALSE)</f>
        <v>5730</v>
      </c>
      <c r="U459" s="31" t="str">
        <f>VLOOKUP(T459,Orgenheter!$A$1:$C$165,2,FALSE)</f>
        <v>Inst för MA och MA statistik</v>
      </c>
      <c r="V459" s="31" t="str">
        <f>VLOOKUP(T459,Orgenheter!$A$1:$C$165,3,FALSE)</f>
        <v>TekNat</v>
      </c>
      <c r="W459" s="37" t="str">
        <f>VLOOKUP(D459,Program!$A$1:$B$34,2,FALSE)</f>
        <v>Ämneslärarprogrammet - Gy</v>
      </c>
      <c r="X459" s="42">
        <f>VLOOKUP(A459,kurspris!$A$1:$Q$798,15,FALSE)</f>
        <v>19473</v>
      </c>
      <c r="Y459" s="42">
        <f>VLOOKUP(A459,kurspris!$A$1:$Q$798,16,FALSE)</f>
        <v>34806</v>
      </c>
      <c r="Z459" s="42">
        <f t="shared" si="198"/>
        <v>67454.887499999997</v>
      </c>
      <c r="AA459" s="42">
        <f>VLOOKUP(A459,kurspris!$A$1:$Q$798,17,FALSE)</f>
        <v>21800</v>
      </c>
      <c r="AB459" s="42">
        <f t="shared" si="199"/>
        <v>29975</v>
      </c>
      <c r="AC459" s="42">
        <f t="shared" si="200"/>
        <v>97429.887499999997</v>
      </c>
      <c r="AD459" s="31">
        <f>VLOOKUP($A459,kurspris!$A$1:$Q$835,3,FALSE)</f>
        <v>0</v>
      </c>
      <c r="AE459" s="31">
        <f>VLOOKUP($A459,kurspris!$A$1:$Q$835,4,FALSE)</f>
        <v>0</v>
      </c>
      <c r="AF459" s="31">
        <f>VLOOKUP($A459,kurspris!$A$1:$Q$835,5,FALSE)</f>
        <v>0</v>
      </c>
      <c r="AG459" s="31">
        <f>VLOOKUP($A459,kurspris!$A$1:$Q$835,6,FALSE)</f>
        <v>0</v>
      </c>
      <c r="AH459" s="31">
        <f>VLOOKUP($A459,kurspris!$A$1:$Q$835,7,FALSE)</f>
        <v>0</v>
      </c>
      <c r="AI459" s="31">
        <f>VLOOKUP($A459,kurspris!$A$1:$Q$835,8,FALSE)</f>
        <v>0.5</v>
      </c>
      <c r="AJ459" s="31">
        <f>VLOOKUP($A459,kurspris!$A$1:$Q$835,9,FALSE)</f>
        <v>0</v>
      </c>
      <c r="AK459" s="31">
        <f>VLOOKUP($A459,kurspris!$A$1:$Q$835,10,FALSE)</f>
        <v>0.5</v>
      </c>
      <c r="AL459" s="31">
        <f>VLOOKUP($A459,kurspris!$A$1:$Q$835,11,FALSE)</f>
        <v>0</v>
      </c>
      <c r="AM459" s="31">
        <f>VLOOKUP($A459,kurspris!$A$1:$Q$835,12,FALSE)</f>
        <v>0</v>
      </c>
      <c r="AN459" s="31">
        <f>VLOOKUP($A459,kurspris!$A$1:$Q$835,13,FALSE)</f>
        <v>0</v>
      </c>
      <c r="AO459" s="31">
        <f>VLOOKUP($A459,kurspris!$A$1:$Q$835,14,FALSE)</f>
        <v>0</v>
      </c>
      <c r="AP459" s="39" t="s">
        <v>2235</v>
      </c>
      <c r="AQ459"/>
      <c r="AR459" s="31">
        <f t="shared" si="201"/>
        <v>0</v>
      </c>
      <c r="AS459" s="255">
        <f t="shared" si="202"/>
        <v>0</v>
      </c>
      <c r="AT459" s="31">
        <f t="shared" si="203"/>
        <v>0</v>
      </c>
      <c r="AU459" s="255">
        <f t="shared" si="204"/>
        <v>0</v>
      </c>
      <c r="AV459" s="31">
        <f t="shared" si="205"/>
        <v>0</v>
      </c>
      <c r="AW459" s="31">
        <f t="shared" si="206"/>
        <v>0</v>
      </c>
      <c r="AX459" s="31">
        <f t="shared" si="207"/>
        <v>0</v>
      </c>
      <c r="AY459" s="255">
        <f t="shared" si="208"/>
        <v>0</v>
      </c>
      <c r="AZ459" s="232">
        <f t="shared" si="209"/>
        <v>0</v>
      </c>
      <c r="BA459" s="255">
        <f t="shared" si="210"/>
        <v>0</v>
      </c>
      <c r="BB459" s="31">
        <f t="shared" si="211"/>
        <v>0.6875</v>
      </c>
      <c r="BC459" s="255">
        <f t="shared" si="212"/>
        <v>0.58437499999999998</v>
      </c>
      <c r="BD459" s="31">
        <f t="shared" si="213"/>
        <v>0</v>
      </c>
      <c r="BE459" s="255">
        <f t="shared" si="214"/>
        <v>0</v>
      </c>
      <c r="BF459" s="31">
        <f t="shared" si="215"/>
        <v>0.6875</v>
      </c>
      <c r="BG459" s="255">
        <f t="shared" si="216"/>
        <v>0.58437499999999998</v>
      </c>
      <c r="BH459" s="31">
        <f t="shared" si="217"/>
        <v>0</v>
      </c>
      <c r="BI459" s="255">
        <f t="shared" si="218"/>
        <v>0</v>
      </c>
      <c r="BJ459" s="31">
        <f t="shared" si="219"/>
        <v>0</v>
      </c>
      <c r="BK459" s="31">
        <f t="shared" si="220"/>
        <v>0</v>
      </c>
      <c r="BL459" s="255">
        <f t="shared" si="221"/>
        <v>0</v>
      </c>
      <c r="BM459" s="31">
        <f t="shared" si="222"/>
        <v>0</v>
      </c>
      <c r="BN459" s="255">
        <f t="shared" si="223"/>
        <v>0</v>
      </c>
    </row>
    <row r="460" spans="1:66" x14ac:dyDescent="0.25">
      <c r="A460" s="18" t="s">
        <v>1963</v>
      </c>
      <c r="B460" s="186" t="str">
        <f>VLOOKUP(A460,kurspris!$A$1:$B$877,2,FALSE)</f>
        <v>Envariabelanalys 2</v>
      </c>
      <c r="C460" s="37"/>
      <c r="D460" t="s">
        <v>117</v>
      </c>
      <c r="E460"/>
      <c r="F460" s="59" t="s">
        <v>1931</v>
      </c>
      <c r="G460"/>
      <c r="H460"/>
      <c r="I460" t="s">
        <v>1634</v>
      </c>
      <c r="L460">
        <v>100</v>
      </c>
      <c r="M460">
        <v>7.5</v>
      </c>
      <c r="P460">
        <v>2</v>
      </c>
      <c r="Q460" s="232">
        <f t="shared" si="196"/>
        <v>0.25</v>
      </c>
      <c r="R460" s="40">
        <v>0.8</v>
      </c>
      <c r="S460" s="334">
        <f t="shared" si="197"/>
        <v>0.2</v>
      </c>
      <c r="T460" s="31">
        <f>VLOOKUP(A460,'Ansvar kurs'!$A$1:$C$1010,2,FALSE)</f>
        <v>5730</v>
      </c>
      <c r="U460" s="31" t="str">
        <f>VLOOKUP(T460,Orgenheter!$A$1:$C$165,2,FALSE)</f>
        <v>Inst för MA och MA statistik</v>
      </c>
      <c r="V460" s="31" t="str">
        <f>VLOOKUP(T460,Orgenheter!$A$1:$C$165,3,FALSE)</f>
        <v>TekNat</v>
      </c>
      <c r="W460" s="37" t="str">
        <f>VLOOKUP(D460,Program!$A$1:$B$34,2,FALSE)</f>
        <v>Fristående och övriga kurser</v>
      </c>
      <c r="X460" s="42">
        <f>VLOOKUP(A460,kurspris!$A$1:$Q$798,15,FALSE)</f>
        <v>19473</v>
      </c>
      <c r="Y460" s="42">
        <f>VLOOKUP(A460,kurspris!$A$1:$Q$798,16,FALSE)</f>
        <v>34806</v>
      </c>
      <c r="Z460" s="42">
        <f t="shared" si="198"/>
        <v>11829.45</v>
      </c>
      <c r="AA460" s="42">
        <f>VLOOKUP(A460,kurspris!$A$1:$Q$798,17,FALSE)</f>
        <v>21800</v>
      </c>
      <c r="AB460" s="42">
        <f t="shared" si="199"/>
        <v>5450</v>
      </c>
      <c r="AC460" s="42">
        <f t="shared" si="200"/>
        <v>17279.45</v>
      </c>
      <c r="AD460" s="31">
        <f>VLOOKUP($A460,kurspris!$A$1:$Q$835,3,FALSE)</f>
        <v>0</v>
      </c>
      <c r="AE460" s="31">
        <f>VLOOKUP($A460,kurspris!$A$1:$Q$835,4,FALSE)</f>
        <v>0</v>
      </c>
      <c r="AF460" s="31">
        <f>VLOOKUP($A460,kurspris!$A$1:$Q$835,5,FALSE)</f>
        <v>0</v>
      </c>
      <c r="AG460" s="31">
        <f>VLOOKUP($A460,kurspris!$A$1:$Q$835,6,FALSE)</f>
        <v>0</v>
      </c>
      <c r="AH460" s="31">
        <f>VLOOKUP($A460,kurspris!$A$1:$Q$835,7,FALSE)</f>
        <v>0</v>
      </c>
      <c r="AI460" s="31">
        <f>VLOOKUP($A460,kurspris!$A$1:$Q$835,8,FALSE)</f>
        <v>0.5</v>
      </c>
      <c r="AJ460" s="31">
        <f>VLOOKUP($A460,kurspris!$A$1:$Q$835,9,FALSE)</f>
        <v>0</v>
      </c>
      <c r="AK460" s="31">
        <f>VLOOKUP($A460,kurspris!$A$1:$Q$835,10,FALSE)</f>
        <v>0.5</v>
      </c>
      <c r="AL460" s="31">
        <f>VLOOKUP($A460,kurspris!$A$1:$Q$835,11,FALSE)</f>
        <v>0</v>
      </c>
      <c r="AM460" s="31">
        <f>VLOOKUP($A460,kurspris!$A$1:$Q$835,12,FALSE)</f>
        <v>0</v>
      </c>
      <c r="AN460" s="31">
        <f>VLOOKUP($A460,kurspris!$A$1:$Q$835,13,FALSE)</f>
        <v>0</v>
      </c>
      <c r="AO460" s="31">
        <f>VLOOKUP($A460,kurspris!$A$1:$Q$835,14,FALSE)</f>
        <v>0</v>
      </c>
      <c r="AP460" s="39" t="s">
        <v>2095</v>
      </c>
      <c r="AQ460"/>
      <c r="AR460" s="31">
        <f t="shared" si="201"/>
        <v>0</v>
      </c>
      <c r="AS460" s="255">
        <f t="shared" si="202"/>
        <v>0</v>
      </c>
      <c r="AT460" s="31">
        <f t="shared" si="203"/>
        <v>0</v>
      </c>
      <c r="AU460" s="255">
        <f t="shared" si="204"/>
        <v>0</v>
      </c>
      <c r="AV460" s="31">
        <f t="shared" si="205"/>
        <v>0</v>
      </c>
      <c r="AW460" s="31">
        <f t="shared" si="206"/>
        <v>0</v>
      </c>
      <c r="AX460" s="31">
        <f t="shared" si="207"/>
        <v>0</v>
      </c>
      <c r="AY460" s="255">
        <f t="shared" si="208"/>
        <v>0</v>
      </c>
      <c r="AZ460" s="232">
        <f t="shared" si="209"/>
        <v>0</v>
      </c>
      <c r="BA460" s="255">
        <f t="shared" si="210"/>
        <v>0</v>
      </c>
      <c r="BB460" s="31">
        <f t="shared" si="211"/>
        <v>0.125</v>
      </c>
      <c r="BC460" s="255">
        <f t="shared" si="212"/>
        <v>0.1</v>
      </c>
      <c r="BD460" s="31">
        <f t="shared" si="213"/>
        <v>0</v>
      </c>
      <c r="BE460" s="255">
        <f t="shared" si="214"/>
        <v>0</v>
      </c>
      <c r="BF460" s="31">
        <f t="shared" si="215"/>
        <v>0.125</v>
      </c>
      <c r="BG460" s="255">
        <f t="shared" si="216"/>
        <v>0.1</v>
      </c>
      <c r="BH460" s="31">
        <f t="shared" si="217"/>
        <v>0</v>
      </c>
      <c r="BI460" s="255">
        <f t="shared" si="218"/>
        <v>0</v>
      </c>
      <c r="BJ460" s="31">
        <f t="shared" si="219"/>
        <v>0</v>
      </c>
      <c r="BK460" s="31">
        <f t="shared" si="220"/>
        <v>0</v>
      </c>
      <c r="BL460" s="255">
        <f t="shared" si="221"/>
        <v>0</v>
      </c>
      <c r="BM460" s="31">
        <f t="shared" si="222"/>
        <v>0</v>
      </c>
      <c r="BN460" s="255">
        <f t="shared" si="223"/>
        <v>0</v>
      </c>
    </row>
    <row r="461" spans="1:66" x14ac:dyDescent="0.25">
      <c r="A461" s="18" t="s">
        <v>1963</v>
      </c>
      <c r="B461" s="186" t="str">
        <f>VLOOKUP(A461,kurspris!$A$1:$B$877,2,FALSE)</f>
        <v>Envariabelanalys 2</v>
      </c>
      <c r="C461" s="37"/>
      <c r="D461" s="31" t="s">
        <v>483</v>
      </c>
      <c r="E461" s="31" t="s">
        <v>1973</v>
      </c>
      <c r="F461" s="59" t="s">
        <v>1931</v>
      </c>
      <c r="G461" s="31" t="s">
        <v>2269</v>
      </c>
      <c r="J461" t="s">
        <v>773</v>
      </c>
      <c r="L461" s="31">
        <v>100</v>
      </c>
      <c r="M461" s="31">
        <v>7.5</v>
      </c>
      <c r="P461" s="31">
        <v>2</v>
      </c>
      <c r="Q461" s="232">
        <f t="shared" si="196"/>
        <v>0.25</v>
      </c>
      <c r="R461" s="40">
        <v>0.85</v>
      </c>
      <c r="S461" s="334">
        <f t="shared" si="197"/>
        <v>0.21249999999999999</v>
      </c>
      <c r="T461" s="31">
        <f>VLOOKUP(A461,'Ansvar kurs'!$A$1:$C$1010,2,FALSE)</f>
        <v>5730</v>
      </c>
      <c r="U461" s="31" t="str">
        <f>VLOOKUP(T461,Orgenheter!$A$1:$C$165,2,FALSE)</f>
        <v>Inst för MA och MA statistik</v>
      </c>
      <c r="V461" s="31" t="str">
        <f>VLOOKUP(T461,Orgenheter!$A$1:$C$165,3,FALSE)</f>
        <v>TekNat</v>
      </c>
      <c r="W461" s="37" t="str">
        <f>VLOOKUP(D461,Program!$A$1:$B$34,2,FALSE)</f>
        <v>Ämneslärarprogrammet - Gy</v>
      </c>
      <c r="X461" s="42">
        <f>VLOOKUP(A461,kurspris!$A$1:$Q$798,15,FALSE)</f>
        <v>19473</v>
      </c>
      <c r="Y461" s="42">
        <f>VLOOKUP(A461,kurspris!$A$1:$Q$798,16,FALSE)</f>
        <v>34806</v>
      </c>
      <c r="Z461" s="42">
        <f t="shared" si="198"/>
        <v>12264.525</v>
      </c>
      <c r="AA461" s="42">
        <f>VLOOKUP(A461,kurspris!$A$1:$Q$798,17,FALSE)</f>
        <v>21800</v>
      </c>
      <c r="AB461" s="42">
        <f t="shared" si="199"/>
        <v>5450</v>
      </c>
      <c r="AC461" s="42">
        <f t="shared" si="200"/>
        <v>17714.525000000001</v>
      </c>
      <c r="AD461" s="31">
        <f>VLOOKUP($A461,kurspris!$A$1:$Q$835,3,FALSE)</f>
        <v>0</v>
      </c>
      <c r="AE461" s="31">
        <f>VLOOKUP($A461,kurspris!$A$1:$Q$835,4,FALSE)</f>
        <v>0</v>
      </c>
      <c r="AF461" s="31">
        <f>VLOOKUP($A461,kurspris!$A$1:$Q$835,5,FALSE)</f>
        <v>0</v>
      </c>
      <c r="AG461" s="31">
        <f>VLOOKUP($A461,kurspris!$A$1:$Q$835,6,FALSE)</f>
        <v>0</v>
      </c>
      <c r="AH461" s="31">
        <f>VLOOKUP($A461,kurspris!$A$1:$Q$835,7,FALSE)</f>
        <v>0</v>
      </c>
      <c r="AI461" s="31">
        <f>VLOOKUP($A461,kurspris!$A$1:$Q$835,8,FALSE)</f>
        <v>0.5</v>
      </c>
      <c r="AJ461" s="31">
        <f>VLOOKUP($A461,kurspris!$A$1:$Q$835,9,FALSE)</f>
        <v>0</v>
      </c>
      <c r="AK461" s="31">
        <f>VLOOKUP($A461,kurspris!$A$1:$Q$835,10,FALSE)</f>
        <v>0.5</v>
      </c>
      <c r="AL461" s="31">
        <f>VLOOKUP($A461,kurspris!$A$1:$Q$835,11,FALSE)</f>
        <v>0</v>
      </c>
      <c r="AM461" s="31">
        <f>VLOOKUP($A461,kurspris!$A$1:$Q$835,12,FALSE)</f>
        <v>0</v>
      </c>
      <c r="AN461" s="31">
        <f>VLOOKUP($A461,kurspris!$A$1:$Q$835,13,FALSE)</f>
        <v>0</v>
      </c>
      <c r="AO461" s="31">
        <f>VLOOKUP($A461,kurspris!$A$1:$Q$835,14,FALSE)</f>
        <v>0</v>
      </c>
      <c r="AP461" s="39" t="s">
        <v>2326</v>
      </c>
      <c r="AQ461"/>
      <c r="AR461" s="31">
        <f t="shared" si="201"/>
        <v>0</v>
      </c>
      <c r="AS461" s="255">
        <f t="shared" si="202"/>
        <v>0</v>
      </c>
      <c r="AT461" s="31">
        <f t="shared" si="203"/>
        <v>0</v>
      </c>
      <c r="AU461" s="255">
        <f t="shared" si="204"/>
        <v>0</v>
      </c>
      <c r="AV461" s="31">
        <f t="shared" si="205"/>
        <v>0</v>
      </c>
      <c r="AW461" s="31">
        <f t="shared" si="206"/>
        <v>0</v>
      </c>
      <c r="AX461" s="31">
        <f t="shared" si="207"/>
        <v>0</v>
      </c>
      <c r="AY461" s="255">
        <f t="shared" si="208"/>
        <v>0</v>
      </c>
      <c r="AZ461" s="232">
        <f t="shared" si="209"/>
        <v>0</v>
      </c>
      <c r="BA461" s="255">
        <f t="shared" si="210"/>
        <v>0</v>
      </c>
      <c r="BB461" s="31">
        <f t="shared" si="211"/>
        <v>0.125</v>
      </c>
      <c r="BC461" s="255">
        <f t="shared" si="212"/>
        <v>0.10625</v>
      </c>
      <c r="BD461" s="31">
        <f t="shared" si="213"/>
        <v>0</v>
      </c>
      <c r="BE461" s="255">
        <f t="shared" si="214"/>
        <v>0</v>
      </c>
      <c r="BF461" s="31">
        <f t="shared" si="215"/>
        <v>0.125</v>
      </c>
      <c r="BG461" s="255">
        <f t="shared" si="216"/>
        <v>0.10625</v>
      </c>
      <c r="BH461" s="31">
        <f t="shared" si="217"/>
        <v>0</v>
      </c>
      <c r="BI461" s="255">
        <f t="shared" si="218"/>
        <v>0</v>
      </c>
      <c r="BJ461" s="31">
        <f t="shared" si="219"/>
        <v>0</v>
      </c>
      <c r="BK461" s="31">
        <f t="shared" si="220"/>
        <v>0</v>
      </c>
      <c r="BL461" s="255">
        <f t="shared" si="221"/>
        <v>0</v>
      </c>
      <c r="BM461" s="31">
        <f t="shared" si="222"/>
        <v>0</v>
      </c>
      <c r="BN461" s="255">
        <f t="shared" si="223"/>
        <v>0</v>
      </c>
    </row>
    <row r="462" spans="1:66" x14ac:dyDescent="0.25">
      <c r="A462" s="18" t="s">
        <v>1963</v>
      </c>
      <c r="B462" s="186" t="str">
        <f>VLOOKUP(A462,kurspris!$A$1:$B$877,2,FALSE)</f>
        <v>Envariabelanalys 2</v>
      </c>
      <c r="C462" s="37"/>
      <c r="D462" s="31" t="s">
        <v>483</v>
      </c>
      <c r="E462" s="31" t="s">
        <v>1609</v>
      </c>
      <c r="F462" s="59" t="s">
        <v>1931</v>
      </c>
      <c r="G462" s="31" t="s">
        <v>2269</v>
      </c>
      <c r="J462" t="s">
        <v>774</v>
      </c>
      <c r="L462" s="31">
        <v>100</v>
      </c>
      <c r="M462" s="31">
        <v>7.5</v>
      </c>
      <c r="P462" s="31">
        <v>1</v>
      </c>
      <c r="Q462" s="232">
        <f t="shared" si="196"/>
        <v>0.125</v>
      </c>
      <c r="R462" s="40">
        <v>0.85</v>
      </c>
      <c r="S462" s="334">
        <f t="shared" si="197"/>
        <v>0.10625</v>
      </c>
      <c r="T462" s="31">
        <f>VLOOKUP(A462,'Ansvar kurs'!$A$1:$C$1010,2,FALSE)</f>
        <v>5730</v>
      </c>
      <c r="U462" s="31" t="str">
        <f>VLOOKUP(T462,Orgenheter!$A$1:$C$165,2,FALSE)</f>
        <v>Inst för MA och MA statistik</v>
      </c>
      <c r="V462" s="31" t="str">
        <f>VLOOKUP(T462,Orgenheter!$A$1:$C$165,3,FALSE)</f>
        <v>TekNat</v>
      </c>
      <c r="W462" s="37" t="str">
        <f>VLOOKUP(D462,Program!$A$1:$B$34,2,FALSE)</f>
        <v>Ämneslärarprogrammet - Gy</v>
      </c>
      <c r="X462" s="42">
        <f>VLOOKUP(A462,kurspris!$A$1:$Q$798,15,FALSE)</f>
        <v>19473</v>
      </c>
      <c r="Y462" s="42">
        <f>VLOOKUP(A462,kurspris!$A$1:$Q$798,16,FALSE)</f>
        <v>34806</v>
      </c>
      <c r="Z462" s="42">
        <f t="shared" si="198"/>
        <v>6132.2624999999998</v>
      </c>
      <c r="AA462" s="42">
        <f>VLOOKUP(A462,kurspris!$A$1:$Q$798,17,FALSE)</f>
        <v>21800</v>
      </c>
      <c r="AB462" s="42">
        <f t="shared" si="199"/>
        <v>2725</v>
      </c>
      <c r="AC462" s="42">
        <f t="shared" si="200"/>
        <v>8857.2625000000007</v>
      </c>
      <c r="AD462" s="31">
        <f>VLOOKUP($A462,kurspris!$A$1:$Q$835,3,FALSE)</f>
        <v>0</v>
      </c>
      <c r="AE462" s="31">
        <f>VLOOKUP($A462,kurspris!$A$1:$Q$835,4,FALSE)</f>
        <v>0</v>
      </c>
      <c r="AF462" s="31">
        <f>VLOOKUP($A462,kurspris!$A$1:$Q$835,5,FALSE)</f>
        <v>0</v>
      </c>
      <c r="AG462" s="31">
        <f>VLOOKUP($A462,kurspris!$A$1:$Q$835,6,FALSE)</f>
        <v>0</v>
      </c>
      <c r="AH462" s="31">
        <f>VLOOKUP($A462,kurspris!$A$1:$Q$835,7,FALSE)</f>
        <v>0</v>
      </c>
      <c r="AI462" s="31">
        <f>VLOOKUP($A462,kurspris!$A$1:$Q$835,8,FALSE)</f>
        <v>0.5</v>
      </c>
      <c r="AJ462" s="31">
        <f>VLOOKUP($A462,kurspris!$A$1:$Q$835,9,FALSE)</f>
        <v>0</v>
      </c>
      <c r="AK462" s="31">
        <f>VLOOKUP($A462,kurspris!$A$1:$Q$835,10,FALSE)</f>
        <v>0.5</v>
      </c>
      <c r="AL462" s="31">
        <f>VLOOKUP($A462,kurspris!$A$1:$Q$835,11,FALSE)</f>
        <v>0</v>
      </c>
      <c r="AM462" s="31">
        <f>VLOOKUP($A462,kurspris!$A$1:$Q$835,12,FALSE)</f>
        <v>0</v>
      </c>
      <c r="AN462" s="31">
        <f>VLOOKUP($A462,kurspris!$A$1:$Q$835,13,FALSE)</f>
        <v>0</v>
      </c>
      <c r="AO462" s="31">
        <f>VLOOKUP($A462,kurspris!$A$1:$Q$835,14,FALSE)</f>
        <v>0</v>
      </c>
      <c r="AP462" s="39" t="s">
        <v>2326</v>
      </c>
      <c r="AQ462"/>
      <c r="AR462" s="31">
        <f t="shared" si="201"/>
        <v>0</v>
      </c>
      <c r="AS462" s="255">
        <f t="shared" si="202"/>
        <v>0</v>
      </c>
      <c r="AT462" s="31">
        <f t="shared" si="203"/>
        <v>0</v>
      </c>
      <c r="AU462" s="255">
        <f t="shared" si="204"/>
        <v>0</v>
      </c>
      <c r="AV462" s="31">
        <f t="shared" si="205"/>
        <v>0</v>
      </c>
      <c r="AW462" s="31">
        <f t="shared" si="206"/>
        <v>0</v>
      </c>
      <c r="AX462" s="31">
        <f t="shared" si="207"/>
        <v>0</v>
      </c>
      <c r="AY462" s="255">
        <f t="shared" si="208"/>
        <v>0</v>
      </c>
      <c r="AZ462" s="232">
        <f t="shared" si="209"/>
        <v>0</v>
      </c>
      <c r="BA462" s="255">
        <f t="shared" si="210"/>
        <v>0</v>
      </c>
      <c r="BB462" s="31">
        <f t="shared" si="211"/>
        <v>6.25E-2</v>
      </c>
      <c r="BC462" s="255">
        <f t="shared" si="212"/>
        <v>5.3124999999999999E-2</v>
      </c>
      <c r="BD462" s="31">
        <f t="shared" si="213"/>
        <v>0</v>
      </c>
      <c r="BE462" s="255">
        <f t="shared" si="214"/>
        <v>0</v>
      </c>
      <c r="BF462" s="31">
        <f t="shared" si="215"/>
        <v>6.25E-2</v>
      </c>
      <c r="BG462" s="255">
        <f t="shared" si="216"/>
        <v>5.3124999999999999E-2</v>
      </c>
      <c r="BH462" s="31">
        <f t="shared" si="217"/>
        <v>0</v>
      </c>
      <c r="BI462" s="255">
        <f t="shared" si="218"/>
        <v>0</v>
      </c>
      <c r="BJ462" s="31">
        <f t="shared" si="219"/>
        <v>0</v>
      </c>
      <c r="BK462" s="31">
        <f t="shared" si="220"/>
        <v>0</v>
      </c>
      <c r="BL462" s="255">
        <f t="shared" si="221"/>
        <v>0</v>
      </c>
      <c r="BM462" s="31">
        <f t="shared" si="222"/>
        <v>0</v>
      </c>
      <c r="BN462" s="255">
        <f t="shared" si="223"/>
        <v>0</v>
      </c>
    </row>
    <row r="463" spans="1:66" x14ac:dyDescent="0.25">
      <c r="A463" s="18" t="s">
        <v>1963</v>
      </c>
      <c r="B463" s="186" t="str">
        <f>VLOOKUP(A463,kurspris!$A$1:$B$877,2,FALSE)</f>
        <v>Envariabelanalys 2</v>
      </c>
      <c r="C463" s="37"/>
      <c r="D463" s="31" t="s">
        <v>483</v>
      </c>
      <c r="E463" s="31" t="s">
        <v>1788</v>
      </c>
      <c r="F463" s="59" t="s">
        <v>1931</v>
      </c>
      <c r="G463" s="31" t="s">
        <v>2269</v>
      </c>
      <c r="J463" t="s">
        <v>774</v>
      </c>
      <c r="L463" s="31">
        <v>100</v>
      </c>
      <c r="M463" s="31">
        <v>7.5</v>
      </c>
      <c r="P463" s="31">
        <v>8</v>
      </c>
      <c r="Q463" s="232">
        <f t="shared" si="196"/>
        <v>1</v>
      </c>
      <c r="R463" s="40">
        <v>0.85</v>
      </c>
      <c r="S463" s="334">
        <f t="shared" si="197"/>
        <v>0.85</v>
      </c>
      <c r="T463" s="31">
        <f>VLOOKUP(A463,'Ansvar kurs'!$A$1:$C$1010,2,FALSE)</f>
        <v>5730</v>
      </c>
      <c r="U463" s="31" t="str">
        <f>VLOOKUP(T463,Orgenheter!$A$1:$C$165,2,FALSE)</f>
        <v>Inst för MA och MA statistik</v>
      </c>
      <c r="V463" s="31" t="str">
        <f>VLOOKUP(T463,Orgenheter!$A$1:$C$165,3,FALSE)</f>
        <v>TekNat</v>
      </c>
      <c r="W463" s="37" t="str">
        <f>VLOOKUP(D463,Program!$A$1:$B$34,2,FALSE)</f>
        <v>Ämneslärarprogrammet - Gy</v>
      </c>
      <c r="X463" s="42">
        <f>VLOOKUP(A463,kurspris!$A$1:$Q$798,15,FALSE)</f>
        <v>19473</v>
      </c>
      <c r="Y463" s="42">
        <f>VLOOKUP(A463,kurspris!$A$1:$Q$798,16,FALSE)</f>
        <v>34806</v>
      </c>
      <c r="Z463" s="42">
        <f t="shared" si="198"/>
        <v>49058.1</v>
      </c>
      <c r="AA463" s="42">
        <f>VLOOKUP(A463,kurspris!$A$1:$Q$798,17,FALSE)</f>
        <v>21800</v>
      </c>
      <c r="AB463" s="42">
        <f t="shared" si="199"/>
        <v>21800</v>
      </c>
      <c r="AC463" s="42">
        <f t="shared" si="200"/>
        <v>70858.100000000006</v>
      </c>
      <c r="AD463" s="31">
        <f>VLOOKUP($A463,kurspris!$A$1:$Q$835,3,FALSE)</f>
        <v>0</v>
      </c>
      <c r="AE463" s="31">
        <f>VLOOKUP($A463,kurspris!$A$1:$Q$835,4,FALSE)</f>
        <v>0</v>
      </c>
      <c r="AF463" s="31">
        <f>VLOOKUP($A463,kurspris!$A$1:$Q$835,5,FALSE)</f>
        <v>0</v>
      </c>
      <c r="AG463" s="31">
        <f>VLOOKUP($A463,kurspris!$A$1:$Q$835,6,FALSE)</f>
        <v>0</v>
      </c>
      <c r="AH463" s="31">
        <f>VLOOKUP($A463,kurspris!$A$1:$Q$835,7,FALSE)</f>
        <v>0</v>
      </c>
      <c r="AI463" s="31">
        <f>VLOOKUP($A463,kurspris!$A$1:$Q$835,8,FALSE)</f>
        <v>0.5</v>
      </c>
      <c r="AJ463" s="31">
        <f>VLOOKUP($A463,kurspris!$A$1:$Q$835,9,FALSE)</f>
        <v>0</v>
      </c>
      <c r="AK463" s="31">
        <f>VLOOKUP($A463,kurspris!$A$1:$Q$835,10,FALSE)</f>
        <v>0.5</v>
      </c>
      <c r="AL463" s="31">
        <f>VLOOKUP($A463,kurspris!$A$1:$Q$835,11,FALSE)</f>
        <v>0</v>
      </c>
      <c r="AM463" s="31">
        <f>VLOOKUP($A463,kurspris!$A$1:$Q$835,12,FALSE)</f>
        <v>0</v>
      </c>
      <c r="AN463" s="31">
        <f>VLOOKUP($A463,kurspris!$A$1:$Q$835,13,FALSE)</f>
        <v>0</v>
      </c>
      <c r="AO463" s="31">
        <f>VLOOKUP($A463,kurspris!$A$1:$Q$835,14,FALSE)</f>
        <v>0</v>
      </c>
      <c r="AP463" s="39" t="s">
        <v>2326</v>
      </c>
      <c r="AQ463"/>
      <c r="AR463" s="31">
        <f t="shared" si="201"/>
        <v>0</v>
      </c>
      <c r="AS463" s="255">
        <f t="shared" si="202"/>
        <v>0</v>
      </c>
      <c r="AT463" s="31">
        <f t="shared" si="203"/>
        <v>0</v>
      </c>
      <c r="AU463" s="255">
        <f t="shared" si="204"/>
        <v>0</v>
      </c>
      <c r="AV463" s="31">
        <f t="shared" si="205"/>
        <v>0</v>
      </c>
      <c r="AW463" s="31">
        <f t="shared" si="206"/>
        <v>0</v>
      </c>
      <c r="AX463" s="31">
        <f t="shared" si="207"/>
        <v>0</v>
      </c>
      <c r="AY463" s="255">
        <f t="shared" si="208"/>
        <v>0</v>
      </c>
      <c r="AZ463" s="232">
        <f t="shared" si="209"/>
        <v>0</v>
      </c>
      <c r="BA463" s="255">
        <f t="shared" si="210"/>
        <v>0</v>
      </c>
      <c r="BB463" s="31">
        <f t="shared" si="211"/>
        <v>0.5</v>
      </c>
      <c r="BC463" s="255">
        <f t="shared" si="212"/>
        <v>0.42499999999999999</v>
      </c>
      <c r="BD463" s="31">
        <f t="shared" si="213"/>
        <v>0</v>
      </c>
      <c r="BE463" s="255">
        <f t="shared" si="214"/>
        <v>0</v>
      </c>
      <c r="BF463" s="31">
        <f t="shared" si="215"/>
        <v>0.5</v>
      </c>
      <c r="BG463" s="255">
        <f t="shared" si="216"/>
        <v>0.42499999999999999</v>
      </c>
      <c r="BH463" s="31">
        <f t="shared" si="217"/>
        <v>0</v>
      </c>
      <c r="BI463" s="255">
        <f t="shared" si="218"/>
        <v>0</v>
      </c>
      <c r="BJ463" s="31">
        <f t="shared" si="219"/>
        <v>0</v>
      </c>
      <c r="BK463" s="31">
        <f t="shared" si="220"/>
        <v>0</v>
      </c>
      <c r="BL463" s="255">
        <f t="shared" si="221"/>
        <v>0</v>
      </c>
      <c r="BM463" s="31">
        <f t="shared" si="222"/>
        <v>0</v>
      </c>
      <c r="BN463" s="255">
        <f t="shared" si="223"/>
        <v>0</v>
      </c>
    </row>
    <row r="464" spans="1:66" x14ac:dyDescent="0.25">
      <c r="A464" s="18" t="s">
        <v>2050</v>
      </c>
      <c r="B464" s="186" t="str">
        <f>VLOOKUP(A464,kurspris!$A$1:$B$877,2,FALSE)</f>
        <v>Flervariabelanalys</v>
      </c>
      <c r="C464" s="37"/>
      <c r="D464" t="s">
        <v>117</v>
      </c>
      <c r="E464"/>
      <c r="F464" s="59" t="s">
        <v>1930</v>
      </c>
      <c r="G464"/>
      <c r="H464"/>
      <c r="I464" t="s">
        <v>1634</v>
      </c>
      <c r="L464">
        <v>100</v>
      </c>
      <c r="M464">
        <v>7.5</v>
      </c>
      <c r="P464" s="31">
        <v>2</v>
      </c>
      <c r="Q464" s="232">
        <f t="shared" si="196"/>
        <v>0.25</v>
      </c>
      <c r="R464" s="40">
        <v>0.8</v>
      </c>
      <c r="S464" s="334">
        <f t="shared" si="197"/>
        <v>0.2</v>
      </c>
      <c r="T464" s="31">
        <f>VLOOKUP(A464,'Ansvar kurs'!$A$1:$C$1010,2,FALSE)</f>
        <v>5730</v>
      </c>
      <c r="U464" s="31" t="str">
        <f>VLOOKUP(T464,Orgenheter!$A$1:$C$165,2,FALSE)</f>
        <v>Inst för MA och MA statistik</v>
      </c>
      <c r="V464" s="31" t="str">
        <f>VLOOKUP(T464,Orgenheter!$A$1:$C$165,3,FALSE)</f>
        <v>TekNat</v>
      </c>
      <c r="W464" s="37" t="str">
        <f>VLOOKUP(D464,Program!$A$1:$B$34,2,FALSE)</f>
        <v>Fristående och övriga kurser</v>
      </c>
      <c r="X464" s="42">
        <f>VLOOKUP(A464,kurspris!$A$1:$Q$798,15,FALSE)</f>
        <v>19473</v>
      </c>
      <c r="Y464" s="42">
        <f>VLOOKUP(A464,kurspris!$A$1:$Q$798,16,FALSE)</f>
        <v>34806</v>
      </c>
      <c r="Z464" s="42">
        <f t="shared" si="198"/>
        <v>11829.45</v>
      </c>
      <c r="AA464" s="42">
        <f>VLOOKUP(A464,kurspris!$A$1:$Q$798,17,FALSE)</f>
        <v>21800</v>
      </c>
      <c r="AB464" s="42">
        <f t="shared" si="199"/>
        <v>5450</v>
      </c>
      <c r="AC464" s="42">
        <f t="shared" si="200"/>
        <v>17279.45</v>
      </c>
      <c r="AD464" s="31">
        <f>VLOOKUP($A464,kurspris!$A$1:$Q$835,3,FALSE)</f>
        <v>0</v>
      </c>
      <c r="AE464" s="31">
        <f>VLOOKUP($A464,kurspris!$A$1:$Q$835,4,FALSE)</f>
        <v>0</v>
      </c>
      <c r="AF464" s="31">
        <f>VLOOKUP($A464,kurspris!$A$1:$Q$835,5,FALSE)</f>
        <v>0</v>
      </c>
      <c r="AG464" s="31">
        <f>VLOOKUP($A464,kurspris!$A$1:$Q$835,6,FALSE)</f>
        <v>0</v>
      </c>
      <c r="AH464" s="31">
        <f>VLOOKUP($A464,kurspris!$A$1:$Q$835,7,FALSE)</f>
        <v>0</v>
      </c>
      <c r="AI464" s="31">
        <f>VLOOKUP($A464,kurspris!$A$1:$Q$835,8,FALSE)</f>
        <v>0.5</v>
      </c>
      <c r="AJ464" s="31">
        <f>VLOOKUP($A464,kurspris!$A$1:$Q$835,9,FALSE)</f>
        <v>0</v>
      </c>
      <c r="AK464" s="31">
        <f>VLOOKUP($A464,kurspris!$A$1:$Q$835,10,FALSE)</f>
        <v>0.5</v>
      </c>
      <c r="AL464" s="31">
        <f>VLOOKUP($A464,kurspris!$A$1:$Q$835,11,FALSE)</f>
        <v>0</v>
      </c>
      <c r="AM464" s="31">
        <f>VLOOKUP($A464,kurspris!$A$1:$Q$835,12,FALSE)</f>
        <v>0</v>
      </c>
      <c r="AN464" s="31">
        <f>VLOOKUP($A464,kurspris!$A$1:$Q$835,13,FALSE)</f>
        <v>0</v>
      </c>
      <c r="AO464" s="31">
        <f>VLOOKUP($A464,kurspris!$A$1:$Q$835,14,FALSE)</f>
        <v>0</v>
      </c>
      <c r="AP464" s="39" t="s">
        <v>2095</v>
      </c>
      <c r="AQ464"/>
      <c r="AR464" s="31">
        <f t="shared" si="201"/>
        <v>0</v>
      </c>
      <c r="AS464" s="255">
        <f t="shared" si="202"/>
        <v>0</v>
      </c>
      <c r="AT464" s="31">
        <f t="shared" si="203"/>
        <v>0</v>
      </c>
      <c r="AU464" s="255">
        <f t="shared" si="204"/>
        <v>0</v>
      </c>
      <c r="AV464" s="31">
        <f t="shared" si="205"/>
        <v>0</v>
      </c>
      <c r="AW464" s="31">
        <f t="shared" si="206"/>
        <v>0</v>
      </c>
      <c r="AX464" s="31">
        <f t="shared" si="207"/>
        <v>0</v>
      </c>
      <c r="AY464" s="255">
        <f t="shared" si="208"/>
        <v>0</v>
      </c>
      <c r="AZ464" s="232">
        <f t="shared" si="209"/>
        <v>0</v>
      </c>
      <c r="BA464" s="255">
        <f t="shared" si="210"/>
        <v>0</v>
      </c>
      <c r="BB464" s="31">
        <f t="shared" si="211"/>
        <v>0.125</v>
      </c>
      <c r="BC464" s="255">
        <f t="shared" si="212"/>
        <v>0.1</v>
      </c>
      <c r="BD464" s="31">
        <f t="shared" si="213"/>
        <v>0</v>
      </c>
      <c r="BE464" s="255">
        <f t="shared" si="214"/>
        <v>0</v>
      </c>
      <c r="BF464" s="31">
        <f t="shared" si="215"/>
        <v>0.125</v>
      </c>
      <c r="BG464" s="255">
        <f t="shared" si="216"/>
        <v>0.1</v>
      </c>
      <c r="BH464" s="31">
        <f t="shared" si="217"/>
        <v>0</v>
      </c>
      <c r="BI464" s="255">
        <f t="shared" si="218"/>
        <v>0</v>
      </c>
      <c r="BJ464" s="31">
        <f t="shared" si="219"/>
        <v>0</v>
      </c>
      <c r="BK464" s="31">
        <f t="shared" si="220"/>
        <v>0</v>
      </c>
      <c r="BL464" s="255">
        <f t="shared" si="221"/>
        <v>0</v>
      </c>
      <c r="BM464" s="31">
        <f t="shared" si="222"/>
        <v>0</v>
      </c>
      <c r="BN464" s="255">
        <f t="shared" si="223"/>
        <v>0</v>
      </c>
    </row>
    <row r="465" spans="1:66" x14ac:dyDescent="0.25">
      <c r="A465" t="s">
        <v>2050</v>
      </c>
      <c r="B465" s="186" t="str">
        <f>VLOOKUP(A465,kurspris!$A$1:$B$877,2,FALSE)</f>
        <v>Flervariabelanalys</v>
      </c>
      <c r="C465"/>
      <c r="D465" t="s">
        <v>483</v>
      </c>
      <c r="E465" t="s">
        <v>1994</v>
      </c>
      <c r="F465" s="59" t="s">
        <v>1930</v>
      </c>
      <c r="G465" t="s">
        <v>1936</v>
      </c>
      <c r="H465" t="s">
        <v>1910</v>
      </c>
      <c r="I465"/>
      <c r="J465" t="s">
        <v>774</v>
      </c>
      <c r="K465"/>
      <c r="L465">
        <v>100</v>
      </c>
      <c r="M465">
        <v>7.5</v>
      </c>
      <c r="N465"/>
      <c r="O465"/>
      <c r="P465" s="31">
        <v>0</v>
      </c>
      <c r="Q465" s="232">
        <f t="shared" si="196"/>
        <v>0</v>
      </c>
      <c r="R465" s="40">
        <v>0.85</v>
      </c>
      <c r="S465" s="334">
        <f t="shared" si="197"/>
        <v>0</v>
      </c>
      <c r="T465" s="31">
        <f>VLOOKUP(A465,'Ansvar kurs'!$A$1:$C$1010,2,FALSE)</f>
        <v>5730</v>
      </c>
      <c r="U465" s="31" t="str">
        <f>VLOOKUP(T465,Orgenheter!$A$1:$C$165,2,FALSE)</f>
        <v>Inst för MA och MA statistik</v>
      </c>
      <c r="V465" s="31" t="str">
        <f>VLOOKUP(T465,Orgenheter!$A$1:$C$165,3,FALSE)</f>
        <v>TekNat</v>
      </c>
      <c r="W465" s="37" t="str">
        <f>VLOOKUP(D465,Program!$A$1:$B$34,2,FALSE)</f>
        <v>Ämneslärarprogrammet - Gy</v>
      </c>
      <c r="X465" s="42">
        <f>VLOOKUP(A465,kurspris!$A$1:$Q$798,15,FALSE)</f>
        <v>19473</v>
      </c>
      <c r="Y465" s="42">
        <f>VLOOKUP(A465,kurspris!$A$1:$Q$798,16,FALSE)</f>
        <v>34806</v>
      </c>
      <c r="Z465" s="42">
        <f t="shared" si="198"/>
        <v>0</v>
      </c>
      <c r="AA465" s="42">
        <f>VLOOKUP(A465,kurspris!$A$1:$Q$798,17,FALSE)</f>
        <v>21800</v>
      </c>
      <c r="AB465" s="42">
        <f t="shared" si="199"/>
        <v>0</v>
      </c>
      <c r="AC465" s="42">
        <f t="shared" si="200"/>
        <v>0</v>
      </c>
      <c r="AD465" s="31">
        <f>VLOOKUP($A465,kurspris!$A$1:$Q$835,3,FALSE)</f>
        <v>0</v>
      </c>
      <c r="AE465" s="31">
        <f>VLOOKUP($A465,kurspris!$A$1:$Q$835,4,FALSE)</f>
        <v>0</v>
      </c>
      <c r="AF465" s="31">
        <f>VLOOKUP($A465,kurspris!$A$1:$Q$835,5,FALSE)</f>
        <v>0</v>
      </c>
      <c r="AG465" s="31">
        <f>VLOOKUP($A465,kurspris!$A$1:$Q$835,6,FALSE)</f>
        <v>0</v>
      </c>
      <c r="AH465" s="31">
        <f>VLOOKUP($A465,kurspris!$A$1:$Q$835,7,FALSE)</f>
        <v>0</v>
      </c>
      <c r="AI465" s="31">
        <f>VLOOKUP($A465,kurspris!$A$1:$Q$835,8,FALSE)</f>
        <v>0.5</v>
      </c>
      <c r="AJ465" s="31">
        <f>VLOOKUP($A465,kurspris!$A$1:$Q$835,9,FALSE)</f>
        <v>0</v>
      </c>
      <c r="AK465" s="31">
        <f>VLOOKUP($A465,kurspris!$A$1:$Q$835,10,FALSE)</f>
        <v>0.5</v>
      </c>
      <c r="AL465" s="31">
        <f>VLOOKUP($A465,kurspris!$A$1:$Q$835,11,FALSE)</f>
        <v>0</v>
      </c>
      <c r="AM465" s="31">
        <f>VLOOKUP($A465,kurspris!$A$1:$Q$835,12,FALSE)</f>
        <v>0</v>
      </c>
      <c r="AN465" s="31">
        <f>VLOOKUP($A465,kurspris!$A$1:$Q$835,13,FALSE)</f>
        <v>0</v>
      </c>
      <c r="AO465" s="31">
        <f>VLOOKUP($A465,kurspris!$A$1:$Q$835,14,FALSE)</f>
        <v>0</v>
      </c>
      <c r="AP465" s="39" t="s">
        <v>2204</v>
      </c>
      <c r="AQ465"/>
      <c r="AR465" s="31">
        <f t="shared" si="201"/>
        <v>0</v>
      </c>
      <c r="AS465" s="255">
        <f t="shared" si="202"/>
        <v>0</v>
      </c>
      <c r="AT465" s="31">
        <f t="shared" si="203"/>
        <v>0</v>
      </c>
      <c r="AU465" s="255">
        <f t="shared" si="204"/>
        <v>0</v>
      </c>
      <c r="AV465" s="31">
        <f t="shared" si="205"/>
        <v>0</v>
      </c>
      <c r="AW465" s="31">
        <f t="shared" si="206"/>
        <v>0</v>
      </c>
      <c r="AX465" s="31">
        <f t="shared" si="207"/>
        <v>0</v>
      </c>
      <c r="AY465" s="255">
        <f t="shared" si="208"/>
        <v>0</v>
      </c>
      <c r="AZ465" s="232">
        <f t="shared" si="209"/>
        <v>0</v>
      </c>
      <c r="BA465" s="255">
        <f t="shared" si="210"/>
        <v>0</v>
      </c>
      <c r="BB465" s="31">
        <f t="shared" si="211"/>
        <v>0</v>
      </c>
      <c r="BC465" s="255">
        <f t="shared" si="212"/>
        <v>0</v>
      </c>
      <c r="BD465" s="31">
        <f t="shared" si="213"/>
        <v>0</v>
      </c>
      <c r="BE465" s="255">
        <f t="shared" si="214"/>
        <v>0</v>
      </c>
      <c r="BF465" s="31">
        <f t="shared" si="215"/>
        <v>0</v>
      </c>
      <c r="BG465" s="255">
        <f t="shared" si="216"/>
        <v>0</v>
      </c>
      <c r="BH465" s="31">
        <f t="shared" si="217"/>
        <v>0</v>
      </c>
      <c r="BI465" s="255">
        <f t="shared" si="218"/>
        <v>0</v>
      </c>
      <c r="BJ465" s="31">
        <f t="shared" si="219"/>
        <v>0</v>
      </c>
      <c r="BK465" s="31">
        <f t="shared" si="220"/>
        <v>0</v>
      </c>
      <c r="BL465" s="255">
        <f t="shared" si="221"/>
        <v>0</v>
      </c>
      <c r="BM465" s="31">
        <f t="shared" si="222"/>
        <v>0</v>
      </c>
      <c r="BN465" s="255">
        <f t="shared" si="223"/>
        <v>0</v>
      </c>
    </row>
    <row r="466" spans="1:66" x14ac:dyDescent="0.25">
      <c r="A466" t="s">
        <v>2050</v>
      </c>
      <c r="B466" s="186" t="str">
        <f>VLOOKUP(A466,kurspris!$A$1:$B$877,2,FALSE)</f>
        <v>Flervariabelanalys</v>
      </c>
      <c r="C466"/>
      <c r="D466" t="s">
        <v>483</v>
      </c>
      <c r="E466" t="s">
        <v>1973</v>
      </c>
      <c r="F466" s="59" t="s">
        <v>1930</v>
      </c>
      <c r="G466" t="s">
        <v>1936</v>
      </c>
      <c r="H466" t="s">
        <v>1910</v>
      </c>
      <c r="I466"/>
      <c r="J466" t="s">
        <v>774</v>
      </c>
      <c r="K466"/>
      <c r="L466">
        <v>100</v>
      </c>
      <c r="M466">
        <v>7.5</v>
      </c>
      <c r="N466"/>
      <c r="O466"/>
      <c r="P466" s="31">
        <v>1</v>
      </c>
      <c r="Q466" s="232">
        <f t="shared" si="196"/>
        <v>0.125</v>
      </c>
      <c r="R466" s="40">
        <v>0.85</v>
      </c>
      <c r="S466" s="334">
        <f t="shared" si="197"/>
        <v>0.10625</v>
      </c>
      <c r="T466" s="31">
        <f>VLOOKUP(A466,'Ansvar kurs'!$A$1:$C$1010,2,FALSE)</f>
        <v>5730</v>
      </c>
      <c r="U466" s="31" t="str">
        <f>VLOOKUP(T466,Orgenheter!$A$1:$C$165,2,FALSE)</f>
        <v>Inst för MA och MA statistik</v>
      </c>
      <c r="V466" s="31" t="str">
        <f>VLOOKUP(T466,Orgenheter!$A$1:$C$165,3,FALSE)</f>
        <v>TekNat</v>
      </c>
      <c r="W466" s="37" t="str">
        <f>VLOOKUP(D466,Program!$A$1:$B$34,2,FALSE)</f>
        <v>Ämneslärarprogrammet - Gy</v>
      </c>
      <c r="X466" s="42">
        <f>VLOOKUP(A466,kurspris!$A$1:$Q$798,15,FALSE)</f>
        <v>19473</v>
      </c>
      <c r="Y466" s="42">
        <f>VLOOKUP(A466,kurspris!$A$1:$Q$798,16,FALSE)</f>
        <v>34806</v>
      </c>
      <c r="Z466" s="42">
        <f t="shared" si="198"/>
        <v>6132.2624999999998</v>
      </c>
      <c r="AA466" s="42">
        <f>VLOOKUP(A466,kurspris!$A$1:$Q$798,17,FALSE)</f>
        <v>21800</v>
      </c>
      <c r="AB466" s="42">
        <f t="shared" si="199"/>
        <v>2725</v>
      </c>
      <c r="AC466" s="42">
        <f t="shared" si="200"/>
        <v>8857.2625000000007</v>
      </c>
      <c r="AD466" s="31">
        <f>VLOOKUP($A466,kurspris!$A$1:$Q$835,3,FALSE)</f>
        <v>0</v>
      </c>
      <c r="AE466" s="31">
        <f>VLOOKUP($A466,kurspris!$A$1:$Q$835,4,FALSE)</f>
        <v>0</v>
      </c>
      <c r="AF466" s="31">
        <f>VLOOKUP($A466,kurspris!$A$1:$Q$835,5,FALSE)</f>
        <v>0</v>
      </c>
      <c r="AG466" s="31">
        <f>VLOOKUP($A466,kurspris!$A$1:$Q$835,6,FALSE)</f>
        <v>0</v>
      </c>
      <c r="AH466" s="31">
        <f>VLOOKUP($A466,kurspris!$A$1:$Q$835,7,FALSE)</f>
        <v>0</v>
      </c>
      <c r="AI466" s="31">
        <f>VLOOKUP($A466,kurspris!$A$1:$Q$835,8,FALSE)</f>
        <v>0.5</v>
      </c>
      <c r="AJ466" s="31">
        <f>VLOOKUP($A466,kurspris!$A$1:$Q$835,9,FALSE)</f>
        <v>0</v>
      </c>
      <c r="AK466" s="31">
        <f>VLOOKUP($A466,kurspris!$A$1:$Q$835,10,FALSE)</f>
        <v>0.5</v>
      </c>
      <c r="AL466" s="31">
        <f>VLOOKUP($A466,kurspris!$A$1:$Q$835,11,FALSE)</f>
        <v>0</v>
      </c>
      <c r="AM466" s="31">
        <f>VLOOKUP($A466,kurspris!$A$1:$Q$835,12,FALSE)</f>
        <v>0</v>
      </c>
      <c r="AN466" s="31">
        <f>VLOOKUP($A466,kurspris!$A$1:$Q$835,13,FALSE)</f>
        <v>0</v>
      </c>
      <c r="AO466" s="31">
        <f>VLOOKUP($A466,kurspris!$A$1:$Q$835,14,FALSE)</f>
        <v>0</v>
      </c>
      <c r="AP466" s="39" t="s">
        <v>2204</v>
      </c>
      <c r="AQ466"/>
      <c r="AR466" s="31">
        <f t="shared" si="201"/>
        <v>0</v>
      </c>
      <c r="AS466" s="255">
        <f t="shared" si="202"/>
        <v>0</v>
      </c>
      <c r="AT466" s="31">
        <f t="shared" si="203"/>
        <v>0</v>
      </c>
      <c r="AU466" s="255">
        <f t="shared" si="204"/>
        <v>0</v>
      </c>
      <c r="AV466" s="31">
        <f t="shared" si="205"/>
        <v>0</v>
      </c>
      <c r="AW466" s="31">
        <f t="shared" si="206"/>
        <v>0</v>
      </c>
      <c r="AX466" s="31">
        <f t="shared" si="207"/>
        <v>0</v>
      </c>
      <c r="AY466" s="255">
        <f t="shared" si="208"/>
        <v>0</v>
      </c>
      <c r="AZ466" s="232">
        <f t="shared" si="209"/>
        <v>0</v>
      </c>
      <c r="BA466" s="255">
        <f t="shared" si="210"/>
        <v>0</v>
      </c>
      <c r="BB466" s="31">
        <f t="shared" si="211"/>
        <v>6.25E-2</v>
      </c>
      <c r="BC466" s="255">
        <f t="shared" si="212"/>
        <v>5.3124999999999999E-2</v>
      </c>
      <c r="BD466" s="31">
        <f t="shared" si="213"/>
        <v>0</v>
      </c>
      <c r="BE466" s="255">
        <f t="shared" si="214"/>
        <v>0</v>
      </c>
      <c r="BF466" s="31">
        <f t="shared" si="215"/>
        <v>6.25E-2</v>
      </c>
      <c r="BG466" s="255">
        <f t="shared" si="216"/>
        <v>5.3124999999999999E-2</v>
      </c>
      <c r="BH466" s="31">
        <f t="shared" si="217"/>
        <v>0</v>
      </c>
      <c r="BI466" s="255">
        <f t="shared" si="218"/>
        <v>0</v>
      </c>
      <c r="BJ466" s="31">
        <f t="shared" si="219"/>
        <v>0</v>
      </c>
      <c r="BK466" s="31">
        <f t="shared" si="220"/>
        <v>0</v>
      </c>
      <c r="BL466" s="255">
        <f t="shared" si="221"/>
        <v>0</v>
      </c>
      <c r="BM466" s="31">
        <f t="shared" si="222"/>
        <v>0</v>
      </c>
      <c r="BN466" s="255">
        <f t="shared" si="223"/>
        <v>0</v>
      </c>
    </row>
    <row r="467" spans="1:66" x14ac:dyDescent="0.25">
      <c r="A467" t="s">
        <v>2050</v>
      </c>
      <c r="B467" s="186" t="str">
        <f>VLOOKUP(A467,kurspris!$A$1:$B$877,2,FALSE)</f>
        <v>Flervariabelanalys</v>
      </c>
      <c r="C467"/>
      <c r="D467" t="s">
        <v>483</v>
      </c>
      <c r="E467" t="s">
        <v>1609</v>
      </c>
      <c r="F467" s="59" t="s">
        <v>1930</v>
      </c>
      <c r="G467" t="s">
        <v>1936</v>
      </c>
      <c r="H467" t="s">
        <v>1910</v>
      </c>
      <c r="I467"/>
      <c r="J467" t="s">
        <v>774</v>
      </c>
      <c r="K467"/>
      <c r="L467">
        <v>100</v>
      </c>
      <c r="M467">
        <v>7.5</v>
      </c>
      <c r="N467"/>
      <c r="O467"/>
      <c r="P467" s="31">
        <v>2</v>
      </c>
      <c r="Q467" s="232">
        <f t="shared" si="196"/>
        <v>0.25</v>
      </c>
      <c r="R467" s="40">
        <v>0.85</v>
      </c>
      <c r="S467" s="334">
        <f t="shared" si="197"/>
        <v>0.21249999999999999</v>
      </c>
      <c r="T467" s="31">
        <f>VLOOKUP(A467,'Ansvar kurs'!$A$1:$C$1010,2,FALSE)</f>
        <v>5730</v>
      </c>
      <c r="U467" s="31" t="str">
        <f>VLOOKUP(T467,Orgenheter!$A$1:$C$165,2,FALSE)</f>
        <v>Inst för MA och MA statistik</v>
      </c>
      <c r="V467" s="31" t="str">
        <f>VLOOKUP(T467,Orgenheter!$A$1:$C$165,3,FALSE)</f>
        <v>TekNat</v>
      </c>
      <c r="W467" s="37" t="str">
        <f>VLOOKUP(D467,Program!$A$1:$B$34,2,FALSE)</f>
        <v>Ämneslärarprogrammet - Gy</v>
      </c>
      <c r="X467" s="42">
        <f>VLOOKUP(A467,kurspris!$A$1:$Q$798,15,FALSE)</f>
        <v>19473</v>
      </c>
      <c r="Y467" s="42">
        <f>VLOOKUP(A467,kurspris!$A$1:$Q$798,16,FALSE)</f>
        <v>34806</v>
      </c>
      <c r="Z467" s="42">
        <f t="shared" si="198"/>
        <v>12264.525</v>
      </c>
      <c r="AA467" s="42">
        <f>VLOOKUP(A467,kurspris!$A$1:$Q$798,17,FALSE)</f>
        <v>21800</v>
      </c>
      <c r="AB467" s="42">
        <f t="shared" si="199"/>
        <v>5450</v>
      </c>
      <c r="AC467" s="42">
        <f t="shared" si="200"/>
        <v>17714.525000000001</v>
      </c>
      <c r="AD467" s="31">
        <f>VLOOKUP($A467,kurspris!$A$1:$Q$835,3,FALSE)</f>
        <v>0</v>
      </c>
      <c r="AE467" s="31">
        <f>VLOOKUP($A467,kurspris!$A$1:$Q$835,4,FALSE)</f>
        <v>0</v>
      </c>
      <c r="AF467" s="31">
        <f>VLOOKUP($A467,kurspris!$A$1:$Q$835,5,FALSE)</f>
        <v>0</v>
      </c>
      <c r="AG467" s="31">
        <f>VLOOKUP($A467,kurspris!$A$1:$Q$835,6,FALSE)</f>
        <v>0</v>
      </c>
      <c r="AH467" s="31">
        <f>VLOOKUP($A467,kurspris!$A$1:$Q$835,7,FALSE)</f>
        <v>0</v>
      </c>
      <c r="AI467" s="31">
        <f>VLOOKUP($A467,kurspris!$A$1:$Q$835,8,FALSE)</f>
        <v>0.5</v>
      </c>
      <c r="AJ467" s="31">
        <f>VLOOKUP($A467,kurspris!$A$1:$Q$835,9,FALSE)</f>
        <v>0</v>
      </c>
      <c r="AK467" s="31">
        <f>VLOOKUP($A467,kurspris!$A$1:$Q$835,10,FALSE)</f>
        <v>0.5</v>
      </c>
      <c r="AL467" s="31">
        <f>VLOOKUP($A467,kurspris!$A$1:$Q$835,11,FALSE)</f>
        <v>0</v>
      </c>
      <c r="AM467" s="31">
        <f>VLOOKUP($A467,kurspris!$A$1:$Q$835,12,FALSE)</f>
        <v>0</v>
      </c>
      <c r="AN467" s="31">
        <f>VLOOKUP($A467,kurspris!$A$1:$Q$835,13,FALSE)</f>
        <v>0</v>
      </c>
      <c r="AO467" s="31">
        <f>VLOOKUP($A467,kurspris!$A$1:$Q$835,14,FALSE)</f>
        <v>0</v>
      </c>
      <c r="AP467" s="39" t="s">
        <v>2204</v>
      </c>
      <c r="AQ467"/>
      <c r="AR467" s="31">
        <f t="shared" si="201"/>
        <v>0</v>
      </c>
      <c r="AS467" s="255">
        <f t="shared" si="202"/>
        <v>0</v>
      </c>
      <c r="AT467" s="31">
        <f t="shared" si="203"/>
        <v>0</v>
      </c>
      <c r="AU467" s="255">
        <f t="shared" si="204"/>
        <v>0</v>
      </c>
      <c r="AV467" s="31">
        <f t="shared" si="205"/>
        <v>0</v>
      </c>
      <c r="AW467" s="31">
        <f t="shared" si="206"/>
        <v>0</v>
      </c>
      <c r="AX467" s="31">
        <f t="shared" si="207"/>
        <v>0</v>
      </c>
      <c r="AY467" s="255">
        <f t="shared" si="208"/>
        <v>0</v>
      </c>
      <c r="AZ467" s="232">
        <f t="shared" si="209"/>
        <v>0</v>
      </c>
      <c r="BA467" s="255">
        <f t="shared" si="210"/>
        <v>0</v>
      </c>
      <c r="BB467" s="31">
        <f t="shared" si="211"/>
        <v>0.125</v>
      </c>
      <c r="BC467" s="255">
        <f t="shared" si="212"/>
        <v>0.10625</v>
      </c>
      <c r="BD467" s="31">
        <f t="shared" si="213"/>
        <v>0</v>
      </c>
      <c r="BE467" s="255">
        <f t="shared" si="214"/>
        <v>0</v>
      </c>
      <c r="BF467" s="31">
        <f t="shared" si="215"/>
        <v>0.125</v>
      </c>
      <c r="BG467" s="255">
        <f t="shared" si="216"/>
        <v>0.10625</v>
      </c>
      <c r="BH467" s="31">
        <f t="shared" si="217"/>
        <v>0</v>
      </c>
      <c r="BI467" s="255">
        <f t="shared" si="218"/>
        <v>0</v>
      </c>
      <c r="BJ467" s="31">
        <f t="shared" si="219"/>
        <v>0</v>
      </c>
      <c r="BK467" s="31">
        <f t="shared" si="220"/>
        <v>0</v>
      </c>
      <c r="BL467" s="255">
        <f t="shared" si="221"/>
        <v>0</v>
      </c>
      <c r="BM467" s="31">
        <f t="shared" si="222"/>
        <v>0</v>
      </c>
      <c r="BN467" s="255">
        <f t="shared" si="223"/>
        <v>0</v>
      </c>
    </row>
    <row r="468" spans="1:66" x14ac:dyDescent="0.25">
      <c r="A468" s="18" t="s">
        <v>1911</v>
      </c>
      <c r="B468" s="186" t="str">
        <f>VLOOKUP(A468,kurspris!$A$1:$B$877,2,FALSE)</f>
        <v>Matematikens historia</v>
      </c>
      <c r="C468" s="37"/>
      <c r="D468" t="s">
        <v>117</v>
      </c>
      <c r="E468"/>
      <c r="F468" s="59" t="s">
        <v>1931</v>
      </c>
      <c r="G468"/>
      <c r="H468"/>
      <c r="I468" t="s">
        <v>1634</v>
      </c>
      <c r="L468">
        <v>100</v>
      </c>
      <c r="M468">
        <v>7.5</v>
      </c>
      <c r="P468">
        <v>8</v>
      </c>
      <c r="Q468" s="232">
        <f t="shared" si="196"/>
        <v>1</v>
      </c>
      <c r="R468" s="40">
        <v>0.8</v>
      </c>
      <c r="S468" s="334">
        <f t="shared" si="197"/>
        <v>0.8</v>
      </c>
      <c r="T468" s="31">
        <f>VLOOKUP(A468,'Ansvar kurs'!$A$1:$C$1010,2,FALSE)</f>
        <v>5730</v>
      </c>
      <c r="U468" s="31" t="str">
        <f>VLOOKUP(T468,Orgenheter!$A$1:$C$165,2,FALSE)</f>
        <v>Inst för MA och MA statistik</v>
      </c>
      <c r="V468" s="31" t="str">
        <f>VLOOKUP(T468,Orgenheter!$A$1:$C$165,3,FALSE)</f>
        <v>TekNat</v>
      </c>
      <c r="W468" s="37" t="str">
        <f>VLOOKUP(D468,Program!$A$1:$B$34,2,FALSE)</f>
        <v>Fristående och övriga kurser</v>
      </c>
      <c r="X468" s="42">
        <f>VLOOKUP(A468,kurspris!$A$1:$Q$798,15,FALSE)</f>
        <v>19473</v>
      </c>
      <c r="Y468" s="42">
        <f>VLOOKUP(A468,kurspris!$A$1:$Q$798,16,FALSE)</f>
        <v>34806</v>
      </c>
      <c r="Z468" s="42">
        <f t="shared" si="198"/>
        <v>47317.8</v>
      </c>
      <c r="AA468" s="42">
        <f>VLOOKUP(A468,kurspris!$A$1:$Q$798,17,FALSE)</f>
        <v>21800</v>
      </c>
      <c r="AB468" s="42">
        <f t="shared" si="199"/>
        <v>21800</v>
      </c>
      <c r="AC468" s="42">
        <f t="shared" si="200"/>
        <v>69117.8</v>
      </c>
      <c r="AD468" s="31">
        <f>VLOOKUP($A468,kurspris!$A$1:$Q$835,3,FALSE)</f>
        <v>0</v>
      </c>
      <c r="AE468" s="31">
        <f>VLOOKUP($A468,kurspris!$A$1:$Q$835,4,FALSE)</f>
        <v>0</v>
      </c>
      <c r="AF468" s="31">
        <f>VLOOKUP($A468,kurspris!$A$1:$Q$835,5,FALSE)</f>
        <v>0</v>
      </c>
      <c r="AG468" s="31">
        <f>VLOOKUP($A468,kurspris!$A$1:$Q$835,6,FALSE)</f>
        <v>0</v>
      </c>
      <c r="AH468" s="31">
        <f>VLOOKUP($A468,kurspris!$A$1:$Q$835,7,FALSE)</f>
        <v>0</v>
      </c>
      <c r="AI468" s="31">
        <f>VLOOKUP($A468,kurspris!$A$1:$Q$835,8,FALSE)</f>
        <v>1</v>
      </c>
      <c r="AJ468" s="31">
        <f>VLOOKUP($A468,kurspris!$A$1:$Q$835,9,FALSE)</f>
        <v>0</v>
      </c>
      <c r="AK468" s="31">
        <f>VLOOKUP($A468,kurspris!$A$1:$Q$835,10,FALSE)</f>
        <v>0</v>
      </c>
      <c r="AL468" s="31">
        <f>VLOOKUP($A468,kurspris!$A$1:$Q$835,11,FALSE)</f>
        <v>0</v>
      </c>
      <c r="AM468" s="31">
        <f>VLOOKUP($A468,kurspris!$A$1:$Q$835,12,FALSE)</f>
        <v>0</v>
      </c>
      <c r="AN468" s="31">
        <f>VLOOKUP($A468,kurspris!$A$1:$Q$835,13,FALSE)</f>
        <v>0</v>
      </c>
      <c r="AO468" s="31">
        <f>VLOOKUP($A468,kurspris!$A$1:$Q$835,14,FALSE)</f>
        <v>0</v>
      </c>
      <c r="AP468" s="39" t="s">
        <v>2095</v>
      </c>
      <c r="AQ468"/>
      <c r="AR468" s="31">
        <f t="shared" si="201"/>
        <v>0</v>
      </c>
      <c r="AS468" s="255">
        <f t="shared" si="202"/>
        <v>0</v>
      </c>
      <c r="AT468" s="31">
        <f t="shared" si="203"/>
        <v>0</v>
      </c>
      <c r="AU468" s="255">
        <f t="shared" si="204"/>
        <v>0</v>
      </c>
      <c r="AV468" s="31">
        <f t="shared" si="205"/>
        <v>0</v>
      </c>
      <c r="AW468" s="31">
        <f t="shared" si="206"/>
        <v>0</v>
      </c>
      <c r="AX468" s="31">
        <f t="shared" si="207"/>
        <v>0</v>
      </c>
      <c r="AY468" s="255">
        <f t="shared" si="208"/>
        <v>0</v>
      </c>
      <c r="AZ468" s="232">
        <f t="shared" si="209"/>
        <v>0</v>
      </c>
      <c r="BA468" s="255">
        <f t="shared" si="210"/>
        <v>0</v>
      </c>
      <c r="BB468" s="31">
        <f t="shared" si="211"/>
        <v>1</v>
      </c>
      <c r="BC468" s="255">
        <f t="shared" si="212"/>
        <v>0.8</v>
      </c>
      <c r="BD468" s="31">
        <f t="shared" si="213"/>
        <v>0</v>
      </c>
      <c r="BE468" s="255">
        <f t="shared" si="214"/>
        <v>0</v>
      </c>
      <c r="BF468" s="31">
        <f t="shared" si="215"/>
        <v>0</v>
      </c>
      <c r="BG468" s="255">
        <f t="shared" si="216"/>
        <v>0</v>
      </c>
      <c r="BH468" s="31">
        <f t="shared" si="217"/>
        <v>0</v>
      </c>
      <c r="BI468" s="255">
        <f t="shared" si="218"/>
        <v>0</v>
      </c>
      <c r="BJ468" s="31">
        <f t="shared" si="219"/>
        <v>0</v>
      </c>
      <c r="BK468" s="31">
        <f t="shared" si="220"/>
        <v>0</v>
      </c>
      <c r="BL468" s="255">
        <f t="shared" si="221"/>
        <v>0</v>
      </c>
      <c r="BM468" s="31">
        <f t="shared" si="222"/>
        <v>0</v>
      </c>
      <c r="BN468" s="255">
        <f t="shared" si="223"/>
        <v>0</v>
      </c>
    </row>
    <row r="469" spans="1:66" x14ac:dyDescent="0.25">
      <c r="A469" s="18" t="s">
        <v>1911</v>
      </c>
      <c r="B469" s="186" t="str">
        <f>VLOOKUP(A469,kurspris!$A$1:$B$877,2,FALSE)</f>
        <v>Matematikens historia</v>
      </c>
      <c r="C469" s="37"/>
      <c r="D469" s="31" t="s">
        <v>483</v>
      </c>
      <c r="E469" s="31" t="s">
        <v>1973</v>
      </c>
      <c r="F469" s="59" t="s">
        <v>1931</v>
      </c>
      <c r="G469" s="31" t="s">
        <v>2274</v>
      </c>
      <c r="J469" t="s">
        <v>773</v>
      </c>
      <c r="L469" s="31">
        <v>100</v>
      </c>
      <c r="M469" s="31">
        <v>7.5</v>
      </c>
      <c r="P469" s="31">
        <v>2</v>
      </c>
      <c r="Q469" s="232">
        <f t="shared" si="196"/>
        <v>0.25</v>
      </c>
      <c r="R469" s="40">
        <v>0.85</v>
      </c>
      <c r="S469" s="334">
        <f t="shared" si="197"/>
        <v>0.21249999999999999</v>
      </c>
      <c r="T469" s="31">
        <f>VLOOKUP(A469,'Ansvar kurs'!$A$1:$C$1010,2,FALSE)</f>
        <v>5730</v>
      </c>
      <c r="U469" s="31" t="str">
        <f>VLOOKUP(T469,Orgenheter!$A$1:$C$165,2,FALSE)</f>
        <v>Inst för MA och MA statistik</v>
      </c>
      <c r="V469" s="31" t="str">
        <f>VLOOKUP(T469,Orgenheter!$A$1:$C$165,3,FALSE)</f>
        <v>TekNat</v>
      </c>
      <c r="W469" s="37" t="str">
        <f>VLOOKUP(D469,Program!$A$1:$B$34,2,FALSE)</f>
        <v>Ämneslärarprogrammet - Gy</v>
      </c>
      <c r="X469" s="42">
        <f>VLOOKUP(A469,kurspris!$A$1:$Q$798,15,FALSE)</f>
        <v>19473</v>
      </c>
      <c r="Y469" s="42">
        <f>VLOOKUP(A469,kurspris!$A$1:$Q$798,16,FALSE)</f>
        <v>34806</v>
      </c>
      <c r="Z469" s="42">
        <f t="shared" si="198"/>
        <v>12264.525</v>
      </c>
      <c r="AA469" s="42">
        <f>VLOOKUP(A469,kurspris!$A$1:$Q$798,17,FALSE)</f>
        <v>21800</v>
      </c>
      <c r="AB469" s="42">
        <f t="shared" si="199"/>
        <v>5450</v>
      </c>
      <c r="AC469" s="42">
        <f t="shared" si="200"/>
        <v>17714.525000000001</v>
      </c>
      <c r="AD469" s="31">
        <f>VLOOKUP($A469,kurspris!$A$1:$Q$835,3,FALSE)</f>
        <v>0</v>
      </c>
      <c r="AE469" s="31">
        <f>VLOOKUP($A469,kurspris!$A$1:$Q$835,4,FALSE)</f>
        <v>0</v>
      </c>
      <c r="AF469" s="31">
        <f>VLOOKUP($A469,kurspris!$A$1:$Q$835,5,FALSE)</f>
        <v>0</v>
      </c>
      <c r="AG469" s="31">
        <f>VLOOKUP($A469,kurspris!$A$1:$Q$835,6,FALSE)</f>
        <v>0</v>
      </c>
      <c r="AH469" s="31">
        <f>VLOOKUP($A469,kurspris!$A$1:$Q$835,7,FALSE)</f>
        <v>0</v>
      </c>
      <c r="AI469" s="31">
        <f>VLOOKUP($A469,kurspris!$A$1:$Q$835,8,FALSE)</f>
        <v>1</v>
      </c>
      <c r="AJ469" s="31">
        <f>VLOOKUP($A469,kurspris!$A$1:$Q$835,9,FALSE)</f>
        <v>0</v>
      </c>
      <c r="AK469" s="31">
        <f>VLOOKUP($A469,kurspris!$A$1:$Q$835,10,FALSE)</f>
        <v>0</v>
      </c>
      <c r="AL469" s="31">
        <f>VLOOKUP($A469,kurspris!$A$1:$Q$835,11,FALSE)</f>
        <v>0</v>
      </c>
      <c r="AM469" s="31">
        <f>VLOOKUP($A469,kurspris!$A$1:$Q$835,12,FALSE)</f>
        <v>0</v>
      </c>
      <c r="AN469" s="31">
        <f>VLOOKUP($A469,kurspris!$A$1:$Q$835,13,FALSE)</f>
        <v>0</v>
      </c>
      <c r="AO469" s="31">
        <f>VLOOKUP($A469,kurspris!$A$1:$Q$835,14,FALSE)</f>
        <v>0</v>
      </c>
      <c r="AP469" s="39" t="s">
        <v>2326</v>
      </c>
      <c r="AQ469"/>
      <c r="AR469" s="31">
        <f t="shared" si="201"/>
        <v>0</v>
      </c>
      <c r="AS469" s="255">
        <f t="shared" si="202"/>
        <v>0</v>
      </c>
      <c r="AT469" s="31">
        <f t="shared" si="203"/>
        <v>0</v>
      </c>
      <c r="AU469" s="255">
        <f t="shared" si="204"/>
        <v>0</v>
      </c>
      <c r="AV469" s="31">
        <f t="shared" si="205"/>
        <v>0</v>
      </c>
      <c r="AW469" s="31">
        <f t="shared" si="206"/>
        <v>0</v>
      </c>
      <c r="AX469" s="31">
        <f t="shared" si="207"/>
        <v>0</v>
      </c>
      <c r="AY469" s="255">
        <f t="shared" si="208"/>
        <v>0</v>
      </c>
      <c r="AZ469" s="232">
        <f t="shared" si="209"/>
        <v>0</v>
      </c>
      <c r="BA469" s="255">
        <f t="shared" si="210"/>
        <v>0</v>
      </c>
      <c r="BB469" s="31">
        <f t="shared" si="211"/>
        <v>0.25</v>
      </c>
      <c r="BC469" s="255">
        <f t="shared" si="212"/>
        <v>0.21249999999999999</v>
      </c>
      <c r="BD469" s="31">
        <f t="shared" si="213"/>
        <v>0</v>
      </c>
      <c r="BE469" s="255">
        <f t="shared" si="214"/>
        <v>0</v>
      </c>
      <c r="BF469" s="31">
        <f t="shared" si="215"/>
        <v>0</v>
      </c>
      <c r="BG469" s="255">
        <f t="shared" si="216"/>
        <v>0</v>
      </c>
      <c r="BH469" s="31">
        <f t="shared" si="217"/>
        <v>0</v>
      </c>
      <c r="BI469" s="255">
        <f t="shared" si="218"/>
        <v>0</v>
      </c>
      <c r="BJ469" s="31">
        <f t="shared" si="219"/>
        <v>0</v>
      </c>
      <c r="BK469" s="31">
        <f t="shared" si="220"/>
        <v>0</v>
      </c>
      <c r="BL469" s="255">
        <f t="shared" si="221"/>
        <v>0</v>
      </c>
      <c r="BM469" s="31">
        <f t="shared" si="222"/>
        <v>0</v>
      </c>
      <c r="BN469" s="255">
        <f t="shared" si="223"/>
        <v>0</v>
      </c>
    </row>
    <row r="470" spans="1:66" x14ac:dyDescent="0.25">
      <c r="A470" s="18" t="s">
        <v>1911</v>
      </c>
      <c r="B470" s="186" t="str">
        <f>VLOOKUP(A470,kurspris!$A$1:$B$877,2,FALSE)</f>
        <v>Matematikens historia</v>
      </c>
      <c r="C470" s="37"/>
      <c r="D470" s="31" t="s">
        <v>483</v>
      </c>
      <c r="E470" s="31" t="s">
        <v>1609</v>
      </c>
      <c r="F470" s="59" t="s">
        <v>1931</v>
      </c>
      <c r="G470" s="31" t="s">
        <v>2274</v>
      </c>
      <c r="J470" t="s">
        <v>774</v>
      </c>
      <c r="L470" s="31">
        <v>100</v>
      </c>
      <c r="M470" s="31">
        <v>7.5</v>
      </c>
      <c r="P470" s="31">
        <v>1</v>
      </c>
      <c r="Q470" s="232">
        <f t="shared" si="196"/>
        <v>0.125</v>
      </c>
      <c r="R470" s="40">
        <v>0.85</v>
      </c>
      <c r="S470" s="334">
        <f t="shared" si="197"/>
        <v>0.10625</v>
      </c>
      <c r="T470" s="31">
        <f>VLOOKUP(A470,'Ansvar kurs'!$A$1:$C$1010,2,FALSE)</f>
        <v>5730</v>
      </c>
      <c r="U470" s="31" t="str">
        <f>VLOOKUP(T470,Orgenheter!$A$1:$C$165,2,FALSE)</f>
        <v>Inst för MA och MA statistik</v>
      </c>
      <c r="V470" s="31" t="str">
        <f>VLOOKUP(T470,Orgenheter!$A$1:$C$165,3,FALSE)</f>
        <v>TekNat</v>
      </c>
      <c r="W470" s="37" t="str">
        <f>VLOOKUP(D470,Program!$A$1:$B$34,2,FALSE)</f>
        <v>Ämneslärarprogrammet - Gy</v>
      </c>
      <c r="X470" s="42">
        <f>VLOOKUP(A470,kurspris!$A$1:$Q$798,15,FALSE)</f>
        <v>19473</v>
      </c>
      <c r="Y470" s="42">
        <f>VLOOKUP(A470,kurspris!$A$1:$Q$798,16,FALSE)</f>
        <v>34806</v>
      </c>
      <c r="Z470" s="42">
        <f t="shared" si="198"/>
        <v>6132.2624999999998</v>
      </c>
      <c r="AA470" s="42">
        <f>VLOOKUP(A470,kurspris!$A$1:$Q$798,17,FALSE)</f>
        <v>21800</v>
      </c>
      <c r="AB470" s="42">
        <f t="shared" si="199"/>
        <v>2725</v>
      </c>
      <c r="AC470" s="42">
        <f t="shared" si="200"/>
        <v>8857.2625000000007</v>
      </c>
      <c r="AD470" s="31">
        <f>VLOOKUP($A470,kurspris!$A$1:$Q$835,3,FALSE)</f>
        <v>0</v>
      </c>
      <c r="AE470" s="31">
        <f>VLOOKUP($A470,kurspris!$A$1:$Q$835,4,FALSE)</f>
        <v>0</v>
      </c>
      <c r="AF470" s="31">
        <f>VLOOKUP($A470,kurspris!$A$1:$Q$835,5,FALSE)</f>
        <v>0</v>
      </c>
      <c r="AG470" s="31">
        <f>VLOOKUP($A470,kurspris!$A$1:$Q$835,6,FALSE)</f>
        <v>0</v>
      </c>
      <c r="AH470" s="31">
        <f>VLOOKUP($A470,kurspris!$A$1:$Q$835,7,FALSE)</f>
        <v>0</v>
      </c>
      <c r="AI470" s="31">
        <f>VLOOKUP($A470,kurspris!$A$1:$Q$835,8,FALSE)</f>
        <v>1</v>
      </c>
      <c r="AJ470" s="31">
        <f>VLOOKUP($A470,kurspris!$A$1:$Q$835,9,FALSE)</f>
        <v>0</v>
      </c>
      <c r="AK470" s="31">
        <f>VLOOKUP($A470,kurspris!$A$1:$Q$835,10,FALSE)</f>
        <v>0</v>
      </c>
      <c r="AL470" s="31">
        <f>VLOOKUP($A470,kurspris!$A$1:$Q$835,11,FALSE)</f>
        <v>0</v>
      </c>
      <c r="AM470" s="31">
        <f>VLOOKUP($A470,kurspris!$A$1:$Q$835,12,FALSE)</f>
        <v>0</v>
      </c>
      <c r="AN470" s="31">
        <f>VLOOKUP($A470,kurspris!$A$1:$Q$835,13,FALSE)</f>
        <v>0</v>
      </c>
      <c r="AO470" s="31">
        <f>VLOOKUP($A470,kurspris!$A$1:$Q$835,14,FALSE)</f>
        <v>0</v>
      </c>
      <c r="AP470" s="39" t="s">
        <v>2326</v>
      </c>
      <c r="AQ470"/>
      <c r="AR470" s="31">
        <f t="shared" si="201"/>
        <v>0</v>
      </c>
      <c r="AS470" s="255">
        <f t="shared" si="202"/>
        <v>0</v>
      </c>
      <c r="AT470" s="31">
        <f t="shared" si="203"/>
        <v>0</v>
      </c>
      <c r="AU470" s="255">
        <f t="shared" si="204"/>
        <v>0</v>
      </c>
      <c r="AV470" s="31">
        <f t="shared" si="205"/>
        <v>0</v>
      </c>
      <c r="AW470" s="31">
        <f t="shared" si="206"/>
        <v>0</v>
      </c>
      <c r="AX470" s="31">
        <f t="shared" si="207"/>
        <v>0</v>
      </c>
      <c r="AY470" s="255">
        <f t="shared" si="208"/>
        <v>0</v>
      </c>
      <c r="AZ470" s="232">
        <f t="shared" si="209"/>
        <v>0</v>
      </c>
      <c r="BA470" s="255">
        <f t="shared" si="210"/>
        <v>0</v>
      </c>
      <c r="BB470" s="31">
        <f t="shared" si="211"/>
        <v>0.125</v>
      </c>
      <c r="BC470" s="255">
        <f t="shared" si="212"/>
        <v>0.10625</v>
      </c>
      <c r="BD470" s="31">
        <f t="shared" si="213"/>
        <v>0</v>
      </c>
      <c r="BE470" s="255">
        <f t="shared" si="214"/>
        <v>0</v>
      </c>
      <c r="BF470" s="31">
        <f t="shared" si="215"/>
        <v>0</v>
      </c>
      <c r="BG470" s="255">
        <f t="shared" si="216"/>
        <v>0</v>
      </c>
      <c r="BH470" s="31">
        <f t="shared" si="217"/>
        <v>0</v>
      </c>
      <c r="BI470" s="255">
        <f t="shared" si="218"/>
        <v>0</v>
      </c>
      <c r="BJ470" s="31">
        <f t="shared" si="219"/>
        <v>0</v>
      </c>
      <c r="BK470" s="31">
        <f t="shared" si="220"/>
        <v>0</v>
      </c>
      <c r="BL470" s="255">
        <f t="shared" si="221"/>
        <v>0</v>
      </c>
      <c r="BM470" s="31">
        <f t="shared" si="222"/>
        <v>0</v>
      </c>
      <c r="BN470" s="255">
        <f t="shared" si="223"/>
        <v>0</v>
      </c>
    </row>
    <row r="471" spans="1:66" x14ac:dyDescent="0.25">
      <c r="A471" s="18" t="s">
        <v>1911</v>
      </c>
      <c r="B471" s="186" t="str">
        <f>VLOOKUP(A471,kurspris!$A$1:$B$877,2,FALSE)</f>
        <v>Matematikens historia</v>
      </c>
      <c r="C471" s="37"/>
      <c r="D471" s="31" t="s">
        <v>483</v>
      </c>
      <c r="E471" s="31" t="s">
        <v>1788</v>
      </c>
      <c r="F471" s="59" t="s">
        <v>1931</v>
      </c>
      <c r="G471" s="31" t="s">
        <v>2274</v>
      </c>
      <c r="J471" t="s">
        <v>774</v>
      </c>
      <c r="L471" s="31">
        <v>100</v>
      </c>
      <c r="M471" s="31">
        <v>7.5</v>
      </c>
      <c r="P471" s="31">
        <v>8</v>
      </c>
      <c r="Q471" s="232">
        <f t="shared" si="196"/>
        <v>1</v>
      </c>
      <c r="R471" s="40">
        <v>0.85</v>
      </c>
      <c r="S471" s="334">
        <f t="shared" si="197"/>
        <v>0.85</v>
      </c>
      <c r="T471" s="31">
        <f>VLOOKUP(A471,'Ansvar kurs'!$A$1:$C$1010,2,FALSE)</f>
        <v>5730</v>
      </c>
      <c r="U471" s="31" t="str">
        <f>VLOOKUP(T471,Orgenheter!$A$1:$C$165,2,FALSE)</f>
        <v>Inst för MA och MA statistik</v>
      </c>
      <c r="V471" s="31" t="str">
        <f>VLOOKUP(T471,Orgenheter!$A$1:$C$165,3,FALSE)</f>
        <v>TekNat</v>
      </c>
      <c r="W471" s="37" t="str">
        <f>VLOOKUP(D471,Program!$A$1:$B$34,2,FALSE)</f>
        <v>Ämneslärarprogrammet - Gy</v>
      </c>
      <c r="X471" s="42">
        <f>VLOOKUP(A471,kurspris!$A$1:$Q$798,15,FALSE)</f>
        <v>19473</v>
      </c>
      <c r="Y471" s="42">
        <f>VLOOKUP(A471,kurspris!$A$1:$Q$798,16,FALSE)</f>
        <v>34806</v>
      </c>
      <c r="Z471" s="42">
        <f t="shared" si="198"/>
        <v>49058.1</v>
      </c>
      <c r="AA471" s="42">
        <f>VLOOKUP(A471,kurspris!$A$1:$Q$798,17,FALSE)</f>
        <v>21800</v>
      </c>
      <c r="AB471" s="42">
        <f t="shared" si="199"/>
        <v>21800</v>
      </c>
      <c r="AC471" s="42">
        <f t="shared" si="200"/>
        <v>70858.100000000006</v>
      </c>
      <c r="AD471" s="31">
        <f>VLOOKUP($A471,kurspris!$A$1:$Q$835,3,FALSE)</f>
        <v>0</v>
      </c>
      <c r="AE471" s="31">
        <f>VLOOKUP($A471,kurspris!$A$1:$Q$835,4,FALSE)</f>
        <v>0</v>
      </c>
      <c r="AF471" s="31">
        <f>VLOOKUP($A471,kurspris!$A$1:$Q$835,5,FALSE)</f>
        <v>0</v>
      </c>
      <c r="AG471" s="31">
        <f>VLOOKUP($A471,kurspris!$A$1:$Q$835,6,FALSE)</f>
        <v>0</v>
      </c>
      <c r="AH471" s="31">
        <f>VLOOKUP($A471,kurspris!$A$1:$Q$835,7,FALSE)</f>
        <v>0</v>
      </c>
      <c r="AI471" s="31">
        <f>VLOOKUP($A471,kurspris!$A$1:$Q$835,8,FALSE)</f>
        <v>1</v>
      </c>
      <c r="AJ471" s="31">
        <f>VLOOKUP($A471,kurspris!$A$1:$Q$835,9,FALSE)</f>
        <v>0</v>
      </c>
      <c r="AK471" s="31">
        <f>VLOOKUP($A471,kurspris!$A$1:$Q$835,10,FALSE)</f>
        <v>0</v>
      </c>
      <c r="AL471" s="31">
        <f>VLOOKUP($A471,kurspris!$A$1:$Q$835,11,FALSE)</f>
        <v>0</v>
      </c>
      <c r="AM471" s="31">
        <f>VLOOKUP($A471,kurspris!$A$1:$Q$835,12,FALSE)</f>
        <v>0</v>
      </c>
      <c r="AN471" s="31">
        <f>VLOOKUP($A471,kurspris!$A$1:$Q$835,13,FALSE)</f>
        <v>0</v>
      </c>
      <c r="AO471" s="31">
        <f>VLOOKUP($A471,kurspris!$A$1:$Q$835,14,FALSE)</f>
        <v>0</v>
      </c>
      <c r="AP471" s="39" t="s">
        <v>2326</v>
      </c>
      <c r="AQ471"/>
      <c r="AR471" s="31">
        <f t="shared" si="201"/>
        <v>0</v>
      </c>
      <c r="AS471" s="255">
        <f t="shared" si="202"/>
        <v>0</v>
      </c>
      <c r="AT471" s="31">
        <f t="shared" si="203"/>
        <v>0</v>
      </c>
      <c r="AU471" s="255">
        <f t="shared" si="204"/>
        <v>0</v>
      </c>
      <c r="AV471" s="31">
        <f t="shared" si="205"/>
        <v>0</v>
      </c>
      <c r="AW471" s="31">
        <f t="shared" si="206"/>
        <v>0</v>
      </c>
      <c r="AX471" s="31">
        <f t="shared" si="207"/>
        <v>0</v>
      </c>
      <c r="AY471" s="255">
        <f t="shared" si="208"/>
        <v>0</v>
      </c>
      <c r="AZ471" s="232">
        <f t="shared" si="209"/>
        <v>0</v>
      </c>
      <c r="BA471" s="255">
        <f t="shared" si="210"/>
        <v>0</v>
      </c>
      <c r="BB471" s="31">
        <f t="shared" si="211"/>
        <v>1</v>
      </c>
      <c r="BC471" s="255">
        <f t="shared" si="212"/>
        <v>0.85</v>
      </c>
      <c r="BD471" s="31">
        <f t="shared" si="213"/>
        <v>0</v>
      </c>
      <c r="BE471" s="255">
        <f t="shared" si="214"/>
        <v>0</v>
      </c>
      <c r="BF471" s="31">
        <f t="shared" si="215"/>
        <v>0</v>
      </c>
      <c r="BG471" s="255">
        <f t="shared" si="216"/>
        <v>0</v>
      </c>
      <c r="BH471" s="31">
        <f t="shared" si="217"/>
        <v>0</v>
      </c>
      <c r="BI471" s="255">
        <f t="shared" si="218"/>
        <v>0</v>
      </c>
      <c r="BJ471" s="31">
        <f t="shared" si="219"/>
        <v>0</v>
      </c>
      <c r="BK471" s="31">
        <f t="shared" si="220"/>
        <v>0</v>
      </c>
      <c r="BL471" s="255">
        <f t="shared" si="221"/>
        <v>0</v>
      </c>
      <c r="BM471" s="31">
        <f t="shared" si="222"/>
        <v>0</v>
      </c>
      <c r="BN471" s="255">
        <f t="shared" si="223"/>
        <v>0</v>
      </c>
    </row>
    <row r="472" spans="1:66" x14ac:dyDescent="0.25">
      <c r="A472" s="159" t="s">
        <v>1911</v>
      </c>
      <c r="B472" s="186" t="str">
        <f>VLOOKUP(A472,kurspris!$A$1:$B$877,2,FALSE)</f>
        <v>Matematikens historia</v>
      </c>
      <c r="C472" s="37"/>
      <c r="D472" s="31" t="s">
        <v>483</v>
      </c>
      <c r="E472" s="31" t="s">
        <v>1931</v>
      </c>
      <c r="F472" s="59" t="s">
        <v>1931</v>
      </c>
      <c r="G472" s="31" t="s">
        <v>2274</v>
      </c>
      <c r="J472" t="s">
        <v>774</v>
      </c>
      <c r="L472" s="31">
        <v>100</v>
      </c>
      <c r="M472" s="31">
        <v>7.5</v>
      </c>
      <c r="P472" s="31">
        <v>1</v>
      </c>
      <c r="Q472" s="232">
        <f t="shared" si="196"/>
        <v>0.125</v>
      </c>
      <c r="R472" s="40">
        <v>0.85</v>
      </c>
      <c r="S472" s="334">
        <f t="shared" si="197"/>
        <v>0.10625</v>
      </c>
      <c r="T472" s="31">
        <f>VLOOKUP(A472,'Ansvar kurs'!$A$1:$C$1010,2,FALSE)</f>
        <v>5730</v>
      </c>
      <c r="U472" s="31" t="str">
        <f>VLOOKUP(T472,Orgenheter!$A$1:$C$165,2,FALSE)</f>
        <v>Inst för MA och MA statistik</v>
      </c>
      <c r="V472" s="31" t="str">
        <f>VLOOKUP(T472,Orgenheter!$A$1:$C$165,3,FALSE)</f>
        <v>TekNat</v>
      </c>
      <c r="W472" s="37" t="str">
        <f>VLOOKUP(D472,Program!$A$1:$B$34,2,FALSE)</f>
        <v>Ämneslärarprogrammet - Gy</v>
      </c>
      <c r="X472" s="42">
        <f>VLOOKUP(A472,kurspris!$A$1:$Q$798,15,FALSE)</f>
        <v>19473</v>
      </c>
      <c r="Y472" s="42">
        <f>VLOOKUP(A472,kurspris!$A$1:$Q$798,16,FALSE)</f>
        <v>34806</v>
      </c>
      <c r="Z472" s="42">
        <f t="shared" ref="Z472" si="224">X472*Q472+S472*Y472</f>
        <v>6132.2624999999998</v>
      </c>
      <c r="AA472" s="42">
        <f>VLOOKUP(A472,kurspris!$A$1:$Q$798,17,FALSE)</f>
        <v>21800</v>
      </c>
      <c r="AB472" s="42">
        <f t="shared" ref="AB472" si="225">AA472*Q472</f>
        <v>2725</v>
      </c>
      <c r="AC472" s="42">
        <f t="shared" ref="AC472" si="226">Z472+AB472</f>
        <v>8857.2625000000007</v>
      </c>
      <c r="AD472" s="31">
        <f>VLOOKUP($A472,kurspris!$A$1:$Q$835,3,FALSE)</f>
        <v>0</v>
      </c>
      <c r="AE472" s="31">
        <f>VLOOKUP($A472,kurspris!$A$1:$Q$835,4,FALSE)</f>
        <v>0</v>
      </c>
      <c r="AF472" s="31">
        <f>VLOOKUP($A472,kurspris!$A$1:$Q$835,5,FALSE)</f>
        <v>0</v>
      </c>
      <c r="AG472" s="31">
        <f>VLOOKUP($A472,kurspris!$A$1:$Q$835,6,FALSE)</f>
        <v>0</v>
      </c>
      <c r="AH472" s="31">
        <f>VLOOKUP($A472,kurspris!$A$1:$Q$835,7,FALSE)</f>
        <v>0</v>
      </c>
      <c r="AI472" s="31">
        <f>VLOOKUP($A472,kurspris!$A$1:$Q$835,8,FALSE)</f>
        <v>1</v>
      </c>
      <c r="AJ472" s="31">
        <f>VLOOKUP($A472,kurspris!$A$1:$Q$835,9,FALSE)</f>
        <v>0</v>
      </c>
      <c r="AK472" s="31">
        <f>VLOOKUP($A472,kurspris!$A$1:$Q$835,10,FALSE)</f>
        <v>0</v>
      </c>
      <c r="AL472" s="31">
        <f>VLOOKUP($A472,kurspris!$A$1:$Q$835,11,FALSE)</f>
        <v>0</v>
      </c>
      <c r="AM472" s="31">
        <f>VLOOKUP($A472,kurspris!$A$1:$Q$835,12,FALSE)</f>
        <v>0</v>
      </c>
      <c r="AN472" s="31">
        <f>VLOOKUP($A472,kurspris!$A$1:$Q$835,13,FALSE)</f>
        <v>0</v>
      </c>
      <c r="AO472" s="31">
        <f>VLOOKUP($A472,kurspris!$A$1:$Q$835,14,FALSE)</f>
        <v>0</v>
      </c>
      <c r="AP472" s="39" t="s">
        <v>2326</v>
      </c>
      <c r="AQ472"/>
      <c r="AR472" s="31">
        <f t="shared" ref="AR472" si="227">$Q472*AD472</f>
        <v>0</v>
      </c>
      <c r="AS472" s="255">
        <f t="shared" ref="AS472" si="228">$S472*AD472</f>
        <v>0</v>
      </c>
      <c r="AT472" s="31">
        <f t="shared" ref="AT472" si="229">$Q472*AE472</f>
        <v>0</v>
      </c>
      <c r="AU472" s="255">
        <f t="shared" ref="AU472" si="230">$S472*AE472</f>
        <v>0</v>
      </c>
      <c r="AV472" s="31">
        <f t="shared" ref="AV472" si="231">$Q472*AF472</f>
        <v>0</v>
      </c>
      <c r="AW472" s="31">
        <f t="shared" ref="AW472" si="232">$S472*AF472</f>
        <v>0</v>
      </c>
      <c r="AX472" s="31">
        <f t="shared" ref="AX472" si="233">$Q472*AG472</f>
        <v>0</v>
      </c>
      <c r="AY472" s="255">
        <f t="shared" ref="AY472" si="234">$S472*AG472</f>
        <v>0</v>
      </c>
      <c r="AZ472" s="232">
        <f t="shared" ref="AZ472" si="235">$Q472*AH472</f>
        <v>0</v>
      </c>
      <c r="BA472" s="255">
        <f t="shared" ref="BA472" si="236">$S472*AH472</f>
        <v>0</v>
      </c>
      <c r="BB472" s="31">
        <f t="shared" ref="BB472" si="237">$Q472*AI472</f>
        <v>0.125</v>
      </c>
      <c r="BC472" s="255">
        <f t="shared" ref="BC472" si="238">$S472*AI472</f>
        <v>0.10625</v>
      </c>
      <c r="BD472" s="31">
        <f t="shared" ref="BD472" si="239">$Q472*AJ472</f>
        <v>0</v>
      </c>
      <c r="BE472" s="255">
        <f t="shared" ref="BE472" si="240">$S472*AJ472</f>
        <v>0</v>
      </c>
      <c r="BF472" s="31">
        <f t="shared" ref="BF472" si="241">$Q472*AK472</f>
        <v>0</v>
      </c>
      <c r="BG472" s="255">
        <f t="shared" ref="BG472" si="242">$S472*AK472</f>
        <v>0</v>
      </c>
      <c r="BH472" s="31">
        <f t="shared" ref="BH472" si="243">$Q472*AL472</f>
        <v>0</v>
      </c>
      <c r="BI472" s="255">
        <f t="shared" ref="BI472" si="244">$S472*AL472</f>
        <v>0</v>
      </c>
      <c r="BJ472" s="31">
        <f t="shared" ref="BJ472" si="245">$Q472*AM472</f>
        <v>0</v>
      </c>
      <c r="BK472" s="31">
        <f t="shared" ref="BK472" si="246">$Q472*AN472</f>
        <v>0</v>
      </c>
      <c r="BL472" s="255">
        <f t="shared" ref="BL472" si="247">$S472*AN472</f>
        <v>0</v>
      </c>
      <c r="BM472" s="31">
        <f t="shared" ref="BM472" si="248">$Q472*AO472</f>
        <v>0</v>
      </c>
      <c r="BN472" s="255">
        <f t="shared" ref="BN472" si="249">$S472*AO472</f>
        <v>0</v>
      </c>
    </row>
    <row r="473" spans="1:66" x14ac:dyDescent="0.25">
      <c r="A473" s="18" t="s">
        <v>2010</v>
      </c>
      <c r="B473" s="186" t="str">
        <f>VLOOKUP(A473,kurspris!$A$1:$B$877,2,FALSE)</f>
        <v>Att undervisa i matematik (VFU)</v>
      </c>
      <c r="C473" s="37"/>
      <c r="D473" s="31" t="s">
        <v>483</v>
      </c>
      <c r="E473" s="31" t="s">
        <v>1976</v>
      </c>
      <c r="F473" s="59" t="s">
        <v>1931</v>
      </c>
      <c r="G473" s="31" t="s">
        <v>2272</v>
      </c>
      <c r="J473" t="s">
        <v>774</v>
      </c>
      <c r="L473" s="31">
        <v>100</v>
      </c>
      <c r="M473" s="31">
        <v>6</v>
      </c>
      <c r="P473" s="31">
        <v>2</v>
      </c>
      <c r="Q473" s="232">
        <f t="shared" si="196"/>
        <v>0.2</v>
      </c>
      <c r="R473" s="40">
        <v>0.85</v>
      </c>
      <c r="S473" s="334">
        <f t="shared" si="197"/>
        <v>0.17</v>
      </c>
      <c r="T473" s="31">
        <f>VLOOKUP(A473,'Ansvar kurs'!$A$1:$C$1010,2,FALSE)</f>
        <v>5730</v>
      </c>
      <c r="U473" s="31" t="str">
        <f>VLOOKUP(T473,Orgenheter!$A$1:$C$165,2,FALSE)</f>
        <v>Inst för MA och MA statistik</v>
      </c>
      <c r="V473" s="31" t="str">
        <f>VLOOKUP(T473,Orgenheter!$A$1:$C$165,3,FALSE)</f>
        <v>TekNat</v>
      </c>
      <c r="W473" s="37" t="str">
        <f>VLOOKUP(D473,Program!$A$1:$B$34,2,FALSE)</f>
        <v>Ämneslärarprogrammet - Gy</v>
      </c>
      <c r="X473" s="42">
        <f>VLOOKUP(A473,kurspris!$A$1:$Q$798,15,FALSE)</f>
        <v>21634</v>
      </c>
      <c r="Y473" s="42">
        <f>VLOOKUP(A473,kurspris!$A$1:$Q$798,16,FALSE)</f>
        <v>26986</v>
      </c>
      <c r="Z473" s="42">
        <f t="shared" si="198"/>
        <v>8914.42</v>
      </c>
      <c r="AA473" s="42">
        <f>VLOOKUP(A473,kurspris!$A$1:$Q$798,17,FALSE)</f>
        <v>3400</v>
      </c>
      <c r="AB473" s="42">
        <f t="shared" si="199"/>
        <v>680</v>
      </c>
      <c r="AC473" s="42">
        <f t="shared" si="200"/>
        <v>9594.42</v>
      </c>
      <c r="AD473" s="31">
        <f>VLOOKUP($A473,kurspris!$A$1:$Q$835,3,FALSE)</f>
        <v>0</v>
      </c>
      <c r="AE473" s="31">
        <f>VLOOKUP($A473,kurspris!$A$1:$Q$835,4,FALSE)</f>
        <v>0</v>
      </c>
      <c r="AF473" s="31">
        <f>VLOOKUP($A473,kurspris!$A$1:$Q$835,5,FALSE)</f>
        <v>0</v>
      </c>
      <c r="AG473" s="31">
        <f>VLOOKUP($A473,kurspris!$A$1:$Q$835,6,FALSE)</f>
        <v>0</v>
      </c>
      <c r="AH473" s="31">
        <f>VLOOKUP($A473,kurspris!$A$1:$Q$835,7,FALSE)</f>
        <v>0</v>
      </c>
      <c r="AI473" s="31">
        <f>VLOOKUP($A473,kurspris!$A$1:$Q$835,8,FALSE)</f>
        <v>0</v>
      </c>
      <c r="AJ473" s="31">
        <f>VLOOKUP($A473,kurspris!$A$1:$Q$835,9,FALSE)</f>
        <v>0</v>
      </c>
      <c r="AK473" s="31">
        <f>VLOOKUP($A473,kurspris!$A$1:$Q$835,10,FALSE)</f>
        <v>0</v>
      </c>
      <c r="AL473" s="31">
        <f>VLOOKUP($A473,kurspris!$A$1:$Q$835,11,FALSE)</f>
        <v>1</v>
      </c>
      <c r="AM473" s="31">
        <f>VLOOKUP($A473,kurspris!$A$1:$Q$835,12,FALSE)</f>
        <v>0</v>
      </c>
      <c r="AN473" s="31">
        <f>VLOOKUP($A473,kurspris!$A$1:$Q$835,13,FALSE)</f>
        <v>0</v>
      </c>
      <c r="AO473" s="31">
        <f>VLOOKUP($A473,kurspris!$A$1:$Q$835,14,FALSE)</f>
        <v>0</v>
      </c>
      <c r="AP473" s="39" t="s">
        <v>2326</v>
      </c>
      <c r="AQ473"/>
      <c r="AR473" s="31">
        <f t="shared" si="201"/>
        <v>0</v>
      </c>
      <c r="AS473" s="255">
        <f t="shared" si="202"/>
        <v>0</v>
      </c>
      <c r="AT473" s="31">
        <f t="shared" si="203"/>
        <v>0</v>
      </c>
      <c r="AU473" s="255">
        <f t="shared" si="204"/>
        <v>0</v>
      </c>
      <c r="AV473" s="31">
        <f t="shared" si="205"/>
        <v>0</v>
      </c>
      <c r="AW473" s="31">
        <f t="shared" si="206"/>
        <v>0</v>
      </c>
      <c r="AX473" s="31">
        <f t="shared" si="207"/>
        <v>0</v>
      </c>
      <c r="AY473" s="255">
        <f t="shared" si="208"/>
        <v>0</v>
      </c>
      <c r="AZ473" s="232">
        <f t="shared" si="209"/>
        <v>0</v>
      </c>
      <c r="BA473" s="255">
        <f t="shared" si="210"/>
        <v>0</v>
      </c>
      <c r="BB473" s="31">
        <f t="shared" si="211"/>
        <v>0</v>
      </c>
      <c r="BC473" s="255">
        <f t="shared" si="212"/>
        <v>0</v>
      </c>
      <c r="BD473" s="31">
        <f t="shared" si="213"/>
        <v>0</v>
      </c>
      <c r="BE473" s="255">
        <f t="shared" si="214"/>
        <v>0</v>
      </c>
      <c r="BF473" s="31">
        <f t="shared" si="215"/>
        <v>0</v>
      </c>
      <c r="BG473" s="255">
        <f t="shared" si="216"/>
        <v>0</v>
      </c>
      <c r="BH473" s="31">
        <f t="shared" si="217"/>
        <v>0.2</v>
      </c>
      <c r="BI473" s="255">
        <f t="shared" si="218"/>
        <v>0.17</v>
      </c>
      <c r="BJ473" s="31">
        <f t="shared" si="219"/>
        <v>0</v>
      </c>
      <c r="BK473" s="31">
        <f t="shared" si="220"/>
        <v>0</v>
      </c>
      <c r="BL473" s="255">
        <f t="shared" si="221"/>
        <v>0</v>
      </c>
      <c r="BM473" s="31">
        <f t="shared" si="222"/>
        <v>0</v>
      </c>
      <c r="BN473" s="255">
        <f t="shared" si="223"/>
        <v>0</v>
      </c>
    </row>
    <row r="474" spans="1:66" x14ac:dyDescent="0.25">
      <c r="A474" s="18" t="s">
        <v>2010</v>
      </c>
      <c r="B474" s="186" t="str">
        <f>VLOOKUP(A474,kurspris!$A$1:$B$877,2,FALSE)</f>
        <v>Att undervisa i matematik (VFU)</v>
      </c>
      <c r="C474" s="37"/>
      <c r="D474" s="31" t="s">
        <v>483</v>
      </c>
      <c r="E474" s="31" t="s">
        <v>1973</v>
      </c>
      <c r="F474" s="59" t="s">
        <v>1931</v>
      </c>
      <c r="G474" s="31" t="s">
        <v>2272</v>
      </c>
      <c r="J474" t="s">
        <v>774</v>
      </c>
      <c r="L474" s="31">
        <v>100</v>
      </c>
      <c r="M474" s="31">
        <v>6</v>
      </c>
      <c r="P474" s="31">
        <v>2</v>
      </c>
      <c r="Q474" s="232">
        <f t="shared" si="196"/>
        <v>0.2</v>
      </c>
      <c r="R474" s="40">
        <v>0.85</v>
      </c>
      <c r="S474" s="334">
        <f t="shared" si="197"/>
        <v>0.17</v>
      </c>
      <c r="T474" s="31">
        <f>VLOOKUP(A474,'Ansvar kurs'!$A$1:$C$1010,2,FALSE)</f>
        <v>5730</v>
      </c>
      <c r="U474" s="31" t="str">
        <f>VLOOKUP(T474,Orgenheter!$A$1:$C$165,2,FALSE)</f>
        <v>Inst för MA och MA statistik</v>
      </c>
      <c r="V474" s="31" t="str">
        <f>VLOOKUP(T474,Orgenheter!$A$1:$C$165,3,FALSE)</f>
        <v>TekNat</v>
      </c>
      <c r="W474" s="37" t="str">
        <f>VLOOKUP(D474,Program!$A$1:$B$34,2,FALSE)</f>
        <v>Ämneslärarprogrammet - Gy</v>
      </c>
      <c r="X474" s="42">
        <f>VLOOKUP(A474,kurspris!$A$1:$Q$798,15,FALSE)</f>
        <v>21634</v>
      </c>
      <c r="Y474" s="42">
        <f>VLOOKUP(A474,kurspris!$A$1:$Q$798,16,FALSE)</f>
        <v>26986</v>
      </c>
      <c r="Z474" s="42">
        <f t="shared" si="198"/>
        <v>8914.42</v>
      </c>
      <c r="AA474" s="42">
        <f>VLOOKUP(A474,kurspris!$A$1:$Q$798,17,FALSE)</f>
        <v>3400</v>
      </c>
      <c r="AB474" s="42">
        <f t="shared" si="199"/>
        <v>680</v>
      </c>
      <c r="AC474" s="42">
        <f t="shared" si="200"/>
        <v>9594.42</v>
      </c>
      <c r="AD474" s="31">
        <f>VLOOKUP($A474,kurspris!$A$1:$Q$835,3,FALSE)</f>
        <v>0</v>
      </c>
      <c r="AE474" s="31">
        <f>VLOOKUP($A474,kurspris!$A$1:$Q$835,4,FALSE)</f>
        <v>0</v>
      </c>
      <c r="AF474" s="31">
        <f>VLOOKUP($A474,kurspris!$A$1:$Q$835,5,FALSE)</f>
        <v>0</v>
      </c>
      <c r="AG474" s="31">
        <f>VLOOKUP($A474,kurspris!$A$1:$Q$835,6,FALSE)</f>
        <v>0</v>
      </c>
      <c r="AH474" s="31">
        <f>VLOOKUP($A474,kurspris!$A$1:$Q$835,7,FALSE)</f>
        <v>0</v>
      </c>
      <c r="AI474" s="31">
        <f>VLOOKUP($A474,kurspris!$A$1:$Q$835,8,FALSE)</f>
        <v>0</v>
      </c>
      <c r="AJ474" s="31">
        <f>VLOOKUP($A474,kurspris!$A$1:$Q$835,9,FALSE)</f>
        <v>0</v>
      </c>
      <c r="AK474" s="31">
        <f>VLOOKUP($A474,kurspris!$A$1:$Q$835,10,FALSE)</f>
        <v>0</v>
      </c>
      <c r="AL474" s="31">
        <f>VLOOKUP($A474,kurspris!$A$1:$Q$835,11,FALSE)</f>
        <v>1</v>
      </c>
      <c r="AM474" s="31">
        <f>VLOOKUP($A474,kurspris!$A$1:$Q$835,12,FALSE)</f>
        <v>0</v>
      </c>
      <c r="AN474" s="31">
        <f>VLOOKUP($A474,kurspris!$A$1:$Q$835,13,FALSE)</f>
        <v>0</v>
      </c>
      <c r="AO474" s="31">
        <f>VLOOKUP($A474,kurspris!$A$1:$Q$835,14,FALSE)</f>
        <v>0</v>
      </c>
      <c r="AP474" s="39" t="s">
        <v>2326</v>
      </c>
      <c r="AQ474"/>
      <c r="AR474" s="31">
        <f t="shared" si="201"/>
        <v>0</v>
      </c>
      <c r="AS474" s="255">
        <f t="shared" si="202"/>
        <v>0</v>
      </c>
      <c r="AT474" s="31">
        <f t="shared" si="203"/>
        <v>0</v>
      </c>
      <c r="AU474" s="255">
        <f t="shared" si="204"/>
        <v>0</v>
      </c>
      <c r="AV474" s="31">
        <f t="shared" si="205"/>
        <v>0</v>
      </c>
      <c r="AW474" s="31">
        <f t="shared" si="206"/>
        <v>0</v>
      </c>
      <c r="AX474" s="31">
        <f t="shared" si="207"/>
        <v>0</v>
      </c>
      <c r="AY474" s="255">
        <f t="shared" si="208"/>
        <v>0</v>
      </c>
      <c r="AZ474" s="232">
        <f t="shared" si="209"/>
        <v>0</v>
      </c>
      <c r="BA474" s="255">
        <f t="shared" si="210"/>
        <v>0</v>
      </c>
      <c r="BB474" s="31">
        <f t="shared" si="211"/>
        <v>0</v>
      </c>
      <c r="BC474" s="255">
        <f t="shared" si="212"/>
        <v>0</v>
      </c>
      <c r="BD474" s="31">
        <f t="shared" si="213"/>
        <v>0</v>
      </c>
      <c r="BE474" s="255">
        <f t="shared" si="214"/>
        <v>0</v>
      </c>
      <c r="BF474" s="31">
        <f t="shared" si="215"/>
        <v>0</v>
      </c>
      <c r="BG474" s="255">
        <f t="shared" si="216"/>
        <v>0</v>
      </c>
      <c r="BH474" s="31">
        <f t="shared" si="217"/>
        <v>0.2</v>
      </c>
      <c r="BI474" s="255">
        <f t="shared" si="218"/>
        <v>0.17</v>
      </c>
      <c r="BJ474" s="31">
        <f t="shared" si="219"/>
        <v>0</v>
      </c>
      <c r="BK474" s="31">
        <f t="shared" si="220"/>
        <v>0</v>
      </c>
      <c r="BL474" s="255">
        <f t="shared" si="221"/>
        <v>0</v>
      </c>
      <c r="BM474" s="31">
        <f t="shared" si="222"/>
        <v>0</v>
      </c>
      <c r="BN474" s="255">
        <f t="shared" si="223"/>
        <v>0</v>
      </c>
    </row>
    <row r="475" spans="1:66" x14ac:dyDescent="0.25">
      <c r="A475" s="18" t="s">
        <v>2010</v>
      </c>
      <c r="B475" s="186" t="str">
        <f>VLOOKUP(A475,kurspris!$A$1:$B$877,2,FALSE)</f>
        <v>Att undervisa i matematik (VFU)</v>
      </c>
      <c r="C475" s="37"/>
      <c r="D475" s="31" t="s">
        <v>483</v>
      </c>
      <c r="E475" s="31" t="s">
        <v>1609</v>
      </c>
      <c r="F475" s="59" t="s">
        <v>1931</v>
      </c>
      <c r="G475" s="31" t="s">
        <v>2272</v>
      </c>
      <c r="J475" t="s">
        <v>774</v>
      </c>
      <c r="L475" s="31">
        <v>100</v>
      </c>
      <c r="M475" s="31">
        <v>6</v>
      </c>
      <c r="P475" s="31">
        <v>12</v>
      </c>
      <c r="Q475" s="232">
        <f t="shared" si="196"/>
        <v>1.2000000000000002</v>
      </c>
      <c r="R475" s="40">
        <v>0.85</v>
      </c>
      <c r="S475" s="334">
        <f t="shared" si="197"/>
        <v>1.02</v>
      </c>
      <c r="T475" s="31">
        <f>VLOOKUP(A475,'Ansvar kurs'!$A$1:$C$1010,2,FALSE)</f>
        <v>5730</v>
      </c>
      <c r="U475" s="31" t="str">
        <f>VLOOKUP(T475,Orgenheter!$A$1:$C$165,2,FALSE)</f>
        <v>Inst för MA och MA statistik</v>
      </c>
      <c r="V475" s="31" t="str">
        <f>VLOOKUP(T475,Orgenheter!$A$1:$C$165,3,FALSE)</f>
        <v>TekNat</v>
      </c>
      <c r="W475" s="37" t="str">
        <f>VLOOKUP(D475,Program!$A$1:$B$34,2,FALSE)</f>
        <v>Ämneslärarprogrammet - Gy</v>
      </c>
      <c r="X475" s="42">
        <f>VLOOKUP(A475,kurspris!$A$1:$Q$798,15,FALSE)</f>
        <v>21634</v>
      </c>
      <c r="Y475" s="42">
        <f>VLOOKUP(A475,kurspris!$A$1:$Q$798,16,FALSE)</f>
        <v>26986</v>
      </c>
      <c r="Z475" s="42">
        <f t="shared" si="198"/>
        <v>53486.520000000004</v>
      </c>
      <c r="AA475" s="42">
        <f>VLOOKUP(A475,kurspris!$A$1:$Q$798,17,FALSE)</f>
        <v>3400</v>
      </c>
      <c r="AB475" s="42">
        <f t="shared" si="199"/>
        <v>4080.0000000000005</v>
      </c>
      <c r="AC475" s="42">
        <f t="shared" si="200"/>
        <v>57566.520000000004</v>
      </c>
      <c r="AD475" s="31">
        <f>VLOOKUP($A475,kurspris!$A$1:$Q$835,3,FALSE)</f>
        <v>0</v>
      </c>
      <c r="AE475" s="31">
        <f>VLOOKUP($A475,kurspris!$A$1:$Q$835,4,FALSE)</f>
        <v>0</v>
      </c>
      <c r="AF475" s="31">
        <f>VLOOKUP($A475,kurspris!$A$1:$Q$835,5,FALSE)</f>
        <v>0</v>
      </c>
      <c r="AG475" s="31">
        <f>VLOOKUP($A475,kurspris!$A$1:$Q$835,6,FALSE)</f>
        <v>0</v>
      </c>
      <c r="AH475" s="31">
        <f>VLOOKUP($A475,kurspris!$A$1:$Q$835,7,FALSE)</f>
        <v>0</v>
      </c>
      <c r="AI475" s="31">
        <f>VLOOKUP($A475,kurspris!$A$1:$Q$835,8,FALSE)</f>
        <v>0</v>
      </c>
      <c r="AJ475" s="31">
        <f>VLOOKUP($A475,kurspris!$A$1:$Q$835,9,FALSE)</f>
        <v>0</v>
      </c>
      <c r="AK475" s="31">
        <f>VLOOKUP($A475,kurspris!$A$1:$Q$835,10,FALSE)</f>
        <v>0</v>
      </c>
      <c r="AL475" s="31">
        <f>VLOOKUP($A475,kurspris!$A$1:$Q$835,11,FALSE)</f>
        <v>1</v>
      </c>
      <c r="AM475" s="31">
        <f>VLOOKUP($A475,kurspris!$A$1:$Q$835,12,FALSE)</f>
        <v>0</v>
      </c>
      <c r="AN475" s="31">
        <f>VLOOKUP($A475,kurspris!$A$1:$Q$835,13,FALSE)</f>
        <v>0</v>
      </c>
      <c r="AO475" s="31">
        <f>VLOOKUP($A475,kurspris!$A$1:$Q$835,14,FALSE)</f>
        <v>0</v>
      </c>
      <c r="AP475" s="39" t="s">
        <v>2326</v>
      </c>
      <c r="AQ475"/>
      <c r="AR475" s="31">
        <f t="shared" si="201"/>
        <v>0</v>
      </c>
      <c r="AS475" s="255">
        <f t="shared" si="202"/>
        <v>0</v>
      </c>
      <c r="AT475" s="31">
        <f t="shared" si="203"/>
        <v>0</v>
      </c>
      <c r="AU475" s="255">
        <f t="shared" si="204"/>
        <v>0</v>
      </c>
      <c r="AV475" s="31">
        <f t="shared" si="205"/>
        <v>0</v>
      </c>
      <c r="AW475" s="31">
        <f t="shared" si="206"/>
        <v>0</v>
      </c>
      <c r="AX475" s="31">
        <f t="shared" si="207"/>
        <v>0</v>
      </c>
      <c r="AY475" s="255">
        <f t="shared" si="208"/>
        <v>0</v>
      </c>
      <c r="AZ475" s="232">
        <f t="shared" si="209"/>
        <v>0</v>
      </c>
      <c r="BA475" s="255">
        <f t="shared" si="210"/>
        <v>0</v>
      </c>
      <c r="BB475" s="31">
        <f t="shared" si="211"/>
        <v>0</v>
      </c>
      <c r="BC475" s="255">
        <f t="shared" si="212"/>
        <v>0</v>
      </c>
      <c r="BD475" s="31">
        <f t="shared" si="213"/>
        <v>0</v>
      </c>
      <c r="BE475" s="255">
        <f t="shared" si="214"/>
        <v>0</v>
      </c>
      <c r="BF475" s="31">
        <f t="shared" si="215"/>
        <v>0</v>
      </c>
      <c r="BG475" s="255">
        <f t="shared" si="216"/>
        <v>0</v>
      </c>
      <c r="BH475" s="31">
        <f t="shared" si="217"/>
        <v>1.2000000000000002</v>
      </c>
      <c r="BI475" s="255">
        <f t="shared" si="218"/>
        <v>1.02</v>
      </c>
      <c r="BJ475" s="31">
        <f t="shared" si="219"/>
        <v>0</v>
      </c>
      <c r="BK475" s="31">
        <f t="shared" si="220"/>
        <v>0</v>
      </c>
      <c r="BL475" s="255">
        <f t="shared" si="221"/>
        <v>0</v>
      </c>
      <c r="BM475" s="31">
        <f t="shared" si="222"/>
        <v>0</v>
      </c>
      <c r="BN475" s="255">
        <f t="shared" si="223"/>
        <v>0</v>
      </c>
    </row>
    <row r="476" spans="1:66" x14ac:dyDescent="0.25">
      <c r="A476" s="18" t="s">
        <v>2010</v>
      </c>
      <c r="B476" s="186" t="str">
        <f>VLOOKUP(A476,kurspris!$A$1:$B$877,2,FALSE)</f>
        <v>Att undervisa i matematik (VFU)</v>
      </c>
      <c r="C476" s="37"/>
      <c r="D476" s="31" t="s">
        <v>483</v>
      </c>
      <c r="E476" s="31" t="s">
        <v>1788</v>
      </c>
      <c r="F476" s="59" t="s">
        <v>1931</v>
      </c>
      <c r="G476" s="31" t="s">
        <v>2272</v>
      </c>
      <c r="J476" t="s">
        <v>774</v>
      </c>
      <c r="L476" s="31">
        <v>100</v>
      </c>
      <c r="M476" s="31">
        <v>6</v>
      </c>
      <c r="P476" s="31">
        <v>1</v>
      </c>
      <c r="Q476" s="232">
        <f t="shared" si="196"/>
        <v>0.1</v>
      </c>
      <c r="R476" s="40">
        <v>0.85</v>
      </c>
      <c r="S476" s="334">
        <f t="shared" si="197"/>
        <v>8.5000000000000006E-2</v>
      </c>
      <c r="T476" s="31">
        <f>VLOOKUP(A476,'Ansvar kurs'!$A$1:$C$1010,2,FALSE)</f>
        <v>5730</v>
      </c>
      <c r="U476" s="31" t="str">
        <f>VLOOKUP(T476,Orgenheter!$A$1:$C$165,2,FALSE)</f>
        <v>Inst för MA och MA statistik</v>
      </c>
      <c r="V476" s="31" t="str">
        <f>VLOOKUP(T476,Orgenheter!$A$1:$C$165,3,FALSE)</f>
        <v>TekNat</v>
      </c>
      <c r="W476" s="37" t="str">
        <f>VLOOKUP(D476,Program!$A$1:$B$34,2,FALSE)</f>
        <v>Ämneslärarprogrammet - Gy</v>
      </c>
      <c r="X476" s="42">
        <f>VLOOKUP(A476,kurspris!$A$1:$Q$798,15,FALSE)</f>
        <v>21634</v>
      </c>
      <c r="Y476" s="42">
        <f>VLOOKUP(A476,kurspris!$A$1:$Q$798,16,FALSE)</f>
        <v>26986</v>
      </c>
      <c r="Z476" s="42">
        <f t="shared" si="198"/>
        <v>4457.21</v>
      </c>
      <c r="AA476" s="42">
        <f>VLOOKUP(A476,kurspris!$A$1:$Q$798,17,FALSE)</f>
        <v>3400</v>
      </c>
      <c r="AB476" s="42">
        <f t="shared" si="199"/>
        <v>340</v>
      </c>
      <c r="AC476" s="42">
        <f t="shared" si="200"/>
        <v>4797.21</v>
      </c>
      <c r="AD476" s="31">
        <f>VLOOKUP($A476,kurspris!$A$1:$Q$835,3,FALSE)</f>
        <v>0</v>
      </c>
      <c r="AE476" s="31">
        <f>VLOOKUP($A476,kurspris!$A$1:$Q$835,4,FALSE)</f>
        <v>0</v>
      </c>
      <c r="AF476" s="31">
        <f>VLOOKUP($A476,kurspris!$A$1:$Q$835,5,FALSE)</f>
        <v>0</v>
      </c>
      <c r="AG476" s="31">
        <f>VLOOKUP($A476,kurspris!$A$1:$Q$835,6,FALSE)</f>
        <v>0</v>
      </c>
      <c r="AH476" s="31">
        <f>VLOOKUP($A476,kurspris!$A$1:$Q$835,7,FALSE)</f>
        <v>0</v>
      </c>
      <c r="AI476" s="31">
        <f>VLOOKUP($A476,kurspris!$A$1:$Q$835,8,FALSE)</f>
        <v>0</v>
      </c>
      <c r="AJ476" s="31">
        <f>VLOOKUP($A476,kurspris!$A$1:$Q$835,9,FALSE)</f>
        <v>0</v>
      </c>
      <c r="AK476" s="31">
        <f>VLOOKUP($A476,kurspris!$A$1:$Q$835,10,FALSE)</f>
        <v>0</v>
      </c>
      <c r="AL476" s="31">
        <f>VLOOKUP($A476,kurspris!$A$1:$Q$835,11,FALSE)</f>
        <v>1</v>
      </c>
      <c r="AM476" s="31">
        <f>VLOOKUP($A476,kurspris!$A$1:$Q$835,12,FALSE)</f>
        <v>0</v>
      </c>
      <c r="AN476" s="31">
        <f>VLOOKUP($A476,kurspris!$A$1:$Q$835,13,FALSE)</f>
        <v>0</v>
      </c>
      <c r="AO476" s="31">
        <f>VLOOKUP($A476,kurspris!$A$1:$Q$835,14,FALSE)</f>
        <v>0</v>
      </c>
      <c r="AP476" s="39" t="s">
        <v>2326</v>
      </c>
      <c r="AQ476"/>
      <c r="AR476" s="31">
        <f t="shared" si="201"/>
        <v>0</v>
      </c>
      <c r="AS476" s="255">
        <f t="shared" si="202"/>
        <v>0</v>
      </c>
      <c r="AT476" s="31">
        <f t="shared" si="203"/>
        <v>0</v>
      </c>
      <c r="AU476" s="255">
        <f t="shared" si="204"/>
        <v>0</v>
      </c>
      <c r="AV476" s="31">
        <f t="shared" si="205"/>
        <v>0</v>
      </c>
      <c r="AW476" s="31">
        <f t="shared" si="206"/>
        <v>0</v>
      </c>
      <c r="AX476" s="31">
        <f t="shared" si="207"/>
        <v>0</v>
      </c>
      <c r="AY476" s="255">
        <f t="shared" si="208"/>
        <v>0</v>
      </c>
      <c r="AZ476" s="232">
        <f t="shared" si="209"/>
        <v>0</v>
      </c>
      <c r="BA476" s="255">
        <f t="shared" si="210"/>
        <v>0</v>
      </c>
      <c r="BB476" s="31">
        <f t="shared" si="211"/>
        <v>0</v>
      </c>
      <c r="BC476" s="255">
        <f t="shared" si="212"/>
        <v>0</v>
      </c>
      <c r="BD476" s="31">
        <f t="shared" si="213"/>
        <v>0</v>
      </c>
      <c r="BE476" s="255">
        <f t="shared" si="214"/>
        <v>0</v>
      </c>
      <c r="BF476" s="31">
        <f t="shared" si="215"/>
        <v>0</v>
      </c>
      <c r="BG476" s="255">
        <f t="shared" si="216"/>
        <v>0</v>
      </c>
      <c r="BH476" s="31">
        <f t="shared" si="217"/>
        <v>0.1</v>
      </c>
      <c r="BI476" s="255">
        <f t="shared" si="218"/>
        <v>8.5000000000000006E-2</v>
      </c>
      <c r="BJ476" s="31">
        <f t="shared" si="219"/>
        <v>0</v>
      </c>
      <c r="BK476" s="31">
        <f t="shared" si="220"/>
        <v>0</v>
      </c>
      <c r="BL476" s="255">
        <f t="shared" si="221"/>
        <v>0</v>
      </c>
      <c r="BM476" s="31">
        <f t="shared" si="222"/>
        <v>0</v>
      </c>
      <c r="BN476" s="255">
        <f t="shared" si="223"/>
        <v>0</v>
      </c>
    </row>
    <row r="477" spans="1:66" x14ac:dyDescent="0.25">
      <c r="A477" s="18" t="s">
        <v>2051</v>
      </c>
      <c r="B477" s="186" t="str">
        <f>VLOOKUP(A477,kurspris!$A$1:$B$877,2,FALSE)</f>
        <v>Differentialekvationer</v>
      </c>
      <c r="C477" s="37"/>
      <c r="D477" t="s">
        <v>117</v>
      </c>
      <c r="E477"/>
      <c r="F477" s="59" t="s">
        <v>1931</v>
      </c>
      <c r="G477"/>
      <c r="H477"/>
      <c r="I477" t="s">
        <v>1634</v>
      </c>
      <c r="L477">
        <v>100</v>
      </c>
      <c r="M477">
        <v>7.5</v>
      </c>
      <c r="P477">
        <v>2</v>
      </c>
      <c r="Q477" s="232">
        <f t="shared" si="196"/>
        <v>0.25</v>
      </c>
      <c r="R477" s="40">
        <v>0.8</v>
      </c>
      <c r="S477" s="334">
        <f t="shared" si="197"/>
        <v>0.2</v>
      </c>
      <c r="T477" s="31">
        <f>VLOOKUP(A477,'Ansvar kurs'!$A$1:$C$1010,2,FALSE)</f>
        <v>5730</v>
      </c>
      <c r="U477" s="31" t="str">
        <f>VLOOKUP(T477,Orgenheter!$A$1:$C$165,2,FALSE)</f>
        <v>Inst för MA och MA statistik</v>
      </c>
      <c r="V477" s="31" t="str">
        <f>VLOOKUP(T477,Orgenheter!$A$1:$C$165,3,FALSE)</f>
        <v>TekNat</v>
      </c>
      <c r="W477" s="37" t="str">
        <f>VLOOKUP(D477,Program!$A$1:$B$34,2,FALSE)</f>
        <v>Fristående och övriga kurser</v>
      </c>
      <c r="X477" s="42">
        <f>VLOOKUP(A477,kurspris!$A$1:$Q$798,15,FALSE)</f>
        <v>19473</v>
      </c>
      <c r="Y477" s="42">
        <f>VLOOKUP(A477,kurspris!$A$1:$Q$798,16,FALSE)</f>
        <v>34806</v>
      </c>
      <c r="Z477" s="42">
        <f t="shared" si="198"/>
        <v>11829.45</v>
      </c>
      <c r="AA477" s="42">
        <f>VLOOKUP(A477,kurspris!$A$1:$Q$798,17,FALSE)</f>
        <v>21800</v>
      </c>
      <c r="AB477" s="42">
        <f t="shared" si="199"/>
        <v>5450</v>
      </c>
      <c r="AC477" s="42">
        <f t="shared" si="200"/>
        <v>17279.45</v>
      </c>
      <c r="AD477" s="31">
        <f>VLOOKUP($A477,kurspris!$A$1:$Q$835,3,FALSE)</f>
        <v>0</v>
      </c>
      <c r="AE477" s="31">
        <f>VLOOKUP($A477,kurspris!$A$1:$Q$835,4,FALSE)</f>
        <v>0</v>
      </c>
      <c r="AF477" s="31">
        <f>VLOOKUP($A477,kurspris!$A$1:$Q$835,5,FALSE)</f>
        <v>0</v>
      </c>
      <c r="AG477" s="31">
        <f>VLOOKUP($A477,kurspris!$A$1:$Q$835,6,FALSE)</f>
        <v>0</v>
      </c>
      <c r="AH477" s="31">
        <f>VLOOKUP($A477,kurspris!$A$1:$Q$835,7,FALSE)</f>
        <v>0</v>
      </c>
      <c r="AI477" s="31">
        <f>VLOOKUP($A477,kurspris!$A$1:$Q$835,8,FALSE)</f>
        <v>0.5</v>
      </c>
      <c r="AJ477" s="31">
        <f>VLOOKUP($A477,kurspris!$A$1:$Q$835,9,FALSE)</f>
        <v>0</v>
      </c>
      <c r="AK477" s="31">
        <f>VLOOKUP($A477,kurspris!$A$1:$Q$835,10,FALSE)</f>
        <v>0.5</v>
      </c>
      <c r="AL477" s="31">
        <f>VLOOKUP($A477,kurspris!$A$1:$Q$835,11,FALSE)</f>
        <v>0</v>
      </c>
      <c r="AM477" s="31">
        <f>VLOOKUP($A477,kurspris!$A$1:$Q$835,12,FALSE)</f>
        <v>0</v>
      </c>
      <c r="AN477" s="31">
        <f>VLOOKUP($A477,kurspris!$A$1:$Q$835,13,FALSE)</f>
        <v>0</v>
      </c>
      <c r="AO477" s="31">
        <f>VLOOKUP($A477,kurspris!$A$1:$Q$835,14,FALSE)</f>
        <v>0</v>
      </c>
      <c r="AP477" s="39" t="s">
        <v>2095</v>
      </c>
      <c r="AQ477"/>
      <c r="AR477" s="31">
        <f t="shared" si="201"/>
        <v>0</v>
      </c>
      <c r="AS477" s="255">
        <f t="shared" si="202"/>
        <v>0</v>
      </c>
      <c r="AT477" s="31">
        <f t="shared" si="203"/>
        <v>0</v>
      </c>
      <c r="AU477" s="255">
        <f t="shared" si="204"/>
        <v>0</v>
      </c>
      <c r="AV477" s="31">
        <f t="shared" si="205"/>
        <v>0</v>
      </c>
      <c r="AW477" s="31">
        <f t="shared" si="206"/>
        <v>0</v>
      </c>
      <c r="AX477" s="31">
        <f t="shared" si="207"/>
        <v>0</v>
      </c>
      <c r="AY477" s="255">
        <f t="shared" si="208"/>
        <v>0</v>
      </c>
      <c r="AZ477" s="232">
        <f t="shared" si="209"/>
        <v>0</v>
      </c>
      <c r="BA477" s="255">
        <f t="shared" si="210"/>
        <v>0</v>
      </c>
      <c r="BB477" s="31">
        <f t="shared" si="211"/>
        <v>0.125</v>
      </c>
      <c r="BC477" s="255">
        <f t="shared" si="212"/>
        <v>0.1</v>
      </c>
      <c r="BD477" s="31">
        <f t="shared" si="213"/>
        <v>0</v>
      </c>
      <c r="BE477" s="255">
        <f t="shared" si="214"/>
        <v>0</v>
      </c>
      <c r="BF477" s="31">
        <f t="shared" si="215"/>
        <v>0.125</v>
      </c>
      <c r="BG477" s="255">
        <f t="shared" si="216"/>
        <v>0.1</v>
      </c>
      <c r="BH477" s="31">
        <f t="shared" si="217"/>
        <v>0</v>
      </c>
      <c r="BI477" s="255">
        <f t="shared" si="218"/>
        <v>0</v>
      </c>
      <c r="BJ477" s="31">
        <f t="shared" si="219"/>
        <v>0</v>
      </c>
      <c r="BK477" s="31">
        <f t="shared" si="220"/>
        <v>0</v>
      </c>
      <c r="BL477" s="255">
        <f t="shared" si="221"/>
        <v>0</v>
      </c>
      <c r="BM477" s="31">
        <f t="shared" si="222"/>
        <v>0</v>
      </c>
      <c r="BN477" s="255">
        <f t="shared" si="223"/>
        <v>0</v>
      </c>
    </row>
    <row r="478" spans="1:66" x14ac:dyDescent="0.25">
      <c r="A478" s="18" t="s">
        <v>2051</v>
      </c>
      <c r="B478" s="186" t="str">
        <f>VLOOKUP(A478,kurspris!$A$1:$B$877,2,FALSE)</f>
        <v>Differentialekvationer</v>
      </c>
      <c r="C478" s="37"/>
      <c r="D478" s="31" t="s">
        <v>483</v>
      </c>
      <c r="E478" s="31" t="s">
        <v>1609</v>
      </c>
      <c r="F478" s="59" t="s">
        <v>1931</v>
      </c>
      <c r="G478" s="31" t="s">
        <v>2274</v>
      </c>
      <c r="J478" t="s">
        <v>774</v>
      </c>
      <c r="L478" s="31">
        <v>100</v>
      </c>
      <c r="M478" s="31">
        <v>7.5</v>
      </c>
      <c r="P478" s="31">
        <v>2</v>
      </c>
      <c r="Q478" s="232">
        <f t="shared" si="196"/>
        <v>0.25</v>
      </c>
      <c r="R478" s="40">
        <v>0.85</v>
      </c>
      <c r="S478" s="334">
        <f t="shared" si="197"/>
        <v>0.21249999999999999</v>
      </c>
      <c r="T478" s="31">
        <f>VLOOKUP(A478,'Ansvar kurs'!$A$1:$C$1010,2,FALSE)</f>
        <v>5730</v>
      </c>
      <c r="U478" s="31" t="str">
        <f>VLOOKUP(T478,Orgenheter!$A$1:$C$165,2,FALSE)</f>
        <v>Inst för MA och MA statistik</v>
      </c>
      <c r="V478" s="31" t="str">
        <f>VLOOKUP(T478,Orgenheter!$A$1:$C$165,3,FALSE)</f>
        <v>TekNat</v>
      </c>
      <c r="W478" s="37" t="str">
        <f>VLOOKUP(D478,Program!$A$1:$B$34,2,FALSE)</f>
        <v>Ämneslärarprogrammet - Gy</v>
      </c>
      <c r="X478" s="42">
        <f>VLOOKUP(A478,kurspris!$A$1:$Q$798,15,FALSE)</f>
        <v>19473</v>
      </c>
      <c r="Y478" s="42">
        <f>VLOOKUP(A478,kurspris!$A$1:$Q$798,16,FALSE)</f>
        <v>34806</v>
      </c>
      <c r="Z478" s="42">
        <f t="shared" si="198"/>
        <v>12264.525</v>
      </c>
      <c r="AA478" s="42">
        <f>VLOOKUP(A478,kurspris!$A$1:$Q$798,17,FALSE)</f>
        <v>21800</v>
      </c>
      <c r="AB478" s="42">
        <f t="shared" si="199"/>
        <v>5450</v>
      </c>
      <c r="AC478" s="42">
        <f t="shared" si="200"/>
        <v>17714.525000000001</v>
      </c>
      <c r="AD478" s="31">
        <f>VLOOKUP($A478,kurspris!$A$1:$Q$835,3,FALSE)</f>
        <v>0</v>
      </c>
      <c r="AE478" s="31">
        <f>VLOOKUP($A478,kurspris!$A$1:$Q$835,4,FALSE)</f>
        <v>0</v>
      </c>
      <c r="AF478" s="31">
        <f>VLOOKUP($A478,kurspris!$A$1:$Q$835,5,FALSE)</f>
        <v>0</v>
      </c>
      <c r="AG478" s="31">
        <f>VLOOKUP($A478,kurspris!$A$1:$Q$835,6,FALSE)</f>
        <v>0</v>
      </c>
      <c r="AH478" s="31">
        <f>VLOOKUP($A478,kurspris!$A$1:$Q$835,7,FALSE)</f>
        <v>0</v>
      </c>
      <c r="AI478" s="31">
        <f>VLOOKUP($A478,kurspris!$A$1:$Q$835,8,FALSE)</f>
        <v>0.5</v>
      </c>
      <c r="AJ478" s="31">
        <f>VLOOKUP($A478,kurspris!$A$1:$Q$835,9,FALSE)</f>
        <v>0</v>
      </c>
      <c r="AK478" s="31">
        <f>VLOOKUP($A478,kurspris!$A$1:$Q$835,10,FALSE)</f>
        <v>0.5</v>
      </c>
      <c r="AL478" s="31">
        <f>VLOOKUP($A478,kurspris!$A$1:$Q$835,11,FALSE)</f>
        <v>0</v>
      </c>
      <c r="AM478" s="31">
        <f>VLOOKUP($A478,kurspris!$A$1:$Q$835,12,FALSE)</f>
        <v>0</v>
      </c>
      <c r="AN478" s="31">
        <f>VLOOKUP($A478,kurspris!$A$1:$Q$835,13,FALSE)</f>
        <v>0</v>
      </c>
      <c r="AO478" s="31">
        <f>VLOOKUP($A478,kurspris!$A$1:$Q$835,14,FALSE)</f>
        <v>0</v>
      </c>
      <c r="AP478" s="39" t="s">
        <v>2326</v>
      </c>
      <c r="AQ478"/>
      <c r="AR478" s="31">
        <f t="shared" si="201"/>
        <v>0</v>
      </c>
      <c r="AS478" s="255">
        <f t="shared" si="202"/>
        <v>0</v>
      </c>
      <c r="AT478" s="31">
        <f t="shared" si="203"/>
        <v>0</v>
      </c>
      <c r="AU478" s="255">
        <f t="shared" si="204"/>
        <v>0</v>
      </c>
      <c r="AV478" s="31">
        <f t="shared" si="205"/>
        <v>0</v>
      </c>
      <c r="AW478" s="31">
        <f t="shared" si="206"/>
        <v>0</v>
      </c>
      <c r="AX478" s="31">
        <f t="shared" si="207"/>
        <v>0</v>
      </c>
      <c r="AY478" s="255">
        <f t="shared" si="208"/>
        <v>0</v>
      </c>
      <c r="AZ478" s="232">
        <f t="shared" si="209"/>
        <v>0</v>
      </c>
      <c r="BA478" s="255">
        <f t="shared" si="210"/>
        <v>0</v>
      </c>
      <c r="BB478" s="31">
        <f t="shared" si="211"/>
        <v>0.125</v>
      </c>
      <c r="BC478" s="255">
        <f t="shared" si="212"/>
        <v>0.10625</v>
      </c>
      <c r="BD478" s="31">
        <f t="shared" si="213"/>
        <v>0</v>
      </c>
      <c r="BE478" s="255">
        <f t="shared" si="214"/>
        <v>0</v>
      </c>
      <c r="BF478" s="31">
        <f t="shared" si="215"/>
        <v>0.125</v>
      </c>
      <c r="BG478" s="255">
        <f t="shared" si="216"/>
        <v>0.10625</v>
      </c>
      <c r="BH478" s="31">
        <f t="shared" si="217"/>
        <v>0</v>
      </c>
      <c r="BI478" s="255">
        <f t="shared" si="218"/>
        <v>0</v>
      </c>
      <c r="BJ478" s="31">
        <f t="shared" si="219"/>
        <v>0</v>
      </c>
      <c r="BK478" s="31">
        <f t="shared" si="220"/>
        <v>0</v>
      </c>
      <c r="BL478" s="255">
        <f t="shared" si="221"/>
        <v>0</v>
      </c>
      <c r="BM478" s="31">
        <f t="shared" si="222"/>
        <v>0</v>
      </c>
      <c r="BN478" s="255">
        <f t="shared" si="223"/>
        <v>0</v>
      </c>
    </row>
    <row r="479" spans="1:66" x14ac:dyDescent="0.25">
      <c r="A479" t="s">
        <v>2012</v>
      </c>
      <c r="B479" s="186" t="str">
        <f>VLOOKUP(A479,kurspris!$A$1:$B$877,2,FALSE)</f>
        <v>Examensarbete för ämneslärarexamen - Matematik</v>
      </c>
      <c r="C479"/>
      <c r="D479" t="s">
        <v>482</v>
      </c>
      <c r="E479" t="s">
        <v>1975</v>
      </c>
      <c r="F479" s="39" t="s">
        <v>1930</v>
      </c>
      <c r="G479" t="s">
        <v>1997</v>
      </c>
      <c r="H479" t="s">
        <v>1910</v>
      </c>
      <c r="I479"/>
      <c r="J479" t="s">
        <v>774</v>
      </c>
      <c r="K479"/>
      <c r="L479">
        <v>100</v>
      </c>
      <c r="M479" s="295">
        <v>7.5</v>
      </c>
      <c r="N479"/>
      <c r="O479"/>
      <c r="P479" s="31">
        <v>1</v>
      </c>
      <c r="Q479" s="232">
        <f t="shared" si="196"/>
        <v>0.125</v>
      </c>
      <c r="R479" s="40">
        <v>0.85</v>
      </c>
      <c r="S479" s="334">
        <f t="shared" si="197"/>
        <v>0.10625</v>
      </c>
      <c r="T479" s="31">
        <f>VLOOKUP(A479,'Ansvar kurs'!$A$1:$C$1010,2,FALSE)</f>
        <v>5740</v>
      </c>
      <c r="U479" s="31" t="str">
        <f>VLOOKUP(T479,Orgenheter!$A$1:$C$165,2,FALSE)</f>
        <v>NMD</v>
      </c>
      <c r="V479" s="31" t="str">
        <f>VLOOKUP(T479,Orgenheter!$A$1:$C$165,3,FALSE)</f>
        <v>TekNat</v>
      </c>
      <c r="W479" s="37" t="str">
        <f>VLOOKUP(D479,Program!$A$1:$B$34,2,FALSE)</f>
        <v>Ämneslärarprogrammet - åk 7-9</v>
      </c>
      <c r="X479" s="42">
        <f>VLOOKUP(A479,kurspris!$A$1:$Q$798,15,FALSE)</f>
        <v>19473</v>
      </c>
      <c r="Y479" s="42">
        <f>VLOOKUP(A479,kurspris!$A$1:$Q$798,16,FALSE)</f>
        <v>34806</v>
      </c>
      <c r="Z479" s="42">
        <f t="shared" si="198"/>
        <v>6132.2624999999998</v>
      </c>
      <c r="AA479" s="42">
        <f>VLOOKUP(A479,kurspris!$A$1:$Q$798,17,FALSE)</f>
        <v>21800</v>
      </c>
      <c r="AB479" s="42">
        <f t="shared" si="199"/>
        <v>2725</v>
      </c>
      <c r="AC479" s="42">
        <f t="shared" si="200"/>
        <v>8857.2625000000007</v>
      </c>
      <c r="AD479" s="31">
        <f>VLOOKUP($A479,kurspris!$A$1:$Q$835,3,FALSE)</f>
        <v>0</v>
      </c>
      <c r="AE479" s="31">
        <f>VLOOKUP($A479,kurspris!$A$1:$Q$835,4,FALSE)</f>
        <v>0</v>
      </c>
      <c r="AF479" s="31">
        <f>VLOOKUP($A479,kurspris!$A$1:$Q$835,5,FALSE)</f>
        <v>0</v>
      </c>
      <c r="AG479" s="31">
        <f>VLOOKUP($A479,kurspris!$A$1:$Q$835,6,FALSE)</f>
        <v>0</v>
      </c>
      <c r="AH479" s="31">
        <f>VLOOKUP($A479,kurspris!$A$1:$Q$835,7,FALSE)</f>
        <v>0</v>
      </c>
      <c r="AI479" s="31">
        <f>VLOOKUP($A479,kurspris!$A$1:$Q$835,8,FALSE)</f>
        <v>1</v>
      </c>
      <c r="AJ479" s="31">
        <f>VLOOKUP($A479,kurspris!$A$1:$Q$835,9,FALSE)</f>
        <v>0</v>
      </c>
      <c r="AK479" s="31">
        <f>VLOOKUP($A479,kurspris!$A$1:$Q$835,10,FALSE)</f>
        <v>0</v>
      </c>
      <c r="AL479" s="31">
        <f>VLOOKUP($A479,kurspris!$A$1:$Q$835,11,FALSE)</f>
        <v>0</v>
      </c>
      <c r="AM479" s="31">
        <f>VLOOKUP($A479,kurspris!$A$1:$Q$835,12,FALSE)</f>
        <v>0</v>
      </c>
      <c r="AN479" s="31">
        <f>VLOOKUP($A479,kurspris!$A$1:$Q$835,13,FALSE)</f>
        <v>0</v>
      </c>
      <c r="AO479" s="31">
        <f>VLOOKUP($A479,kurspris!$A$1:$Q$835,14,FALSE)</f>
        <v>0</v>
      </c>
      <c r="AP479" s="39" t="s">
        <v>2232</v>
      </c>
      <c r="AQ479" s="39" t="s">
        <v>2036</v>
      </c>
      <c r="AR479" s="31">
        <f t="shared" si="201"/>
        <v>0</v>
      </c>
      <c r="AS479" s="255">
        <f t="shared" si="202"/>
        <v>0</v>
      </c>
      <c r="AT479" s="31">
        <f t="shared" si="203"/>
        <v>0</v>
      </c>
      <c r="AU479" s="255">
        <f t="shared" si="204"/>
        <v>0</v>
      </c>
      <c r="AV479" s="31">
        <f t="shared" si="205"/>
        <v>0</v>
      </c>
      <c r="AW479" s="31">
        <f t="shared" si="206"/>
        <v>0</v>
      </c>
      <c r="AX479" s="31">
        <f t="shared" si="207"/>
        <v>0</v>
      </c>
      <c r="AY479" s="255">
        <f t="shared" si="208"/>
        <v>0</v>
      </c>
      <c r="AZ479" s="232">
        <f t="shared" si="209"/>
        <v>0</v>
      </c>
      <c r="BA479" s="255">
        <f t="shared" si="210"/>
        <v>0</v>
      </c>
      <c r="BB479" s="31">
        <f t="shared" si="211"/>
        <v>0.125</v>
      </c>
      <c r="BC479" s="255">
        <f t="shared" si="212"/>
        <v>0.10625</v>
      </c>
      <c r="BD479" s="31">
        <f t="shared" si="213"/>
        <v>0</v>
      </c>
      <c r="BE479" s="255">
        <f t="shared" si="214"/>
        <v>0</v>
      </c>
      <c r="BF479" s="31">
        <f t="shared" si="215"/>
        <v>0</v>
      </c>
      <c r="BG479" s="255">
        <f t="shared" si="216"/>
        <v>0</v>
      </c>
      <c r="BH479" s="31">
        <f t="shared" si="217"/>
        <v>0</v>
      </c>
      <c r="BI479" s="255">
        <f t="shared" si="218"/>
        <v>0</v>
      </c>
      <c r="BJ479" s="31">
        <f t="shared" si="219"/>
        <v>0</v>
      </c>
      <c r="BK479" s="31">
        <f t="shared" si="220"/>
        <v>0</v>
      </c>
      <c r="BL479" s="255">
        <f t="shared" si="221"/>
        <v>0</v>
      </c>
      <c r="BM479" s="31">
        <f t="shared" si="222"/>
        <v>0</v>
      </c>
      <c r="BN479" s="255">
        <f t="shared" si="223"/>
        <v>0</v>
      </c>
    </row>
    <row r="480" spans="1:66" x14ac:dyDescent="0.25">
      <c r="A480" s="18" t="s">
        <v>2012</v>
      </c>
      <c r="B480" s="186" t="str">
        <f>VLOOKUP(A480,kurspris!$A$1:$B$877,2,FALSE)</f>
        <v>Examensarbete för ämneslärarexamen - Matematik</v>
      </c>
      <c r="C480" s="37"/>
      <c r="D480" s="31" t="s">
        <v>482</v>
      </c>
      <c r="E480" s="31" t="s">
        <v>1975</v>
      </c>
      <c r="F480" s="59" t="s">
        <v>1931</v>
      </c>
      <c r="G480" s="295" t="s">
        <v>1997</v>
      </c>
      <c r="J480" s="31" t="s">
        <v>774</v>
      </c>
      <c r="L480" s="31">
        <v>100</v>
      </c>
      <c r="M480" s="31">
        <v>7.5</v>
      </c>
      <c r="P480" s="31">
        <v>1</v>
      </c>
      <c r="Q480" s="232">
        <f t="shared" si="196"/>
        <v>0.125</v>
      </c>
      <c r="R480" s="40">
        <v>0.85</v>
      </c>
      <c r="S480" s="334">
        <f t="shared" si="197"/>
        <v>0.10625</v>
      </c>
      <c r="T480" s="31">
        <f>VLOOKUP(A480,'Ansvar kurs'!$A$1:$C$1010,2,FALSE)</f>
        <v>5740</v>
      </c>
      <c r="U480" s="31" t="str">
        <f>VLOOKUP(T480,Orgenheter!$A$1:$C$165,2,FALSE)</f>
        <v>NMD</v>
      </c>
      <c r="V480" s="31" t="str">
        <f>VLOOKUP(T480,Orgenheter!$A$1:$C$165,3,FALSE)</f>
        <v>TekNat</v>
      </c>
      <c r="W480" s="37" t="str">
        <f>VLOOKUP(D480,Program!$A$1:$B$34,2,FALSE)</f>
        <v>Ämneslärarprogrammet - åk 7-9</v>
      </c>
      <c r="X480" s="42">
        <f>VLOOKUP(A480,kurspris!$A$1:$Q$798,15,FALSE)</f>
        <v>19473</v>
      </c>
      <c r="Y480" s="42">
        <f>VLOOKUP(A480,kurspris!$A$1:$Q$798,16,FALSE)</f>
        <v>34806</v>
      </c>
      <c r="Z480" s="42">
        <f t="shared" si="198"/>
        <v>6132.2624999999998</v>
      </c>
      <c r="AA480" s="42">
        <f>VLOOKUP(A480,kurspris!$A$1:$Q$798,17,FALSE)</f>
        <v>21800</v>
      </c>
      <c r="AB480" s="42">
        <f t="shared" si="199"/>
        <v>2725</v>
      </c>
      <c r="AC480" s="42">
        <f t="shared" si="200"/>
        <v>8857.2625000000007</v>
      </c>
      <c r="AD480" s="31">
        <f>VLOOKUP($A480,kurspris!$A$1:$Q$835,3,FALSE)</f>
        <v>0</v>
      </c>
      <c r="AE480" s="31">
        <f>VLOOKUP($A480,kurspris!$A$1:$Q$835,4,FALSE)</f>
        <v>0</v>
      </c>
      <c r="AF480" s="31">
        <f>VLOOKUP($A480,kurspris!$A$1:$Q$835,5,FALSE)</f>
        <v>0</v>
      </c>
      <c r="AG480" s="31">
        <f>VLOOKUP($A480,kurspris!$A$1:$Q$835,6,FALSE)</f>
        <v>0</v>
      </c>
      <c r="AH480" s="31">
        <f>VLOOKUP($A480,kurspris!$A$1:$Q$835,7,FALSE)</f>
        <v>0</v>
      </c>
      <c r="AI480" s="31">
        <f>VLOOKUP($A480,kurspris!$A$1:$Q$835,8,FALSE)</f>
        <v>1</v>
      </c>
      <c r="AJ480" s="31">
        <f>VLOOKUP($A480,kurspris!$A$1:$Q$835,9,FALSE)</f>
        <v>0</v>
      </c>
      <c r="AK480" s="31">
        <f>VLOOKUP($A480,kurspris!$A$1:$Q$835,10,FALSE)</f>
        <v>0</v>
      </c>
      <c r="AL480" s="31">
        <f>VLOOKUP($A480,kurspris!$A$1:$Q$835,11,FALSE)</f>
        <v>0</v>
      </c>
      <c r="AM480" s="31">
        <f>VLOOKUP($A480,kurspris!$A$1:$Q$835,12,FALSE)</f>
        <v>0</v>
      </c>
      <c r="AN480" s="31">
        <f>VLOOKUP($A480,kurspris!$A$1:$Q$835,13,FALSE)</f>
        <v>0</v>
      </c>
      <c r="AO480" s="31">
        <f>VLOOKUP($A480,kurspris!$A$1:$Q$835,14,FALSE)</f>
        <v>0</v>
      </c>
      <c r="AP480" s="39" t="s">
        <v>2326</v>
      </c>
      <c r="AQ480" t="s">
        <v>2300</v>
      </c>
      <c r="AR480" s="31">
        <f t="shared" si="201"/>
        <v>0</v>
      </c>
      <c r="AS480" s="255">
        <f t="shared" si="202"/>
        <v>0</v>
      </c>
      <c r="AT480" s="31">
        <f t="shared" si="203"/>
        <v>0</v>
      </c>
      <c r="AU480" s="255">
        <f t="shared" si="204"/>
        <v>0</v>
      </c>
      <c r="AV480" s="31">
        <f t="shared" si="205"/>
        <v>0</v>
      </c>
      <c r="AW480" s="31">
        <f t="shared" si="206"/>
        <v>0</v>
      </c>
      <c r="AX480" s="31">
        <f t="shared" si="207"/>
        <v>0</v>
      </c>
      <c r="AY480" s="255">
        <f t="shared" si="208"/>
        <v>0</v>
      </c>
      <c r="AZ480" s="232">
        <f t="shared" si="209"/>
        <v>0</v>
      </c>
      <c r="BA480" s="255">
        <f t="shared" si="210"/>
        <v>0</v>
      </c>
      <c r="BB480" s="31">
        <f t="shared" si="211"/>
        <v>0.125</v>
      </c>
      <c r="BC480" s="255">
        <f t="shared" si="212"/>
        <v>0.10625</v>
      </c>
      <c r="BD480" s="31">
        <f t="shared" si="213"/>
        <v>0</v>
      </c>
      <c r="BE480" s="255">
        <f t="shared" si="214"/>
        <v>0</v>
      </c>
      <c r="BF480" s="31">
        <f t="shared" si="215"/>
        <v>0</v>
      </c>
      <c r="BG480" s="255">
        <f t="shared" si="216"/>
        <v>0</v>
      </c>
      <c r="BH480" s="31">
        <f t="shared" si="217"/>
        <v>0</v>
      </c>
      <c r="BI480" s="255">
        <f t="shared" si="218"/>
        <v>0</v>
      </c>
      <c r="BJ480" s="31">
        <f t="shared" si="219"/>
        <v>0</v>
      </c>
      <c r="BK480" s="31">
        <f t="shared" si="220"/>
        <v>0</v>
      </c>
      <c r="BL480" s="255">
        <f t="shared" si="221"/>
        <v>0</v>
      </c>
      <c r="BM480" s="31">
        <f t="shared" si="222"/>
        <v>0</v>
      </c>
      <c r="BN480" s="255">
        <f t="shared" si="223"/>
        <v>0</v>
      </c>
    </row>
    <row r="481" spans="1:66" x14ac:dyDescent="0.25">
      <c r="A481" s="18" t="s">
        <v>2012</v>
      </c>
      <c r="B481" s="186" t="str">
        <f>VLOOKUP(A481,kurspris!$A$1:$B$877,2,FALSE)</f>
        <v>Examensarbete för ämneslärarexamen - Matematik</v>
      </c>
      <c r="C481" s="37"/>
      <c r="D481" s="31" t="s">
        <v>483</v>
      </c>
      <c r="E481" s="31" t="s">
        <v>1992</v>
      </c>
      <c r="F481" s="59" t="s">
        <v>1931</v>
      </c>
      <c r="G481" s="295" t="s">
        <v>2268</v>
      </c>
      <c r="J481" t="s">
        <v>774</v>
      </c>
      <c r="L481" s="31">
        <v>100</v>
      </c>
      <c r="M481" s="31">
        <v>7.5</v>
      </c>
      <c r="P481" s="31">
        <v>1</v>
      </c>
      <c r="Q481" s="232">
        <f t="shared" si="196"/>
        <v>0.125</v>
      </c>
      <c r="R481" s="40">
        <v>0.85</v>
      </c>
      <c r="S481" s="334">
        <f t="shared" si="197"/>
        <v>0.10625</v>
      </c>
      <c r="T481" s="31">
        <f>VLOOKUP(A481,'Ansvar kurs'!$A$1:$C$1010,2,FALSE)</f>
        <v>5740</v>
      </c>
      <c r="U481" s="31" t="str">
        <f>VLOOKUP(T481,Orgenheter!$A$1:$C$165,2,FALSE)</f>
        <v>NMD</v>
      </c>
      <c r="V481" s="31" t="str">
        <f>VLOOKUP(T481,Orgenheter!$A$1:$C$165,3,FALSE)</f>
        <v>TekNat</v>
      </c>
      <c r="W481" s="37" t="str">
        <f>VLOOKUP(D481,Program!$A$1:$B$34,2,FALSE)</f>
        <v>Ämneslärarprogrammet - Gy</v>
      </c>
      <c r="X481" s="42">
        <f>VLOOKUP(A481,kurspris!$A$1:$Q$798,15,FALSE)</f>
        <v>19473</v>
      </c>
      <c r="Y481" s="42">
        <f>VLOOKUP(A481,kurspris!$A$1:$Q$798,16,FALSE)</f>
        <v>34806</v>
      </c>
      <c r="Z481" s="42">
        <f t="shared" si="198"/>
        <v>6132.2624999999998</v>
      </c>
      <c r="AA481" s="42">
        <f>VLOOKUP(A481,kurspris!$A$1:$Q$798,17,FALSE)</f>
        <v>21800</v>
      </c>
      <c r="AB481" s="42">
        <f t="shared" si="199"/>
        <v>2725</v>
      </c>
      <c r="AC481" s="42">
        <f t="shared" si="200"/>
        <v>8857.2625000000007</v>
      </c>
      <c r="AD481" s="31">
        <f>VLOOKUP($A481,kurspris!$A$1:$Q$835,3,FALSE)</f>
        <v>0</v>
      </c>
      <c r="AE481" s="31">
        <f>VLOOKUP($A481,kurspris!$A$1:$Q$835,4,FALSE)</f>
        <v>0</v>
      </c>
      <c r="AF481" s="31">
        <f>VLOOKUP($A481,kurspris!$A$1:$Q$835,5,FALSE)</f>
        <v>0</v>
      </c>
      <c r="AG481" s="31">
        <f>VLOOKUP($A481,kurspris!$A$1:$Q$835,6,FALSE)</f>
        <v>0</v>
      </c>
      <c r="AH481" s="31">
        <f>VLOOKUP($A481,kurspris!$A$1:$Q$835,7,FALSE)</f>
        <v>0</v>
      </c>
      <c r="AI481" s="31">
        <f>VLOOKUP($A481,kurspris!$A$1:$Q$835,8,FALSE)</f>
        <v>1</v>
      </c>
      <c r="AJ481" s="31">
        <f>VLOOKUP($A481,kurspris!$A$1:$Q$835,9,FALSE)</f>
        <v>0</v>
      </c>
      <c r="AK481" s="31">
        <f>VLOOKUP($A481,kurspris!$A$1:$Q$835,10,FALSE)</f>
        <v>0</v>
      </c>
      <c r="AL481" s="31">
        <f>VLOOKUP($A481,kurspris!$A$1:$Q$835,11,FALSE)</f>
        <v>0</v>
      </c>
      <c r="AM481" s="31">
        <f>VLOOKUP($A481,kurspris!$A$1:$Q$835,12,FALSE)</f>
        <v>0</v>
      </c>
      <c r="AN481" s="31">
        <f>VLOOKUP($A481,kurspris!$A$1:$Q$835,13,FALSE)</f>
        <v>0</v>
      </c>
      <c r="AO481" s="31">
        <f>VLOOKUP($A481,kurspris!$A$1:$Q$835,14,FALSE)</f>
        <v>0</v>
      </c>
      <c r="AP481" s="39" t="s">
        <v>2326</v>
      </c>
      <c r="AQ481" t="s">
        <v>2300</v>
      </c>
      <c r="AR481" s="31">
        <f t="shared" si="201"/>
        <v>0</v>
      </c>
      <c r="AS481" s="255">
        <f t="shared" si="202"/>
        <v>0</v>
      </c>
      <c r="AT481" s="31">
        <f t="shared" si="203"/>
        <v>0</v>
      </c>
      <c r="AU481" s="255">
        <f t="shared" si="204"/>
        <v>0</v>
      </c>
      <c r="AV481" s="31">
        <f t="shared" si="205"/>
        <v>0</v>
      </c>
      <c r="AW481" s="31">
        <f t="shared" si="206"/>
        <v>0</v>
      </c>
      <c r="AX481" s="31">
        <f t="shared" si="207"/>
        <v>0</v>
      </c>
      <c r="AY481" s="255">
        <f t="shared" si="208"/>
        <v>0</v>
      </c>
      <c r="AZ481" s="232">
        <f t="shared" si="209"/>
        <v>0</v>
      </c>
      <c r="BA481" s="255">
        <f t="shared" si="210"/>
        <v>0</v>
      </c>
      <c r="BB481" s="31">
        <f t="shared" si="211"/>
        <v>0.125</v>
      </c>
      <c r="BC481" s="255">
        <f t="shared" si="212"/>
        <v>0.10625</v>
      </c>
      <c r="BD481" s="31">
        <f t="shared" si="213"/>
        <v>0</v>
      </c>
      <c r="BE481" s="255">
        <f t="shared" si="214"/>
        <v>0</v>
      </c>
      <c r="BF481" s="31">
        <f t="shared" si="215"/>
        <v>0</v>
      </c>
      <c r="BG481" s="255">
        <f t="shared" si="216"/>
        <v>0</v>
      </c>
      <c r="BH481" s="31">
        <f t="shared" si="217"/>
        <v>0</v>
      </c>
      <c r="BI481" s="255">
        <f t="shared" si="218"/>
        <v>0</v>
      </c>
      <c r="BJ481" s="31">
        <f t="shared" si="219"/>
        <v>0</v>
      </c>
      <c r="BK481" s="31">
        <f t="shared" si="220"/>
        <v>0</v>
      </c>
      <c r="BL481" s="255">
        <f t="shared" si="221"/>
        <v>0</v>
      </c>
      <c r="BM481" s="31">
        <f t="shared" si="222"/>
        <v>0</v>
      </c>
      <c r="BN481" s="255">
        <f t="shared" si="223"/>
        <v>0</v>
      </c>
    </row>
    <row r="482" spans="1:66" x14ac:dyDescent="0.25">
      <c r="A482" s="18" t="s">
        <v>2012</v>
      </c>
      <c r="B482" s="186" t="str">
        <f>VLOOKUP(A482,kurspris!$A$1:$B$877,2,FALSE)</f>
        <v>Examensarbete för ämneslärarexamen - Matematik</v>
      </c>
      <c r="C482" s="37"/>
      <c r="D482" s="31" t="s">
        <v>483</v>
      </c>
      <c r="E482" s="31" t="s">
        <v>1976</v>
      </c>
      <c r="F482" s="59" t="s">
        <v>1931</v>
      </c>
      <c r="G482" s="31" t="s">
        <v>2268</v>
      </c>
      <c r="J482" t="s">
        <v>774</v>
      </c>
      <c r="L482" s="31">
        <v>100</v>
      </c>
      <c r="M482" s="31">
        <v>7.5</v>
      </c>
      <c r="P482" s="31">
        <v>3</v>
      </c>
      <c r="Q482" s="232">
        <f t="shared" si="196"/>
        <v>0.375</v>
      </c>
      <c r="R482" s="40">
        <v>0.85</v>
      </c>
      <c r="S482" s="334">
        <f t="shared" si="197"/>
        <v>0.31874999999999998</v>
      </c>
      <c r="T482" s="31">
        <f>VLOOKUP(A482,'Ansvar kurs'!$A$1:$C$1010,2,FALSE)</f>
        <v>5740</v>
      </c>
      <c r="U482" s="31" t="str">
        <f>VLOOKUP(T482,Orgenheter!$A$1:$C$165,2,FALSE)</f>
        <v>NMD</v>
      </c>
      <c r="V482" s="31" t="str">
        <f>VLOOKUP(T482,Orgenheter!$A$1:$C$165,3,FALSE)</f>
        <v>TekNat</v>
      </c>
      <c r="W482" s="37" t="str">
        <f>VLOOKUP(D482,Program!$A$1:$B$34,2,FALSE)</f>
        <v>Ämneslärarprogrammet - Gy</v>
      </c>
      <c r="X482" s="42">
        <f>VLOOKUP(A482,kurspris!$A$1:$Q$798,15,FALSE)</f>
        <v>19473</v>
      </c>
      <c r="Y482" s="42">
        <f>VLOOKUP(A482,kurspris!$A$1:$Q$798,16,FALSE)</f>
        <v>34806</v>
      </c>
      <c r="Z482" s="42">
        <f t="shared" si="198"/>
        <v>18396.787499999999</v>
      </c>
      <c r="AA482" s="42">
        <f>VLOOKUP(A482,kurspris!$A$1:$Q$798,17,FALSE)</f>
        <v>21800</v>
      </c>
      <c r="AB482" s="42">
        <f t="shared" si="199"/>
        <v>8175</v>
      </c>
      <c r="AC482" s="42">
        <f t="shared" si="200"/>
        <v>26571.787499999999</v>
      </c>
      <c r="AD482" s="31">
        <f>VLOOKUP($A482,kurspris!$A$1:$Q$835,3,FALSE)</f>
        <v>0</v>
      </c>
      <c r="AE482" s="31">
        <f>VLOOKUP($A482,kurspris!$A$1:$Q$835,4,FALSE)</f>
        <v>0</v>
      </c>
      <c r="AF482" s="31">
        <f>VLOOKUP($A482,kurspris!$A$1:$Q$835,5,FALSE)</f>
        <v>0</v>
      </c>
      <c r="AG482" s="31">
        <f>VLOOKUP($A482,kurspris!$A$1:$Q$835,6,FALSE)</f>
        <v>0</v>
      </c>
      <c r="AH482" s="31">
        <f>VLOOKUP($A482,kurspris!$A$1:$Q$835,7,FALSE)</f>
        <v>0</v>
      </c>
      <c r="AI482" s="31">
        <f>VLOOKUP($A482,kurspris!$A$1:$Q$835,8,FALSE)</f>
        <v>1</v>
      </c>
      <c r="AJ482" s="31">
        <f>VLOOKUP($A482,kurspris!$A$1:$Q$835,9,FALSE)</f>
        <v>0</v>
      </c>
      <c r="AK482" s="31">
        <f>VLOOKUP($A482,kurspris!$A$1:$Q$835,10,FALSE)</f>
        <v>0</v>
      </c>
      <c r="AL482" s="31">
        <f>VLOOKUP($A482,kurspris!$A$1:$Q$835,11,FALSE)</f>
        <v>0</v>
      </c>
      <c r="AM482" s="31">
        <f>VLOOKUP($A482,kurspris!$A$1:$Q$835,12,FALSE)</f>
        <v>0</v>
      </c>
      <c r="AN482" s="31">
        <f>VLOOKUP($A482,kurspris!$A$1:$Q$835,13,FALSE)</f>
        <v>0</v>
      </c>
      <c r="AO482" s="31">
        <f>VLOOKUP($A482,kurspris!$A$1:$Q$835,14,FALSE)</f>
        <v>0</v>
      </c>
      <c r="AP482" s="39" t="s">
        <v>2326</v>
      </c>
      <c r="AQ482" t="s">
        <v>2300</v>
      </c>
      <c r="AR482" s="31">
        <f t="shared" si="201"/>
        <v>0</v>
      </c>
      <c r="AS482" s="255">
        <f t="shared" si="202"/>
        <v>0</v>
      </c>
      <c r="AT482" s="31">
        <f t="shared" si="203"/>
        <v>0</v>
      </c>
      <c r="AU482" s="255">
        <f t="shared" si="204"/>
        <v>0</v>
      </c>
      <c r="AV482" s="31">
        <f t="shared" si="205"/>
        <v>0</v>
      </c>
      <c r="AW482" s="31">
        <f t="shared" si="206"/>
        <v>0</v>
      </c>
      <c r="AX482" s="31">
        <f t="shared" si="207"/>
        <v>0</v>
      </c>
      <c r="AY482" s="255">
        <f t="shared" si="208"/>
        <v>0</v>
      </c>
      <c r="AZ482" s="232">
        <f t="shared" si="209"/>
        <v>0</v>
      </c>
      <c r="BA482" s="255">
        <f t="shared" si="210"/>
        <v>0</v>
      </c>
      <c r="BB482" s="31">
        <f t="shared" si="211"/>
        <v>0.375</v>
      </c>
      <c r="BC482" s="255">
        <f t="shared" si="212"/>
        <v>0.31874999999999998</v>
      </c>
      <c r="BD482" s="31">
        <f t="shared" si="213"/>
        <v>0</v>
      </c>
      <c r="BE482" s="255">
        <f t="shared" si="214"/>
        <v>0</v>
      </c>
      <c r="BF482" s="31">
        <f t="shared" si="215"/>
        <v>0</v>
      </c>
      <c r="BG482" s="255">
        <f t="shared" si="216"/>
        <v>0</v>
      </c>
      <c r="BH482" s="31">
        <f t="shared" si="217"/>
        <v>0</v>
      </c>
      <c r="BI482" s="255">
        <f t="shared" si="218"/>
        <v>0</v>
      </c>
      <c r="BJ482" s="31">
        <f t="shared" si="219"/>
        <v>0</v>
      </c>
      <c r="BK482" s="31">
        <f t="shared" si="220"/>
        <v>0</v>
      </c>
      <c r="BL482" s="255">
        <f t="shared" si="221"/>
        <v>0</v>
      </c>
      <c r="BM482" s="31">
        <f t="shared" si="222"/>
        <v>0</v>
      </c>
      <c r="BN482" s="255">
        <f t="shared" si="223"/>
        <v>0</v>
      </c>
    </row>
    <row r="483" spans="1:66" x14ac:dyDescent="0.25">
      <c r="A483" s="18" t="s">
        <v>2012</v>
      </c>
      <c r="B483" s="186" t="str">
        <f>VLOOKUP(A483,kurspris!$A$1:$B$877,2,FALSE)</f>
        <v>Examensarbete för ämneslärarexamen - Matematik</v>
      </c>
      <c r="C483" s="37"/>
      <c r="D483" s="31" t="s">
        <v>483</v>
      </c>
      <c r="E483" s="31" t="s">
        <v>1973</v>
      </c>
      <c r="F483" s="59" t="s">
        <v>1931</v>
      </c>
      <c r="G483" s="295" t="s">
        <v>2268</v>
      </c>
      <c r="J483" t="s">
        <v>774</v>
      </c>
      <c r="L483" s="31">
        <v>100</v>
      </c>
      <c r="M483" s="31">
        <v>7.5</v>
      </c>
      <c r="P483" s="31">
        <v>1</v>
      </c>
      <c r="Q483" s="232">
        <f t="shared" si="196"/>
        <v>0.125</v>
      </c>
      <c r="R483" s="40">
        <v>0.85</v>
      </c>
      <c r="S483" s="334">
        <f t="shared" si="197"/>
        <v>0.10625</v>
      </c>
      <c r="T483" s="31">
        <f>VLOOKUP(A483,'Ansvar kurs'!$A$1:$C$1010,2,FALSE)</f>
        <v>5740</v>
      </c>
      <c r="U483" s="31" t="str">
        <f>VLOOKUP(T483,Orgenheter!$A$1:$C$165,2,FALSE)</f>
        <v>NMD</v>
      </c>
      <c r="V483" s="31" t="str">
        <f>VLOOKUP(T483,Orgenheter!$A$1:$C$165,3,FALSE)</f>
        <v>TekNat</v>
      </c>
      <c r="W483" s="37" t="str">
        <f>VLOOKUP(D483,Program!$A$1:$B$34,2,FALSE)</f>
        <v>Ämneslärarprogrammet - Gy</v>
      </c>
      <c r="X483" s="42">
        <f>VLOOKUP(A483,kurspris!$A$1:$Q$798,15,FALSE)</f>
        <v>19473</v>
      </c>
      <c r="Y483" s="42">
        <f>VLOOKUP(A483,kurspris!$A$1:$Q$798,16,FALSE)</f>
        <v>34806</v>
      </c>
      <c r="Z483" s="42">
        <f t="shared" si="198"/>
        <v>6132.2624999999998</v>
      </c>
      <c r="AA483" s="42">
        <f>VLOOKUP(A483,kurspris!$A$1:$Q$798,17,FALSE)</f>
        <v>21800</v>
      </c>
      <c r="AB483" s="42">
        <f t="shared" si="199"/>
        <v>2725</v>
      </c>
      <c r="AC483" s="42">
        <f t="shared" si="200"/>
        <v>8857.2625000000007</v>
      </c>
      <c r="AD483" s="31">
        <f>VLOOKUP($A483,kurspris!$A$1:$Q$835,3,FALSE)</f>
        <v>0</v>
      </c>
      <c r="AE483" s="31">
        <f>VLOOKUP($A483,kurspris!$A$1:$Q$835,4,FALSE)</f>
        <v>0</v>
      </c>
      <c r="AF483" s="31">
        <f>VLOOKUP($A483,kurspris!$A$1:$Q$835,5,FALSE)</f>
        <v>0</v>
      </c>
      <c r="AG483" s="31">
        <f>VLOOKUP($A483,kurspris!$A$1:$Q$835,6,FALSE)</f>
        <v>0</v>
      </c>
      <c r="AH483" s="31">
        <f>VLOOKUP($A483,kurspris!$A$1:$Q$835,7,FALSE)</f>
        <v>0</v>
      </c>
      <c r="AI483" s="31">
        <f>VLOOKUP($A483,kurspris!$A$1:$Q$835,8,FALSE)</f>
        <v>1</v>
      </c>
      <c r="AJ483" s="31">
        <f>VLOOKUP($A483,kurspris!$A$1:$Q$835,9,FALSE)</f>
        <v>0</v>
      </c>
      <c r="AK483" s="31">
        <f>VLOOKUP($A483,kurspris!$A$1:$Q$835,10,FALSE)</f>
        <v>0</v>
      </c>
      <c r="AL483" s="31">
        <f>VLOOKUP($A483,kurspris!$A$1:$Q$835,11,FALSE)</f>
        <v>0</v>
      </c>
      <c r="AM483" s="31">
        <f>VLOOKUP($A483,kurspris!$A$1:$Q$835,12,FALSE)</f>
        <v>0</v>
      </c>
      <c r="AN483" s="31">
        <f>VLOOKUP($A483,kurspris!$A$1:$Q$835,13,FALSE)</f>
        <v>0</v>
      </c>
      <c r="AO483" s="31">
        <f>VLOOKUP($A483,kurspris!$A$1:$Q$835,14,FALSE)</f>
        <v>0</v>
      </c>
      <c r="AP483" s="39" t="s">
        <v>2326</v>
      </c>
      <c r="AQ483" t="s">
        <v>2300</v>
      </c>
      <c r="AR483" s="31">
        <f t="shared" si="201"/>
        <v>0</v>
      </c>
      <c r="AS483" s="255">
        <f t="shared" si="202"/>
        <v>0</v>
      </c>
      <c r="AT483" s="31">
        <f t="shared" si="203"/>
        <v>0</v>
      </c>
      <c r="AU483" s="255">
        <f t="shared" si="204"/>
        <v>0</v>
      </c>
      <c r="AV483" s="31">
        <f t="shared" si="205"/>
        <v>0</v>
      </c>
      <c r="AW483" s="31">
        <f t="shared" si="206"/>
        <v>0</v>
      </c>
      <c r="AX483" s="31">
        <f t="shared" si="207"/>
        <v>0</v>
      </c>
      <c r="AY483" s="255">
        <f t="shared" si="208"/>
        <v>0</v>
      </c>
      <c r="AZ483" s="232">
        <f t="shared" si="209"/>
        <v>0</v>
      </c>
      <c r="BA483" s="255">
        <f t="shared" si="210"/>
        <v>0</v>
      </c>
      <c r="BB483" s="31">
        <f t="shared" si="211"/>
        <v>0.125</v>
      </c>
      <c r="BC483" s="255">
        <f t="shared" si="212"/>
        <v>0.10625</v>
      </c>
      <c r="BD483" s="31">
        <f t="shared" si="213"/>
        <v>0</v>
      </c>
      <c r="BE483" s="255">
        <f t="shared" si="214"/>
        <v>0</v>
      </c>
      <c r="BF483" s="31">
        <f t="shared" si="215"/>
        <v>0</v>
      </c>
      <c r="BG483" s="255">
        <f t="shared" si="216"/>
        <v>0</v>
      </c>
      <c r="BH483" s="31">
        <f t="shared" si="217"/>
        <v>0</v>
      </c>
      <c r="BI483" s="255">
        <f t="shared" si="218"/>
        <v>0</v>
      </c>
      <c r="BJ483" s="31">
        <f t="shared" si="219"/>
        <v>0</v>
      </c>
      <c r="BK483" s="31">
        <f t="shared" si="220"/>
        <v>0</v>
      </c>
      <c r="BL483" s="255">
        <f t="shared" si="221"/>
        <v>0</v>
      </c>
      <c r="BM483" s="31">
        <f t="shared" si="222"/>
        <v>0</v>
      </c>
      <c r="BN483" s="255">
        <f t="shared" si="223"/>
        <v>0</v>
      </c>
    </row>
    <row r="484" spans="1:66" x14ac:dyDescent="0.25">
      <c r="A484" t="s">
        <v>1357</v>
      </c>
      <c r="B484" s="186" t="str">
        <f>VLOOKUP(A484,kurspris!$A$1:$B$877,2,FALSE)</f>
        <v>Matematik 1 för förskoleklass och grundskolans årskurs 1-3</v>
      </c>
      <c r="C484"/>
      <c r="D484" t="s">
        <v>486</v>
      </c>
      <c r="E484" t="s">
        <v>1788</v>
      </c>
      <c r="F484" s="59" t="s">
        <v>1930</v>
      </c>
      <c r="G484" t="s">
        <v>1933</v>
      </c>
      <c r="H484" t="s">
        <v>1910</v>
      </c>
      <c r="I484"/>
      <c r="J484"/>
      <c r="K484"/>
      <c r="L484">
        <v>100</v>
      </c>
      <c r="M484">
        <v>7.5</v>
      </c>
      <c r="N484"/>
      <c r="O484"/>
      <c r="P484" s="31">
        <v>46</v>
      </c>
      <c r="Q484" s="232">
        <f t="shared" si="196"/>
        <v>5.75</v>
      </c>
      <c r="R484" s="40">
        <v>0.85</v>
      </c>
      <c r="S484" s="334">
        <f t="shared" si="197"/>
        <v>4.8875000000000002</v>
      </c>
      <c r="T484" s="31">
        <f>VLOOKUP(A484,'Ansvar kurs'!$A$1:$C$1010,2,FALSE)</f>
        <v>5740</v>
      </c>
      <c r="U484" s="31" t="str">
        <f>VLOOKUP(T484,Orgenheter!$A$1:$C$165,2,FALSE)</f>
        <v>NMD</v>
      </c>
      <c r="V484" s="31" t="str">
        <f>VLOOKUP(T484,Orgenheter!$A$1:$C$165,3,FALSE)</f>
        <v>TekNat</v>
      </c>
      <c r="W484" s="37" t="str">
        <f>VLOOKUP(D484,Program!$A$1:$B$34,2,FALSE)</f>
        <v>Grundlärarprogrammet - förskoleklass och åk 1-3</v>
      </c>
      <c r="X484" s="42">
        <f>VLOOKUP(A484,kurspris!$A$1:$Q$798,15,FALSE)</f>
        <v>19473</v>
      </c>
      <c r="Y484" s="42">
        <f>VLOOKUP(A484,kurspris!$A$1:$Q$798,16,FALSE)</f>
        <v>34806</v>
      </c>
      <c r="Z484" s="42">
        <f t="shared" si="198"/>
        <v>282084.07500000001</v>
      </c>
      <c r="AA484" s="42">
        <f>VLOOKUP(A484,kurspris!$A$1:$Q$798,17,FALSE)</f>
        <v>21800</v>
      </c>
      <c r="AB484" s="42">
        <f t="shared" si="199"/>
        <v>125350</v>
      </c>
      <c r="AC484" s="42">
        <f t="shared" si="200"/>
        <v>407434.07500000001</v>
      </c>
      <c r="AD484" s="31">
        <f>VLOOKUP($A484,kurspris!$A$1:$Q$835,3,FALSE)</f>
        <v>0</v>
      </c>
      <c r="AE484" s="31">
        <f>VLOOKUP($A484,kurspris!$A$1:$Q$835,4,FALSE)</f>
        <v>0</v>
      </c>
      <c r="AF484" s="31">
        <f>VLOOKUP($A484,kurspris!$A$1:$Q$835,5,FALSE)</f>
        <v>0</v>
      </c>
      <c r="AG484" s="31">
        <f>VLOOKUP($A484,kurspris!$A$1:$Q$835,6,FALSE)</f>
        <v>0</v>
      </c>
      <c r="AH484" s="31">
        <f>VLOOKUP($A484,kurspris!$A$1:$Q$835,7,FALSE)</f>
        <v>0</v>
      </c>
      <c r="AI484" s="31">
        <f>VLOOKUP($A484,kurspris!$A$1:$Q$835,8,FALSE)</f>
        <v>1</v>
      </c>
      <c r="AJ484" s="31">
        <f>VLOOKUP($A484,kurspris!$A$1:$Q$835,9,FALSE)</f>
        <v>0</v>
      </c>
      <c r="AK484" s="31">
        <f>VLOOKUP($A484,kurspris!$A$1:$Q$835,10,FALSE)</f>
        <v>0</v>
      </c>
      <c r="AL484" s="31">
        <f>VLOOKUP($A484,kurspris!$A$1:$Q$835,11,FALSE)</f>
        <v>0</v>
      </c>
      <c r="AM484" s="31">
        <f>VLOOKUP($A484,kurspris!$A$1:$Q$835,12,FALSE)</f>
        <v>0</v>
      </c>
      <c r="AN484" s="31">
        <f>VLOOKUP($A484,kurspris!$A$1:$Q$835,13,FALSE)</f>
        <v>0</v>
      </c>
      <c r="AO484" s="31">
        <f>VLOOKUP($A484,kurspris!$A$1:$Q$835,14,FALSE)</f>
        <v>0</v>
      </c>
      <c r="AP484" s="39" t="s">
        <v>2235</v>
      </c>
      <c r="AQ484"/>
      <c r="AR484" s="31">
        <f t="shared" si="201"/>
        <v>0</v>
      </c>
      <c r="AS484" s="255">
        <f t="shared" si="202"/>
        <v>0</v>
      </c>
      <c r="AT484" s="31">
        <f t="shared" si="203"/>
        <v>0</v>
      </c>
      <c r="AU484" s="255">
        <f t="shared" si="204"/>
        <v>0</v>
      </c>
      <c r="AV484" s="31">
        <f t="shared" si="205"/>
        <v>0</v>
      </c>
      <c r="AW484" s="31">
        <f t="shared" si="206"/>
        <v>0</v>
      </c>
      <c r="AX484" s="31">
        <f t="shared" si="207"/>
        <v>0</v>
      </c>
      <c r="AY484" s="255">
        <f t="shared" si="208"/>
        <v>0</v>
      </c>
      <c r="AZ484" s="232">
        <f t="shared" si="209"/>
        <v>0</v>
      </c>
      <c r="BA484" s="255">
        <f t="shared" si="210"/>
        <v>0</v>
      </c>
      <c r="BB484" s="31">
        <f t="shared" si="211"/>
        <v>5.75</v>
      </c>
      <c r="BC484" s="255">
        <f t="shared" si="212"/>
        <v>4.8875000000000002</v>
      </c>
      <c r="BD484" s="31">
        <f t="shared" si="213"/>
        <v>0</v>
      </c>
      <c r="BE484" s="255">
        <f t="shared" si="214"/>
        <v>0</v>
      </c>
      <c r="BF484" s="31">
        <f t="shared" si="215"/>
        <v>0</v>
      </c>
      <c r="BG484" s="255">
        <f t="shared" si="216"/>
        <v>0</v>
      </c>
      <c r="BH484" s="31">
        <f t="shared" si="217"/>
        <v>0</v>
      </c>
      <c r="BI484" s="255">
        <f t="shared" si="218"/>
        <v>0</v>
      </c>
      <c r="BJ484" s="31">
        <f t="shared" si="219"/>
        <v>0</v>
      </c>
      <c r="BK484" s="31">
        <f t="shared" si="220"/>
        <v>0</v>
      </c>
      <c r="BL484" s="255">
        <f t="shared" si="221"/>
        <v>0</v>
      </c>
      <c r="BM484" s="31">
        <f t="shared" si="222"/>
        <v>0</v>
      </c>
      <c r="BN484" s="255">
        <f t="shared" si="223"/>
        <v>0</v>
      </c>
    </row>
    <row r="485" spans="1:66" x14ac:dyDescent="0.25">
      <c r="A485" s="18" t="s">
        <v>1457</v>
      </c>
      <c r="B485" s="186" t="str">
        <f>VLOOKUP(A485,kurspris!$A$1:$B$877,2,FALSE)</f>
        <v>Matematik 3 för förskoleklass och grundskolans årskurs 1-3</v>
      </c>
      <c r="C485" s="37"/>
      <c r="D485" s="31" t="s">
        <v>486</v>
      </c>
      <c r="E485" s="31" t="s">
        <v>1788</v>
      </c>
      <c r="F485" s="59" t="s">
        <v>1931</v>
      </c>
      <c r="G485" s="31" t="s">
        <v>2278</v>
      </c>
      <c r="L485" s="31">
        <v>100</v>
      </c>
      <c r="M485" s="31">
        <v>7.5</v>
      </c>
      <c r="P485" s="31">
        <v>44</v>
      </c>
      <c r="Q485" s="232">
        <f t="shared" si="196"/>
        <v>5.5</v>
      </c>
      <c r="R485" s="40">
        <v>0.85</v>
      </c>
      <c r="S485" s="334">
        <f t="shared" si="197"/>
        <v>4.6749999999999998</v>
      </c>
      <c r="T485" s="31">
        <f>VLOOKUP(A485,'Ansvar kurs'!$A$1:$C$1010,2,FALSE)</f>
        <v>5740</v>
      </c>
      <c r="U485" s="31" t="str">
        <f>VLOOKUP(T485,Orgenheter!$A$1:$C$165,2,FALSE)</f>
        <v>NMD</v>
      </c>
      <c r="V485" s="31" t="str">
        <f>VLOOKUP(T485,Orgenheter!$A$1:$C$165,3,FALSE)</f>
        <v>TekNat</v>
      </c>
      <c r="W485" s="37" t="str">
        <f>VLOOKUP(D485,Program!$A$1:$B$34,2,FALSE)</f>
        <v>Grundlärarprogrammet - förskoleklass och åk 1-3</v>
      </c>
      <c r="X485" s="42">
        <f>VLOOKUP(A485,kurspris!$A$1:$Q$798,15,FALSE)</f>
        <v>19473</v>
      </c>
      <c r="Y485" s="42">
        <f>VLOOKUP(A485,kurspris!$A$1:$Q$798,16,FALSE)</f>
        <v>34806</v>
      </c>
      <c r="Z485" s="42">
        <f t="shared" si="198"/>
        <v>269819.55</v>
      </c>
      <c r="AA485" s="42">
        <f>VLOOKUP(A485,kurspris!$A$1:$Q$798,17,FALSE)</f>
        <v>21800</v>
      </c>
      <c r="AB485" s="42">
        <f t="shared" si="199"/>
        <v>119900</v>
      </c>
      <c r="AC485" s="42">
        <f t="shared" si="200"/>
        <v>389719.55</v>
      </c>
      <c r="AD485" s="31">
        <f>VLOOKUP($A485,kurspris!$A$1:$Q$835,3,FALSE)</f>
        <v>0</v>
      </c>
      <c r="AE485" s="31">
        <f>VLOOKUP($A485,kurspris!$A$1:$Q$835,4,FALSE)</f>
        <v>0</v>
      </c>
      <c r="AF485" s="31">
        <f>VLOOKUP($A485,kurspris!$A$1:$Q$835,5,FALSE)</f>
        <v>0</v>
      </c>
      <c r="AG485" s="31">
        <f>VLOOKUP($A485,kurspris!$A$1:$Q$835,6,FALSE)</f>
        <v>0</v>
      </c>
      <c r="AH485" s="31">
        <f>VLOOKUP($A485,kurspris!$A$1:$Q$835,7,FALSE)</f>
        <v>0</v>
      </c>
      <c r="AI485" s="31">
        <f>VLOOKUP($A485,kurspris!$A$1:$Q$835,8,FALSE)</f>
        <v>1</v>
      </c>
      <c r="AJ485" s="31">
        <f>VLOOKUP($A485,kurspris!$A$1:$Q$835,9,FALSE)</f>
        <v>0</v>
      </c>
      <c r="AK485" s="31">
        <f>VLOOKUP($A485,kurspris!$A$1:$Q$835,10,FALSE)</f>
        <v>0</v>
      </c>
      <c r="AL485" s="31">
        <f>VLOOKUP($A485,kurspris!$A$1:$Q$835,11,FALSE)</f>
        <v>0</v>
      </c>
      <c r="AM485" s="31">
        <f>VLOOKUP($A485,kurspris!$A$1:$Q$835,12,FALSE)</f>
        <v>0</v>
      </c>
      <c r="AN485" s="31">
        <f>VLOOKUP($A485,kurspris!$A$1:$Q$835,13,FALSE)</f>
        <v>0</v>
      </c>
      <c r="AO485" s="31">
        <f>VLOOKUP($A485,kurspris!$A$1:$Q$835,14,FALSE)</f>
        <v>0</v>
      </c>
      <c r="AP485" s="39" t="s">
        <v>2326</v>
      </c>
      <c r="AQ485"/>
      <c r="AR485" s="31">
        <f t="shared" si="201"/>
        <v>0</v>
      </c>
      <c r="AS485" s="255">
        <f t="shared" si="202"/>
        <v>0</v>
      </c>
      <c r="AT485" s="31">
        <f t="shared" si="203"/>
        <v>0</v>
      </c>
      <c r="AU485" s="255">
        <f t="shared" si="204"/>
        <v>0</v>
      </c>
      <c r="AV485" s="31">
        <f t="shared" si="205"/>
        <v>0</v>
      </c>
      <c r="AW485" s="31">
        <f t="shared" si="206"/>
        <v>0</v>
      </c>
      <c r="AX485" s="31">
        <f t="shared" si="207"/>
        <v>0</v>
      </c>
      <c r="AY485" s="255">
        <f t="shared" si="208"/>
        <v>0</v>
      </c>
      <c r="AZ485" s="232">
        <f t="shared" si="209"/>
        <v>0</v>
      </c>
      <c r="BA485" s="255">
        <f t="shared" si="210"/>
        <v>0</v>
      </c>
      <c r="BB485" s="31">
        <f t="shared" si="211"/>
        <v>5.5</v>
      </c>
      <c r="BC485" s="255">
        <f t="shared" si="212"/>
        <v>4.6749999999999998</v>
      </c>
      <c r="BD485" s="31">
        <f t="shared" si="213"/>
        <v>0</v>
      </c>
      <c r="BE485" s="255">
        <f t="shared" si="214"/>
        <v>0</v>
      </c>
      <c r="BF485" s="31">
        <f t="shared" si="215"/>
        <v>0</v>
      </c>
      <c r="BG485" s="255">
        <f t="shared" si="216"/>
        <v>0</v>
      </c>
      <c r="BH485" s="31">
        <f t="shared" si="217"/>
        <v>0</v>
      </c>
      <c r="BI485" s="255">
        <f t="shared" si="218"/>
        <v>0</v>
      </c>
      <c r="BJ485" s="31">
        <f t="shared" si="219"/>
        <v>0</v>
      </c>
      <c r="BK485" s="31">
        <f t="shared" si="220"/>
        <v>0</v>
      </c>
      <c r="BL485" s="255">
        <f t="shared" si="221"/>
        <v>0</v>
      </c>
      <c r="BM485" s="31">
        <f t="shared" si="222"/>
        <v>0</v>
      </c>
      <c r="BN485" s="255">
        <f t="shared" si="223"/>
        <v>0</v>
      </c>
    </row>
    <row r="486" spans="1:66" x14ac:dyDescent="0.25">
      <c r="A486" s="59" t="s">
        <v>1457</v>
      </c>
      <c r="B486" s="186" t="str">
        <f>VLOOKUP(A486,kurspris!$A$1:$B$877,2,FALSE)</f>
        <v>Matematik 3 för förskoleklass och grundskolans årskurs 1-3</v>
      </c>
      <c r="C486" s="37"/>
      <c r="D486" s="59" t="s">
        <v>486</v>
      </c>
      <c r="E486" s="62" t="s">
        <v>1931</v>
      </c>
      <c r="F486" s="59" t="s">
        <v>1931</v>
      </c>
      <c r="G486" s="31" t="s">
        <v>2278</v>
      </c>
      <c r="L486" s="31">
        <v>100</v>
      </c>
      <c r="M486" s="378">
        <v>7.5</v>
      </c>
      <c r="N486" s="40"/>
      <c r="P486" s="377">
        <v>1</v>
      </c>
      <c r="Q486" s="232">
        <f t="shared" si="196"/>
        <v>0.125</v>
      </c>
      <c r="R486" s="40">
        <v>0.85</v>
      </c>
      <c r="S486" s="334">
        <f t="shared" si="197"/>
        <v>0.10625</v>
      </c>
      <c r="T486" s="31">
        <f>VLOOKUP(A486,'Ansvar kurs'!$A$1:$C$1010,2,FALSE)</f>
        <v>5740</v>
      </c>
      <c r="U486" s="31" t="str">
        <f>VLOOKUP(T486,Orgenheter!$A$1:$C$165,2,FALSE)</f>
        <v>NMD</v>
      </c>
      <c r="V486" s="31" t="str">
        <f>VLOOKUP(T486,Orgenheter!$A$1:$C$165,3,FALSE)</f>
        <v>TekNat</v>
      </c>
      <c r="W486" s="37" t="str">
        <f>VLOOKUP(D486,Program!$A$1:$B$34,2,FALSE)</f>
        <v>Grundlärarprogrammet - förskoleklass och åk 1-3</v>
      </c>
      <c r="X486" s="42">
        <f>VLOOKUP(A486,kurspris!$A$1:$Q$798,15,FALSE)</f>
        <v>19473</v>
      </c>
      <c r="Y486" s="42">
        <f>VLOOKUP(A486,kurspris!$A$1:$Q$798,16,FALSE)</f>
        <v>34806</v>
      </c>
      <c r="Z486" s="42">
        <f t="shared" si="198"/>
        <v>6132.2624999999998</v>
      </c>
      <c r="AA486" s="42">
        <f>VLOOKUP(A486,kurspris!$A$1:$Q$798,17,FALSE)</f>
        <v>21800</v>
      </c>
      <c r="AB486" s="42">
        <f t="shared" si="199"/>
        <v>2725</v>
      </c>
      <c r="AC486" s="42">
        <f t="shared" si="200"/>
        <v>8857.2625000000007</v>
      </c>
      <c r="AD486" s="31">
        <f>VLOOKUP($A486,kurspris!$A$1:$Q$835,3,FALSE)</f>
        <v>0</v>
      </c>
      <c r="AE486" s="31">
        <f>VLOOKUP($A486,kurspris!$A$1:$Q$835,4,FALSE)</f>
        <v>0</v>
      </c>
      <c r="AF486" s="31">
        <f>VLOOKUP($A486,kurspris!$A$1:$Q$835,5,FALSE)</f>
        <v>0</v>
      </c>
      <c r="AG486" s="31">
        <f>VLOOKUP($A486,kurspris!$A$1:$Q$835,6,FALSE)</f>
        <v>0</v>
      </c>
      <c r="AH486" s="31">
        <f>VLOOKUP($A486,kurspris!$A$1:$Q$835,7,FALSE)</f>
        <v>0</v>
      </c>
      <c r="AI486" s="31">
        <f>VLOOKUP($A486,kurspris!$A$1:$Q$835,8,FALSE)</f>
        <v>1</v>
      </c>
      <c r="AJ486" s="31">
        <f>VLOOKUP($A486,kurspris!$A$1:$Q$835,9,FALSE)</f>
        <v>0</v>
      </c>
      <c r="AK486" s="31">
        <f>VLOOKUP($A486,kurspris!$A$1:$Q$835,10,FALSE)</f>
        <v>0</v>
      </c>
      <c r="AL486" s="31">
        <f>VLOOKUP($A486,kurspris!$A$1:$Q$835,11,FALSE)</f>
        <v>0</v>
      </c>
      <c r="AM486" s="31">
        <f>VLOOKUP($A486,kurspris!$A$1:$Q$835,12,FALSE)</f>
        <v>0</v>
      </c>
      <c r="AN486" s="31">
        <f>VLOOKUP($A486,kurspris!$A$1:$Q$835,13,FALSE)</f>
        <v>0</v>
      </c>
      <c r="AO486" s="31">
        <f>VLOOKUP($A486,kurspris!$A$1:$Q$835,14,FALSE)</f>
        <v>0</v>
      </c>
      <c r="AP486" s="39" t="s">
        <v>2326</v>
      </c>
      <c r="AQ486"/>
      <c r="AR486" s="31">
        <f t="shared" si="201"/>
        <v>0</v>
      </c>
      <c r="AS486" s="255">
        <f t="shared" si="202"/>
        <v>0</v>
      </c>
      <c r="AT486" s="31">
        <f t="shared" si="203"/>
        <v>0</v>
      </c>
      <c r="AU486" s="255">
        <f t="shared" si="204"/>
        <v>0</v>
      </c>
      <c r="AV486" s="31">
        <f t="shared" si="205"/>
        <v>0</v>
      </c>
      <c r="AW486" s="31">
        <f t="shared" si="206"/>
        <v>0</v>
      </c>
      <c r="AX486" s="31">
        <f t="shared" si="207"/>
        <v>0</v>
      </c>
      <c r="AY486" s="255">
        <f t="shared" si="208"/>
        <v>0</v>
      </c>
      <c r="AZ486" s="232">
        <f t="shared" si="209"/>
        <v>0</v>
      </c>
      <c r="BA486" s="255">
        <f t="shared" si="210"/>
        <v>0</v>
      </c>
      <c r="BB486" s="31">
        <f t="shared" si="211"/>
        <v>0.125</v>
      </c>
      <c r="BC486" s="255">
        <f t="shared" si="212"/>
        <v>0.10625</v>
      </c>
      <c r="BD486" s="31">
        <f t="shared" si="213"/>
        <v>0</v>
      </c>
      <c r="BE486" s="255">
        <f t="shared" si="214"/>
        <v>0</v>
      </c>
      <c r="BF486" s="31">
        <f t="shared" si="215"/>
        <v>0</v>
      </c>
      <c r="BG486" s="255">
        <f t="shared" si="216"/>
        <v>0</v>
      </c>
      <c r="BH486" s="31">
        <f t="shared" si="217"/>
        <v>0</v>
      </c>
      <c r="BI486" s="255">
        <f t="shared" si="218"/>
        <v>0</v>
      </c>
      <c r="BJ486" s="31">
        <f t="shared" si="219"/>
        <v>0</v>
      </c>
      <c r="BK486" s="31">
        <f t="shared" si="220"/>
        <v>0</v>
      </c>
      <c r="BL486" s="255">
        <f t="shared" si="221"/>
        <v>0</v>
      </c>
      <c r="BM486" s="31">
        <f t="shared" si="222"/>
        <v>0</v>
      </c>
      <c r="BN486" s="255">
        <f t="shared" si="223"/>
        <v>0</v>
      </c>
    </row>
    <row r="487" spans="1:66" x14ac:dyDescent="0.25">
      <c r="A487" s="18" t="s">
        <v>1459</v>
      </c>
      <c r="B487" s="186" t="str">
        <f>VLOOKUP(A487,kurspris!$A$1:$B$877,2,FALSE)</f>
        <v>Matematik 4 för förskoleklass och grundskolans årskurs 1-3</v>
      </c>
      <c r="C487" s="37"/>
      <c r="D487" s="31" t="s">
        <v>486</v>
      </c>
      <c r="E487" s="31" t="s">
        <v>1976</v>
      </c>
      <c r="F487" s="59" t="s">
        <v>1931</v>
      </c>
      <c r="G487" s="31" t="s">
        <v>2269</v>
      </c>
      <c r="L487" s="31">
        <v>100</v>
      </c>
      <c r="M487" s="31">
        <v>7.5</v>
      </c>
      <c r="P487" s="31">
        <v>1</v>
      </c>
      <c r="Q487" s="232">
        <f t="shared" si="196"/>
        <v>0.125</v>
      </c>
      <c r="R487" s="40">
        <v>0.85</v>
      </c>
      <c r="S487" s="334">
        <f t="shared" si="197"/>
        <v>0.10625</v>
      </c>
      <c r="T487" s="31">
        <f>VLOOKUP(A487,'Ansvar kurs'!$A$1:$C$1010,2,FALSE)</f>
        <v>5740</v>
      </c>
      <c r="U487" s="31" t="str">
        <f>VLOOKUP(T487,Orgenheter!$A$1:$C$165,2,FALSE)</f>
        <v>NMD</v>
      </c>
      <c r="V487" s="31" t="str">
        <f>VLOOKUP(T487,Orgenheter!$A$1:$C$165,3,FALSE)</f>
        <v>TekNat</v>
      </c>
      <c r="W487" s="37" t="str">
        <f>VLOOKUP(D487,Program!$A$1:$B$34,2,FALSE)</f>
        <v>Grundlärarprogrammet - förskoleklass och åk 1-3</v>
      </c>
      <c r="X487" s="42">
        <f>VLOOKUP(A487,kurspris!$A$1:$Q$798,15,FALSE)</f>
        <v>19473</v>
      </c>
      <c r="Y487" s="42">
        <f>VLOOKUP(A487,kurspris!$A$1:$Q$798,16,FALSE)</f>
        <v>34806</v>
      </c>
      <c r="Z487" s="42">
        <f t="shared" si="198"/>
        <v>6132.2624999999998</v>
      </c>
      <c r="AA487" s="42">
        <f>VLOOKUP(A487,kurspris!$A$1:$Q$798,17,FALSE)</f>
        <v>21800</v>
      </c>
      <c r="AB487" s="42">
        <f t="shared" si="199"/>
        <v>2725</v>
      </c>
      <c r="AC487" s="42">
        <f t="shared" si="200"/>
        <v>8857.2625000000007</v>
      </c>
      <c r="AD487" s="31">
        <f>VLOOKUP($A487,kurspris!$A$1:$Q$835,3,FALSE)</f>
        <v>0</v>
      </c>
      <c r="AE487" s="31">
        <f>VLOOKUP($A487,kurspris!$A$1:$Q$835,4,FALSE)</f>
        <v>0</v>
      </c>
      <c r="AF487" s="31">
        <f>VLOOKUP($A487,kurspris!$A$1:$Q$835,5,FALSE)</f>
        <v>0</v>
      </c>
      <c r="AG487" s="31">
        <f>VLOOKUP($A487,kurspris!$A$1:$Q$835,6,FALSE)</f>
        <v>0</v>
      </c>
      <c r="AH487" s="31">
        <f>VLOOKUP($A487,kurspris!$A$1:$Q$835,7,FALSE)</f>
        <v>0</v>
      </c>
      <c r="AI487" s="31">
        <f>VLOOKUP($A487,kurspris!$A$1:$Q$835,8,FALSE)</f>
        <v>1</v>
      </c>
      <c r="AJ487" s="31">
        <f>VLOOKUP($A487,kurspris!$A$1:$Q$835,9,FALSE)</f>
        <v>0</v>
      </c>
      <c r="AK487" s="31">
        <f>VLOOKUP($A487,kurspris!$A$1:$Q$835,10,FALSE)</f>
        <v>0</v>
      </c>
      <c r="AL487" s="31">
        <f>VLOOKUP($A487,kurspris!$A$1:$Q$835,11,FALSE)</f>
        <v>0</v>
      </c>
      <c r="AM487" s="31">
        <f>VLOOKUP($A487,kurspris!$A$1:$Q$835,12,FALSE)</f>
        <v>0</v>
      </c>
      <c r="AN487" s="31">
        <f>VLOOKUP($A487,kurspris!$A$1:$Q$835,13,FALSE)</f>
        <v>0</v>
      </c>
      <c r="AO487" s="31">
        <f>VLOOKUP($A487,kurspris!$A$1:$Q$835,14,FALSE)</f>
        <v>0</v>
      </c>
      <c r="AP487" s="39" t="s">
        <v>2326</v>
      </c>
      <c r="AQ487"/>
      <c r="AR487" s="31">
        <f t="shared" si="201"/>
        <v>0</v>
      </c>
      <c r="AS487" s="255">
        <f t="shared" si="202"/>
        <v>0</v>
      </c>
      <c r="AT487" s="31">
        <f t="shared" si="203"/>
        <v>0</v>
      </c>
      <c r="AU487" s="255">
        <f t="shared" si="204"/>
        <v>0</v>
      </c>
      <c r="AV487" s="31">
        <f t="shared" si="205"/>
        <v>0</v>
      </c>
      <c r="AW487" s="31">
        <f t="shared" si="206"/>
        <v>0</v>
      </c>
      <c r="AX487" s="31">
        <f t="shared" si="207"/>
        <v>0</v>
      </c>
      <c r="AY487" s="255">
        <f t="shared" si="208"/>
        <v>0</v>
      </c>
      <c r="AZ487" s="232">
        <f t="shared" si="209"/>
        <v>0</v>
      </c>
      <c r="BA487" s="255">
        <f t="shared" si="210"/>
        <v>0</v>
      </c>
      <c r="BB487" s="31">
        <f t="shared" si="211"/>
        <v>0.125</v>
      </c>
      <c r="BC487" s="255">
        <f t="shared" si="212"/>
        <v>0.10625</v>
      </c>
      <c r="BD487" s="31">
        <f t="shared" si="213"/>
        <v>0</v>
      </c>
      <c r="BE487" s="255">
        <f t="shared" si="214"/>
        <v>0</v>
      </c>
      <c r="BF487" s="31">
        <f t="shared" si="215"/>
        <v>0</v>
      </c>
      <c r="BG487" s="255">
        <f t="shared" si="216"/>
        <v>0</v>
      </c>
      <c r="BH487" s="31">
        <f t="shared" si="217"/>
        <v>0</v>
      </c>
      <c r="BI487" s="255">
        <f t="shared" si="218"/>
        <v>0</v>
      </c>
      <c r="BJ487" s="31">
        <f t="shared" si="219"/>
        <v>0</v>
      </c>
      <c r="BK487" s="31">
        <f t="shared" si="220"/>
        <v>0</v>
      </c>
      <c r="BL487" s="255">
        <f t="shared" si="221"/>
        <v>0</v>
      </c>
      <c r="BM487" s="31">
        <f t="shared" si="222"/>
        <v>0</v>
      </c>
      <c r="BN487" s="255">
        <f t="shared" si="223"/>
        <v>0</v>
      </c>
    </row>
    <row r="488" spans="1:66" x14ac:dyDescent="0.25">
      <c r="A488" s="59" t="s">
        <v>1459</v>
      </c>
      <c r="B488" s="186" t="str">
        <f>VLOOKUP(A488,kurspris!$A$1:$B$877,2,FALSE)</f>
        <v>Matematik 4 för förskoleklass och grundskolans årskurs 1-3</v>
      </c>
      <c r="C488" s="37"/>
      <c r="D488" s="59" t="s">
        <v>486</v>
      </c>
      <c r="E488" s="62" t="s">
        <v>1609</v>
      </c>
      <c r="F488" s="59" t="s">
        <v>1931</v>
      </c>
      <c r="G488" s="31" t="s">
        <v>2269</v>
      </c>
      <c r="L488" s="31">
        <v>100</v>
      </c>
      <c r="M488" s="378">
        <v>7.5</v>
      </c>
      <c r="N488" s="40"/>
      <c r="P488" s="377">
        <v>34</v>
      </c>
      <c r="Q488" s="232">
        <f t="shared" si="196"/>
        <v>4.25</v>
      </c>
      <c r="R488" s="40">
        <v>0.85</v>
      </c>
      <c r="S488" s="334">
        <f t="shared" si="197"/>
        <v>3.6124999999999998</v>
      </c>
      <c r="T488" s="31">
        <f>VLOOKUP(A488,'Ansvar kurs'!$A$1:$C$1010,2,FALSE)</f>
        <v>5740</v>
      </c>
      <c r="U488" s="31" t="str">
        <f>VLOOKUP(T488,Orgenheter!$A$1:$C$165,2,FALSE)</f>
        <v>NMD</v>
      </c>
      <c r="V488" s="31" t="str">
        <f>VLOOKUP(T488,Orgenheter!$A$1:$C$165,3,FALSE)</f>
        <v>TekNat</v>
      </c>
      <c r="W488" s="37" t="str">
        <f>VLOOKUP(D488,Program!$A$1:$B$34,2,FALSE)</f>
        <v>Grundlärarprogrammet - förskoleklass och åk 1-3</v>
      </c>
      <c r="X488" s="42">
        <f>VLOOKUP(A488,kurspris!$A$1:$Q$798,15,FALSE)</f>
        <v>19473</v>
      </c>
      <c r="Y488" s="42">
        <f>VLOOKUP(A488,kurspris!$A$1:$Q$798,16,FALSE)</f>
        <v>34806</v>
      </c>
      <c r="Z488" s="42">
        <f t="shared" si="198"/>
        <v>208496.92499999999</v>
      </c>
      <c r="AA488" s="42">
        <f>VLOOKUP(A488,kurspris!$A$1:$Q$798,17,FALSE)</f>
        <v>21800</v>
      </c>
      <c r="AB488" s="42">
        <f t="shared" si="199"/>
        <v>92650</v>
      </c>
      <c r="AC488" s="42">
        <f t="shared" si="200"/>
        <v>301146.92499999999</v>
      </c>
      <c r="AD488" s="31">
        <f>VLOOKUP($A488,kurspris!$A$1:$Q$835,3,FALSE)</f>
        <v>0</v>
      </c>
      <c r="AE488" s="31">
        <f>VLOOKUP($A488,kurspris!$A$1:$Q$835,4,FALSE)</f>
        <v>0</v>
      </c>
      <c r="AF488" s="31">
        <f>VLOOKUP($A488,kurspris!$A$1:$Q$835,5,FALSE)</f>
        <v>0</v>
      </c>
      <c r="AG488" s="31">
        <f>VLOOKUP($A488,kurspris!$A$1:$Q$835,6,FALSE)</f>
        <v>0</v>
      </c>
      <c r="AH488" s="31">
        <f>VLOOKUP($A488,kurspris!$A$1:$Q$835,7,FALSE)</f>
        <v>0</v>
      </c>
      <c r="AI488" s="31">
        <f>VLOOKUP($A488,kurspris!$A$1:$Q$835,8,FALSE)</f>
        <v>1</v>
      </c>
      <c r="AJ488" s="31">
        <f>VLOOKUP($A488,kurspris!$A$1:$Q$835,9,FALSE)</f>
        <v>0</v>
      </c>
      <c r="AK488" s="31">
        <f>VLOOKUP($A488,kurspris!$A$1:$Q$835,10,FALSE)</f>
        <v>0</v>
      </c>
      <c r="AL488" s="31">
        <f>VLOOKUP($A488,kurspris!$A$1:$Q$835,11,FALSE)</f>
        <v>0</v>
      </c>
      <c r="AM488" s="31">
        <f>VLOOKUP($A488,kurspris!$A$1:$Q$835,12,FALSE)</f>
        <v>0</v>
      </c>
      <c r="AN488" s="31">
        <f>VLOOKUP($A488,kurspris!$A$1:$Q$835,13,FALSE)</f>
        <v>0</v>
      </c>
      <c r="AO488" s="31">
        <f>VLOOKUP($A488,kurspris!$A$1:$Q$835,14,FALSE)</f>
        <v>0</v>
      </c>
      <c r="AP488" s="39" t="s">
        <v>2326</v>
      </c>
      <c r="AQ488"/>
      <c r="AR488" s="31">
        <f t="shared" si="201"/>
        <v>0</v>
      </c>
      <c r="AS488" s="255">
        <f t="shared" si="202"/>
        <v>0</v>
      </c>
      <c r="AT488" s="31">
        <f t="shared" si="203"/>
        <v>0</v>
      </c>
      <c r="AU488" s="255">
        <f t="shared" si="204"/>
        <v>0</v>
      </c>
      <c r="AV488" s="31">
        <f t="shared" si="205"/>
        <v>0</v>
      </c>
      <c r="AW488" s="31">
        <f t="shared" si="206"/>
        <v>0</v>
      </c>
      <c r="AX488" s="31">
        <f t="shared" si="207"/>
        <v>0</v>
      </c>
      <c r="AY488" s="255">
        <f t="shared" si="208"/>
        <v>0</v>
      </c>
      <c r="AZ488" s="232">
        <f t="shared" si="209"/>
        <v>0</v>
      </c>
      <c r="BA488" s="255">
        <f t="shared" si="210"/>
        <v>0</v>
      </c>
      <c r="BB488" s="31">
        <f t="shared" si="211"/>
        <v>4.25</v>
      </c>
      <c r="BC488" s="255">
        <f t="shared" si="212"/>
        <v>3.6124999999999998</v>
      </c>
      <c r="BD488" s="31">
        <f t="shared" si="213"/>
        <v>0</v>
      </c>
      <c r="BE488" s="255">
        <f t="shared" si="214"/>
        <v>0</v>
      </c>
      <c r="BF488" s="31">
        <f t="shared" si="215"/>
        <v>0</v>
      </c>
      <c r="BG488" s="255">
        <f t="shared" si="216"/>
        <v>0</v>
      </c>
      <c r="BH488" s="31">
        <f t="shared" si="217"/>
        <v>0</v>
      </c>
      <c r="BI488" s="255">
        <f t="shared" si="218"/>
        <v>0</v>
      </c>
      <c r="BJ488" s="31">
        <f t="shared" si="219"/>
        <v>0</v>
      </c>
      <c r="BK488" s="31">
        <f t="shared" si="220"/>
        <v>0</v>
      </c>
      <c r="BL488" s="255">
        <f t="shared" si="221"/>
        <v>0</v>
      </c>
      <c r="BM488" s="31">
        <f t="shared" si="222"/>
        <v>0</v>
      </c>
      <c r="BN488" s="255">
        <f t="shared" si="223"/>
        <v>0</v>
      </c>
    </row>
    <row r="489" spans="1:66" x14ac:dyDescent="0.25">
      <c r="A489" s="18" t="s">
        <v>1459</v>
      </c>
      <c r="B489" s="186" t="str">
        <f>VLOOKUP(A489,kurspris!$A$1:$B$877,2,FALSE)</f>
        <v>Matematik 4 för förskoleklass och grundskolans årskurs 1-3</v>
      </c>
      <c r="C489" s="37"/>
      <c r="D489" s="31" t="s">
        <v>486</v>
      </c>
      <c r="E489" s="31" t="s">
        <v>1931</v>
      </c>
      <c r="F489" s="59" t="s">
        <v>1931</v>
      </c>
      <c r="G489" s="31" t="s">
        <v>2269</v>
      </c>
      <c r="L489" s="31">
        <v>100</v>
      </c>
      <c r="M489" s="31">
        <v>7.5</v>
      </c>
      <c r="P489" s="31">
        <v>1</v>
      </c>
      <c r="Q489" s="232">
        <f t="shared" si="196"/>
        <v>0.125</v>
      </c>
      <c r="R489" s="40">
        <v>0.85</v>
      </c>
      <c r="S489" s="334">
        <f t="shared" si="197"/>
        <v>0.10625</v>
      </c>
      <c r="T489" s="31">
        <f>VLOOKUP(A489,'Ansvar kurs'!$A$1:$C$1010,2,FALSE)</f>
        <v>5740</v>
      </c>
      <c r="U489" s="31" t="str">
        <f>VLOOKUP(T489,Orgenheter!$A$1:$C$165,2,FALSE)</f>
        <v>NMD</v>
      </c>
      <c r="V489" s="31" t="str">
        <f>VLOOKUP(T489,Orgenheter!$A$1:$C$165,3,FALSE)</f>
        <v>TekNat</v>
      </c>
      <c r="W489" s="37" t="str">
        <f>VLOOKUP(D489,Program!$A$1:$B$34,2,FALSE)</f>
        <v>Grundlärarprogrammet - förskoleklass och åk 1-3</v>
      </c>
      <c r="X489" s="42">
        <f>VLOOKUP(A489,kurspris!$A$1:$Q$798,15,FALSE)</f>
        <v>19473</v>
      </c>
      <c r="Y489" s="42">
        <f>VLOOKUP(A489,kurspris!$A$1:$Q$798,16,FALSE)</f>
        <v>34806</v>
      </c>
      <c r="Z489" s="42">
        <f t="shared" si="198"/>
        <v>6132.2624999999998</v>
      </c>
      <c r="AA489" s="42">
        <f>VLOOKUP(A489,kurspris!$A$1:$Q$798,17,FALSE)</f>
        <v>21800</v>
      </c>
      <c r="AB489" s="42">
        <f t="shared" si="199"/>
        <v>2725</v>
      </c>
      <c r="AC489" s="42">
        <f t="shared" si="200"/>
        <v>8857.2625000000007</v>
      </c>
      <c r="AD489" s="31">
        <f>VLOOKUP($A489,kurspris!$A$1:$Q$835,3,FALSE)</f>
        <v>0</v>
      </c>
      <c r="AE489" s="31">
        <f>VLOOKUP($A489,kurspris!$A$1:$Q$835,4,FALSE)</f>
        <v>0</v>
      </c>
      <c r="AF489" s="31">
        <f>VLOOKUP($A489,kurspris!$A$1:$Q$835,5,FALSE)</f>
        <v>0</v>
      </c>
      <c r="AG489" s="31">
        <f>VLOOKUP($A489,kurspris!$A$1:$Q$835,6,FALSE)</f>
        <v>0</v>
      </c>
      <c r="AH489" s="31">
        <f>VLOOKUP($A489,kurspris!$A$1:$Q$835,7,FALSE)</f>
        <v>0</v>
      </c>
      <c r="AI489" s="31">
        <f>VLOOKUP($A489,kurspris!$A$1:$Q$835,8,FALSE)</f>
        <v>1</v>
      </c>
      <c r="AJ489" s="31">
        <f>VLOOKUP($A489,kurspris!$A$1:$Q$835,9,FALSE)</f>
        <v>0</v>
      </c>
      <c r="AK489" s="31">
        <f>VLOOKUP($A489,kurspris!$A$1:$Q$835,10,FALSE)</f>
        <v>0</v>
      </c>
      <c r="AL489" s="31">
        <f>VLOOKUP($A489,kurspris!$A$1:$Q$835,11,FALSE)</f>
        <v>0</v>
      </c>
      <c r="AM489" s="31">
        <f>VLOOKUP($A489,kurspris!$A$1:$Q$835,12,FALSE)</f>
        <v>0</v>
      </c>
      <c r="AN489" s="31">
        <f>VLOOKUP($A489,kurspris!$A$1:$Q$835,13,FALSE)</f>
        <v>0</v>
      </c>
      <c r="AO489" s="31">
        <f>VLOOKUP($A489,kurspris!$A$1:$Q$835,14,FALSE)</f>
        <v>0</v>
      </c>
      <c r="AP489" s="39" t="s">
        <v>2326</v>
      </c>
      <c r="AQ489"/>
      <c r="AR489" s="31">
        <f t="shared" si="201"/>
        <v>0</v>
      </c>
      <c r="AS489" s="255">
        <f t="shared" si="202"/>
        <v>0</v>
      </c>
      <c r="AT489" s="31">
        <f t="shared" si="203"/>
        <v>0</v>
      </c>
      <c r="AU489" s="255">
        <f t="shared" si="204"/>
        <v>0</v>
      </c>
      <c r="AV489" s="31">
        <f t="shared" si="205"/>
        <v>0</v>
      </c>
      <c r="AW489" s="31">
        <f t="shared" si="206"/>
        <v>0</v>
      </c>
      <c r="AX489" s="31">
        <f t="shared" si="207"/>
        <v>0</v>
      </c>
      <c r="AY489" s="255">
        <f t="shared" si="208"/>
        <v>0</v>
      </c>
      <c r="AZ489" s="232">
        <f t="shared" si="209"/>
        <v>0</v>
      </c>
      <c r="BA489" s="255">
        <f t="shared" si="210"/>
        <v>0</v>
      </c>
      <c r="BB489" s="31">
        <f t="shared" si="211"/>
        <v>0.125</v>
      </c>
      <c r="BC489" s="255">
        <f t="shared" si="212"/>
        <v>0.10625</v>
      </c>
      <c r="BD489" s="31">
        <f t="shared" si="213"/>
        <v>0</v>
      </c>
      <c r="BE489" s="255">
        <f t="shared" si="214"/>
        <v>0</v>
      </c>
      <c r="BF489" s="31">
        <f t="shared" si="215"/>
        <v>0</v>
      </c>
      <c r="BG489" s="255">
        <f t="shared" si="216"/>
        <v>0</v>
      </c>
      <c r="BH489" s="31">
        <f t="shared" si="217"/>
        <v>0</v>
      </c>
      <c r="BI489" s="255">
        <f t="shared" si="218"/>
        <v>0</v>
      </c>
      <c r="BJ489" s="31">
        <f t="shared" si="219"/>
        <v>0</v>
      </c>
      <c r="BK489" s="31">
        <f t="shared" si="220"/>
        <v>0</v>
      </c>
      <c r="BL489" s="255">
        <f t="shared" si="221"/>
        <v>0</v>
      </c>
      <c r="BM489" s="31">
        <f t="shared" si="222"/>
        <v>0</v>
      </c>
      <c r="BN489" s="255">
        <f t="shared" si="223"/>
        <v>0</v>
      </c>
    </row>
    <row r="490" spans="1:66" x14ac:dyDescent="0.25">
      <c r="A490" s="18" t="s">
        <v>1461</v>
      </c>
      <c r="B490" s="186" t="str">
        <f>VLOOKUP(A490,kurspris!$A$1:$B$877,2,FALSE)</f>
        <v>Matematik 2 för grundskolans årskurs 4-6</v>
      </c>
      <c r="C490" s="37"/>
      <c r="D490" s="31" t="s">
        <v>524</v>
      </c>
      <c r="E490" s="31" t="s">
        <v>1788</v>
      </c>
      <c r="F490" s="59" t="s">
        <v>1931</v>
      </c>
      <c r="G490" s="31" t="s">
        <v>2274</v>
      </c>
      <c r="L490" s="31">
        <v>100</v>
      </c>
      <c r="M490" s="31">
        <v>7.5</v>
      </c>
      <c r="P490" s="31">
        <v>21</v>
      </c>
      <c r="Q490" s="232">
        <f t="shared" si="196"/>
        <v>2.625</v>
      </c>
      <c r="R490" s="40">
        <v>0.85</v>
      </c>
      <c r="S490" s="334">
        <f t="shared" si="197"/>
        <v>2.2312499999999997</v>
      </c>
      <c r="T490" s="31">
        <f>VLOOKUP(A490,'Ansvar kurs'!$A$1:$C$1010,2,FALSE)</f>
        <v>5740</v>
      </c>
      <c r="U490" s="31" t="str">
        <f>VLOOKUP(T490,Orgenheter!$A$1:$C$165,2,FALSE)</f>
        <v>NMD</v>
      </c>
      <c r="V490" s="31" t="str">
        <f>VLOOKUP(T490,Orgenheter!$A$1:$C$165,3,FALSE)</f>
        <v>TekNat</v>
      </c>
      <c r="W490" s="37" t="str">
        <f>VLOOKUP(D490,Program!$A$1:$B$34,2,FALSE)</f>
        <v>Grundlärarprogrammet - grundskolans åk 4-6</v>
      </c>
      <c r="X490" s="42">
        <f>VLOOKUP(A490,kurspris!$A$1:$Q$798,15,FALSE)</f>
        <v>19473</v>
      </c>
      <c r="Y490" s="42">
        <f>VLOOKUP(A490,kurspris!$A$1:$Q$798,16,FALSE)</f>
        <v>34806</v>
      </c>
      <c r="Z490" s="42">
        <f t="shared" si="198"/>
        <v>128777.5125</v>
      </c>
      <c r="AA490" s="42">
        <f>VLOOKUP(A490,kurspris!$A$1:$Q$798,17,FALSE)</f>
        <v>21800</v>
      </c>
      <c r="AB490" s="42">
        <f t="shared" si="199"/>
        <v>57225</v>
      </c>
      <c r="AC490" s="42">
        <f t="shared" si="200"/>
        <v>186002.51250000001</v>
      </c>
      <c r="AD490" s="31">
        <f>VLOOKUP($A490,kurspris!$A$1:$Q$835,3,FALSE)</f>
        <v>0</v>
      </c>
      <c r="AE490" s="31">
        <f>VLOOKUP($A490,kurspris!$A$1:$Q$835,4,FALSE)</f>
        <v>0</v>
      </c>
      <c r="AF490" s="31">
        <f>VLOOKUP($A490,kurspris!$A$1:$Q$835,5,FALSE)</f>
        <v>0</v>
      </c>
      <c r="AG490" s="31">
        <f>VLOOKUP($A490,kurspris!$A$1:$Q$835,6,FALSE)</f>
        <v>0</v>
      </c>
      <c r="AH490" s="31">
        <f>VLOOKUP($A490,kurspris!$A$1:$Q$835,7,FALSE)</f>
        <v>0</v>
      </c>
      <c r="AI490" s="31">
        <f>VLOOKUP($A490,kurspris!$A$1:$Q$835,8,FALSE)</f>
        <v>1</v>
      </c>
      <c r="AJ490" s="31">
        <f>VLOOKUP($A490,kurspris!$A$1:$Q$835,9,FALSE)</f>
        <v>0</v>
      </c>
      <c r="AK490" s="31">
        <f>VLOOKUP($A490,kurspris!$A$1:$Q$835,10,FALSE)</f>
        <v>0</v>
      </c>
      <c r="AL490" s="31">
        <f>VLOOKUP($A490,kurspris!$A$1:$Q$835,11,FALSE)</f>
        <v>0</v>
      </c>
      <c r="AM490" s="31">
        <f>VLOOKUP($A490,kurspris!$A$1:$Q$835,12,FALSE)</f>
        <v>0</v>
      </c>
      <c r="AN490" s="31">
        <f>VLOOKUP($A490,kurspris!$A$1:$Q$835,13,FALSE)</f>
        <v>0</v>
      </c>
      <c r="AO490" s="31">
        <f>VLOOKUP($A490,kurspris!$A$1:$Q$835,14,FALSE)</f>
        <v>0</v>
      </c>
      <c r="AP490" s="39" t="s">
        <v>2326</v>
      </c>
      <c r="AQ490"/>
      <c r="AR490" s="31">
        <f t="shared" si="201"/>
        <v>0</v>
      </c>
      <c r="AS490" s="255">
        <f t="shared" si="202"/>
        <v>0</v>
      </c>
      <c r="AT490" s="31">
        <f t="shared" si="203"/>
        <v>0</v>
      </c>
      <c r="AU490" s="255">
        <f t="shared" si="204"/>
        <v>0</v>
      </c>
      <c r="AV490" s="31">
        <f t="shared" si="205"/>
        <v>0</v>
      </c>
      <c r="AW490" s="31">
        <f t="shared" si="206"/>
        <v>0</v>
      </c>
      <c r="AX490" s="31">
        <f t="shared" si="207"/>
        <v>0</v>
      </c>
      <c r="AY490" s="255">
        <f t="shared" si="208"/>
        <v>0</v>
      </c>
      <c r="AZ490" s="232">
        <f t="shared" si="209"/>
        <v>0</v>
      </c>
      <c r="BA490" s="255">
        <f t="shared" si="210"/>
        <v>0</v>
      </c>
      <c r="BB490" s="31">
        <f t="shared" si="211"/>
        <v>2.625</v>
      </c>
      <c r="BC490" s="255">
        <f t="shared" si="212"/>
        <v>2.2312499999999997</v>
      </c>
      <c r="BD490" s="31">
        <f t="shared" si="213"/>
        <v>0</v>
      </c>
      <c r="BE490" s="255">
        <f t="shared" si="214"/>
        <v>0</v>
      </c>
      <c r="BF490" s="31">
        <f t="shared" si="215"/>
        <v>0</v>
      </c>
      <c r="BG490" s="255">
        <f t="shared" si="216"/>
        <v>0</v>
      </c>
      <c r="BH490" s="31">
        <f t="shared" si="217"/>
        <v>0</v>
      </c>
      <c r="BI490" s="255">
        <f t="shared" si="218"/>
        <v>0</v>
      </c>
      <c r="BJ490" s="31">
        <f t="shared" si="219"/>
        <v>0</v>
      </c>
      <c r="BK490" s="31">
        <f t="shared" si="220"/>
        <v>0</v>
      </c>
      <c r="BL490" s="255">
        <f t="shared" si="221"/>
        <v>0</v>
      </c>
      <c r="BM490" s="31">
        <f t="shared" si="222"/>
        <v>0</v>
      </c>
      <c r="BN490" s="255">
        <f t="shared" si="223"/>
        <v>0</v>
      </c>
    </row>
    <row r="491" spans="1:66" x14ac:dyDescent="0.25">
      <c r="A491" s="59" t="s">
        <v>1463</v>
      </c>
      <c r="B491" s="186" t="str">
        <f>VLOOKUP(A491,kurspris!$A$1:$B$877,2,FALSE)</f>
        <v>Matematik 3 för grundskolans årskurs 4-6</v>
      </c>
      <c r="C491" s="37"/>
      <c r="D491" s="59" t="s">
        <v>524</v>
      </c>
      <c r="E491" s="62" t="s">
        <v>1788</v>
      </c>
      <c r="F491" s="59" t="s">
        <v>1931</v>
      </c>
      <c r="G491" s="31" t="s">
        <v>2278</v>
      </c>
      <c r="L491" s="31">
        <v>100</v>
      </c>
      <c r="M491" s="376">
        <v>7.5</v>
      </c>
      <c r="P491" s="31">
        <v>21</v>
      </c>
      <c r="Q491" s="232">
        <f t="shared" si="196"/>
        <v>2.625</v>
      </c>
      <c r="R491" s="40">
        <v>0.85</v>
      </c>
      <c r="S491" s="334">
        <f t="shared" si="197"/>
        <v>2.2312499999999997</v>
      </c>
      <c r="T491" s="31">
        <f>VLOOKUP(A491,'Ansvar kurs'!$A$1:$C$1010,2,FALSE)</f>
        <v>5740</v>
      </c>
      <c r="U491" s="31" t="str">
        <f>VLOOKUP(T491,Orgenheter!$A$1:$C$165,2,FALSE)</f>
        <v>NMD</v>
      </c>
      <c r="V491" s="31" t="str">
        <f>VLOOKUP(T491,Orgenheter!$A$1:$C$165,3,FALSE)</f>
        <v>TekNat</v>
      </c>
      <c r="W491" s="37" t="str">
        <f>VLOOKUP(D491,Program!$A$1:$B$34,2,FALSE)</f>
        <v>Grundlärarprogrammet - grundskolans åk 4-6</v>
      </c>
      <c r="X491" s="42">
        <f>VLOOKUP(A491,kurspris!$A$1:$Q$798,15,FALSE)</f>
        <v>19473</v>
      </c>
      <c r="Y491" s="42">
        <f>VLOOKUP(A491,kurspris!$A$1:$Q$798,16,FALSE)</f>
        <v>34806</v>
      </c>
      <c r="Z491" s="42">
        <f t="shared" si="198"/>
        <v>128777.5125</v>
      </c>
      <c r="AA491" s="42">
        <f>VLOOKUP(A491,kurspris!$A$1:$Q$798,17,FALSE)</f>
        <v>21800</v>
      </c>
      <c r="AB491" s="42">
        <f t="shared" si="199"/>
        <v>57225</v>
      </c>
      <c r="AC491" s="42">
        <f t="shared" si="200"/>
        <v>186002.51250000001</v>
      </c>
      <c r="AD491" s="31">
        <f>VLOOKUP($A491,kurspris!$A$1:$Q$835,3,FALSE)</f>
        <v>0</v>
      </c>
      <c r="AE491" s="31">
        <f>VLOOKUP($A491,kurspris!$A$1:$Q$835,4,FALSE)</f>
        <v>0</v>
      </c>
      <c r="AF491" s="31">
        <f>VLOOKUP($A491,kurspris!$A$1:$Q$835,5,FALSE)</f>
        <v>0</v>
      </c>
      <c r="AG491" s="31">
        <f>VLOOKUP($A491,kurspris!$A$1:$Q$835,6,FALSE)</f>
        <v>0</v>
      </c>
      <c r="AH491" s="31">
        <f>VLOOKUP($A491,kurspris!$A$1:$Q$835,7,FALSE)</f>
        <v>0</v>
      </c>
      <c r="AI491" s="31">
        <f>VLOOKUP($A491,kurspris!$A$1:$Q$835,8,FALSE)</f>
        <v>1</v>
      </c>
      <c r="AJ491" s="31">
        <f>VLOOKUP($A491,kurspris!$A$1:$Q$835,9,FALSE)</f>
        <v>0</v>
      </c>
      <c r="AK491" s="31">
        <f>VLOOKUP($A491,kurspris!$A$1:$Q$835,10,FALSE)</f>
        <v>0</v>
      </c>
      <c r="AL491" s="31">
        <f>VLOOKUP($A491,kurspris!$A$1:$Q$835,11,FALSE)</f>
        <v>0</v>
      </c>
      <c r="AM491" s="31">
        <f>VLOOKUP($A491,kurspris!$A$1:$Q$835,12,FALSE)</f>
        <v>0</v>
      </c>
      <c r="AN491" s="31">
        <f>VLOOKUP($A491,kurspris!$A$1:$Q$835,13,FALSE)</f>
        <v>0</v>
      </c>
      <c r="AO491" s="31">
        <f>VLOOKUP($A491,kurspris!$A$1:$Q$835,14,FALSE)</f>
        <v>0</v>
      </c>
      <c r="AP491" s="39" t="s">
        <v>2326</v>
      </c>
      <c r="AQ491"/>
      <c r="AR491" s="31">
        <f t="shared" si="201"/>
        <v>0</v>
      </c>
      <c r="AS491" s="255">
        <f t="shared" si="202"/>
        <v>0</v>
      </c>
      <c r="AT491" s="31">
        <f t="shared" si="203"/>
        <v>0</v>
      </c>
      <c r="AU491" s="255">
        <f t="shared" si="204"/>
        <v>0</v>
      </c>
      <c r="AV491" s="31">
        <f t="shared" si="205"/>
        <v>0</v>
      </c>
      <c r="AW491" s="31">
        <f t="shared" si="206"/>
        <v>0</v>
      </c>
      <c r="AX491" s="31">
        <f t="shared" si="207"/>
        <v>0</v>
      </c>
      <c r="AY491" s="255">
        <f t="shared" si="208"/>
        <v>0</v>
      </c>
      <c r="AZ491" s="232">
        <f t="shared" si="209"/>
        <v>0</v>
      </c>
      <c r="BA491" s="255">
        <f t="shared" si="210"/>
        <v>0</v>
      </c>
      <c r="BB491" s="31">
        <f t="shared" si="211"/>
        <v>2.625</v>
      </c>
      <c r="BC491" s="255">
        <f t="shared" si="212"/>
        <v>2.2312499999999997</v>
      </c>
      <c r="BD491" s="31">
        <f t="shared" si="213"/>
        <v>0</v>
      </c>
      <c r="BE491" s="255">
        <f t="shared" si="214"/>
        <v>0</v>
      </c>
      <c r="BF491" s="31">
        <f t="shared" si="215"/>
        <v>0</v>
      </c>
      <c r="BG491" s="255">
        <f t="shared" si="216"/>
        <v>0</v>
      </c>
      <c r="BH491" s="31">
        <f t="shared" si="217"/>
        <v>0</v>
      </c>
      <c r="BI491" s="255">
        <f t="shared" si="218"/>
        <v>0</v>
      </c>
      <c r="BJ491" s="31">
        <f t="shared" si="219"/>
        <v>0</v>
      </c>
      <c r="BK491" s="31">
        <f t="shared" si="220"/>
        <v>0</v>
      </c>
      <c r="BL491" s="255">
        <f t="shared" si="221"/>
        <v>0</v>
      </c>
      <c r="BM491" s="31">
        <f t="shared" si="222"/>
        <v>0</v>
      </c>
      <c r="BN491" s="255">
        <f t="shared" si="223"/>
        <v>0</v>
      </c>
    </row>
    <row r="492" spans="1:66" x14ac:dyDescent="0.25">
      <c r="A492" s="18" t="s">
        <v>1465</v>
      </c>
      <c r="B492" s="186" t="str">
        <f>VLOOKUP(A492,kurspris!$A$1:$B$877,2,FALSE)</f>
        <v>Matematik 4 för grundskolans årskurs 4-6</v>
      </c>
      <c r="C492" s="37"/>
      <c r="D492" s="31" t="s">
        <v>524</v>
      </c>
      <c r="E492" s="31" t="s">
        <v>1609</v>
      </c>
      <c r="F492" s="59" t="s">
        <v>1931</v>
      </c>
      <c r="G492" s="31" t="s">
        <v>2269</v>
      </c>
      <c r="L492" s="31">
        <v>100</v>
      </c>
      <c r="M492" s="31">
        <v>7.5</v>
      </c>
      <c r="P492" s="31">
        <v>28</v>
      </c>
      <c r="Q492" s="232">
        <f t="shared" si="196"/>
        <v>3.5</v>
      </c>
      <c r="R492" s="40">
        <v>0.85</v>
      </c>
      <c r="S492" s="334">
        <f t="shared" si="197"/>
        <v>2.9750000000000001</v>
      </c>
      <c r="T492" s="31">
        <f>VLOOKUP(A492,'Ansvar kurs'!$A$1:$C$1010,2,FALSE)</f>
        <v>5740</v>
      </c>
      <c r="U492" s="31" t="str">
        <f>VLOOKUP(T492,Orgenheter!$A$1:$C$165,2,FALSE)</f>
        <v>NMD</v>
      </c>
      <c r="V492" s="31" t="str">
        <f>VLOOKUP(T492,Orgenheter!$A$1:$C$165,3,FALSE)</f>
        <v>TekNat</v>
      </c>
      <c r="W492" s="37" t="str">
        <f>VLOOKUP(D492,Program!$A$1:$B$34,2,FALSE)</f>
        <v>Grundlärarprogrammet - grundskolans åk 4-6</v>
      </c>
      <c r="X492" s="42">
        <f>VLOOKUP(A492,kurspris!$A$1:$Q$798,15,FALSE)</f>
        <v>19473</v>
      </c>
      <c r="Y492" s="42">
        <f>VLOOKUP(A492,kurspris!$A$1:$Q$798,16,FALSE)</f>
        <v>34806</v>
      </c>
      <c r="Z492" s="42">
        <f t="shared" si="198"/>
        <v>171703.35</v>
      </c>
      <c r="AA492" s="42">
        <f>VLOOKUP(A492,kurspris!$A$1:$Q$798,17,FALSE)</f>
        <v>21800</v>
      </c>
      <c r="AB492" s="42">
        <f t="shared" si="199"/>
        <v>76300</v>
      </c>
      <c r="AC492" s="42">
        <f t="shared" si="200"/>
        <v>248003.35</v>
      </c>
      <c r="AD492" s="31">
        <f>VLOOKUP($A492,kurspris!$A$1:$Q$835,3,FALSE)</f>
        <v>0</v>
      </c>
      <c r="AE492" s="31">
        <f>VLOOKUP($A492,kurspris!$A$1:$Q$835,4,FALSE)</f>
        <v>0</v>
      </c>
      <c r="AF492" s="31">
        <f>VLOOKUP($A492,kurspris!$A$1:$Q$835,5,FALSE)</f>
        <v>0</v>
      </c>
      <c r="AG492" s="31">
        <f>VLOOKUP($A492,kurspris!$A$1:$Q$835,6,FALSE)</f>
        <v>0</v>
      </c>
      <c r="AH492" s="31">
        <f>VLOOKUP($A492,kurspris!$A$1:$Q$835,7,FALSE)</f>
        <v>0</v>
      </c>
      <c r="AI492" s="31">
        <f>VLOOKUP($A492,kurspris!$A$1:$Q$835,8,FALSE)</f>
        <v>1</v>
      </c>
      <c r="AJ492" s="31">
        <f>VLOOKUP($A492,kurspris!$A$1:$Q$835,9,FALSE)</f>
        <v>0</v>
      </c>
      <c r="AK492" s="31">
        <f>VLOOKUP($A492,kurspris!$A$1:$Q$835,10,FALSE)</f>
        <v>0</v>
      </c>
      <c r="AL492" s="31">
        <f>VLOOKUP($A492,kurspris!$A$1:$Q$835,11,FALSE)</f>
        <v>0</v>
      </c>
      <c r="AM492" s="31">
        <f>VLOOKUP($A492,kurspris!$A$1:$Q$835,12,FALSE)</f>
        <v>0</v>
      </c>
      <c r="AN492" s="31">
        <f>VLOOKUP($A492,kurspris!$A$1:$Q$835,13,FALSE)</f>
        <v>0</v>
      </c>
      <c r="AO492" s="31">
        <f>VLOOKUP($A492,kurspris!$A$1:$Q$835,14,FALSE)</f>
        <v>0</v>
      </c>
      <c r="AP492" s="39" t="s">
        <v>2326</v>
      </c>
      <c r="AQ492"/>
      <c r="AR492" s="31">
        <f t="shared" si="201"/>
        <v>0</v>
      </c>
      <c r="AS492" s="255">
        <f t="shared" si="202"/>
        <v>0</v>
      </c>
      <c r="AT492" s="31">
        <f t="shared" si="203"/>
        <v>0</v>
      </c>
      <c r="AU492" s="255">
        <f t="shared" si="204"/>
        <v>0</v>
      </c>
      <c r="AV492" s="31">
        <f t="shared" si="205"/>
        <v>0</v>
      </c>
      <c r="AW492" s="31">
        <f t="shared" si="206"/>
        <v>0</v>
      </c>
      <c r="AX492" s="31">
        <f t="shared" si="207"/>
        <v>0</v>
      </c>
      <c r="AY492" s="255">
        <f t="shared" si="208"/>
        <v>0</v>
      </c>
      <c r="AZ492" s="232">
        <f t="shared" si="209"/>
        <v>0</v>
      </c>
      <c r="BA492" s="255">
        <f t="shared" si="210"/>
        <v>0</v>
      </c>
      <c r="BB492" s="31">
        <f t="shared" si="211"/>
        <v>3.5</v>
      </c>
      <c r="BC492" s="255">
        <f t="shared" si="212"/>
        <v>2.9750000000000001</v>
      </c>
      <c r="BD492" s="31">
        <f t="shared" si="213"/>
        <v>0</v>
      </c>
      <c r="BE492" s="255">
        <f t="shared" si="214"/>
        <v>0</v>
      </c>
      <c r="BF492" s="31">
        <f t="shared" si="215"/>
        <v>0</v>
      </c>
      <c r="BG492" s="255">
        <f t="shared" si="216"/>
        <v>0</v>
      </c>
      <c r="BH492" s="31">
        <f t="shared" si="217"/>
        <v>0</v>
      </c>
      <c r="BI492" s="255">
        <f t="shared" si="218"/>
        <v>0</v>
      </c>
      <c r="BJ492" s="31">
        <f t="shared" si="219"/>
        <v>0</v>
      </c>
      <c r="BK492" s="31">
        <f t="shared" si="220"/>
        <v>0</v>
      </c>
      <c r="BL492" s="255">
        <f t="shared" si="221"/>
        <v>0</v>
      </c>
      <c r="BM492" s="31">
        <f t="shared" si="222"/>
        <v>0</v>
      </c>
      <c r="BN492" s="255">
        <f t="shared" si="223"/>
        <v>0</v>
      </c>
    </row>
    <row r="493" spans="1:66" x14ac:dyDescent="0.25">
      <c r="A493" s="18" t="s">
        <v>1566</v>
      </c>
      <c r="B493" s="186" t="str">
        <f>VLOOKUP(A493,kurspris!$A$1:$B$877,2,FALSE)</f>
        <v>Matematik för förskolan</v>
      </c>
      <c r="C493" s="37"/>
      <c r="D493" s="31" t="s">
        <v>484</v>
      </c>
      <c r="E493" s="31" t="s">
        <v>1788</v>
      </c>
      <c r="F493" s="59" t="s">
        <v>1931</v>
      </c>
      <c r="G493" s="31" t="s">
        <v>2277</v>
      </c>
      <c r="L493" s="31">
        <v>100</v>
      </c>
      <c r="M493" s="31">
        <v>7.5</v>
      </c>
      <c r="P493" s="31">
        <v>46</v>
      </c>
      <c r="Q493" s="232">
        <f t="shared" si="196"/>
        <v>5.75</v>
      </c>
      <c r="R493" s="40">
        <v>0.85</v>
      </c>
      <c r="S493" s="334">
        <f t="shared" si="197"/>
        <v>4.8875000000000002</v>
      </c>
      <c r="T493" s="31">
        <f>VLOOKUP(A493,'Ansvar kurs'!$A$1:$C$1010,2,FALSE)</f>
        <v>5740</v>
      </c>
      <c r="U493" s="31" t="str">
        <f>VLOOKUP(T493,Orgenheter!$A$1:$C$165,2,FALSE)</f>
        <v>NMD</v>
      </c>
      <c r="V493" s="31" t="str">
        <f>VLOOKUP(T493,Orgenheter!$A$1:$C$165,3,FALSE)</f>
        <v>TekNat</v>
      </c>
      <c r="W493" s="37" t="str">
        <f>VLOOKUP(D493,Program!$A$1:$B$34,2,FALSE)</f>
        <v>Förskollärarprogrammet</v>
      </c>
      <c r="X493" s="42">
        <f>VLOOKUP(A493,kurspris!$A$1:$Q$798,15,FALSE)</f>
        <v>19473</v>
      </c>
      <c r="Y493" s="42">
        <f>VLOOKUP(A493,kurspris!$A$1:$Q$798,16,FALSE)</f>
        <v>34806</v>
      </c>
      <c r="Z493" s="42">
        <f t="shared" si="198"/>
        <v>282084.07500000001</v>
      </c>
      <c r="AA493" s="42">
        <f>VLOOKUP(A493,kurspris!$A$1:$Q$798,17,FALSE)</f>
        <v>21800</v>
      </c>
      <c r="AB493" s="42">
        <f t="shared" si="199"/>
        <v>125350</v>
      </c>
      <c r="AC493" s="42">
        <f t="shared" si="200"/>
        <v>407434.07500000001</v>
      </c>
      <c r="AD493" s="31">
        <f>VLOOKUP($A493,kurspris!$A$1:$Q$835,3,FALSE)</f>
        <v>0</v>
      </c>
      <c r="AE493" s="31">
        <f>VLOOKUP($A493,kurspris!$A$1:$Q$835,4,FALSE)</f>
        <v>0</v>
      </c>
      <c r="AF493" s="31">
        <f>VLOOKUP($A493,kurspris!$A$1:$Q$835,5,FALSE)</f>
        <v>0</v>
      </c>
      <c r="AG493" s="31">
        <f>VLOOKUP($A493,kurspris!$A$1:$Q$835,6,FALSE)</f>
        <v>0</v>
      </c>
      <c r="AH493" s="31">
        <f>VLOOKUP($A493,kurspris!$A$1:$Q$835,7,FALSE)</f>
        <v>0</v>
      </c>
      <c r="AI493" s="31">
        <f>VLOOKUP($A493,kurspris!$A$1:$Q$835,8,FALSE)</f>
        <v>1</v>
      </c>
      <c r="AJ493" s="31">
        <f>VLOOKUP($A493,kurspris!$A$1:$Q$835,9,FALSE)</f>
        <v>0</v>
      </c>
      <c r="AK493" s="31">
        <f>VLOOKUP($A493,kurspris!$A$1:$Q$835,10,FALSE)</f>
        <v>0</v>
      </c>
      <c r="AL493" s="31">
        <f>VLOOKUP($A493,kurspris!$A$1:$Q$835,11,FALSE)</f>
        <v>0</v>
      </c>
      <c r="AM493" s="31">
        <f>VLOOKUP($A493,kurspris!$A$1:$Q$835,12,FALSE)</f>
        <v>0</v>
      </c>
      <c r="AN493" s="31">
        <f>VLOOKUP($A493,kurspris!$A$1:$Q$835,13,FALSE)</f>
        <v>0</v>
      </c>
      <c r="AO493" s="31">
        <f>VLOOKUP($A493,kurspris!$A$1:$Q$835,14,FALSE)</f>
        <v>0</v>
      </c>
      <c r="AP493" s="39" t="s">
        <v>2326</v>
      </c>
      <c r="AQ493"/>
      <c r="AR493" s="31">
        <f t="shared" si="201"/>
        <v>0</v>
      </c>
      <c r="AS493" s="255">
        <f t="shared" si="202"/>
        <v>0</v>
      </c>
      <c r="AT493" s="31">
        <f t="shared" si="203"/>
        <v>0</v>
      </c>
      <c r="AU493" s="255">
        <f t="shared" si="204"/>
        <v>0</v>
      </c>
      <c r="AV493" s="31">
        <f t="shared" si="205"/>
        <v>0</v>
      </c>
      <c r="AW493" s="31">
        <f t="shared" si="206"/>
        <v>0</v>
      </c>
      <c r="AX493" s="31">
        <f t="shared" si="207"/>
        <v>0</v>
      </c>
      <c r="AY493" s="255">
        <f t="shared" si="208"/>
        <v>0</v>
      </c>
      <c r="AZ493" s="232">
        <f t="shared" si="209"/>
        <v>0</v>
      </c>
      <c r="BA493" s="255">
        <f t="shared" si="210"/>
        <v>0</v>
      </c>
      <c r="BB493" s="31">
        <f t="shared" si="211"/>
        <v>5.75</v>
      </c>
      <c r="BC493" s="255">
        <f t="shared" si="212"/>
        <v>4.8875000000000002</v>
      </c>
      <c r="BD493" s="31">
        <f t="shared" si="213"/>
        <v>0</v>
      </c>
      <c r="BE493" s="255">
        <f t="shared" si="214"/>
        <v>0</v>
      </c>
      <c r="BF493" s="31">
        <f t="shared" si="215"/>
        <v>0</v>
      </c>
      <c r="BG493" s="255">
        <f t="shared" si="216"/>
        <v>0</v>
      </c>
      <c r="BH493" s="31">
        <f t="shared" si="217"/>
        <v>0</v>
      </c>
      <c r="BI493" s="255">
        <f t="shared" si="218"/>
        <v>0</v>
      </c>
      <c r="BJ493" s="31">
        <f t="shared" si="219"/>
        <v>0</v>
      </c>
      <c r="BK493" s="31">
        <f t="shared" si="220"/>
        <v>0</v>
      </c>
      <c r="BL493" s="255">
        <f t="shared" si="221"/>
        <v>0</v>
      </c>
      <c r="BM493" s="31">
        <f t="shared" si="222"/>
        <v>0</v>
      </c>
      <c r="BN493" s="255">
        <f t="shared" si="223"/>
        <v>0</v>
      </c>
    </row>
    <row r="494" spans="1:66" x14ac:dyDescent="0.25">
      <c r="A494" t="s">
        <v>1566</v>
      </c>
      <c r="B494" s="186" t="str">
        <f>VLOOKUP(A494,kurspris!$A$1:$B$877,2,FALSE)</f>
        <v>Matematik för förskolan</v>
      </c>
      <c r="C494"/>
      <c r="D494" t="s">
        <v>484</v>
      </c>
      <c r="E494" t="s">
        <v>1787</v>
      </c>
      <c r="F494" s="39" t="s">
        <v>1930</v>
      </c>
      <c r="G494" t="s">
        <v>1932</v>
      </c>
      <c r="H494" t="s">
        <v>1910</v>
      </c>
      <c r="I494"/>
      <c r="J494"/>
      <c r="K494"/>
      <c r="L494">
        <v>100</v>
      </c>
      <c r="M494">
        <v>7.5</v>
      </c>
      <c r="N494"/>
      <c r="O494"/>
      <c r="P494" s="31">
        <v>23</v>
      </c>
      <c r="Q494" s="232">
        <f t="shared" si="196"/>
        <v>2.875</v>
      </c>
      <c r="R494" s="40">
        <v>0.85</v>
      </c>
      <c r="S494" s="334">
        <f t="shared" si="197"/>
        <v>2.4437500000000001</v>
      </c>
      <c r="T494" s="31">
        <f>VLOOKUP(A494,'Ansvar kurs'!$A$1:$C$1010,2,FALSE)</f>
        <v>5740</v>
      </c>
      <c r="U494" s="31" t="str">
        <f>VLOOKUP(T494,Orgenheter!$A$1:$C$165,2,FALSE)</f>
        <v>NMD</v>
      </c>
      <c r="V494" s="31" t="str">
        <f>VLOOKUP(T494,Orgenheter!$A$1:$C$165,3,FALSE)</f>
        <v>TekNat</v>
      </c>
      <c r="W494" s="37" t="str">
        <f>VLOOKUP(D494,Program!$A$1:$B$34,2,FALSE)</f>
        <v>Förskollärarprogrammet</v>
      </c>
      <c r="X494" s="42">
        <f>VLOOKUP(A494,kurspris!$A$1:$Q$798,15,FALSE)</f>
        <v>19473</v>
      </c>
      <c r="Y494" s="42">
        <f>VLOOKUP(A494,kurspris!$A$1:$Q$798,16,FALSE)</f>
        <v>34806</v>
      </c>
      <c r="Z494" s="42">
        <f t="shared" si="198"/>
        <v>141042.03750000001</v>
      </c>
      <c r="AA494" s="42">
        <f>VLOOKUP(A494,kurspris!$A$1:$Q$798,17,FALSE)</f>
        <v>21800</v>
      </c>
      <c r="AB494" s="42">
        <f t="shared" si="199"/>
        <v>62675</v>
      </c>
      <c r="AC494" s="42">
        <f t="shared" si="200"/>
        <v>203717.03750000001</v>
      </c>
      <c r="AD494" s="31">
        <f>VLOOKUP($A494,kurspris!$A$1:$Q$835,3,FALSE)</f>
        <v>0</v>
      </c>
      <c r="AE494" s="31">
        <f>VLOOKUP($A494,kurspris!$A$1:$Q$835,4,FALSE)</f>
        <v>0</v>
      </c>
      <c r="AF494" s="31">
        <f>VLOOKUP($A494,kurspris!$A$1:$Q$835,5,FALSE)</f>
        <v>0</v>
      </c>
      <c r="AG494" s="31">
        <f>VLOOKUP($A494,kurspris!$A$1:$Q$835,6,FALSE)</f>
        <v>0</v>
      </c>
      <c r="AH494" s="31">
        <f>VLOOKUP($A494,kurspris!$A$1:$Q$835,7,FALSE)</f>
        <v>0</v>
      </c>
      <c r="AI494" s="31">
        <f>VLOOKUP($A494,kurspris!$A$1:$Q$835,8,FALSE)</f>
        <v>1</v>
      </c>
      <c r="AJ494" s="31">
        <f>VLOOKUP($A494,kurspris!$A$1:$Q$835,9,FALSE)</f>
        <v>0</v>
      </c>
      <c r="AK494" s="31">
        <f>VLOOKUP($A494,kurspris!$A$1:$Q$835,10,FALSE)</f>
        <v>0</v>
      </c>
      <c r="AL494" s="31">
        <f>VLOOKUP($A494,kurspris!$A$1:$Q$835,11,FALSE)</f>
        <v>0</v>
      </c>
      <c r="AM494" s="31">
        <f>VLOOKUP($A494,kurspris!$A$1:$Q$835,12,FALSE)</f>
        <v>0</v>
      </c>
      <c r="AN494" s="31">
        <f>VLOOKUP($A494,kurspris!$A$1:$Q$835,13,FALSE)</f>
        <v>0</v>
      </c>
      <c r="AO494" s="31">
        <f>VLOOKUP($A494,kurspris!$A$1:$Q$835,14,FALSE)</f>
        <v>0</v>
      </c>
      <c r="AP494" s="39" t="s">
        <v>2235</v>
      </c>
      <c r="AQ494"/>
      <c r="AR494" s="31">
        <f t="shared" si="201"/>
        <v>0</v>
      </c>
      <c r="AS494" s="255">
        <f t="shared" si="202"/>
        <v>0</v>
      </c>
      <c r="AT494" s="31">
        <f t="shared" si="203"/>
        <v>0</v>
      </c>
      <c r="AU494" s="255">
        <f t="shared" si="204"/>
        <v>0</v>
      </c>
      <c r="AV494" s="31">
        <f t="shared" si="205"/>
        <v>0</v>
      </c>
      <c r="AW494" s="31">
        <f t="shared" si="206"/>
        <v>0</v>
      </c>
      <c r="AX494" s="31">
        <f t="shared" si="207"/>
        <v>0</v>
      </c>
      <c r="AY494" s="255">
        <f t="shared" si="208"/>
        <v>0</v>
      </c>
      <c r="AZ494" s="232">
        <f t="shared" si="209"/>
        <v>0</v>
      </c>
      <c r="BA494" s="255">
        <f t="shared" si="210"/>
        <v>0</v>
      </c>
      <c r="BB494" s="31">
        <f t="shared" si="211"/>
        <v>2.875</v>
      </c>
      <c r="BC494" s="255">
        <f t="shared" si="212"/>
        <v>2.4437500000000001</v>
      </c>
      <c r="BD494" s="31">
        <f t="shared" si="213"/>
        <v>0</v>
      </c>
      <c r="BE494" s="255">
        <f t="shared" si="214"/>
        <v>0</v>
      </c>
      <c r="BF494" s="31">
        <f t="shared" si="215"/>
        <v>0</v>
      </c>
      <c r="BG494" s="255">
        <f t="shared" si="216"/>
        <v>0</v>
      </c>
      <c r="BH494" s="31">
        <f t="shared" si="217"/>
        <v>0</v>
      </c>
      <c r="BI494" s="255">
        <f t="shared" si="218"/>
        <v>0</v>
      </c>
      <c r="BJ494" s="31">
        <f t="shared" si="219"/>
        <v>0</v>
      </c>
      <c r="BK494" s="31">
        <f t="shared" si="220"/>
        <v>0</v>
      </c>
      <c r="BL494" s="255">
        <f t="shared" si="221"/>
        <v>0</v>
      </c>
      <c r="BM494" s="31">
        <f t="shared" si="222"/>
        <v>0</v>
      </c>
      <c r="BN494" s="255">
        <f t="shared" si="223"/>
        <v>0</v>
      </c>
    </row>
    <row r="495" spans="1:66" x14ac:dyDescent="0.25">
      <c r="A495" t="s">
        <v>1566</v>
      </c>
      <c r="B495" s="186" t="str">
        <f>VLOOKUP(A495,kurspris!$A$1:$B$877,2,FALSE)</f>
        <v>Matematik för förskolan</v>
      </c>
      <c r="C495"/>
      <c r="D495" t="s">
        <v>484</v>
      </c>
      <c r="E495" t="s">
        <v>1787</v>
      </c>
      <c r="F495" s="39" t="s">
        <v>1930</v>
      </c>
      <c r="G495" t="s">
        <v>1932</v>
      </c>
      <c r="H495" t="s">
        <v>1977</v>
      </c>
      <c r="I495"/>
      <c r="J495"/>
      <c r="K495"/>
      <c r="L495">
        <v>100</v>
      </c>
      <c r="M495">
        <v>7.5</v>
      </c>
      <c r="N495"/>
      <c r="O495"/>
      <c r="P495" s="31">
        <v>16</v>
      </c>
      <c r="Q495" s="232">
        <f t="shared" si="196"/>
        <v>2</v>
      </c>
      <c r="R495" s="40">
        <v>0.85</v>
      </c>
      <c r="S495" s="334">
        <f t="shared" si="197"/>
        <v>1.7</v>
      </c>
      <c r="T495" s="31">
        <f>VLOOKUP(A495,'Ansvar kurs'!$A$1:$C$1010,2,FALSE)</f>
        <v>5740</v>
      </c>
      <c r="U495" s="31" t="str">
        <f>VLOOKUP(T495,Orgenheter!$A$1:$C$165,2,FALSE)</f>
        <v>NMD</v>
      </c>
      <c r="V495" s="31" t="str">
        <f>VLOOKUP(T495,Orgenheter!$A$1:$C$165,3,FALSE)</f>
        <v>TekNat</v>
      </c>
      <c r="W495" s="37" t="str">
        <f>VLOOKUP(D495,Program!$A$1:$B$34,2,FALSE)</f>
        <v>Förskollärarprogrammet</v>
      </c>
      <c r="X495" s="42">
        <f>VLOOKUP(A495,kurspris!$A$1:$Q$798,15,FALSE)</f>
        <v>19473</v>
      </c>
      <c r="Y495" s="42">
        <f>VLOOKUP(A495,kurspris!$A$1:$Q$798,16,FALSE)</f>
        <v>34806</v>
      </c>
      <c r="Z495" s="42">
        <f t="shared" si="198"/>
        <v>98116.2</v>
      </c>
      <c r="AA495" s="42">
        <f>VLOOKUP(A495,kurspris!$A$1:$Q$798,17,FALSE)</f>
        <v>21800</v>
      </c>
      <c r="AB495" s="42">
        <f t="shared" si="199"/>
        <v>43600</v>
      </c>
      <c r="AC495" s="42">
        <f t="shared" si="200"/>
        <v>141716.20000000001</v>
      </c>
      <c r="AD495" s="31">
        <f>VLOOKUP($A495,kurspris!$A$1:$Q$835,3,FALSE)</f>
        <v>0</v>
      </c>
      <c r="AE495" s="31">
        <f>VLOOKUP($A495,kurspris!$A$1:$Q$835,4,FALSE)</f>
        <v>0</v>
      </c>
      <c r="AF495" s="31">
        <f>VLOOKUP($A495,kurspris!$A$1:$Q$835,5,FALSE)</f>
        <v>0</v>
      </c>
      <c r="AG495" s="31">
        <f>VLOOKUP($A495,kurspris!$A$1:$Q$835,6,FALSE)</f>
        <v>0</v>
      </c>
      <c r="AH495" s="31">
        <f>VLOOKUP($A495,kurspris!$A$1:$Q$835,7,FALSE)</f>
        <v>0</v>
      </c>
      <c r="AI495" s="31">
        <f>VLOOKUP($A495,kurspris!$A$1:$Q$835,8,FALSE)</f>
        <v>1</v>
      </c>
      <c r="AJ495" s="31">
        <f>VLOOKUP($A495,kurspris!$A$1:$Q$835,9,FALSE)</f>
        <v>0</v>
      </c>
      <c r="AK495" s="31">
        <f>VLOOKUP($A495,kurspris!$A$1:$Q$835,10,FALSE)</f>
        <v>0</v>
      </c>
      <c r="AL495" s="31">
        <f>VLOOKUP($A495,kurspris!$A$1:$Q$835,11,FALSE)</f>
        <v>0</v>
      </c>
      <c r="AM495" s="31">
        <f>VLOOKUP($A495,kurspris!$A$1:$Q$835,12,FALSE)</f>
        <v>0</v>
      </c>
      <c r="AN495" s="31">
        <f>VLOOKUP($A495,kurspris!$A$1:$Q$835,13,FALSE)</f>
        <v>0</v>
      </c>
      <c r="AO495" s="31">
        <f>VLOOKUP($A495,kurspris!$A$1:$Q$835,14,FALSE)</f>
        <v>0</v>
      </c>
      <c r="AP495" s="39" t="s">
        <v>2235</v>
      </c>
      <c r="AQ495"/>
      <c r="AR495" s="31">
        <f t="shared" si="201"/>
        <v>0</v>
      </c>
      <c r="AS495" s="255">
        <f t="shared" si="202"/>
        <v>0</v>
      </c>
      <c r="AT495" s="31">
        <f t="shared" si="203"/>
        <v>0</v>
      </c>
      <c r="AU495" s="255">
        <f t="shared" si="204"/>
        <v>0</v>
      </c>
      <c r="AV495" s="31">
        <f t="shared" si="205"/>
        <v>0</v>
      </c>
      <c r="AW495" s="31">
        <f t="shared" si="206"/>
        <v>0</v>
      </c>
      <c r="AX495" s="31">
        <f t="shared" si="207"/>
        <v>0</v>
      </c>
      <c r="AY495" s="255">
        <f t="shared" si="208"/>
        <v>0</v>
      </c>
      <c r="AZ495" s="232">
        <f t="shared" si="209"/>
        <v>0</v>
      </c>
      <c r="BA495" s="255">
        <f t="shared" si="210"/>
        <v>0</v>
      </c>
      <c r="BB495" s="31">
        <f t="shared" si="211"/>
        <v>2</v>
      </c>
      <c r="BC495" s="255">
        <f t="shared" si="212"/>
        <v>1.7</v>
      </c>
      <c r="BD495" s="31">
        <f t="shared" si="213"/>
        <v>0</v>
      </c>
      <c r="BE495" s="255">
        <f t="shared" si="214"/>
        <v>0</v>
      </c>
      <c r="BF495" s="31">
        <f t="shared" si="215"/>
        <v>0</v>
      </c>
      <c r="BG495" s="255">
        <f t="shared" si="216"/>
        <v>0</v>
      </c>
      <c r="BH495" s="31">
        <f t="shared" si="217"/>
        <v>0</v>
      </c>
      <c r="BI495" s="255">
        <f t="shared" si="218"/>
        <v>0</v>
      </c>
      <c r="BJ495" s="31">
        <f t="shared" si="219"/>
        <v>0</v>
      </c>
      <c r="BK495" s="31">
        <f t="shared" si="220"/>
        <v>0</v>
      </c>
      <c r="BL495" s="255">
        <f t="shared" si="221"/>
        <v>0</v>
      </c>
      <c r="BM495" s="31">
        <f t="shared" si="222"/>
        <v>0</v>
      </c>
      <c r="BN495" s="255">
        <f t="shared" si="223"/>
        <v>0</v>
      </c>
    </row>
    <row r="496" spans="1:66" x14ac:dyDescent="0.25">
      <c r="A496" s="18" t="s">
        <v>1654</v>
      </c>
      <c r="B496" s="186" t="str">
        <f>VLOOKUP(A496,kurspris!$A$1:$B$877,2,FALSE)</f>
        <v>Matematik 2 för lärande och undervisning för förskoleklass och grundskolans årskurs 1-3</v>
      </c>
      <c r="C496" s="37"/>
      <c r="D496" t="s">
        <v>117</v>
      </c>
      <c r="E496"/>
      <c r="F496" s="59" t="s">
        <v>1931</v>
      </c>
      <c r="G496"/>
      <c r="H496"/>
      <c r="I496" t="s">
        <v>2066</v>
      </c>
      <c r="L496">
        <v>50</v>
      </c>
      <c r="M496">
        <v>15</v>
      </c>
      <c r="P496">
        <v>6</v>
      </c>
      <c r="Q496" s="232">
        <f t="shared" si="196"/>
        <v>1.5</v>
      </c>
      <c r="R496" s="40">
        <v>0.8</v>
      </c>
      <c r="S496" s="334">
        <f t="shared" si="197"/>
        <v>1.2000000000000002</v>
      </c>
      <c r="T496" s="31">
        <f>VLOOKUP(A496,'Ansvar kurs'!$A$1:$C$1010,2,FALSE)</f>
        <v>5740</v>
      </c>
      <c r="U496" s="31" t="str">
        <f>VLOOKUP(T496,Orgenheter!$A$1:$C$165,2,FALSE)</f>
        <v>NMD</v>
      </c>
      <c r="V496" s="31" t="str">
        <f>VLOOKUP(T496,Orgenheter!$A$1:$C$165,3,FALSE)</f>
        <v>TekNat</v>
      </c>
      <c r="W496" s="37" t="str">
        <f>VLOOKUP(D496,Program!$A$1:$B$34,2,FALSE)</f>
        <v>Fristående och övriga kurser</v>
      </c>
      <c r="X496" s="42">
        <f>VLOOKUP(A496,kurspris!$A$1:$Q$798,15,FALSE)</f>
        <v>19473</v>
      </c>
      <c r="Y496" s="42">
        <f>VLOOKUP(A496,kurspris!$A$1:$Q$798,16,FALSE)</f>
        <v>34806</v>
      </c>
      <c r="Z496" s="42">
        <f t="shared" si="198"/>
        <v>70976.700000000012</v>
      </c>
      <c r="AA496" s="42">
        <f>VLOOKUP(A496,kurspris!$A$1:$Q$798,17,FALSE)</f>
        <v>21800</v>
      </c>
      <c r="AB496" s="42">
        <f t="shared" si="199"/>
        <v>32700</v>
      </c>
      <c r="AC496" s="42">
        <f t="shared" si="200"/>
        <v>103676.70000000001</v>
      </c>
      <c r="AD496" s="31">
        <f>VLOOKUP($A496,kurspris!$A$1:$Q$835,3,FALSE)</f>
        <v>0</v>
      </c>
      <c r="AE496" s="31">
        <f>VLOOKUP($A496,kurspris!$A$1:$Q$835,4,FALSE)</f>
        <v>0</v>
      </c>
      <c r="AF496" s="31">
        <f>VLOOKUP($A496,kurspris!$A$1:$Q$835,5,FALSE)</f>
        <v>0</v>
      </c>
      <c r="AG496" s="31">
        <f>VLOOKUP($A496,kurspris!$A$1:$Q$835,6,FALSE)</f>
        <v>0</v>
      </c>
      <c r="AH496" s="31">
        <f>VLOOKUP($A496,kurspris!$A$1:$Q$835,7,FALSE)</f>
        <v>0</v>
      </c>
      <c r="AI496" s="31">
        <f>VLOOKUP($A496,kurspris!$A$1:$Q$835,8,FALSE)</f>
        <v>1</v>
      </c>
      <c r="AJ496" s="31">
        <f>VLOOKUP($A496,kurspris!$A$1:$Q$835,9,FALSE)</f>
        <v>0</v>
      </c>
      <c r="AK496" s="31">
        <f>VLOOKUP($A496,kurspris!$A$1:$Q$835,10,FALSE)</f>
        <v>0</v>
      </c>
      <c r="AL496" s="31">
        <f>VLOOKUP($A496,kurspris!$A$1:$Q$835,11,FALSE)</f>
        <v>0</v>
      </c>
      <c r="AM496" s="31">
        <f>VLOOKUP($A496,kurspris!$A$1:$Q$835,12,FALSE)</f>
        <v>0</v>
      </c>
      <c r="AN496" s="31">
        <f>VLOOKUP($A496,kurspris!$A$1:$Q$835,13,FALSE)</f>
        <v>0</v>
      </c>
      <c r="AO496" s="31">
        <f>VLOOKUP($A496,kurspris!$A$1:$Q$835,14,FALSE)</f>
        <v>0</v>
      </c>
      <c r="AP496" s="39" t="s">
        <v>2095</v>
      </c>
      <c r="AQ496"/>
      <c r="AR496" s="31">
        <f t="shared" si="201"/>
        <v>0</v>
      </c>
      <c r="AS496" s="255">
        <f t="shared" si="202"/>
        <v>0</v>
      </c>
      <c r="AT496" s="31">
        <f t="shared" si="203"/>
        <v>0</v>
      </c>
      <c r="AU496" s="255">
        <f t="shared" si="204"/>
        <v>0</v>
      </c>
      <c r="AV496" s="31">
        <f t="shared" si="205"/>
        <v>0</v>
      </c>
      <c r="AW496" s="31">
        <f t="shared" si="206"/>
        <v>0</v>
      </c>
      <c r="AX496" s="31">
        <f t="shared" si="207"/>
        <v>0</v>
      </c>
      <c r="AY496" s="255">
        <f t="shared" si="208"/>
        <v>0</v>
      </c>
      <c r="AZ496" s="232">
        <f t="shared" si="209"/>
        <v>0</v>
      </c>
      <c r="BA496" s="255">
        <f t="shared" si="210"/>
        <v>0</v>
      </c>
      <c r="BB496" s="31">
        <f t="shared" si="211"/>
        <v>1.5</v>
      </c>
      <c r="BC496" s="255">
        <f t="shared" si="212"/>
        <v>1.2000000000000002</v>
      </c>
      <c r="BD496" s="31">
        <f t="shared" si="213"/>
        <v>0</v>
      </c>
      <c r="BE496" s="255">
        <f t="shared" si="214"/>
        <v>0</v>
      </c>
      <c r="BF496" s="31">
        <f t="shared" si="215"/>
        <v>0</v>
      </c>
      <c r="BG496" s="255">
        <f t="shared" si="216"/>
        <v>0</v>
      </c>
      <c r="BH496" s="31">
        <f t="shared" si="217"/>
        <v>0</v>
      </c>
      <c r="BI496" s="255">
        <f t="shared" si="218"/>
        <v>0</v>
      </c>
      <c r="BJ496" s="31">
        <f t="shared" si="219"/>
        <v>0</v>
      </c>
      <c r="BK496" s="31">
        <f t="shared" si="220"/>
        <v>0</v>
      </c>
      <c r="BL496" s="255">
        <f t="shared" si="221"/>
        <v>0</v>
      </c>
      <c r="BM496" s="31">
        <f t="shared" si="222"/>
        <v>0</v>
      </c>
      <c r="BN496" s="255">
        <f t="shared" si="223"/>
        <v>0</v>
      </c>
    </row>
    <row r="497" spans="1:66" x14ac:dyDescent="0.25">
      <c r="A497" s="18" t="s">
        <v>1655</v>
      </c>
      <c r="B497" s="186" t="str">
        <f>VLOOKUP(A497,kurspris!$A$1:$B$877,2,FALSE)</f>
        <v>Matematik 2 för lärande och undervisning för grundskolans årskurs 4-6</v>
      </c>
      <c r="C497" s="37"/>
      <c r="D497" t="s">
        <v>117</v>
      </c>
      <c r="E497"/>
      <c r="F497" s="59" t="s">
        <v>1931</v>
      </c>
      <c r="G497"/>
      <c r="H497"/>
      <c r="I497" t="s">
        <v>2066</v>
      </c>
      <c r="L497">
        <v>50</v>
      </c>
      <c r="M497">
        <v>15</v>
      </c>
      <c r="P497">
        <v>6</v>
      </c>
      <c r="Q497" s="232">
        <f t="shared" si="196"/>
        <v>1.5</v>
      </c>
      <c r="R497" s="40">
        <v>0.8</v>
      </c>
      <c r="S497" s="334">
        <f t="shared" si="197"/>
        <v>1.2000000000000002</v>
      </c>
      <c r="T497" s="31">
        <f>VLOOKUP(A497,'Ansvar kurs'!$A$1:$C$1010,2,FALSE)</f>
        <v>5740</v>
      </c>
      <c r="U497" s="31" t="str">
        <f>VLOOKUP(T497,Orgenheter!$A$1:$C$165,2,FALSE)</f>
        <v>NMD</v>
      </c>
      <c r="V497" s="31" t="str">
        <f>VLOOKUP(T497,Orgenheter!$A$1:$C$165,3,FALSE)</f>
        <v>TekNat</v>
      </c>
      <c r="W497" s="37" t="str">
        <f>VLOOKUP(D497,Program!$A$1:$B$34,2,FALSE)</f>
        <v>Fristående och övriga kurser</v>
      </c>
      <c r="X497" s="42">
        <f>VLOOKUP(A497,kurspris!$A$1:$Q$798,15,FALSE)</f>
        <v>19473</v>
      </c>
      <c r="Y497" s="42">
        <f>VLOOKUP(A497,kurspris!$A$1:$Q$798,16,FALSE)</f>
        <v>34806</v>
      </c>
      <c r="Z497" s="42">
        <f t="shared" si="198"/>
        <v>70976.700000000012</v>
      </c>
      <c r="AA497" s="42">
        <f>VLOOKUP(A497,kurspris!$A$1:$Q$798,17,FALSE)</f>
        <v>21800</v>
      </c>
      <c r="AB497" s="42">
        <f t="shared" si="199"/>
        <v>32700</v>
      </c>
      <c r="AC497" s="42">
        <f t="shared" si="200"/>
        <v>103676.70000000001</v>
      </c>
      <c r="AD497" s="31">
        <f>VLOOKUP($A497,kurspris!$A$1:$Q$835,3,FALSE)</f>
        <v>0</v>
      </c>
      <c r="AE497" s="31">
        <f>VLOOKUP($A497,kurspris!$A$1:$Q$835,4,FALSE)</f>
        <v>0</v>
      </c>
      <c r="AF497" s="31">
        <f>VLOOKUP($A497,kurspris!$A$1:$Q$835,5,FALSE)</f>
        <v>0</v>
      </c>
      <c r="AG497" s="31">
        <f>VLOOKUP($A497,kurspris!$A$1:$Q$835,6,FALSE)</f>
        <v>0</v>
      </c>
      <c r="AH497" s="31">
        <f>VLOOKUP($A497,kurspris!$A$1:$Q$835,7,FALSE)</f>
        <v>0</v>
      </c>
      <c r="AI497" s="31">
        <f>VLOOKUP($A497,kurspris!$A$1:$Q$835,8,FALSE)</f>
        <v>1</v>
      </c>
      <c r="AJ497" s="31">
        <f>VLOOKUP($A497,kurspris!$A$1:$Q$835,9,FALSE)</f>
        <v>0</v>
      </c>
      <c r="AK497" s="31">
        <f>VLOOKUP($A497,kurspris!$A$1:$Q$835,10,FALSE)</f>
        <v>0</v>
      </c>
      <c r="AL497" s="31">
        <f>VLOOKUP($A497,kurspris!$A$1:$Q$835,11,FALSE)</f>
        <v>0</v>
      </c>
      <c r="AM497" s="31">
        <f>VLOOKUP($A497,kurspris!$A$1:$Q$835,12,FALSE)</f>
        <v>0</v>
      </c>
      <c r="AN497" s="31">
        <f>VLOOKUP($A497,kurspris!$A$1:$Q$835,13,FALSE)</f>
        <v>0</v>
      </c>
      <c r="AO497" s="31">
        <f>VLOOKUP($A497,kurspris!$A$1:$Q$835,14,FALSE)</f>
        <v>0</v>
      </c>
      <c r="AP497" s="39" t="s">
        <v>2095</v>
      </c>
      <c r="AQ497"/>
      <c r="AR497" s="31">
        <f t="shared" si="201"/>
        <v>0</v>
      </c>
      <c r="AS497" s="255">
        <f t="shared" si="202"/>
        <v>0</v>
      </c>
      <c r="AT497" s="31">
        <f t="shared" si="203"/>
        <v>0</v>
      </c>
      <c r="AU497" s="255">
        <f t="shared" si="204"/>
        <v>0</v>
      </c>
      <c r="AV497" s="31">
        <f t="shared" si="205"/>
        <v>0</v>
      </c>
      <c r="AW497" s="31">
        <f t="shared" si="206"/>
        <v>0</v>
      </c>
      <c r="AX497" s="31">
        <f t="shared" si="207"/>
        <v>0</v>
      </c>
      <c r="AY497" s="255">
        <f t="shared" si="208"/>
        <v>0</v>
      </c>
      <c r="AZ497" s="232">
        <f t="shared" si="209"/>
        <v>0</v>
      </c>
      <c r="BA497" s="255">
        <f t="shared" si="210"/>
        <v>0</v>
      </c>
      <c r="BB497" s="31">
        <f t="shared" si="211"/>
        <v>1.5</v>
      </c>
      <c r="BC497" s="255">
        <f t="shared" si="212"/>
        <v>1.2000000000000002</v>
      </c>
      <c r="BD497" s="31">
        <f t="shared" si="213"/>
        <v>0</v>
      </c>
      <c r="BE497" s="255">
        <f t="shared" si="214"/>
        <v>0</v>
      </c>
      <c r="BF497" s="31">
        <f t="shared" si="215"/>
        <v>0</v>
      </c>
      <c r="BG497" s="255">
        <f t="shared" si="216"/>
        <v>0</v>
      </c>
      <c r="BH497" s="31">
        <f t="shared" si="217"/>
        <v>0</v>
      </c>
      <c r="BI497" s="255">
        <f t="shared" si="218"/>
        <v>0</v>
      </c>
      <c r="BJ497" s="31">
        <f t="shared" si="219"/>
        <v>0</v>
      </c>
      <c r="BK497" s="31">
        <f t="shared" si="220"/>
        <v>0</v>
      </c>
      <c r="BL497" s="255">
        <f t="shared" si="221"/>
        <v>0</v>
      </c>
      <c r="BM497" s="31">
        <f t="shared" si="222"/>
        <v>0</v>
      </c>
      <c r="BN497" s="255">
        <f t="shared" si="223"/>
        <v>0</v>
      </c>
    </row>
    <row r="498" spans="1:66" x14ac:dyDescent="0.25">
      <c r="A498" s="18" t="s">
        <v>1652</v>
      </c>
      <c r="B498" s="186" t="str">
        <f>VLOOKUP(A498,kurspris!$A$1:$B$877,2,FALSE)</f>
        <v>Matematik 1 för lärande och undervisning för förskoleklass och grundskolans årskurs 1-6</v>
      </c>
      <c r="C498" s="37"/>
      <c r="D498" t="s">
        <v>117</v>
      </c>
      <c r="E498"/>
      <c r="F498" s="59" t="s">
        <v>1930</v>
      </c>
      <c r="G498"/>
      <c r="H498"/>
      <c r="I498" t="s">
        <v>2066</v>
      </c>
      <c r="L498">
        <v>50</v>
      </c>
      <c r="M498">
        <v>15</v>
      </c>
      <c r="P498" s="31">
        <v>8</v>
      </c>
      <c r="Q498" s="232">
        <f t="shared" si="196"/>
        <v>2</v>
      </c>
      <c r="R498" s="40">
        <v>0.8</v>
      </c>
      <c r="S498" s="334">
        <f t="shared" si="197"/>
        <v>1.6</v>
      </c>
      <c r="T498" s="31">
        <f>VLOOKUP(A498,'Ansvar kurs'!$A$1:$C$1010,2,FALSE)</f>
        <v>5740</v>
      </c>
      <c r="U498" s="31" t="str">
        <f>VLOOKUP(T498,Orgenheter!$A$1:$C$165,2,FALSE)</f>
        <v>NMD</v>
      </c>
      <c r="V498" s="31" t="str">
        <f>VLOOKUP(T498,Orgenheter!$A$1:$C$165,3,FALSE)</f>
        <v>TekNat</v>
      </c>
      <c r="W498" s="37" t="str">
        <f>VLOOKUP(D498,Program!$A$1:$B$34,2,FALSE)</f>
        <v>Fristående och övriga kurser</v>
      </c>
      <c r="X498" s="42">
        <f>VLOOKUP(A498,kurspris!$A$1:$Q$798,15,FALSE)</f>
        <v>19473</v>
      </c>
      <c r="Y498" s="42">
        <f>VLOOKUP(A498,kurspris!$A$1:$Q$798,16,FALSE)</f>
        <v>34806</v>
      </c>
      <c r="Z498" s="42">
        <f t="shared" si="198"/>
        <v>94635.6</v>
      </c>
      <c r="AA498" s="42">
        <f>VLOOKUP(A498,kurspris!$A$1:$Q$798,17,FALSE)</f>
        <v>21800</v>
      </c>
      <c r="AB498" s="42">
        <f t="shared" si="199"/>
        <v>43600</v>
      </c>
      <c r="AC498" s="42">
        <f t="shared" si="200"/>
        <v>138235.6</v>
      </c>
      <c r="AD498" s="31">
        <f>VLOOKUP($A498,kurspris!$A$1:$Q$835,3,FALSE)</f>
        <v>0</v>
      </c>
      <c r="AE498" s="31">
        <f>VLOOKUP($A498,kurspris!$A$1:$Q$835,4,FALSE)</f>
        <v>0</v>
      </c>
      <c r="AF498" s="31">
        <f>VLOOKUP($A498,kurspris!$A$1:$Q$835,5,FALSE)</f>
        <v>0</v>
      </c>
      <c r="AG498" s="31">
        <f>VLOOKUP($A498,kurspris!$A$1:$Q$835,6,FALSE)</f>
        <v>0</v>
      </c>
      <c r="AH498" s="31">
        <f>VLOOKUP($A498,kurspris!$A$1:$Q$835,7,FALSE)</f>
        <v>0</v>
      </c>
      <c r="AI498" s="31">
        <f>VLOOKUP($A498,kurspris!$A$1:$Q$835,8,FALSE)</f>
        <v>1</v>
      </c>
      <c r="AJ498" s="31">
        <f>VLOOKUP($A498,kurspris!$A$1:$Q$835,9,FALSE)</f>
        <v>0</v>
      </c>
      <c r="AK498" s="31">
        <f>VLOOKUP($A498,kurspris!$A$1:$Q$835,10,FALSE)</f>
        <v>0</v>
      </c>
      <c r="AL498" s="31">
        <f>VLOOKUP($A498,kurspris!$A$1:$Q$835,11,FALSE)</f>
        <v>0</v>
      </c>
      <c r="AM498" s="31">
        <f>VLOOKUP($A498,kurspris!$A$1:$Q$835,12,FALSE)</f>
        <v>0</v>
      </c>
      <c r="AN498" s="31">
        <f>VLOOKUP($A498,kurspris!$A$1:$Q$835,13,FALSE)</f>
        <v>0</v>
      </c>
      <c r="AO498" s="31">
        <f>VLOOKUP($A498,kurspris!$A$1:$Q$835,14,FALSE)</f>
        <v>0</v>
      </c>
      <c r="AP498" s="39" t="s">
        <v>2204</v>
      </c>
      <c r="AQ498" s="39" t="s">
        <v>2095</v>
      </c>
      <c r="AR498" s="31">
        <f t="shared" si="201"/>
        <v>0</v>
      </c>
      <c r="AS498" s="255">
        <f t="shared" si="202"/>
        <v>0</v>
      </c>
      <c r="AT498" s="31">
        <f t="shared" si="203"/>
        <v>0</v>
      </c>
      <c r="AU498" s="255">
        <f t="shared" si="204"/>
        <v>0</v>
      </c>
      <c r="AV498" s="31">
        <f t="shared" si="205"/>
        <v>0</v>
      </c>
      <c r="AW498" s="31">
        <f t="shared" si="206"/>
        <v>0</v>
      </c>
      <c r="AX498" s="31">
        <f t="shared" si="207"/>
        <v>0</v>
      </c>
      <c r="AY498" s="255">
        <f t="shared" si="208"/>
        <v>0</v>
      </c>
      <c r="AZ498" s="232">
        <f t="shared" si="209"/>
        <v>0</v>
      </c>
      <c r="BA498" s="255">
        <f t="shared" si="210"/>
        <v>0</v>
      </c>
      <c r="BB498" s="31">
        <f t="shared" si="211"/>
        <v>2</v>
      </c>
      <c r="BC498" s="255">
        <f t="shared" si="212"/>
        <v>1.6</v>
      </c>
      <c r="BD498" s="31">
        <f t="shared" si="213"/>
        <v>0</v>
      </c>
      <c r="BE498" s="255">
        <f t="shared" si="214"/>
        <v>0</v>
      </c>
      <c r="BF498" s="31">
        <f t="shared" si="215"/>
        <v>0</v>
      </c>
      <c r="BG498" s="255">
        <f t="shared" si="216"/>
        <v>0</v>
      </c>
      <c r="BH498" s="31">
        <f t="shared" si="217"/>
        <v>0</v>
      </c>
      <c r="BI498" s="255">
        <f t="shared" si="218"/>
        <v>0</v>
      </c>
      <c r="BJ498" s="31">
        <f t="shared" si="219"/>
        <v>0</v>
      </c>
      <c r="BK498" s="31">
        <f t="shared" si="220"/>
        <v>0</v>
      </c>
      <c r="BL498" s="255">
        <f t="shared" si="221"/>
        <v>0</v>
      </c>
      <c r="BM498" s="31">
        <f t="shared" si="222"/>
        <v>0</v>
      </c>
      <c r="BN498" s="255">
        <f t="shared" si="223"/>
        <v>0</v>
      </c>
    </row>
    <row r="499" spans="1:66" x14ac:dyDescent="0.25">
      <c r="A499" s="59" t="s">
        <v>1953</v>
      </c>
      <c r="B499" s="186" t="str">
        <f>VLOOKUP(A499,kurspris!$A$1:$B$877,2,FALSE)</f>
        <v>Matematikdidaktik 1 för grundskolans åk 7-9 och gymnasiet</v>
      </c>
      <c r="C499" s="37"/>
      <c r="D499" t="s">
        <v>117</v>
      </c>
      <c r="E499"/>
      <c r="F499" s="59" t="s">
        <v>1930</v>
      </c>
      <c r="G499"/>
      <c r="H499"/>
      <c r="I499" t="s">
        <v>1634</v>
      </c>
      <c r="L499">
        <v>100</v>
      </c>
      <c r="M499">
        <v>7.5</v>
      </c>
      <c r="P499" s="31">
        <v>4</v>
      </c>
      <c r="Q499" s="232">
        <f t="shared" si="196"/>
        <v>0.5</v>
      </c>
      <c r="R499" s="40">
        <v>0.8</v>
      </c>
      <c r="S499" s="334">
        <f t="shared" si="197"/>
        <v>0.4</v>
      </c>
      <c r="T499" s="31">
        <f>VLOOKUP(A499,'Ansvar kurs'!$A$1:$C$1010,2,FALSE)</f>
        <v>5740</v>
      </c>
      <c r="U499" s="31" t="str">
        <f>VLOOKUP(T499,Orgenheter!$A$1:$C$165,2,FALSE)</f>
        <v>NMD</v>
      </c>
      <c r="V499" s="31" t="str">
        <f>VLOOKUP(T499,Orgenheter!$A$1:$C$165,3,FALSE)</f>
        <v>TekNat</v>
      </c>
      <c r="W499" s="37" t="str">
        <f>VLOOKUP(D499,Program!$A$1:$B$34,2,FALSE)</f>
        <v>Fristående och övriga kurser</v>
      </c>
      <c r="X499" s="42">
        <f>VLOOKUP(A499,kurspris!$A$1:$Q$798,15,FALSE)</f>
        <v>19473</v>
      </c>
      <c r="Y499" s="42">
        <f>VLOOKUP(A499,kurspris!$A$1:$Q$798,16,FALSE)</f>
        <v>34806</v>
      </c>
      <c r="Z499" s="42">
        <f t="shared" si="198"/>
        <v>23658.9</v>
      </c>
      <c r="AA499" s="42">
        <f>VLOOKUP(A499,kurspris!$A$1:$Q$798,17,FALSE)</f>
        <v>21800</v>
      </c>
      <c r="AB499" s="42">
        <f t="shared" si="199"/>
        <v>10900</v>
      </c>
      <c r="AC499" s="42">
        <f t="shared" si="200"/>
        <v>34558.9</v>
      </c>
      <c r="AD499" s="31">
        <f>VLOOKUP($A499,kurspris!$A$1:$Q$835,3,FALSE)</f>
        <v>0</v>
      </c>
      <c r="AE499" s="31">
        <f>VLOOKUP($A499,kurspris!$A$1:$Q$835,4,FALSE)</f>
        <v>0</v>
      </c>
      <c r="AF499" s="31">
        <f>VLOOKUP($A499,kurspris!$A$1:$Q$835,5,FALSE)</f>
        <v>0</v>
      </c>
      <c r="AG499" s="31">
        <f>VLOOKUP($A499,kurspris!$A$1:$Q$835,6,FALSE)</f>
        <v>0</v>
      </c>
      <c r="AH499" s="31">
        <f>VLOOKUP($A499,kurspris!$A$1:$Q$835,7,FALSE)</f>
        <v>0</v>
      </c>
      <c r="AI499" s="31">
        <f>VLOOKUP($A499,kurspris!$A$1:$Q$835,8,FALSE)</f>
        <v>1</v>
      </c>
      <c r="AJ499" s="31">
        <f>VLOOKUP($A499,kurspris!$A$1:$Q$835,9,FALSE)</f>
        <v>0</v>
      </c>
      <c r="AK499" s="31">
        <f>VLOOKUP($A499,kurspris!$A$1:$Q$835,10,FALSE)</f>
        <v>0</v>
      </c>
      <c r="AL499" s="31">
        <f>VLOOKUP($A499,kurspris!$A$1:$Q$835,11,FALSE)</f>
        <v>0</v>
      </c>
      <c r="AM499" s="31">
        <f>VLOOKUP($A499,kurspris!$A$1:$Q$835,12,FALSE)</f>
        <v>0</v>
      </c>
      <c r="AN499" s="31">
        <f>VLOOKUP($A499,kurspris!$A$1:$Q$835,13,FALSE)</f>
        <v>0</v>
      </c>
      <c r="AO499" s="31">
        <f>VLOOKUP($A499,kurspris!$A$1:$Q$835,14,FALSE)</f>
        <v>0</v>
      </c>
      <c r="AP499" s="39" t="s">
        <v>2232</v>
      </c>
      <c r="AQ499" s="39" t="s">
        <v>2107</v>
      </c>
      <c r="AR499" s="31">
        <f t="shared" si="201"/>
        <v>0</v>
      </c>
      <c r="AS499" s="255">
        <f t="shared" si="202"/>
        <v>0</v>
      </c>
      <c r="AT499" s="31">
        <f t="shared" si="203"/>
        <v>0</v>
      </c>
      <c r="AU499" s="255">
        <f t="shared" si="204"/>
        <v>0</v>
      </c>
      <c r="AV499" s="31">
        <f t="shared" si="205"/>
        <v>0</v>
      </c>
      <c r="AW499" s="31">
        <f t="shared" si="206"/>
        <v>0</v>
      </c>
      <c r="AX499" s="31">
        <f t="shared" si="207"/>
        <v>0</v>
      </c>
      <c r="AY499" s="255">
        <f t="shared" si="208"/>
        <v>0</v>
      </c>
      <c r="AZ499" s="232">
        <f t="shared" si="209"/>
        <v>0</v>
      </c>
      <c r="BA499" s="255">
        <f t="shared" si="210"/>
        <v>0</v>
      </c>
      <c r="BB499" s="31">
        <f t="shared" si="211"/>
        <v>0.5</v>
      </c>
      <c r="BC499" s="255">
        <f t="shared" si="212"/>
        <v>0.4</v>
      </c>
      <c r="BD499" s="31">
        <f t="shared" si="213"/>
        <v>0</v>
      </c>
      <c r="BE499" s="255">
        <f t="shared" si="214"/>
        <v>0</v>
      </c>
      <c r="BF499" s="31">
        <f t="shared" si="215"/>
        <v>0</v>
      </c>
      <c r="BG499" s="255">
        <f t="shared" si="216"/>
        <v>0</v>
      </c>
      <c r="BH499" s="31">
        <f t="shared" si="217"/>
        <v>0</v>
      </c>
      <c r="BI499" s="255">
        <f t="shared" si="218"/>
        <v>0</v>
      </c>
      <c r="BJ499" s="31">
        <f t="shared" si="219"/>
        <v>0</v>
      </c>
      <c r="BK499" s="31">
        <f t="shared" si="220"/>
        <v>0</v>
      </c>
      <c r="BL499" s="255">
        <f t="shared" si="221"/>
        <v>0</v>
      </c>
      <c r="BM499" s="31">
        <f t="shared" si="222"/>
        <v>0</v>
      </c>
      <c r="BN499" s="255">
        <f t="shared" si="223"/>
        <v>0</v>
      </c>
    </row>
    <row r="500" spans="1:66" x14ac:dyDescent="0.25">
      <c r="A500" t="s">
        <v>1953</v>
      </c>
      <c r="B500" s="186" t="str">
        <f>VLOOKUP(A500,kurspris!$A$1:$B$877,2,FALSE)</f>
        <v>Matematikdidaktik 1 för grundskolans åk 7-9 och gymnasiet</v>
      </c>
      <c r="C500"/>
      <c r="D500" t="s">
        <v>483</v>
      </c>
      <c r="E500" t="s">
        <v>1973</v>
      </c>
      <c r="F500" s="59" t="s">
        <v>1930</v>
      </c>
      <c r="G500" t="s">
        <v>2016</v>
      </c>
      <c r="H500" t="s">
        <v>1910</v>
      </c>
      <c r="I500"/>
      <c r="J500" t="s">
        <v>773</v>
      </c>
      <c r="K500"/>
      <c r="L500">
        <v>100</v>
      </c>
      <c r="M500">
        <v>7.5</v>
      </c>
      <c r="N500"/>
      <c r="O500"/>
      <c r="P500" s="31">
        <v>2</v>
      </c>
      <c r="Q500" s="232">
        <f t="shared" si="196"/>
        <v>0.25</v>
      </c>
      <c r="R500" s="40">
        <v>0.85</v>
      </c>
      <c r="S500" s="334">
        <f t="shared" si="197"/>
        <v>0.21249999999999999</v>
      </c>
      <c r="T500" s="31">
        <f>VLOOKUP(A500,'Ansvar kurs'!$A$1:$C$1010,2,FALSE)</f>
        <v>5740</v>
      </c>
      <c r="U500" s="31" t="str">
        <f>VLOOKUP(T500,Orgenheter!$A$1:$C$165,2,FALSE)</f>
        <v>NMD</v>
      </c>
      <c r="V500" s="31" t="str">
        <f>VLOOKUP(T500,Orgenheter!$A$1:$C$165,3,FALSE)</f>
        <v>TekNat</v>
      </c>
      <c r="W500" s="37" t="str">
        <f>VLOOKUP(D500,Program!$A$1:$B$34,2,FALSE)</f>
        <v>Ämneslärarprogrammet - Gy</v>
      </c>
      <c r="X500" s="42">
        <f>VLOOKUP(A500,kurspris!$A$1:$Q$798,15,FALSE)</f>
        <v>19473</v>
      </c>
      <c r="Y500" s="42">
        <f>VLOOKUP(A500,kurspris!$A$1:$Q$798,16,FALSE)</f>
        <v>34806</v>
      </c>
      <c r="Z500" s="42">
        <f t="shared" si="198"/>
        <v>12264.525</v>
      </c>
      <c r="AA500" s="42">
        <f>VLOOKUP(A500,kurspris!$A$1:$Q$798,17,FALSE)</f>
        <v>21800</v>
      </c>
      <c r="AB500" s="42">
        <f t="shared" si="199"/>
        <v>5450</v>
      </c>
      <c r="AC500" s="42">
        <f t="shared" si="200"/>
        <v>17714.525000000001</v>
      </c>
      <c r="AD500" s="31">
        <f>VLOOKUP($A500,kurspris!$A$1:$Q$835,3,FALSE)</f>
        <v>0</v>
      </c>
      <c r="AE500" s="31">
        <f>VLOOKUP($A500,kurspris!$A$1:$Q$835,4,FALSE)</f>
        <v>0</v>
      </c>
      <c r="AF500" s="31">
        <f>VLOOKUP($A500,kurspris!$A$1:$Q$835,5,FALSE)</f>
        <v>0</v>
      </c>
      <c r="AG500" s="31">
        <f>VLOOKUP($A500,kurspris!$A$1:$Q$835,6,FALSE)</f>
        <v>0</v>
      </c>
      <c r="AH500" s="31">
        <f>VLOOKUP($A500,kurspris!$A$1:$Q$835,7,FALSE)</f>
        <v>0</v>
      </c>
      <c r="AI500" s="31">
        <f>VLOOKUP($A500,kurspris!$A$1:$Q$835,8,FALSE)</f>
        <v>1</v>
      </c>
      <c r="AJ500" s="31">
        <f>VLOOKUP($A500,kurspris!$A$1:$Q$835,9,FALSE)</f>
        <v>0</v>
      </c>
      <c r="AK500" s="31">
        <f>VLOOKUP($A500,kurspris!$A$1:$Q$835,10,FALSE)</f>
        <v>0</v>
      </c>
      <c r="AL500" s="31">
        <f>VLOOKUP($A500,kurspris!$A$1:$Q$835,11,FALSE)</f>
        <v>0</v>
      </c>
      <c r="AM500" s="31">
        <f>VLOOKUP($A500,kurspris!$A$1:$Q$835,12,FALSE)</f>
        <v>0</v>
      </c>
      <c r="AN500" s="31">
        <f>VLOOKUP($A500,kurspris!$A$1:$Q$835,13,FALSE)</f>
        <v>0</v>
      </c>
      <c r="AO500" s="31">
        <f>VLOOKUP($A500,kurspris!$A$1:$Q$835,14,FALSE)</f>
        <v>0</v>
      </c>
      <c r="AP500" s="39" t="s">
        <v>2235</v>
      </c>
      <c r="AQ500"/>
      <c r="AR500" s="31">
        <f t="shared" si="201"/>
        <v>0</v>
      </c>
      <c r="AS500" s="255">
        <f t="shared" si="202"/>
        <v>0</v>
      </c>
      <c r="AT500" s="31">
        <f t="shared" si="203"/>
        <v>0</v>
      </c>
      <c r="AU500" s="255">
        <f t="shared" si="204"/>
        <v>0</v>
      </c>
      <c r="AV500" s="31">
        <f t="shared" si="205"/>
        <v>0</v>
      </c>
      <c r="AW500" s="31">
        <f t="shared" si="206"/>
        <v>0</v>
      </c>
      <c r="AX500" s="31">
        <f t="shared" si="207"/>
        <v>0</v>
      </c>
      <c r="AY500" s="255">
        <f t="shared" si="208"/>
        <v>0</v>
      </c>
      <c r="AZ500" s="232">
        <f t="shared" si="209"/>
        <v>0</v>
      </c>
      <c r="BA500" s="255">
        <f t="shared" si="210"/>
        <v>0</v>
      </c>
      <c r="BB500" s="31">
        <f t="shared" si="211"/>
        <v>0.25</v>
      </c>
      <c r="BC500" s="255">
        <f t="shared" si="212"/>
        <v>0.21249999999999999</v>
      </c>
      <c r="BD500" s="31">
        <f t="shared" si="213"/>
        <v>0</v>
      </c>
      <c r="BE500" s="255">
        <f t="shared" si="214"/>
        <v>0</v>
      </c>
      <c r="BF500" s="31">
        <f t="shared" si="215"/>
        <v>0</v>
      </c>
      <c r="BG500" s="255">
        <f t="shared" si="216"/>
        <v>0</v>
      </c>
      <c r="BH500" s="31">
        <f t="shared" si="217"/>
        <v>0</v>
      </c>
      <c r="BI500" s="255">
        <f t="shared" si="218"/>
        <v>0</v>
      </c>
      <c r="BJ500" s="31">
        <f t="shared" si="219"/>
        <v>0</v>
      </c>
      <c r="BK500" s="31">
        <f t="shared" si="220"/>
        <v>0</v>
      </c>
      <c r="BL500" s="255">
        <f t="shared" si="221"/>
        <v>0</v>
      </c>
      <c r="BM500" s="31">
        <f t="shared" si="222"/>
        <v>0</v>
      </c>
      <c r="BN500" s="255">
        <f t="shared" si="223"/>
        <v>0</v>
      </c>
    </row>
    <row r="501" spans="1:66" x14ac:dyDescent="0.25">
      <c r="A501" t="s">
        <v>1953</v>
      </c>
      <c r="B501" s="186" t="str">
        <f>VLOOKUP(A501,kurspris!$A$1:$B$877,2,FALSE)</f>
        <v>Matematikdidaktik 1 för grundskolans åk 7-9 och gymnasiet</v>
      </c>
      <c r="C501"/>
      <c r="D501" t="s">
        <v>483</v>
      </c>
      <c r="E501" t="s">
        <v>1788</v>
      </c>
      <c r="F501" s="59" t="s">
        <v>1930</v>
      </c>
      <c r="G501" t="s">
        <v>2016</v>
      </c>
      <c r="H501" t="s">
        <v>1910</v>
      </c>
      <c r="I501"/>
      <c r="J501" t="s">
        <v>774</v>
      </c>
      <c r="K501"/>
      <c r="L501">
        <v>100</v>
      </c>
      <c r="M501">
        <v>7.5</v>
      </c>
      <c r="N501"/>
      <c r="O501"/>
      <c r="P501" s="31">
        <v>9</v>
      </c>
      <c r="Q501" s="232">
        <f t="shared" si="196"/>
        <v>1.125</v>
      </c>
      <c r="R501" s="40">
        <v>0.85</v>
      </c>
      <c r="S501" s="334">
        <f t="shared" si="197"/>
        <v>0.95624999999999993</v>
      </c>
      <c r="T501" s="31">
        <f>VLOOKUP(A501,'Ansvar kurs'!$A$1:$C$1010,2,FALSE)</f>
        <v>5740</v>
      </c>
      <c r="U501" s="31" t="str">
        <f>VLOOKUP(T501,Orgenheter!$A$1:$C$165,2,FALSE)</f>
        <v>NMD</v>
      </c>
      <c r="V501" s="31" t="str">
        <f>VLOOKUP(T501,Orgenheter!$A$1:$C$165,3,FALSE)</f>
        <v>TekNat</v>
      </c>
      <c r="W501" s="37" t="str">
        <f>VLOOKUP(D501,Program!$A$1:$B$34,2,FALSE)</f>
        <v>Ämneslärarprogrammet - Gy</v>
      </c>
      <c r="X501" s="42">
        <f>VLOOKUP(A501,kurspris!$A$1:$Q$798,15,FALSE)</f>
        <v>19473</v>
      </c>
      <c r="Y501" s="42">
        <f>VLOOKUP(A501,kurspris!$A$1:$Q$798,16,FALSE)</f>
        <v>34806</v>
      </c>
      <c r="Z501" s="42">
        <f t="shared" si="198"/>
        <v>55190.362499999996</v>
      </c>
      <c r="AA501" s="42">
        <f>VLOOKUP(A501,kurspris!$A$1:$Q$798,17,FALSE)</f>
        <v>21800</v>
      </c>
      <c r="AB501" s="42">
        <f t="shared" si="199"/>
        <v>24525</v>
      </c>
      <c r="AC501" s="42">
        <f t="shared" si="200"/>
        <v>79715.362499999988</v>
      </c>
      <c r="AD501" s="31">
        <f>VLOOKUP($A501,kurspris!$A$1:$Q$835,3,FALSE)</f>
        <v>0</v>
      </c>
      <c r="AE501" s="31">
        <f>VLOOKUP($A501,kurspris!$A$1:$Q$835,4,FALSE)</f>
        <v>0</v>
      </c>
      <c r="AF501" s="31">
        <f>VLOOKUP($A501,kurspris!$A$1:$Q$835,5,FALSE)</f>
        <v>0</v>
      </c>
      <c r="AG501" s="31">
        <f>VLOOKUP($A501,kurspris!$A$1:$Q$835,6,FALSE)</f>
        <v>0</v>
      </c>
      <c r="AH501" s="31">
        <f>VLOOKUP($A501,kurspris!$A$1:$Q$835,7,FALSE)</f>
        <v>0</v>
      </c>
      <c r="AI501" s="31">
        <f>VLOOKUP($A501,kurspris!$A$1:$Q$835,8,FALSE)</f>
        <v>1</v>
      </c>
      <c r="AJ501" s="31">
        <f>VLOOKUP($A501,kurspris!$A$1:$Q$835,9,FALSE)</f>
        <v>0</v>
      </c>
      <c r="AK501" s="31">
        <f>VLOOKUP($A501,kurspris!$A$1:$Q$835,10,FALSE)</f>
        <v>0</v>
      </c>
      <c r="AL501" s="31">
        <f>VLOOKUP($A501,kurspris!$A$1:$Q$835,11,FALSE)</f>
        <v>0</v>
      </c>
      <c r="AM501" s="31">
        <f>VLOOKUP($A501,kurspris!$A$1:$Q$835,12,FALSE)</f>
        <v>0</v>
      </c>
      <c r="AN501" s="31">
        <f>VLOOKUP($A501,kurspris!$A$1:$Q$835,13,FALSE)</f>
        <v>0</v>
      </c>
      <c r="AO501" s="31">
        <f>VLOOKUP($A501,kurspris!$A$1:$Q$835,14,FALSE)</f>
        <v>0</v>
      </c>
      <c r="AP501" s="39" t="s">
        <v>2235</v>
      </c>
      <c r="AQ501"/>
      <c r="AR501" s="31">
        <f t="shared" si="201"/>
        <v>0</v>
      </c>
      <c r="AS501" s="255">
        <f t="shared" si="202"/>
        <v>0</v>
      </c>
      <c r="AT501" s="31">
        <f t="shared" si="203"/>
        <v>0</v>
      </c>
      <c r="AU501" s="255">
        <f t="shared" si="204"/>
        <v>0</v>
      </c>
      <c r="AV501" s="31">
        <f t="shared" si="205"/>
        <v>0</v>
      </c>
      <c r="AW501" s="31">
        <f t="shared" si="206"/>
        <v>0</v>
      </c>
      <c r="AX501" s="31">
        <f t="shared" si="207"/>
        <v>0</v>
      </c>
      <c r="AY501" s="255">
        <f t="shared" si="208"/>
        <v>0</v>
      </c>
      <c r="AZ501" s="232">
        <f t="shared" si="209"/>
        <v>0</v>
      </c>
      <c r="BA501" s="255">
        <f t="shared" si="210"/>
        <v>0</v>
      </c>
      <c r="BB501" s="31">
        <f t="shared" si="211"/>
        <v>1.125</v>
      </c>
      <c r="BC501" s="255">
        <f t="shared" si="212"/>
        <v>0.95624999999999993</v>
      </c>
      <c r="BD501" s="31">
        <f t="shared" si="213"/>
        <v>0</v>
      </c>
      <c r="BE501" s="255">
        <f t="shared" si="214"/>
        <v>0</v>
      </c>
      <c r="BF501" s="31">
        <f t="shared" si="215"/>
        <v>0</v>
      </c>
      <c r="BG501" s="255">
        <f t="shared" si="216"/>
        <v>0</v>
      </c>
      <c r="BH501" s="31">
        <f t="shared" si="217"/>
        <v>0</v>
      </c>
      <c r="BI501" s="255">
        <f t="shared" si="218"/>
        <v>0</v>
      </c>
      <c r="BJ501" s="31">
        <f t="shared" si="219"/>
        <v>0</v>
      </c>
      <c r="BK501" s="31">
        <f t="shared" si="220"/>
        <v>0</v>
      </c>
      <c r="BL501" s="255">
        <f t="shared" si="221"/>
        <v>0</v>
      </c>
      <c r="BM501" s="31">
        <f t="shared" si="222"/>
        <v>0</v>
      </c>
      <c r="BN501" s="255">
        <f t="shared" si="223"/>
        <v>0</v>
      </c>
    </row>
    <row r="502" spans="1:66" x14ac:dyDescent="0.25">
      <c r="A502" s="59" t="s">
        <v>1962</v>
      </c>
      <c r="B502" s="186" t="str">
        <f>VLOOKUP(A502,kurspris!$A$1:$B$877,2,FALSE)</f>
        <v>Matematikdidaktik 2 för grundskolans åk 7-9 och gymnasiet</v>
      </c>
      <c r="C502" s="37"/>
      <c r="D502" t="s">
        <v>117</v>
      </c>
      <c r="E502"/>
      <c r="F502" s="59" t="s">
        <v>1931</v>
      </c>
      <c r="H502"/>
      <c r="I502" t="s">
        <v>1634</v>
      </c>
      <c r="J502" s="59"/>
      <c r="L502" s="31">
        <v>100</v>
      </c>
      <c r="M502" s="378">
        <v>7.5</v>
      </c>
      <c r="N502" s="40"/>
      <c r="P502" s="449">
        <v>5</v>
      </c>
      <c r="Q502" s="232">
        <f t="shared" si="196"/>
        <v>0.625</v>
      </c>
      <c r="R502" s="40">
        <v>0.8</v>
      </c>
      <c r="S502" s="334">
        <f t="shared" si="197"/>
        <v>0.5</v>
      </c>
      <c r="T502" s="31">
        <f>VLOOKUP(A502,'Ansvar kurs'!$A$1:$C$1010,2,FALSE)</f>
        <v>5740</v>
      </c>
      <c r="U502" s="31" t="str">
        <f>VLOOKUP(T502,Orgenheter!$A$1:$C$165,2,FALSE)</f>
        <v>NMD</v>
      </c>
      <c r="V502" s="31" t="str">
        <f>VLOOKUP(T502,Orgenheter!$A$1:$C$165,3,FALSE)</f>
        <v>TekNat</v>
      </c>
      <c r="W502" s="37" t="str">
        <f>VLOOKUP(D502,Program!$A$1:$B$34,2,FALSE)</f>
        <v>Fristående och övriga kurser</v>
      </c>
      <c r="X502" s="42">
        <f>VLOOKUP(A502,kurspris!$A$1:$Q$798,15,FALSE)</f>
        <v>19473</v>
      </c>
      <c r="Y502" s="42">
        <f>VLOOKUP(A502,kurspris!$A$1:$Q$798,16,FALSE)</f>
        <v>34806</v>
      </c>
      <c r="Z502" s="42">
        <f t="shared" si="198"/>
        <v>29573.625</v>
      </c>
      <c r="AA502" s="42">
        <f>VLOOKUP(A502,kurspris!$A$1:$Q$798,17,FALSE)</f>
        <v>21800</v>
      </c>
      <c r="AB502" s="42">
        <f t="shared" si="199"/>
        <v>13625</v>
      </c>
      <c r="AC502" s="42">
        <f t="shared" si="200"/>
        <v>43198.625</v>
      </c>
      <c r="AD502" s="31">
        <f>VLOOKUP($A502,kurspris!$A$1:$Q$835,3,FALSE)</f>
        <v>0</v>
      </c>
      <c r="AE502" s="31">
        <f>VLOOKUP($A502,kurspris!$A$1:$Q$835,4,FALSE)</f>
        <v>0</v>
      </c>
      <c r="AF502" s="31">
        <f>VLOOKUP($A502,kurspris!$A$1:$Q$835,5,FALSE)</f>
        <v>0</v>
      </c>
      <c r="AG502" s="31">
        <f>VLOOKUP($A502,kurspris!$A$1:$Q$835,6,FALSE)</f>
        <v>0</v>
      </c>
      <c r="AH502" s="31">
        <f>VLOOKUP($A502,kurspris!$A$1:$Q$835,7,FALSE)</f>
        <v>0</v>
      </c>
      <c r="AI502" s="31">
        <f>VLOOKUP($A502,kurspris!$A$1:$Q$835,8,FALSE)</f>
        <v>1</v>
      </c>
      <c r="AJ502" s="31">
        <f>VLOOKUP($A502,kurspris!$A$1:$Q$835,9,FALSE)</f>
        <v>0</v>
      </c>
      <c r="AK502" s="31">
        <f>VLOOKUP($A502,kurspris!$A$1:$Q$835,10,FALSE)</f>
        <v>0</v>
      </c>
      <c r="AL502" s="31">
        <f>VLOOKUP($A502,kurspris!$A$1:$Q$835,11,FALSE)</f>
        <v>0</v>
      </c>
      <c r="AM502" s="31">
        <f>VLOOKUP($A502,kurspris!$A$1:$Q$835,12,FALSE)</f>
        <v>0</v>
      </c>
      <c r="AN502" s="31">
        <f>VLOOKUP($A502,kurspris!$A$1:$Q$835,13,FALSE)</f>
        <v>0</v>
      </c>
      <c r="AO502" s="31">
        <f>VLOOKUP($A502,kurspris!$A$1:$Q$835,14,FALSE)</f>
        <v>0</v>
      </c>
      <c r="AP502" s="59" t="s">
        <v>2108</v>
      </c>
      <c r="AQ502" s="39" t="s">
        <v>2107</v>
      </c>
      <c r="AR502" s="31">
        <f t="shared" si="201"/>
        <v>0</v>
      </c>
      <c r="AS502" s="255">
        <f t="shared" si="202"/>
        <v>0</v>
      </c>
      <c r="AT502" s="31">
        <f t="shared" si="203"/>
        <v>0</v>
      </c>
      <c r="AU502" s="255">
        <f t="shared" si="204"/>
        <v>0</v>
      </c>
      <c r="AV502" s="31">
        <f t="shared" si="205"/>
        <v>0</v>
      </c>
      <c r="AW502" s="31">
        <f t="shared" si="206"/>
        <v>0</v>
      </c>
      <c r="AX502" s="31">
        <f t="shared" si="207"/>
        <v>0</v>
      </c>
      <c r="AY502" s="255">
        <f t="shared" si="208"/>
        <v>0</v>
      </c>
      <c r="AZ502" s="232">
        <f t="shared" si="209"/>
        <v>0</v>
      </c>
      <c r="BA502" s="255">
        <f t="shared" si="210"/>
        <v>0</v>
      </c>
      <c r="BB502" s="31">
        <f t="shared" si="211"/>
        <v>0.625</v>
      </c>
      <c r="BC502" s="255">
        <f t="shared" si="212"/>
        <v>0.5</v>
      </c>
      <c r="BD502" s="31">
        <f t="shared" si="213"/>
        <v>0</v>
      </c>
      <c r="BE502" s="255">
        <f t="shared" si="214"/>
        <v>0</v>
      </c>
      <c r="BF502" s="31">
        <f t="shared" si="215"/>
        <v>0</v>
      </c>
      <c r="BG502" s="255">
        <f t="shared" si="216"/>
        <v>0</v>
      </c>
      <c r="BH502" s="31">
        <f t="shared" si="217"/>
        <v>0</v>
      </c>
      <c r="BI502" s="255">
        <f t="shared" si="218"/>
        <v>0</v>
      </c>
      <c r="BJ502" s="31">
        <f t="shared" si="219"/>
        <v>0</v>
      </c>
      <c r="BK502" s="31">
        <f t="shared" si="220"/>
        <v>0</v>
      </c>
      <c r="BL502" s="255">
        <f t="shared" si="221"/>
        <v>0</v>
      </c>
      <c r="BM502" s="31">
        <f t="shared" si="222"/>
        <v>0</v>
      </c>
      <c r="BN502" s="255">
        <f t="shared" si="223"/>
        <v>0</v>
      </c>
    </row>
    <row r="503" spans="1:66" x14ac:dyDescent="0.25">
      <c r="A503" s="18" t="s">
        <v>1962</v>
      </c>
      <c r="B503" s="186" t="str">
        <f>VLOOKUP(A503,kurspris!$A$1:$B$877,2,FALSE)</f>
        <v>Matematikdidaktik 2 för grundskolans åk 7-9 och gymnasiet</v>
      </c>
      <c r="C503" s="37"/>
      <c r="D503" s="31" t="s">
        <v>483</v>
      </c>
      <c r="E503" s="31" t="s">
        <v>1973</v>
      </c>
      <c r="F503" s="59" t="s">
        <v>1931</v>
      </c>
      <c r="G503" s="31" t="s">
        <v>2277</v>
      </c>
      <c r="J503" t="s">
        <v>773</v>
      </c>
      <c r="L503" s="31">
        <v>100</v>
      </c>
      <c r="M503" s="31">
        <v>7.5</v>
      </c>
      <c r="P503" s="31">
        <v>2</v>
      </c>
      <c r="Q503" s="232">
        <f t="shared" si="196"/>
        <v>0.25</v>
      </c>
      <c r="R503" s="40">
        <v>0.85</v>
      </c>
      <c r="S503" s="334">
        <f t="shared" si="197"/>
        <v>0.21249999999999999</v>
      </c>
      <c r="T503" s="31">
        <f>VLOOKUP(A503,'Ansvar kurs'!$A$1:$C$1010,2,FALSE)</f>
        <v>5740</v>
      </c>
      <c r="U503" s="31" t="str">
        <f>VLOOKUP(T503,Orgenheter!$A$1:$C$165,2,FALSE)</f>
        <v>NMD</v>
      </c>
      <c r="V503" s="31" t="str">
        <f>VLOOKUP(T503,Orgenheter!$A$1:$C$165,3,FALSE)</f>
        <v>TekNat</v>
      </c>
      <c r="W503" s="37" t="str">
        <f>VLOOKUP(D503,Program!$A$1:$B$34,2,FALSE)</f>
        <v>Ämneslärarprogrammet - Gy</v>
      </c>
      <c r="X503" s="42">
        <f>VLOOKUP(A503,kurspris!$A$1:$Q$798,15,FALSE)</f>
        <v>19473</v>
      </c>
      <c r="Y503" s="42">
        <f>VLOOKUP(A503,kurspris!$A$1:$Q$798,16,FALSE)</f>
        <v>34806</v>
      </c>
      <c r="Z503" s="42">
        <f t="shared" si="198"/>
        <v>12264.525</v>
      </c>
      <c r="AA503" s="42">
        <f>VLOOKUP(A503,kurspris!$A$1:$Q$798,17,FALSE)</f>
        <v>21800</v>
      </c>
      <c r="AB503" s="42">
        <f t="shared" si="199"/>
        <v>5450</v>
      </c>
      <c r="AC503" s="42">
        <f t="shared" si="200"/>
        <v>17714.525000000001</v>
      </c>
      <c r="AD503" s="31">
        <f>VLOOKUP($A503,kurspris!$A$1:$Q$835,3,FALSE)</f>
        <v>0</v>
      </c>
      <c r="AE503" s="31">
        <f>VLOOKUP($A503,kurspris!$A$1:$Q$835,4,FALSE)</f>
        <v>0</v>
      </c>
      <c r="AF503" s="31">
        <f>VLOOKUP($A503,kurspris!$A$1:$Q$835,5,FALSE)</f>
        <v>0</v>
      </c>
      <c r="AG503" s="31">
        <f>VLOOKUP($A503,kurspris!$A$1:$Q$835,6,FALSE)</f>
        <v>0</v>
      </c>
      <c r="AH503" s="31">
        <f>VLOOKUP($A503,kurspris!$A$1:$Q$835,7,FALSE)</f>
        <v>0</v>
      </c>
      <c r="AI503" s="31">
        <f>VLOOKUP($A503,kurspris!$A$1:$Q$835,8,FALSE)</f>
        <v>1</v>
      </c>
      <c r="AJ503" s="31">
        <f>VLOOKUP($A503,kurspris!$A$1:$Q$835,9,FALSE)</f>
        <v>0</v>
      </c>
      <c r="AK503" s="31">
        <f>VLOOKUP($A503,kurspris!$A$1:$Q$835,10,FALSE)</f>
        <v>0</v>
      </c>
      <c r="AL503" s="31">
        <f>VLOOKUP($A503,kurspris!$A$1:$Q$835,11,FALSE)</f>
        <v>0</v>
      </c>
      <c r="AM503" s="31">
        <f>VLOOKUP($A503,kurspris!$A$1:$Q$835,12,FALSE)</f>
        <v>0</v>
      </c>
      <c r="AN503" s="31">
        <f>VLOOKUP($A503,kurspris!$A$1:$Q$835,13,FALSE)</f>
        <v>0</v>
      </c>
      <c r="AO503" s="31">
        <f>VLOOKUP($A503,kurspris!$A$1:$Q$835,14,FALSE)</f>
        <v>0</v>
      </c>
      <c r="AP503" s="39" t="s">
        <v>2326</v>
      </c>
      <c r="AQ503"/>
      <c r="AR503" s="31">
        <f t="shared" si="201"/>
        <v>0</v>
      </c>
      <c r="AS503" s="255">
        <f t="shared" si="202"/>
        <v>0</v>
      </c>
      <c r="AT503" s="31">
        <f t="shared" si="203"/>
        <v>0</v>
      </c>
      <c r="AU503" s="255">
        <f t="shared" si="204"/>
        <v>0</v>
      </c>
      <c r="AV503" s="31">
        <f t="shared" si="205"/>
        <v>0</v>
      </c>
      <c r="AW503" s="31">
        <f t="shared" si="206"/>
        <v>0</v>
      </c>
      <c r="AX503" s="31">
        <f t="shared" si="207"/>
        <v>0</v>
      </c>
      <c r="AY503" s="255">
        <f t="shared" si="208"/>
        <v>0</v>
      </c>
      <c r="AZ503" s="232">
        <f t="shared" si="209"/>
        <v>0</v>
      </c>
      <c r="BA503" s="255">
        <f t="shared" si="210"/>
        <v>0</v>
      </c>
      <c r="BB503" s="31">
        <f t="shared" si="211"/>
        <v>0.25</v>
      </c>
      <c r="BC503" s="255">
        <f t="shared" si="212"/>
        <v>0.21249999999999999</v>
      </c>
      <c r="BD503" s="31">
        <f t="shared" si="213"/>
        <v>0</v>
      </c>
      <c r="BE503" s="255">
        <f t="shared" si="214"/>
        <v>0</v>
      </c>
      <c r="BF503" s="31">
        <f t="shared" si="215"/>
        <v>0</v>
      </c>
      <c r="BG503" s="255">
        <f t="shared" si="216"/>
        <v>0</v>
      </c>
      <c r="BH503" s="31">
        <f t="shared" si="217"/>
        <v>0</v>
      </c>
      <c r="BI503" s="255">
        <f t="shared" si="218"/>
        <v>0</v>
      </c>
      <c r="BJ503" s="31">
        <f t="shared" si="219"/>
        <v>0</v>
      </c>
      <c r="BK503" s="31">
        <f t="shared" si="220"/>
        <v>0</v>
      </c>
      <c r="BL503" s="255">
        <f t="shared" si="221"/>
        <v>0</v>
      </c>
      <c r="BM503" s="31">
        <f t="shared" si="222"/>
        <v>0</v>
      </c>
      <c r="BN503" s="255">
        <f t="shared" si="223"/>
        <v>0</v>
      </c>
    </row>
    <row r="504" spans="1:66" x14ac:dyDescent="0.25">
      <c r="A504" s="18" t="s">
        <v>1962</v>
      </c>
      <c r="B504" s="186" t="str">
        <f>VLOOKUP(A504,kurspris!$A$1:$B$877,2,FALSE)</f>
        <v>Matematikdidaktik 2 för grundskolans åk 7-9 och gymnasiet</v>
      </c>
      <c r="C504" s="37"/>
      <c r="D504" s="31" t="s">
        <v>483</v>
      </c>
      <c r="E504" s="31" t="s">
        <v>1609</v>
      </c>
      <c r="F504" s="59" t="s">
        <v>1931</v>
      </c>
      <c r="G504" s="31" t="s">
        <v>2277</v>
      </c>
      <c r="J504" t="s">
        <v>774</v>
      </c>
      <c r="L504" s="31">
        <v>100</v>
      </c>
      <c r="M504" s="31">
        <v>7.5</v>
      </c>
      <c r="P504" s="31">
        <v>1</v>
      </c>
      <c r="Q504" s="232">
        <f t="shared" si="196"/>
        <v>0.125</v>
      </c>
      <c r="R504" s="40">
        <v>0.85</v>
      </c>
      <c r="S504" s="334">
        <f t="shared" si="197"/>
        <v>0.10625</v>
      </c>
      <c r="T504" s="31">
        <f>VLOOKUP(A504,'Ansvar kurs'!$A$1:$C$1010,2,FALSE)</f>
        <v>5740</v>
      </c>
      <c r="U504" s="31" t="str">
        <f>VLOOKUP(T504,Orgenheter!$A$1:$C$165,2,FALSE)</f>
        <v>NMD</v>
      </c>
      <c r="V504" s="31" t="str">
        <f>VLOOKUP(T504,Orgenheter!$A$1:$C$165,3,FALSE)</f>
        <v>TekNat</v>
      </c>
      <c r="W504" s="37" t="str">
        <f>VLOOKUP(D504,Program!$A$1:$B$34,2,FALSE)</f>
        <v>Ämneslärarprogrammet - Gy</v>
      </c>
      <c r="X504" s="42">
        <f>VLOOKUP(A504,kurspris!$A$1:$Q$798,15,FALSE)</f>
        <v>19473</v>
      </c>
      <c r="Y504" s="42">
        <f>VLOOKUP(A504,kurspris!$A$1:$Q$798,16,FALSE)</f>
        <v>34806</v>
      </c>
      <c r="Z504" s="42">
        <f t="shared" si="198"/>
        <v>6132.2624999999998</v>
      </c>
      <c r="AA504" s="42">
        <f>VLOOKUP(A504,kurspris!$A$1:$Q$798,17,FALSE)</f>
        <v>21800</v>
      </c>
      <c r="AB504" s="42">
        <f t="shared" si="199"/>
        <v>2725</v>
      </c>
      <c r="AC504" s="42">
        <f t="shared" si="200"/>
        <v>8857.2625000000007</v>
      </c>
      <c r="AD504" s="31">
        <f>VLOOKUP($A504,kurspris!$A$1:$Q$835,3,FALSE)</f>
        <v>0</v>
      </c>
      <c r="AE504" s="31">
        <f>VLOOKUP($A504,kurspris!$A$1:$Q$835,4,FALSE)</f>
        <v>0</v>
      </c>
      <c r="AF504" s="31">
        <f>VLOOKUP($A504,kurspris!$A$1:$Q$835,5,FALSE)</f>
        <v>0</v>
      </c>
      <c r="AG504" s="31">
        <f>VLOOKUP($A504,kurspris!$A$1:$Q$835,6,FALSE)</f>
        <v>0</v>
      </c>
      <c r="AH504" s="31">
        <f>VLOOKUP($A504,kurspris!$A$1:$Q$835,7,FALSE)</f>
        <v>0</v>
      </c>
      <c r="AI504" s="31">
        <f>VLOOKUP($A504,kurspris!$A$1:$Q$835,8,FALSE)</f>
        <v>1</v>
      </c>
      <c r="AJ504" s="31">
        <f>VLOOKUP($A504,kurspris!$A$1:$Q$835,9,FALSE)</f>
        <v>0</v>
      </c>
      <c r="AK504" s="31">
        <f>VLOOKUP($A504,kurspris!$A$1:$Q$835,10,FALSE)</f>
        <v>0</v>
      </c>
      <c r="AL504" s="31">
        <f>VLOOKUP($A504,kurspris!$A$1:$Q$835,11,FALSE)</f>
        <v>0</v>
      </c>
      <c r="AM504" s="31">
        <f>VLOOKUP($A504,kurspris!$A$1:$Q$835,12,FALSE)</f>
        <v>0</v>
      </c>
      <c r="AN504" s="31">
        <f>VLOOKUP($A504,kurspris!$A$1:$Q$835,13,FALSE)</f>
        <v>0</v>
      </c>
      <c r="AO504" s="31">
        <f>VLOOKUP($A504,kurspris!$A$1:$Q$835,14,FALSE)</f>
        <v>0</v>
      </c>
      <c r="AP504" s="39" t="s">
        <v>2326</v>
      </c>
      <c r="AQ504"/>
      <c r="AR504" s="31">
        <f t="shared" si="201"/>
        <v>0</v>
      </c>
      <c r="AS504" s="255">
        <f t="shared" si="202"/>
        <v>0</v>
      </c>
      <c r="AT504" s="31">
        <f t="shared" si="203"/>
        <v>0</v>
      </c>
      <c r="AU504" s="255">
        <f t="shared" si="204"/>
        <v>0</v>
      </c>
      <c r="AV504" s="31">
        <f t="shared" si="205"/>
        <v>0</v>
      </c>
      <c r="AW504" s="31">
        <f t="shared" si="206"/>
        <v>0</v>
      </c>
      <c r="AX504" s="31">
        <f t="shared" si="207"/>
        <v>0</v>
      </c>
      <c r="AY504" s="255">
        <f t="shared" si="208"/>
        <v>0</v>
      </c>
      <c r="AZ504" s="232">
        <f t="shared" si="209"/>
        <v>0</v>
      </c>
      <c r="BA504" s="255">
        <f t="shared" si="210"/>
        <v>0</v>
      </c>
      <c r="BB504" s="31">
        <f t="shared" si="211"/>
        <v>0.125</v>
      </c>
      <c r="BC504" s="255">
        <f t="shared" si="212"/>
        <v>0.10625</v>
      </c>
      <c r="BD504" s="31">
        <f t="shared" si="213"/>
        <v>0</v>
      </c>
      <c r="BE504" s="255">
        <f t="shared" si="214"/>
        <v>0</v>
      </c>
      <c r="BF504" s="31">
        <f t="shared" si="215"/>
        <v>0</v>
      </c>
      <c r="BG504" s="255">
        <f t="shared" si="216"/>
        <v>0</v>
      </c>
      <c r="BH504" s="31">
        <f t="shared" si="217"/>
        <v>0</v>
      </c>
      <c r="BI504" s="255">
        <f t="shared" si="218"/>
        <v>0</v>
      </c>
      <c r="BJ504" s="31">
        <f t="shared" si="219"/>
        <v>0</v>
      </c>
      <c r="BK504" s="31">
        <f t="shared" si="220"/>
        <v>0</v>
      </c>
      <c r="BL504" s="255">
        <f t="shared" si="221"/>
        <v>0</v>
      </c>
      <c r="BM504" s="31">
        <f t="shared" si="222"/>
        <v>0</v>
      </c>
      <c r="BN504" s="255">
        <f t="shared" si="223"/>
        <v>0</v>
      </c>
    </row>
    <row r="505" spans="1:66" x14ac:dyDescent="0.25">
      <c r="A505" s="18" t="s">
        <v>1962</v>
      </c>
      <c r="B505" s="186" t="str">
        <f>VLOOKUP(A505,kurspris!$A$1:$B$877,2,FALSE)</f>
        <v>Matematikdidaktik 2 för grundskolans åk 7-9 och gymnasiet</v>
      </c>
      <c r="C505" s="37"/>
      <c r="D505" s="31" t="s">
        <v>483</v>
      </c>
      <c r="E505" s="31" t="s">
        <v>1788</v>
      </c>
      <c r="F505" s="59" t="s">
        <v>1931</v>
      </c>
      <c r="G505" s="31" t="s">
        <v>2277</v>
      </c>
      <c r="J505" t="s">
        <v>774</v>
      </c>
      <c r="L505" s="31">
        <v>100</v>
      </c>
      <c r="M505" s="31">
        <v>7.5</v>
      </c>
      <c r="P505" s="31">
        <v>8</v>
      </c>
      <c r="Q505" s="232">
        <f t="shared" si="196"/>
        <v>1</v>
      </c>
      <c r="R505" s="40">
        <v>0.85</v>
      </c>
      <c r="S505" s="334">
        <f t="shared" si="197"/>
        <v>0.85</v>
      </c>
      <c r="T505" s="31">
        <f>VLOOKUP(A505,'Ansvar kurs'!$A$1:$C$1010,2,FALSE)</f>
        <v>5740</v>
      </c>
      <c r="U505" s="31" t="str">
        <f>VLOOKUP(T505,Orgenheter!$A$1:$C$165,2,FALSE)</f>
        <v>NMD</v>
      </c>
      <c r="V505" s="31" t="str">
        <f>VLOOKUP(T505,Orgenheter!$A$1:$C$165,3,FALSE)</f>
        <v>TekNat</v>
      </c>
      <c r="W505" s="37" t="str">
        <f>VLOOKUP(D505,Program!$A$1:$B$34,2,FALSE)</f>
        <v>Ämneslärarprogrammet - Gy</v>
      </c>
      <c r="X505" s="42">
        <f>VLOOKUP(A505,kurspris!$A$1:$Q$798,15,FALSE)</f>
        <v>19473</v>
      </c>
      <c r="Y505" s="42">
        <f>VLOOKUP(A505,kurspris!$A$1:$Q$798,16,FALSE)</f>
        <v>34806</v>
      </c>
      <c r="Z505" s="42">
        <f t="shared" si="198"/>
        <v>49058.1</v>
      </c>
      <c r="AA505" s="42">
        <f>VLOOKUP(A505,kurspris!$A$1:$Q$798,17,FALSE)</f>
        <v>21800</v>
      </c>
      <c r="AB505" s="42">
        <f t="shared" si="199"/>
        <v>21800</v>
      </c>
      <c r="AC505" s="42">
        <f t="shared" si="200"/>
        <v>70858.100000000006</v>
      </c>
      <c r="AD505" s="31">
        <f>VLOOKUP($A505,kurspris!$A$1:$Q$835,3,FALSE)</f>
        <v>0</v>
      </c>
      <c r="AE505" s="31">
        <f>VLOOKUP($A505,kurspris!$A$1:$Q$835,4,FALSE)</f>
        <v>0</v>
      </c>
      <c r="AF505" s="31">
        <f>VLOOKUP($A505,kurspris!$A$1:$Q$835,5,FALSE)</f>
        <v>0</v>
      </c>
      <c r="AG505" s="31">
        <f>VLOOKUP($A505,kurspris!$A$1:$Q$835,6,FALSE)</f>
        <v>0</v>
      </c>
      <c r="AH505" s="31">
        <f>VLOOKUP($A505,kurspris!$A$1:$Q$835,7,FALSE)</f>
        <v>0</v>
      </c>
      <c r="AI505" s="31">
        <f>VLOOKUP($A505,kurspris!$A$1:$Q$835,8,FALSE)</f>
        <v>1</v>
      </c>
      <c r="AJ505" s="31">
        <f>VLOOKUP($A505,kurspris!$A$1:$Q$835,9,FALSE)</f>
        <v>0</v>
      </c>
      <c r="AK505" s="31">
        <f>VLOOKUP($A505,kurspris!$A$1:$Q$835,10,FALSE)</f>
        <v>0</v>
      </c>
      <c r="AL505" s="31">
        <f>VLOOKUP($A505,kurspris!$A$1:$Q$835,11,FALSE)</f>
        <v>0</v>
      </c>
      <c r="AM505" s="31">
        <f>VLOOKUP($A505,kurspris!$A$1:$Q$835,12,FALSE)</f>
        <v>0</v>
      </c>
      <c r="AN505" s="31">
        <f>VLOOKUP($A505,kurspris!$A$1:$Q$835,13,FALSE)</f>
        <v>0</v>
      </c>
      <c r="AO505" s="31">
        <f>VLOOKUP($A505,kurspris!$A$1:$Q$835,14,FALSE)</f>
        <v>0</v>
      </c>
      <c r="AP505" s="39" t="s">
        <v>2326</v>
      </c>
      <c r="AQ505"/>
      <c r="AR505" s="31">
        <f t="shared" si="201"/>
        <v>0</v>
      </c>
      <c r="AS505" s="255">
        <f t="shared" si="202"/>
        <v>0</v>
      </c>
      <c r="AT505" s="31">
        <f t="shared" si="203"/>
        <v>0</v>
      </c>
      <c r="AU505" s="255">
        <f t="shared" si="204"/>
        <v>0</v>
      </c>
      <c r="AV505" s="31">
        <f t="shared" si="205"/>
        <v>0</v>
      </c>
      <c r="AW505" s="31">
        <f t="shared" si="206"/>
        <v>0</v>
      </c>
      <c r="AX505" s="31">
        <f t="shared" si="207"/>
        <v>0</v>
      </c>
      <c r="AY505" s="255">
        <f t="shared" si="208"/>
        <v>0</v>
      </c>
      <c r="AZ505" s="232">
        <f t="shared" si="209"/>
        <v>0</v>
      </c>
      <c r="BA505" s="255">
        <f t="shared" si="210"/>
        <v>0</v>
      </c>
      <c r="BB505" s="31">
        <f t="shared" si="211"/>
        <v>1</v>
      </c>
      <c r="BC505" s="255">
        <f t="shared" si="212"/>
        <v>0.85</v>
      </c>
      <c r="BD505" s="31">
        <f t="shared" si="213"/>
        <v>0</v>
      </c>
      <c r="BE505" s="255">
        <f t="shared" si="214"/>
        <v>0</v>
      </c>
      <c r="BF505" s="31">
        <f t="shared" si="215"/>
        <v>0</v>
      </c>
      <c r="BG505" s="255">
        <f t="shared" si="216"/>
        <v>0</v>
      </c>
      <c r="BH505" s="31">
        <f t="shared" si="217"/>
        <v>0</v>
      </c>
      <c r="BI505" s="255">
        <f t="shared" si="218"/>
        <v>0</v>
      </c>
      <c r="BJ505" s="31">
        <f t="shared" si="219"/>
        <v>0</v>
      </c>
      <c r="BK505" s="31">
        <f t="shared" si="220"/>
        <v>0</v>
      </c>
      <c r="BL505" s="255">
        <f t="shared" si="221"/>
        <v>0</v>
      </c>
      <c r="BM505" s="31">
        <f t="shared" si="222"/>
        <v>0</v>
      </c>
      <c r="BN505" s="255">
        <f t="shared" si="223"/>
        <v>0</v>
      </c>
    </row>
    <row r="506" spans="1:66" x14ac:dyDescent="0.25">
      <c r="A506" s="18" t="s">
        <v>1962</v>
      </c>
      <c r="B506" s="186" t="str">
        <f>VLOOKUP(A506,kurspris!$A$1:$B$877,2,FALSE)</f>
        <v>Matematikdidaktik 2 för grundskolans åk 7-9 och gymnasiet</v>
      </c>
      <c r="C506" s="37"/>
      <c r="D506" s="31" t="s">
        <v>483</v>
      </c>
      <c r="E506" s="31" t="s">
        <v>1931</v>
      </c>
      <c r="F506" s="59" t="s">
        <v>1931</v>
      </c>
      <c r="G506" s="31" t="s">
        <v>2277</v>
      </c>
      <c r="J506" t="s">
        <v>774</v>
      </c>
      <c r="L506" s="31">
        <v>100</v>
      </c>
      <c r="M506" s="31">
        <v>7.5</v>
      </c>
      <c r="P506" s="31">
        <v>3</v>
      </c>
      <c r="Q506" s="232">
        <f t="shared" si="196"/>
        <v>0.375</v>
      </c>
      <c r="R506" s="40">
        <v>0.85</v>
      </c>
      <c r="S506" s="334">
        <f t="shared" si="197"/>
        <v>0.31874999999999998</v>
      </c>
      <c r="T506" s="31">
        <f>VLOOKUP(A506,'Ansvar kurs'!$A$1:$C$1010,2,FALSE)</f>
        <v>5740</v>
      </c>
      <c r="U506" s="31" t="str">
        <f>VLOOKUP(T506,Orgenheter!$A$1:$C$165,2,FALSE)</f>
        <v>NMD</v>
      </c>
      <c r="V506" s="31" t="str">
        <f>VLOOKUP(T506,Orgenheter!$A$1:$C$165,3,FALSE)</f>
        <v>TekNat</v>
      </c>
      <c r="W506" s="37" t="str">
        <f>VLOOKUP(D506,Program!$A$1:$B$34,2,FALSE)</f>
        <v>Ämneslärarprogrammet - Gy</v>
      </c>
      <c r="X506" s="42">
        <f>VLOOKUP(A506,kurspris!$A$1:$Q$798,15,FALSE)</f>
        <v>19473</v>
      </c>
      <c r="Y506" s="42">
        <f>VLOOKUP(A506,kurspris!$A$1:$Q$798,16,FALSE)</f>
        <v>34806</v>
      </c>
      <c r="Z506" s="42">
        <f t="shared" ref="Z506" si="250">X506*Q506+S506*Y506</f>
        <v>18396.787499999999</v>
      </c>
      <c r="AA506" s="42">
        <f>VLOOKUP(A506,kurspris!$A$1:$Q$798,17,FALSE)</f>
        <v>21800</v>
      </c>
      <c r="AB506" s="42">
        <f t="shared" ref="AB506" si="251">AA506*Q506</f>
        <v>8175</v>
      </c>
      <c r="AC506" s="42">
        <f t="shared" ref="AC506" si="252">Z506+AB506</f>
        <v>26571.787499999999</v>
      </c>
      <c r="AD506" s="31">
        <f>VLOOKUP($A506,kurspris!$A$1:$Q$835,3,FALSE)</f>
        <v>0</v>
      </c>
      <c r="AE506" s="31">
        <f>VLOOKUP($A506,kurspris!$A$1:$Q$835,4,FALSE)</f>
        <v>0</v>
      </c>
      <c r="AF506" s="31">
        <f>VLOOKUP($A506,kurspris!$A$1:$Q$835,5,FALSE)</f>
        <v>0</v>
      </c>
      <c r="AG506" s="31">
        <f>VLOOKUP($A506,kurspris!$A$1:$Q$835,6,FALSE)</f>
        <v>0</v>
      </c>
      <c r="AH506" s="31">
        <f>VLOOKUP($A506,kurspris!$A$1:$Q$835,7,FALSE)</f>
        <v>0</v>
      </c>
      <c r="AI506" s="31">
        <f>VLOOKUP($A506,kurspris!$A$1:$Q$835,8,FALSE)</f>
        <v>1</v>
      </c>
      <c r="AJ506" s="31">
        <f>VLOOKUP($A506,kurspris!$A$1:$Q$835,9,FALSE)</f>
        <v>0</v>
      </c>
      <c r="AK506" s="31">
        <f>VLOOKUP($A506,kurspris!$A$1:$Q$835,10,FALSE)</f>
        <v>0</v>
      </c>
      <c r="AL506" s="31">
        <f>VLOOKUP($A506,kurspris!$A$1:$Q$835,11,FALSE)</f>
        <v>0</v>
      </c>
      <c r="AM506" s="31">
        <f>VLOOKUP($A506,kurspris!$A$1:$Q$835,12,FALSE)</f>
        <v>0</v>
      </c>
      <c r="AN506" s="31">
        <f>VLOOKUP($A506,kurspris!$A$1:$Q$835,13,FALSE)</f>
        <v>0</v>
      </c>
      <c r="AO506" s="31">
        <f>VLOOKUP($A506,kurspris!$A$1:$Q$835,14,FALSE)</f>
        <v>0</v>
      </c>
      <c r="AP506" s="39" t="s">
        <v>2326</v>
      </c>
      <c r="AQ506"/>
      <c r="AR506" s="31">
        <f t="shared" ref="AR506" si="253">$Q506*AD506</f>
        <v>0</v>
      </c>
      <c r="AS506" s="255">
        <f t="shared" ref="AS506" si="254">$S506*AD506</f>
        <v>0</v>
      </c>
      <c r="AT506" s="31">
        <f t="shared" ref="AT506" si="255">$Q506*AE506</f>
        <v>0</v>
      </c>
      <c r="AU506" s="255">
        <f t="shared" ref="AU506" si="256">$S506*AE506</f>
        <v>0</v>
      </c>
      <c r="AV506" s="31">
        <f t="shared" ref="AV506" si="257">$Q506*AF506</f>
        <v>0</v>
      </c>
      <c r="AW506" s="31">
        <f t="shared" ref="AW506" si="258">$S506*AF506</f>
        <v>0</v>
      </c>
      <c r="AX506" s="31">
        <f t="shared" ref="AX506" si="259">$Q506*AG506</f>
        <v>0</v>
      </c>
      <c r="AY506" s="255">
        <f t="shared" ref="AY506" si="260">$S506*AG506</f>
        <v>0</v>
      </c>
      <c r="AZ506" s="232">
        <f t="shared" ref="AZ506" si="261">$Q506*AH506</f>
        <v>0</v>
      </c>
      <c r="BA506" s="255">
        <f t="shared" ref="BA506" si="262">$S506*AH506</f>
        <v>0</v>
      </c>
      <c r="BB506" s="31">
        <f t="shared" ref="BB506" si="263">$Q506*AI506</f>
        <v>0.375</v>
      </c>
      <c r="BC506" s="255">
        <f t="shared" ref="BC506" si="264">$S506*AI506</f>
        <v>0.31874999999999998</v>
      </c>
      <c r="BD506" s="31">
        <f t="shared" ref="BD506" si="265">$Q506*AJ506</f>
        <v>0</v>
      </c>
      <c r="BE506" s="255">
        <f t="shared" ref="BE506" si="266">$S506*AJ506</f>
        <v>0</v>
      </c>
      <c r="BF506" s="31">
        <f t="shared" ref="BF506" si="267">$Q506*AK506</f>
        <v>0</v>
      </c>
      <c r="BG506" s="255">
        <f t="shared" ref="BG506" si="268">$S506*AK506</f>
        <v>0</v>
      </c>
      <c r="BH506" s="31">
        <f t="shared" ref="BH506" si="269">$Q506*AL506</f>
        <v>0</v>
      </c>
      <c r="BI506" s="255">
        <f t="shared" ref="BI506" si="270">$S506*AL506</f>
        <v>0</v>
      </c>
      <c r="BJ506" s="31">
        <f t="shared" ref="BJ506" si="271">$Q506*AM506</f>
        <v>0</v>
      </c>
      <c r="BK506" s="31">
        <f t="shared" ref="BK506" si="272">$Q506*AN506</f>
        <v>0</v>
      </c>
      <c r="BL506" s="255">
        <f t="shared" ref="BL506" si="273">$S506*AN506</f>
        <v>0</v>
      </c>
      <c r="BM506" s="31">
        <f t="shared" ref="BM506" si="274">$Q506*AO506</f>
        <v>0</v>
      </c>
      <c r="BN506" s="255">
        <f t="shared" ref="BN506" si="275">$S506*AO506</f>
        <v>0</v>
      </c>
    </row>
    <row r="507" spans="1:66" x14ac:dyDescent="0.25">
      <c r="A507" s="18" t="s">
        <v>1961</v>
      </c>
      <c r="B507" s="186" t="str">
        <f>VLOOKUP(A507,kurspris!$A$1:$B$877,2,FALSE)</f>
        <v>Statistik för lärare</v>
      </c>
      <c r="C507" s="37"/>
      <c r="D507" t="s">
        <v>117</v>
      </c>
      <c r="E507"/>
      <c r="F507" s="59" t="s">
        <v>1931</v>
      </c>
      <c r="G507"/>
      <c r="H507"/>
      <c r="I507" t="s">
        <v>1634</v>
      </c>
      <c r="L507">
        <v>100</v>
      </c>
      <c r="M507">
        <v>7.5</v>
      </c>
      <c r="P507">
        <v>2</v>
      </c>
      <c r="Q507" s="232">
        <f t="shared" si="196"/>
        <v>0.25</v>
      </c>
      <c r="R507" s="40">
        <v>0.8</v>
      </c>
      <c r="S507" s="334">
        <f t="shared" si="197"/>
        <v>0.2</v>
      </c>
      <c r="T507" s="31">
        <f>VLOOKUP(A507,'Ansvar kurs'!$A$1:$C$1010,2,FALSE)</f>
        <v>5730</v>
      </c>
      <c r="U507" s="31" t="str">
        <f>VLOOKUP(T507,Orgenheter!$A$1:$C$165,2,FALSE)</f>
        <v>Inst för MA och MA statistik</v>
      </c>
      <c r="V507" s="31" t="str">
        <f>VLOOKUP(T507,Orgenheter!$A$1:$C$165,3,FALSE)</f>
        <v>TekNat</v>
      </c>
      <c r="W507" s="37" t="str">
        <f>VLOOKUP(D507,Program!$A$1:$B$34,2,FALSE)</f>
        <v>Fristående och övriga kurser</v>
      </c>
      <c r="X507" s="42">
        <f>VLOOKUP(A507,kurspris!$A$1:$Q$798,15,FALSE)</f>
        <v>19473</v>
      </c>
      <c r="Y507" s="42">
        <f>VLOOKUP(A507,kurspris!$A$1:$Q$798,16,FALSE)</f>
        <v>34806</v>
      </c>
      <c r="Z507" s="42">
        <f t="shared" si="198"/>
        <v>11829.45</v>
      </c>
      <c r="AA507" s="42">
        <f>VLOOKUP(A507,kurspris!$A$1:$Q$798,17,FALSE)</f>
        <v>21800</v>
      </c>
      <c r="AB507" s="42">
        <f t="shared" si="199"/>
        <v>5450</v>
      </c>
      <c r="AC507" s="42">
        <f t="shared" si="200"/>
        <v>17279.45</v>
      </c>
      <c r="AD507" s="31">
        <f>VLOOKUP($A507,kurspris!$A$1:$Q$835,3,FALSE)</f>
        <v>0</v>
      </c>
      <c r="AE507" s="31">
        <f>VLOOKUP($A507,kurspris!$A$1:$Q$835,4,FALSE)</f>
        <v>0</v>
      </c>
      <c r="AF507" s="31">
        <f>VLOOKUP($A507,kurspris!$A$1:$Q$835,5,FALSE)</f>
        <v>0</v>
      </c>
      <c r="AG507" s="31">
        <f>VLOOKUP($A507,kurspris!$A$1:$Q$835,6,FALSE)</f>
        <v>0</v>
      </c>
      <c r="AH507" s="31">
        <f>VLOOKUP($A507,kurspris!$A$1:$Q$835,7,FALSE)</f>
        <v>0</v>
      </c>
      <c r="AI507" s="31">
        <f>VLOOKUP($A507,kurspris!$A$1:$Q$835,8,FALSE)</f>
        <v>1</v>
      </c>
      <c r="AJ507" s="31">
        <f>VLOOKUP($A507,kurspris!$A$1:$Q$835,9,FALSE)</f>
        <v>0</v>
      </c>
      <c r="AK507" s="31">
        <f>VLOOKUP($A507,kurspris!$A$1:$Q$835,10,FALSE)</f>
        <v>0</v>
      </c>
      <c r="AL507" s="31">
        <f>VLOOKUP($A507,kurspris!$A$1:$Q$835,11,FALSE)</f>
        <v>0</v>
      </c>
      <c r="AM507" s="31">
        <f>VLOOKUP($A507,kurspris!$A$1:$Q$835,12,FALSE)</f>
        <v>0</v>
      </c>
      <c r="AN507" s="31">
        <f>VLOOKUP($A507,kurspris!$A$1:$Q$835,13,FALSE)</f>
        <v>0</v>
      </c>
      <c r="AO507" s="31">
        <f>VLOOKUP($A507,kurspris!$A$1:$Q$835,14,FALSE)</f>
        <v>0</v>
      </c>
      <c r="AP507" s="39" t="s">
        <v>2095</v>
      </c>
      <c r="AQ507"/>
      <c r="AR507" s="31">
        <f t="shared" si="201"/>
        <v>0</v>
      </c>
      <c r="AS507" s="255">
        <f t="shared" si="202"/>
        <v>0</v>
      </c>
      <c r="AT507" s="31">
        <f t="shared" si="203"/>
        <v>0</v>
      </c>
      <c r="AU507" s="255">
        <f t="shared" si="204"/>
        <v>0</v>
      </c>
      <c r="AV507" s="31">
        <f t="shared" si="205"/>
        <v>0</v>
      </c>
      <c r="AW507" s="31">
        <f t="shared" si="206"/>
        <v>0</v>
      </c>
      <c r="AX507" s="31">
        <f t="shared" si="207"/>
        <v>0</v>
      </c>
      <c r="AY507" s="255">
        <f t="shared" si="208"/>
        <v>0</v>
      </c>
      <c r="AZ507" s="232">
        <f t="shared" si="209"/>
        <v>0</v>
      </c>
      <c r="BA507" s="255">
        <f t="shared" si="210"/>
        <v>0</v>
      </c>
      <c r="BB507" s="31">
        <f t="shared" si="211"/>
        <v>0.25</v>
      </c>
      <c r="BC507" s="255">
        <f t="shared" si="212"/>
        <v>0.2</v>
      </c>
      <c r="BD507" s="31">
        <f t="shared" si="213"/>
        <v>0</v>
      </c>
      <c r="BE507" s="255">
        <f t="shared" si="214"/>
        <v>0</v>
      </c>
      <c r="BF507" s="31">
        <f t="shared" si="215"/>
        <v>0</v>
      </c>
      <c r="BG507" s="255">
        <f t="shared" si="216"/>
        <v>0</v>
      </c>
      <c r="BH507" s="31">
        <f t="shared" si="217"/>
        <v>0</v>
      </c>
      <c r="BI507" s="255">
        <f t="shared" si="218"/>
        <v>0</v>
      </c>
      <c r="BJ507" s="31">
        <f t="shared" si="219"/>
        <v>0</v>
      </c>
      <c r="BK507" s="31">
        <f t="shared" si="220"/>
        <v>0</v>
      </c>
      <c r="BL507" s="255">
        <f t="shared" si="221"/>
        <v>0</v>
      </c>
      <c r="BM507" s="31">
        <f t="shared" si="222"/>
        <v>0</v>
      </c>
      <c r="BN507" s="255">
        <f t="shared" si="223"/>
        <v>0</v>
      </c>
    </row>
    <row r="508" spans="1:66" x14ac:dyDescent="0.25">
      <c r="A508" s="18" t="s">
        <v>1961</v>
      </c>
      <c r="B508" s="186" t="str">
        <f>VLOOKUP(A508,kurspris!$A$1:$B$877,2,FALSE)</f>
        <v>Statistik för lärare</v>
      </c>
      <c r="C508" s="37"/>
      <c r="D508" s="31" t="s">
        <v>483</v>
      </c>
      <c r="E508" s="31" t="s">
        <v>1973</v>
      </c>
      <c r="F508" s="59" t="s">
        <v>1931</v>
      </c>
      <c r="G508" s="31" t="s">
        <v>2278</v>
      </c>
      <c r="J508" t="s">
        <v>773</v>
      </c>
      <c r="L508" s="31">
        <v>100</v>
      </c>
      <c r="M508" s="31">
        <v>7.5</v>
      </c>
      <c r="P508" s="31">
        <v>2</v>
      </c>
      <c r="Q508" s="232">
        <f t="shared" si="196"/>
        <v>0.25</v>
      </c>
      <c r="R508" s="40">
        <v>0.85</v>
      </c>
      <c r="S508" s="334">
        <f t="shared" si="197"/>
        <v>0.21249999999999999</v>
      </c>
      <c r="T508" s="31">
        <f>VLOOKUP(A508,'Ansvar kurs'!$A$1:$C$1010,2,FALSE)</f>
        <v>5730</v>
      </c>
      <c r="U508" s="31" t="str">
        <f>VLOOKUP(T508,Orgenheter!$A$1:$C$165,2,FALSE)</f>
        <v>Inst för MA och MA statistik</v>
      </c>
      <c r="V508" s="31" t="str">
        <f>VLOOKUP(T508,Orgenheter!$A$1:$C$165,3,FALSE)</f>
        <v>TekNat</v>
      </c>
      <c r="W508" s="37" t="str">
        <f>VLOOKUP(D508,Program!$A$1:$B$34,2,FALSE)</f>
        <v>Ämneslärarprogrammet - Gy</v>
      </c>
      <c r="X508" s="42">
        <f>VLOOKUP(A508,kurspris!$A$1:$Q$798,15,FALSE)</f>
        <v>19473</v>
      </c>
      <c r="Y508" s="42">
        <f>VLOOKUP(A508,kurspris!$A$1:$Q$798,16,FALSE)</f>
        <v>34806</v>
      </c>
      <c r="Z508" s="42">
        <f t="shared" si="198"/>
        <v>12264.525</v>
      </c>
      <c r="AA508" s="42">
        <f>VLOOKUP(A508,kurspris!$A$1:$Q$798,17,FALSE)</f>
        <v>21800</v>
      </c>
      <c r="AB508" s="42">
        <f t="shared" si="199"/>
        <v>5450</v>
      </c>
      <c r="AC508" s="42">
        <f t="shared" si="200"/>
        <v>17714.525000000001</v>
      </c>
      <c r="AD508" s="31">
        <f>VLOOKUP($A508,kurspris!$A$1:$Q$835,3,FALSE)</f>
        <v>0</v>
      </c>
      <c r="AE508" s="31">
        <f>VLOOKUP($A508,kurspris!$A$1:$Q$835,4,FALSE)</f>
        <v>0</v>
      </c>
      <c r="AF508" s="31">
        <f>VLOOKUP($A508,kurspris!$A$1:$Q$835,5,FALSE)</f>
        <v>0</v>
      </c>
      <c r="AG508" s="31">
        <f>VLOOKUP($A508,kurspris!$A$1:$Q$835,6,FALSE)</f>
        <v>0</v>
      </c>
      <c r="AH508" s="31">
        <f>VLOOKUP($A508,kurspris!$A$1:$Q$835,7,FALSE)</f>
        <v>0</v>
      </c>
      <c r="AI508" s="31">
        <f>VLOOKUP($A508,kurspris!$A$1:$Q$835,8,FALSE)</f>
        <v>1</v>
      </c>
      <c r="AJ508" s="31">
        <f>VLOOKUP($A508,kurspris!$A$1:$Q$835,9,FALSE)</f>
        <v>0</v>
      </c>
      <c r="AK508" s="31">
        <f>VLOOKUP($A508,kurspris!$A$1:$Q$835,10,FALSE)</f>
        <v>0</v>
      </c>
      <c r="AL508" s="31">
        <f>VLOOKUP($A508,kurspris!$A$1:$Q$835,11,FALSE)</f>
        <v>0</v>
      </c>
      <c r="AM508" s="31">
        <f>VLOOKUP($A508,kurspris!$A$1:$Q$835,12,FALSE)</f>
        <v>0</v>
      </c>
      <c r="AN508" s="31">
        <f>VLOOKUP($A508,kurspris!$A$1:$Q$835,13,FALSE)</f>
        <v>0</v>
      </c>
      <c r="AO508" s="31">
        <f>VLOOKUP($A508,kurspris!$A$1:$Q$835,14,FALSE)</f>
        <v>0</v>
      </c>
      <c r="AP508" s="39" t="s">
        <v>2326</v>
      </c>
      <c r="AQ508"/>
      <c r="AR508" s="31">
        <f t="shared" si="201"/>
        <v>0</v>
      </c>
      <c r="AS508" s="255">
        <f t="shared" si="202"/>
        <v>0</v>
      </c>
      <c r="AT508" s="31">
        <f t="shared" si="203"/>
        <v>0</v>
      </c>
      <c r="AU508" s="255">
        <f t="shared" si="204"/>
        <v>0</v>
      </c>
      <c r="AV508" s="31">
        <f t="shared" si="205"/>
        <v>0</v>
      </c>
      <c r="AW508" s="31">
        <f t="shared" si="206"/>
        <v>0</v>
      </c>
      <c r="AX508" s="31">
        <f t="shared" si="207"/>
        <v>0</v>
      </c>
      <c r="AY508" s="255">
        <f t="shared" si="208"/>
        <v>0</v>
      </c>
      <c r="AZ508" s="232">
        <f t="shared" si="209"/>
        <v>0</v>
      </c>
      <c r="BA508" s="255">
        <f t="shared" si="210"/>
        <v>0</v>
      </c>
      <c r="BB508" s="31">
        <f t="shared" si="211"/>
        <v>0.25</v>
      </c>
      <c r="BC508" s="255">
        <f t="shared" si="212"/>
        <v>0.21249999999999999</v>
      </c>
      <c r="BD508" s="31">
        <f t="shared" si="213"/>
        <v>0</v>
      </c>
      <c r="BE508" s="255">
        <f t="shared" si="214"/>
        <v>0</v>
      </c>
      <c r="BF508" s="31">
        <f t="shared" si="215"/>
        <v>0</v>
      </c>
      <c r="BG508" s="255">
        <f t="shared" si="216"/>
        <v>0</v>
      </c>
      <c r="BH508" s="31">
        <f t="shared" si="217"/>
        <v>0</v>
      </c>
      <c r="BI508" s="255">
        <f t="shared" si="218"/>
        <v>0</v>
      </c>
      <c r="BJ508" s="31">
        <f t="shared" si="219"/>
        <v>0</v>
      </c>
      <c r="BK508" s="31">
        <f t="shared" si="220"/>
        <v>0</v>
      </c>
      <c r="BL508" s="255">
        <f t="shared" si="221"/>
        <v>0</v>
      </c>
      <c r="BM508" s="31">
        <f t="shared" si="222"/>
        <v>0</v>
      </c>
      <c r="BN508" s="255">
        <f t="shared" si="223"/>
        <v>0</v>
      </c>
    </row>
    <row r="509" spans="1:66" x14ac:dyDescent="0.25">
      <c r="A509" s="18" t="s">
        <v>1961</v>
      </c>
      <c r="B509" s="186" t="str">
        <f>VLOOKUP(A509,kurspris!$A$1:$B$877,2,FALSE)</f>
        <v>Statistik för lärare</v>
      </c>
      <c r="C509" s="37"/>
      <c r="D509" s="31" t="s">
        <v>483</v>
      </c>
      <c r="E509" s="31" t="s">
        <v>1609</v>
      </c>
      <c r="F509" s="59" t="s">
        <v>1931</v>
      </c>
      <c r="G509" s="31" t="s">
        <v>2278</v>
      </c>
      <c r="J509" t="s">
        <v>774</v>
      </c>
      <c r="L509" s="31">
        <v>100</v>
      </c>
      <c r="M509" s="31">
        <v>7.5</v>
      </c>
      <c r="P509" s="31">
        <v>1</v>
      </c>
      <c r="Q509" s="232">
        <f t="shared" si="196"/>
        <v>0.125</v>
      </c>
      <c r="R509" s="40">
        <v>0.85</v>
      </c>
      <c r="S509" s="334">
        <f t="shared" si="197"/>
        <v>0.10625</v>
      </c>
      <c r="T509" s="31">
        <f>VLOOKUP(A509,'Ansvar kurs'!$A$1:$C$1010,2,FALSE)</f>
        <v>5730</v>
      </c>
      <c r="U509" s="31" t="str">
        <f>VLOOKUP(T509,Orgenheter!$A$1:$C$165,2,FALSE)</f>
        <v>Inst för MA och MA statistik</v>
      </c>
      <c r="V509" s="31" t="str">
        <f>VLOOKUP(T509,Orgenheter!$A$1:$C$165,3,FALSE)</f>
        <v>TekNat</v>
      </c>
      <c r="W509" s="37" t="str">
        <f>VLOOKUP(D509,Program!$A$1:$B$34,2,FALSE)</f>
        <v>Ämneslärarprogrammet - Gy</v>
      </c>
      <c r="X509" s="42">
        <f>VLOOKUP(A509,kurspris!$A$1:$Q$798,15,FALSE)</f>
        <v>19473</v>
      </c>
      <c r="Y509" s="42">
        <f>VLOOKUP(A509,kurspris!$A$1:$Q$798,16,FALSE)</f>
        <v>34806</v>
      </c>
      <c r="Z509" s="42">
        <f t="shared" si="198"/>
        <v>6132.2624999999998</v>
      </c>
      <c r="AA509" s="42">
        <f>VLOOKUP(A509,kurspris!$A$1:$Q$798,17,FALSE)</f>
        <v>21800</v>
      </c>
      <c r="AB509" s="42">
        <f t="shared" si="199"/>
        <v>2725</v>
      </c>
      <c r="AC509" s="42">
        <f t="shared" si="200"/>
        <v>8857.2625000000007</v>
      </c>
      <c r="AD509" s="31">
        <f>VLOOKUP($A509,kurspris!$A$1:$Q$835,3,FALSE)</f>
        <v>0</v>
      </c>
      <c r="AE509" s="31">
        <f>VLOOKUP($A509,kurspris!$A$1:$Q$835,4,FALSE)</f>
        <v>0</v>
      </c>
      <c r="AF509" s="31">
        <f>VLOOKUP($A509,kurspris!$A$1:$Q$835,5,FALSE)</f>
        <v>0</v>
      </c>
      <c r="AG509" s="31">
        <f>VLOOKUP($A509,kurspris!$A$1:$Q$835,6,FALSE)</f>
        <v>0</v>
      </c>
      <c r="AH509" s="31">
        <f>VLOOKUP($A509,kurspris!$A$1:$Q$835,7,FALSE)</f>
        <v>0</v>
      </c>
      <c r="AI509" s="31">
        <f>VLOOKUP($A509,kurspris!$A$1:$Q$835,8,FALSE)</f>
        <v>1</v>
      </c>
      <c r="AJ509" s="31">
        <f>VLOOKUP($A509,kurspris!$A$1:$Q$835,9,FALSE)</f>
        <v>0</v>
      </c>
      <c r="AK509" s="31">
        <f>VLOOKUP($A509,kurspris!$A$1:$Q$835,10,FALSE)</f>
        <v>0</v>
      </c>
      <c r="AL509" s="31">
        <f>VLOOKUP($A509,kurspris!$A$1:$Q$835,11,FALSE)</f>
        <v>0</v>
      </c>
      <c r="AM509" s="31">
        <f>VLOOKUP($A509,kurspris!$A$1:$Q$835,12,FALSE)</f>
        <v>0</v>
      </c>
      <c r="AN509" s="31">
        <f>VLOOKUP($A509,kurspris!$A$1:$Q$835,13,FALSE)</f>
        <v>0</v>
      </c>
      <c r="AO509" s="31">
        <f>VLOOKUP($A509,kurspris!$A$1:$Q$835,14,FALSE)</f>
        <v>0</v>
      </c>
      <c r="AP509" s="39" t="s">
        <v>2326</v>
      </c>
      <c r="AQ509"/>
      <c r="AR509" s="31">
        <f t="shared" si="201"/>
        <v>0</v>
      </c>
      <c r="AS509" s="255">
        <f t="shared" si="202"/>
        <v>0</v>
      </c>
      <c r="AT509" s="31">
        <f t="shared" si="203"/>
        <v>0</v>
      </c>
      <c r="AU509" s="255">
        <f t="shared" si="204"/>
        <v>0</v>
      </c>
      <c r="AV509" s="31">
        <f t="shared" si="205"/>
        <v>0</v>
      </c>
      <c r="AW509" s="31">
        <f t="shared" si="206"/>
        <v>0</v>
      </c>
      <c r="AX509" s="31">
        <f t="shared" si="207"/>
        <v>0</v>
      </c>
      <c r="AY509" s="255">
        <f t="shared" si="208"/>
        <v>0</v>
      </c>
      <c r="AZ509" s="232">
        <f t="shared" si="209"/>
        <v>0</v>
      </c>
      <c r="BA509" s="255">
        <f t="shared" si="210"/>
        <v>0</v>
      </c>
      <c r="BB509" s="31">
        <f t="shared" si="211"/>
        <v>0.125</v>
      </c>
      <c r="BC509" s="255">
        <f t="shared" si="212"/>
        <v>0.10625</v>
      </c>
      <c r="BD509" s="31">
        <f t="shared" si="213"/>
        <v>0</v>
      </c>
      <c r="BE509" s="255">
        <f t="shared" si="214"/>
        <v>0</v>
      </c>
      <c r="BF509" s="31">
        <f t="shared" si="215"/>
        <v>0</v>
      </c>
      <c r="BG509" s="255">
        <f t="shared" si="216"/>
        <v>0</v>
      </c>
      <c r="BH509" s="31">
        <f t="shared" si="217"/>
        <v>0</v>
      </c>
      <c r="BI509" s="255">
        <f t="shared" si="218"/>
        <v>0</v>
      </c>
      <c r="BJ509" s="31">
        <f t="shared" si="219"/>
        <v>0</v>
      </c>
      <c r="BK509" s="31">
        <f t="shared" si="220"/>
        <v>0</v>
      </c>
      <c r="BL509" s="255">
        <f t="shared" si="221"/>
        <v>0</v>
      </c>
      <c r="BM509" s="31">
        <f t="shared" si="222"/>
        <v>0</v>
      </c>
      <c r="BN509" s="255">
        <f t="shared" si="223"/>
        <v>0</v>
      </c>
    </row>
    <row r="510" spans="1:66" x14ac:dyDescent="0.25">
      <c r="A510" s="18" t="s">
        <v>1961</v>
      </c>
      <c r="B510" s="186" t="str">
        <f>VLOOKUP(A510,kurspris!$A$1:$B$877,2,FALSE)</f>
        <v>Statistik för lärare</v>
      </c>
      <c r="C510" s="37"/>
      <c r="D510" s="31" t="s">
        <v>483</v>
      </c>
      <c r="E510" s="31" t="s">
        <v>1788</v>
      </c>
      <c r="F510" s="59" t="s">
        <v>1931</v>
      </c>
      <c r="G510" s="31" t="s">
        <v>2278</v>
      </c>
      <c r="J510" t="s">
        <v>774</v>
      </c>
      <c r="L510" s="31">
        <v>100</v>
      </c>
      <c r="M510" s="31">
        <v>7.5</v>
      </c>
      <c r="P510" s="31">
        <v>7</v>
      </c>
      <c r="Q510" s="232">
        <f t="shared" si="196"/>
        <v>0.875</v>
      </c>
      <c r="R510" s="40">
        <v>0.85</v>
      </c>
      <c r="S510" s="334">
        <f t="shared" si="197"/>
        <v>0.74375000000000002</v>
      </c>
      <c r="T510" s="31">
        <f>VLOOKUP(A510,'Ansvar kurs'!$A$1:$C$1010,2,FALSE)</f>
        <v>5730</v>
      </c>
      <c r="U510" s="31" t="str">
        <f>VLOOKUP(T510,Orgenheter!$A$1:$C$165,2,FALSE)</f>
        <v>Inst för MA och MA statistik</v>
      </c>
      <c r="V510" s="31" t="str">
        <f>VLOOKUP(T510,Orgenheter!$A$1:$C$165,3,FALSE)</f>
        <v>TekNat</v>
      </c>
      <c r="W510" s="37" t="str">
        <f>VLOOKUP(D510,Program!$A$1:$B$34,2,FALSE)</f>
        <v>Ämneslärarprogrammet - Gy</v>
      </c>
      <c r="X510" s="42">
        <f>VLOOKUP(A510,kurspris!$A$1:$Q$798,15,FALSE)</f>
        <v>19473</v>
      </c>
      <c r="Y510" s="42">
        <f>VLOOKUP(A510,kurspris!$A$1:$Q$798,16,FALSE)</f>
        <v>34806</v>
      </c>
      <c r="Z510" s="42">
        <f t="shared" si="198"/>
        <v>42925.837500000001</v>
      </c>
      <c r="AA510" s="42">
        <f>VLOOKUP(A510,kurspris!$A$1:$Q$798,17,FALSE)</f>
        <v>21800</v>
      </c>
      <c r="AB510" s="42">
        <f t="shared" si="199"/>
        <v>19075</v>
      </c>
      <c r="AC510" s="42">
        <f t="shared" si="200"/>
        <v>62000.837500000001</v>
      </c>
      <c r="AD510" s="31">
        <f>VLOOKUP($A510,kurspris!$A$1:$Q$835,3,FALSE)</f>
        <v>0</v>
      </c>
      <c r="AE510" s="31">
        <f>VLOOKUP($A510,kurspris!$A$1:$Q$835,4,FALSE)</f>
        <v>0</v>
      </c>
      <c r="AF510" s="31">
        <f>VLOOKUP($A510,kurspris!$A$1:$Q$835,5,FALSE)</f>
        <v>0</v>
      </c>
      <c r="AG510" s="31">
        <f>VLOOKUP($A510,kurspris!$A$1:$Q$835,6,FALSE)</f>
        <v>0</v>
      </c>
      <c r="AH510" s="31">
        <f>VLOOKUP($A510,kurspris!$A$1:$Q$835,7,FALSE)</f>
        <v>0</v>
      </c>
      <c r="AI510" s="31">
        <f>VLOOKUP($A510,kurspris!$A$1:$Q$835,8,FALSE)</f>
        <v>1</v>
      </c>
      <c r="AJ510" s="31">
        <f>VLOOKUP($A510,kurspris!$A$1:$Q$835,9,FALSE)</f>
        <v>0</v>
      </c>
      <c r="AK510" s="31">
        <f>VLOOKUP($A510,kurspris!$A$1:$Q$835,10,FALSE)</f>
        <v>0</v>
      </c>
      <c r="AL510" s="31">
        <f>VLOOKUP($A510,kurspris!$A$1:$Q$835,11,FALSE)</f>
        <v>0</v>
      </c>
      <c r="AM510" s="31">
        <f>VLOOKUP($A510,kurspris!$A$1:$Q$835,12,FALSE)</f>
        <v>0</v>
      </c>
      <c r="AN510" s="31">
        <f>VLOOKUP($A510,kurspris!$A$1:$Q$835,13,FALSE)</f>
        <v>0</v>
      </c>
      <c r="AO510" s="31">
        <f>VLOOKUP($A510,kurspris!$A$1:$Q$835,14,FALSE)</f>
        <v>0</v>
      </c>
      <c r="AP510" s="39" t="s">
        <v>2326</v>
      </c>
      <c r="AQ510"/>
      <c r="AR510" s="31">
        <f t="shared" si="201"/>
        <v>0</v>
      </c>
      <c r="AS510" s="255">
        <f t="shared" si="202"/>
        <v>0</v>
      </c>
      <c r="AT510" s="31">
        <f t="shared" si="203"/>
        <v>0</v>
      </c>
      <c r="AU510" s="255">
        <f t="shared" si="204"/>
        <v>0</v>
      </c>
      <c r="AV510" s="31">
        <f t="shared" si="205"/>
        <v>0</v>
      </c>
      <c r="AW510" s="31">
        <f t="shared" si="206"/>
        <v>0</v>
      </c>
      <c r="AX510" s="31">
        <f t="shared" si="207"/>
        <v>0</v>
      </c>
      <c r="AY510" s="255">
        <f t="shared" si="208"/>
        <v>0</v>
      </c>
      <c r="AZ510" s="232">
        <f t="shared" si="209"/>
        <v>0</v>
      </c>
      <c r="BA510" s="255">
        <f t="shared" si="210"/>
        <v>0</v>
      </c>
      <c r="BB510" s="31">
        <f t="shared" si="211"/>
        <v>0.875</v>
      </c>
      <c r="BC510" s="255">
        <f t="shared" si="212"/>
        <v>0.74375000000000002</v>
      </c>
      <c r="BD510" s="31">
        <f t="shared" si="213"/>
        <v>0</v>
      </c>
      <c r="BE510" s="255">
        <f t="shared" si="214"/>
        <v>0</v>
      </c>
      <c r="BF510" s="31">
        <f t="shared" si="215"/>
        <v>0</v>
      </c>
      <c r="BG510" s="255">
        <f t="shared" si="216"/>
        <v>0</v>
      </c>
      <c r="BH510" s="31">
        <f t="shared" si="217"/>
        <v>0</v>
      </c>
      <c r="BI510" s="255">
        <f t="shared" si="218"/>
        <v>0</v>
      </c>
      <c r="BJ510" s="31">
        <f t="shared" si="219"/>
        <v>0</v>
      </c>
      <c r="BK510" s="31">
        <f t="shared" si="220"/>
        <v>0</v>
      </c>
      <c r="BL510" s="255">
        <f t="shared" si="221"/>
        <v>0</v>
      </c>
      <c r="BM510" s="31">
        <f t="shared" si="222"/>
        <v>0</v>
      </c>
      <c r="BN510" s="255">
        <f t="shared" si="223"/>
        <v>0</v>
      </c>
    </row>
    <row r="511" spans="1:66" x14ac:dyDescent="0.25">
      <c r="A511" s="18" t="s">
        <v>1961</v>
      </c>
      <c r="B511" s="186" t="str">
        <f>VLOOKUP(A511,kurspris!$A$1:$B$877,2,FALSE)</f>
        <v>Statistik för lärare</v>
      </c>
      <c r="C511" s="37"/>
      <c r="D511" s="31" t="s">
        <v>483</v>
      </c>
      <c r="E511" s="31" t="s">
        <v>1931</v>
      </c>
      <c r="F511" s="62" t="s">
        <v>1931</v>
      </c>
      <c r="G511" s="31" t="s">
        <v>2278</v>
      </c>
      <c r="J511" t="s">
        <v>774</v>
      </c>
      <c r="L511" s="31">
        <v>100</v>
      </c>
      <c r="M511" s="31">
        <v>7.5</v>
      </c>
      <c r="P511" s="31">
        <v>1</v>
      </c>
      <c r="Q511" s="232">
        <f t="shared" si="196"/>
        <v>0.125</v>
      </c>
      <c r="R511" s="40">
        <v>0.85</v>
      </c>
      <c r="S511" s="334">
        <f t="shared" si="197"/>
        <v>0.10625</v>
      </c>
      <c r="T511" s="31">
        <f>VLOOKUP(A511,'Ansvar kurs'!$A$1:$C$1010,2,FALSE)</f>
        <v>5730</v>
      </c>
      <c r="U511" s="31" t="str">
        <f>VLOOKUP(T511,Orgenheter!$A$1:$C$165,2,FALSE)</f>
        <v>Inst för MA och MA statistik</v>
      </c>
      <c r="V511" s="31" t="str">
        <f>VLOOKUP(T511,Orgenheter!$A$1:$C$165,3,FALSE)</f>
        <v>TekNat</v>
      </c>
      <c r="W511" s="37" t="str">
        <f>VLOOKUP(D511,Program!$A$1:$B$34,2,FALSE)</f>
        <v>Ämneslärarprogrammet - Gy</v>
      </c>
      <c r="X511" s="42">
        <f>VLOOKUP(A511,kurspris!$A$1:$Q$798,15,FALSE)</f>
        <v>19473</v>
      </c>
      <c r="Y511" s="42">
        <f>VLOOKUP(A511,kurspris!$A$1:$Q$798,16,FALSE)</f>
        <v>34806</v>
      </c>
      <c r="Z511" s="42">
        <f t="shared" ref="Z511" si="276">X511*Q511+S511*Y511</f>
        <v>6132.2624999999998</v>
      </c>
      <c r="AA511" s="42">
        <f>VLOOKUP(A511,kurspris!$A$1:$Q$798,17,FALSE)</f>
        <v>21800</v>
      </c>
      <c r="AB511" s="42">
        <f t="shared" ref="AB511" si="277">AA511*Q511</f>
        <v>2725</v>
      </c>
      <c r="AC511" s="42">
        <f t="shared" ref="AC511" si="278">Z511+AB511</f>
        <v>8857.2625000000007</v>
      </c>
      <c r="AD511" s="31">
        <f>VLOOKUP($A511,kurspris!$A$1:$Q$835,3,FALSE)</f>
        <v>0</v>
      </c>
      <c r="AE511" s="31">
        <f>VLOOKUP($A511,kurspris!$A$1:$Q$835,4,FALSE)</f>
        <v>0</v>
      </c>
      <c r="AF511" s="31">
        <f>VLOOKUP($A511,kurspris!$A$1:$Q$835,5,FALSE)</f>
        <v>0</v>
      </c>
      <c r="AG511" s="31">
        <f>VLOOKUP($A511,kurspris!$A$1:$Q$835,6,FALSE)</f>
        <v>0</v>
      </c>
      <c r="AH511" s="31">
        <f>VLOOKUP($A511,kurspris!$A$1:$Q$835,7,FALSE)</f>
        <v>0</v>
      </c>
      <c r="AI511" s="31">
        <f>VLOOKUP($A511,kurspris!$A$1:$Q$835,8,FALSE)</f>
        <v>1</v>
      </c>
      <c r="AJ511" s="31">
        <f>VLOOKUP($A511,kurspris!$A$1:$Q$835,9,FALSE)</f>
        <v>0</v>
      </c>
      <c r="AK511" s="31">
        <f>VLOOKUP($A511,kurspris!$A$1:$Q$835,10,FALSE)</f>
        <v>0</v>
      </c>
      <c r="AL511" s="31">
        <f>VLOOKUP($A511,kurspris!$A$1:$Q$835,11,FALSE)</f>
        <v>0</v>
      </c>
      <c r="AM511" s="31">
        <f>VLOOKUP($A511,kurspris!$A$1:$Q$835,12,FALSE)</f>
        <v>0</v>
      </c>
      <c r="AN511" s="31">
        <f>VLOOKUP($A511,kurspris!$A$1:$Q$835,13,FALSE)</f>
        <v>0</v>
      </c>
      <c r="AO511" s="31">
        <f>VLOOKUP($A511,kurspris!$A$1:$Q$835,14,FALSE)</f>
        <v>0</v>
      </c>
      <c r="AP511" s="39" t="s">
        <v>2326</v>
      </c>
      <c r="AQ511"/>
      <c r="AR511" s="31">
        <f t="shared" ref="AR511" si="279">$Q511*AD511</f>
        <v>0</v>
      </c>
      <c r="AS511" s="255">
        <f t="shared" ref="AS511" si="280">$S511*AD511</f>
        <v>0</v>
      </c>
      <c r="AT511" s="31">
        <f t="shared" ref="AT511" si="281">$Q511*AE511</f>
        <v>0</v>
      </c>
      <c r="AU511" s="255">
        <f t="shared" ref="AU511" si="282">$S511*AE511</f>
        <v>0</v>
      </c>
      <c r="AV511" s="31">
        <f t="shared" ref="AV511" si="283">$Q511*AF511</f>
        <v>0</v>
      </c>
      <c r="AW511" s="31">
        <f t="shared" ref="AW511" si="284">$S511*AF511</f>
        <v>0</v>
      </c>
      <c r="AX511" s="31">
        <f t="shared" ref="AX511" si="285">$Q511*AG511</f>
        <v>0</v>
      </c>
      <c r="AY511" s="255">
        <f t="shared" ref="AY511" si="286">$S511*AG511</f>
        <v>0</v>
      </c>
      <c r="AZ511" s="232">
        <f t="shared" ref="AZ511" si="287">$Q511*AH511</f>
        <v>0</v>
      </c>
      <c r="BA511" s="255">
        <f t="shared" ref="BA511" si="288">$S511*AH511</f>
        <v>0</v>
      </c>
      <c r="BB511" s="31">
        <f t="shared" ref="BB511" si="289">$Q511*AI511</f>
        <v>0.125</v>
      </c>
      <c r="BC511" s="255">
        <f t="shared" ref="BC511" si="290">$S511*AI511</f>
        <v>0.10625</v>
      </c>
      <c r="BD511" s="31">
        <f t="shared" ref="BD511" si="291">$Q511*AJ511</f>
        <v>0</v>
      </c>
      <c r="BE511" s="255">
        <f t="shared" ref="BE511" si="292">$S511*AJ511</f>
        <v>0</v>
      </c>
      <c r="BF511" s="31">
        <f t="shared" ref="BF511" si="293">$Q511*AK511</f>
        <v>0</v>
      </c>
      <c r="BG511" s="255">
        <f t="shared" ref="BG511" si="294">$S511*AK511</f>
        <v>0</v>
      </c>
      <c r="BH511" s="31">
        <f t="shared" ref="BH511" si="295">$Q511*AL511</f>
        <v>0</v>
      </c>
      <c r="BI511" s="255">
        <f t="shared" ref="BI511" si="296">$S511*AL511</f>
        <v>0</v>
      </c>
      <c r="BJ511" s="31">
        <f t="shared" ref="BJ511" si="297">$Q511*AM511</f>
        <v>0</v>
      </c>
      <c r="BK511" s="31">
        <f t="shared" ref="BK511" si="298">$Q511*AN511</f>
        <v>0</v>
      </c>
      <c r="BL511" s="255">
        <f t="shared" ref="BL511" si="299">$S511*AN511</f>
        <v>0</v>
      </c>
      <c r="BM511" s="31">
        <f t="shared" ref="BM511" si="300">$Q511*AO511</f>
        <v>0</v>
      </c>
      <c r="BN511" s="255">
        <f t="shared" ref="BN511" si="301">$S511*AO511</f>
        <v>0</v>
      </c>
    </row>
    <row r="512" spans="1:66" x14ac:dyDescent="0.25">
      <c r="A512" s="18" t="s">
        <v>2052</v>
      </c>
      <c r="B512" s="186" t="str">
        <f>VLOOKUP(A512,kurspris!$A$1:$B$877,2,FALSE)</f>
        <v>Statistik för naturvetare</v>
      </c>
      <c r="C512"/>
      <c r="D512" t="s">
        <v>117</v>
      </c>
      <c r="E512"/>
      <c r="F512" s="39" t="s">
        <v>1930</v>
      </c>
      <c r="G512"/>
      <c r="H512"/>
      <c r="I512"/>
      <c r="J512"/>
      <c r="K512"/>
      <c r="L512">
        <v>50</v>
      </c>
      <c r="M512">
        <v>7.5</v>
      </c>
      <c r="N512"/>
      <c r="O512"/>
      <c r="P512" s="31">
        <v>1</v>
      </c>
      <c r="Q512" s="232">
        <f t="shared" si="196"/>
        <v>0.125</v>
      </c>
      <c r="R512" s="40">
        <v>0.85</v>
      </c>
      <c r="S512" s="334">
        <f t="shared" si="197"/>
        <v>0.10625</v>
      </c>
      <c r="T512" s="31">
        <f>VLOOKUP(A512,'Ansvar kurs'!$A$1:$C$1010,2,FALSE)</f>
        <v>5730</v>
      </c>
      <c r="U512" s="31" t="str">
        <f>VLOOKUP(T512,Orgenheter!$A$1:$C$165,2,FALSE)</f>
        <v>Inst för MA och MA statistik</v>
      </c>
      <c r="V512" s="31" t="str">
        <f>VLOOKUP(T512,Orgenheter!$A$1:$C$165,3,FALSE)</f>
        <v>TekNat</v>
      </c>
      <c r="W512" s="37" t="str">
        <f>VLOOKUP(D512,Program!$A$1:$B$34,2,FALSE)</f>
        <v>Fristående och övriga kurser</v>
      </c>
      <c r="X512" s="42">
        <f>VLOOKUP(A512,kurspris!$A$1:$Q$798,15,FALSE)</f>
        <v>19473</v>
      </c>
      <c r="Y512" s="42">
        <f>VLOOKUP(A512,kurspris!$A$1:$Q$798,16,FALSE)</f>
        <v>34806</v>
      </c>
      <c r="Z512" s="42">
        <f t="shared" si="198"/>
        <v>6132.2624999999998</v>
      </c>
      <c r="AA512" s="42">
        <f>VLOOKUP(A512,kurspris!$A$1:$Q$798,17,FALSE)</f>
        <v>21800</v>
      </c>
      <c r="AB512" s="42">
        <f t="shared" si="199"/>
        <v>2725</v>
      </c>
      <c r="AC512" s="42">
        <f t="shared" si="200"/>
        <v>8857.2625000000007</v>
      </c>
      <c r="AD512" s="31">
        <f>VLOOKUP($A512,kurspris!$A$1:$Q$835,3,FALSE)</f>
        <v>0</v>
      </c>
      <c r="AE512" s="31">
        <f>VLOOKUP($A512,kurspris!$A$1:$Q$835,4,FALSE)</f>
        <v>0</v>
      </c>
      <c r="AF512" s="31">
        <f>VLOOKUP($A512,kurspris!$A$1:$Q$835,5,FALSE)</f>
        <v>0</v>
      </c>
      <c r="AG512" s="31">
        <f>VLOOKUP($A512,kurspris!$A$1:$Q$835,6,FALSE)</f>
        <v>0</v>
      </c>
      <c r="AH512" s="31">
        <f>VLOOKUP($A512,kurspris!$A$1:$Q$835,7,FALSE)</f>
        <v>0</v>
      </c>
      <c r="AI512" s="31">
        <f>VLOOKUP($A512,kurspris!$A$1:$Q$835,8,FALSE)</f>
        <v>1</v>
      </c>
      <c r="AJ512" s="31">
        <f>VLOOKUP($A512,kurspris!$A$1:$Q$835,9,FALSE)</f>
        <v>0</v>
      </c>
      <c r="AK512" s="31">
        <f>VLOOKUP($A512,kurspris!$A$1:$Q$835,10,FALSE)</f>
        <v>0</v>
      </c>
      <c r="AL512" s="31">
        <f>VLOOKUP($A512,kurspris!$A$1:$Q$835,11,FALSE)</f>
        <v>0</v>
      </c>
      <c r="AM512" s="31">
        <f>VLOOKUP($A512,kurspris!$A$1:$Q$835,12,FALSE)</f>
        <v>0</v>
      </c>
      <c r="AN512" s="31">
        <f>VLOOKUP($A512,kurspris!$A$1:$Q$835,13,FALSE)</f>
        <v>0</v>
      </c>
      <c r="AO512" s="31">
        <f>VLOOKUP($A512,kurspris!$A$1:$Q$835,14,FALSE)</f>
        <v>0</v>
      </c>
      <c r="AP512" s="39" t="s">
        <v>2235</v>
      </c>
      <c r="AQ512"/>
      <c r="AR512" s="31">
        <f t="shared" si="201"/>
        <v>0</v>
      </c>
      <c r="AS512" s="255">
        <f t="shared" si="202"/>
        <v>0</v>
      </c>
      <c r="AT512" s="31">
        <f t="shared" si="203"/>
        <v>0</v>
      </c>
      <c r="AU512" s="255">
        <f t="shared" si="204"/>
        <v>0</v>
      </c>
      <c r="AV512" s="31">
        <f t="shared" si="205"/>
        <v>0</v>
      </c>
      <c r="AW512" s="31">
        <f t="shared" si="206"/>
        <v>0</v>
      </c>
      <c r="AX512" s="31">
        <f t="shared" si="207"/>
        <v>0</v>
      </c>
      <c r="AY512" s="255">
        <f t="shared" si="208"/>
        <v>0</v>
      </c>
      <c r="AZ512" s="232">
        <f t="shared" si="209"/>
        <v>0</v>
      </c>
      <c r="BA512" s="255">
        <f t="shared" si="210"/>
        <v>0</v>
      </c>
      <c r="BB512" s="31">
        <f t="shared" si="211"/>
        <v>0.125</v>
      </c>
      <c r="BC512" s="255">
        <f t="shared" si="212"/>
        <v>0.10625</v>
      </c>
      <c r="BD512" s="31">
        <f t="shared" si="213"/>
        <v>0</v>
      </c>
      <c r="BE512" s="255">
        <f t="shared" si="214"/>
        <v>0</v>
      </c>
      <c r="BF512" s="31">
        <f t="shared" si="215"/>
        <v>0</v>
      </c>
      <c r="BG512" s="255">
        <f t="shared" si="216"/>
        <v>0</v>
      </c>
      <c r="BH512" s="31">
        <f t="shared" si="217"/>
        <v>0</v>
      </c>
      <c r="BI512" s="255">
        <f t="shared" si="218"/>
        <v>0</v>
      </c>
      <c r="BJ512" s="31">
        <f t="shared" si="219"/>
        <v>0</v>
      </c>
      <c r="BK512" s="31">
        <f t="shared" si="220"/>
        <v>0</v>
      </c>
      <c r="BL512" s="255">
        <f t="shared" si="221"/>
        <v>0</v>
      </c>
      <c r="BM512" s="31">
        <f t="shared" si="222"/>
        <v>0</v>
      </c>
      <c r="BN512" s="255">
        <f t="shared" si="223"/>
        <v>0</v>
      </c>
    </row>
    <row r="513" spans="1:66" x14ac:dyDescent="0.25">
      <c r="A513" s="18" t="s">
        <v>2052</v>
      </c>
      <c r="B513" s="186" t="str">
        <f>VLOOKUP(A513,kurspris!$A$1:$B$877,2,FALSE)</f>
        <v>Statistik för naturvetare</v>
      </c>
      <c r="C513" s="37"/>
      <c r="D513" t="s">
        <v>117</v>
      </c>
      <c r="E513"/>
      <c r="F513" s="59" t="s">
        <v>1931</v>
      </c>
      <c r="G513"/>
      <c r="H513"/>
      <c r="I513" t="s">
        <v>1634</v>
      </c>
      <c r="L513">
        <v>50</v>
      </c>
      <c r="M513">
        <v>7.5</v>
      </c>
      <c r="P513">
        <v>2</v>
      </c>
      <c r="Q513" s="232">
        <f t="shared" si="196"/>
        <v>0.25</v>
      </c>
      <c r="R513" s="40">
        <v>0.8</v>
      </c>
      <c r="S513" s="334">
        <f t="shared" si="197"/>
        <v>0.2</v>
      </c>
      <c r="T513" s="31">
        <f>VLOOKUP(A513,'Ansvar kurs'!$A$1:$C$1010,2,FALSE)</f>
        <v>5730</v>
      </c>
      <c r="U513" s="31" t="str">
        <f>VLOOKUP(T513,Orgenheter!$A$1:$C$165,2,FALSE)</f>
        <v>Inst för MA och MA statistik</v>
      </c>
      <c r="V513" s="31" t="str">
        <f>VLOOKUP(T513,Orgenheter!$A$1:$C$165,3,FALSE)</f>
        <v>TekNat</v>
      </c>
      <c r="W513" s="37" t="str">
        <f>VLOOKUP(D513,Program!$A$1:$B$34,2,FALSE)</f>
        <v>Fristående och övriga kurser</v>
      </c>
      <c r="X513" s="42">
        <f>VLOOKUP(A513,kurspris!$A$1:$Q$798,15,FALSE)</f>
        <v>19473</v>
      </c>
      <c r="Y513" s="42">
        <f>VLOOKUP(A513,kurspris!$A$1:$Q$798,16,FALSE)</f>
        <v>34806</v>
      </c>
      <c r="Z513" s="42">
        <f t="shared" si="198"/>
        <v>11829.45</v>
      </c>
      <c r="AA513" s="42">
        <f>VLOOKUP(A513,kurspris!$A$1:$Q$798,17,FALSE)</f>
        <v>21800</v>
      </c>
      <c r="AB513" s="42">
        <f t="shared" si="199"/>
        <v>5450</v>
      </c>
      <c r="AC513" s="42">
        <f t="shared" si="200"/>
        <v>17279.45</v>
      </c>
      <c r="AD513" s="31">
        <f>VLOOKUP($A513,kurspris!$A$1:$Q$835,3,FALSE)</f>
        <v>0</v>
      </c>
      <c r="AE513" s="31">
        <f>VLOOKUP($A513,kurspris!$A$1:$Q$835,4,FALSE)</f>
        <v>0</v>
      </c>
      <c r="AF513" s="31">
        <f>VLOOKUP($A513,kurspris!$A$1:$Q$835,5,FALSE)</f>
        <v>0</v>
      </c>
      <c r="AG513" s="31">
        <f>VLOOKUP($A513,kurspris!$A$1:$Q$835,6,FALSE)</f>
        <v>0</v>
      </c>
      <c r="AH513" s="31">
        <f>VLOOKUP($A513,kurspris!$A$1:$Q$835,7,FALSE)</f>
        <v>0</v>
      </c>
      <c r="AI513" s="31">
        <f>VLOOKUP($A513,kurspris!$A$1:$Q$835,8,FALSE)</f>
        <v>1</v>
      </c>
      <c r="AJ513" s="31">
        <f>VLOOKUP($A513,kurspris!$A$1:$Q$835,9,FALSE)</f>
        <v>0</v>
      </c>
      <c r="AK513" s="31">
        <f>VLOOKUP($A513,kurspris!$A$1:$Q$835,10,FALSE)</f>
        <v>0</v>
      </c>
      <c r="AL513" s="31">
        <f>VLOOKUP($A513,kurspris!$A$1:$Q$835,11,FALSE)</f>
        <v>0</v>
      </c>
      <c r="AM513" s="31">
        <f>VLOOKUP($A513,kurspris!$A$1:$Q$835,12,FALSE)</f>
        <v>0</v>
      </c>
      <c r="AN513" s="31">
        <f>VLOOKUP($A513,kurspris!$A$1:$Q$835,13,FALSE)</f>
        <v>0</v>
      </c>
      <c r="AO513" s="31">
        <f>VLOOKUP($A513,kurspris!$A$1:$Q$835,14,FALSE)</f>
        <v>0</v>
      </c>
      <c r="AP513" s="39" t="s">
        <v>2095</v>
      </c>
      <c r="AQ513"/>
      <c r="AR513" s="31">
        <f t="shared" si="201"/>
        <v>0</v>
      </c>
      <c r="AS513" s="255">
        <f t="shared" si="202"/>
        <v>0</v>
      </c>
      <c r="AT513" s="31">
        <f t="shared" si="203"/>
        <v>0</v>
      </c>
      <c r="AU513" s="255">
        <f t="shared" si="204"/>
        <v>0</v>
      </c>
      <c r="AV513" s="31">
        <f t="shared" si="205"/>
        <v>0</v>
      </c>
      <c r="AW513" s="31">
        <f t="shared" si="206"/>
        <v>0</v>
      </c>
      <c r="AX513" s="31">
        <f t="shared" si="207"/>
        <v>0</v>
      </c>
      <c r="AY513" s="255">
        <f t="shared" si="208"/>
        <v>0</v>
      </c>
      <c r="AZ513" s="232">
        <f t="shared" si="209"/>
        <v>0</v>
      </c>
      <c r="BA513" s="255">
        <f t="shared" si="210"/>
        <v>0</v>
      </c>
      <c r="BB513" s="31">
        <f t="shared" si="211"/>
        <v>0.25</v>
      </c>
      <c r="BC513" s="255">
        <f t="shared" si="212"/>
        <v>0.2</v>
      </c>
      <c r="BD513" s="31">
        <f t="shared" si="213"/>
        <v>0</v>
      </c>
      <c r="BE513" s="255">
        <f t="shared" si="214"/>
        <v>0</v>
      </c>
      <c r="BF513" s="31">
        <f t="shared" si="215"/>
        <v>0</v>
      </c>
      <c r="BG513" s="255">
        <f t="shared" si="216"/>
        <v>0</v>
      </c>
      <c r="BH513" s="31">
        <f t="shared" si="217"/>
        <v>0</v>
      </c>
      <c r="BI513" s="255">
        <f t="shared" si="218"/>
        <v>0</v>
      </c>
      <c r="BJ513" s="31">
        <f t="shared" si="219"/>
        <v>0</v>
      </c>
      <c r="BK513" s="31">
        <f t="shared" si="220"/>
        <v>0</v>
      </c>
      <c r="BL513" s="255">
        <f t="shared" si="221"/>
        <v>0</v>
      </c>
      <c r="BM513" s="31">
        <f t="shared" si="222"/>
        <v>0</v>
      </c>
      <c r="BN513" s="255">
        <f t="shared" si="223"/>
        <v>0</v>
      </c>
    </row>
    <row r="514" spans="1:66" x14ac:dyDescent="0.25">
      <c r="A514" t="s">
        <v>2052</v>
      </c>
      <c r="B514" s="186" t="str">
        <f>VLOOKUP(A514,kurspris!$A$1:$B$877,2,FALSE)</f>
        <v>Statistik för naturvetare</v>
      </c>
      <c r="C514"/>
      <c r="D514" t="s">
        <v>483</v>
      </c>
      <c r="E514" t="s">
        <v>1609</v>
      </c>
      <c r="F514" s="59" t="s">
        <v>1930</v>
      </c>
      <c r="G514" t="s">
        <v>1980</v>
      </c>
      <c r="H514" t="s">
        <v>1910</v>
      </c>
      <c r="I514"/>
      <c r="J514" t="s">
        <v>774</v>
      </c>
      <c r="K514"/>
      <c r="L514">
        <v>50</v>
      </c>
      <c r="M514">
        <v>7.5</v>
      </c>
      <c r="N514"/>
      <c r="O514"/>
      <c r="P514" s="31">
        <v>2</v>
      </c>
      <c r="Q514" s="232">
        <f t="shared" si="196"/>
        <v>0.25</v>
      </c>
      <c r="R514" s="40">
        <v>0.85</v>
      </c>
      <c r="S514" s="334">
        <f t="shared" si="197"/>
        <v>0.21249999999999999</v>
      </c>
      <c r="T514" s="31">
        <f>VLOOKUP(A514,'Ansvar kurs'!$A$1:$C$1010,2,FALSE)</f>
        <v>5730</v>
      </c>
      <c r="U514" s="31" t="str">
        <f>VLOOKUP(T514,Orgenheter!$A$1:$C$165,2,FALSE)</f>
        <v>Inst för MA och MA statistik</v>
      </c>
      <c r="V514" s="31" t="str">
        <f>VLOOKUP(T514,Orgenheter!$A$1:$C$165,3,FALSE)</f>
        <v>TekNat</v>
      </c>
      <c r="W514" s="37" t="str">
        <f>VLOOKUP(D514,Program!$A$1:$B$34,2,FALSE)</f>
        <v>Ämneslärarprogrammet - Gy</v>
      </c>
      <c r="X514" s="42">
        <f>VLOOKUP(A514,kurspris!$A$1:$Q$798,15,FALSE)</f>
        <v>19473</v>
      </c>
      <c r="Y514" s="42">
        <f>VLOOKUP(A514,kurspris!$A$1:$Q$798,16,FALSE)</f>
        <v>34806</v>
      </c>
      <c r="Z514" s="42">
        <f t="shared" si="198"/>
        <v>12264.525</v>
      </c>
      <c r="AA514" s="42">
        <f>VLOOKUP(A514,kurspris!$A$1:$Q$798,17,FALSE)</f>
        <v>21800</v>
      </c>
      <c r="AB514" s="42">
        <f t="shared" si="199"/>
        <v>5450</v>
      </c>
      <c r="AC514" s="42">
        <f t="shared" si="200"/>
        <v>17714.525000000001</v>
      </c>
      <c r="AD514" s="31">
        <f>VLOOKUP($A514,kurspris!$A$1:$Q$835,3,FALSE)</f>
        <v>0</v>
      </c>
      <c r="AE514" s="31">
        <f>VLOOKUP($A514,kurspris!$A$1:$Q$835,4,FALSE)</f>
        <v>0</v>
      </c>
      <c r="AF514" s="31">
        <f>VLOOKUP($A514,kurspris!$A$1:$Q$835,5,FALSE)</f>
        <v>0</v>
      </c>
      <c r="AG514" s="31">
        <f>VLOOKUP($A514,kurspris!$A$1:$Q$835,6,FALSE)</f>
        <v>0</v>
      </c>
      <c r="AH514" s="31">
        <f>VLOOKUP($A514,kurspris!$A$1:$Q$835,7,FALSE)</f>
        <v>0</v>
      </c>
      <c r="AI514" s="31">
        <f>VLOOKUP($A514,kurspris!$A$1:$Q$835,8,FALSE)</f>
        <v>1</v>
      </c>
      <c r="AJ514" s="31">
        <f>VLOOKUP($A514,kurspris!$A$1:$Q$835,9,FALSE)</f>
        <v>0</v>
      </c>
      <c r="AK514" s="31">
        <f>VLOOKUP($A514,kurspris!$A$1:$Q$835,10,FALSE)</f>
        <v>0</v>
      </c>
      <c r="AL514" s="31">
        <f>VLOOKUP($A514,kurspris!$A$1:$Q$835,11,FALSE)</f>
        <v>0</v>
      </c>
      <c r="AM514" s="31">
        <f>VLOOKUP($A514,kurspris!$A$1:$Q$835,12,FALSE)</f>
        <v>0</v>
      </c>
      <c r="AN514" s="31">
        <f>VLOOKUP($A514,kurspris!$A$1:$Q$835,13,FALSE)</f>
        <v>0</v>
      </c>
      <c r="AO514" s="31">
        <f>VLOOKUP($A514,kurspris!$A$1:$Q$835,14,FALSE)</f>
        <v>0</v>
      </c>
      <c r="AP514" s="39" t="s">
        <v>2235</v>
      </c>
      <c r="AQ514"/>
      <c r="AR514" s="31">
        <f t="shared" si="201"/>
        <v>0</v>
      </c>
      <c r="AS514" s="255">
        <f t="shared" si="202"/>
        <v>0</v>
      </c>
      <c r="AT514" s="31">
        <f t="shared" si="203"/>
        <v>0</v>
      </c>
      <c r="AU514" s="255">
        <f t="shared" si="204"/>
        <v>0</v>
      </c>
      <c r="AV514" s="31">
        <f t="shared" si="205"/>
        <v>0</v>
      </c>
      <c r="AW514" s="31">
        <f t="shared" si="206"/>
        <v>0</v>
      </c>
      <c r="AX514" s="31">
        <f t="shared" si="207"/>
        <v>0</v>
      </c>
      <c r="AY514" s="255">
        <f t="shared" si="208"/>
        <v>0</v>
      </c>
      <c r="AZ514" s="232">
        <f t="shared" si="209"/>
        <v>0</v>
      </c>
      <c r="BA514" s="255">
        <f t="shared" si="210"/>
        <v>0</v>
      </c>
      <c r="BB514" s="31">
        <f t="shared" si="211"/>
        <v>0.25</v>
      </c>
      <c r="BC514" s="255">
        <f t="shared" si="212"/>
        <v>0.21249999999999999</v>
      </c>
      <c r="BD514" s="31">
        <f t="shared" si="213"/>
        <v>0</v>
      </c>
      <c r="BE514" s="255">
        <f t="shared" si="214"/>
        <v>0</v>
      </c>
      <c r="BF514" s="31">
        <f t="shared" si="215"/>
        <v>0</v>
      </c>
      <c r="BG514" s="255">
        <f t="shared" si="216"/>
        <v>0</v>
      </c>
      <c r="BH514" s="31">
        <f t="shared" si="217"/>
        <v>0</v>
      </c>
      <c r="BI514" s="255">
        <f t="shared" si="218"/>
        <v>0</v>
      </c>
      <c r="BJ514" s="31">
        <f t="shared" si="219"/>
        <v>0</v>
      </c>
      <c r="BK514" s="31">
        <f t="shared" si="220"/>
        <v>0</v>
      </c>
      <c r="BL514" s="255">
        <f t="shared" si="221"/>
        <v>0</v>
      </c>
      <c r="BM514" s="31">
        <f t="shared" si="222"/>
        <v>0</v>
      </c>
      <c r="BN514" s="255">
        <f t="shared" si="223"/>
        <v>0</v>
      </c>
    </row>
    <row r="515" spans="1:66" x14ac:dyDescent="0.25">
      <c r="A515" s="18" t="s">
        <v>414</v>
      </c>
      <c r="B515" s="186" t="str">
        <f>VLOOKUP(A515,kurspris!$A$1:$B$877,2,FALSE)</f>
        <v>Musik &amp; skapande, kommunikation</v>
      </c>
      <c r="C515" s="37"/>
      <c r="D515" t="s">
        <v>117</v>
      </c>
      <c r="E515"/>
      <c r="F515" s="59" t="s">
        <v>1930</v>
      </c>
      <c r="G515"/>
      <c r="H515"/>
      <c r="I515" t="s">
        <v>2066</v>
      </c>
      <c r="L515">
        <v>50</v>
      </c>
      <c r="M515">
        <v>15</v>
      </c>
      <c r="P515" s="31">
        <v>4</v>
      </c>
      <c r="Q515" s="232">
        <f t="shared" si="196"/>
        <v>1</v>
      </c>
      <c r="R515" s="40">
        <v>0.8</v>
      </c>
      <c r="S515" s="334">
        <f t="shared" si="197"/>
        <v>0.8</v>
      </c>
      <c r="T515" s="31">
        <f>VLOOKUP(A515,'Ansvar kurs'!$A$1:$C$1010,2,FALSE)</f>
        <v>1650</v>
      </c>
      <c r="U515" s="31" t="str">
        <f>VLOOKUP(T515,Orgenheter!$A$1:$C$165,2,FALSE)</f>
        <v xml:space="preserve">Estetiska ämnen               </v>
      </c>
      <c r="V515" s="31" t="str">
        <f>VLOOKUP(T515,Orgenheter!$A$1:$C$165,3,FALSE)</f>
        <v>Hum</v>
      </c>
      <c r="W515" s="37" t="str">
        <f>VLOOKUP(D515,Program!$A$1:$B$34,2,FALSE)</f>
        <v>Fristående och övriga kurser</v>
      </c>
      <c r="X515" s="42">
        <f>VLOOKUP(A515,kurspris!$A$1:$Q$798,15,FALSE)</f>
        <v>30802</v>
      </c>
      <c r="Y515" s="42">
        <f>VLOOKUP(A515,kurspris!$A$1:$Q$798,16,FALSE)</f>
        <v>63797</v>
      </c>
      <c r="Z515" s="42">
        <f t="shared" si="198"/>
        <v>81839.600000000006</v>
      </c>
      <c r="AA515" s="42">
        <f>VLOOKUP(A515,kurspris!$A$1:$Q$798,17,FALSE)</f>
        <v>70100</v>
      </c>
      <c r="AB515" s="42">
        <f t="shared" si="199"/>
        <v>70100</v>
      </c>
      <c r="AC515" s="42">
        <f t="shared" si="200"/>
        <v>151939.6</v>
      </c>
      <c r="AD515" s="31">
        <f>VLOOKUP($A515,kurspris!$A$1:$Q$835,3,FALSE)</f>
        <v>0</v>
      </c>
      <c r="AE515" s="31">
        <f>VLOOKUP($A515,kurspris!$A$1:$Q$835,4,FALSE)</f>
        <v>0</v>
      </c>
      <c r="AF515" s="31">
        <f>VLOOKUP($A515,kurspris!$A$1:$Q$835,5,FALSE)</f>
        <v>0</v>
      </c>
      <c r="AG515" s="31">
        <f>VLOOKUP($A515,kurspris!$A$1:$Q$835,6,FALSE)</f>
        <v>0</v>
      </c>
      <c r="AH515" s="31">
        <f>VLOOKUP($A515,kurspris!$A$1:$Q$835,7,FALSE)</f>
        <v>1</v>
      </c>
      <c r="AI515" s="31">
        <f>VLOOKUP($A515,kurspris!$A$1:$Q$835,8,FALSE)</f>
        <v>0</v>
      </c>
      <c r="AJ515" s="31">
        <f>VLOOKUP($A515,kurspris!$A$1:$Q$835,9,FALSE)</f>
        <v>0</v>
      </c>
      <c r="AK515" s="31">
        <f>VLOOKUP($A515,kurspris!$A$1:$Q$835,10,FALSE)</f>
        <v>0</v>
      </c>
      <c r="AL515" s="31">
        <f>VLOOKUP($A515,kurspris!$A$1:$Q$835,11,FALSE)</f>
        <v>0</v>
      </c>
      <c r="AM515" s="31">
        <f>VLOOKUP($A515,kurspris!$A$1:$Q$835,12,FALSE)</f>
        <v>0</v>
      </c>
      <c r="AN515" s="31">
        <f>VLOOKUP($A515,kurspris!$A$1:$Q$835,13,FALSE)</f>
        <v>0</v>
      </c>
      <c r="AO515" s="31">
        <f>VLOOKUP($A515,kurspris!$A$1:$Q$835,14,FALSE)</f>
        <v>0</v>
      </c>
      <c r="AP515" s="39" t="s">
        <v>2232</v>
      </c>
      <c r="AQ515" s="39" t="s">
        <v>2095</v>
      </c>
      <c r="AR515" s="31">
        <f t="shared" si="201"/>
        <v>0</v>
      </c>
      <c r="AS515" s="255">
        <f t="shared" si="202"/>
        <v>0</v>
      </c>
      <c r="AT515" s="31">
        <f t="shared" si="203"/>
        <v>0</v>
      </c>
      <c r="AU515" s="255">
        <f t="shared" si="204"/>
        <v>0</v>
      </c>
      <c r="AV515" s="31">
        <f t="shared" si="205"/>
        <v>0</v>
      </c>
      <c r="AW515" s="31">
        <f t="shared" si="206"/>
        <v>0</v>
      </c>
      <c r="AX515" s="31">
        <f t="shared" si="207"/>
        <v>0</v>
      </c>
      <c r="AY515" s="255">
        <f t="shared" si="208"/>
        <v>0</v>
      </c>
      <c r="AZ515" s="232">
        <f t="shared" si="209"/>
        <v>1</v>
      </c>
      <c r="BA515" s="255">
        <f t="shared" si="210"/>
        <v>0.8</v>
      </c>
      <c r="BB515" s="31">
        <f t="shared" si="211"/>
        <v>0</v>
      </c>
      <c r="BC515" s="255">
        <f t="shared" si="212"/>
        <v>0</v>
      </c>
      <c r="BD515" s="31">
        <f t="shared" si="213"/>
        <v>0</v>
      </c>
      <c r="BE515" s="255">
        <f t="shared" si="214"/>
        <v>0</v>
      </c>
      <c r="BF515" s="31">
        <f t="shared" si="215"/>
        <v>0</v>
      </c>
      <c r="BG515" s="255">
        <f t="shared" si="216"/>
        <v>0</v>
      </c>
      <c r="BH515" s="31">
        <f t="shared" si="217"/>
        <v>0</v>
      </c>
      <c r="BI515" s="255">
        <f t="shared" si="218"/>
        <v>0</v>
      </c>
      <c r="BJ515" s="31">
        <f t="shared" si="219"/>
        <v>0</v>
      </c>
      <c r="BK515" s="31">
        <f t="shared" si="220"/>
        <v>0</v>
      </c>
      <c r="BL515" s="255">
        <f t="shared" si="221"/>
        <v>0</v>
      </c>
      <c r="BM515" s="31">
        <f t="shared" si="222"/>
        <v>0</v>
      </c>
      <c r="BN515" s="255">
        <f t="shared" si="223"/>
        <v>0</v>
      </c>
    </row>
    <row r="516" spans="1:66" x14ac:dyDescent="0.25">
      <c r="A516" s="18" t="s">
        <v>414</v>
      </c>
      <c r="B516" s="186" t="str">
        <f>VLOOKUP(A516,kurspris!$A$1:$B$877,2,FALSE)</f>
        <v>Musik &amp; skapande, kommunikation</v>
      </c>
      <c r="C516" s="37"/>
      <c r="D516" t="s">
        <v>117</v>
      </c>
      <c r="E516"/>
      <c r="F516" s="59" t="s">
        <v>1931</v>
      </c>
      <c r="G516"/>
      <c r="H516"/>
      <c r="I516" t="s">
        <v>2066</v>
      </c>
      <c r="L516">
        <v>50</v>
      </c>
      <c r="M516">
        <v>15</v>
      </c>
      <c r="P516">
        <v>10</v>
      </c>
      <c r="Q516" s="232">
        <f t="shared" ref="Q516:Q578" si="302">(M516/60)*P516</f>
        <v>2.5</v>
      </c>
      <c r="R516" s="40">
        <v>0.8</v>
      </c>
      <c r="S516" s="334">
        <f t="shared" ref="S516:S578" si="303">Q516*R516</f>
        <v>2</v>
      </c>
      <c r="T516" s="31">
        <f>VLOOKUP(A516,'Ansvar kurs'!$A$1:$C$1010,2,FALSE)</f>
        <v>1650</v>
      </c>
      <c r="U516" s="31" t="str">
        <f>VLOOKUP(T516,Orgenheter!$A$1:$C$165,2,FALSE)</f>
        <v xml:space="preserve">Estetiska ämnen               </v>
      </c>
      <c r="V516" s="31" t="str">
        <f>VLOOKUP(T516,Orgenheter!$A$1:$C$165,3,FALSE)</f>
        <v>Hum</v>
      </c>
      <c r="W516" s="37" t="str">
        <f>VLOOKUP(D516,Program!$A$1:$B$34,2,FALSE)</f>
        <v>Fristående och övriga kurser</v>
      </c>
      <c r="X516" s="42">
        <f>VLOOKUP(A516,kurspris!$A$1:$Q$798,15,FALSE)</f>
        <v>30802</v>
      </c>
      <c r="Y516" s="42">
        <f>VLOOKUP(A516,kurspris!$A$1:$Q$798,16,FALSE)</f>
        <v>63797</v>
      </c>
      <c r="Z516" s="42">
        <f t="shared" ref="Z516:Z578" si="304">X516*Q516+S516*Y516</f>
        <v>204599</v>
      </c>
      <c r="AA516" s="42">
        <f>VLOOKUP(A516,kurspris!$A$1:$Q$798,17,FALSE)</f>
        <v>70100</v>
      </c>
      <c r="AB516" s="42">
        <f t="shared" ref="AB516:AB578" si="305">AA516*Q516</f>
        <v>175250</v>
      </c>
      <c r="AC516" s="42">
        <f t="shared" ref="AC516:AC578" si="306">Z516+AB516</f>
        <v>379849</v>
      </c>
      <c r="AD516" s="31">
        <f>VLOOKUP($A516,kurspris!$A$1:$Q$835,3,FALSE)</f>
        <v>0</v>
      </c>
      <c r="AE516" s="31">
        <f>VLOOKUP($A516,kurspris!$A$1:$Q$835,4,FALSE)</f>
        <v>0</v>
      </c>
      <c r="AF516" s="31">
        <f>VLOOKUP($A516,kurspris!$A$1:$Q$835,5,FALSE)</f>
        <v>0</v>
      </c>
      <c r="AG516" s="31">
        <f>VLOOKUP($A516,kurspris!$A$1:$Q$835,6,FALSE)</f>
        <v>0</v>
      </c>
      <c r="AH516" s="31">
        <f>VLOOKUP($A516,kurspris!$A$1:$Q$835,7,FALSE)</f>
        <v>1</v>
      </c>
      <c r="AI516" s="31">
        <f>VLOOKUP($A516,kurspris!$A$1:$Q$835,8,FALSE)</f>
        <v>0</v>
      </c>
      <c r="AJ516" s="31">
        <f>VLOOKUP($A516,kurspris!$A$1:$Q$835,9,FALSE)</f>
        <v>0</v>
      </c>
      <c r="AK516" s="31">
        <f>VLOOKUP($A516,kurspris!$A$1:$Q$835,10,FALSE)</f>
        <v>0</v>
      </c>
      <c r="AL516" s="31">
        <f>VLOOKUP($A516,kurspris!$A$1:$Q$835,11,FALSE)</f>
        <v>0</v>
      </c>
      <c r="AM516" s="31">
        <f>VLOOKUP($A516,kurspris!$A$1:$Q$835,12,FALSE)</f>
        <v>0</v>
      </c>
      <c r="AN516" s="31">
        <f>VLOOKUP($A516,kurspris!$A$1:$Q$835,13,FALSE)</f>
        <v>0</v>
      </c>
      <c r="AO516" s="31">
        <f>VLOOKUP($A516,kurspris!$A$1:$Q$835,14,FALSE)</f>
        <v>0</v>
      </c>
      <c r="AP516" s="39" t="s">
        <v>2095</v>
      </c>
      <c r="AQ516"/>
      <c r="AR516" s="31">
        <f t="shared" ref="AR516:AR578" si="307">$Q516*AD516</f>
        <v>0</v>
      </c>
      <c r="AS516" s="255">
        <f t="shared" ref="AS516:AS578" si="308">$S516*AD516</f>
        <v>0</v>
      </c>
      <c r="AT516" s="31">
        <f t="shared" ref="AT516:AT578" si="309">$Q516*AE516</f>
        <v>0</v>
      </c>
      <c r="AU516" s="255">
        <f t="shared" ref="AU516:AU578" si="310">$S516*AE516</f>
        <v>0</v>
      </c>
      <c r="AV516" s="31">
        <f t="shared" ref="AV516:AV578" si="311">$Q516*AF516</f>
        <v>0</v>
      </c>
      <c r="AW516" s="31">
        <f t="shared" ref="AW516:AW578" si="312">$S516*AF516</f>
        <v>0</v>
      </c>
      <c r="AX516" s="31">
        <f t="shared" ref="AX516:AX578" si="313">$Q516*AG516</f>
        <v>0</v>
      </c>
      <c r="AY516" s="255">
        <f t="shared" ref="AY516:AY578" si="314">$S516*AG516</f>
        <v>0</v>
      </c>
      <c r="AZ516" s="232">
        <f t="shared" ref="AZ516:AZ578" si="315">$Q516*AH516</f>
        <v>2.5</v>
      </c>
      <c r="BA516" s="255">
        <f t="shared" ref="BA516:BA578" si="316">$S516*AH516</f>
        <v>2</v>
      </c>
      <c r="BB516" s="31">
        <f t="shared" ref="BB516:BB578" si="317">$Q516*AI516</f>
        <v>0</v>
      </c>
      <c r="BC516" s="255">
        <f t="shared" ref="BC516:BC578" si="318">$S516*AI516</f>
        <v>0</v>
      </c>
      <c r="BD516" s="31">
        <f t="shared" ref="BD516:BD578" si="319">$Q516*AJ516</f>
        <v>0</v>
      </c>
      <c r="BE516" s="255">
        <f t="shared" ref="BE516:BE578" si="320">$S516*AJ516</f>
        <v>0</v>
      </c>
      <c r="BF516" s="31">
        <f t="shared" ref="BF516:BF578" si="321">$Q516*AK516</f>
        <v>0</v>
      </c>
      <c r="BG516" s="255">
        <f t="shared" ref="BG516:BG578" si="322">$S516*AK516</f>
        <v>0</v>
      </c>
      <c r="BH516" s="31">
        <f t="shared" ref="BH516:BH578" si="323">$Q516*AL516</f>
        <v>0</v>
      </c>
      <c r="BI516" s="255">
        <f t="shared" ref="BI516:BI578" si="324">$S516*AL516</f>
        <v>0</v>
      </c>
      <c r="BJ516" s="31">
        <f t="shared" ref="BJ516:BJ578" si="325">$Q516*AM516</f>
        <v>0</v>
      </c>
      <c r="BK516" s="31">
        <f t="shared" ref="BK516:BK578" si="326">$Q516*AN516</f>
        <v>0</v>
      </c>
      <c r="BL516" s="255">
        <f t="shared" ref="BL516:BL578" si="327">$S516*AN516</f>
        <v>0</v>
      </c>
      <c r="BM516" s="31">
        <f t="shared" ref="BM516:BM578" si="328">$Q516*AO516</f>
        <v>0</v>
      </c>
      <c r="BN516" s="255">
        <f t="shared" ref="BN516:BN578" si="329">$S516*AO516</f>
        <v>0</v>
      </c>
    </row>
    <row r="517" spans="1:66" x14ac:dyDescent="0.25">
      <c r="A517" s="18" t="s">
        <v>478</v>
      </c>
      <c r="B517" s="186" t="str">
        <f>VLOOKUP(A517,kurspris!$A$1:$B$877,2,FALSE)</f>
        <v>Musik 1a</v>
      </c>
      <c r="C517" s="37"/>
      <c r="D517" t="s">
        <v>117</v>
      </c>
      <c r="E517"/>
      <c r="F517" s="59" t="s">
        <v>1931</v>
      </c>
      <c r="G517"/>
      <c r="H517"/>
      <c r="I517" t="s">
        <v>2066</v>
      </c>
      <c r="L517">
        <v>50</v>
      </c>
      <c r="M517">
        <v>15</v>
      </c>
      <c r="P517">
        <v>10</v>
      </c>
      <c r="Q517" s="232">
        <f t="shared" si="302"/>
        <v>2.5</v>
      </c>
      <c r="R517" s="40">
        <v>0.8</v>
      </c>
      <c r="S517" s="334">
        <f t="shared" si="303"/>
        <v>2</v>
      </c>
      <c r="T517" s="31">
        <f>VLOOKUP(A517,'Ansvar kurs'!$A$1:$C$1010,2,FALSE)</f>
        <v>1650</v>
      </c>
      <c r="U517" s="31" t="str">
        <f>VLOOKUP(T517,Orgenheter!$A$1:$C$165,2,FALSE)</f>
        <v xml:space="preserve">Estetiska ämnen               </v>
      </c>
      <c r="V517" s="31" t="str">
        <f>VLOOKUP(T517,Orgenheter!$A$1:$C$165,3,FALSE)</f>
        <v>Hum</v>
      </c>
      <c r="W517" s="37" t="str">
        <f>VLOOKUP(D517,Program!$A$1:$B$34,2,FALSE)</f>
        <v>Fristående och övriga kurser</v>
      </c>
      <c r="X517" s="42">
        <f>VLOOKUP(A517,kurspris!$A$1:$Q$798,15,FALSE)</f>
        <v>30802</v>
      </c>
      <c r="Y517" s="42">
        <f>VLOOKUP(A517,kurspris!$A$1:$Q$798,16,FALSE)</f>
        <v>63797</v>
      </c>
      <c r="Z517" s="42">
        <f t="shared" si="304"/>
        <v>204599</v>
      </c>
      <c r="AA517" s="42">
        <f>VLOOKUP(A517,kurspris!$A$1:$Q$798,17,FALSE)</f>
        <v>70100</v>
      </c>
      <c r="AB517" s="42">
        <f t="shared" si="305"/>
        <v>175250</v>
      </c>
      <c r="AC517" s="42">
        <f t="shared" si="306"/>
        <v>379849</v>
      </c>
      <c r="AD517" s="31">
        <f>VLOOKUP($A517,kurspris!$A$1:$Q$835,3,FALSE)</f>
        <v>0</v>
      </c>
      <c r="AE517" s="31">
        <f>VLOOKUP($A517,kurspris!$A$1:$Q$835,4,FALSE)</f>
        <v>0</v>
      </c>
      <c r="AF517" s="31">
        <f>VLOOKUP($A517,kurspris!$A$1:$Q$835,5,FALSE)</f>
        <v>0</v>
      </c>
      <c r="AG517" s="31">
        <f>VLOOKUP($A517,kurspris!$A$1:$Q$835,6,FALSE)</f>
        <v>0</v>
      </c>
      <c r="AH517" s="31">
        <f>VLOOKUP($A517,kurspris!$A$1:$Q$835,7,FALSE)</f>
        <v>1</v>
      </c>
      <c r="AI517" s="31">
        <f>VLOOKUP($A517,kurspris!$A$1:$Q$835,8,FALSE)</f>
        <v>0</v>
      </c>
      <c r="AJ517" s="31">
        <f>VLOOKUP($A517,kurspris!$A$1:$Q$835,9,FALSE)</f>
        <v>0</v>
      </c>
      <c r="AK517" s="31">
        <f>VLOOKUP($A517,kurspris!$A$1:$Q$835,10,FALSE)</f>
        <v>0</v>
      </c>
      <c r="AL517" s="31">
        <f>VLOOKUP($A517,kurspris!$A$1:$Q$835,11,FALSE)</f>
        <v>0</v>
      </c>
      <c r="AM517" s="31">
        <f>VLOOKUP($A517,kurspris!$A$1:$Q$835,12,FALSE)</f>
        <v>0</v>
      </c>
      <c r="AN517" s="31">
        <f>VLOOKUP($A517,kurspris!$A$1:$Q$835,13,FALSE)</f>
        <v>0</v>
      </c>
      <c r="AO517" s="31">
        <f>VLOOKUP($A517,kurspris!$A$1:$Q$835,14,FALSE)</f>
        <v>0</v>
      </c>
      <c r="AP517" s="39" t="s">
        <v>2095</v>
      </c>
      <c r="AQ517"/>
      <c r="AR517" s="31">
        <f t="shared" si="307"/>
        <v>0</v>
      </c>
      <c r="AS517" s="255">
        <f t="shared" si="308"/>
        <v>0</v>
      </c>
      <c r="AT517" s="31">
        <f t="shared" si="309"/>
        <v>0</v>
      </c>
      <c r="AU517" s="255">
        <f t="shared" si="310"/>
        <v>0</v>
      </c>
      <c r="AV517" s="31">
        <f t="shared" si="311"/>
        <v>0</v>
      </c>
      <c r="AW517" s="31">
        <f t="shared" si="312"/>
        <v>0</v>
      </c>
      <c r="AX517" s="31">
        <f t="shared" si="313"/>
        <v>0</v>
      </c>
      <c r="AY517" s="255">
        <f t="shared" si="314"/>
        <v>0</v>
      </c>
      <c r="AZ517" s="232">
        <f t="shared" si="315"/>
        <v>2.5</v>
      </c>
      <c r="BA517" s="255">
        <f t="shared" si="316"/>
        <v>2</v>
      </c>
      <c r="BB517" s="31">
        <f t="shared" si="317"/>
        <v>0</v>
      </c>
      <c r="BC517" s="255">
        <f t="shared" si="318"/>
        <v>0</v>
      </c>
      <c r="BD517" s="31">
        <f t="shared" si="319"/>
        <v>0</v>
      </c>
      <c r="BE517" s="255">
        <f t="shared" si="320"/>
        <v>0</v>
      </c>
      <c r="BF517" s="31">
        <f t="shared" si="321"/>
        <v>0</v>
      </c>
      <c r="BG517" s="255">
        <f t="shared" si="322"/>
        <v>0</v>
      </c>
      <c r="BH517" s="31">
        <f t="shared" si="323"/>
        <v>0</v>
      </c>
      <c r="BI517" s="255">
        <f t="shared" si="324"/>
        <v>0</v>
      </c>
      <c r="BJ517" s="31">
        <f t="shared" si="325"/>
        <v>0</v>
      </c>
      <c r="BK517" s="31">
        <f t="shared" si="326"/>
        <v>0</v>
      </c>
      <c r="BL517" s="255">
        <f t="shared" si="327"/>
        <v>0</v>
      </c>
      <c r="BM517" s="31">
        <f t="shared" si="328"/>
        <v>0</v>
      </c>
      <c r="BN517" s="255">
        <f t="shared" si="329"/>
        <v>0</v>
      </c>
    </row>
    <row r="518" spans="1:66" x14ac:dyDescent="0.25">
      <c r="A518" s="18" t="s">
        <v>526</v>
      </c>
      <c r="B518" s="186" t="str">
        <f>VLOOKUP(A518,kurspris!$A$1:$B$877,2,FALSE)</f>
        <v>Musik 1b</v>
      </c>
      <c r="C518" s="37"/>
      <c r="D518" t="s">
        <v>117</v>
      </c>
      <c r="E518"/>
      <c r="F518" s="59" t="s">
        <v>1930</v>
      </c>
      <c r="G518"/>
      <c r="H518"/>
      <c r="I518" t="s">
        <v>2066</v>
      </c>
      <c r="L518">
        <v>50</v>
      </c>
      <c r="M518">
        <v>15</v>
      </c>
      <c r="P518" s="31">
        <v>8</v>
      </c>
      <c r="Q518" s="232">
        <f t="shared" si="302"/>
        <v>2</v>
      </c>
      <c r="R518" s="40">
        <v>0.8</v>
      </c>
      <c r="S518" s="334">
        <f t="shared" si="303"/>
        <v>1.6</v>
      </c>
      <c r="T518" s="31">
        <f>VLOOKUP(A518,'Ansvar kurs'!$A$1:$C$1010,2,FALSE)</f>
        <v>1650</v>
      </c>
      <c r="U518" s="31" t="str">
        <f>VLOOKUP(T518,Orgenheter!$A$1:$C$165,2,FALSE)</f>
        <v xml:space="preserve">Estetiska ämnen               </v>
      </c>
      <c r="V518" s="31" t="str">
        <f>VLOOKUP(T518,Orgenheter!$A$1:$C$165,3,FALSE)</f>
        <v>Hum</v>
      </c>
      <c r="W518" s="37" t="str">
        <f>VLOOKUP(D518,Program!$A$1:$B$34,2,FALSE)</f>
        <v>Fristående och övriga kurser</v>
      </c>
      <c r="X518" s="42">
        <f>VLOOKUP(A518,kurspris!$A$1:$Q$798,15,FALSE)</f>
        <v>30802</v>
      </c>
      <c r="Y518" s="42">
        <f>VLOOKUP(A518,kurspris!$A$1:$Q$798,16,FALSE)</f>
        <v>63797</v>
      </c>
      <c r="Z518" s="42">
        <f t="shared" si="304"/>
        <v>163679.20000000001</v>
      </c>
      <c r="AA518" s="42">
        <f>VLOOKUP(A518,kurspris!$A$1:$Q$798,17,FALSE)</f>
        <v>70100</v>
      </c>
      <c r="AB518" s="42">
        <f t="shared" si="305"/>
        <v>140200</v>
      </c>
      <c r="AC518" s="42">
        <f t="shared" si="306"/>
        <v>303879.2</v>
      </c>
      <c r="AD518" s="31">
        <f>VLOOKUP($A518,kurspris!$A$1:$Q$835,3,FALSE)</f>
        <v>0</v>
      </c>
      <c r="AE518" s="31">
        <f>VLOOKUP($A518,kurspris!$A$1:$Q$835,4,FALSE)</f>
        <v>0</v>
      </c>
      <c r="AF518" s="31">
        <f>VLOOKUP($A518,kurspris!$A$1:$Q$835,5,FALSE)</f>
        <v>0</v>
      </c>
      <c r="AG518" s="31">
        <f>VLOOKUP($A518,kurspris!$A$1:$Q$835,6,FALSE)</f>
        <v>0</v>
      </c>
      <c r="AH518" s="31">
        <f>VLOOKUP($A518,kurspris!$A$1:$Q$835,7,FALSE)</f>
        <v>1</v>
      </c>
      <c r="AI518" s="31">
        <f>VLOOKUP($A518,kurspris!$A$1:$Q$835,8,FALSE)</f>
        <v>0</v>
      </c>
      <c r="AJ518" s="31">
        <f>VLOOKUP($A518,kurspris!$A$1:$Q$835,9,FALSE)</f>
        <v>0</v>
      </c>
      <c r="AK518" s="31">
        <f>VLOOKUP($A518,kurspris!$A$1:$Q$835,10,FALSE)</f>
        <v>0</v>
      </c>
      <c r="AL518" s="31">
        <f>VLOOKUP($A518,kurspris!$A$1:$Q$835,11,FALSE)</f>
        <v>0</v>
      </c>
      <c r="AM518" s="31">
        <f>VLOOKUP($A518,kurspris!$A$1:$Q$835,12,FALSE)</f>
        <v>0</v>
      </c>
      <c r="AN518" s="31">
        <f>VLOOKUP($A518,kurspris!$A$1:$Q$835,13,FALSE)</f>
        <v>0</v>
      </c>
      <c r="AO518" s="31">
        <f>VLOOKUP($A518,kurspris!$A$1:$Q$835,14,FALSE)</f>
        <v>0</v>
      </c>
      <c r="AP518" s="39" t="s">
        <v>2232</v>
      </c>
      <c r="AQ518" s="39" t="s">
        <v>2095</v>
      </c>
      <c r="AR518" s="31">
        <f t="shared" si="307"/>
        <v>0</v>
      </c>
      <c r="AS518" s="255">
        <f t="shared" si="308"/>
        <v>0</v>
      </c>
      <c r="AT518" s="31">
        <f t="shared" si="309"/>
        <v>0</v>
      </c>
      <c r="AU518" s="255">
        <f t="shared" si="310"/>
        <v>0</v>
      </c>
      <c r="AV518" s="31">
        <f t="shared" si="311"/>
        <v>0</v>
      </c>
      <c r="AW518" s="31">
        <f t="shared" si="312"/>
        <v>0</v>
      </c>
      <c r="AX518" s="31">
        <f t="shared" si="313"/>
        <v>0</v>
      </c>
      <c r="AY518" s="255">
        <f t="shared" si="314"/>
        <v>0</v>
      </c>
      <c r="AZ518" s="232">
        <f t="shared" si="315"/>
        <v>2</v>
      </c>
      <c r="BA518" s="255">
        <f t="shared" si="316"/>
        <v>1.6</v>
      </c>
      <c r="BB518" s="31">
        <f t="shared" si="317"/>
        <v>0</v>
      </c>
      <c r="BC518" s="255">
        <f t="shared" si="318"/>
        <v>0</v>
      </c>
      <c r="BD518" s="31">
        <f t="shared" si="319"/>
        <v>0</v>
      </c>
      <c r="BE518" s="255">
        <f t="shared" si="320"/>
        <v>0</v>
      </c>
      <c r="BF518" s="31">
        <f t="shared" si="321"/>
        <v>0</v>
      </c>
      <c r="BG518" s="255">
        <f t="shared" si="322"/>
        <v>0</v>
      </c>
      <c r="BH518" s="31">
        <f t="shared" si="323"/>
        <v>0</v>
      </c>
      <c r="BI518" s="255">
        <f t="shared" si="324"/>
        <v>0</v>
      </c>
      <c r="BJ518" s="31">
        <f t="shared" si="325"/>
        <v>0</v>
      </c>
      <c r="BK518" s="31">
        <f t="shared" si="326"/>
        <v>0</v>
      </c>
      <c r="BL518" s="255">
        <f t="shared" si="327"/>
        <v>0</v>
      </c>
      <c r="BM518" s="31">
        <f t="shared" si="328"/>
        <v>0</v>
      </c>
      <c r="BN518" s="255">
        <f t="shared" si="329"/>
        <v>0</v>
      </c>
    </row>
    <row r="519" spans="1:66" x14ac:dyDescent="0.25">
      <c r="A519" t="s">
        <v>769</v>
      </c>
      <c r="B519" s="186" t="str">
        <f>VLOOKUP(A519,kurspris!$A$1:$B$877,2,FALSE)</f>
        <v>Musik 1</v>
      </c>
      <c r="C519"/>
      <c r="D519" t="s">
        <v>483</v>
      </c>
      <c r="E519" t="s">
        <v>1788</v>
      </c>
      <c r="F519" s="59" t="s">
        <v>1930</v>
      </c>
      <c r="G519" t="s">
        <v>1995</v>
      </c>
      <c r="H519" t="s">
        <v>1910</v>
      </c>
      <c r="I519"/>
      <c r="J519" t="s">
        <v>775</v>
      </c>
      <c r="K519"/>
      <c r="L519">
        <v>100</v>
      </c>
      <c r="M519">
        <v>30</v>
      </c>
      <c r="N519"/>
      <c r="O519"/>
      <c r="P519" s="31">
        <v>5</v>
      </c>
      <c r="Q519" s="232">
        <f t="shared" si="302"/>
        <v>2.5</v>
      </c>
      <c r="R519" s="40">
        <v>0.85</v>
      </c>
      <c r="S519" s="334">
        <f t="shared" si="303"/>
        <v>2.125</v>
      </c>
      <c r="T519" s="31">
        <f>VLOOKUP(A519,'Ansvar kurs'!$A$1:$C$1010,2,FALSE)</f>
        <v>1650</v>
      </c>
      <c r="U519" s="31" t="str">
        <f>VLOOKUP(T519,Orgenheter!$A$1:$C$165,2,FALSE)</f>
        <v xml:space="preserve">Estetiska ämnen               </v>
      </c>
      <c r="V519" s="31" t="str">
        <f>VLOOKUP(T519,Orgenheter!$A$1:$C$165,3,FALSE)</f>
        <v>Hum</v>
      </c>
      <c r="W519" s="37" t="str">
        <f>VLOOKUP(D519,Program!$A$1:$B$34,2,FALSE)</f>
        <v>Ämneslärarprogrammet - Gy</v>
      </c>
      <c r="X519" s="42">
        <f>VLOOKUP(A519,kurspris!$A$1:$Q$798,15,FALSE)</f>
        <v>30802</v>
      </c>
      <c r="Y519" s="42">
        <f>VLOOKUP(A519,kurspris!$A$1:$Q$798,16,FALSE)</f>
        <v>63797</v>
      </c>
      <c r="Z519" s="42">
        <f t="shared" si="304"/>
        <v>212573.625</v>
      </c>
      <c r="AA519" s="42">
        <f>VLOOKUP(A519,kurspris!$A$1:$Q$798,17,FALSE)</f>
        <v>70100</v>
      </c>
      <c r="AB519" s="42">
        <f t="shared" si="305"/>
        <v>175250</v>
      </c>
      <c r="AC519" s="42">
        <f t="shared" si="306"/>
        <v>387823.625</v>
      </c>
      <c r="AD519" s="31">
        <f>VLOOKUP($A519,kurspris!$A$1:$Q$835,3,FALSE)</f>
        <v>0</v>
      </c>
      <c r="AE519" s="31">
        <f>VLOOKUP($A519,kurspris!$A$1:$Q$835,4,FALSE)</f>
        <v>0</v>
      </c>
      <c r="AF519" s="31">
        <f>VLOOKUP($A519,kurspris!$A$1:$Q$835,5,FALSE)</f>
        <v>0</v>
      </c>
      <c r="AG519" s="31">
        <f>VLOOKUP($A519,kurspris!$A$1:$Q$835,6,FALSE)</f>
        <v>0</v>
      </c>
      <c r="AH519" s="31">
        <f>VLOOKUP($A519,kurspris!$A$1:$Q$835,7,FALSE)</f>
        <v>1</v>
      </c>
      <c r="AI519" s="31">
        <f>VLOOKUP($A519,kurspris!$A$1:$Q$835,8,FALSE)</f>
        <v>0</v>
      </c>
      <c r="AJ519" s="31">
        <f>VLOOKUP($A519,kurspris!$A$1:$Q$835,9,FALSE)</f>
        <v>0</v>
      </c>
      <c r="AK519" s="31">
        <f>VLOOKUP($A519,kurspris!$A$1:$Q$835,10,FALSE)</f>
        <v>0</v>
      </c>
      <c r="AL519" s="31">
        <f>VLOOKUP($A519,kurspris!$A$1:$Q$835,11,FALSE)</f>
        <v>0</v>
      </c>
      <c r="AM519" s="31">
        <f>VLOOKUP($A519,kurspris!$A$1:$Q$835,12,FALSE)</f>
        <v>0</v>
      </c>
      <c r="AN519" s="31">
        <f>VLOOKUP($A519,kurspris!$A$1:$Q$835,13,FALSE)</f>
        <v>0</v>
      </c>
      <c r="AO519" s="31">
        <f>VLOOKUP($A519,kurspris!$A$1:$Q$835,14,FALSE)</f>
        <v>0</v>
      </c>
      <c r="AP519" s="39" t="s">
        <v>2204</v>
      </c>
      <c r="AQ519"/>
      <c r="AR519" s="31">
        <f t="shared" si="307"/>
        <v>0</v>
      </c>
      <c r="AS519" s="255">
        <f t="shared" si="308"/>
        <v>0</v>
      </c>
      <c r="AT519" s="31">
        <f t="shared" si="309"/>
        <v>0</v>
      </c>
      <c r="AU519" s="255">
        <f t="shared" si="310"/>
        <v>0</v>
      </c>
      <c r="AV519" s="31">
        <f t="shared" si="311"/>
        <v>0</v>
      </c>
      <c r="AW519" s="31">
        <f t="shared" si="312"/>
        <v>0</v>
      </c>
      <c r="AX519" s="31">
        <f t="shared" si="313"/>
        <v>0</v>
      </c>
      <c r="AY519" s="255">
        <f t="shared" si="314"/>
        <v>0</v>
      </c>
      <c r="AZ519" s="232">
        <f t="shared" si="315"/>
        <v>2.5</v>
      </c>
      <c r="BA519" s="255">
        <f t="shared" si="316"/>
        <v>2.125</v>
      </c>
      <c r="BB519" s="31">
        <f t="shared" si="317"/>
        <v>0</v>
      </c>
      <c r="BC519" s="255">
        <f t="shared" si="318"/>
        <v>0</v>
      </c>
      <c r="BD519" s="31">
        <f t="shared" si="319"/>
        <v>0</v>
      </c>
      <c r="BE519" s="255">
        <f t="shared" si="320"/>
        <v>0</v>
      </c>
      <c r="BF519" s="31">
        <f t="shared" si="321"/>
        <v>0</v>
      </c>
      <c r="BG519" s="255">
        <f t="shared" si="322"/>
        <v>0</v>
      </c>
      <c r="BH519" s="31">
        <f t="shared" si="323"/>
        <v>0</v>
      </c>
      <c r="BI519" s="255">
        <f t="shared" si="324"/>
        <v>0</v>
      </c>
      <c r="BJ519" s="31">
        <f t="shared" si="325"/>
        <v>0</v>
      </c>
      <c r="BK519" s="31">
        <f t="shared" si="326"/>
        <v>0</v>
      </c>
      <c r="BL519" s="255">
        <f t="shared" si="327"/>
        <v>0</v>
      </c>
      <c r="BM519" s="31">
        <f t="shared" si="328"/>
        <v>0</v>
      </c>
      <c r="BN519" s="255">
        <f t="shared" si="329"/>
        <v>0</v>
      </c>
    </row>
    <row r="520" spans="1:66" x14ac:dyDescent="0.25">
      <c r="A520" t="s">
        <v>874</v>
      </c>
      <c r="B520" s="186" t="str">
        <f>VLOOKUP(A520,kurspris!$A$1:$B$877,2,FALSE)</f>
        <v>Musik 3</v>
      </c>
      <c r="C520"/>
      <c r="D520" t="s">
        <v>483</v>
      </c>
      <c r="E520" t="s">
        <v>1609</v>
      </c>
      <c r="F520" s="59" t="s">
        <v>1930</v>
      </c>
      <c r="G520" t="s">
        <v>1995</v>
      </c>
      <c r="H520" t="s">
        <v>1910</v>
      </c>
      <c r="I520"/>
      <c r="J520" t="s">
        <v>775</v>
      </c>
      <c r="K520"/>
      <c r="L520">
        <v>100</v>
      </c>
      <c r="M520">
        <v>30</v>
      </c>
      <c r="N520"/>
      <c r="O520"/>
      <c r="P520" s="31">
        <v>3</v>
      </c>
      <c r="Q520" s="232">
        <f t="shared" si="302"/>
        <v>1.5</v>
      </c>
      <c r="R520" s="40">
        <v>0.85</v>
      </c>
      <c r="S520" s="334">
        <f t="shared" si="303"/>
        <v>1.2749999999999999</v>
      </c>
      <c r="T520" s="31">
        <f>VLOOKUP(A520,'Ansvar kurs'!$A$1:$C$1010,2,FALSE)</f>
        <v>1650</v>
      </c>
      <c r="U520" s="31" t="str">
        <f>VLOOKUP(T520,Orgenheter!$A$1:$C$165,2,FALSE)</f>
        <v xml:space="preserve">Estetiska ämnen               </v>
      </c>
      <c r="V520" s="31" t="str">
        <f>VLOOKUP(T520,Orgenheter!$A$1:$C$165,3,FALSE)</f>
        <v>Hum</v>
      </c>
      <c r="W520" s="37" t="str">
        <f>VLOOKUP(D520,Program!$A$1:$B$34,2,FALSE)</f>
        <v>Ämneslärarprogrammet - Gy</v>
      </c>
      <c r="X520" s="42">
        <f>VLOOKUP(A520,kurspris!$A$1:$Q$798,15,FALSE)</f>
        <v>30802</v>
      </c>
      <c r="Y520" s="42">
        <f>VLOOKUP(A520,kurspris!$A$1:$Q$798,16,FALSE)</f>
        <v>63797</v>
      </c>
      <c r="Z520" s="42">
        <f t="shared" si="304"/>
        <v>127544.17499999999</v>
      </c>
      <c r="AA520" s="42">
        <f>VLOOKUP(A520,kurspris!$A$1:$Q$798,17,FALSE)</f>
        <v>70100</v>
      </c>
      <c r="AB520" s="42">
        <f t="shared" si="305"/>
        <v>105150</v>
      </c>
      <c r="AC520" s="42">
        <f t="shared" si="306"/>
        <v>232694.17499999999</v>
      </c>
      <c r="AD520" s="31">
        <f>VLOOKUP($A520,kurspris!$A$1:$Q$835,3,FALSE)</f>
        <v>0</v>
      </c>
      <c r="AE520" s="31">
        <f>VLOOKUP($A520,kurspris!$A$1:$Q$835,4,FALSE)</f>
        <v>0</v>
      </c>
      <c r="AF520" s="31">
        <f>VLOOKUP($A520,kurspris!$A$1:$Q$835,5,FALSE)</f>
        <v>0</v>
      </c>
      <c r="AG520" s="31">
        <f>VLOOKUP($A520,kurspris!$A$1:$Q$835,6,FALSE)</f>
        <v>0</v>
      </c>
      <c r="AH520" s="31">
        <f>VLOOKUP($A520,kurspris!$A$1:$Q$835,7,FALSE)</f>
        <v>1</v>
      </c>
      <c r="AI520" s="31">
        <f>VLOOKUP($A520,kurspris!$A$1:$Q$835,8,FALSE)</f>
        <v>0</v>
      </c>
      <c r="AJ520" s="31">
        <f>VLOOKUP($A520,kurspris!$A$1:$Q$835,9,FALSE)</f>
        <v>0</v>
      </c>
      <c r="AK520" s="31">
        <f>VLOOKUP($A520,kurspris!$A$1:$Q$835,10,FALSE)</f>
        <v>0</v>
      </c>
      <c r="AL520" s="31">
        <f>VLOOKUP($A520,kurspris!$A$1:$Q$835,11,FALSE)</f>
        <v>0</v>
      </c>
      <c r="AM520" s="31">
        <f>VLOOKUP($A520,kurspris!$A$1:$Q$835,12,FALSE)</f>
        <v>0</v>
      </c>
      <c r="AN520" s="31">
        <f>VLOOKUP($A520,kurspris!$A$1:$Q$835,13,FALSE)</f>
        <v>0</v>
      </c>
      <c r="AO520" s="31">
        <f>VLOOKUP($A520,kurspris!$A$1:$Q$835,14,FALSE)</f>
        <v>0</v>
      </c>
      <c r="AP520" s="39" t="s">
        <v>2204</v>
      </c>
      <c r="AQ520"/>
      <c r="AR520" s="31">
        <f t="shared" si="307"/>
        <v>0</v>
      </c>
      <c r="AS520" s="255">
        <f t="shared" si="308"/>
        <v>0</v>
      </c>
      <c r="AT520" s="31">
        <f t="shared" si="309"/>
        <v>0</v>
      </c>
      <c r="AU520" s="255">
        <f t="shared" si="310"/>
        <v>0</v>
      </c>
      <c r="AV520" s="31">
        <f t="shared" si="311"/>
        <v>0</v>
      </c>
      <c r="AW520" s="31">
        <f t="shared" si="312"/>
        <v>0</v>
      </c>
      <c r="AX520" s="31">
        <f t="shared" si="313"/>
        <v>0</v>
      </c>
      <c r="AY520" s="255">
        <f t="shared" si="314"/>
        <v>0</v>
      </c>
      <c r="AZ520" s="232">
        <f t="shared" si="315"/>
        <v>1.5</v>
      </c>
      <c r="BA520" s="255">
        <f t="shared" si="316"/>
        <v>1.2749999999999999</v>
      </c>
      <c r="BB520" s="31">
        <f t="shared" si="317"/>
        <v>0</v>
      </c>
      <c r="BC520" s="255">
        <f t="shared" si="318"/>
        <v>0</v>
      </c>
      <c r="BD520" s="31">
        <f t="shared" si="319"/>
        <v>0</v>
      </c>
      <c r="BE520" s="255">
        <f t="shared" si="320"/>
        <v>0</v>
      </c>
      <c r="BF520" s="31">
        <f t="shared" si="321"/>
        <v>0</v>
      </c>
      <c r="BG520" s="255">
        <f t="shared" si="322"/>
        <v>0</v>
      </c>
      <c r="BH520" s="31">
        <f t="shared" si="323"/>
        <v>0</v>
      </c>
      <c r="BI520" s="255">
        <f t="shared" si="324"/>
        <v>0</v>
      </c>
      <c r="BJ520" s="31">
        <f t="shared" si="325"/>
        <v>0</v>
      </c>
      <c r="BK520" s="31">
        <f t="shared" si="326"/>
        <v>0</v>
      </c>
      <c r="BL520" s="255">
        <f t="shared" si="327"/>
        <v>0</v>
      </c>
      <c r="BM520" s="31">
        <f t="shared" si="328"/>
        <v>0</v>
      </c>
      <c r="BN520" s="255">
        <f t="shared" si="329"/>
        <v>0</v>
      </c>
    </row>
    <row r="521" spans="1:66" x14ac:dyDescent="0.25">
      <c r="A521" s="18" t="s">
        <v>567</v>
      </c>
      <c r="B521" s="186" t="str">
        <f>VLOOKUP(A521,kurspris!$A$1:$B$877,2,FALSE)</f>
        <v>Musik 2a, distans</v>
      </c>
      <c r="C521" s="37"/>
      <c r="D521" t="s">
        <v>117</v>
      </c>
      <c r="E521"/>
      <c r="F521" s="59" t="s">
        <v>1931</v>
      </c>
      <c r="G521"/>
      <c r="H521"/>
      <c r="I521" t="s">
        <v>2066</v>
      </c>
      <c r="L521">
        <v>50</v>
      </c>
      <c r="M521">
        <v>15</v>
      </c>
      <c r="P521">
        <v>10</v>
      </c>
      <c r="Q521" s="232">
        <f t="shared" si="302"/>
        <v>2.5</v>
      </c>
      <c r="R521" s="40">
        <v>0.8</v>
      </c>
      <c r="S521" s="334">
        <f t="shared" si="303"/>
        <v>2</v>
      </c>
      <c r="T521" s="31">
        <f>VLOOKUP(A521,'Ansvar kurs'!$A$1:$C$1010,2,FALSE)</f>
        <v>1650</v>
      </c>
      <c r="U521" s="31" t="str">
        <f>VLOOKUP(T521,Orgenheter!$A$1:$C$165,2,FALSE)</f>
        <v xml:space="preserve">Estetiska ämnen               </v>
      </c>
      <c r="V521" s="31" t="str">
        <f>VLOOKUP(T521,Orgenheter!$A$1:$C$165,3,FALSE)</f>
        <v>Hum</v>
      </c>
      <c r="W521" s="37" t="str">
        <f>VLOOKUP(D521,Program!$A$1:$B$34,2,FALSE)</f>
        <v>Fristående och övriga kurser</v>
      </c>
      <c r="X521" s="42">
        <f>VLOOKUP(A521,kurspris!$A$1:$Q$798,15,FALSE)</f>
        <v>30802</v>
      </c>
      <c r="Y521" s="42">
        <f>VLOOKUP(A521,kurspris!$A$1:$Q$798,16,FALSE)</f>
        <v>63797</v>
      </c>
      <c r="Z521" s="42">
        <f t="shared" si="304"/>
        <v>204599</v>
      </c>
      <c r="AA521" s="42">
        <f>VLOOKUP(A521,kurspris!$A$1:$Q$798,17,FALSE)</f>
        <v>70100</v>
      </c>
      <c r="AB521" s="42">
        <f t="shared" si="305"/>
        <v>175250</v>
      </c>
      <c r="AC521" s="42">
        <f t="shared" si="306"/>
        <v>379849</v>
      </c>
      <c r="AD521" s="31">
        <f>VLOOKUP($A521,kurspris!$A$1:$Q$835,3,FALSE)</f>
        <v>0</v>
      </c>
      <c r="AE521" s="31">
        <f>VLOOKUP($A521,kurspris!$A$1:$Q$835,4,FALSE)</f>
        <v>0</v>
      </c>
      <c r="AF521" s="31">
        <f>VLOOKUP($A521,kurspris!$A$1:$Q$835,5,FALSE)</f>
        <v>0</v>
      </c>
      <c r="AG521" s="31">
        <f>VLOOKUP($A521,kurspris!$A$1:$Q$835,6,FALSE)</f>
        <v>0</v>
      </c>
      <c r="AH521" s="31">
        <f>VLOOKUP($A521,kurspris!$A$1:$Q$835,7,FALSE)</f>
        <v>1</v>
      </c>
      <c r="AI521" s="31">
        <f>VLOOKUP($A521,kurspris!$A$1:$Q$835,8,FALSE)</f>
        <v>0</v>
      </c>
      <c r="AJ521" s="31">
        <f>VLOOKUP($A521,kurspris!$A$1:$Q$835,9,FALSE)</f>
        <v>0</v>
      </c>
      <c r="AK521" s="31">
        <f>VLOOKUP($A521,kurspris!$A$1:$Q$835,10,FALSE)</f>
        <v>0</v>
      </c>
      <c r="AL521" s="31">
        <f>VLOOKUP($A521,kurspris!$A$1:$Q$835,11,FALSE)</f>
        <v>0</v>
      </c>
      <c r="AM521" s="31">
        <f>VLOOKUP($A521,kurspris!$A$1:$Q$835,12,FALSE)</f>
        <v>0</v>
      </c>
      <c r="AN521" s="31">
        <f>VLOOKUP($A521,kurspris!$A$1:$Q$835,13,FALSE)</f>
        <v>0</v>
      </c>
      <c r="AO521" s="31">
        <f>VLOOKUP($A521,kurspris!$A$1:$Q$835,14,FALSE)</f>
        <v>0</v>
      </c>
      <c r="AP521" s="39" t="s">
        <v>2095</v>
      </c>
      <c r="AQ521"/>
      <c r="AR521" s="31">
        <f t="shared" si="307"/>
        <v>0</v>
      </c>
      <c r="AS521" s="255">
        <f t="shared" si="308"/>
        <v>0</v>
      </c>
      <c r="AT521" s="31">
        <f t="shared" si="309"/>
        <v>0</v>
      </c>
      <c r="AU521" s="255">
        <f t="shared" si="310"/>
        <v>0</v>
      </c>
      <c r="AV521" s="31">
        <f t="shared" si="311"/>
        <v>0</v>
      </c>
      <c r="AW521" s="31">
        <f t="shared" si="312"/>
        <v>0</v>
      </c>
      <c r="AX521" s="31">
        <f t="shared" si="313"/>
        <v>0</v>
      </c>
      <c r="AY521" s="255">
        <f t="shared" si="314"/>
        <v>0</v>
      </c>
      <c r="AZ521" s="232">
        <f t="shared" si="315"/>
        <v>2.5</v>
      </c>
      <c r="BA521" s="255">
        <f t="shared" si="316"/>
        <v>2</v>
      </c>
      <c r="BB521" s="31">
        <f t="shared" si="317"/>
        <v>0</v>
      </c>
      <c r="BC521" s="255">
        <f t="shared" si="318"/>
        <v>0</v>
      </c>
      <c r="BD521" s="31">
        <f t="shared" si="319"/>
        <v>0</v>
      </c>
      <c r="BE521" s="255">
        <f t="shared" si="320"/>
        <v>0</v>
      </c>
      <c r="BF521" s="31">
        <f t="shared" si="321"/>
        <v>0</v>
      </c>
      <c r="BG521" s="255">
        <f t="shared" si="322"/>
        <v>0</v>
      </c>
      <c r="BH521" s="31">
        <f t="shared" si="323"/>
        <v>0</v>
      </c>
      <c r="BI521" s="255">
        <f t="shared" si="324"/>
        <v>0</v>
      </c>
      <c r="BJ521" s="31">
        <f t="shared" si="325"/>
        <v>0</v>
      </c>
      <c r="BK521" s="31">
        <f t="shared" si="326"/>
        <v>0</v>
      </c>
      <c r="BL521" s="255">
        <f t="shared" si="327"/>
        <v>0</v>
      </c>
      <c r="BM521" s="31">
        <f t="shared" si="328"/>
        <v>0</v>
      </c>
      <c r="BN521" s="255">
        <f t="shared" si="329"/>
        <v>0</v>
      </c>
    </row>
    <row r="522" spans="1:66" x14ac:dyDescent="0.25">
      <c r="A522" s="18" t="s">
        <v>647</v>
      </c>
      <c r="B522" s="186" t="str">
        <f>VLOOKUP(A522,kurspris!$A$1:$B$877,2,FALSE)</f>
        <v>Musik 2b, distans</v>
      </c>
      <c r="C522" s="37"/>
      <c r="D522" t="s">
        <v>117</v>
      </c>
      <c r="E522"/>
      <c r="F522" s="59" t="s">
        <v>1930</v>
      </c>
      <c r="G522"/>
      <c r="H522"/>
      <c r="I522" t="s">
        <v>2066</v>
      </c>
      <c r="L522">
        <v>50</v>
      </c>
      <c r="M522">
        <v>15</v>
      </c>
      <c r="P522" s="31">
        <v>5</v>
      </c>
      <c r="Q522" s="232">
        <f t="shared" si="302"/>
        <v>1.25</v>
      </c>
      <c r="R522" s="40">
        <v>0.8</v>
      </c>
      <c r="S522" s="334">
        <f t="shared" si="303"/>
        <v>1</v>
      </c>
      <c r="T522" s="31">
        <f>VLOOKUP(A522,'Ansvar kurs'!$A$1:$C$1010,2,FALSE)</f>
        <v>1650</v>
      </c>
      <c r="U522" s="31" t="str">
        <f>VLOOKUP(T522,Orgenheter!$A$1:$C$165,2,FALSE)</f>
        <v xml:space="preserve">Estetiska ämnen               </v>
      </c>
      <c r="V522" s="31" t="str">
        <f>VLOOKUP(T522,Orgenheter!$A$1:$C$165,3,FALSE)</f>
        <v>Hum</v>
      </c>
      <c r="W522" s="37" t="str">
        <f>VLOOKUP(D522,Program!$A$1:$B$34,2,FALSE)</f>
        <v>Fristående och övriga kurser</v>
      </c>
      <c r="X522" s="42">
        <f>VLOOKUP(A522,kurspris!$A$1:$Q$798,15,FALSE)</f>
        <v>30802</v>
      </c>
      <c r="Y522" s="42">
        <f>VLOOKUP(A522,kurspris!$A$1:$Q$798,16,FALSE)</f>
        <v>63797</v>
      </c>
      <c r="Z522" s="42">
        <f t="shared" si="304"/>
        <v>102299.5</v>
      </c>
      <c r="AA522" s="42">
        <f>VLOOKUP(A522,kurspris!$A$1:$Q$798,17,FALSE)</f>
        <v>70100</v>
      </c>
      <c r="AB522" s="42">
        <f t="shared" si="305"/>
        <v>87625</v>
      </c>
      <c r="AC522" s="42">
        <f t="shared" si="306"/>
        <v>189924.5</v>
      </c>
      <c r="AD522" s="31">
        <f>VLOOKUP($A522,kurspris!$A$1:$Q$835,3,FALSE)</f>
        <v>0</v>
      </c>
      <c r="AE522" s="31">
        <f>VLOOKUP($A522,kurspris!$A$1:$Q$835,4,FALSE)</f>
        <v>0</v>
      </c>
      <c r="AF522" s="31">
        <f>VLOOKUP($A522,kurspris!$A$1:$Q$835,5,FALSE)</f>
        <v>0</v>
      </c>
      <c r="AG522" s="31">
        <f>VLOOKUP($A522,kurspris!$A$1:$Q$835,6,FALSE)</f>
        <v>0</v>
      </c>
      <c r="AH522" s="31">
        <f>VLOOKUP($A522,kurspris!$A$1:$Q$835,7,FALSE)</f>
        <v>1</v>
      </c>
      <c r="AI522" s="31">
        <f>VLOOKUP($A522,kurspris!$A$1:$Q$835,8,FALSE)</f>
        <v>0</v>
      </c>
      <c r="AJ522" s="31">
        <f>VLOOKUP($A522,kurspris!$A$1:$Q$835,9,FALSE)</f>
        <v>0</v>
      </c>
      <c r="AK522" s="31">
        <f>VLOOKUP($A522,kurspris!$A$1:$Q$835,10,FALSE)</f>
        <v>0</v>
      </c>
      <c r="AL522" s="31">
        <f>VLOOKUP($A522,kurspris!$A$1:$Q$835,11,FALSE)</f>
        <v>0</v>
      </c>
      <c r="AM522" s="31">
        <f>VLOOKUP($A522,kurspris!$A$1:$Q$835,12,FALSE)</f>
        <v>0</v>
      </c>
      <c r="AN522" s="31">
        <f>VLOOKUP($A522,kurspris!$A$1:$Q$835,13,FALSE)</f>
        <v>0</v>
      </c>
      <c r="AO522" s="31">
        <f>VLOOKUP($A522,kurspris!$A$1:$Q$835,14,FALSE)</f>
        <v>0</v>
      </c>
      <c r="AP522" s="39" t="s">
        <v>2204</v>
      </c>
      <c r="AQ522" s="39" t="s">
        <v>2095</v>
      </c>
      <c r="AR522" s="31">
        <f t="shared" si="307"/>
        <v>0</v>
      </c>
      <c r="AS522" s="255">
        <f t="shared" si="308"/>
        <v>0</v>
      </c>
      <c r="AT522" s="31">
        <f t="shared" si="309"/>
        <v>0</v>
      </c>
      <c r="AU522" s="255">
        <f t="shared" si="310"/>
        <v>0</v>
      </c>
      <c r="AV522" s="31">
        <f t="shared" si="311"/>
        <v>0</v>
      </c>
      <c r="AW522" s="31">
        <f t="shared" si="312"/>
        <v>0</v>
      </c>
      <c r="AX522" s="31">
        <f t="shared" si="313"/>
        <v>0</v>
      </c>
      <c r="AY522" s="255">
        <f t="shared" si="314"/>
        <v>0</v>
      </c>
      <c r="AZ522" s="232">
        <f t="shared" si="315"/>
        <v>1.25</v>
      </c>
      <c r="BA522" s="255">
        <f t="shared" si="316"/>
        <v>1</v>
      </c>
      <c r="BB522" s="31">
        <f t="shared" si="317"/>
        <v>0</v>
      </c>
      <c r="BC522" s="255">
        <f t="shared" si="318"/>
        <v>0</v>
      </c>
      <c r="BD522" s="31">
        <f t="shared" si="319"/>
        <v>0</v>
      </c>
      <c r="BE522" s="255">
        <f t="shared" si="320"/>
        <v>0</v>
      </c>
      <c r="BF522" s="31">
        <f t="shared" si="321"/>
        <v>0</v>
      </c>
      <c r="BG522" s="255">
        <f t="shared" si="322"/>
        <v>0</v>
      </c>
      <c r="BH522" s="31">
        <f t="shared" si="323"/>
        <v>0</v>
      </c>
      <c r="BI522" s="255">
        <f t="shared" si="324"/>
        <v>0</v>
      </c>
      <c r="BJ522" s="31">
        <f t="shared" si="325"/>
        <v>0</v>
      </c>
      <c r="BK522" s="31">
        <f t="shared" si="326"/>
        <v>0</v>
      </c>
      <c r="BL522" s="255">
        <f t="shared" si="327"/>
        <v>0</v>
      </c>
      <c r="BM522" s="31">
        <f t="shared" si="328"/>
        <v>0</v>
      </c>
      <c r="BN522" s="255">
        <f t="shared" si="329"/>
        <v>0</v>
      </c>
    </row>
    <row r="523" spans="1:66" x14ac:dyDescent="0.25">
      <c r="A523" s="18" t="s">
        <v>1135</v>
      </c>
      <c r="B523" s="186" t="str">
        <f>VLOOKUP(A523,kurspris!$A$1:$B$877,2,FALSE)</f>
        <v>Musik 1 30 hp, fristående</v>
      </c>
      <c r="C523" s="37"/>
      <c r="D523" t="s">
        <v>117</v>
      </c>
      <c r="E523"/>
      <c r="F523" s="59" t="s">
        <v>1930</v>
      </c>
      <c r="G523"/>
      <c r="H523"/>
      <c r="I523" t="s">
        <v>1634</v>
      </c>
      <c r="L523">
        <v>100</v>
      </c>
      <c r="M523">
        <v>30</v>
      </c>
      <c r="P523" s="31">
        <v>0</v>
      </c>
      <c r="Q523" s="232">
        <f t="shared" si="302"/>
        <v>0</v>
      </c>
      <c r="R523" s="40">
        <v>0.8</v>
      </c>
      <c r="S523" s="334">
        <f t="shared" si="303"/>
        <v>0</v>
      </c>
      <c r="T523" s="31">
        <f>VLOOKUP(A523,'Ansvar kurs'!$A$1:$C$1010,2,FALSE)</f>
        <v>1650</v>
      </c>
      <c r="U523" s="31" t="str">
        <f>VLOOKUP(T523,Orgenheter!$A$1:$C$165,2,FALSE)</f>
        <v xml:space="preserve">Estetiska ämnen               </v>
      </c>
      <c r="V523" s="31" t="str">
        <f>VLOOKUP(T523,Orgenheter!$A$1:$C$165,3,FALSE)</f>
        <v>Hum</v>
      </c>
      <c r="W523" s="37" t="str">
        <f>VLOOKUP(D523,Program!$A$1:$B$34,2,FALSE)</f>
        <v>Fristående och övriga kurser</v>
      </c>
      <c r="X523" s="42">
        <f>VLOOKUP(A523,kurspris!$A$1:$Q$798,15,FALSE)</f>
        <v>30802</v>
      </c>
      <c r="Y523" s="42">
        <f>VLOOKUP(A523,kurspris!$A$1:$Q$798,16,FALSE)</f>
        <v>63797</v>
      </c>
      <c r="Z523" s="42">
        <f t="shared" si="304"/>
        <v>0</v>
      </c>
      <c r="AA523" s="42">
        <f>VLOOKUP(A523,kurspris!$A$1:$Q$798,17,FALSE)</f>
        <v>70100</v>
      </c>
      <c r="AB523" s="42">
        <f t="shared" si="305"/>
        <v>0</v>
      </c>
      <c r="AC523" s="42">
        <f t="shared" si="306"/>
        <v>0</v>
      </c>
      <c r="AD523" s="31">
        <f>VLOOKUP($A523,kurspris!$A$1:$Q$835,3,FALSE)</f>
        <v>0</v>
      </c>
      <c r="AE523" s="31">
        <f>VLOOKUP($A523,kurspris!$A$1:$Q$835,4,FALSE)</f>
        <v>0</v>
      </c>
      <c r="AF523" s="31">
        <f>VLOOKUP($A523,kurspris!$A$1:$Q$835,5,FALSE)</f>
        <v>0</v>
      </c>
      <c r="AG523" s="31">
        <f>VLOOKUP($A523,kurspris!$A$1:$Q$835,6,FALSE)</f>
        <v>0</v>
      </c>
      <c r="AH523" s="31">
        <f>VLOOKUP($A523,kurspris!$A$1:$Q$835,7,FALSE)</f>
        <v>1</v>
      </c>
      <c r="AI523" s="31">
        <f>VLOOKUP($A523,kurspris!$A$1:$Q$835,8,FALSE)</f>
        <v>0</v>
      </c>
      <c r="AJ523" s="31">
        <f>VLOOKUP($A523,kurspris!$A$1:$Q$835,9,FALSE)</f>
        <v>0</v>
      </c>
      <c r="AK523" s="31">
        <f>VLOOKUP($A523,kurspris!$A$1:$Q$835,10,FALSE)</f>
        <v>0</v>
      </c>
      <c r="AL523" s="31">
        <f>VLOOKUP($A523,kurspris!$A$1:$Q$835,11,FALSE)</f>
        <v>0</v>
      </c>
      <c r="AM523" s="31">
        <f>VLOOKUP($A523,kurspris!$A$1:$Q$835,12,FALSE)</f>
        <v>0</v>
      </c>
      <c r="AN523" s="31">
        <f>VLOOKUP($A523,kurspris!$A$1:$Q$835,13,FALSE)</f>
        <v>0</v>
      </c>
      <c r="AO523" s="31">
        <f>VLOOKUP($A523,kurspris!$A$1:$Q$835,14,FALSE)</f>
        <v>0</v>
      </c>
      <c r="AP523" s="39" t="s">
        <v>2095</v>
      </c>
      <c r="AQ523"/>
      <c r="AR523" s="31">
        <f t="shared" si="307"/>
        <v>0</v>
      </c>
      <c r="AS523" s="255">
        <f t="shared" si="308"/>
        <v>0</v>
      </c>
      <c r="AT523" s="31">
        <f t="shared" si="309"/>
        <v>0</v>
      </c>
      <c r="AU523" s="255">
        <f t="shared" si="310"/>
        <v>0</v>
      </c>
      <c r="AV523" s="31">
        <f t="shared" si="311"/>
        <v>0</v>
      </c>
      <c r="AW523" s="31">
        <f t="shared" si="312"/>
        <v>0</v>
      </c>
      <c r="AX523" s="31">
        <f t="shared" si="313"/>
        <v>0</v>
      </c>
      <c r="AY523" s="255">
        <f t="shared" si="314"/>
        <v>0</v>
      </c>
      <c r="AZ523" s="232">
        <f t="shared" si="315"/>
        <v>0</v>
      </c>
      <c r="BA523" s="255">
        <f t="shared" si="316"/>
        <v>0</v>
      </c>
      <c r="BB523" s="31">
        <f t="shared" si="317"/>
        <v>0</v>
      </c>
      <c r="BC523" s="255">
        <f t="shared" si="318"/>
        <v>0</v>
      </c>
      <c r="BD523" s="31">
        <f t="shared" si="319"/>
        <v>0</v>
      </c>
      <c r="BE523" s="255">
        <f t="shared" si="320"/>
        <v>0</v>
      </c>
      <c r="BF523" s="31">
        <f t="shared" si="321"/>
        <v>0</v>
      </c>
      <c r="BG523" s="255">
        <f t="shared" si="322"/>
        <v>0</v>
      </c>
      <c r="BH523" s="31">
        <f t="shared" si="323"/>
        <v>0</v>
      </c>
      <c r="BI523" s="255">
        <f t="shared" si="324"/>
        <v>0</v>
      </c>
      <c r="BJ523" s="31">
        <f t="shared" si="325"/>
        <v>0</v>
      </c>
      <c r="BK523" s="31">
        <f t="shared" si="326"/>
        <v>0</v>
      </c>
      <c r="BL523" s="255">
        <f t="shared" si="327"/>
        <v>0</v>
      </c>
      <c r="BM523" s="31">
        <f t="shared" si="328"/>
        <v>0</v>
      </c>
      <c r="BN523" s="255">
        <f t="shared" si="329"/>
        <v>0</v>
      </c>
    </row>
    <row r="524" spans="1:66" x14ac:dyDescent="0.25">
      <c r="A524" s="18" t="s">
        <v>1326</v>
      </c>
      <c r="B524" s="186" t="str">
        <f>VLOOKUP(A524,kurspris!$A$1:$B$877,2,FALSE)</f>
        <v>Musik 2 30.0 hp, fristående</v>
      </c>
      <c r="C524" s="37"/>
      <c r="D524" t="s">
        <v>117</v>
      </c>
      <c r="E524"/>
      <c r="F524" s="59" t="s">
        <v>1931</v>
      </c>
      <c r="G524"/>
      <c r="H524"/>
      <c r="I524" t="s">
        <v>1634</v>
      </c>
      <c r="L524">
        <v>100</v>
      </c>
      <c r="M524">
        <v>30</v>
      </c>
      <c r="P524">
        <v>4</v>
      </c>
      <c r="Q524" s="232">
        <f t="shared" si="302"/>
        <v>2</v>
      </c>
      <c r="R524" s="40">
        <v>0.8</v>
      </c>
      <c r="S524" s="334">
        <f t="shared" si="303"/>
        <v>1.6</v>
      </c>
      <c r="T524" s="31">
        <f>VLOOKUP(A524,'Ansvar kurs'!$A$1:$C$1010,2,FALSE)</f>
        <v>1650</v>
      </c>
      <c r="U524" s="31" t="str">
        <f>VLOOKUP(T524,Orgenheter!$A$1:$C$165,2,FALSE)</f>
        <v xml:space="preserve">Estetiska ämnen               </v>
      </c>
      <c r="V524" s="31" t="str">
        <f>VLOOKUP(T524,Orgenheter!$A$1:$C$165,3,FALSE)</f>
        <v>Hum</v>
      </c>
      <c r="W524" s="37" t="str">
        <f>VLOOKUP(D524,Program!$A$1:$B$34,2,FALSE)</f>
        <v>Fristående och övriga kurser</v>
      </c>
      <c r="X524" s="42">
        <f>VLOOKUP(A524,kurspris!$A$1:$Q$798,15,FALSE)</f>
        <v>30802</v>
      </c>
      <c r="Y524" s="42">
        <f>VLOOKUP(A524,kurspris!$A$1:$Q$798,16,FALSE)</f>
        <v>63797</v>
      </c>
      <c r="Z524" s="42">
        <f t="shared" si="304"/>
        <v>163679.20000000001</v>
      </c>
      <c r="AA524" s="42">
        <f>VLOOKUP(A524,kurspris!$A$1:$Q$798,17,FALSE)</f>
        <v>70100</v>
      </c>
      <c r="AB524" s="42">
        <f t="shared" si="305"/>
        <v>140200</v>
      </c>
      <c r="AC524" s="42">
        <f t="shared" si="306"/>
        <v>303879.2</v>
      </c>
      <c r="AD524" s="31">
        <f>VLOOKUP($A524,kurspris!$A$1:$Q$835,3,FALSE)</f>
        <v>0</v>
      </c>
      <c r="AE524" s="31">
        <f>VLOOKUP($A524,kurspris!$A$1:$Q$835,4,FALSE)</f>
        <v>0</v>
      </c>
      <c r="AF524" s="31">
        <f>VLOOKUP($A524,kurspris!$A$1:$Q$835,5,FALSE)</f>
        <v>0</v>
      </c>
      <c r="AG524" s="31">
        <f>VLOOKUP($A524,kurspris!$A$1:$Q$835,6,FALSE)</f>
        <v>0</v>
      </c>
      <c r="AH524" s="31">
        <f>VLOOKUP($A524,kurspris!$A$1:$Q$835,7,FALSE)</f>
        <v>1</v>
      </c>
      <c r="AI524" s="31">
        <f>VLOOKUP($A524,kurspris!$A$1:$Q$835,8,FALSE)</f>
        <v>0</v>
      </c>
      <c r="AJ524" s="31">
        <f>VLOOKUP($A524,kurspris!$A$1:$Q$835,9,FALSE)</f>
        <v>0</v>
      </c>
      <c r="AK524" s="31">
        <f>VLOOKUP($A524,kurspris!$A$1:$Q$835,10,FALSE)</f>
        <v>0</v>
      </c>
      <c r="AL524" s="31">
        <f>VLOOKUP($A524,kurspris!$A$1:$Q$835,11,FALSE)</f>
        <v>0</v>
      </c>
      <c r="AM524" s="31">
        <f>VLOOKUP($A524,kurspris!$A$1:$Q$835,12,FALSE)</f>
        <v>0</v>
      </c>
      <c r="AN524" s="31">
        <f>VLOOKUP($A524,kurspris!$A$1:$Q$835,13,FALSE)</f>
        <v>0</v>
      </c>
      <c r="AO524" s="31">
        <f>VLOOKUP($A524,kurspris!$A$1:$Q$835,14,FALSE)</f>
        <v>0</v>
      </c>
      <c r="AP524" s="39" t="s">
        <v>2095</v>
      </c>
      <c r="AQ524"/>
      <c r="AR524" s="31">
        <f t="shared" si="307"/>
        <v>0</v>
      </c>
      <c r="AS524" s="255">
        <f t="shared" si="308"/>
        <v>0</v>
      </c>
      <c r="AT524" s="31">
        <f t="shared" si="309"/>
        <v>0</v>
      </c>
      <c r="AU524" s="255">
        <f t="shared" si="310"/>
        <v>0</v>
      </c>
      <c r="AV524" s="31">
        <f t="shared" si="311"/>
        <v>0</v>
      </c>
      <c r="AW524" s="31">
        <f t="shared" si="312"/>
        <v>0</v>
      </c>
      <c r="AX524" s="31">
        <f t="shared" si="313"/>
        <v>0</v>
      </c>
      <c r="AY524" s="255">
        <f t="shared" si="314"/>
        <v>0</v>
      </c>
      <c r="AZ524" s="232">
        <f t="shared" si="315"/>
        <v>2</v>
      </c>
      <c r="BA524" s="255">
        <f t="shared" si="316"/>
        <v>1.6</v>
      </c>
      <c r="BB524" s="31">
        <f t="shared" si="317"/>
        <v>0</v>
      </c>
      <c r="BC524" s="255">
        <f t="shared" si="318"/>
        <v>0</v>
      </c>
      <c r="BD524" s="31">
        <f t="shared" si="319"/>
        <v>0</v>
      </c>
      <c r="BE524" s="255">
        <f t="shared" si="320"/>
        <v>0</v>
      </c>
      <c r="BF524" s="31">
        <f t="shared" si="321"/>
        <v>0</v>
      </c>
      <c r="BG524" s="255">
        <f t="shared" si="322"/>
        <v>0</v>
      </c>
      <c r="BH524" s="31">
        <f t="shared" si="323"/>
        <v>0</v>
      </c>
      <c r="BI524" s="255">
        <f t="shared" si="324"/>
        <v>0</v>
      </c>
      <c r="BJ524" s="31">
        <f t="shared" si="325"/>
        <v>0</v>
      </c>
      <c r="BK524" s="31">
        <f t="shared" si="326"/>
        <v>0</v>
      </c>
      <c r="BL524" s="255">
        <f t="shared" si="327"/>
        <v>0</v>
      </c>
      <c r="BM524" s="31">
        <f t="shared" si="328"/>
        <v>0</v>
      </c>
      <c r="BN524" s="255">
        <f t="shared" si="329"/>
        <v>0</v>
      </c>
    </row>
    <row r="525" spans="1:66" x14ac:dyDescent="0.25">
      <c r="A525" s="18" t="s">
        <v>1362</v>
      </c>
      <c r="B525" s="186" t="str">
        <f>VLOOKUP(A525,kurspris!$A$1:$B$877,2,FALSE)</f>
        <v xml:space="preserve">Musik 3, fristående </v>
      </c>
      <c r="C525" s="37"/>
      <c r="D525" t="s">
        <v>117</v>
      </c>
      <c r="E525"/>
      <c r="F525" s="59" t="s">
        <v>1930</v>
      </c>
      <c r="G525"/>
      <c r="H525"/>
      <c r="I525" t="s">
        <v>1634</v>
      </c>
      <c r="L525">
        <v>100</v>
      </c>
      <c r="M525">
        <v>30</v>
      </c>
      <c r="P525" s="31">
        <v>0</v>
      </c>
      <c r="Q525" s="232">
        <f t="shared" si="302"/>
        <v>0</v>
      </c>
      <c r="R525" s="40">
        <v>0.8</v>
      </c>
      <c r="S525" s="334">
        <f t="shared" si="303"/>
        <v>0</v>
      </c>
      <c r="T525" s="31">
        <f>VLOOKUP(A525,'Ansvar kurs'!$A$1:$C$1010,2,FALSE)</f>
        <v>1650</v>
      </c>
      <c r="U525" s="31" t="str">
        <f>VLOOKUP(T525,Orgenheter!$A$1:$C$165,2,FALSE)</f>
        <v xml:space="preserve">Estetiska ämnen               </v>
      </c>
      <c r="V525" s="31" t="str">
        <f>VLOOKUP(T525,Orgenheter!$A$1:$C$165,3,FALSE)</f>
        <v>Hum</v>
      </c>
      <c r="W525" s="37" t="str">
        <f>VLOOKUP(D525,Program!$A$1:$B$34,2,FALSE)</f>
        <v>Fristående och övriga kurser</v>
      </c>
      <c r="X525" s="42">
        <f>VLOOKUP(A525,kurspris!$A$1:$Q$798,15,FALSE)</f>
        <v>30802</v>
      </c>
      <c r="Y525" s="42">
        <f>VLOOKUP(A525,kurspris!$A$1:$Q$798,16,FALSE)</f>
        <v>63797</v>
      </c>
      <c r="Z525" s="42">
        <f t="shared" si="304"/>
        <v>0</v>
      </c>
      <c r="AA525" s="42">
        <f>VLOOKUP(A525,kurspris!$A$1:$Q$798,17,FALSE)</f>
        <v>70100</v>
      </c>
      <c r="AB525" s="42">
        <f t="shared" si="305"/>
        <v>0</v>
      </c>
      <c r="AC525" s="42">
        <f t="shared" si="306"/>
        <v>0</v>
      </c>
      <c r="AD525" s="31">
        <f>VLOOKUP($A525,kurspris!$A$1:$Q$835,3,FALSE)</f>
        <v>0</v>
      </c>
      <c r="AE525" s="31">
        <f>VLOOKUP($A525,kurspris!$A$1:$Q$835,4,FALSE)</f>
        <v>0</v>
      </c>
      <c r="AF525" s="31">
        <f>VLOOKUP($A525,kurspris!$A$1:$Q$835,5,FALSE)</f>
        <v>0</v>
      </c>
      <c r="AG525" s="31">
        <f>VLOOKUP($A525,kurspris!$A$1:$Q$835,6,FALSE)</f>
        <v>0</v>
      </c>
      <c r="AH525" s="31">
        <f>VLOOKUP($A525,kurspris!$A$1:$Q$835,7,FALSE)</f>
        <v>1</v>
      </c>
      <c r="AI525" s="31">
        <f>VLOOKUP($A525,kurspris!$A$1:$Q$835,8,FALSE)</f>
        <v>0</v>
      </c>
      <c r="AJ525" s="31">
        <f>VLOOKUP($A525,kurspris!$A$1:$Q$835,9,FALSE)</f>
        <v>0</v>
      </c>
      <c r="AK525" s="31">
        <f>VLOOKUP($A525,kurspris!$A$1:$Q$835,10,FALSE)</f>
        <v>0</v>
      </c>
      <c r="AL525" s="31">
        <f>VLOOKUP($A525,kurspris!$A$1:$Q$835,11,FALSE)</f>
        <v>0</v>
      </c>
      <c r="AM525" s="31">
        <f>VLOOKUP($A525,kurspris!$A$1:$Q$835,12,FALSE)</f>
        <v>0</v>
      </c>
      <c r="AN525" s="31">
        <f>VLOOKUP($A525,kurspris!$A$1:$Q$835,13,FALSE)</f>
        <v>0</v>
      </c>
      <c r="AO525" s="31">
        <f>VLOOKUP($A525,kurspris!$A$1:$Q$835,14,FALSE)</f>
        <v>0</v>
      </c>
      <c r="AP525" s="39" t="s">
        <v>2095</v>
      </c>
      <c r="AQ525"/>
      <c r="AR525" s="31">
        <f t="shared" si="307"/>
        <v>0</v>
      </c>
      <c r="AS525" s="255">
        <f t="shared" si="308"/>
        <v>0</v>
      </c>
      <c r="AT525" s="31">
        <f t="shared" si="309"/>
        <v>0</v>
      </c>
      <c r="AU525" s="255">
        <f t="shared" si="310"/>
        <v>0</v>
      </c>
      <c r="AV525" s="31">
        <f t="shared" si="311"/>
        <v>0</v>
      </c>
      <c r="AW525" s="31">
        <f t="shared" si="312"/>
        <v>0</v>
      </c>
      <c r="AX525" s="31">
        <f t="shared" si="313"/>
        <v>0</v>
      </c>
      <c r="AY525" s="255">
        <f t="shared" si="314"/>
        <v>0</v>
      </c>
      <c r="AZ525" s="232">
        <f t="shared" si="315"/>
        <v>0</v>
      </c>
      <c r="BA525" s="255">
        <f t="shared" si="316"/>
        <v>0</v>
      </c>
      <c r="BB525" s="31">
        <f t="shared" si="317"/>
        <v>0</v>
      </c>
      <c r="BC525" s="255">
        <f t="shared" si="318"/>
        <v>0</v>
      </c>
      <c r="BD525" s="31">
        <f t="shared" si="319"/>
        <v>0</v>
      </c>
      <c r="BE525" s="255">
        <f t="shared" si="320"/>
        <v>0</v>
      </c>
      <c r="BF525" s="31">
        <f t="shared" si="321"/>
        <v>0</v>
      </c>
      <c r="BG525" s="255">
        <f t="shared" si="322"/>
        <v>0</v>
      </c>
      <c r="BH525" s="31">
        <f t="shared" si="323"/>
        <v>0</v>
      </c>
      <c r="BI525" s="255">
        <f t="shared" si="324"/>
        <v>0</v>
      </c>
      <c r="BJ525" s="31">
        <f t="shared" si="325"/>
        <v>0</v>
      </c>
      <c r="BK525" s="31">
        <f t="shared" si="326"/>
        <v>0</v>
      </c>
      <c r="BL525" s="255">
        <f t="shared" si="327"/>
        <v>0</v>
      </c>
      <c r="BM525" s="31">
        <f t="shared" si="328"/>
        <v>0</v>
      </c>
      <c r="BN525" s="255">
        <f t="shared" si="329"/>
        <v>0</v>
      </c>
    </row>
    <row r="526" spans="1:66" x14ac:dyDescent="0.25">
      <c r="A526" t="s">
        <v>1587</v>
      </c>
      <c r="B526" s="186" t="str">
        <f>VLOOKUP(A526,kurspris!$A$1:$B$877,2,FALSE)</f>
        <v>Musik fördjupning 1</v>
      </c>
      <c r="C526"/>
      <c r="D526" t="s">
        <v>483</v>
      </c>
      <c r="E526" t="s">
        <v>1976</v>
      </c>
      <c r="F526" s="59" t="s">
        <v>1930</v>
      </c>
      <c r="G526" t="s">
        <v>1995</v>
      </c>
      <c r="H526" t="s">
        <v>1910</v>
      </c>
      <c r="I526"/>
      <c r="J526" t="s">
        <v>775</v>
      </c>
      <c r="K526"/>
      <c r="L526">
        <v>100</v>
      </c>
      <c r="M526">
        <v>30</v>
      </c>
      <c r="N526"/>
      <c r="O526"/>
      <c r="P526" s="31">
        <v>2</v>
      </c>
      <c r="Q526" s="232">
        <f t="shared" si="302"/>
        <v>1</v>
      </c>
      <c r="R526" s="40">
        <v>0.85</v>
      </c>
      <c r="S526" s="334">
        <f t="shared" si="303"/>
        <v>0.85</v>
      </c>
      <c r="T526" s="31">
        <f>VLOOKUP(A526,'Ansvar kurs'!$A$1:$C$1010,2,FALSE)</f>
        <v>1650</v>
      </c>
      <c r="U526" s="31" t="str">
        <f>VLOOKUP(T526,Orgenheter!$A$1:$C$165,2,FALSE)</f>
        <v xml:space="preserve">Estetiska ämnen               </v>
      </c>
      <c r="V526" s="31" t="str">
        <f>VLOOKUP(T526,Orgenheter!$A$1:$C$165,3,FALSE)</f>
        <v>Hum</v>
      </c>
      <c r="W526" s="37" t="str">
        <f>VLOOKUP(D526,Program!$A$1:$B$34,2,FALSE)</f>
        <v>Ämneslärarprogrammet - Gy</v>
      </c>
      <c r="X526" s="42">
        <f>VLOOKUP(A526,kurspris!$A$1:$Q$798,15,FALSE)</f>
        <v>30802</v>
      </c>
      <c r="Y526" s="42">
        <f>VLOOKUP(A526,kurspris!$A$1:$Q$798,16,FALSE)</f>
        <v>63797</v>
      </c>
      <c r="Z526" s="42">
        <f t="shared" si="304"/>
        <v>85029.45</v>
      </c>
      <c r="AA526" s="42">
        <f>VLOOKUP(A526,kurspris!$A$1:$Q$798,17,FALSE)</f>
        <v>70100</v>
      </c>
      <c r="AB526" s="42">
        <f t="shared" si="305"/>
        <v>70100</v>
      </c>
      <c r="AC526" s="42">
        <f t="shared" si="306"/>
        <v>155129.45000000001</v>
      </c>
      <c r="AD526" s="31">
        <f>VLOOKUP($A526,kurspris!$A$1:$Q$835,3,FALSE)</f>
        <v>0</v>
      </c>
      <c r="AE526" s="31">
        <f>VLOOKUP($A526,kurspris!$A$1:$Q$835,4,FALSE)</f>
        <v>0</v>
      </c>
      <c r="AF526" s="31">
        <f>VLOOKUP($A526,kurspris!$A$1:$Q$835,5,FALSE)</f>
        <v>0</v>
      </c>
      <c r="AG526" s="31">
        <f>VLOOKUP($A526,kurspris!$A$1:$Q$835,6,FALSE)</f>
        <v>0</v>
      </c>
      <c r="AH526" s="31">
        <f>VLOOKUP($A526,kurspris!$A$1:$Q$835,7,FALSE)</f>
        <v>1</v>
      </c>
      <c r="AI526" s="31">
        <f>VLOOKUP($A526,kurspris!$A$1:$Q$835,8,FALSE)</f>
        <v>0</v>
      </c>
      <c r="AJ526" s="31">
        <f>VLOOKUP($A526,kurspris!$A$1:$Q$835,9,FALSE)</f>
        <v>0</v>
      </c>
      <c r="AK526" s="31">
        <f>VLOOKUP($A526,kurspris!$A$1:$Q$835,10,FALSE)</f>
        <v>0</v>
      </c>
      <c r="AL526" s="31">
        <f>VLOOKUP($A526,kurspris!$A$1:$Q$835,11,FALSE)</f>
        <v>0</v>
      </c>
      <c r="AM526" s="31">
        <f>VLOOKUP($A526,kurspris!$A$1:$Q$835,12,FALSE)</f>
        <v>0</v>
      </c>
      <c r="AN526" s="31">
        <f>VLOOKUP($A526,kurspris!$A$1:$Q$835,13,FALSE)</f>
        <v>0</v>
      </c>
      <c r="AO526" s="31">
        <f>VLOOKUP($A526,kurspris!$A$1:$Q$835,14,FALSE)</f>
        <v>0</v>
      </c>
      <c r="AP526" s="39" t="s">
        <v>2204</v>
      </c>
      <c r="AQ526"/>
      <c r="AR526" s="31">
        <f t="shared" si="307"/>
        <v>0</v>
      </c>
      <c r="AS526" s="255">
        <f t="shared" si="308"/>
        <v>0</v>
      </c>
      <c r="AT526" s="31">
        <f t="shared" si="309"/>
        <v>0</v>
      </c>
      <c r="AU526" s="255">
        <f t="shared" si="310"/>
        <v>0</v>
      </c>
      <c r="AV526" s="31">
        <f t="shared" si="311"/>
        <v>0</v>
      </c>
      <c r="AW526" s="31">
        <f t="shared" si="312"/>
        <v>0</v>
      </c>
      <c r="AX526" s="31">
        <f t="shared" si="313"/>
        <v>0</v>
      </c>
      <c r="AY526" s="255">
        <f t="shared" si="314"/>
        <v>0</v>
      </c>
      <c r="AZ526" s="232">
        <f t="shared" si="315"/>
        <v>1</v>
      </c>
      <c r="BA526" s="255">
        <f t="shared" si="316"/>
        <v>0.85</v>
      </c>
      <c r="BB526" s="31">
        <f t="shared" si="317"/>
        <v>0</v>
      </c>
      <c r="BC526" s="255">
        <f t="shared" si="318"/>
        <v>0</v>
      </c>
      <c r="BD526" s="31">
        <f t="shared" si="319"/>
        <v>0</v>
      </c>
      <c r="BE526" s="255">
        <f t="shared" si="320"/>
        <v>0</v>
      </c>
      <c r="BF526" s="31">
        <f t="shared" si="321"/>
        <v>0</v>
      </c>
      <c r="BG526" s="255">
        <f t="shared" si="322"/>
        <v>0</v>
      </c>
      <c r="BH526" s="31">
        <f t="shared" si="323"/>
        <v>0</v>
      </c>
      <c r="BI526" s="255">
        <f t="shared" si="324"/>
        <v>0</v>
      </c>
      <c r="BJ526" s="31">
        <f t="shared" si="325"/>
        <v>0</v>
      </c>
      <c r="BK526" s="31">
        <f t="shared" si="326"/>
        <v>0</v>
      </c>
      <c r="BL526" s="255">
        <f t="shared" si="327"/>
        <v>0</v>
      </c>
      <c r="BM526" s="31">
        <f t="shared" si="328"/>
        <v>0</v>
      </c>
      <c r="BN526" s="255">
        <f t="shared" si="329"/>
        <v>0</v>
      </c>
    </row>
    <row r="527" spans="1:66" x14ac:dyDescent="0.25">
      <c r="A527" t="s">
        <v>1587</v>
      </c>
      <c r="B527" s="186" t="str">
        <f>VLOOKUP(A527,kurspris!$A$1:$B$877,2,FALSE)</f>
        <v>Musik fördjupning 1</v>
      </c>
      <c r="C527"/>
      <c r="D527" t="s">
        <v>483</v>
      </c>
      <c r="E527" t="s">
        <v>1973</v>
      </c>
      <c r="F527" s="59" t="s">
        <v>1930</v>
      </c>
      <c r="G527" t="s">
        <v>1995</v>
      </c>
      <c r="H527" t="s">
        <v>1910</v>
      </c>
      <c r="I527"/>
      <c r="J527" t="s">
        <v>775</v>
      </c>
      <c r="K527"/>
      <c r="L527">
        <v>100</v>
      </c>
      <c r="M527">
        <v>30</v>
      </c>
      <c r="N527"/>
      <c r="O527"/>
      <c r="P527" s="31">
        <v>2</v>
      </c>
      <c r="Q527" s="232">
        <f t="shared" si="302"/>
        <v>1</v>
      </c>
      <c r="R527" s="40">
        <v>0.85</v>
      </c>
      <c r="S527" s="334">
        <f t="shared" si="303"/>
        <v>0.85</v>
      </c>
      <c r="T527" s="31">
        <f>VLOOKUP(A527,'Ansvar kurs'!$A$1:$C$1010,2,FALSE)</f>
        <v>1650</v>
      </c>
      <c r="U527" s="31" t="str">
        <f>VLOOKUP(T527,Orgenheter!$A$1:$C$165,2,FALSE)</f>
        <v xml:space="preserve">Estetiska ämnen               </v>
      </c>
      <c r="V527" s="31" t="str">
        <f>VLOOKUP(T527,Orgenheter!$A$1:$C$165,3,FALSE)</f>
        <v>Hum</v>
      </c>
      <c r="W527" s="37" t="str">
        <f>VLOOKUP(D527,Program!$A$1:$B$34,2,FALSE)</f>
        <v>Ämneslärarprogrammet - Gy</v>
      </c>
      <c r="X527" s="42">
        <f>VLOOKUP(A527,kurspris!$A$1:$Q$798,15,FALSE)</f>
        <v>30802</v>
      </c>
      <c r="Y527" s="42">
        <f>VLOOKUP(A527,kurspris!$A$1:$Q$798,16,FALSE)</f>
        <v>63797</v>
      </c>
      <c r="Z527" s="42">
        <f t="shared" si="304"/>
        <v>85029.45</v>
      </c>
      <c r="AA527" s="42">
        <f>VLOOKUP(A527,kurspris!$A$1:$Q$798,17,FALSE)</f>
        <v>70100</v>
      </c>
      <c r="AB527" s="42">
        <f t="shared" si="305"/>
        <v>70100</v>
      </c>
      <c r="AC527" s="42">
        <f t="shared" si="306"/>
        <v>155129.45000000001</v>
      </c>
      <c r="AD527" s="31">
        <f>VLOOKUP($A527,kurspris!$A$1:$Q$835,3,FALSE)</f>
        <v>0</v>
      </c>
      <c r="AE527" s="31">
        <f>VLOOKUP($A527,kurspris!$A$1:$Q$835,4,FALSE)</f>
        <v>0</v>
      </c>
      <c r="AF527" s="31">
        <f>VLOOKUP($A527,kurspris!$A$1:$Q$835,5,FALSE)</f>
        <v>0</v>
      </c>
      <c r="AG527" s="31">
        <f>VLOOKUP($A527,kurspris!$A$1:$Q$835,6,FALSE)</f>
        <v>0</v>
      </c>
      <c r="AH527" s="31">
        <f>VLOOKUP($A527,kurspris!$A$1:$Q$835,7,FALSE)</f>
        <v>1</v>
      </c>
      <c r="AI527" s="31">
        <f>VLOOKUP($A527,kurspris!$A$1:$Q$835,8,FALSE)</f>
        <v>0</v>
      </c>
      <c r="AJ527" s="31">
        <f>VLOOKUP($A527,kurspris!$A$1:$Q$835,9,FALSE)</f>
        <v>0</v>
      </c>
      <c r="AK527" s="31">
        <f>VLOOKUP($A527,kurspris!$A$1:$Q$835,10,FALSE)</f>
        <v>0</v>
      </c>
      <c r="AL527" s="31">
        <f>VLOOKUP($A527,kurspris!$A$1:$Q$835,11,FALSE)</f>
        <v>0</v>
      </c>
      <c r="AM527" s="31">
        <f>VLOOKUP($A527,kurspris!$A$1:$Q$835,12,FALSE)</f>
        <v>0</v>
      </c>
      <c r="AN527" s="31">
        <f>VLOOKUP($A527,kurspris!$A$1:$Q$835,13,FALSE)</f>
        <v>0</v>
      </c>
      <c r="AO527" s="31">
        <f>VLOOKUP($A527,kurspris!$A$1:$Q$835,14,FALSE)</f>
        <v>0</v>
      </c>
      <c r="AP527" s="39" t="s">
        <v>2204</v>
      </c>
      <c r="AQ527"/>
      <c r="AR527" s="31">
        <f t="shared" si="307"/>
        <v>0</v>
      </c>
      <c r="AS527" s="255">
        <f t="shared" si="308"/>
        <v>0</v>
      </c>
      <c r="AT527" s="31">
        <f t="shared" si="309"/>
        <v>0</v>
      </c>
      <c r="AU527" s="255">
        <f t="shared" si="310"/>
        <v>0</v>
      </c>
      <c r="AV527" s="31">
        <f t="shared" si="311"/>
        <v>0</v>
      </c>
      <c r="AW527" s="31">
        <f t="shared" si="312"/>
        <v>0</v>
      </c>
      <c r="AX527" s="31">
        <f t="shared" si="313"/>
        <v>0</v>
      </c>
      <c r="AY527" s="255">
        <f t="shared" si="314"/>
        <v>0</v>
      </c>
      <c r="AZ527" s="232">
        <f t="shared" si="315"/>
        <v>1</v>
      </c>
      <c r="BA527" s="255">
        <f t="shared" si="316"/>
        <v>0.85</v>
      </c>
      <c r="BB527" s="31">
        <f t="shared" si="317"/>
        <v>0</v>
      </c>
      <c r="BC527" s="255">
        <f t="shared" si="318"/>
        <v>0</v>
      </c>
      <c r="BD527" s="31">
        <f t="shared" si="319"/>
        <v>0</v>
      </c>
      <c r="BE527" s="255">
        <f t="shared" si="320"/>
        <v>0</v>
      </c>
      <c r="BF527" s="31">
        <f t="shared" si="321"/>
        <v>0</v>
      </c>
      <c r="BG527" s="255">
        <f t="shared" si="322"/>
        <v>0</v>
      </c>
      <c r="BH527" s="31">
        <f t="shared" si="323"/>
        <v>0</v>
      </c>
      <c r="BI527" s="255">
        <f t="shared" si="324"/>
        <v>0</v>
      </c>
      <c r="BJ527" s="31">
        <f t="shared" si="325"/>
        <v>0</v>
      </c>
      <c r="BK527" s="31">
        <f t="shared" si="326"/>
        <v>0</v>
      </c>
      <c r="BL527" s="255">
        <f t="shared" si="327"/>
        <v>0</v>
      </c>
      <c r="BM527" s="31">
        <f t="shared" si="328"/>
        <v>0</v>
      </c>
      <c r="BN527" s="255">
        <f t="shared" si="329"/>
        <v>0</v>
      </c>
    </row>
    <row r="528" spans="1:66" x14ac:dyDescent="0.25">
      <c r="A528" t="s">
        <v>1587</v>
      </c>
      <c r="B528" s="186" t="str">
        <f>VLOOKUP(A528,kurspris!$A$1:$B$877,2,FALSE)</f>
        <v>Musik fördjupning 1</v>
      </c>
      <c r="C528"/>
      <c r="D528" t="s">
        <v>483</v>
      </c>
      <c r="E528" t="s">
        <v>1609</v>
      </c>
      <c r="F528" s="59" t="s">
        <v>1930</v>
      </c>
      <c r="G528" t="s">
        <v>1995</v>
      </c>
      <c r="H528" t="s">
        <v>1910</v>
      </c>
      <c r="I528"/>
      <c r="J528" t="s">
        <v>775</v>
      </c>
      <c r="K528"/>
      <c r="L528">
        <v>100</v>
      </c>
      <c r="M528">
        <v>30</v>
      </c>
      <c r="N528"/>
      <c r="O528"/>
      <c r="P528" s="31">
        <v>1</v>
      </c>
      <c r="Q528" s="232">
        <f t="shared" si="302"/>
        <v>0.5</v>
      </c>
      <c r="R528" s="40">
        <v>0.85</v>
      </c>
      <c r="S528" s="334">
        <f t="shared" si="303"/>
        <v>0.42499999999999999</v>
      </c>
      <c r="T528" s="31">
        <f>VLOOKUP(A528,'Ansvar kurs'!$A$1:$C$1010,2,FALSE)</f>
        <v>1650</v>
      </c>
      <c r="U528" s="31" t="str">
        <f>VLOOKUP(T528,Orgenheter!$A$1:$C$165,2,FALSE)</f>
        <v xml:space="preserve">Estetiska ämnen               </v>
      </c>
      <c r="V528" s="31" t="str">
        <f>VLOOKUP(T528,Orgenheter!$A$1:$C$165,3,FALSE)</f>
        <v>Hum</v>
      </c>
      <c r="W528" s="37" t="str">
        <f>VLOOKUP(D528,Program!$A$1:$B$34,2,FALSE)</f>
        <v>Ämneslärarprogrammet - Gy</v>
      </c>
      <c r="X528" s="42">
        <f>VLOOKUP(A528,kurspris!$A$1:$Q$798,15,FALSE)</f>
        <v>30802</v>
      </c>
      <c r="Y528" s="42">
        <f>VLOOKUP(A528,kurspris!$A$1:$Q$798,16,FALSE)</f>
        <v>63797</v>
      </c>
      <c r="Z528" s="42">
        <f t="shared" si="304"/>
        <v>42514.724999999999</v>
      </c>
      <c r="AA528" s="42">
        <f>VLOOKUP(A528,kurspris!$A$1:$Q$798,17,FALSE)</f>
        <v>70100</v>
      </c>
      <c r="AB528" s="42">
        <f t="shared" si="305"/>
        <v>35050</v>
      </c>
      <c r="AC528" s="42">
        <f t="shared" si="306"/>
        <v>77564.725000000006</v>
      </c>
      <c r="AD528" s="31">
        <f>VLOOKUP($A528,kurspris!$A$1:$Q$835,3,FALSE)</f>
        <v>0</v>
      </c>
      <c r="AE528" s="31">
        <f>VLOOKUP($A528,kurspris!$A$1:$Q$835,4,FALSE)</f>
        <v>0</v>
      </c>
      <c r="AF528" s="31">
        <f>VLOOKUP($A528,kurspris!$A$1:$Q$835,5,FALSE)</f>
        <v>0</v>
      </c>
      <c r="AG528" s="31">
        <f>VLOOKUP($A528,kurspris!$A$1:$Q$835,6,FALSE)</f>
        <v>0</v>
      </c>
      <c r="AH528" s="31">
        <f>VLOOKUP($A528,kurspris!$A$1:$Q$835,7,FALSE)</f>
        <v>1</v>
      </c>
      <c r="AI528" s="31">
        <f>VLOOKUP($A528,kurspris!$A$1:$Q$835,8,FALSE)</f>
        <v>0</v>
      </c>
      <c r="AJ528" s="31">
        <f>VLOOKUP($A528,kurspris!$A$1:$Q$835,9,FALSE)</f>
        <v>0</v>
      </c>
      <c r="AK528" s="31">
        <f>VLOOKUP($A528,kurspris!$A$1:$Q$835,10,FALSE)</f>
        <v>0</v>
      </c>
      <c r="AL528" s="31">
        <f>VLOOKUP($A528,kurspris!$A$1:$Q$835,11,FALSE)</f>
        <v>0</v>
      </c>
      <c r="AM528" s="31">
        <f>VLOOKUP($A528,kurspris!$A$1:$Q$835,12,FALSE)</f>
        <v>0</v>
      </c>
      <c r="AN528" s="31">
        <f>VLOOKUP($A528,kurspris!$A$1:$Q$835,13,FALSE)</f>
        <v>0</v>
      </c>
      <c r="AO528" s="31">
        <f>VLOOKUP($A528,kurspris!$A$1:$Q$835,14,FALSE)</f>
        <v>0</v>
      </c>
      <c r="AP528" s="39" t="s">
        <v>2204</v>
      </c>
      <c r="AQ528"/>
      <c r="AR528" s="31">
        <f t="shared" si="307"/>
        <v>0</v>
      </c>
      <c r="AS528" s="255">
        <f t="shared" si="308"/>
        <v>0</v>
      </c>
      <c r="AT528" s="31">
        <f t="shared" si="309"/>
        <v>0</v>
      </c>
      <c r="AU528" s="255">
        <f t="shared" si="310"/>
        <v>0</v>
      </c>
      <c r="AV528" s="31">
        <f t="shared" si="311"/>
        <v>0</v>
      </c>
      <c r="AW528" s="31">
        <f t="shared" si="312"/>
        <v>0</v>
      </c>
      <c r="AX528" s="31">
        <f t="shared" si="313"/>
        <v>0</v>
      </c>
      <c r="AY528" s="255">
        <f t="shared" si="314"/>
        <v>0</v>
      </c>
      <c r="AZ528" s="232">
        <f t="shared" si="315"/>
        <v>0.5</v>
      </c>
      <c r="BA528" s="255">
        <f t="shared" si="316"/>
        <v>0.42499999999999999</v>
      </c>
      <c r="BB528" s="31">
        <f t="shared" si="317"/>
        <v>0</v>
      </c>
      <c r="BC528" s="255">
        <f t="shared" si="318"/>
        <v>0</v>
      </c>
      <c r="BD528" s="31">
        <f t="shared" si="319"/>
        <v>0</v>
      </c>
      <c r="BE528" s="255">
        <f t="shared" si="320"/>
        <v>0</v>
      </c>
      <c r="BF528" s="31">
        <f t="shared" si="321"/>
        <v>0</v>
      </c>
      <c r="BG528" s="255">
        <f t="shared" si="322"/>
        <v>0</v>
      </c>
      <c r="BH528" s="31">
        <f t="shared" si="323"/>
        <v>0</v>
      </c>
      <c r="BI528" s="255">
        <f t="shared" si="324"/>
        <v>0</v>
      </c>
      <c r="BJ528" s="31">
        <f t="shared" si="325"/>
        <v>0</v>
      </c>
      <c r="BK528" s="31">
        <f t="shared" si="326"/>
        <v>0</v>
      </c>
      <c r="BL528" s="255">
        <f t="shared" si="327"/>
        <v>0</v>
      </c>
      <c r="BM528" s="31">
        <f t="shared" si="328"/>
        <v>0</v>
      </c>
      <c r="BN528" s="255">
        <f t="shared" si="329"/>
        <v>0</v>
      </c>
    </row>
    <row r="529" spans="1:66" x14ac:dyDescent="0.25">
      <c r="A529" s="18" t="s">
        <v>2180</v>
      </c>
      <c r="B529" s="186" t="str">
        <f>VLOOKUP(A529,kurspris!$A$1:$B$877,2,FALSE)</f>
        <v>Musik 2</v>
      </c>
      <c r="C529" s="37"/>
      <c r="D529" s="31" t="s">
        <v>483</v>
      </c>
      <c r="E529" s="31" t="s">
        <v>1788</v>
      </c>
      <c r="F529" s="59" t="s">
        <v>1931</v>
      </c>
      <c r="G529" s="31" t="s">
        <v>2276</v>
      </c>
      <c r="J529" t="s">
        <v>775</v>
      </c>
      <c r="L529" s="31">
        <v>100</v>
      </c>
      <c r="M529" s="31">
        <v>30</v>
      </c>
      <c r="P529" s="31">
        <v>5</v>
      </c>
      <c r="Q529" s="232">
        <f t="shared" si="302"/>
        <v>2.5</v>
      </c>
      <c r="R529" s="40">
        <v>0.85</v>
      </c>
      <c r="S529" s="334">
        <f t="shared" si="303"/>
        <v>2.125</v>
      </c>
      <c r="T529" s="31">
        <f>VLOOKUP(A529,'Ansvar kurs'!$A$1:$C$1010,2,FALSE)</f>
        <v>1650</v>
      </c>
      <c r="U529" s="31" t="str">
        <f>VLOOKUP(T529,Orgenheter!$A$1:$C$165,2,FALSE)</f>
        <v xml:space="preserve">Estetiska ämnen               </v>
      </c>
      <c r="V529" s="31" t="str">
        <f>VLOOKUP(T529,Orgenheter!$A$1:$C$165,3,FALSE)</f>
        <v>Hum</v>
      </c>
      <c r="W529" s="37" t="str">
        <f>VLOOKUP(D529,Program!$A$1:$B$34,2,FALSE)</f>
        <v>Ämneslärarprogrammet - Gy</v>
      </c>
      <c r="X529" s="42">
        <f>VLOOKUP(A529,kurspris!$A$1:$Q$798,15,FALSE)</f>
        <v>30802</v>
      </c>
      <c r="Y529" s="42">
        <f>VLOOKUP(A529,kurspris!$A$1:$Q$798,16,FALSE)</f>
        <v>63797</v>
      </c>
      <c r="Z529" s="42">
        <f t="shared" si="304"/>
        <v>212573.625</v>
      </c>
      <c r="AA529" s="42">
        <f>VLOOKUP(A529,kurspris!$A$1:$Q$798,17,FALSE)</f>
        <v>70100</v>
      </c>
      <c r="AB529" s="42">
        <f t="shared" si="305"/>
        <v>175250</v>
      </c>
      <c r="AC529" s="42">
        <f t="shared" si="306"/>
        <v>387823.625</v>
      </c>
      <c r="AD529" s="31">
        <f>VLOOKUP($A529,kurspris!$A$1:$Q$835,3,FALSE)</f>
        <v>0</v>
      </c>
      <c r="AE529" s="31">
        <f>VLOOKUP($A529,kurspris!$A$1:$Q$835,4,FALSE)</f>
        <v>0</v>
      </c>
      <c r="AF529" s="31">
        <f>VLOOKUP($A529,kurspris!$A$1:$Q$835,5,FALSE)</f>
        <v>0</v>
      </c>
      <c r="AG529" s="31">
        <f>VLOOKUP($A529,kurspris!$A$1:$Q$835,6,FALSE)</f>
        <v>0</v>
      </c>
      <c r="AH529" s="31">
        <f>VLOOKUP($A529,kurspris!$A$1:$Q$835,7,FALSE)</f>
        <v>1</v>
      </c>
      <c r="AI529" s="31">
        <f>VLOOKUP($A529,kurspris!$A$1:$Q$835,8,FALSE)</f>
        <v>0</v>
      </c>
      <c r="AJ529" s="31">
        <f>VLOOKUP($A529,kurspris!$A$1:$Q$835,9,FALSE)</f>
        <v>0</v>
      </c>
      <c r="AK529" s="31">
        <f>VLOOKUP($A529,kurspris!$A$1:$Q$835,10,FALSE)</f>
        <v>0</v>
      </c>
      <c r="AL529" s="31">
        <f>VLOOKUP($A529,kurspris!$A$1:$Q$835,11,FALSE)</f>
        <v>0</v>
      </c>
      <c r="AM529" s="31">
        <f>VLOOKUP($A529,kurspris!$A$1:$Q$835,12,FALSE)</f>
        <v>0</v>
      </c>
      <c r="AN529" s="31">
        <f>VLOOKUP($A529,kurspris!$A$1:$Q$835,13,FALSE)</f>
        <v>0</v>
      </c>
      <c r="AO529" s="31">
        <f>VLOOKUP($A529,kurspris!$A$1:$Q$835,14,FALSE)</f>
        <v>0</v>
      </c>
      <c r="AP529" s="39" t="s">
        <v>2326</v>
      </c>
      <c r="AQ529"/>
      <c r="AR529" s="31">
        <f t="shared" si="307"/>
        <v>0</v>
      </c>
      <c r="AS529" s="255">
        <f t="shared" si="308"/>
        <v>0</v>
      </c>
      <c r="AT529" s="31">
        <f t="shared" si="309"/>
        <v>0</v>
      </c>
      <c r="AU529" s="255">
        <f t="shared" si="310"/>
        <v>0</v>
      </c>
      <c r="AV529" s="31">
        <f t="shared" si="311"/>
        <v>0</v>
      </c>
      <c r="AW529" s="31">
        <f t="shared" si="312"/>
        <v>0</v>
      </c>
      <c r="AX529" s="31">
        <f t="shared" si="313"/>
        <v>0</v>
      </c>
      <c r="AY529" s="255">
        <f t="shared" si="314"/>
        <v>0</v>
      </c>
      <c r="AZ529" s="232">
        <f t="shared" si="315"/>
        <v>2.5</v>
      </c>
      <c r="BA529" s="255">
        <f t="shared" si="316"/>
        <v>2.125</v>
      </c>
      <c r="BB529" s="31">
        <f t="shared" si="317"/>
        <v>0</v>
      </c>
      <c r="BC529" s="255">
        <f t="shared" si="318"/>
        <v>0</v>
      </c>
      <c r="BD529" s="31">
        <f t="shared" si="319"/>
        <v>0</v>
      </c>
      <c r="BE529" s="255">
        <f t="shared" si="320"/>
        <v>0</v>
      </c>
      <c r="BF529" s="31">
        <f t="shared" si="321"/>
        <v>0</v>
      </c>
      <c r="BG529" s="255">
        <f t="shared" si="322"/>
        <v>0</v>
      </c>
      <c r="BH529" s="31">
        <f t="shared" si="323"/>
        <v>0</v>
      </c>
      <c r="BI529" s="255">
        <f t="shared" si="324"/>
        <v>0</v>
      </c>
      <c r="BJ529" s="31">
        <f t="shared" si="325"/>
        <v>0</v>
      </c>
      <c r="BK529" s="31">
        <f t="shared" si="326"/>
        <v>0</v>
      </c>
      <c r="BL529" s="255">
        <f t="shared" si="327"/>
        <v>0</v>
      </c>
      <c r="BM529" s="31">
        <f t="shared" si="328"/>
        <v>0</v>
      </c>
      <c r="BN529" s="255">
        <f t="shared" si="329"/>
        <v>0</v>
      </c>
    </row>
    <row r="530" spans="1:66" x14ac:dyDescent="0.25">
      <c r="A530" s="18" t="s">
        <v>2187</v>
      </c>
      <c r="B530" s="186" t="str">
        <f>VLOOKUP(A530,kurspris!$A$1:$B$877,2,FALSE)</f>
        <v>Musik fördjupning 2</v>
      </c>
      <c r="C530" s="37"/>
      <c r="D530" s="31" t="s">
        <v>483</v>
      </c>
      <c r="E530" s="31" t="s">
        <v>1976</v>
      </c>
      <c r="F530" s="59" t="s">
        <v>1931</v>
      </c>
      <c r="G530" s="31" t="s">
        <v>2276</v>
      </c>
      <c r="J530" t="s">
        <v>775</v>
      </c>
      <c r="L530" s="31">
        <v>100</v>
      </c>
      <c r="M530" s="31">
        <v>30</v>
      </c>
      <c r="P530" s="31">
        <v>2</v>
      </c>
      <c r="Q530" s="232">
        <f t="shared" si="302"/>
        <v>1</v>
      </c>
      <c r="R530" s="40">
        <v>0.85</v>
      </c>
      <c r="S530" s="334">
        <f t="shared" si="303"/>
        <v>0.85</v>
      </c>
      <c r="T530" s="31">
        <f>VLOOKUP(A530,'Ansvar kurs'!$A$1:$C$1010,2,FALSE)</f>
        <v>1650</v>
      </c>
      <c r="U530" s="31" t="str">
        <f>VLOOKUP(T530,Orgenheter!$A$1:$C$165,2,FALSE)</f>
        <v xml:space="preserve">Estetiska ämnen               </v>
      </c>
      <c r="V530" s="31" t="str">
        <f>VLOOKUP(T530,Orgenheter!$A$1:$C$165,3,FALSE)</f>
        <v>Hum</v>
      </c>
      <c r="W530" s="37" t="str">
        <f>VLOOKUP(D530,Program!$A$1:$B$34,2,FALSE)</f>
        <v>Ämneslärarprogrammet - Gy</v>
      </c>
      <c r="X530" s="42">
        <f>VLOOKUP(A530,kurspris!$A$1:$Q$798,15,FALSE)</f>
        <v>30802</v>
      </c>
      <c r="Y530" s="42">
        <f>VLOOKUP(A530,kurspris!$A$1:$Q$798,16,FALSE)</f>
        <v>63797</v>
      </c>
      <c r="Z530" s="42">
        <f t="shared" si="304"/>
        <v>85029.45</v>
      </c>
      <c r="AA530" s="42">
        <f>VLOOKUP(A530,kurspris!$A$1:$Q$798,17,FALSE)</f>
        <v>70100</v>
      </c>
      <c r="AB530" s="42">
        <f t="shared" si="305"/>
        <v>70100</v>
      </c>
      <c r="AC530" s="42">
        <f t="shared" si="306"/>
        <v>155129.45000000001</v>
      </c>
      <c r="AD530" s="31">
        <f>VLOOKUP($A530,kurspris!$A$1:$Q$835,3,FALSE)</f>
        <v>0</v>
      </c>
      <c r="AE530" s="31">
        <f>VLOOKUP($A530,kurspris!$A$1:$Q$835,4,FALSE)</f>
        <v>0</v>
      </c>
      <c r="AF530" s="31">
        <f>VLOOKUP($A530,kurspris!$A$1:$Q$835,5,FALSE)</f>
        <v>0</v>
      </c>
      <c r="AG530" s="31">
        <f>VLOOKUP($A530,kurspris!$A$1:$Q$835,6,FALSE)</f>
        <v>0</v>
      </c>
      <c r="AH530" s="31">
        <f>VLOOKUP($A530,kurspris!$A$1:$Q$835,7,FALSE)</f>
        <v>1</v>
      </c>
      <c r="AI530" s="31">
        <f>VLOOKUP($A530,kurspris!$A$1:$Q$835,8,FALSE)</f>
        <v>0</v>
      </c>
      <c r="AJ530" s="31">
        <f>VLOOKUP($A530,kurspris!$A$1:$Q$835,9,FALSE)</f>
        <v>0</v>
      </c>
      <c r="AK530" s="31">
        <f>VLOOKUP($A530,kurspris!$A$1:$Q$835,10,FALSE)</f>
        <v>0</v>
      </c>
      <c r="AL530" s="31">
        <f>VLOOKUP($A530,kurspris!$A$1:$Q$835,11,FALSE)</f>
        <v>0</v>
      </c>
      <c r="AM530" s="31">
        <f>VLOOKUP($A530,kurspris!$A$1:$Q$835,12,FALSE)</f>
        <v>0</v>
      </c>
      <c r="AN530" s="31">
        <f>VLOOKUP($A530,kurspris!$A$1:$Q$835,13,FALSE)</f>
        <v>0</v>
      </c>
      <c r="AO530" s="31">
        <f>VLOOKUP($A530,kurspris!$A$1:$Q$835,14,FALSE)</f>
        <v>0</v>
      </c>
      <c r="AP530" s="39" t="s">
        <v>2326</v>
      </c>
      <c r="AQ530"/>
      <c r="AR530" s="31">
        <f t="shared" si="307"/>
        <v>0</v>
      </c>
      <c r="AS530" s="255">
        <f t="shared" si="308"/>
        <v>0</v>
      </c>
      <c r="AT530" s="31">
        <f t="shared" si="309"/>
        <v>0</v>
      </c>
      <c r="AU530" s="255">
        <f t="shared" si="310"/>
        <v>0</v>
      </c>
      <c r="AV530" s="31">
        <f t="shared" si="311"/>
        <v>0</v>
      </c>
      <c r="AW530" s="31">
        <f t="shared" si="312"/>
        <v>0</v>
      </c>
      <c r="AX530" s="31">
        <f t="shared" si="313"/>
        <v>0</v>
      </c>
      <c r="AY530" s="255">
        <f t="shared" si="314"/>
        <v>0</v>
      </c>
      <c r="AZ530" s="232">
        <f t="shared" si="315"/>
        <v>1</v>
      </c>
      <c r="BA530" s="255">
        <f t="shared" si="316"/>
        <v>0.85</v>
      </c>
      <c r="BB530" s="31">
        <f t="shared" si="317"/>
        <v>0</v>
      </c>
      <c r="BC530" s="255">
        <f t="shared" si="318"/>
        <v>0</v>
      </c>
      <c r="BD530" s="31">
        <f t="shared" si="319"/>
        <v>0</v>
      </c>
      <c r="BE530" s="255">
        <f t="shared" si="320"/>
        <v>0</v>
      </c>
      <c r="BF530" s="31">
        <f t="shared" si="321"/>
        <v>0</v>
      </c>
      <c r="BG530" s="255">
        <f t="shared" si="322"/>
        <v>0</v>
      </c>
      <c r="BH530" s="31">
        <f t="shared" si="323"/>
        <v>0</v>
      </c>
      <c r="BI530" s="255">
        <f t="shared" si="324"/>
        <v>0</v>
      </c>
      <c r="BJ530" s="31">
        <f t="shared" si="325"/>
        <v>0</v>
      </c>
      <c r="BK530" s="31">
        <f t="shared" si="326"/>
        <v>0</v>
      </c>
      <c r="BL530" s="255">
        <f t="shared" si="327"/>
        <v>0</v>
      </c>
      <c r="BM530" s="31">
        <f t="shared" si="328"/>
        <v>0</v>
      </c>
      <c r="BN530" s="255">
        <f t="shared" si="329"/>
        <v>0</v>
      </c>
    </row>
    <row r="531" spans="1:66" x14ac:dyDescent="0.25">
      <c r="A531" s="18" t="s">
        <v>2187</v>
      </c>
      <c r="B531" s="186" t="str">
        <f>VLOOKUP(A531,kurspris!$A$1:$B$877,2,FALSE)</f>
        <v>Musik fördjupning 2</v>
      </c>
      <c r="C531" s="37"/>
      <c r="D531" s="31" t="s">
        <v>483</v>
      </c>
      <c r="E531" s="31" t="s">
        <v>1973</v>
      </c>
      <c r="F531" s="59" t="s">
        <v>1931</v>
      </c>
      <c r="G531" s="31" t="s">
        <v>2276</v>
      </c>
      <c r="J531" t="s">
        <v>775</v>
      </c>
      <c r="L531" s="31">
        <v>100</v>
      </c>
      <c r="M531" s="31">
        <v>30</v>
      </c>
      <c r="P531" s="31">
        <v>2</v>
      </c>
      <c r="Q531" s="232">
        <f t="shared" si="302"/>
        <v>1</v>
      </c>
      <c r="R531" s="40">
        <v>0.85</v>
      </c>
      <c r="S531" s="334">
        <f t="shared" si="303"/>
        <v>0.85</v>
      </c>
      <c r="T531" s="31">
        <f>VLOOKUP(A531,'Ansvar kurs'!$A$1:$C$1010,2,FALSE)</f>
        <v>1650</v>
      </c>
      <c r="U531" s="31" t="str">
        <f>VLOOKUP(T531,Orgenheter!$A$1:$C$165,2,FALSE)</f>
        <v xml:space="preserve">Estetiska ämnen               </v>
      </c>
      <c r="V531" s="31" t="str">
        <f>VLOOKUP(T531,Orgenheter!$A$1:$C$165,3,FALSE)</f>
        <v>Hum</v>
      </c>
      <c r="W531" s="37" t="str">
        <f>VLOOKUP(D531,Program!$A$1:$B$34,2,FALSE)</f>
        <v>Ämneslärarprogrammet - Gy</v>
      </c>
      <c r="X531" s="42">
        <f>VLOOKUP(A531,kurspris!$A$1:$Q$798,15,FALSE)</f>
        <v>30802</v>
      </c>
      <c r="Y531" s="42">
        <f>VLOOKUP(A531,kurspris!$A$1:$Q$798,16,FALSE)</f>
        <v>63797</v>
      </c>
      <c r="Z531" s="42">
        <f t="shared" si="304"/>
        <v>85029.45</v>
      </c>
      <c r="AA531" s="42">
        <f>VLOOKUP(A531,kurspris!$A$1:$Q$798,17,FALSE)</f>
        <v>70100</v>
      </c>
      <c r="AB531" s="42">
        <f t="shared" si="305"/>
        <v>70100</v>
      </c>
      <c r="AC531" s="42">
        <f t="shared" si="306"/>
        <v>155129.45000000001</v>
      </c>
      <c r="AD531" s="31">
        <f>VLOOKUP($A531,kurspris!$A$1:$Q$835,3,FALSE)</f>
        <v>0</v>
      </c>
      <c r="AE531" s="31">
        <f>VLOOKUP($A531,kurspris!$A$1:$Q$835,4,FALSE)</f>
        <v>0</v>
      </c>
      <c r="AF531" s="31">
        <f>VLOOKUP($A531,kurspris!$A$1:$Q$835,5,FALSE)</f>
        <v>0</v>
      </c>
      <c r="AG531" s="31">
        <f>VLOOKUP($A531,kurspris!$A$1:$Q$835,6,FALSE)</f>
        <v>0</v>
      </c>
      <c r="AH531" s="31">
        <f>VLOOKUP($A531,kurspris!$A$1:$Q$835,7,FALSE)</f>
        <v>1</v>
      </c>
      <c r="AI531" s="31">
        <f>VLOOKUP($A531,kurspris!$A$1:$Q$835,8,FALSE)</f>
        <v>0</v>
      </c>
      <c r="AJ531" s="31">
        <f>VLOOKUP($A531,kurspris!$A$1:$Q$835,9,FALSE)</f>
        <v>0</v>
      </c>
      <c r="AK531" s="31">
        <f>VLOOKUP($A531,kurspris!$A$1:$Q$835,10,FALSE)</f>
        <v>0</v>
      </c>
      <c r="AL531" s="31">
        <f>VLOOKUP($A531,kurspris!$A$1:$Q$835,11,FALSE)</f>
        <v>0</v>
      </c>
      <c r="AM531" s="31">
        <f>VLOOKUP($A531,kurspris!$A$1:$Q$835,12,FALSE)</f>
        <v>0</v>
      </c>
      <c r="AN531" s="31">
        <f>VLOOKUP($A531,kurspris!$A$1:$Q$835,13,FALSE)</f>
        <v>0</v>
      </c>
      <c r="AO531" s="31">
        <f>VLOOKUP($A531,kurspris!$A$1:$Q$835,14,FALSE)</f>
        <v>0</v>
      </c>
      <c r="AP531" s="39" t="s">
        <v>2326</v>
      </c>
      <c r="AQ531"/>
      <c r="AR531" s="31">
        <f t="shared" si="307"/>
        <v>0</v>
      </c>
      <c r="AS531" s="255">
        <f t="shared" si="308"/>
        <v>0</v>
      </c>
      <c r="AT531" s="31">
        <f t="shared" si="309"/>
        <v>0</v>
      </c>
      <c r="AU531" s="255">
        <f t="shared" si="310"/>
        <v>0</v>
      </c>
      <c r="AV531" s="31">
        <f t="shared" si="311"/>
        <v>0</v>
      </c>
      <c r="AW531" s="31">
        <f t="shared" si="312"/>
        <v>0</v>
      </c>
      <c r="AX531" s="31">
        <f t="shared" si="313"/>
        <v>0</v>
      </c>
      <c r="AY531" s="255">
        <f t="shared" si="314"/>
        <v>0</v>
      </c>
      <c r="AZ531" s="232">
        <f t="shared" si="315"/>
        <v>1</v>
      </c>
      <c r="BA531" s="255">
        <f t="shared" si="316"/>
        <v>0.85</v>
      </c>
      <c r="BB531" s="31">
        <f t="shared" si="317"/>
        <v>0</v>
      </c>
      <c r="BC531" s="255">
        <f t="shared" si="318"/>
        <v>0</v>
      </c>
      <c r="BD531" s="31">
        <f t="shared" si="319"/>
        <v>0</v>
      </c>
      <c r="BE531" s="255">
        <f t="shared" si="320"/>
        <v>0</v>
      </c>
      <c r="BF531" s="31">
        <f t="shared" si="321"/>
        <v>0</v>
      </c>
      <c r="BG531" s="255">
        <f t="shared" si="322"/>
        <v>0</v>
      </c>
      <c r="BH531" s="31">
        <f t="shared" si="323"/>
        <v>0</v>
      </c>
      <c r="BI531" s="255">
        <f t="shared" si="324"/>
        <v>0</v>
      </c>
      <c r="BJ531" s="31">
        <f t="shared" si="325"/>
        <v>0</v>
      </c>
      <c r="BK531" s="31">
        <f t="shared" si="326"/>
        <v>0</v>
      </c>
      <c r="BL531" s="255">
        <f t="shared" si="327"/>
        <v>0</v>
      </c>
      <c r="BM531" s="31">
        <f t="shared" si="328"/>
        <v>0</v>
      </c>
      <c r="BN531" s="255">
        <f t="shared" si="329"/>
        <v>0</v>
      </c>
    </row>
    <row r="532" spans="1:66" x14ac:dyDescent="0.25">
      <c r="A532" s="18" t="s">
        <v>2187</v>
      </c>
      <c r="B532" s="186" t="str">
        <f>VLOOKUP(A532,kurspris!$A$1:$B$877,2,FALSE)</f>
        <v>Musik fördjupning 2</v>
      </c>
      <c r="C532" s="37"/>
      <c r="D532" s="31" t="s">
        <v>483</v>
      </c>
      <c r="E532" s="31" t="s">
        <v>1609</v>
      </c>
      <c r="F532" s="59" t="s">
        <v>1931</v>
      </c>
      <c r="G532" s="31" t="s">
        <v>2276</v>
      </c>
      <c r="J532" t="s">
        <v>775</v>
      </c>
      <c r="L532" s="31">
        <v>100</v>
      </c>
      <c r="M532" s="31">
        <v>30</v>
      </c>
      <c r="P532" s="31">
        <v>1</v>
      </c>
      <c r="Q532" s="232">
        <f t="shared" si="302"/>
        <v>0.5</v>
      </c>
      <c r="R532" s="40">
        <v>0.85</v>
      </c>
      <c r="S532" s="334">
        <f t="shared" si="303"/>
        <v>0.42499999999999999</v>
      </c>
      <c r="T532" s="31">
        <f>VLOOKUP(A532,'Ansvar kurs'!$A$1:$C$1010,2,FALSE)</f>
        <v>1650</v>
      </c>
      <c r="U532" s="31" t="str">
        <f>VLOOKUP(T532,Orgenheter!$A$1:$C$165,2,FALSE)</f>
        <v xml:space="preserve">Estetiska ämnen               </v>
      </c>
      <c r="V532" s="31" t="str">
        <f>VLOOKUP(T532,Orgenheter!$A$1:$C$165,3,FALSE)</f>
        <v>Hum</v>
      </c>
      <c r="W532" s="37" t="str">
        <f>VLOOKUP(D532,Program!$A$1:$B$34,2,FALSE)</f>
        <v>Ämneslärarprogrammet - Gy</v>
      </c>
      <c r="X532" s="42">
        <f>VLOOKUP(A532,kurspris!$A$1:$Q$798,15,FALSE)</f>
        <v>30802</v>
      </c>
      <c r="Y532" s="42">
        <f>VLOOKUP(A532,kurspris!$A$1:$Q$798,16,FALSE)</f>
        <v>63797</v>
      </c>
      <c r="Z532" s="42">
        <f t="shared" si="304"/>
        <v>42514.724999999999</v>
      </c>
      <c r="AA532" s="42">
        <f>VLOOKUP(A532,kurspris!$A$1:$Q$798,17,FALSE)</f>
        <v>70100</v>
      </c>
      <c r="AB532" s="42">
        <f t="shared" si="305"/>
        <v>35050</v>
      </c>
      <c r="AC532" s="42">
        <f t="shared" si="306"/>
        <v>77564.725000000006</v>
      </c>
      <c r="AD532" s="31">
        <f>VLOOKUP($A532,kurspris!$A$1:$Q$835,3,FALSE)</f>
        <v>0</v>
      </c>
      <c r="AE532" s="31">
        <f>VLOOKUP($A532,kurspris!$A$1:$Q$835,4,FALSE)</f>
        <v>0</v>
      </c>
      <c r="AF532" s="31">
        <f>VLOOKUP($A532,kurspris!$A$1:$Q$835,5,FALSE)</f>
        <v>0</v>
      </c>
      <c r="AG532" s="31">
        <f>VLOOKUP($A532,kurspris!$A$1:$Q$835,6,FALSE)</f>
        <v>0</v>
      </c>
      <c r="AH532" s="31">
        <f>VLOOKUP($A532,kurspris!$A$1:$Q$835,7,FALSE)</f>
        <v>1</v>
      </c>
      <c r="AI532" s="31">
        <f>VLOOKUP($A532,kurspris!$A$1:$Q$835,8,FALSE)</f>
        <v>0</v>
      </c>
      <c r="AJ532" s="31">
        <f>VLOOKUP($A532,kurspris!$A$1:$Q$835,9,FALSE)</f>
        <v>0</v>
      </c>
      <c r="AK532" s="31">
        <f>VLOOKUP($A532,kurspris!$A$1:$Q$835,10,FALSE)</f>
        <v>0</v>
      </c>
      <c r="AL532" s="31">
        <f>VLOOKUP($A532,kurspris!$A$1:$Q$835,11,FALSE)</f>
        <v>0</v>
      </c>
      <c r="AM532" s="31">
        <f>VLOOKUP($A532,kurspris!$A$1:$Q$835,12,FALSE)</f>
        <v>0</v>
      </c>
      <c r="AN532" s="31">
        <f>VLOOKUP($A532,kurspris!$A$1:$Q$835,13,FALSE)</f>
        <v>0</v>
      </c>
      <c r="AO532" s="31">
        <f>VLOOKUP($A532,kurspris!$A$1:$Q$835,14,FALSE)</f>
        <v>0</v>
      </c>
      <c r="AP532" s="39" t="s">
        <v>2326</v>
      </c>
      <c r="AQ532"/>
      <c r="AR532" s="31">
        <f t="shared" si="307"/>
        <v>0</v>
      </c>
      <c r="AS532" s="255">
        <f t="shared" si="308"/>
        <v>0</v>
      </c>
      <c r="AT532" s="31">
        <f t="shared" si="309"/>
        <v>0</v>
      </c>
      <c r="AU532" s="255">
        <f t="shared" si="310"/>
        <v>0</v>
      </c>
      <c r="AV532" s="31">
        <f t="shared" si="311"/>
        <v>0</v>
      </c>
      <c r="AW532" s="31">
        <f t="shared" si="312"/>
        <v>0</v>
      </c>
      <c r="AX532" s="31">
        <f t="shared" si="313"/>
        <v>0</v>
      </c>
      <c r="AY532" s="255">
        <f t="shared" si="314"/>
        <v>0</v>
      </c>
      <c r="AZ532" s="232">
        <f t="shared" si="315"/>
        <v>0.5</v>
      </c>
      <c r="BA532" s="255">
        <f t="shared" si="316"/>
        <v>0.42499999999999999</v>
      </c>
      <c r="BB532" s="31">
        <f t="shared" si="317"/>
        <v>0</v>
      </c>
      <c r="BC532" s="255">
        <f t="shared" si="318"/>
        <v>0</v>
      </c>
      <c r="BD532" s="31">
        <f t="shared" si="319"/>
        <v>0</v>
      </c>
      <c r="BE532" s="255">
        <f t="shared" si="320"/>
        <v>0</v>
      </c>
      <c r="BF532" s="31">
        <f t="shared" si="321"/>
        <v>0</v>
      </c>
      <c r="BG532" s="255">
        <f t="shared" si="322"/>
        <v>0</v>
      </c>
      <c r="BH532" s="31">
        <f t="shared" si="323"/>
        <v>0</v>
      </c>
      <c r="BI532" s="255">
        <f t="shared" si="324"/>
        <v>0</v>
      </c>
      <c r="BJ532" s="31">
        <f t="shared" si="325"/>
        <v>0</v>
      </c>
      <c r="BK532" s="31">
        <f t="shared" si="326"/>
        <v>0</v>
      </c>
      <c r="BL532" s="255">
        <f t="shared" si="327"/>
        <v>0</v>
      </c>
      <c r="BM532" s="31">
        <f t="shared" si="328"/>
        <v>0</v>
      </c>
      <c r="BN532" s="255">
        <f t="shared" si="329"/>
        <v>0</v>
      </c>
    </row>
    <row r="533" spans="1:66" x14ac:dyDescent="0.25">
      <c r="A533" t="s">
        <v>434</v>
      </c>
      <c r="B533" s="186" t="str">
        <f>VLOOKUP(A533,kurspris!$A$1:$B$877,2,FALSE)</f>
        <v>Makroekonomi och arbetsmarknad A23</v>
      </c>
      <c r="C533"/>
      <c r="D533" t="s">
        <v>85</v>
      </c>
      <c r="E533" t="s">
        <v>1609</v>
      </c>
      <c r="F533" s="59" t="s">
        <v>1930</v>
      </c>
      <c r="G533" t="s">
        <v>1933</v>
      </c>
      <c r="H533" t="s">
        <v>1910</v>
      </c>
      <c r="I533" t="s">
        <v>628</v>
      </c>
      <c r="J533"/>
      <c r="K533"/>
      <c r="L533">
        <v>100</v>
      </c>
      <c r="M533">
        <v>7.5</v>
      </c>
      <c r="N533"/>
      <c r="O533"/>
      <c r="P533" s="31">
        <v>11</v>
      </c>
      <c r="Q533" s="232">
        <f t="shared" si="302"/>
        <v>1.375</v>
      </c>
      <c r="R533" s="40">
        <v>0.85</v>
      </c>
      <c r="S533" s="334">
        <f t="shared" si="303"/>
        <v>1.16875</v>
      </c>
      <c r="T533" s="31">
        <f>VLOOKUP(A533,'Ansvar kurs'!$A$1:$C$1010,2,FALSE)</f>
        <v>2271</v>
      </c>
      <c r="U533" s="31" t="str">
        <f>VLOOKUP(T533,Orgenheter!$A$1:$C$165,2,FALSE)</f>
        <v xml:space="preserve">Nationalekonomi               </v>
      </c>
      <c r="V533" s="31" t="str">
        <f>VLOOKUP(T533,Orgenheter!$A$1:$C$165,3,FALSE)</f>
        <v>Sam</v>
      </c>
      <c r="W533" s="37" t="str">
        <f>VLOOKUP(D533,Program!$A$1:$B$34,2,FALSE)</f>
        <v>Studie- och yrkesvägledarprogram</v>
      </c>
      <c r="X533" s="42">
        <f>VLOOKUP(A533,kurspris!$A$1:$Q$798,15,FALSE)</f>
        <v>18405</v>
      </c>
      <c r="Y533" s="42">
        <f>VLOOKUP(A533,kurspris!$A$1:$Q$798,16,FALSE)</f>
        <v>15773</v>
      </c>
      <c r="Z533" s="42">
        <f t="shared" si="304"/>
        <v>43741.568749999999</v>
      </c>
      <c r="AA533" s="42">
        <f>VLOOKUP(A533,kurspris!$A$1:$Q$798,17,FALSE)</f>
        <v>5800</v>
      </c>
      <c r="AB533" s="42">
        <f t="shared" si="305"/>
        <v>7975</v>
      </c>
      <c r="AC533" s="42">
        <f t="shared" si="306"/>
        <v>51716.568749999999</v>
      </c>
      <c r="AD533" s="31">
        <f>VLOOKUP($A533,kurspris!$A$1:$Q$835,3,FALSE)</f>
        <v>0</v>
      </c>
      <c r="AE533" s="31">
        <f>VLOOKUP($A533,kurspris!$A$1:$Q$835,4,FALSE)</f>
        <v>0</v>
      </c>
      <c r="AF533" s="31">
        <f>VLOOKUP($A533,kurspris!$A$1:$Q$835,5,FALSE)</f>
        <v>0</v>
      </c>
      <c r="AG533" s="31">
        <f>VLOOKUP($A533,kurspris!$A$1:$Q$835,6,FALSE)</f>
        <v>0</v>
      </c>
      <c r="AH533" s="31">
        <f>VLOOKUP($A533,kurspris!$A$1:$Q$835,7,FALSE)</f>
        <v>0</v>
      </c>
      <c r="AI533" s="31">
        <f>VLOOKUP($A533,kurspris!$A$1:$Q$835,8,FALSE)</f>
        <v>0</v>
      </c>
      <c r="AJ533" s="31">
        <f>VLOOKUP($A533,kurspris!$A$1:$Q$835,9,FALSE)</f>
        <v>1</v>
      </c>
      <c r="AK533" s="31">
        <f>VLOOKUP($A533,kurspris!$A$1:$Q$835,10,FALSE)</f>
        <v>0</v>
      </c>
      <c r="AL533" s="31">
        <f>VLOOKUP($A533,kurspris!$A$1:$Q$835,11,FALSE)</f>
        <v>0</v>
      </c>
      <c r="AM533" s="31">
        <f>VLOOKUP($A533,kurspris!$A$1:$Q$835,12,FALSE)</f>
        <v>0</v>
      </c>
      <c r="AN533" s="31">
        <f>VLOOKUP($A533,kurspris!$A$1:$Q$835,13,FALSE)</f>
        <v>0</v>
      </c>
      <c r="AO533" s="31">
        <f>VLOOKUP($A533,kurspris!$A$1:$Q$835,14,FALSE)</f>
        <v>0</v>
      </c>
      <c r="AP533" s="39" t="s">
        <v>2235</v>
      </c>
      <c r="AQ533"/>
      <c r="AR533" s="31">
        <f t="shared" si="307"/>
        <v>0</v>
      </c>
      <c r="AS533" s="255">
        <f t="shared" si="308"/>
        <v>0</v>
      </c>
      <c r="AT533" s="31">
        <f t="shared" si="309"/>
        <v>0</v>
      </c>
      <c r="AU533" s="255">
        <f t="shared" si="310"/>
        <v>0</v>
      </c>
      <c r="AV533" s="31">
        <f t="shared" si="311"/>
        <v>0</v>
      </c>
      <c r="AW533" s="31">
        <f t="shared" si="312"/>
        <v>0</v>
      </c>
      <c r="AX533" s="31">
        <f t="shared" si="313"/>
        <v>0</v>
      </c>
      <c r="AY533" s="255">
        <f t="shared" si="314"/>
        <v>0</v>
      </c>
      <c r="AZ533" s="232">
        <f t="shared" si="315"/>
        <v>0</v>
      </c>
      <c r="BA533" s="255">
        <f t="shared" si="316"/>
        <v>0</v>
      </c>
      <c r="BB533" s="31">
        <f t="shared" si="317"/>
        <v>0</v>
      </c>
      <c r="BC533" s="255">
        <f t="shared" si="318"/>
        <v>0</v>
      </c>
      <c r="BD533" s="31">
        <f t="shared" si="319"/>
        <v>1.375</v>
      </c>
      <c r="BE533" s="255">
        <f t="shared" si="320"/>
        <v>1.16875</v>
      </c>
      <c r="BF533" s="31">
        <f t="shared" si="321"/>
        <v>0</v>
      </c>
      <c r="BG533" s="255">
        <f t="shared" si="322"/>
        <v>0</v>
      </c>
      <c r="BH533" s="31">
        <f t="shared" si="323"/>
        <v>0</v>
      </c>
      <c r="BI533" s="255">
        <f t="shared" si="324"/>
        <v>0</v>
      </c>
      <c r="BJ533" s="31">
        <f t="shared" si="325"/>
        <v>0</v>
      </c>
      <c r="BK533" s="31">
        <f t="shared" si="326"/>
        <v>0</v>
      </c>
      <c r="BL533" s="255">
        <f t="shared" si="327"/>
        <v>0</v>
      </c>
      <c r="BM533" s="31">
        <f t="shared" si="328"/>
        <v>0</v>
      </c>
      <c r="BN533" s="255">
        <f t="shared" si="329"/>
        <v>0</v>
      </c>
    </row>
    <row r="534" spans="1:66" x14ac:dyDescent="0.25">
      <c r="A534" t="s">
        <v>434</v>
      </c>
      <c r="B534" s="186" t="str">
        <f>VLOOKUP(A534,kurspris!$A$1:$B$877,2,FALSE)</f>
        <v>Makroekonomi och arbetsmarknad A23</v>
      </c>
      <c r="C534"/>
      <c r="D534" t="s">
        <v>85</v>
      </c>
      <c r="E534" t="s">
        <v>1609</v>
      </c>
      <c r="F534" s="59" t="s">
        <v>1930</v>
      </c>
      <c r="G534" t="s">
        <v>1933</v>
      </c>
      <c r="H534" t="s">
        <v>1910</v>
      </c>
      <c r="I534" t="s">
        <v>1536</v>
      </c>
      <c r="J534"/>
      <c r="K534"/>
      <c r="L534">
        <v>100</v>
      </c>
      <c r="M534">
        <v>7.5</v>
      </c>
      <c r="N534"/>
      <c r="O534"/>
      <c r="P534" s="31">
        <v>18</v>
      </c>
      <c r="Q534" s="232">
        <f t="shared" si="302"/>
        <v>2.25</v>
      </c>
      <c r="R534" s="40">
        <v>0.85</v>
      </c>
      <c r="S534" s="334">
        <f t="shared" si="303"/>
        <v>1.9124999999999999</v>
      </c>
      <c r="T534" s="31">
        <f>VLOOKUP(A534,'Ansvar kurs'!$A$1:$C$1010,2,FALSE)</f>
        <v>2271</v>
      </c>
      <c r="U534" s="31" t="str">
        <f>VLOOKUP(T534,Orgenheter!$A$1:$C$165,2,FALSE)</f>
        <v xml:space="preserve">Nationalekonomi               </v>
      </c>
      <c r="V534" s="31" t="str">
        <f>VLOOKUP(T534,Orgenheter!$A$1:$C$165,3,FALSE)</f>
        <v>Sam</v>
      </c>
      <c r="W534" s="37" t="str">
        <f>VLOOKUP(D534,Program!$A$1:$B$34,2,FALSE)</f>
        <v>Studie- och yrkesvägledarprogram</v>
      </c>
      <c r="X534" s="42">
        <f>VLOOKUP(A534,kurspris!$A$1:$Q$798,15,FALSE)</f>
        <v>18405</v>
      </c>
      <c r="Y534" s="42">
        <f>VLOOKUP(A534,kurspris!$A$1:$Q$798,16,FALSE)</f>
        <v>15773</v>
      </c>
      <c r="Z534" s="42">
        <f t="shared" si="304"/>
        <v>71577.112500000003</v>
      </c>
      <c r="AA534" s="42">
        <f>VLOOKUP(A534,kurspris!$A$1:$Q$798,17,FALSE)</f>
        <v>5800</v>
      </c>
      <c r="AB534" s="42">
        <f t="shared" si="305"/>
        <v>13050</v>
      </c>
      <c r="AC534" s="42">
        <f t="shared" si="306"/>
        <v>84627.112500000003</v>
      </c>
      <c r="AD534" s="31">
        <f>VLOOKUP($A534,kurspris!$A$1:$Q$835,3,FALSE)</f>
        <v>0</v>
      </c>
      <c r="AE534" s="31">
        <f>VLOOKUP($A534,kurspris!$A$1:$Q$835,4,FALSE)</f>
        <v>0</v>
      </c>
      <c r="AF534" s="31">
        <f>VLOOKUP($A534,kurspris!$A$1:$Q$835,5,FALSE)</f>
        <v>0</v>
      </c>
      <c r="AG534" s="31">
        <f>VLOOKUP($A534,kurspris!$A$1:$Q$835,6,FALSE)</f>
        <v>0</v>
      </c>
      <c r="AH534" s="31">
        <f>VLOOKUP($A534,kurspris!$A$1:$Q$835,7,FALSE)</f>
        <v>0</v>
      </c>
      <c r="AI534" s="31">
        <f>VLOOKUP($A534,kurspris!$A$1:$Q$835,8,FALSE)</f>
        <v>0</v>
      </c>
      <c r="AJ534" s="31">
        <f>VLOOKUP($A534,kurspris!$A$1:$Q$835,9,FALSE)</f>
        <v>1</v>
      </c>
      <c r="AK534" s="31">
        <f>VLOOKUP($A534,kurspris!$A$1:$Q$835,10,FALSE)</f>
        <v>0</v>
      </c>
      <c r="AL534" s="31">
        <f>VLOOKUP($A534,kurspris!$A$1:$Q$835,11,FALSE)</f>
        <v>0</v>
      </c>
      <c r="AM534" s="31">
        <f>VLOOKUP($A534,kurspris!$A$1:$Q$835,12,FALSE)</f>
        <v>0</v>
      </c>
      <c r="AN534" s="31">
        <f>VLOOKUP($A534,kurspris!$A$1:$Q$835,13,FALSE)</f>
        <v>0</v>
      </c>
      <c r="AO534" s="31">
        <f>VLOOKUP($A534,kurspris!$A$1:$Q$835,14,FALSE)</f>
        <v>0</v>
      </c>
      <c r="AP534" s="39" t="s">
        <v>2235</v>
      </c>
      <c r="AQ534"/>
      <c r="AR534" s="31">
        <f t="shared" si="307"/>
        <v>0</v>
      </c>
      <c r="AS534" s="255">
        <f t="shared" si="308"/>
        <v>0</v>
      </c>
      <c r="AT534" s="31">
        <f t="shared" si="309"/>
        <v>0</v>
      </c>
      <c r="AU534" s="255">
        <f t="shared" si="310"/>
        <v>0</v>
      </c>
      <c r="AV534" s="31">
        <f t="shared" si="311"/>
        <v>0</v>
      </c>
      <c r="AW534" s="31">
        <f t="shared" si="312"/>
        <v>0</v>
      </c>
      <c r="AX534" s="31">
        <f t="shared" si="313"/>
        <v>0</v>
      </c>
      <c r="AY534" s="255">
        <f t="shared" si="314"/>
        <v>0</v>
      </c>
      <c r="AZ534" s="232">
        <f t="shared" si="315"/>
        <v>0</v>
      </c>
      <c r="BA534" s="255">
        <f t="shared" si="316"/>
        <v>0</v>
      </c>
      <c r="BB534" s="31">
        <f t="shared" si="317"/>
        <v>0</v>
      </c>
      <c r="BC534" s="255">
        <f t="shared" si="318"/>
        <v>0</v>
      </c>
      <c r="BD534" s="31">
        <f t="shared" si="319"/>
        <v>2.25</v>
      </c>
      <c r="BE534" s="255">
        <f t="shared" si="320"/>
        <v>1.9124999999999999</v>
      </c>
      <c r="BF534" s="31">
        <f t="shared" si="321"/>
        <v>0</v>
      </c>
      <c r="BG534" s="255">
        <f t="shared" si="322"/>
        <v>0</v>
      </c>
      <c r="BH534" s="31">
        <f t="shared" si="323"/>
        <v>0</v>
      </c>
      <c r="BI534" s="255">
        <f t="shared" si="324"/>
        <v>0</v>
      </c>
      <c r="BJ534" s="31">
        <f t="shared" si="325"/>
        <v>0</v>
      </c>
      <c r="BK534" s="31">
        <f t="shared" si="326"/>
        <v>0</v>
      </c>
      <c r="BL534" s="255">
        <f t="shared" si="327"/>
        <v>0</v>
      </c>
      <c r="BM534" s="31">
        <f t="shared" si="328"/>
        <v>0</v>
      </c>
      <c r="BN534" s="255">
        <f t="shared" si="329"/>
        <v>0</v>
      </c>
    </row>
    <row r="535" spans="1:66" x14ac:dyDescent="0.25">
      <c r="A535" s="18" t="s">
        <v>1799</v>
      </c>
      <c r="B535" s="186" t="str">
        <f>VLOOKUP(A535,kurspris!$A$1:$B$877,2,FALSE)</f>
        <v>Att undervisa i naturkunskap (VFU)</v>
      </c>
      <c r="C535" s="37"/>
      <c r="D535" s="31" t="s">
        <v>483</v>
      </c>
      <c r="E535" s="31" t="s">
        <v>1973</v>
      </c>
      <c r="F535" s="59" t="s">
        <v>1931</v>
      </c>
      <c r="G535" s="31" t="s">
        <v>2272</v>
      </c>
      <c r="J535" t="s">
        <v>774</v>
      </c>
      <c r="L535" s="31">
        <v>100</v>
      </c>
      <c r="M535" s="31">
        <v>6</v>
      </c>
      <c r="P535" s="31">
        <v>1</v>
      </c>
      <c r="Q535" s="232">
        <f t="shared" si="302"/>
        <v>0.1</v>
      </c>
      <c r="R535" s="40">
        <v>0.85</v>
      </c>
      <c r="S535" s="334">
        <f t="shared" si="303"/>
        <v>8.5000000000000006E-2</v>
      </c>
      <c r="T535" s="31">
        <f>VLOOKUP(A535,'Ansvar kurs'!$A$1:$C$1010,2,FALSE)</f>
        <v>5740</v>
      </c>
      <c r="U535" s="31" t="str">
        <f>VLOOKUP(T535,Orgenheter!$A$1:$C$165,2,FALSE)</f>
        <v>NMD</v>
      </c>
      <c r="V535" s="31" t="str">
        <f>VLOOKUP(T535,Orgenheter!$A$1:$C$165,3,FALSE)</f>
        <v>TekNat</v>
      </c>
      <c r="W535" s="37" t="str">
        <f>VLOOKUP(D535,Program!$A$1:$B$34,2,FALSE)</f>
        <v>Ämneslärarprogrammet - Gy</v>
      </c>
      <c r="X535" s="42">
        <f>VLOOKUP(A535,kurspris!$A$1:$Q$798,15,FALSE)</f>
        <v>21634</v>
      </c>
      <c r="Y535" s="42">
        <f>VLOOKUP(A535,kurspris!$A$1:$Q$798,16,FALSE)</f>
        <v>26986</v>
      </c>
      <c r="Z535" s="42">
        <f t="shared" si="304"/>
        <v>4457.21</v>
      </c>
      <c r="AA535" s="42">
        <f>VLOOKUP(A535,kurspris!$A$1:$Q$798,17,FALSE)</f>
        <v>3400</v>
      </c>
      <c r="AB535" s="42">
        <f t="shared" si="305"/>
        <v>340</v>
      </c>
      <c r="AC535" s="42">
        <f t="shared" si="306"/>
        <v>4797.21</v>
      </c>
      <c r="AD535" s="31">
        <f>VLOOKUP($A535,kurspris!$A$1:$Q$835,3,FALSE)</f>
        <v>0</v>
      </c>
      <c r="AE535" s="31">
        <f>VLOOKUP($A535,kurspris!$A$1:$Q$835,4,FALSE)</f>
        <v>0</v>
      </c>
      <c r="AF535" s="31">
        <f>VLOOKUP($A535,kurspris!$A$1:$Q$835,5,FALSE)</f>
        <v>0</v>
      </c>
      <c r="AG535" s="31">
        <f>VLOOKUP($A535,kurspris!$A$1:$Q$835,6,FALSE)</f>
        <v>0</v>
      </c>
      <c r="AH535" s="31">
        <f>VLOOKUP($A535,kurspris!$A$1:$Q$835,7,FALSE)</f>
        <v>0</v>
      </c>
      <c r="AI535" s="31">
        <f>VLOOKUP($A535,kurspris!$A$1:$Q$835,8,FALSE)</f>
        <v>0</v>
      </c>
      <c r="AJ535" s="31">
        <f>VLOOKUP($A535,kurspris!$A$1:$Q$835,9,FALSE)</f>
        <v>0</v>
      </c>
      <c r="AK535" s="31">
        <f>VLOOKUP($A535,kurspris!$A$1:$Q$835,10,FALSE)</f>
        <v>0</v>
      </c>
      <c r="AL535" s="31">
        <f>VLOOKUP($A535,kurspris!$A$1:$Q$835,11,FALSE)</f>
        <v>1</v>
      </c>
      <c r="AM535" s="31">
        <f>VLOOKUP($A535,kurspris!$A$1:$Q$835,12,FALSE)</f>
        <v>0</v>
      </c>
      <c r="AN535" s="31">
        <f>VLOOKUP($A535,kurspris!$A$1:$Q$835,13,FALSE)</f>
        <v>0</v>
      </c>
      <c r="AO535" s="31">
        <f>VLOOKUP($A535,kurspris!$A$1:$Q$835,14,FALSE)</f>
        <v>0</v>
      </c>
      <c r="AP535" s="39" t="s">
        <v>2326</v>
      </c>
      <c r="AQ535"/>
      <c r="AR535" s="31">
        <f t="shared" si="307"/>
        <v>0</v>
      </c>
      <c r="AS535" s="255">
        <f t="shared" si="308"/>
        <v>0</v>
      </c>
      <c r="AT535" s="31">
        <f t="shared" si="309"/>
        <v>0</v>
      </c>
      <c r="AU535" s="255">
        <f t="shared" si="310"/>
        <v>0</v>
      </c>
      <c r="AV535" s="31">
        <f t="shared" si="311"/>
        <v>0</v>
      </c>
      <c r="AW535" s="31">
        <f t="shared" si="312"/>
        <v>0</v>
      </c>
      <c r="AX535" s="31">
        <f t="shared" si="313"/>
        <v>0</v>
      </c>
      <c r="AY535" s="255">
        <f t="shared" si="314"/>
        <v>0</v>
      </c>
      <c r="AZ535" s="232">
        <f t="shared" si="315"/>
        <v>0</v>
      </c>
      <c r="BA535" s="255">
        <f t="shared" si="316"/>
        <v>0</v>
      </c>
      <c r="BB535" s="31">
        <f t="shared" si="317"/>
        <v>0</v>
      </c>
      <c r="BC535" s="255">
        <f t="shared" si="318"/>
        <v>0</v>
      </c>
      <c r="BD535" s="31">
        <f t="shared" si="319"/>
        <v>0</v>
      </c>
      <c r="BE535" s="255">
        <f t="shared" si="320"/>
        <v>0</v>
      </c>
      <c r="BF535" s="31">
        <f t="shared" si="321"/>
        <v>0</v>
      </c>
      <c r="BG535" s="255">
        <f t="shared" si="322"/>
        <v>0</v>
      </c>
      <c r="BH535" s="31">
        <f t="shared" si="323"/>
        <v>0.1</v>
      </c>
      <c r="BI535" s="255">
        <f t="shared" si="324"/>
        <v>8.5000000000000006E-2</v>
      </c>
      <c r="BJ535" s="31">
        <f t="shared" si="325"/>
        <v>0</v>
      </c>
      <c r="BK535" s="31">
        <f t="shared" si="326"/>
        <v>0</v>
      </c>
      <c r="BL535" s="255">
        <f t="shared" si="327"/>
        <v>0</v>
      </c>
      <c r="BM535" s="31">
        <f t="shared" si="328"/>
        <v>0</v>
      </c>
      <c r="BN535" s="255">
        <f t="shared" si="329"/>
        <v>0</v>
      </c>
    </row>
    <row r="536" spans="1:66" x14ac:dyDescent="0.25">
      <c r="A536" t="s">
        <v>2115</v>
      </c>
      <c r="B536" s="186" t="str">
        <f>VLOOKUP(A536,kurspris!$A$1:$B$877,2,FALSE)</f>
        <v>Examensarbete - Naturkunskap</v>
      </c>
      <c r="C536"/>
      <c r="D536" t="s">
        <v>483</v>
      </c>
      <c r="E536" t="s">
        <v>1975</v>
      </c>
      <c r="F536" s="39" t="s">
        <v>1930</v>
      </c>
      <c r="G536" t="s">
        <v>1993</v>
      </c>
      <c r="H536" t="s">
        <v>1910</v>
      </c>
      <c r="I536"/>
      <c r="J536" t="s">
        <v>771</v>
      </c>
      <c r="K536"/>
      <c r="L536">
        <v>100</v>
      </c>
      <c r="M536" s="295">
        <v>22.5</v>
      </c>
      <c r="N536"/>
      <c r="O536"/>
      <c r="P536" s="31">
        <v>1</v>
      </c>
      <c r="Q536" s="232">
        <f t="shared" si="302"/>
        <v>0.375</v>
      </c>
      <c r="R536" s="40">
        <v>0.85</v>
      </c>
      <c r="S536" s="334">
        <f t="shared" si="303"/>
        <v>0.31874999999999998</v>
      </c>
      <c r="T536" s="31">
        <f>VLOOKUP(A536,'Ansvar kurs'!$A$1:$C$1010,2,FALSE)</f>
        <v>5740</v>
      </c>
      <c r="U536" s="31" t="str">
        <f>VLOOKUP(T536,Orgenheter!$A$1:$C$165,2,FALSE)</f>
        <v>NMD</v>
      </c>
      <c r="V536" s="31" t="str">
        <f>VLOOKUP(T536,Orgenheter!$A$1:$C$165,3,FALSE)</f>
        <v>TekNat</v>
      </c>
      <c r="W536" s="37" t="str">
        <f>VLOOKUP(D536,Program!$A$1:$B$34,2,FALSE)</f>
        <v>Ämneslärarprogrammet - Gy</v>
      </c>
      <c r="X536" s="42">
        <f>VLOOKUP(A536,kurspris!$A$1:$Q$798,15,FALSE)</f>
        <v>19473</v>
      </c>
      <c r="Y536" s="42">
        <f>VLOOKUP(A536,kurspris!$A$1:$Q$798,16,FALSE)</f>
        <v>34806</v>
      </c>
      <c r="Z536" s="42">
        <f t="shared" si="304"/>
        <v>18396.787499999999</v>
      </c>
      <c r="AA536" s="42">
        <f>VLOOKUP(A536,kurspris!$A$1:$Q$798,17,FALSE)</f>
        <v>21800</v>
      </c>
      <c r="AB536" s="42">
        <f t="shared" si="305"/>
        <v>8175</v>
      </c>
      <c r="AC536" s="42">
        <f t="shared" si="306"/>
        <v>26571.787499999999</v>
      </c>
      <c r="AD536" s="31">
        <f>VLOOKUP($A536,kurspris!$A$1:$Q$835,3,FALSE)</f>
        <v>0</v>
      </c>
      <c r="AE536" s="31">
        <f>VLOOKUP($A536,kurspris!$A$1:$Q$835,4,FALSE)</f>
        <v>0</v>
      </c>
      <c r="AF536" s="31">
        <f>VLOOKUP($A536,kurspris!$A$1:$Q$835,5,FALSE)</f>
        <v>0</v>
      </c>
      <c r="AG536" s="31">
        <f>VLOOKUP($A536,kurspris!$A$1:$Q$835,6,FALSE)</f>
        <v>0</v>
      </c>
      <c r="AH536" s="31">
        <f>VLOOKUP($A536,kurspris!$A$1:$Q$835,7,FALSE)</f>
        <v>0</v>
      </c>
      <c r="AI536" s="31">
        <f>VLOOKUP($A536,kurspris!$A$1:$Q$835,8,FALSE)</f>
        <v>1</v>
      </c>
      <c r="AJ536" s="31">
        <f>VLOOKUP($A536,kurspris!$A$1:$Q$835,9,FALSE)</f>
        <v>0</v>
      </c>
      <c r="AK536" s="31">
        <f>VLOOKUP($A536,kurspris!$A$1:$Q$835,10,FALSE)</f>
        <v>0</v>
      </c>
      <c r="AL536" s="31">
        <f>VLOOKUP($A536,kurspris!$A$1:$Q$835,11,FALSE)</f>
        <v>0</v>
      </c>
      <c r="AM536" s="31">
        <f>VLOOKUP($A536,kurspris!$A$1:$Q$835,12,FALSE)</f>
        <v>0</v>
      </c>
      <c r="AN536" s="31">
        <f>VLOOKUP($A536,kurspris!$A$1:$Q$835,13,FALSE)</f>
        <v>0</v>
      </c>
      <c r="AO536" s="31">
        <f>VLOOKUP($A536,kurspris!$A$1:$Q$835,14,FALSE)</f>
        <v>0</v>
      </c>
      <c r="AP536" s="39" t="s">
        <v>2204</v>
      </c>
      <c r="AQ536" s="39" t="s">
        <v>2035</v>
      </c>
      <c r="AR536" s="31">
        <f t="shared" si="307"/>
        <v>0</v>
      </c>
      <c r="AS536" s="255">
        <f t="shared" si="308"/>
        <v>0</v>
      </c>
      <c r="AT536" s="31">
        <f t="shared" si="309"/>
        <v>0</v>
      </c>
      <c r="AU536" s="255">
        <f t="shared" si="310"/>
        <v>0</v>
      </c>
      <c r="AV536" s="31">
        <f t="shared" si="311"/>
        <v>0</v>
      </c>
      <c r="AW536" s="31">
        <f t="shared" si="312"/>
        <v>0</v>
      </c>
      <c r="AX536" s="31">
        <f t="shared" si="313"/>
        <v>0</v>
      </c>
      <c r="AY536" s="255">
        <f t="shared" si="314"/>
        <v>0</v>
      </c>
      <c r="AZ536" s="232">
        <f t="shared" si="315"/>
        <v>0</v>
      </c>
      <c r="BA536" s="255">
        <f t="shared" si="316"/>
        <v>0</v>
      </c>
      <c r="BB536" s="31">
        <f t="shared" si="317"/>
        <v>0.375</v>
      </c>
      <c r="BC536" s="255">
        <f t="shared" si="318"/>
        <v>0.31874999999999998</v>
      </c>
      <c r="BD536" s="31">
        <f t="shared" si="319"/>
        <v>0</v>
      </c>
      <c r="BE536" s="255">
        <f t="shared" si="320"/>
        <v>0</v>
      </c>
      <c r="BF536" s="31">
        <f t="shared" si="321"/>
        <v>0</v>
      </c>
      <c r="BG536" s="255">
        <f t="shared" si="322"/>
        <v>0</v>
      </c>
      <c r="BH536" s="31">
        <f t="shared" si="323"/>
        <v>0</v>
      </c>
      <c r="BI536" s="255">
        <f t="shared" si="324"/>
        <v>0</v>
      </c>
      <c r="BJ536" s="31">
        <f t="shared" si="325"/>
        <v>0</v>
      </c>
      <c r="BK536" s="31">
        <f t="shared" si="326"/>
        <v>0</v>
      </c>
      <c r="BL536" s="255">
        <f t="shared" si="327"/>
        <v>0</v>
      </c>
      <c r="BM536" s="31">
        <f t="shared" si="328"/>
        <v>0</v>
      </c>
      <c r="BN536" s="255">
        <f t="shared" si="329"/>
        <v>0</v>
      </c>
    </row>
    <row r="537" spans="1:66" x14ac:dyDescent="0.25">
      <c r="A537" s="18" t="s">
        <v>1800</v>
      </c>
      <c r="B537" s="186" t="str">
        <f>VLOOKUP(A537,kurspris!$A$1:$B$877,2,FALSE)</f>
        <v>Naturkunskapsdidaktik 1 för ämneslärare för gymnasiet</v>
      </c>
      <c r="C537" s="37"/>
      <c r="D537" t="s">
        <v>117</v>
      </c>
      <c r="E537"/>
      <c r="F537" s="59" t="s">
        <v>1930</v>
      </c>
      <c r="G537"/>
      <c r="H537"/>
      <c r="I537" t="s">
        <v>1634</v>
      </c>
      <c r="L537">
        <v>50</v>
      </c>
      <c r="M537">
        <v>7.5</v>
      </c>
      <c r="P537" s="31">
        <v>1</v>
      </c>
      <c r="Q537" s="232">
        <f t="shared" si="302"/>
        <v>0.125</v>
      </c>
      <c r="R537" s="40">
        <v>0.8</v>
      </c>
      <c r="S537" s="334">
        <f t="shared" si="303"/>
        <v>0.1</v>
      </c>
      <c r="T537" s="31">
        <f>VLOOKUP(A537,'Ansvar kurs'!$A$1:$C$1010,2,FALSE)</f>
        <v>5740</v>
      </c>
      <c r="U537" s="31" t="str">
        <f>VLOOKUP(T537,Orgenheter!$A$1:$C$165,2,FALSE)</f>
        <v>NMD</v>
      </c>
      <c r="V537" s="31" t="str">
        <f>VLOOKUP(T537,Orgenheter!$A$1:$C$165,3,FALSE)</f>
        <v>TekNat</v>
      </c>
      <c r="W537" s="37" t="str">
        <f>VLOOKUP(D537,Program!$A$1:$B$34,2,FALSE)</f>
        <v>Fristående och övriga kurser</v>
      </c>
      <c r="X537" s="42">
        <f>VLOOKUP(A537,kurspris!$A$1:$Q$798,15,FALSE)</f>
        <v>19473</v>
      </c>
      <c r="Y537" s="42">
        <f>VLOOKUP(A537,kurspris!$A$1:$Q$798,16,FALSE)</f>
        <v>34806</v>
      </c>
      <c r="Z537" s="42">
        <f t="shared" si="304"/>
        <v>5914.7250000000004</v>
      </c>
      <c r="AA537" s="42">
        <f>VLOOKUP(A537,kurspris!$A$1:$Q$798,17,FALSE)</f>
        <v>21800</v>
      </c>
      <c r="AB537" s="42">
        <f t="shared" si="305"/>
        <v>2725</v>
      </c>
      <c r="AC537" s="42">
        <f t="shared" si="306"/>
        <v>8639.7250000000004</v>
      </c>
      <c r="AD537" s="31">
        <f>VLOOKUP($A537,kurspris!$A$1:$Q$835,3,FALSE)</f>
        <v>0</v>
      </c>
      <c r="AE537" s="31">
        <f>VLOOKUP($A537,kurspris!$A$1:$Q$835,4,FALSE)</f>
        <v>0</v>
      </c>
      <c r="AF537" s="31">
        <f>VLOOKUP($A537,kurspris!$A$1:$Q$835,5,FALSE)</f>
        <v>0</v>
      </c>
      <c r="AG537" s="31">
        <f>VLOOKUP($A537,kurspris!$A$1:$Q$835,6,FALSE)</f>
        <v>0</v>
      </c>
      <c r="AH537" s="31">
        <f>VLOOKUP($A537,kurspris!$A$1:$Q$835,7,FALSE)</f>
        <v>0</v>
      </c>
      <c r="AI537" s="31">
        <f>VLOOKUP($A537,kurspris!$A$1:$Q$835,8,FALSE)</f>
        <v>1</v>
      </c>
      <c r="AJ537" s="31">
        <f>VLOOKUP($A537,kurspris!$A$1:$Q$835,9,FALSE)</f>
        <v>0</v>
      </c>
      <c r="AK537" s="31">
        <f>VLOOKUP($A537,kurspris!$A$1:$Q$835,10,FALSE)</f>
        <v>0</v>
      </c>
      <c r="AL537" s="31">
        <f>VLOOKUP($A537,kurspris!$A$1:$Q$835,11,FALSE)</f>
        <v>0</v>
      </c>
      <c r="AM537" s="31">
        <f>VLOOKUP($A537,kurspris!$A$1:$Q$835,12,FALSE)</f>
        <v>0</v>
      </c>
      <c r="AN537" s="31">
        <f>VLOOKUP($A537,kurspris!$A$1:$Q$835,13,FALSE)</f>
        <v>0</v>
      </c>
      <c r="AO537" s="31">
        <f>VLOOKUP($A537,kurspris!$A$1:$Q$835,14,FALSE)</f>
        <v>0</v>
      </c>
      <c r="AP537" s="39" t="s">
        <v>2204</v>
      </c>
      <c r="AQ537" s="39" t="s">
        <v>2095</v>
      </c>
      <c r="AR537" s="31">
        <f t="shared" si="307"/>
        <v>0</v>
      </c>
      <c r="AS537" s="255">
        <f t="shared" si="308"/>
        <v>0</v>
      </c>
      <c r="AT537" s="31">
        <f t="shared" si="309"/>
        <v>0</v>
      </c>
      <c r="AU537" s="255">
        <f t="shared" si="310"/>
        <v>0</v>
      </c>
      <c r="AV537" s="31">
        <f t="shared" si="311"/>
        <v>0</v>
      </c>
      <c r="AW537" s="31">
        <f t="shared" si="312"/>
        <v>0</v>
      </c>
      <c r="AX537" s="31">
        <f t="shared" si="313"/>
        <v>0</v>
      </c>
      <c r="AY537" s="255">
        <f t="shared" si="314"/>
        <v>0</v>
      </c>
      <c r="AZ537" s="232">
        <f t="shared" si="315"/>
        <v>0</v>
      </c>
      <c r="BA537" s="255">
        <f t="shared" si="316"/>
        <v>0</v>
      </c>
      <c r="BB537" s="31">
        <f t="shared" si="317"/>
        <v>0.125</v>
      </c>
      <c r="BC537" s="255">
        <f t="shared" si="318"/>
        <v>0.1</v>
      </c>
      <c r="BD537" s="31">
        <f t="shared" si="319"/>
        <v>0</v>
      </c>
      <c r="BE537" s="255">
        <f t="shared" si="320"/>
        <v>0</v>
      </c>
      <c r="BF537" s="31">
        <f t="shared" si="321"/>
        <v>0</v>
      </c>
      <c r="BG537" s="255">
        <f t="shared" si="322"/>
        <v>0</v>
      </c>
      <c r="BH537" s="31">
        <f t="shared" si="323"/>
        <v>0</v>
      </c>
      <c r="BI537" s="255">
        <f t="shared" si="324"/>
        <v>0</v>
      </c>
      <c r="BJ537" s="31">
        <f t="shared" si="325"/>
        <v>0</v>
      </c>
      <c r="BK537" s="31">
        <f t="shared" si="326"/>
        <v>0</v>
      </c>
      <c r="BL537" s="255">
        <f t="shared" si="327"/>
        <v>0</v>
      </c>
      <c r="BM537" s="31">
        <f t="shared" si="328"/>
        <v>0</v>
      </c>
      <c r="BN537" s="255">
        <f t="shared" si="329"/>
        <v>0</v>
      </c>
    </row>
    <row r="538" spans="1:66" x14ac:dyDescent="0.25">
      <c r="A538" t="s">
        <v>1800</v>
      </c>
      <c r="B538" s="186" t="str">
        <f>VLOOKUP(A538,kurspris!$A$1:$B$877,2,FALSE)</f>
        <v>Naturkunskapsdidaktik 1 för ämneslärare för gymnasiet</v>
      </c>
      <c r="C538"/>
      <c r="D538" t="s">
        <v>483</v>
      </c>
      <c r="E538" t="s">
        <v>1973</v>
      </c>
      <c r="F538" s="59" t="s">
        <v>1930</v>
      </c>
      <c r="G538" t="s">
        <v>1979</v>
      </c>
      <c r="H538" t="s">
        <v>1910</v>
      </c>
      <c r="I538"/>
      <c r="J538" t="s">
        <v>774</v>
      </c>
      <c r="K538"/>
      <c r="L538">
        <v>50</v>
      </c>
      <c r="M538">
        <v>7.5</v>
      </c>
      <c r="N538"/>
      <c r="O538"/>
      <c r="P538" s="31">
        <v>1</v>
      </c>
      <c r="Q538" s="232">
        <f t="shared" si="302"/>
        <v>0.125</v>
      </c>
      <c r="R538" s="40">
        <v>0.85</v>
      </c>
      <c r="S538" s="334">
        <f t="shared" si="303"/>
        <v>0.10625</v>
      </c>
      <c r="T538" s="31">
        <f>VLOOKUP(A538,'Ansvar kurs'!$A$1:$C$1010,2,FALSE)</f>
        <v>5740</v>
      </c>
      <c r="U538" s="31" t="str">
        <f>VLOOKUP(T538,Orgenheter!$A$1:$C$165,2,FALSE)</f>
        <v>NMD</v>
      </c>
      <c r="V538" s="31" t="str">
        <f>VLOOKUP(T538,Orgenheter!$A$1:$C$165,3,FALSE)</f>
        <v>TekNat</v>
      </c>
      <c r="W538" s="37" t="str">
        <f>VLOOKUP(D538,Program!$A$1:$B$34,2,FALSE)</f>
        <v>Ämneslärarprogrammet - Gy</v>
      </c>
      <c r="X538" s="42">
        <f>VLOOKUP(A538,kurspris!$A$1:$Q$798,15,FALSE)</f>
        <v>19473</v>
      </c>
      <c r="Y538" s="42">
        <f>VLOOKUP(A538,kurspris!$A$1:$Q$798,16,FALSE)</f>
        <v>34806</v>
      </c>
      <c r="Z538" s="42">
        <f t="shared" si="304"/>
        <v>6132.2624999999998</v>
      </c>
      <c r="AA538" s="42">
        <f>VLOOKUP(A538,kurspris!$A$1:$Q$798,17,FALSE)</f>
        <v>21800</v>
      </c>
      <c r="AB538" s="42">
        <f t="shared" si="305"/>
        <v>2725</v>
      </c>
      <c r="AC538" s="42">
        <f t="shared" si="306"/>
        <v>8857.2625000000007</v>
      </c>
      <c r="AD538" s="31">
        <f>VLOOKUP($A538,kurspris!$A$1:$Q$835,3,FALSE)</f>
        <v>0</v>
      </c>
      <c r="AE538" s="31">
        <f>VLOOKUP($A538,kurspris!$A$1:$Q$835,4,FALSE)</f>
        <v>0</v>
      </c>
      <c r="AF538" s="31">
        <f>VLOOKUP($A538,kurspris!$A$1:$Q$835,5,FALSE)</f>
        <v>0</v>
      </c>
      <c r="AG538" s="31">
        <f>VLOOKUP($A538,kurspris!$A$1:$Q$835,6,FALSE)</f>
        <v>0</v>
      </c>
      <c r="AH538" s="31">
        <f>VLOOKUP($A538,kurspris!$A$1:$Q$835,7,FALSE)</f>
        <v>0</v>
      </c>
      <c r="AI538" s="31">
        <f>VLOOKUP($A538,kurspris!$A$1:$Q$835,8,FALSE)</f>
        <v>1</v>
      </c>
      <c r="AJ538" s="31">
        <f>VLOOKUP($A538,kurspris!$A$1:$Q$835,9,FALSE)</f>
        <v>0</v>
      </c>
      <c r="AK538" s="31">
        <f>VLOOKUP($A538,kurspris!$A$1:$Q$835,10,FALSE)</f>
        <v>0</v>
      </c>
      <c r="AL538" s="31">
        <f>VLOOKUP($A538,kurspris!$A$1:$Q$835,11,FALSE)</f>
        <v>0</v>
      </c>
      <c r="AM538" s="31">
        <f>VLOOKUP($A538,kurspris!$A$1:$Q$835,12,FALSE)</f>
        <v>0</v>
      </c>
      <c r="AN538" s="31">
        <f>VLOOKUP($A538,kurspris!$A$1:$Q$835,13,FALSE)</f>
        <v>0</v>
      </c>
      <c r="AO538" s="31">
        <f>VLOOKUP($A538,kurspris!$A$1:$Q$835,14,FALSE)</f>
        <v>0</v>
      </c>
      <c r="AP538" s="39" t="s">
        <v>2204</v>
      </c>
      <c r="AQ538"/>
      <c r="AR538" s="31">
        <f t="shared" si="307"/>
        <v>0</v>
      </c>
      <c r="AS538" s="255">
        <f t="shared" si="308"/>
        <v>0</v>
      </c>
      <c r="AT538" s="31">
        <f t="shared" si="309"/>
        <v>0</v>
      </c>
      <c r="AU538" s="255">
        <f t="shared" si="310"/>
        <v>0</v>
      </c>
      <c r="AV538" s="31">
        <f t="shared" si="311"/>
        <v>0</v>
      </c>
      <c r="AW538" s="31">
        <f t="shared" si="312"/>
        <v>0</v>
      </c>
      <c r="AX538" s="31">
        <f t="shared" si="313"/>
        <v>0</v>
      </c>
      <c r="AY538" s="255">
        <f t="shared" si="314"/>
        <v>0</v>
      </c>
      <c r="AZ538" s="232">
        <f t="shared" si="315"/>
        <v>0</v>
      </c>
      <c r="BA538" s="255">
        <f t="shared" si="316"/>
        <v>0</v>
      </c>
      <c r="BB538" s="31">
        <f t="shared" si="317"/>
        <v>0.125</v>
      </c>
      <c r="BC538" s="255">
        <f t="shared" si="318"/>
        <v>0.10625</v>
      </c>
      <c r="BD538" s="31">
        <f t="shared" si="319"/>
        <v>0</v>
      </c>
      <c r="BE538" s="255">
        <f t="shared" si="320"/>
        <v>0</v>
      </c>
      <c r="BF538" s="31">
        <f t="shared" si="321"/>
        <v>0</v>
      </c>
      <c r="BG538" s="255">
        <f t="shared" si="322"/>
        <v>0</v>
      </c>
      <c r="BH538" s="31">
        <f t="shared" si="323"/>
        <v>0</v>
      </c>
      <c r="BI538" s="255">
        <f t="shared" si="324"/>
        <v>0</v>
      </c>
      <c r="BJ538" s="31">
        <f t="shared" si="325"/>
        <v>0</v>
      </c>
      <c r="BK538" s="31">
        <f t="shared" si="326"/>
        <v>0</v>
      </c>
      <c r="BL538" s="255">
        <f t="shared" si="327"/>
        <v>0</v>
      </c>
      <c r="BM538" s="31">
        <f t="shared" si="328"/>
        <v>0</v>
      </c>
      <c r="BN538" s="255">
        <f t="shared" si="329"/>
        <v>0</v>
      </c>
    </row>
    <row r="539" spans="1:66" x14ac:dyDescent="0.25">
      <c r="A539" s="18" t="s">
        <v>1801</v>
      </c>
      <c r="B539" s="186" t="str">
        <f>VLOOKUP(A539,kurspris!$A$1:$B$877,2,FALSE)</f>
        <v>Naturkunskapsdidaktik 2 för ämneslärare för gymnasiet</v>
      </c>
      <c r="C539" s="37"/>
      <c r="D539" t="s">
        <v>117</v>
      </c>
      <c r="E539"/>
      <c r="F539" s="59" t="s">
        <v>1930</v>
      </c>
      <c r="G539"/>
      <c r="H539"/>
      <c r="I539" t="s">
        <v>1634</v>
      </c>
      <c r="L539">
        <v>50</v>
      </c>
      <c r="M539">
        <v>7.5</v>
      </c>
      <c r="P539" s="31">
        <v>1</v>
      </c>
      <c r="Q539" s="232">
        <f t="shared" si="302"/>
        <v>0.125</v>
      </c>
      <c r="R539" s="40">
        <v>0.8</v>
      </c>
      <c r="S539" s="334">
        <f t="shared" si="303"/>
        <v>0.1</v>
      </c>
      <c r="T539" s="31">
        <f>VLOOKUP(A539,'Ansvar kurs'!$A$1:$C$1010,2,FALSE)</f>
        <v>5740</v>
      </c>
      <c r="U539" s="31" t="str">
        <f>VLOOKUP(T539,Orgenheter!$A$1:$C$165,2,FALSE)</f>
        <v>NMD</v>
      </c>
      <c r="V539" s="31" t="str">
        <f>VLOOKUP(T539,Orgenheter!$A$1:$C$165,3,FALSE)</f>
        <v>TekNat</v>
      </c>
      <c r="W539" s="37" t="str">
        <f>VLOOKUP(D539,Program!$A$1:$B$34,2,FALSE)</f>
        <v>Fristående och övriga kurser</v>
      </c>
      <c r="X539" s="42">
        <f>VLOOKUP(A539,kurspris!$A$1:$Q$798,15,FALSE)</f>
        <v>19473</v>
      </c>
      <c r="Y539" s="42">
        <f>VLOOKUP(A539,kurspris!$A$1:$Q$798,16,FALSE)</f>
        <v>34806</v>
      </c>
      <c r="Z539" s="42">
        <f t="shared" si="304"/>
        <v>5914.7250000000004</v>
      </c>
      <c r="AA539" s="42">
        <f>VLOOKUP(A539,kurspris!$A$1:$Q$798,17,FALSE)</f>
        <v>21800</v>
      </c>
      <c r="AB539" s="42">
        <f t="shared" si="305"/>
        <v>2725</v>
      </c>
      <c r="AC539" s="42">
        <f t="shared" si="306"/>
        <v>8639.7250000000004</v>
      </c>
      <c r="AD539" s="31">
        <f>VLOOKUP($A539,kurspris!$A$1:$Q$835,3,FALSE)</f>
        <v>0</v>
      </c>
      <c r="AE539" s="31">
        <f>VLOOKUP($A539,kurspris!$A$1:$Q$835,4,FALSE)</f>
        <v>0</v>
      </c>
      <c r="AF539" s="31">
        <f>VLOOKUP($A539,kurspris!$A$1:$Q$835,5,FALSE)</f>
        <v>0</v>
      </c>
      <c r="AG539" s="31">
        <f>VLOOKUP($A539,kurspris!$A$1:$Q$835,6,FALSE)</f>
        <v>0</v>
      </c>
      <c r="AH539" s="31">
        <f>VLOOKUP($A539,kurspris!$A$1:$Q$835,7,FALSE)</f>
        <v>0</v>
      </c>
      <c r="AI539" s="31">
        <f>VLOOKUP($A539,kurspris!$A$1:$Q$835,8,FALSE)</f>
        <v>1</v>
      </c>
      <c r="AJ539" s="31">
        <f>VLOOKUP($A539,kurspris!$A$1:$Q$835,9,FALSE)</f>
        <v>0</v>
      </c>
      <c r="AK539" s="31">
        <f>VLOOKUP($A539,kurspris!$A$1:$Q$835,10,FALSE)</f>
        <v>0</v>
      </c>
      <c r="AL539" s="31">
        <f>VLOOKUP($A539,kurspris!$A$1:$Q$835,11,FALSE)</f>
        <v>0</v>
      </c>
      <c r="AM539" s="31">
        <f>VLOOKUP($A539,kurspris!$A$1:$Q$835,12,FALSE)</f>
        <v>0</v>
      </c>
      <c r="AN539" s="31">
        <f>VLOOKUP($A539,kurspris!$A$1:$Q$835,13,FALSE)</f>
        <v>0</v>
      </c>
      <c r="AO539" s="31">
        <f>VLOOKUP($A539,kurspris!$A$1:$Q$835,14,FALSE)</f>
        <v>0</v>
      </c>
      <c r="AP539" s="39" t="s">
        <v>2232</v>
      </c>
      <c r="AQ539" s="39" t="s">
        <v>2095</v>
      </c>
      <c r="AR539" s="31">
        <f t="shared" si="307"/>
        <v>0</v>
      </c>
      <c r="AS539" s="255">
        <f t="shared" si="308"/>
        <v>0</v>
      </c>
      <c r="AT539" s="31">
        <f t="shared" si="309"/>
        <v>0</v>
      </c>
      <c r="AU539" s="255">
        <f t="shared" si="310"/>
        <v>0</v>
      </c>
      <c r="AV539" s="31">
        <f t="shared" si="311"/>
        <v>0</v>
      </c>
      <c r="AW539" s="31">
        <f t="shared" si="312"/>
        <v>0</v>
      </c>
      <c r="AX539" s="31">
        <f t="shared" si="313"/>
        <v>0</v>
      </c>
      <c r="AY539" s="255">
        <f t="shared" si="314"/>
        <v>0</v>
      </c>
      <c r="AZ539" s="232">
        <f t="shared" si="315"/>
        <v>0</v>
      </c>
      <c r="BA539" s="255">
        <f t="shared" si="316"/>
        <v>0</v>
      </c>
      <c r="BB539" s="31">
        <f t="shared" si="317"/>
        <v>0.125</v>
      </c>
      <c r="BC539" s="255">
        <f t="shared" si="318"/>
        <v>0.1</v>
      </c>
      <c r="BD539" s="31">
        <f t="shared" si="319"/>
        <v>0</v>
      </c>
      <c r="BE539" s="255">
        <f t="shared" si="320"/>
        <v>0</v>
      </c>
      <c r="BF539" s="31">
        <f t="shared" si="321"/>
        <v>0</v>
      </c>
      <c r="BG539" s="255">
        <f t="shared" si="322"/>
        <v>0</v>
      </c>
      <c r="BH539" s="31">
        <f t="shared" si="323"/>
        <v>0</v>
      </c>
      <c r="BI539" s="255">
        <f t="shared" si="324"/>
        <v>0</v>
      </c>
      <c r="BJ539" s="31">
        <f t="shared" si="325"/>
        <v>0</v>
      </c>
      <c r="BK539" s="31">
        <f t="shared" si="326"/>
        <v>0</v>
      </c>
      <c r="BL539" s="255">
        <f t="shared" si="327"/>
        <v>0</v>
      </c>
      <c r="BM539" s="31">
        <f t="shared" si="328"/>
        <v>0</v>
      </c>
      <c r="BN539" s="255">
        <f t="shared" si="329"/>
        <v>0</v>
      </c>
    </row>
    <row r="540" spans="1:66" x14ac:dyDescent="0.25">
      <c r="A540" t="s">
        <v>1801</v>
      </c>
      <c r="B540" s="186" t="str">
        <f>VLOOKUP(A540,kurspris!$A$1:$B$877,2,FALSE)</f>
        <v>Naturkunskapsdidaktik 2 för ämneslärare för gymnasiet</v>
      </c>
      <c r="C540"/>
      <c r="D540" t="s">
        <v>483</v>
      </c>
      <c r="E540" t="s">
        <v>1992</v>
      </c>
      <c r="F540" s="59" t="s">
        <v>1930</v>
      </c>
      <c r="G540" t="s">
        <v>1980</v>
      </c>
      <c r="H540" t="s">
        <v>1910</v>
      </c>
      <c r="I540"/>
      <c r="J540" t="s">
        <v>778</v>
      </c>
      <c r="K540"/>
      <c r="L540">
        <v>50</v>
      </c>
      <c r="M540">
        <v>7.5</v>
      </c>
      <c r="N540"/>
      <c r="O540"/>
      <c r="P540" s="31">
        <v>1</v>
      </c>
      <c r="Q540" s="232">
        <f t="shared" si="302"/>
        <v>0.125</v>
      </c>
      <c r="R540" s="40">
        <v>0.85</v>
      </c>
      <c r="S540" s="334">
        <f t="shared" si="303"/>
        <v>0.10625</v>
      </c>
      <c r="T540" s="31">
        <f>VLOOKUP(A540,'Ansvar kurs'!$A$1:$C$1010,2,FALSE)</f>
        <v>5740</v>
      </c>
      <c r="U540" s="31" t="str">
        <f>VLOOKUP(T540,Orgenheter!$A$1:$C$165,2,FALSE)</f>
        <v>NMD</v>
      </c>
      <c r="V540" s="31" t="str">
        <f>VLOOKUP(T540,Orgenheter!$A$1:$C$165,3,FALSE)</f>
        <v>TekNat</v>
      </c>
      <c r="W540" s="37" t="str">
        <f>VLOOKUP(D540,Program!$A$1:$B$34,2,FALSE)</f>
        <v>Ämneslärarprogrammet - Gy</v>
      </c>
      <c r="X540" s="42">
        <f>VLOOKUP(A540,kurspris!$A$1:$Q$798,15,FALSE)</f>
        <v>19473</v>
      </c>
      <c r="Y540" s="42">
        <f>VLOOKUP(A540,kurspris!$A$1:$Q$798,16,FALSE)</f>
        <v>34806</v>
      </c>
      <c r="Z540" s="42">
        <f t="shared" si="304"/>
        <v>6132.2624999999998</v>
      </c>
      <c r="AA540" s="42">
        <f>VLOOKUP(A540,kurspris!$A$1:$Q$798,17,FALSE)</f>
        <v>21800</v>
      </c>
      <c r="AB540" s="42">
        <f t="shared" si="305"/>
        <v>2725</v>
      </c>
      <c r="AC540" s="42">
        <f t="shared" si="306"/>
        <v>8857.2625000000007</v>
      </c>
      <c r="AD540" s="31">
        <f>VLOOKUP($A540,kurspris!$A$1:$Q$835,3,FALSE)</f>
        <v>0</v>
      </c>
      <c r="AE540" s="31">
        <f>VLOOKUP($A540,kurspris!$A$1:$Q$835,4,FALSE)</f>
        <v>0</v>
      </c>
      <c r="AF540" s="31">
        <f>VLOOKUP($A540,kurspris!$A$1:$Q$835,5,FALSE)</f>
        <v>0</v>
      </c>
      <c r="AG540" s="31">
        <f>VLOOKUP($A540,kurspris!$A$1:$Q$835,6,FALSE)</f>
        <v>0</v>
      </c>
      <c r="AH540" s="31">
        <f>VLOOKUP($A540,kurspris!$A$1:$Q$835,7,FALSE)</f>
        <v>0</v>
      </c>
      <c r="AI540" s="31">
        <f>VLOOKUP($A540,kurspris!$A$1:$Q$835,8,FALSE)</f>
        <v>1</v>
      </c>
      <c r="AJ540" s="31">
        <f>VLOOKUP($A540,kurspris!$A$1:$Q$835,9,FALSE)</f>
        <v>0</v>
      </c>
      <c r="AK540" s="31">
        <f>VLOOKUP($A540,kurspris!$A$1:$Q$835,10,FALSE)</f>
        <v>0</v>
      </c>
      <c r="AL540" s="31">
        <f>VLOOKUP($A540,kurspris!$A$1:$Q$835,11,FALSE)</f>
        <v>0</v>
      </c>
      <c r="AM540" s="31">
        <f>VLOOKUP($A540,kurspris!$A$1:$Q$835,12,FALSE)</f>
        <v>0</v>
      </c>
      <c r="AN540" s="31">
        <f>VLOOKUP($A540,kurspris!$A$1:$Q$835,13,FALSE)</f>
        <v>0</v>
      </c>
      <c r="AO540" s="31">
        <f>VLOOKUP($A540,kurspris!$A$1:$Q$835,14,FALSE)</f>
        <v>0</v>
      </c>
      <c r="AP540" s="39" t="s">
        <v>2235</v>
      </c>
      <c r="AQ540"/>
      <c r="AR540" s="31">
        <f t="shared" si="307"/>
        <v>0</v>
      </c>
      <c r="AS540" s="255">
        <f t="shared" si="308"/>
        <v>0</v>
      </c>
      <c r="AT540" s="31">
        <f t="shared" si="309"/>
        <v>0</v>
      </c>
      <c r="AU540" s="255">
        <f t="shared" si="310"/>
        <v>0</v>
      </c>
      <c r="AV540" s="31">
        <f t="shared" si="311"/>
        <v>0</v>
      </c>
      <c r="AW540" s="31">
        <f t="shared" si="312"/>
        <v>0</v>
      </c>
      <c r="AX540" s="31">
        <f t="shared" si="313"/>
        <v>0</v>
      </c>
      <c r="AY540" s="255">
        <f t="shared" si="314"/>
        <v>0</v>
      </c>
      <c r="AZ540" s="232">
        <f t="shared" si="315"/>
        <v>0</v>
      </c>
      <c r="BA540" s="255">
        <f t="shared" si="316"/>
        <v>0</v>
      </c>
      <c r="BB540" s="31">
        <f t="shared" si="317"/>
        <v>0.125</v>
      </c>
      <c r="BC540" s="255">
        <f t="shared" si="318"/>
        <v>0.10625</v>
      </c>
      <c r="BD540" s="31">
        <f t="shared" si="319"/>
        <v>0</v>
      </c>
      <c r="BE540" s="255">
        <f t="shared" si="320"/>
        <v>0</v>
      </c>
      <c r="BF540" s="31">
        <f t="shared" si="321"/>
        <v>0</v>
      </c>
      <c r="BG540" s="255">
        <f t="shared" si="322"/>
        <v>0</v>
      </c>
      <c r="BH540" s="31">
        <f t="shared" si="323"/>
        <v>0</v>
      </c>
      <c r="BI540" s="255">
        <f t="shared" si="324"/>
        <v>0</v>
      </c>
      <c r="BJ540" s="31">
        <f t="shared" si="325"/>
        <v>0</v>
      </c>
      <c r="BK540" s="31">
        <f t="shared" si="326"/>
        <v>0</v>
      </c>
      <c r="BL540" s="255">
        <f t="shared" si="327"/>
        <v>0</v>
      </c>
      <c r="BM540" s="31">
        <f t="shared" si="328"/>
        <v>0</v>
      </c>
      <c r="BN540" s="255">
        <f t="shared" si="329"/>
        <v>0</v>
      </c>
    </row>
    <row r="541" spans="1:66" x14ac:dyDescent="0.25">
      <c r="A541" s="18" t="s">
        <v>875</v>
      </c>
      <c r="B541" s="186" t="str">
        <f>VLOOKUP(A541,kurspris!$A$1:$B$877,2,FALSE)</f>
        <v>Naturorientering och teknik för lärande och undervisning för åk F-3 och 4-6</v>
      </c>
      <c r="C541" s="37"/>
      <c r="D541" t="s">
        <v>117</v>
      </c>
      <c r="E541"/>
      <c r="F541" s="59" t="s">
        <v>1930</v>
      </c>
      <c r="G541"/>
      <c r="H541"/>
      <c r="I541" t="s">
        <v>2066</v>
      </c>
      <c r="L541">
        <v>50</v>
      </c>
      <c r="M541">
        <v>15</v>
      </c>
      <c r="P541" s="457">
        <v>0</v>
      </c>
      <c r="Q541" s="232">
        <f t="shared" si="302"/>
        <v>0</v>
      </c>
      <c r="R541" s="40">
        <v>0.8</v>
      </c>
      <c r="S541" s="334">
        <f t="shared" si="303"/>
        <v>0</v>
      </c>
      <c r="T541" s="31">
        <f>VLOOKUP(A541,'Ansvar kurs'!$A$1:$C$1010,2,FALSE)</f>
        <v>5740</v>
      </c>
      <c r="U541" s="31" t="str">
        <f>VLOOKUP(T541,Orgenheter!$A$1:$C$165,2,FALSE)</f>
        <v>NMD</v>
      </c>
      <c r="V541" s="31" t="str">
        <f>VLOOKUP(T541,Orgenheter!$A$1:$C$165,3,FALSE)</f>
        <v>TekNat</v>
      </c>
      <c r="W541" s="37" t="str">
        <f>VLOOKUP(D541,Program!$A$1:$B$34,2,FALSE)</f>
        <v>Fristående och övriga kurser</v>
      </c>
      <c r="X541" s="42">
        <f>VLOOKUP(A541,kurspris!$A$1:$Q$798,15,FALSE)</f>
        <v>19473</v>
      </c>
      <c r="Y541" s="42">
        <f>VLOOKUP(A541,kurspris!$A$1:$Q$798,16,FALSE)</f>
        <v>34806</v>
      </c>
      <c r="Z541" s="42">
        <f t="shared" si="304"/>
        <v>0</v>
      </c>
      <c r="AA541" s="42">
        <f>VLOOKUP(A541,kurspris!$A$1:$Q$798,17,FALSE)</f>
        <v>21800</v>
      </c>
      <c r="AB541" s="42">
        <f t="shared" si="305"/>
        <v>0</v>
      </c>
      <c r="AC541" s="42">
        <f t="shared" si="306"/>
        <v>0</v>
      </c>
      <c r="AD541" s="31">
        <f>VLOOKUP($A541,kurspris!$A$1:$Q$835,3,FALSE)</f>
        <v>0</v>
      </c>
      <c r="AE541" s="31">
        <f>VLOOKUP($A541,kurspris!$A$1:$Q$835,4,FALSE)</f>
        <v>0</v>
      </c>
      <c r="AF541" s="31">
        <f>VLOOKUP($A541,kurspris!$A$1:$Q$835,5,FALSE)</f>
        <v>0</v>
      </c>
      <c r="AG541" s="31">
        <f>VLOOKUP($A541,kurspris!$A$1:$Q$835,6,FALSE)</f>
        <v>0</v>
      </c>
      <c r="AH541" s="31">
        <f>VLOOKUP($A541,kurspris!$A$1:$Q$835,7,FALSE)</f>
        <v>0</v>
      </c>
      <c r="AI541" s="31">
        <f>VLOOKUP($A541,kurspris!$A$1:$Q$835,8,FALSE)</f>
        <v>1</v>
      </c>
      <c r="AJ541" s="31">
        <f>VLOOKUP($A541,kurspris!$A$1:$Q$835,9,FALSE)</f>
        <v>0</v>
      </c>
      <c r="AK541" s="31">
        <f>VLOOKUP($A541,kurspris!$A$1:$Q$835,10,FALSE)</f>
        <v>0</v>
      </c>
      <c r="AL541" s="31">
        <f>VLOOKUP($A541,kurspris!$A$1:$Q$835,11,FALSE)</f>
        <v>0</v>
      </c>
      <c r="AM541" s="31">
        <f>VLOOKUP($A541,kurspris!$A$1:$Q$835,12,FALSE)</f>
        <v>0</v>
      </c>
      <c r="AN541" s="31">
        <f>VLOOKUP($A541,kurspris!$A$1:$Q$835,13,FALSE)</f>
        <v>0</v>
      </c>
      <c r="AO541" s="31">
        <f>VLOOKUP($A541,kurspris!$A$1:$Q$835,14,FALSE)</f>
        <v>0</v>
      </c>
      <c r="AP541" s="39" t="s">
        <v>2095</v>
      </c>
      <c r="AQ541" s="39" t="s">
        <v>2171</v>
      </c>
      <c r="AR541" s="31">
        <f t="shared" si="307"/>
        <v>0</v>
      </c>
      <c r="AS541" s="255">
        <f t="shared" si="308"/>
        <v>0</v>
      </c>
      <c r="AT541" s="31">
        <f t="shared" si="309"/>
        <v>0</v>
      </c>
      <c r="AU541" s="255">
        <f t="shared" si="310"/>
        <v>0</v>
      </c>
      <c r="AV541" s="31">
        <f t="shared" si="311"/>
        <v>0</v>
      </c>
      <c r="AW541" s="31">
        <f t="shared" si="312"/>
        <v>0</v>
      </c>
      <c r="AX541" s="31">
        <f t="shared" si="313"/>
        <v>0</v>
      </c>
      <c r="AY541" s="255">
        <f t="shared" si="314"/>
        <v>0</v>
      </c>
      <c r="AZ541" s="232">
        <f t="shared" si="315"/>
        <v>0</v>
      </c>
      <c r="BA541" s="255">
        <f t="shared" si="316"/>
        <v>0</v>
      </c>
      <c r="BB541" s="31">
        <f t="shared" si="317"/>
        <v>0</v>
      </c>
      <c r="BC541" s="255">
        <f t="shared" si="318"/>
        <v>0</v>
      </c>
      <c r="BD541" s="31">
        <f t="shared" si="319"/>
        <v>0</v>
      </c>
      <c r="BE541" s="255">
        <f t="shared" si="320"/>
        <v>0</v>
      </c>
      <c r="BF541" s="31">
        <f t="shared" si="321"/>
        <v>0</v>
      </c>
      <c r="BG541" s="255">
        <f t="shared" si="322"/>
        <v>0</v>
      </c>
      <c r="BH541" s="31">
        <f t="shared" si="323"/>
        <v>0</v>
      </c>
      <c r="BI541" s="255">
        <f t="shared" si="324"/>
        <v>0</v>
      </c>
      <c r="BJ541" s="31">
        <f t="shared" si="325"/>
        <v>0</v>
      </c>
      <c r="BK541" s="31">
        <f t="shared" si="326"/>
        <v>0</v>
      </c>
      <c r="BL541" s="255">
        <f t="shared" si="327"/>
        <v>0</v>
      </c>
      <c r="BM541" s="31">
        <f t="shared" si="328"/>
        <v>0</v>
      </c>
      <c r="BN541" s="255">
        <f t="shared" si="329"/>
        <v>0</v>
      </c>
    </row>
    <row r="542" spans="1:66" x14ac:dyDescent="0.25">
      <c r="A542" s="18" t="s">
        <v>875</v>
      </c>
      <c r="B542" s="186" t="str">
        <f>VLOOKUP(A542,kurspris!$A$1:$B$877,2,FALSE)</f>
        <v>Naturorientering och teknik för lärande och undervisning för åk F-3 och 4-6</v>
      </c>
      <c r="C542" s="37"/>
      <c r="D542" t="s">
        <v>117</v>
      </c>
      <c r="E542"/>
      <c r="F542" s="59" t="s">
        <v>2093</v>
      </c>
      <c r="G542" t="s">
        <v>2065</v>
      </c>
      <c r="H542"/>
      <c r="I542" s="18" t="s">
        <v>2066</v>
      </c>
      <c r="J542" s="159"/>
      <c r="K542" s="159"/>
      <c r="L542">
        <v>100</v>
      </c>
      <c r="M542">
        <v>15</v>
      </c>
      <c r="P542" s="457">
        <v>0</v>
      </c>
      <c r="Q542" s="232">
        <f t="shared" si="302"/>
        <v>0</v>
      </c>
      <c r="R542" s="40">
        <v>0.8</v>
      </c>
      <c r="S542" s="334">
        <f t="shared" si="303"/>
        <v>0</v>
      </c>
      <c r="T542" s="31">
        <f>VLOOKUP(A542,'Ansvar kurs'!$A$1:$C$1010,2,FALSE)</f>
        <v>5740</v>
      </c>
      <c r="U542" s="31" t="str">
        <f>VLOOKUP(T542,Orgenheter!$A$1:$C$165,2,FALSE)</f>
        <v>NMD</v>
      </c>
      <c r="V542" s="31" t="str">
        <f>VLOOKUP(T542,Orgenheter!$A$1:$C$165,3,FALSE)</f>
        <v>TekNat</v>
      </c>
      <c r="W542" s="37" t="str">
        <f>VLOOKUP(D542,Program!$A$1:$B$34,2,FALSE)</f>
        <v>Fristående och övriga kurser</v>
      </c>
      <c r="X542" s="42">
        <f>VLOOKUP(A542,kurspris!$A$1:$Q$798,15,FALSE)</f>
        <v>19473</v>
      </c>
      <c r="Y542" s="42">
        <f>VLOOKUP(A542,kurspris!$A$1:$Q$798,16,FALSE)</f>
        <v>34806</v>
      </c>
      <c r="Z542" s="42">
        <f t="shared" si="304"/>
        <v>0</v>
      </c>
      <c r="AA542" s="42">
        <f>VLOOKUP(A542,kurspris!$A$1:$Q$798,17,FALSE)</f>
        <v>21800</v>
      </c>
      <c r="AB542" s="42">
        <f t="shared" si="305"/>
        <v>0</v>
      </c>
      <c r="AC542" s="42">
        <f t="shared" si="306"/>
        <v>0</v>
      </c>
      <c r="AD542" s="31">
        <f>VLOOKUP($A542,kurspris!$A$1:$Q$835,3,FALSE)</f>
        <v>0</v>
      </c>
      <c r="AE542" s="31">
        <f>VLOOKUP($A542,kurspris!$A$1:$Q$835,4,FALSE)</f>
        <v>0</v>
      </c>
      <c r="AF542" s="31">
        <f>VLOOKUP($A542,kurspris!$A$1:$Q$835,5,FALSE)</f>
        <v>0</v>
      </c>
      <c r="AG542" s="31">
        <f>VLOOKUP($A542,kurspris!$A$1:$Q$835,6,FALSE)</f>
        <v>0</v>
      </c>
      <c r="AH542" s="31">
        <f>VLOOKUP($A542,kurspris!$A$1:$Q$835,7,FALSE)</f>
        <v>0</v>
      </c>
      <c r="AI542" s="31">
        <f>VLOOKUP($A542,kurspris!$A$1:$Q$835,8,FALSE)</f>
        <v>1</v>
      </c>
      <c r="AJ542" s="31">
        <f>VLOOKUP($A542,kurspris!$A$1:$Q$835,9,FALSE)</f>
        <v>0</v>
      </c>
      <c r="AK542" s="31">
        <f>VLOOKUP($A542,kurspris!$A$1:$Q$835,10,FALSE)</f>
        <v>0</v>
      </c>
      <c r="AL542" s="31">
        <f>VLOOKUP($A542,kurspris!$A$1:$Q$835,11,FALSE)</f>
        <v>0</v>
      </c>
      <c r="AM542" s="31">
        <f>VLOOKUP($A542,kurspris!$A$1:$Q$835,12,FALSE)</f>
        <v>0</v>
      </c>
      <c r="AN542" s="31">
        <f>VLOOKUP($A542,kurspris!$A$1:$Q$835,13,FALSE)</f>
        <v>0</v>
      </c>
      <c r="AO542" s="31">
        <f>VLOOKUP($A542,kurspris!$A$1:$Q$835,14,FALSE)</f>
        <v>0</v>
      </c>
      <c r="AP542" s="39" t="s">
        <v>2095</v>
      </c>
      <c r="AQ542" t="s">
        <v>2154</v>
      </c>
      <c r="AR542" s="31">
        <f t="shared" si="307"/>
        <v>0</v>
      </c>
      <c r="AS542" s="255">
        <f t="shared" si="308"/>
        <v>0</v>
      </c>
      <c r="AT542" s="31">
        <f t="shared" si="309"/>
        <v>0</v>
      </c>
      <c r="AU542" s="255">
        <f t="shared" si="310"/>
        <v>0</v>
      </c>
      <c r="AV542" s="31">
        <f t="shared" si="311"/>
        <v>0</v>
      </c>
      <c r="AW542" s="31">
        <f t="shared" si="312"/>
        <v>0</v>
      </c>
      <c r="AX542" s="31">
        <f t="shared" si="313"/>
        <v>0</v>
      </c>
      <c r="AY542" s="255">
        <f t="shared" si="314"/>
        <v>0</v>
      </c>
      <c r="AZ542" s="232">
        <f t="shared" si="315"/>
        <v>0</v>
      </c>
      <c r="BA542" s="255">
        <f t="shared" si="316"/>
        <v>0</v>
      </c>
      <c r="BB542" s="31">
        <f t="shared" si="317"/>
        <v>0</v>
      </c>
      <c r="BC542" s="255">
        <f t="shared" si="318"/>
        <v>0</v>
      </c>
      <c r="BD542" s="31">
        <f t="shared" si="319"/>
        <v>0</v>
      </c>
      <c r="BE542" s="255">
        <f t="shared" si="320"/>
        <v>0</v>
      </c>
      <c r="BF542" s="31">
        <f t="shared" si="321"/>
        <v>0</v>
      </c>
      <c r="BG542" s="255">
        <f t="shared" si="322"/>
        <v>0</v>
      </c>
      <c r="BH542" s="31">
        <f t="shared" si="323"/>
        <v>0</v>
      </c>
      <c r="BI542" s="255">
        <f t="shared" si="324"/>
        <v>0</v>
      </c>
      <c r="BJ542" s="31">
        <f t="shared" si="325"/>
        <v>0</v>
      </c>
      <c r="BK542" s="31">
        <f t="shared" si="326"/>
        <v>0</v>
      </c>
      <c r="BL542" s="255">
        <f t="shared" si="327"/>
        <v>0</v>
      </c>
      <c r="BM542" s="31">
        <f t="shared" si="328"/>
        <v>0</v>
      </c>
      <c r="BN542" s="255">
        <f t="shared" si="329"/>
        <v>0</v>
      </c>
    </row>
    <row r="543" spans="1:66" x14ac:dyDescent="0.25">
      <c r="A543" s="18" t="s">
        <v>905</v>
      </c>
      <c r="B543" s="186" t="str">
        <f>VLOOKUP(A543,kurspris!$A$1:$B$877,2,FALSE)</f>
        <v>Naturorientering och teknik för lärande och undervisning för åk 4-6, del II</v>
      </c>
      <c r="C543" s="37"/>
      <c r="D543" t="s">
        <v>117</v>
      </c>
      <c r="E543"/>
      <c r="F543" s="59" t="s">
        <v>2093</v>
      </c>
      <c r="G543" t="s">
        <v>2065</v>
      </c>
      <c r="H543"/>
      <c r="I543" s="18" t="s">
        <v>2066</v>
      </c>
      <c r="J543" s="159"/>
      <c r="K543" s="159"/>
      <c r="L543">
        <v>100</v>
      </c>
      <c r="M543">
        <v>15</v>
      </c>
      <c r="P543" s="457">
        <v>0</v>
      </c>
      <c r="Q543" s="232">
        <f t="shared" si="302"/>
        <v>0</v>
      </c>
      <c r="R543" s="40">
        <v>0.8</v>
      </c>
      <c r="S543" s="334">
        <f t="shared" si="303"/>
        <v>0</v>
      </c>
      <c r="T543" s="31">
        <f>VLOOKUP(A543,'Ansvar kurs'!$A$1:$C$1010,2,FALSE)</f>
        <v>5740</v>
      </c>
      <c r="U543" s="31" t="str">
        <f>VLOOKUP(T543,Orgenheter!$A$1:$C$165,2,FALSE)</f>
        <v>NMD</v>
      </c>
      <c r="V543" s="31" t="str">
        <f>VLOOKUP(T543,Orgenheter!$A$1:$C$165,3,FALSE)</f>
        <v>TekNat</v>
      </c>
      <c r="W543" s="37" t="str">
        <f>VLOOKUP(D543,Program!$A$1:$B$34,2,FALSE)</f>
        <v>Fristående och övriga kurser</v>
      </c>
      <c r="X543" s="42">
        <f>VLOOKUP(A543,kurspris!$A$1:$Q$798,15,FALSE)</f>
        <v>19473</v>
      </c>
      <c r="Y543" s="42">
        <f>VLOOKUP(A543,kurspris!$A$1:$Q$798,16,FALSE)</f>
        <v>34806</v>
      </c>
      <c r="Z543" s="42">
        <f t="shared" si="304"/>
        <v>0</v>
      </c>
      <c r="AA543" s="42">
        <f>VLOOKUP(A543,kurspris!$A$1:$Q$798,17,FALSE)</f>
        <v>21800</v>
      </c>
      <c r="AB543" s="42">
        <f t="shared" si="305"/>
        <v>0</v>
      </c>
      <c r="AC543" s="42">
        <f t="shared" si="306"/>
        <v>0</v>
      </c>
      <c r="AD543" s="31">
        <f>VLOOKUP($A543,kurspris!$A$1:$Q$835,3,FALSE)</f>
        <v>0</v>
      </c>
      <c r="AE543" s="31">
        <f>VLOOKUP($A543,kurspris!$A$1:$Q$835,4,FALSE)</f>
        <v>0</v>
      </c>
      <c r="AF543" s="31">
        <f>VLOOKUP($A543,kurspris!$A$1:$Q$835,5,FALSE)</f>
        <v>0</v>
      </c>
      <c r="AG543" s="31">
        <f>VLOOKUP($A543,kurspris!$A$1:$Q$835,6,FALSE)</f>
        <v>0</v>
      </c>
      <c r="AH543" s="31">
        <f>VLOOKUP($A543,kurspris!$A$1:$Q$835,7,FALSE)</f>
        <v>0</v>
      </c>
      <c r="AI543" s="31">
        <f>VLOOKUP($A543,kurspris!$A$1:$Q$835,8,FALSE)</f>
        <v>1</v>
      </c>
      <c r="AJ543" s="31">
        <f>VLOOKUP($A543,kurspris!$A$1:$Q$835,9,FALSE)</f>
        <v>0</v>
      </c>
      <c r="AK543" s="31">
        <f>VLOOKUP($A543,kurspris!$A$1:$Q$835,10,FALSE)</f>
        <v>0</v>
      </c>
      <c r="AL543" s="31">
        <f>VLOOKUP($A543,kurspris!$A$1:$Q$835,11,FALSE)</f>
        <v>0</v>
      </c>
      <c r="AM543" s="31">
        <f>VLOOKUP($A543,kurspris!$A$1:$Q$835,12,FALSE)</f>
        <v>0</v>
      </c>
      <c r="AN543" s="31">
        <f>VLOOKUP($A543,kurspris!$A$1:$Q$835,13,FALSE)</f>
        <v>0</v>
      </c>
      <c r="AO543" s="31">
        <f>VLOOKUP($A543,kurspris!$A$1:$Q$835,14,FALSE)</f>
        <v>0</v>
      </c>
      <c r="AP543" s="39" t="s">
        <v>2095</v>
      </c>
      <c r="AQ543" t="s">
        <v>2154</v>
      </c>
      <c r="AR543" s="31">
        <f t="shared" si="307"/>
        <v>0</v>
      </c>
      <c r="AS543" s="255">
        <f t="shared" si="308"/>
        <v>0</v>
      </c>
      <c r="AT543" s="31">
        <f t="shared" si="309"/>
        <v>0</v>
      </c>
      <c r="AU543" s="255">
        <f t="shared" si="310"/>
        <v>0</v>
      </c>
      <c r="AV543" s="31">
        <f t="shared" si="311"/>
        <v>0</v>
      </c>
      <c r="AW543" s="31">
        <f t="shared" si="312"/>
        <v>0</v>
      </c>
      <c r="AX543" s="31">
        <f t="shared" si="313"/>
        <v>0</v>
      </c>
      <c r="AY543" s="255">
        <f t="shared" si="314"/>
        <v>0</v>
      </c>
      <c r="AZ543" s="232">
        <f t="shared" si="315"/>
        <v>0</v>
      </c>
      <c r="BA543" s="255">
        <f t="shared" si="316"/>
        <v>0</v>
      </c>
      <c r="BB543" s="31">
        <f t="shared" si="317"/>
        <v>0</v>
      </c>
      <c r="BC543" s="255">
        <f t="shared" si="318"/>
        <v>0</v>
      </c>
      <c r="BD543" s="31">
        <f t="shared" si="319"/>
        <v>0</v>
      </c>
      <c r="BE543" s="255">
        <f t="shared" si="320"/>
        <v>0</v>
      </c>
      <c r="BF543" s="31">
        <f t="shared" si="321"/>
        <v>0</v>
      </c>
      <c r="BG543" s="255">
        <f t="shared" si="322"/>
        <v>0</v>
      </c>
      <c r="BH543" s="31">
        <f t="shared" si="323"/>
        <v>0</v>
      </c>
      <c r="BI543" s="255">
        <f t="shared" si="324"/>
        <v>0</v>
      </c>
      <c r="BJ543" s="31">
        <f t="shared" si="325"/>
        <v>0</v>
      </c>
      <c r="BK543" s="31">
        <f t="shared" si="326"/>
        <v>0</v>
      </c>
      <c r="BL543" s="255">
        <f t="shared" si="327"/>
        <v>0</v>
      </c>
      <c r="BM543" s="31">
        <f t="shared" si="328"/>
        <v>0</v>
      </c>
      <c r="BN543" s="255">
        <f t="shared" si="329"/>
        <v>0</v>
      </c>
    </row>
    <row r="544" spans="1:66" x14ac:dyDescent="0.25">
      <c r="A544" s="18" t="s">
        <v>905</v>
      </c>
      <c r="B544" s="186" t="str">
        <f>VLOOKUP(A544,kurspris!$A$1:$B$877,2,FALSE)</f>
        <v>Naturorientering och teknik för lärande och undervisning för åk 4-6, del II</v>
      </c>
      <c r="C544" s="37"/>
      <c r="D544" t="s">
        <v>117</v>
      </c>
      <c r="E544"/>
      <c r="F544" s="59" t="s">
        <v>1931</v>
      </c>
      <c r="G544"/>
      <c r="H544"/>
      <c r="I544" t="s">
        <v>2066</v>
      </c>
      <c r="L544">
        <v>50</v>
      </c>
      <c r="M544">
        <v>15</v>
      </c>
      <c r="P544">
        <v>8</v>
      </c>
      <c r="Q544" s="232">
        <f t="shared" si="302"/>
        <v>2</v>
      </c>
      <c r="R544" s="40">
        <v>0.8</v>
      </c>
      <c r="S544" s="334">
        <f t="shared" si="303"/>
        <v>1.6</v>
      </c>
      <c r="T544" s="31">
        <f>VLOOKUP(A544,'Ansvar kurs'!$A$1:$C$1010,2,FALSE)</f>
        <v>5740</v>
      </c>
      <c r="U544" s="31" t="str">
        <f>VLOOKUP(T544,Orgenheter!$A$1:$C$165,2,FALSE)</f>
        <v>NMD</v>
      </c>
      <c r="V544" s="31" t="str">
        <f>VLOOKUP(T544,Orgenheter!$A$1:$C$165,3,FALSE)</f>
        <v>TekNat</v>
      </c>
      <c r="W544" s="37" t="str">
        <f>VLOOKUP(D544,Program!$A$1:$B$34,2,FALSE)</f>
        <v>Fristående och övriga kurser</v>
      </c>
      <c r="X544" s="42">
        <f>VLOOKUP(A544,kurspris!$A$1:$Q$798,15,FALSE)</f>
        <v>19473</v>
      </c>
      <c r="Y544" s="42">
        <f>VLOOKUP(A544,kurspris!$A$1:$Q$798,16,FALSE)</f>
        <v>34806</v>
      </c>
      <c r="Z544" s="42">
        <f t="shared" si="304"/>
        <v>94635.6</v>
      </c>
      <c r="AA544" s="42">
        <f>VLOOKUP(A544,kurspris!$A$1:$Q$798,17,FALSE)</f>
        <v>21800</v>
      </c>
      <c r="AB544" s="42">
        <f t="shared" si="305"/>
        <v>43600</v>
      </c>
      <c r="AC544" s="42">
        <f t="shared" si="306"/>
        <v>138235.6</v>
      </c>
      <c r="AD544" s="31">
        <f>VLOOKUP($A544,kurspris!$A$1:$Q$835,3,FALSE)</f>
        <v>0</v>
      </c>
      <c r="AE544" s="31">
        <f>VLOOKUP($A544,kurspris!$A$1:$Q$835,4,FALSE)</f>
        <v>0</v>
      </c>
      <c r="AF544" s="31">
        <f>VLOOKUP($A544,kurspris!$A$1:$Q$835,5,FALSE)</f>
        <v>0</v>
      </c>
      <c r="AG544" s="31">
        <f>VLOOKUP($A544,kurspris!$A$1:$Q$835,6,FALSE)</f>
        <v>0</v>
      </c>
      <c r="AH544" s="31">
        <f>VLOOKUP($A544,kurspris!$A$1:$Q$835,7,FALSE)</f>
        <v>0</v>
      </c>
      <c r="AI544" s="31">
        <f>VLOOKUP($A544,kurspris!$A$1:$Q$835,8,FALSE)</f>
        <v>1</v>
      </c>
      <c r="AJ544" s="31">
        <f>VLOOKUP($A544,kurspris!$A$1:$Q$835,9,FALSE)</f>
        <v>0</v>
      </c>
      <c r="AK544" s="31">
        <f>VLOOKUP($A544,kurspris!$A$1:$Q$835,10,FALSE)</f>
        <v>0</v>
      </c>
      <c r="AL544" s="31">
        <f>VLOOKUP($A544,kurspris!$A$1:$Q$835,11,FALSE)</f>
        <v>0</v>
      </c>
      <c r="AM544" s="31">
        <f>VLOOKUP($A544,kurspris!$A$1:$Q$835,12,FALSE)</f>
        <v>0</v>
      </c>
      <c r="AN544" s="31">
        <f>VLOOKUP($A544,kurspris!$A$1:$Q$835,13,FALSE)</f>
        <v>0</v>
      </c>
      <c r="AO544" s="31">
        <f>VLOOKUP($A544,kurspris!$A$1:$Q$835,14,FALSE)</f>
        <v>0</v>
      </c>
      <c r="AP544" s="39" t="s">
        <v>2095</v>
      </c>
      <c r="AQ544"/>
      <c r="AR544" s="31">
        <f t="shared" si="307"/>
        <v>0</v>
      </c>
      <c r="AS544" s="255">
        <f t="shared" si="308"/>
        <v>0</v>
      </c>
      <c r="AT544" s="31">
        <f t="shared" si="309"/>
        <v>0</v>
      </c>
      <c r="AU544" s="255">
        <f t="shared" si="310"/>
        <v>0</v>
      </c>
      <c r="AV544" s="31">
        <f t="shared" si="311"/>
        <v>0</v>
      </c>
      <c r="AW544" s="31">
        <f t="shared" si="312"/>
        <v>0</v>
      </c>
      <c r="AX544" s="31">
        <f t="shared" si="313"/>
        <v>0</v>
      </c>
      <c r="AY544" s="255">
        <f t="shared" si="314"/>
        <v>0</v>
      </c>
      <c r="AZ544" s="232">
        <f t="shared" si="315"/>
        <v>0</v>
      </c>
      <c r="BA544" s="255">
        <f t="shared" si="316"/>
        <v>0</v>
      </c>
      <c r="BB544" s="31">
        <f t="shared" si="317"/>
        <v>2</v>
      </c>
      <c r="BC544" s="255">
        <f t="shared" si="318"/>
        <v>1.6</v>
      </c>
      <c r="BD544" s="31">
        <f t="shared" si="319"/>
        <v>0</v>
      </c>
      <c r="BE544" s="255">
        <f t="shared" si="320"/>
        <v>0</v>
      </c>
      <c r="BF544" s="31">
        <f t="shared" si="321"/>
        <v>0</v>
      </c>
      <c r="BG544" s="255">
        <f t="shared" si="322"/>
        <v>0</v>
      </c>
      <c r="BH544" s="31">
        <f t="shared" si="323"/>
        <v>0</v>
      </c>
      <c r="BI544" s="255">
        <f t="shared" si="324"/>
        <v>0</v>
      </c>
      <c r="BJ544" s="31">
        <f t="shared" si="325"/>
        <v>0</v>
      </c>
      <c r="BK544" s="31">
        <f t="shared" si="326"/>
        <v>0</v>
      </c>
      <c r="BL544" s="255">
        <f t="shared" si="327"/>
        <v>0</v>
      </c>
      <c r="BM544" s="31">
        <f t="shared" si="328"/>
        <v>0</v>
      </c>
      <c r="BN544" s="255">
        <f t="shared" si="329"/>
        <v>0</v>
      </c>
    </row>
    <row r="545" spans="1:66" x14ac:dyDescent="0.25">
      <c r="A545" t="s">
        <v>1573</v>
      </c>
      <c r="B545" s="186" t="str">
        <f>VLOOKUP(A545,kurspris!$A$1:$B$877,2,FALSE)</f>
        <v>Matematik, naturvetenskap och utomhuspedagogik för fritidshem</v>
      </c>
      <c r="C545"/>
      <c r="D545" t="s">
        <v>485</v>
      </c>
      <c r="E545" t="s">
        <v>1788</v>
      </c>
      <c r="F545" s="59" t="s">
        <v>1930</v>
      </c>
      <c r="G545" t="s">
        <v>1932</v>
      </c>
      <c r="H545" t="s">
        <v>1910</v>
      </c>
      <c r="I545"/>
      <c r="J545"/>
      <c r="K545"/>
      <c r="L545">
        <v>100</v>
      </c>
      <c r="M545">
        <v>7.5</v>
      </c>
      <c r="N545"/>
      <c r="O545"/>
      <c r="P545" s="31">
        <v>26</v>
      </c>
      <c r="Q545" s="232">
        <f t="shared" si="302"/>
        <v>3.25</v>
      </c>
      <c r="R545" s="40">
        <v>0.85</v>
      </c>
      <c r="S545" s="334">
        <f t="shared" si="303"/>
        <v>2.7624999999999997</v>
      </c>
      <c r="T545" s="31">
        <f>VLOOKUP(A545,'Ansvar kurs'!$A$1:$C$1010,2,FALSE)</f>
        <v>5740</v>
      </c>
      <c r="U545" s="31" t="str">
        <f>VLOOKUP(T545,Orgenheter!$A$1:$C$165,2,FALSE)</f>
        <v>NMD</v>
      </c>
      <c r="V545" s="31" t="str">
        <f>VLOOKUP(T545,Orgenheter!$A$1:$C$165,3,FALSE)</f>
        <v>TekNat</v>
      </c>
      <c r="W545" s="37" t="str">
        <f>VLOOKUP(D545,Program!$A$1:$B$34,2,FALSE)</f>
        <v>Grundlärarprogrammet - fritidshem</v>
      </c>
      <c r="X545" s="42">
        <f>VLOOKUP(A545,kurspris!$A$1:$Q$798,15,FALSE)</f>
        <v>19473</v>
      </c>
      <c r="Y545" s="42">
        <f>VLOOKUP(A545,kurspris!$A$1:$Q$798,16,FALSE)</f>
        <v>34806</v>
      </c>
      <c r="Z545" s="42">
        <f t="shared" si="304"/>
        <v>159438.82500000001</v>
      </c>
      <c r="AA545" s="42">
        <f>VLOOKUP(A545,kurspris!$A$1:$Q$798,17,FALSE)</f>
        <v>21800</v>
      </c>
      <c r="AB545" s="42">
        <f t="shared" si="305"/>
        <v>70850</v>
      </c>
      <c r="AC545" s="42">
        <f t="shared" si="306"/>
        <v>230288.82500000001</v>
      </c>
      <c r="AD545" s="31">
        <f>VLOOKUP($A545,kurspris!$A$1:$Q$835,3,FALSE)</f>
        <v>0</v>
      </c>
      <c r="AE545" s="31">
        <f>VLOOKUP($A545,kurspris!$A$1:$Q$835,4,FALSE)</f>
        <v>0</v>
      </c>
      <c r="AF545" s="31">
        <f>VLOOKUP($A545,kurspris!$A$1:$Q$835,5,FALSE)</f>
        <v>0</v>
      </c>
      <c r="AG545" s="31">
        <f>VLOOKUP($A545,kurspris!$A$1:$Q$835,6,FALSE)</f>
        <v>0</v>
      </c>
      <c r="AH545" s="31">
        <f>VLOOKUP($A545,kurspris!$A$1:$Q$835,7,FALSE)</f>
        <v>0</v>
      </c>
      <c r="AI545" s="31">
        <f>VLOOKUP($A545,kurspris!$A$1:$Q$835,8,FALSE)</f>
        <v>1</v>
      </c>
      <c r="AJ545" s="31">
        <f>VLOOKUP($A545,kurspris!$A$1:$Q$835,9,FALSE)</f>
        <v>0</v>
      </c>
      <c r="AK545" s="31">
        <f>VLOOKUP($A545,kurspris!$A$1:$Q$835,10,FALSE)</f>
        <v>0</v>
      </c>
      <c r="AL545" s="31">
        <f>VLOOKUP($A545,kurspris!$A$1:$Q$835,11,FALSE)</f>
        <v>0</v>
      </c>
      <c r="AM545" s="31">
        <f>VLOOKUP($A545,kurspris!$A$1:$Q$835,12,FALSE)</f>
        <v>0</v>
      </c>
      <c r="AN545" s="31">
        <f>VLOOKUP($A545,kurspris!$A$1:$Q$835,13,FALSE)</f>
        <v>0</v>
      </c>
      <c r="AO545" s="31">
        <f>VLOOKUP($A545,kurspris!$A$1:$Q$835,14,FALSE)</f>
        <v>0</v>
      </c>
      <c r="AP545" s="39" t="s">
        <v>2235</v>
      </c>
      <c r="AQ545"/>
      <c r="AR545" s="31">
        <f t="shared" si="307"/>
        <v>0</v>
      </c>
      <c r="AS545" s="255">
        <f t="shared" si="308"/>
        <v>0</v>
      </c>
      <c r="AT545" s="31">
        <f t="shared" si="309"/>
        <v>0</v>
      </c>
      <c r="AU545" s="255">
        <f t="shared" si="310"/>
        <v>0</v>
      </c>
      <c r="AV545" s="31">
        <f t="shared" si="311"/>
        <v>0</v>
      </c>
      <c r="AW545" s="31">
        <f t="shared" si="312"/>
        <v>0</v>
      </c>
      <c r="AX545" s="31">
        <f t="shared" si="313"/>
        <v>0</v>
      </c>
      <c r="AY545" s="255">
        <f t="shared" si="314"/>
        <v>0</v>
      </c>
      <c r="AZ545" s="232">
        <f t="shared" si="315"/>
        <v>0</v>
      </c>
      <c r="BA545" s="255">
        <f t="shared" si="316"/>
        <v>0</v>
      </c>
      <c r="BB545" s="31">
        <f t="shared" si="317"/>
        <v>3.25</v>
      </c>
      <c r="BC545" s="255">
        <f t="shared" si="318"/>
        <v>2.7624999999999997</v>
      </c>
      <c r="BD545" s="31">
        <f t="shared" si="319"/>
        <v>0</v>
      </c>
      <c r="BE545" s="255">
        <f t="shared" si="320"/>
        <v>0</v>
      </c>
      <c r="BF545" s="31">
        <f t="shared" si="321"/>
        <v>0</v>
      </c>
      <c r="BG545" s="255">
        <f t="shared" si="322"/>
        <v>0</v>
      </c>
      <c r="BH545" s="31">
        <f t="shared" si="323"/>
        <v>0</v>
      </c>
      <c r="BI545" s="255">
        <f t="shared" si="324"/>
        <v>0</v>
      </c>
      <c r="BJ545" s="31">
        <f t="shared" si="325"/>
        <v>0</v>
      </c>
      <c r="BK545" s="31">
        <f t="shared" si="326"/>
        <v>0</v>
      </c>
      <c r="BL545" s="255">
        <f t="shared" si="327"/>
        <v>0</v>
      </c>
      <c r="BM545" s="31">
        <f t="shared" si="328"/>
        <v>0</v>
      </c>
      <c r="BN545" s="255">
        <f t="shared" si="329"/>
        <v>0</v>
      </c>
    </row>
    <row r="546" spans="1:66" x14ac:dyDescent="0.25">
      <c r="A546" t="s">
        <v>1571</v>
      </c>
      <c r="B546" s="186" t="str">
        <f>VLOOKUP(A546,kurspris!$A$1:$B$877,2,FALSE)</f>
        <v>Naturorientering och teknik för förskoleklass och grundskolans årskurs 1-3</v>
      </c>
      <c r="C546"/>
      <c r="D546" t="s">
        <v>486</v>
      </c>
      <c r="E546" t="s">
        <v>1973</v>
      </c>
      <c r="F546" s="59" t="s">
        <v>1930</v>
      </c>
      <c r="G546" t="s">
        <v>1979</v>
      </c>
      <c r="H546" t="s">
        <v>1910</v>
      </c>
      <c r="I546"/>
      <c r="J546"/>
      <c r="K546"/>
      <c r="L546">
        <v>100</v>
      </c>
      <c r="M546">
        <v>15</v>
      </c>
      <c r="N546"/>
      <c r="O546"/>
      <c r="P546" s="31">
        <v>39</v>
      </c>
      <c r="Q546" s="232">
        <f t="shared" si="302"/>
        <v>9.75</v>
      </c>
      <c r="R546" s="40">
        <v>0.85</v>
      </c>
      <c r="S546" s="334">
        <f t="shared" si="303"/>
        <v>8.2874999999999996</v>
      </c>
      <c r="T546" s="31">
        <f>VLOOKUP(A546,'Ansvar kurs'!$A$1:$C$1010,2,FALSE)</f>
        <v>5740</v>
      </c>
      <c r="U546" s="31" t="str">
        <f>VLOOKUP(T546,Orgenheter!$A$1:$C$165,2,FALSE)</f>
        <v>NMD</v>
      </c>
      <c r="V546" s="31" t="str">
        <f>VLOOKUP(T546,Orgenheter!$A$1:$C$165,3,FALSE)</f>
        <v>TekNat</v>
      </c>
      <c r="W546" s="37" t="str">
        <f>VLOOKUP(D546,Program!$A$1:$B$34,2,FALSE)</f>
        <v>Grundlärarprogrammet - förskoleklass och åk 1-3</v>
      </c>
      <c r="X546" s="42">
        <f>VLOOKUP(A546,kurspris!$A$1:$Q$798,15,FALSE)</f>
        <v>19473</v>
      </c>
      <c r="Y546" s="42">
        <f>VLOOKUP(A546,kurspris!$A$1:$Q$798,16,FALSE)</f>
        <v>34806</v>
      </c>
      <c r="Z546" s="42">
        <f t="shared" si="304"/>
        <v>478316.47499999998</v>
      </c>
      <c r="AA546" s="42">
        <f>VLOOKUP(A546,kurspris!$A$1:$Q$798,17,FALSE)</f>
        <v>21800</v>
      </c>
      <c r="AB546" s="42">
        <f t="shared" si="305"/>
        <v>212550</v>
      </c>
      <c r="AC546" s="42">
        <f t="shared" si="306"/>
        <v>690866.47499999998</v>
      </c>
      <c r="AD546" s="31">
        <f>VLOOKUP($A546,kurspris!$A$1:$Q$835,3,FALSE)</f>
        <v>0</v>
      </c>
      <c r="AE546" s="31">
        <f>VLOOKUP($A546,kurspris!$A$1:$Q$835,4,FALSE)</f>
        <v>0</v>
      </c>
      <c r="AF546" s="31">
        <f>VLOOKUP($A546,kurspris!$A$1:$Q$835,5,FALSE)</f>
        <v>0</v>
      </c>
      <c r="AG546" s="31">
        <f>VLOOKUP($A546,kurspris!$A$1:$Q$835,6,FALSE)</f>
        <v>0</v>
      </c>
      <c r="AH546" s="31">
        <f>VLOOKUP($A546,kurspris!$A$1:$Q$835,7,FALSE)</f>
        <v>0</v>
      </c>
      <c r="AI546" s="31">
        <f>VLOOKUP($A546,kurspris!$A$1:$Q$835,8,FALSE)</f>
        <v>1</v>
      </c>
      <c r="AJ546" s="31">
        <f>VLOOKUP($A546,kurspris!$A$1:$Q$835,9,FALSE)</f>
        <v>0</v>
      </c>
      <c r="AK546" s="31">
        <f>VLOOKUP($A546,kurspris!$A$1:$Q$835,10,FALSE)</f>
        <v>0</v>
      </c>
      <c r="AL546" s="31">
        <f>VLOOKUP($A546,kurspris!$A$1:$Q$835,11,FALSE)</f>
        <v>0</v>
      </c>
      <c r="AM546" s="31">
        <f>VLOOKUP($A546,kurspris!$A$1:$Q$835,12,FALSE)</f>
        <v>0</v>
      </c>
      <c r="AN546" s="31">
        <f>VLOOKUP($A546,kurspris!$A$1:$Q$835,13,FALSE)</f>
        <v>0</v>
      </c>
      <c r="AO546" s="31">
        <f>VLOOKUP($A546,kurspris!$A$1:$Q$835,14,FALSE)</f>
        <v>0</v>
      </c>
      <c r="AP546" s="39" t="s">
        <v>2204</v>
      </c>
      <c r="AQ546"/>
      <c r="AR546" s="31">
        <f t="shared" si="307"/>
        <v>0</v>
      </c>
      <c r="AS546" s="255">
        <f t="shared" si="308"/>
        <v>0</v>
      </c>
      <c r="AT546" s="31">
        <f t="shared" si="309"/>
        <v>0</v>
      </c>
      <c r="AU546" s="255">
        <f t="shared" si="310"/>
        <v>0</v>
      </c>
      <c r="AV546" s="31">
        <f t="shared" si="311"/>
        <v>0</v>
      </c>
      <c r="AW546" s="31">
        <f t="shared" si="312"/>
        <v>0</v>
      </c>
      <c r="AX546" s="31">
        <f t="shared" si="313"/>
        <v>0</v>
      </c>
      <c r="AY546" s="255">
        <f t="shared" si="314"/>
        <v>0</v>
      </c>
      <c r="AZ546" s="232">
        <f t="shared" si="315"/>
        <v>0</v>
      </c>
      <c r="BA546" s="255">
        <f t="shared" si="316"/>
        <v>0</v>
      </c>
      <c r="BB546" s="31">
        <f t="shared" si="317"/>
        <v>9.75</v>
      </c>
      <c r="BC546" s="255">
        <f t="shared" si="318"/>
        <v>8.2874999999999996</v>
      </c>
      <c r="BD546" s="31">
        <f t="shared" si="319"/>
        <v>0</v>
      </c>
      <c r="BE546" s="255">
        <f t="shared" si="320"/>
        <v>0</v>
      </c>
      <c r="BF546" s="31">
        <f t="shared" si="321"/>
        <v>0</v>
      </c>
      <c r="BG546" s="255">
        <f t="shared" si="322"/>
        <v>0</v>
      </c>
      <c r="BH546" s="31">
        <f t="shared" si="323"/>
        <v>0</v>
      </c>
      <c r="BI546" s="255">
        <f t="shared" si="324"/>
        <v>0</v>
      </c>
      <c r="BJ546" s="31">
        <f t="shared" si="325"/>
        <v>0</v>
      </c>
      <c r="BK546" s="31">
        <f t="shared" si="326"/>
        <v>0</v>
      </c>
      <c r="BL546" s="255">
        <f t="shared" si="327"/>
        <v>0</v>
      </c>
      <c r="BM546" s="31">
        <f t="shared" si="328"/>
        <v>0</v>
      </c>
      <c r="BN546" s="255">
        <f t="shared" si="329"/>
        <v>0</v>
      </c>
    </row>
    <row r="547" spans="1:66" x14ac:dyDescent="0.25">
      <c r="A547" t="s">
        <v>1574</v>
      </c>
      <c r="B547" s="186" t="str">
        <f>VLOOKUP(A547,kurspris!$A$1:$B$877,2,FALSE)</f>
        <v>Naturorientering och teknik för förskoleklass och grundskolans årskurs 4-6</v>
      </c>
      <c r="C547"/>
      <c r="D547" t="s">
        <v>524</v>
      </c>
      <c r="E547" t="s">
        <v>1973</v>
      </c>
      <c r="F547" s="39" t="s">
        <v>1930</v>
      </c>
      <c r="G547" t="s">
        <v>1995</v>
      </c>
      <c r="H547" t="s">
        <v>1910</v>
      </c>
      <c r="I547"/>
      <c r="J547"/>
      <c r="K547"/>
      <c r="L547">
        <v>100</v>
      </c>
      <c r="M547">
        <v>30</v>
      </c>
      <c r="N547"/>
      <c r="O547"/>
      <c r="P547" s="31">
        <v>1</v>
      </c>
      <c r="Q547" s="232">
        <f t="shared" si="302"/>
        <v>0.5</v>
      </c>
      <c r="R547" s="40">
        <v>0.85</v>
      </c>
      <c r="S547" s="334">
        <f t="shared" si="303"/>
        <v>0.42499999999999999</v>
      </c>
      <c r="T547" s="31">
        <f>VLOOKUP(A547,'Ansvar kurs'!$A$1:$C$1010,2,FALSE)</f>
        <v>5740</v>
      </c>
      <c r="U547" s="31" t="str">
        <f>VLOOKUP(T547,Orgenheter!$A$1:$C$165,2,FALSE)</f>
        <v>NMD</v>
      </c>
      <c r="V547" s="31" t="str">
        <f>VLOOKUP(T547,Orgenheter!$A$1:$C$165,3,FALSE)</f>
        <v>TekNat</v>
      </c>
      <c r="W547" s="37" t="str">
        <f>VLOOKUP(D547,Program!$A$1:$B$34,2,FALSE)</f>
        <v>Grundlärarprogrammet - grundskolans åk 4-6</v>
      </c>
      <c r="X547" s="42">
        <f>VLOOKUP(A547,kurspris!$A$1:$Q$798,15,FALSE)</f>
        <v>19473</v>
      </c>
      <c r="Y547" s="42">
        <f>VLOOKUP(A547,kurspris!$A$1:$Q$798,16,FALSE)</f>
        <v>34806</v>
      </c>
      <c r="Z547" s="42">
        <f t="shared" si="304"/>
        <v>24529.05</v>
      </c>
      <c r="AA547" s="42">
        <f>VLOOKUP(A547,kurspris!$A$1:$Q$798,17,FALSE)</f>
        <v>21800</v>
      </c>
      <c r="AB547" s="42">
        <f t="shared" si="305"/>
        <v>10900</v>
      </c>
      <c r="AC547" s="42">
        <f t="shared" si="306"/>
        <v>35429.050000000003</v>
      </c>
      <c r="AD547" s="31">
        <f>VLOOKUP($A547,kurspris!$A$1:$Q$835,3,FALSE)</f>
        <v>0</v>
      </c>
      <c r="AE547" s="31">
        <f>VLOOKUP($A547,kurspris!$A$1:$Q$835,4,FALSE)</f>
        <v>0</v>
      </c>
      <c r="AF547" s="31">
        <f>VLOOKUP($A547,kurspris!$A$1:$Q$835,5,FALSE)</f>
        <v>0</v>
      </c>
      <c r="AG547" s="31">
        <f>VLOOKUP($A547,kurspris!$A$1:$Q$835,6,FALSE)</f>
        <v>0</v>
      </c>
      <c r="AH547" s="31">
        <f>VLOOKUP($A547,kurspris!$A$1:$Q$835,7,FALSE)</f>
        <v>0</v>
      </c>
      <c r="AI547" s="31">
        <f>VLOOKUP($A547,kurspris!$A$1:$Q$835,8,FALSE)</f>
        <v>1</v>
      </c>
      <c r="AJ547" s="31">
        <f>VLOOKUP($A547,kurspris!$A$1:$Q$835,9,FALSE)</f>
        <v>0</v>
      </c>
      <c r="AK547" s="31">
        <f>VLOOKUP($A547,kurspris!$A$1:$Q$835,10,FALSE)</f>
        <v>0</v>
      </c>
      <c r="AL547" s="31">
        <f>VLOOKUP($A547,kurspris!$A$1:$Q$835,11,FALSE)</f>
        <v>0</v>
      </c>
      <c r="AM547" s="31">
        <f>VLOOKUP($A547,kurspris!$A$1:$Q$835,12,FALSE)</f>
        <v>0</v>
      </c>
      <c r="AN547" s="31">
        <f>VLOOKUP($A547,kurspris!$A$1:$Q$835,13,FALSE)</f>
        <v>0</v>
      </c>
      <c r="AO547" s="31">
        <f>VLOOKUP($A547,kurspris!$A$1:$Q$835,14,FALSE)</f>
        <v>0</v>
      </c>
      <c r="AP547" s="39" t="s">
        <v>2204</v>
      </c>
      <c r="AQ547"/>
      <c r="AR547" s="31">
        <f t="shared" si="307"/>
        <v>0</v>
      </c>
      <c r="AS547" s="255">
        <f t="shared" si="308"/>
        <v>0</v>
      </c>
      <c r="AT547" s="31">
        <f t="shared" si="309"/>
        <v>0</v>
      </c>
      <c r="AU547" s="255">
        <f t="shared" si="310"/>
        <v>0</v>
      </c>
      <c r="AV547" s="31">
        <f t="shared" si="311"/>
        <v>0</v>
      </c>
      <c r="AW547" s="31">
        <f t="shared" si="312"/>
        <v>0</v>
      </c>
      <c r="AX547" s="31">
        <f t="shared" si="313"/>
        <v>0</v>
      </c>
      <c r="AY547" s="255">
        <f t="shared" si="314"/>
        <v>0</v>
      </c>
      <c r="AZ547" s="232">
        <f t="shared" si="315"/>
        <v>0</v>
      </c>
      <c r="BA547" s="255">
        <f t="shared" si="316"/>
        <v>0</v>
      </c>
      <c r="BB547" s="31">
        <f t="shared" si="317"/>
        <v>0.5</v>
      </c>
      <c r="BC547" s="255">
        <f t="shared" si="318"/>
        <v>0.42499999999999999</v>
      </c>
      <c r="BD547" s="31">
        <f t="shared" si="319"/>
        <v>0</v>
      </c>
      <c r="BE547" s="255">
        <f t="shared" si="320"/>
        <v>0</v>
      </c>
      <c r="BF547" s="31">
        <f t="shared" si="321"/>
        <v>0</v>
      </c>
      <c r="BG547" s="255">
        <f t="shared" si="322"/>
        <v>0</v>
      </c>
      <c r="BH547" s="31">
        <f t="shared" si="323"/>
        <v>0</v>
      </c>
      <c r="BI547" s="255">
        <f t="shared" si="324"/>
        <v>0</v>
      </c>
      <c r="BJ547" s="31">
        <f t="shared" si="325"/>
        <v>0</v>
      </c>
      <c r="BK547" s="31">
        <f t="shared" si="326"/>
        <v>0</v>
      </c>
      <c r="BL547" s="255">
        <f t="shared" si="327"/>
        <v>0</v>
      </c>
      <c r="BM547" s="31">
        <f t="shared" si="328"/>
        <v>0</v>
      </c>
      <c r="BN547" s="255">
        <f t="shared" si="329"/>
        <v>0</v>
      </c>
    </row>
    <row r="548" spans="1:66" x14ac:dyDescent="0.25">
      <c r="A548" t="s">
        <v>1574</v>
      </c>
      <c r="B548" s="186" t="str">
        <f>VLOOKUP(A548,kurspris!$A$1:$B$877,2,FALSE)</f>
        <v>Naturorientering och teknik för förskoleklass och grundskolans årskurs 4-6</v>
      </c>
      <c r="C548"/>
      <c r="D548" t="s">
        <v>524</v>
      </c>
      <c r="E548" t="s">
        <v>1973</v>
      </c>
      <c r="F548" s="39" t="s">
        <v>1930</v>
      </c>
      <c r="G548" t="s">
        <v>1995</v>
      </c>
      <c r="H548" t="s">
        <v>1910</v>
      </c>
      <c r="I548"/>
      <c r="J548"/>
      <c r="K548"/>
      <c r="L548">
        <v>100</v>
      </c>
      <c r="M548">
        <v>30</v>
      </c>
      <c r="N548"/>
      <c r="O548"/>
      <c r="P548" s="31">
        <v>10</v>
      </c>
      <c r="Q548" s="232">
        <f t="shared" si="302"/>
        <v>5</v>
      </c>
      <c r="R548" s="40">
        <v>0.85</v>
      </c>
      <c r="S548" s="334">
        <f t="shared" si="303"/>
        <v>4.25</v>
      </c>
      <c r="T548" s="31">
        <f>VLOOKUP(A548,'Ansvar kurs'!$A$1:$C$1010,2,FALSE)</f>
        <v>5740</v>
      </c>
      <c r="U548" s="31" t="str">
        <f>VLOOKUP(T548,Orgenheter!$A$1:$C$165,2,FALSE)</f>
        <v>NMD</v>
      </c>
      <c r="V548" s="31" t="str">
        <f>VLOOKUP(T548,Orgenheter!$A$1:$C$165,3,FALSE)</f>
        <v>TekNat</v>
      </c>
      <c r="W548" s="37" t="str">
        <f>VLOOKUP(D548,Program!$A$1:$B$34,2,FALSE)</f>
        <v>Grundlärarprogrammet - grundskolans åk 4-6</v>
      </c>
      <c r="X548" s="42">
        <f>VLOOKUP(A548,kurspris!$A$1:$Q$798,15,FALSE)</f>
        <v>19473</v>
      </c>
      <c r="Y548" s="42">
        <f>VLOOKUP(A548,kurspris!$A$1:$Q$798,16,FALSE)</f>
        <v>34806</v>
      </c>
      <c r="Z548" s="42">
        <f t="shared" si="304"/>
        <v>245290.5</v>
      </c>
      <c r="AA548" s="42">
        <f>VLOOKUP(A548,kurspris!$A$1:$Q$798,17,FALSE)</f>
        <v>21800</v>
      </c>
      <c r="AB548" s="42">
        <f t="shared" si="305"/>
        <v>109000</v>
      </c>
      <c r="AC548" s="42">
        <f t="shared" si="306"/>
        <v>354290.5</v>
      </c>
      <c r="AD548" s="31">
        <f>VLOOKUP($A548,kurspris!$A$1:$Q$835,3,FALSE)</f>
        <v>0</v>
      </c>
      <c r="AE548" s="31">
        <f>VLOOKUP($A548,kurspris!$A$1:$Q$835,4,FALSE)</f>
        <v>0</v>
      </c>
      <c r="AF548" s="31">
        <f>VLOOKUP($A548,kurspris!$A$1:$Q$835,5,FALSE)</f>
        <v>0</v>
      </c>
      <c r="AG548" s="31">
        <f>VLOOKUP($A548,kurspris!$A$1:$Q$835,6,FALSE)</f>
        <v>0</v>
      </c>
      <c r="AH548" s="31">
        <f>VLOOKUP($A548,kurspris!$A$1:$Q$835,7,FALSE)</f>
        <v>0</v>
      </c>
      <c r="AI548" s="31">
        <f>VLOOKUP($A548,kurspris!$A$1:$Q$835,8,FALSE)</f>
        <v>1</v>
      </c>
      <c r="AJ548" s="31">
        <f>VLOOKUP($A548,kurspris!$A$1:$Q$835,9,FALSE)</f>
        <v>0</v>
      </c>
      <c r="AK548" s="31">
        <f>VLOOKUP($A548,kurspris!$A$1:$Q$835,10,FALSE)</f>
        <v>0</v>
      </c>
      <c r="AL548" s="31">
        <f>VLOOKUP($A548,kurspris!$A$1:$Q$835,11,FALSE)</f>
        <v>0</v>
      </c>
      <c r="AM548" s="31">
        <f>VLOOKUP($A548,kurspris!$A$1:$Q$835,12,FALSE)</f>
        <v>0</v>
      </c>
      <c r="AN548" s="31">
        <f>VLOOKUP($A548,kurspris!$A$1:$Q$835,13,FALSE)</f>
        <v>0</v>
      </c>
      <c r="AO548" s="31">
        <f>VLOOKUP($A548,kurspris!$A$1:$Q$835,14,FALSE)</f>
        <v>0</v>
      </c>
      <c r="AP548" s="39" t="s">
        <v>2204</v>
      </c>
      <c r="AQ548"/>
      <c r="AR548" s="31">
        <f t="shared" si="307"/>
        <v>0</v>
      </c>
      <c r="AS548" s="255">
        <f t="shared" si="308"/>
        <v>0</v>
      </c>
      <c r="AT548" s="31">
        <f t="shared" si="309"/>
        <v>0</v>
      </c>
      <c r="AU548" s="255">
        <f t="shared" si="310"/>
        <v>0</v>
      </c>
      <c r="AV548" s="31">
        <f t="shared" si="311"/>
        <v>0</v>
      </c>
      <c r="AW548" s="31">
        <f t="shared" si="312"/>
        <v>0</v>
      </c>
      <c r="AX548" s="31">
        <f t="shared" si="313"/>
        <v>0</v>
      </c>
      <c r="AY548" s="255">
        <f t="shared" si="314"/>
        <v>0</v>
      </c>
      <c r="AZ548" s="232">
        <f t="shared" si="315"/>
        <v>0</v>
      </c>
      <c r="BA548" s="255">
        <f t="shared" si="316"/>
        <v>0</v>
      </c>
      <c r="BB548" s="31">
        <f t="shared" si="317"/>
        <v>5</v>
      </c>
      <c r="BC548" s="255">
        <f t="shared" si="318"/>
        <v>4.25</v>
      </c>
      <c r="BD548" s="31">
        <f t="shared" si="319"/>
        <v>0</v>
      </c>
      <c r="BE548" s="255">
        <f t="shared" si="320"/>
        <v>0</v>
      </c>
      <c r="BF548" s="31">
        <f t="shared" si="321"/>
        <v>0</v>
      </c>
      <c r="BG548" s="255">
        <f t="shared" si="322"/>
        <v>0</v>
      </c>
      <c r="BH548" s="31">
        <f t="shared" si="323"/>
        <v>0</v>
      </c>
      <c r="BI548" s="255">
        <f t="shared" si="324"/>
        <v>0</v>
      </c>
      <c r="BJ548" s="31">
        <f t="shared" si="325"/>
        <v>0</v>
      </c>
      <c r="BK548" s="31">
        <f t="shared" si="326"/>
        <v>0</v>
      </c>
      <c r="BL548" s="255">
        <f t="shared" si="327"/>
        <v>0</v>
      </c>
      <c r="BM548" s="31">
        <f t="shared" si="328"/>
        <v>0</v>
      </c>
      <c r="BN548" s="255">
        <f t="shared" si="329"/>
        <v>0</v>
      </c>
    </row>
    <row r="549" spans="1:66" x14ac:dyDescent="0.25">
      <c r="A549" s="18" t="s">
        <v>1828</v>
      </c>
      <c r="B549" s="186" t="str">
        <f>VLOOKUP(A549,kurspris!$A$1:$B$877,2,FALSE)</f>
        <v>Matematik, naturvetenskap och utomhuspedagogik - Sommar</v>
      </c>
      <c r="C549" s="37"/>
      <c r="D549" t="s">
        <v>117</v>
      </c>
      <c r="E549"/>
      <c r="F549" s="59" t="s">
        <v>1930</v>
      </c>
      <c r="G549"/>
      <c r="H549"/>
      <c r="I549" t="s">
        <v>1634</v>
      </c>
      <c r="L549">
        <v>50</v>
      </c>
      <c r="M549">
        <v>7.5</v>
      </c>
      <c r="P549">
        <v>0</v>
      </c>
      <c r="Q549" s="232">
        <f t="shared" si="302"/>
        <v>0</v>
      </c>
      <c r="R549" s="40">
        <v>0.8</v>
      </c>
      <c r="S549" s="334">
        <f t="shared" si="303"/>
        <v>0</v>
      </c>
      <c r="T549" s="31">
        <f>VLOOKUP(A549,'Ansvar kurs'!$A$1:$C$1010,2,FALSE)</f>
        <v>5740</v>
      </c>
      <c r="U549" s="31" t="str">
        <f>VLOOKUP(T549,Orgenheter!$A$1:$C$165,2,FALSE)</f>
        <v>NMD</v>
      </c>
      <c r="V549" s="31" t="str">
        <f>VLOOKUP(T549,Orgenheter!$A$1:$C$165,3,FALSE)</f>
        <v>TekNat</v>
      </c>
      <c r="W549" s="37" t="str">
        <f>VLOOKUP(D549,Program!$A$1:$B$34,2,FALSE)</f>
        <v>Fristående och övriga kurser</v>
      </c>
      <c r="X549" s="42">
        <f>VLOOKUP(A549,kurspris!$A$1:$Q$798,15,FALSE)</f>
        <v>19473</v>
      </c>
      <c r="Y549" s="42">
        <f>VLOOKUP(A549,kurspris!$A$1:$Q$798,16,FALSE)</f>
        <v>34806</v>
      </c>
      <c r="Z549" s="42">
        <f t="shared" si="304"/>
        <v>0</v>
      </c>
      <c r="AA549" s="42">
        <f>VLOOKUP(A549,kurspris!$A$1:$Q$798,17,FALSE)</f>
        <v>21800</v>
      </c>
      <c r="AB549" s="42">
        <f t="shared" si="305"/>
        <v>0</v>
      </c>
      <c r="AC549" s="42">
        <f t="shared" si="306"/>
        <v>0</v>
      </c>
      <c r="AD549" s="31">
        <f>VLOOKUP($A549,kurspris!$A$1:$Q$835,3,FALSE)</f>
        <v>0</v>
      </c>
      <c r="AE549" s="31">
        <f>VLOOKUP($A549,kurspris!$A$1:$Q$835,4,FALSE)</f>
        <v>0</v>
      </c>
      <c r="AF549" s="31">
        <f>VLOOKUP($A549,kurspris!$A$1:$Q$835,5,FALSE)</f>
        <v>0</v>
      </c>
      <c r="AG549" s="31">
        <f>VLOOKUP($A549,kurspris!$A$1:$Q$835,6,FALSE)</f>
        <v>0</v>
      </c>
      <c r="AH549" s="31">
        <f>VLOOKUP($A549,kurspris!$A$1:$Q$835,7,FALSE)</f>
        <v>0</v>
      </c>
      <c r="AI549" s="31">
        <f>VLOOKUP($A549,kurspris!$A$1:$Q$835,8,FALSE)</f>
        <v>1</v>
      </c>
      <c r="AJ549" s="31">
        <f>VLOOKUP($A549,kurspris!$A$1:$Q$835,9,FALSE)</f>
        <v>0</v>
      </c>
      <c r="AK549" s="31">
        <f>VLOOKUP($A549,kurspris!$A$1:$Q$835,10,FALSE)</f>
        <v>0</v>
      </c>
      <c r="AL549" s="31">
        <f>VLOOKUP($A549,kurspris!$A$1:$Q$835,11,FALSE)</f>
        <v>0</v>
      </c>
      <c r="AM549" s="31">
        <f>VLOOKUP($A549,kurspris!$A$1:$Q$835,12,FALSE)</f>
        <v>0</v>
      </c>
      <c r="AN549" s="31">
        <f>VLOOKUP($A549,kurspris!$A$1:$Q$835,13,FALSE)</f>
        <v>0</v>
      </c>
      <c r="AO549" s="31">
        <f>VLOOKUP($A549,kurspris!$A$1:$Q$835,14,FALSE)</f>
        <v>0</v>
      </c>
      <c r="AP549" s="39" t="s">
        <v>2095</v>
      </c>
      <c r="AQ549"/>
      <c r="AR549" s="31">
        <f t="shared" si="307"/>
        <v>0</v>
      </c>
      <c r="AS549" s="255">
        <f t="shared" si="308"/>
        <v>0</v>
      </c>
      <c r="AT549" s="31">
        <f t="shared" si="309"/>
        <v>0</v>
      </c>
      <c r="AU549" s="255">
        <f t="shared" si="310"/>
        <v>0</v>
      </c>
      <c r="AV549" s="31">
        <f t="shared" si="311"/>
        <v>0</v>
      </c>
      <c r="AW549" s="31">
        <f t="shared" si="312"/>
        <v>0</v>
      </c>
      <c r="AX549" s="31">
        <f t="shared" si="313"/>
        <v>0</v>
      </c>
      <c r="AY549" s="255">
        <f t="shared" si="314"/>
        <v>0</v>
      </c>
      <c r="AZ549" s="232">
        <f t="shared" si="315"/>
        <v>0</v>
      </c>
      <c r="BA549" s="255">
        <f t="shared" si="316"/>
        <v>0</v>
      </c>
      <c r="BB549" s="31">
        <f t="shared" si="317"/>
        <v>0</v>
      </c>
      <c r="BC549" s="255">
        <f t="shared" si="318"/>
        <v>0</v>
      </c>
      <c r="BD549" s="31">
        <f t="shared" si="319"/>
        <v>0</v>
      </c>
      <c r="BE549" s="255">
        <f t="shared" si="320"/>
        <v>0</v>
      </c>
      <c r="BF549" s="31">
        <f t="shared" si="321"/>
        <v>0</v>
      </c>
      <c r="BG549" s="255">
        <f t="shared" si="322"/>
        <v>0</v>
      </c>
      <c r="BH549" s="31">
        <f t="shared" si="323"/>
        <v>0</v>
      </c>
      <c r="BI549" s="255">
        <f t="shared" si="324"/>
        <v>0</v>
      </c>
      <c r="BJ549" s="31">
        <f t="shared" si="325"/>
        <v>0</v>
      </c>
      <c r="BK549" s="31">
        <f t="shared" si="326"/>
        <v>0</v>
      </c>
      <c r="BL549" s="255">
        <f t="shared" si="327"/>
        <v>0</v>
      </c>
      <c r="BM549" s="31">
        <f t="shared" si="328"/>
        <v>0</v>
      </c>
      <c r="BN549" s="255">
        <f t="shared" si="329"/>
        <v>0</v>
      </c>
    </row>
    <row r="550" spans="1:66" x14ac:dyDescent="0.25">
      <c r="A550" s="18" t="s">
        <v>1827</v>
      </c>
      <c r="B550" s="186" t="str">
        <f>VLOOKUP(A550,kurspris!$A$1:$B$877,2,FALSE)</f>
        <v>Utomhuspedagogik, naturvetenskap och matematik i förskola, fritidshem och grundskola</v>
      </c>
      <c r="C550" s="37"/>
      <c r="D550" t="s">
        <v>117</v>
      </c>
      <c r="E550"/>
      <c r="F550" s="59" t="s">
        <v>1930</v>
      </c>
      <c r="G550"/>
      <c r="H550"/>
      <c r="I550" t="s">
        <v>1634</v>
      </c>
      <c r="L550">
        <v>25</v>
      </c>
      <c r="M550">
        <v>7.5</v>
      </c>
      <c r="P550" s="31">
        <v>3</v>
      </c>
      <c r="Q550" s="232">
        <f t="shared" si="302"/>
        <v>0.375</v>
      </c>
      <c r="R550" s="40">
        <v>0.8</v>
      </c>
      <c r="S550" s="334">
        <f t="shared" si="303"/>
        <v>0.30000000000000004</v>
      </c>
      <c r="T550" s="31">
        <f>VLOOKUP(A550,'Ansvar kurs'!$A$1:$C$1010,2,FALSE)</f>
        <v>5740</v>
      </c>
      <c r="U550" s="31" t="str">
        <f>VLOOKUP(T550,Orgenheter!$A$1:$C$165,2,FALSE)</f>
        <v>NMD</v>
      </c>
      <c r="V550" s="31" t="str">
        <f>VLOOKUP(T550,Orgenheter!$A$1:$C$165,3,FALSE)</f>
        <v>TekNat</v>
      </c>
      <c r="W550" s="37" t="str">
        <f>VLOOKUP(D550,Program!$A$1:$B$34,2,FALSE)</f>
        <v>Fristående och övriga kurser</v>
      </c>
      <c r="X550" s="42">
        <f>VLOOKUP(A550,kurspris!$A$1:$Q$798,15,FALSE)</f>
        <v>19473</v>
      </c>
      <c r="Y550" s="42">
        <f>VLOOKUP(A550,kurspris!$A$1:$Q$798,16,FALSE)</f>
        <v>34806</v>
      </c>
      <c r="Z550" s="42">
        <f t="shared" si="304"/>
        <v>17744.175000000003</v>
      </c>
      <c r="AA550" s="42">
        <f>VLOOKUP(A550,kurspris!$A$1:$Q$798,17,FALSE)</f>
        <v>21800</v>
      </c>
      <c r="AB550" s="42">
        <f t="shared" si="305"/>
        <v>8175</v>
      </c>
      <c r="AC550" s="42">
        <f t="shared" si="306"/>
        <v>25919.175000000003</v>
      </c>
      <c r="AD550" s="31">
        <f>VLOOKUP($A550,kurspris!$A$1:$Q$835,3,FALSE)</f>
        <v>0</v>
      </c>
      <c r="AE550" s="31">
        <f>VLOOKUP($A550,kurspris!$A$1:$Q$835,4,FALSE)</f>
        <v>0</v>
      </c>
      <c r="AF550" s="31">
        <f>VLOOKUP($A550,kurspris!$A$1:$Q$835,5,FALSE)</f>
        <v>0</v>
      </c>
      <c r="AG550" s="31">
        <f>VLOOKUP($A550,kurspris!$A$1:$Q$835,6,FALSE)</f>
        <v>0</v>
      </c>
      <c r="AH550" s="31">
        <f>VLOOKUP($A550,kurspris!$A$1:$Q$835,7,FALSE)</f>
        <v>0</v>
      </c>
      <c r="AI550" s="31">
        <f>VLOOKUP($A550,kurspris!$A$1:$Q$835,8,FALSE)</f>
        <v>1</v>
      </c>
      <c r="AJ550" s="31">
        <f>VLOOKUP($A550,kurspris!$A$1:$Q$835,9,FALSE)</f>
        <v>0</v>
      </c>
      <c r="AK550" s="31">
        <f>VLOOKUP($A550,kurspris!$A$1:$Q$835,10,FALSE)</f>
        <v>0</v>
      </c>
      <c r="AL550" s="31">
        <f>VLOOKUP($A550,kurspris!$A$1:$Q$835,11,FALSE)</f>
        <v>0</v>
      </c>
      <c r="AM550" s="31">
        <f>VLOOKUP($A550,kurspris!$A$1:$Q$835,12,FALSE)</f>
        <v>0</v>
      </c>
      <c r="AN550" s="31">
        <f>VLOOKUP($A550,kurspris!$A$1:$Q$835,13,FALSE)</f>
        <v>0</v>
      </c>
      <c r="AO550" s="31">
        <f>VLOOKUP($A550,kurspris!$A$1:$Q$835,14,FALSE)</f>
        <v>0</v>
      </c>
      <c r="AP550" s="39" t="s">
        <v>2204</v>
      </c>
      <c r="AQ550" s="39" t="s">
        <v>2095</v>
      </c>
      <c r="AR550" s="31">
        <f t="shared" si="307"/>
        <v>0</v>
      </c>
      <c r="AS550" s="255">
        <f t="shared" si="308"/>
        <v>0</v>
      </c>
      <c r="AT550" s="31">
        <f t="shared" si="309"/>
        <v>0</v>
      </c>
      <c r="AU550" s="255">
        <f t="shared" si="310"/>
        <v>0</v>
      </c>
      <c r="AV550" s="31">
        <f t="shared" si="311"/>
        <v>0</v>
      </c>
      <c r="AW550" s="31">
        <f t="shared" si="312"/>
        <v>0</v>
      </c>
      <c r="AX550" s="31">
        <f t="shared" si="313"/>
        <v>0</v>
      </c>
      <c r="AY550" s="255">
        <f t="shared" si="314"/>
        <v>0</v>
      </c>
      <c r="AZ550" s="232">
        <f t="shared" si="315"/>
        <v>0</v>
      </c>
      <c r="BA550" s="255">
        <f t="shared" si="316"/>
        <v>0</v>
      </c>
      <c r="BB550" s="31">
        <f t="shared" si="317"/>
        <v>0.375</v>
      </c>
      <c r="BC550" s="255">
        <f t="shared" si="318"/>
        <v>0.30000000000000004</v>
      </c>
      <c r="BD550" s="31">
        <f t="shared" si="319"/>
        <v>0</v>
      </c>
      <c r="BE550" s="255">
        <f t="shared" si="320"/>
        <v>0</v>
      </c>
      <c r="BF550" s="31">
        <f t="shared" si="321"/>
        <v>0</v>
      </c>
      <c r="BG550" s="255">
        <f t="shared" si="322"/>
        <v>0</v>
      </c>
      <c r="BH550" s="31">
        <f t="shared" si="323"/>
        <v>0</v>
      </c>
      <c r="BI550" s="255">
        <f t="shared" si="324"/>
        <v>0</v>
      </c>
      <c r="BJ550" s="31">
        <f t="shared" si="325"/>
        <v>0</v>
      </c>
      <c r="BK550" s="31">
        <f t="shared" si="326"/>
        <v>0</v>
      </c>
      <c r="BL550" s="255">
        <f t="shared" si="327"/>
        <v>0</v>
      </c>
      <c r="BM550" s="31">
        <f t="shared" si="328"/>
        <v>0</v>
      </c>
      <c r="BN550" s="255">
        <f t="shared" si="329"/>
        <v>0</v>
      </c>
    </row>
    <row r="551" spans="1:66" x14ac:dyDescent="0.25">
      <c r="A551" s="18" t="s">
        <v>1864</v>
      </c>
      <c r="B551" s="186" t="str">
        <f>VLOOKUP(A551,kurspris!$A$1:$B$877,2,FALSE)</f>
        <v>Naturvetenskap och teknik i förskolan</v>
      </c>
      <c r="C551" s="37"/>
      <c r="D551" s="31" t="s">
        <v>484</v>
      </c>
      <c r="E551" s="31" t="s">
        <v>1973</v>
      </c>
      <c r="F551" s="59" t="s">
        <v>1931</v>
      </c>
      <c r="G551" s="31" t="s">
        <v>2271</v>
      </c>
      <c r="L551" s="31">
        <v>100</v>
      </c>
      <c r="M551" s="31">
        <v>15</v>
      </c>
      <c r="P551" s="31">
        <v>1</v>
      </c>
      <c r="Q551" s="232">
        <f t="shared" si="302"/>
        <v>0.25</v>
      </c>
      <c r="R551" s="40">
        <v>0.85</v>
      </c>
      <c r="S551" s="334">
        <f t="shared" si="303"/>
        <v>0.21249999999999999</v>
      </c>
      <c r="T551" s="31">
        <f>VLOOKUP(A551,'Ansvar kurs'!$A$1:$C$1010,2,FALSE)</f>
        <v>5740</v>
      </c>
      <c r="U551" s="31" t="str">
        <f>VLOOKUP(T551,Orgenheter!$A$1:$C$165,2,FALSE)</f>
        <v>NMD</v>
      </c>
      <c r="V551" s="31" t="str">
        <f>VLOOKUP(T551,Orgenheter!$A$1:$C$165,3,FALSE)</f>
        <v>TekNat</v>
      </c>
      <c r="W551" s="37" t="str">
        <f>VLOOKUP(D551,Program!$A$1:$B$34,2,FALSE)</f>
        <v>Förskollärarprogrammet</v>
      </c>
      <c r="X551" s="42">
        <f>VLOOKUP(A551,kurspris!$A$1:$Q$798,15,FALSE)</f>
        <v>19473</v>
      </c>
      <c r="Y551" s="42">
        <f>VLOOKUP(A551,kurspris!$A$1:$Q$798,16,FALSE)</f>
        <v>34806</v>
      </c>
      <c r="Z551" s="42">
        <f t="shared" si="304"/>
        <v>12264.525</v>
      </c>
      <c r="AA551" s="42">
        <f>VLOOKUP(A551,kurspris!$A$1:$Q$798,17,FALSE)</f>
        <v>21800</v>
      </c>
      <c r="AB551" s="42">
        <f t="shared" si="305"/>
        <v>5450</v>
      </c>
      <c r="AC551" s="42">
        <f t="shared" si="306"/>
        <v>17714.525000000001</v>
      </c>
      <c r="AD551" s="31">
        <f>VLOOKUP($A551,kurspris!$A$1:$Q$835,3,FALSE)</f>
        <v>0</v>
      </c>
      <c r="AE551" s="31">
        <f>VLOOKUP($A551,kurspris!$A$1:$Q$835,4,FALSE)</f>
        <v>0</v>
      </c>
      <c r="AF551" s="31">
        <f>VLOOKUP($A551,kurspris!$A$1:$Q$835,5,FALSE)</f>
        <v>0</v>
      </c>
      <c r="AG551" s="31">
        <f>VLOOKUP($A551,kurspris!$A$1:$Q$835,6,FALSE)</f>
        <v>0</v>
      </c>
      <c r="AH551" s="31">
        <f>VLOOKUP($A551,kurspris!$A$1:$Q$835,7,FALSE)</f>
        <v>0</v>
      </c>
      <c r="AI551" s="31">
        <f>VLOOKUP($A551,kurspris!$A$1:$Q$835,8,FALSE)</f>
        <v>1</v>
      </c>
      <c r="AJ551" s="31">
        <f>VLOOKUP($A551,kurspris!$A$1:$Q$835,9,FALSE)</f>
        <v>0</v>
      </c>
      <c r="AK551" s="31">
        <f>VLOOKUP($A551,kurspris!$A$1:$Q$835,10,FALSE)</f>
        <v>0</v>
      </c>
      <c r="AL551" s="31">
        <f>VLOOKUP($A551,kurspris!$A$1:$Q$835,11,FALSE)</f>
        <v>0</v>
      </c>
      <c r="AM551" s="31">
        <f>VLOOKUP($A551,kurspris!$A$1:$Q$835,12,FALSE)</f>
        <v>0</v>
      </c>
      <c r="AN551" s="31">
        <f>VLOOKUP($A551,kurspris!$A$1:$Q$835,13,FALSE)</f>
        <v>0</v>
      </c>
      <c r="AO551" s="31">
        <f>VLOOKUP($A551,kurspris!$A$1:$Q$835,14,FALSE)</f>
        <v>0</v>
      </c>
      <c r="AP551" s="39" t="s">
        <v>2326</v>
      </c>
      <c r="AQ551"/>
      <c r="AR551" s="31">
        <f t="shared" si="307"/>
        <v>0</v>
      </c>
      <c r="AS551" s="255">
        <f t="shared" si="308"/>
        <v>0</v>
      </c>
      <c r="AT551" s="31">
        <f t="shared" si="309"/>
        <v>0</v>
      </c>
      <c r="AU551" s="255">
        <f t="shared" si="310"/>
        <v>0</v>
      </c>
      <c r="AV551" s="31">
        <f t="shared" si="311"/>
        <v>0</v>
      </c>
      <c r="AW551" s="31">
        <f t="shared" si="312"/>
        <v>0</v>
      </c>
      <c r="AX551" s="31">
        <f t="shared" si="313"/>
        <v>0</v>
      </c>
      <c r="AY551" s="255">
        <f t="shared" si="314"/>
        <v>0</v>
      </c>
      <c r="AZ551" s="232">
        <f t="shared" si="315"/>
        <v>0</v>
      </c>
      <c r="BA551" s="255">
        <f t="shared" si="316"/>
        <v>0</v>
      </c>
      <c r="BB551" s="31">
        <f t="shared" si="317"/>
        <v>0.25</v>
      </c>
      <c r="BC551" s="255">
        <f t="shared" si="318"/>
        <v>0.21249999999999999</v>
      </c>
      <c r="BD551" s="31">
        <f t="shared" si="319"/>
        <v>0</v>
      </c>
      <c r="BE551" s="255">
        <f t="shared" si="320"/>
        <v>0</v>
      </c>
      <c r="BF551" s="31">
        <f t="shared" si="321"/>
        <v>0</v>
      </c>
      <c r="BG551" s="255">
        <f t="shared" si="322"/>
        <v>0</v>
      </c>
      <c r="BH551" s="31">
        <f t="shared" si="323"/>
        <v>0</v>
      </c>
      <c r="BI551" s="255">
        <f t="shared" si="324"/>
        <v>0</v>
      </c>
      <c r="BJ551" s="31">
        <f t="shared" si="325"/>
        <v>0</v>
      </c>
      <c r="BK551" s="31">
        <f t="shared" si="326"/>
        <v>0</v>
      </c>
      <c r="BL551" s="255">
        <f t="shared" si="327"/>
        <v>0</v>
      </c>
      <c r="BM551" s="31">
        <f t="shared" si="328"/>
        <v>0</v>
      </c>
      <c r="BN551" s="255">
        <f t="shared" si="329"/>
        <v>0</v>
      </c>
    </row>
    <row r="552" spans="1:66" x14ac:dyDescent="0.25">
      <c r="A552" s="18" t="s">
        <v>1864</v>
      </c>
      <c r="B552" s="186" t="str">
        <f>VLOOKUP(A552,kurspris!$A$1:$B$877,2,FALSE)</f>
        <v>Naturvetenskap och teknik i förskolan</v>
      </c>
      <c r="C552" s="37"/>
      <c r="D552" s="31" t="s">
        <v>484</v>
      </c>
      <c r="E552" s="31" t="s">
        <v>1609</v>
      </c>
      <c r="F552" s="59" t="s">
        <v>1931</v>
      </c>
      <c r="G552" s="31" t="s">
        <v>2271</v>
      </c>
      <c r="L552" s="31">
        <v>100</v>
      </c>
      <c r="M552" s="31">
        <v>15</v>
      </c>
      <c r="P552" s="31">
        <v>31</v>
      </c>
      <c r="Q552" s="232">
        <f t="shared" si="302"/>
        <v>7.75</v>
      </c>
      <c r="R552" s="40">
        <v>0.85</v>
      </c>
      <c r="S552" s="334">
        <f t="shared" si="303"/>
        <v>6.5874999999999995</v>
      </c>
      <c r="T552" s="31">
        <f>VLOOKUP(A552,'Ansvar kurs'!$A$1:$C$1010,2,FALSE)</f>
        <v>5740</v>
      </c>
      <c r="U552" s="31" t="str">
        <f>VLOOKUP(T552,Orgenheter!$A$1:$C$165,2,FALSE)</f>
        <v>NMD</v>
      </c>
      <c r="V552" s="31" t="str">
        <f>VLOOKUP(T552,Orgenheter!$A$1:$C$165,3,FALSE)</f>
        <v>TekNat</v>
      </c>
      <c r="W552" s="37" t="str">
        <f>VLOOKUP(D552,Program!$A$1:$B$34,2,FALSE)</f>
        <v>Förskollärarprogrammet</v>
      </c>
      <c r="X552" s="42">
        <f>VLOOKUP(A552,kurspris!$A$1:$Q$798,15,FALSE)</f>
        <v>19473</v>
      </c>
      <c r="Y552" s="42">
        <f>VLOOKUP(A552,kurspris!$A$1:$Q$798,16,FALSE)</f>
        <v>34806</v>
      </c>
      <c r="Z552" s="42">
        <f t="shared" si="304"/>
        <v>380200.27500000002</v>
      </c>
      <c r="AA552" s="42">
        <f>VLOOKUP(A552,kurspris!$A$1:$Q$798,17,FALSE)</f>
        <v>21800</v>
      </c>
      <c r="AB552" s="42">
        <f t="shared" si="305"/>
        <v>168950</v>
      </c>
      <c r="AC552" s="42">
        <f t="shared" si="306"/>
        <v>549150.27500000002</v>
      </c>
      <c r="AD552" s="31">
        <f>VLOOKUP($A552,kurspris!$A$1:$Q$835,3,FALSE)</f>
        <v>0</v>
      </c>
      <c r="AE552" s="31">
        <f>VLOOKUP($A552,kurspris!$A$1:$Q$835,4,FALSE)</f>
        <v>0</v>
      </c>
      <c r="AF552" s="31">
        <f>VLOOKUP($A552,kurspris!$A$1:$Q$835,5,FALSE)</f>
        <v>0</v>
      </c>
      <c r="AG552" s="31">
        <f>VLOOKUP($A552,kurspris!$A$1:$Q$835,6,FALSE)</f>
        <v>0</v>
      </c>
      <c r="AH552" s="31">
        <f>VLOOKUP($A552,kurspris!$A$1:$Q$835,7,FALSE)</f>
        <v>0</v>
      </c>
      <c r="AI552" s="31">
        <f>VLOOKUP($A552,kurspris!$A$1:$Q$835,8,FALSE)</f>
        <v>1</v>
      </c>
      <c r="AJ552" s="31">
        <f>VLOOKUP($A552,kurspris!$A$1:$Q$835,9,FALSE)</f>
        <v>0</v>
      </c>
      <c r="AK552" s="31">
        <f>VLOOKUP($A552,kurspris!$A$1:$Q$835,10,FALSE)</f>
        <v>0</v>
      </c>
      <c r="AL552" s="31">
        <f>VLOOKUP($A552,kurspris!$A$1:$Q$835,11,FALSE)</f>
        <v>0</v>
      </c>
      <c r="AM552" s="31">
        <f>VLOOKUP($A552,kurspris!$A$1:$Q$835,12,FALSE)</f>
        <v>0</v>
      </c>
      <c r="AN552" s="31">
        <f>VLOOKUP($A552,kurspris!$A$1:$Q$835,13,FALSE)</f>
        <v>0</v>
      </c>
      <c r="AO552" s="31">
        <f>VLOOKUP($A552,kurspris!$A$1:$Q$835,14,FALSE)</f>
        <v>0</v>
      </c>
      <c r="AP552" s="39" t="s">
        <v>2326</v>
      </c>
      <c r="AQ552"/>
      <c r="AR552" s="31">
        <f t="shared" si="307"/>
        <v>0</v>
      </c>
      <c r="AS552" s="255">
        <f t="shared" si="308"/>
        <v>0</v>
      </c>
      <c r="AT552" s="31">
        <f t="shared" si="309"/>
        <v>0</v>
      </c>
      <c r="AU552" s="255">
        <f t="shared" si="310"/>
        <v>0</v>
      </c>
      <c r="AV552" s="31">
        <f t="shared" si="311"/>
        <v>0</v>
      </c>
      <c r="AW552" s="31">
        <f t="shared" si="312"/>
        <v>0</v>
      </c>
      <c r="AX552" s="31">
        <f t="shared" si="313"/>
        <v>0</v>
      </c>
      <c r="AY552" s="255">
        <f t="shared" si="314"/>
        <v>0</v>
      </c>
      <c r="AZ552" s="232">
        <f t="shared" si="315"/>
        <v>0</v>
      </c>
      <c r="BA552" s="255">
        <f t="shared" si="316"/>
        <v>0</v>
      </c>
      <c r="BB552" s="31">
        <f t="shared" si="317"/>
        <v>7.75</v>
      </c>
      <c r="BC552" s="255">
        <f t="shared" si="318"/>
        <v>6.5874999999999995</v>
      </c>
      <c r="BD552" s="31">
        <f t="shared" si="319"/>
        <v>0</v>
      </c>
      <c r="BE552" s="255">
        <f t="shared" si="320"/>
        <v>0</v>
      </c>
      <c r="BF552" s="31">
        <f t="shared" si="321"/>
        <v>0</v>
      </c>
      <c r="BG552" s="255">
        <f t="shared" si="322"/>
        <v>0</v>
      </c>
      <c r="BH552" s="31">
        <f t="shared" si="323"/>
        <v>0</v>
      </c>
      <c r="BI552" s="255">
        <f t="shared" si="324"/>
        <v>0</v>
      </c>
      <c r="BJ552" s="31">
        <f t="shared" si="325"/>
        <v>0</v>
      </c>
      <c r="BK552" s="31">
        <f t="shared" si="326"/>
        <v>0</v>
      </c>
      <c r="BL552" s="255">
        <f t="shared" si="327"/>
        <v>0</v>
      </c>
      <c r="BM552" s="31">
        <f t="shared" si="328"/>
        <v>0</v>
      </c>
      <c r="BN552" s="255">
        <f t="shared" si="329"/>
        <v>0</v>
      </c>
    </row>
    <row r="553" spans="1:66" x14ac:dyDescent="0.25">
      <c r="A553" t="s">
        <v>1864</v>
      </c>
      <c r="B553" s="186" t="str">
        <f>VLOOKUP(A553,kurspris!$A$1:$B$877,2,FALSE)</f>
        <v>Naturvetenskap och teknik i förskolan</v>
      </c>
      <c r="C553"/>
      <c r="D553" t="s">
        <v>484</v>
      </c>
      <c r="E553" t="s">
        <v>1608</v>
      </c>
      <c r="F553" s="39" t="s">
        <v>1930</v>
      </c>
      <c r="G553" t="s">
        <v>1980</v>
      </c>
      <c r="H553" t="s">
        <v>1910</v>
      </c>
      <c r="I553"/>
      <c r="J553"/>
      <c r="K553"/>
      <c r="L553">
        <v>100</v>
      </c>
      <c r="M553">
        <v>15</v>
      </c>
      <c r="N553"/>
      <c r="O553"/>
      <c r="P553" s="31">
        <v>22</v>
      </c>
      <c r="Q553" s="232">
        <f t="shared" si="302"/>
        <v>5.5</v>
      </c>
      <c r="R553" s="40">
        <v>0.85</v>
      </c>
      <c r="S553" s="334">
        <f t="shared" si="303"/>
        <v>4.6749999999999998</v>
      </c>
      <c r="T553" s="31">
        <f>VLOOKUP(A553,'Ansvar kurs'!$A$1:$C$1010,2,FALSE)</f>
        <v>5740</v>
      </c>
      <c r="U553" s="31" t="str">
        <f>VLOOKUP(T553,Orgenheter!$A$1:$C$165,2,FALSE)</f>
        <v>NMD</v>
      </c>
      <c r="V553" s="31" t="str">
        <f>VLOOKUP(T553,Orgenheter!$A$1:$C$165,3,FALSE)</f>
        <v>TekNat</v>
      </c>
      <c r="W553" s="37" t="str">
        <f>VLOOKUP(D553,Program!$A$1:$B$34,2,FALSE)</f>
        <v>Förskollärarprogrammet</v>
      </c>
      <c r="X553" s="42">
        <f>VLOOKUP(A553,kurspris!$A$1:$Q$798,15,FALSE)</f>
        <v>19473</v>
      </c>
      <c r="Y553" s="42">
        <f>VLOOKUP(A553,kurspris!$A$1:$Q$798,16,FALSE)</f>
        <v>34806</v>
      </c>
      <c r="Z553" s="42">
        <f t="shared" si="304"/>
        <v>269819.55</v>
      </c>
      <c r="AA553" s="42">
        <f>VLOOKUP(A553,kurspris!$A$1:$Q$798,17,FALSE)</f>
        <v>21800</v>
      </c>
      <c r="AB553" s="42">
        <f t="shared" si="305"/>
        <v>119900</v>
      </c>
      <c r="AC553" s="42">
        <f t="shared" si="306"/>
        <v>389719.55</v>
      </c>
      <c r="AD553" s="31">
        <f>VLOOKUP($A553,kurspris!$A$1:$Q$835,3,FALSE)</f>
        <v>0</v>
      </c>
      <c r="AE553" s="31">
        <f>VLOOKUP($A553,kurspris!$A$1:$Q$835,4,FALSE)</f>
        <v>0</v>
      </c>
      <c r="AF553" s="31">
        <f>VLOOKUP($A553,kurspris!$A$1:$Q$835,5,FALSE)</f>
        <v>0</v>
      </c>
      <c r="AG553" s="31">
        <f>VLOOKUP($A553,kurspris!$A$1:$Q$835,6,FALSE)</f>
        <v>0</v>
      </c>
      <c r="AH553" s="31">
        <f>VLOOKUP($A553,kurspris!$A$1:$Q$835,7,FALSE)</f>
        <v>0</v>
      </c>
      <c r="AI553" s="31">
        <f>VLOOKUP($A553,kurspris!$A$1:$Q$835,8,FALSE)</f>
        <v>1</v>
      </c>
      <c r="AJ553" s="31">
        <f>VLOOKUP($A553,kurspris!$A$1:$Q$835,9,FALSE)</f>
        <v>0</v>
      </c>
      <c r="AK553" s="31">
        <f>VLOOKUP($A553,kurspris!$A$1:$Q$835,10,FALSE)</f>
        <v>0</v>
      </c>
      <c r="AL553" s="31">
        <f>VLOOKUP($A553,kurspris!$A$1:$Q$835,11,FALSE)</f>
        <v>0</v>
      </c>
      <c r="AM553" s="31">
        <f>VLOOKUP($A553,kurspris!$A$1:$Q$835,12,FALSE)</f>
        <v>0</v>
      </c>
      <c r="AN553" s="31">
        <f>VLOOKUP($A553,kurspris!$A$1:$Q$835,13,FALSE)</f>
        <v>0</v>
      </c>
      <c r="AO553" s="31">
        <f>VLOOKUP($A553,kurspris!$A$1:$Q$835,14,FALSE)</f>
        <v>0</v>
      </c>
      <c r="AP553" s="39" t="s">
        <v>2235</v>
      </c>
      <c r="AQ553"/>
      <c r="AR553" s="31">
        <f t="shared" si="307"/>
        <v>0</v>
      </c>
      <c r="AS553" s="255">
        <f t="shared" si="308"/>
        <v>0</v>
      </c>
      <c r="AT553" s="31">
        <f t="shared" si="309"/>
        <v>0</v>
      </c>
      <c r="AU553" s="255">
        <f t="shared" si="310"/>
        <v>0</v>
      </c>
      <c r="AV553" s="31">
        <f t="shared" si="311"/>
        <v>0</v>
      </c>
      <c r="AW553" s="31">
        <f t="shared" si="312"/>
        <v>0</v>
      </c>
      <c r="AX553" s="31">
        <f t="shared" si="313"/>
        <v>0</v>
      </c>
      <c r="AY553" s="255">
        <f t="shared" si="314"/>
        <v>0</v>
      </c>
      <c r="AZ553" s="232">
        <f t="shared" si="315"/>
        <v>0</v>
      </c>
      <c r="BA553" s="255">
        <f t="shared" si="316"/>
        <v>0</v>
      </c>
      <c r="BB553" s="31">
        <f t="shared" si="317"/>
        <v>5.5</v>
      </c>
      <c r="BC553" s="255">
        <f t="shared" si="318"/>
        <v>4.6749999999999998</v>
      </c>
      <c r="BD553" s="31">
        <f t="shared" si="319"/>
        <v>0</v>
      </c>
      <c r="BE553" s="255">
        <f t="shared" si="320"/>
        <v>0</v>
      </c>
      <c r="BF553" s="31">
        <f t="shared" si="321"/>
        <v>0</v>
      </c>
      <c r="BG553" s="255">
        <f t="shared" si="322"/>
        <v>0</v>
      </c>
      <c r="BH553" s="31">
        <f t="shared" si="323"/>
        <v>0</v>
      </c>
      <c r="BI553" s="255">
        <f t="shared" si="324"/>
        <v>0</v>
      </c>
      <c r="BJ553" s="31">
        <f t="shared" si="325"/>
        <v>0</v>
      </c>
      <c r="BK553" s="31">
        <f t="shared" si="326"/>
        <v>0</v>
      </c>
      <c r="BL553" s="255">
        <f t="shared" si="327"/>
        <v>0</v>
      </c>
      <c r="BM553" s="31">
        <f t="shared" si="328"/>
        <v>0</v>
      </c>
      <c r="BN553" s="255">
        <f t="shared" si="329"/>
        <v>0</v>
      </c>
    </row>
    <row r="554" spans="1:66" x14ac:dyDescent="0.25">
      <c r="A554" s="18" t="s">
        <v>1864</v>
      </c>
      <c r="B554" s="186" t="str">
        <f>VLOOKUP(A554,kurspris!$A$1:$B$877,2,FALSE)</f>
        <v>Naturvetenskap och teknik i förskolan</v>
      </c>
      <c r="C554" s="37"/>
      <c r="D554" s="31" t="s">
        <v>484</v>
      </c>
      <c r="E554" s="31" t="s">
        <v>1608</v>
      </c>
      <c r="F554" s="59" t="s">
        <v>1931</v>
      </c>
      <c r="G554" s="31" t="s">
        <v>2271</v>
      </c>
      <c r="L554" s="31">
        <v>100</v>
      </c>
      <c r="M554" s="31">
        <v>15</v>
      </c>
      <c r="P554" s="31">
        <v>1</v>
      </c>
      <c r="Q554" s="232">
        <f t="shared" si="302"/>
        <v>0.25</v>
      </c>
      <c r="R554" s="40">
        <v>0.85</v>
      </c>
      <c r="S554" s="334">
        <f t="shared" si="303"/>
        <v>0.21249999999999999</v>
      </c>
      <c r="T554" s="31">
        <f>VLOOKUP(A554,'Ansvar kurs'!$A$1:$C$1010,2,FALSE)</f>
        <v>5740</v>
      </c>
      <c r="U554" s="31" t="str">
        <f>VLOOKUP(T554,Orgenheter!$A$1:$C$165,2,FALSE)</f>
        <v>NMD</v>
      </c>
      <c r="V554" s="31" t="str">
        <f>VLOOKUP(T554,Orgenheter!$A$1:$C$165,3,FALSE)</f>
        <v>TekNat</v>
      </c>
      <c r="W554" s="37" t="str">
        <f>VLOOKUP(D554,Program!$A$1:$B$34,2,FALSE)</f>
        <v>Förskollärarprogrammet</v>
      </c>
      <c r="X554" s="42">
        <f>VLOOKUP(A554,kurspris!$A$1:$Q$798,15,FALSE)</f>
        <v>19473</v>
      </c>
      <c r="Y554" s="42">
        <f>VLOOKUP(A554,kurspris!$A$1:$Q$798,16,FALSE)</f>
        <v>34806</v>
      </c>
      <c r="Z554" s="42">
        <f t="shared" si="304"/>
        <v>12264.525</v>
      </c>
      <c r="AA554" s="42">
        <f>VLOOKUP(A554,kurspris!$A$1:$Q$798,17,FALSE)</f>
        <v>21800</v>
      </c>
      <c r="AB554" s="42">
        <f t="shared" si="305"/>
        <v>5450</v>
      </c>
      <c r="AC554" s="42">
        <f t="shared" si="306"/>
        <v>17714.525000000001</v>
      </c>
      <c r="AD554" s="31">
        <f>VLOOKUP($A554,kurspris!$A$1:$Q$835,3,FALSE)</f>
        <v>0</v>
      </c>
      <c r="AE554" s="31">
        <f>VLOOKUP($A554,kurspris!$A$1:$Q$835,4,FALSE)</f>
        <v>0</v>
      </c>
      <c r="AF554" s="31">
        <f>VLOOKUP($A554,kurspris!$A$1:$Q$835,5,FALSE)</f>
        <v>0</v>
      </c>
      <c r="AG554" s="31">
        <f>VLOOKUP($A554,kurspris!$A$1:$Q$835,6,FALSE)</f>
        <v>0</v>
      </c>
      <c r="AH554" s="31">
        <f>VLOOKUP($A554,kurspris!$A$1:$Q$835,7,FALSE)</f>
        <v>0</v>
      </c>
      <c r="AI554" s="31">
        <f>VLOOKUP($A554,kurspris!$A$1:$Q$835,8,FALSE)</f>
        <v>1</v>
      </c>
      <c r="AJ554" s="31">
        <f>VLOOKUP($A554,kurspris!$A$1:$Q$835,9,FALSE)</f>
        <v>0</v>
      </c>
      <c r="AK554" s="31">
        <f>VLOOKUP($A554,kurspris!$A$1:$Q$835,10,FALSE)</f>
        <v>0</v>
      </c>
      <c r="AL554" s="31">
        <f>VLOOKUP($A554,kurspris!$A$1:$Q$835,11,FALSE)</f>
        <v>0</v>
      </c>
      <c r="AM554" s="31">
        <f>VLOOKUP($A554,kurspris!$A$1:$Q$835,12,FALSE)</f>
        <v>0</v>
      </c>
      <c r="AN554" s="31">
        <f>VLOOKUP($A554,kurspris!$A$1:$Q$835,13,FALSE)</f>
        <v>0</v>
      </c>
      <c r="AO554" s="31">
        <f>VLOOKUP($A554,kurspris!$A$1:$Q$835,14,FALSE)</f>
        <v>0</v>
      </c>
      <c r="AP554" s="39" t="s">
        <v>2326</v>
      </c>
      <c r="AQ554"/>
      <c r="AR554" s="31">
        <f t="shared" si="307"/>
        <v>0</v>
      </c>
      <c r="AS554" s="255">
        <f t="shared" si="308"/>
        <v>0</v>
      </c>
      <c r="AT554" s="31">
        <f t="shared" si="309"/>
        <v>0</v>
      </c>
      <c r="AU554" s="255">
        <f t="shared" si="310"/>
        <v>0</v>
      </c>
      <c r="AV554" s="31">
        <f t="shared" si="311"/>
        <v>0</v>
      </c>
      <c r="AW554" s="31">
        <f t="shared" si="312"/>
        <v>0</v>
      </c>
      <c r="AX554" s="31">
        <f t="shared" si="313"/>
        <v>0</v>
      </c>
      <c r="AY554" s="255">
        <f t="shared" si="314"/>
        <v>0</v>
      </c>
      <c r="AZ554" s="232">
        <f t="shared" si="315"/>
        <v>0</v>
      </c>
      <c r="BA554" s="255">
        <f t="shared" si="316"/>
        <v>0</v>
      </c>
      <c r="BB554" s="31">
        <f t="shared" si="317"/>
        <v>0.25</v>
      </c>
      <c r="BC554" s="255">
        <f t="shared" si="318"/>
        <v>0.21249999999999999</v>
      </c>
      <c r="BD554" s="31">
        <f t="shared" si="319"/>
        <v>0</v>
      </c>
      <c r="BE554" s="255">
        <f t="shared" si="320"/>
        <v>0</v>
      </c>
      <c r="BF554" s="31">
        <f t="shared" si="321"/>
        <v>0</v>
      </c>
      <c r="BG554" s="255">
        <f t="shared" si="322"/>
        <v>0</v>
      </c>
      <c r="BH554" s="31">
        <f t="shared" si="323"/>
        <v>0</v>
      </c>
      <c r="BI554" s="255">
        <f t="shared" si="324"/>
        <v>0</v>
      </c>
      <c r="BJ554" s="31">
        <f t="shared" si="325"/>
        <v>0</v>
      </c>
      <c r="BK554" s="31">
        <f t="shared" si="326"/>
        <v>0</v>
      </c>
      <c r="BL554" s="255">
        <f t="shared" si="327"/>
        <v>0</v>
      </c>
      <c r="BM554" s="31">
        <f t="shared" si="328"/>
        <v>0</v>
      </c>
      <c r="BN554" s="255">
        <f t="shared" si="329"/>
        <v>0</v>
      </c>
    </row>
    <row r="555" spans="1:66" x14ac:dyDescent="0.25">
      <c r="A555" s="258" t="s">
        <v>2248</v>
      </c>
      <c r="B555" s="186" t="str">
        <f>VLOOKUP(A555,kurspris!$A$1:$B$877,2,FALSE)</f>
        <v>Utomhuspedagogik och naturvetenskap - Sommar</v>
      </c>
      <c r="C555" s="37"/>
      <c r="D555" t="s">
        <v>117</v>
      </c>
      <c r="E555"/>
      <c r="F555" s="59" t="s">
        <v>2093</v>
      </c>
      <c r="G555" t="s">
        <v>2065</v>
      </c>
      <c r="H555"/>
      <c r="I555" s="18" t="s">
        <v>1634</v>
      </c>
      <c r="J555" s="159"/>
      <c r="K555" s="159"/>
      <c r="L555">
        <v>50</v>
      </c>
      <c r="M555">
        <v>7.5</v>
      </c>
      <c r="P555" s="501">
        <v>17</v>
      </c>
      <c r="Q555" s="232">
        <f t="shared" si="302"/>
        <v>2.125</v>
      </c>
      <c r="R555" s="40">
        <v>0.8</v>
      </c>
      <c r="S555" s="334">
        <f t="shared" si="303"/>
        <v>1.7000000000000002</v>
      </c>
      <c r="T555" s="31">
        <f>VLOOKUP(A555,'Ansvar kurs'!$A$1:$C$1010,2,FALSE)</f>
        <v>5740</v>
      </c>
      <c r="U555" s="31" t="str">
        <f>VLOOKUP(T555,Orgenheter!$A$1:$C$165,2,FALSE)</f>
        <v>NMD</v>
      </c>
      <c r="V555" s="31" t="str">
        <f>VLOOKUP(T555,Orgenheter!$A$1:$C$165,3,FALSE)</f>
        <v>TekNat</v>
      </c>
      <c r="W555" s="37" t="str">
        <f>VLOOKUP(D555,Program!$A$1:$B$34,2,FALSE)</f>
        <v>Fristående och övriga kurser</v>
      </c>
      <c r="X555" s="42">
        <f>VLOOKUP(A555,kurspris!$A$1:$Q$798,15,FALSE)</f>
        <v>19473</v>
      </c>
      <c r="Y555" s="42">
        <f>VLOOKUP(A555,kurspris!$A$1:$Q$798,16,FALSE)</f>
        <v>34806</v>
      </c>
      <c r="Z555" s="42">
        <f t="shared" si="304"/>
        <v>100550.32500000001</v>
      </c>
      <c r="AA555" s="42">
        <f>VLOOKUP(A555,kurspris!$A$1:$Q$798,17,FALSE)</f>
        <v>21800</v>
      </c>
      <c r="AB555" s="42">
        <f t="shared" si="305"/>
        <v>46325</v>
      </c>
      <c r="AC555" s="42">
        <f t="shared" si="306"/>
        <v>146875.32500000001</v>
      </c>
      <c r="AD555" s="31">
        <f>VLOOKUP($A555,kurspris!$A$1:$Q$835,3,FALSE)</f>
        <v>0</v>
      </c>
      <c r="AE555" s="31">
        <f>VLOOKUP($A555,kurspris!$A$1:$Q$835,4,FALSE)</f>
        <v>0</v>
      </c>
      <c r="AF555" s="31">
        <f>VLOOKUP($A555,kurspris!$A$1:$Q$835,5,FALSE)</f>
        <v>0</v>
      </c>
      <c r="AG555" s="31">
        <f>VLOOKUP($A555,kurspris!$A$1:$Q$835,6,FALSE)</f>
        <v>0</v>
      </c>
      <c r="AH555" s="31">
        <f>VLOOKUP($A555,kurspris!$A$1:$Q$835,7,FALSE)</f>
        <v>0</v>
      </c>
      <c r="AI555" s="31">
        <f>VLOOKUP($A555,kurspris!$A$1:$Q$835,8,FALSE)</f>
        <v>1</v>
      </c>
      <c r="AJ555" s="31">
        <f>VLOOKUP($A555,kurspris!$A$1:$Q$835,9,FALSE)</f>
        <v>0</v>
      </c>
      <c r="AK555" s="31">
        <f>VLOOKUP($A555,kurspris!$A$1:$Q$835,10,FALSE)</f>
        <v>0</v>
      </c>
      <c r="AL555" s="31">
        <f>VLOOKUP($A555,kurspris!$A$1:$Q$835,11,FALSE)</f>
        <v>0</v>
      </c>
      <c r="AM555" s="31">
        <f>VLOOKUP($A555,kurspris!$A$1:$Q$835,12,FALSE)</f>
        <v>0</v>
      </c>
      <c r="AN555" s="31">
        <f>VLOOKUP($A555,kurspris!$A$1:$Q$835,13,FALSE)</f>
        <v>0</v>
      </c>
      <c r="AO555" s="31">
        <f>VLOOKUP($A555,kurspris!$A$1:$Q$835,14,FALSE)</f>
        <v>0</v>
      </c>
      <c r="AP555" s="39" t="s">
        <v>2250</v>
      </c>
      <c r="AQ555" s="39" t="s">
        <v>2095</v>
      </c>
      <c r="AR555" s="31">
        <f t="shared" si="307"/>
        <v>0</v>
      </c>
      <c r="AS555" s="255">
        <f t="shared" si="308"/>
        <v>0</v>
      </c>
      <c r="AT555" s="31">
        <f t="shared" si="309"/>
        <v>0</v>
      </c>
      <c r="AU555" s="255">
        <f t="shared" si="310"/>
        <v>0</v>
      </c>
      <c r="AV555" s="31">
        <f t="shared" si="311"/>
        <v>0</v>
      </c>
      <c r="AW555" s="31">
        <f t="shared" si="312"/>
        <v>0</v>
      </c>
      <c r="AX555" s="31">
        <f t="shared" si="313"/>
        <v>0</v>
      </c>
      <c r="AY555" s="255">
        <f t="shared" si="314"/>
        <v>0</v>
      </c>
      <c r="AZ555" s="232">
        <f t="shared" si="315"/>
        <v>0</v>
      </c>
      <c r="BA555" s="255">
        <f t="shared" si="316"/>
        <v>0</v>
      </c>
      <c r="BB555" s="31">
        <f t="shared" si="317"/>
        <v>2.125</v>
      </c>
      <c r="BC555" s="255">
        <f t="shared" si="318"/>
        <v>1.7000000000000002</v>
      </c>
      <c r="BD555" s="31">
        <f t="shared" si="319"/>
        <v>0</v>
      </c>
      <c r="BE555" s="255">
        <f t="shared" si="320"/>
        <v>0</v>
      </c>
      <c r="BF555" s="31">
        <f t="shared" si="321"/>
        <v>0</v>
      </c>
      <c r="BG555" s="255">
        <f t="shared" si="322"/>
        <v>0</v>
      </c>
      <c r="BH555" s="31">
        <f t="shared" si="323"/>
        <v>0</v>
      </c>
      <c r="BI555" s="255">
        <f t="shared" si="324"/>
        <v>0</v>
      </c>
      <c r="BJ555" s="31">
        <f t="shared" si="325"/>
        <v>0</v>
      </c>
      <c r="BK555" s="31">
        <f t="shared" si="326"/>
        <v>0</v>
      </c>
      <c r="BL555" s="255">
        <f t="shared" si="327"/>
        <v>0</v>
      </c>
      <c r="BM555" s="31">
        <f t="shared" si="328"/>
        <v>0</v>
      </c>
      <c r="BN555" s="255">
        <f t="shared" si="329"/>
        <v>0</v>
      </c>
    </row>
    <row r="556" spans="1:66" x14ac:dyDescent="0.25">
      <c r="A556" t="s">
        <v>140</v>
      </c>
      <c r="B556" s="186" t="str">
        <f>VLOOKUP(A556,kurspris!$A$1:$B$877,2,FALSE)</f>
        <v>Examensarbete för Studie- och yrkesvägledarprogrammet</v>
      </c>
      <c r="C556"/>
      <c r="D556" t="s">
        <v>85</v>
      </c>
      <c r="E556" t="s">
        <v>1973</v>
      </c>
      <c r="F556" s="59" t="s">
        <v>1930</v>
      </c>
      <c r="G556" t="s">
        <v>1980</v>
      </c>
      <c r="H556" t="s">
        <v>1910</v>
      </c>
      <c r="I556" t="s">
        <v>628</v>
      </c>
      <c r="J556" t="s">
        <v>1537</v>
      </c>
      <c r="K556"/>
      <c r="L556">
        <v>100</v>
      </c>
      <c r="M556">
        <v>15</v>
      </c>
      <c r="N556"/>
      <c r="O556"/>
      <c r="P556" s="31">
        <v>21</v>
      </c>
      <c r="Q556" s="232">
        <f t="shared" si="302"/>
        <v>5.25</v>
      </c>
      <c r="R556" s="40">
        <v>0.85</v>
      </c>
      <c r="S556" s="334">
        <f t="shared" si="303"/>
        <v>4.4624999999999995</v>
      </c>
      <c r="T556" s="31">
        <f>VLOOKUP(A556,'Ansvar kurs'!$A$1:$C$1010,2,FALSE)</f>
        <v>2193</v>
      </c>
      <c r="U556" s="31" t="str">
        <f>VLOOKUP(T556,Orgenheter!$A$1:$C$165,2,FALSE)</f>
        <v xml:space="preserve">TUV </v>
      </c>
      <c r="V556" s="31" t="str">
        <f>VLOOKUP(T556,Orgenheter!$A$1:$C$165,3,FALSE)</f>
        <v>Sam</v>
      </c>
      <c r="W556" s="37" t="str">
        <f>VLOOKUP(D556,Program!$A$1:$B$34,2,FALSE)</f>
        <v>Studie- och yrkesvägledarprogram</v>
      </c>
      <c r="X556" s="42">
        <f>VLOOKUP(A556,kurspris!$A$1:$Q$798,15,FALSE)</f>
        <v>18405</v>
      </c>
      <c r="Y556" s="42">
        <f>VLOOKUP(A556,kurspris!$A$1:$Q$798,16,FALSE)</f>
        <v>15773</v>
      </c>
      <c r="Z556" s="42">
        <f t="shared" si="304"/>
        <v>167013.26250000001</v>
      </c>
      <c r="AA556" s="42">
        <f>VLOOKUP(A556,kurspris!$A$1:$Q$798,17,FALSE)</f>
        <v>5800</v>
      </c>
      <c r="AB556" s="42">
        <f t="shared" si="305"/>
        <v>30450</v>
      </c>
      <c r="AC556" s="42">
        <f t="shared" si="306"/>
        <v>197463.26250000001</v>
      </c>
      <c r="AD556" s="31">
        <f>VLOOKUP($A556,kurspris!$A$1:$Q$835,3,FALSE)</f>
        <v>0</v>
      </c>
      <c r="AE556" s="31">
        <f>VLOOKUP($A556,kurspris!$A$1:$Q$835,4,FALSE)</f>
        <v>0</v>
      </c>
      <c r="AF556" s="31">
        <f>VLOOKUP($A556,kurspris!$A$1:$Q$835,5,FALSE)</f>
        <v>0</v>
      </c>
      <c r="AG556" s="31">
        <f>VLOOKUP($A556,kurspris!$A$1:$Q$835,6,FALSE)</f>
        <v>0</v>
      </c>
      <c r="AH556" s="31">
        <f>VLOOKUP($A556,kurspris!$A$1:$Q$835,7,FALSE)</f>
        <v>0</v>
      </c>
      <c r="AI556" s="31">
        <f>VLOOKUP($A556,kurspris!$A$1:$Q$835,8,FALSE)</f>
        <v>0</v>
      </c>
      <c r="AJ556" s="31">
        <f>VLOOKUP($A556,kurspris!$A$1:$Q$835,9,FALSE)</f>
        <v>1</v>
      </c>
      <c r="AK556" s="31">
        <f>VLOOKUP($A556,kurspris!$A$1:$Q$835,10,FALSE)</f>
        <v>0</v>
      </c>
      <c r="AL556" s="31">
        <f>VLOOKUP($A556,kurspris!$A$1:$Q$835,11,FALSE)</f>
        <v>0</v>
      </c>
      <c r="AM556" s="31">
        <f>VLOOKUP($A556,kurspris!$A$1:$Q$835,12,FALSE)</f>
        <v>0</v>
      </c>
      <c r="AN556" s="31">
        <f>VLOOKUP($A556,kurspris!$A$1:$Q$835,13,FALSE)</f>
        <v>0</v>
      </c>
      <c r="AO556" s="31">
        <f>VLOOKUP($A556,kurspris!$A$1:$Q$835,14,FALSE)</f>
        <v>0</v>
      </c>
      <c r="AP556" s="39" t="s">
        <v>2235</v>
      </c>
      <c r="AQ556"/>
      <c r="AR556" s="31">
        <f t="shared" si="307"/>
        <v>0</v>
      </c>
      <c r="AS556" s="255">
        <f t="shared" si="308"/>
        <v>0</v>
      </c>
      <c r="AT556" s="31">
        <f t="shared" si="309"/>
        <v>0</v>
      </c>
      <c r="AU556" s="255">
        <f t="shared" si="310"/>
        <v>0</v>
      </c>
      <c r="AV556" s="31">
        <f t="shared" si="311"/>
        <v>0</v>
      </c>
      <c r="AW556" s="31">
        <f t="shared" si="312"/>
        <v>0</v>
      </c>
      <c r="AX556" s="31">
        <f t="shared" si="313"/>
        <v>0</v>
      </c>
      <c r="AY556" s="255">
        <f t="shared" si="314"/>
        <v>0</v>
      </c>
      <c r="AZ556" s="232">
        <f t="shared" si="315"/>
        <v>0</v>
      </c>
      <c r="BA556" s="255">
        <f t="shared" si="316"/>
        <v>0</v>
      </c>
      <c r="BB556" s="31">
        <f t="shared" si="317"/>
        <v>0</v>
      </c>
      <c r="BC556" s="255">
        <f t="shared" si="318"/>
        <v>0</v>
      </c>
      <c r="BD556" s="31">
        <f t="shared" si="319"/>
        <v>5.25</v>
      </c>
      <c r="BE556" s="255">
        <f t="shared" si="320"/>
        <v>4.4624999999999995</v>
      </c>
      <c r="BF556" s="31">
        <f t="shared" si="321"/>
        <v>0</v>
      </c>
      <c r="BG556" s="255">
        <f t="shared" si="322"/>
        <v>0</v>
      </c>
      <c r="BH556" s="31">
        <f t="shared" si="323"/>
        <v>0</v>
      </c>
      <c r="BI556" s="255">
        <f t="shared" si="324"/>
        <v>0</v>
      </c>
      <c r="BJ556" s="31">
        <f t="shared" si="325"/>
        <v>0</v>
      </c>
      <c r="BK556" s="31">
        <f t="shared" si="326"/>
        <v>0</v>
      </c>
      <c r="BL556" s="255">
        <f t="shared" si="327"/>
        <v>0</v>
      </c>
      <c r="BM556" s="31">
        <f t="shared" si="328"/>
        <v>0</v>
      </c>
      <c r="BN556" s="255">
        <f t="shared" si="329"/>
        <v>0</v>
      </c>
    </row>
    <row r="557" spans="1:66" x14ac:dyDescent="0.25">
      <c r="A557" t="s">
        <v>140</v>
      </c>
      <c r="B557" s="186" t="str">
        <f>VLOOKUP(A557,kurspris!$A$1:$B$877,2,FALSE)</f>
        <v>Examensarbete för Studie- och yrkesvägledarprogrammet</v>
      </c>
      <c r="C557"/>
      <c r="D557" t="s">
        <v>85</v>
      </c>
      <c r="E557" t="s">
        <v>1973</v>
      </c>
      <c r="F557" s="59" t="s">
        <v>1930</v>
      </c>
      <c r="G557" t="s">
        <v>1980</v>
      </c>
      <c r="H557" t="s">
        <v>1910</v>
      </c>
      <c r="I557" t="s">
        <v>628</v>
      </c>
      <c r="J557"/>
      <c r="K557"/>
      <c r="L557">
        <v>100</v>
      </c>
      <c r="M557">
        <v>15</v>
      </c>
      <c r="N557"/>
      <c r="O557"/>
      <c r="P557" s="31">
        <v>22</v>
      </c>
      <c r="Q557" s="232">
        <f t="shared" si="302"/>
        <v>5.5</v>
      </c>
      <c r="R557" s="40">
        <v>0.85</v>
      </c>
      <c r="S557" s="334">
        <f t="shared" si="303"/>
        <v>4.6749999999999998</v>
      </c>
      <c r="T557" s="31">
        <f>VLOOKUP(A557,'Ansvar kurs'!$A$1:$C$1010,2,FALSE)</f>
        <v>2193</v>
      </c>
      <c r="U557" s="31" t="str">
        <f>VLOOKUP(T557,Orgenheter!$A$1:$C$165,2,FALSE)</f>
        <v xml:space="preserve">TUV </v>
      </c>
      <c r="V557" s="31" t="str">
        <f>VLOOKUP(T557,Orgenheter!$A$1:$C$165,3,FALSE)</f>
        <v>Sam</v>
      </c>
      <c r="W557" s="37" t="str">
        <f>VLOOKUP(D557,Program!$A$1:$B$34,2,FALSE)</f>
        <v>Studie- och yrkesvägledarprogram</v>
      </c>
      <c r="X557" s="42">
        <f>VLOOKUP(A557,kurspris!$A$1:$Q$798,15,FALSE)</f>
        <v>18405</v>
      </c>
      <c r="Y557" s="42">
        <f>VLOOKUP(A557,kurspris!$A$1:$Q$798,16,FALSE)</f>
        <v>15773</v>
      </c>
      <c r="Z557" s="42">
        <f t="shared" si="304"/>
        <v>174966.27499999999</v>
      </c>
      <c r="AA557" s="42">
        <f>VLOOKUP(A557,kurspris!$A$1:$Q$798,17,FALSE)</f>
        <v>5800</v>
      </c>
      <c r="AB557" s="42">
        <f t="shared" si="305"/>
        <v>31900</v>
      </c>
      <c r="AC557" s="42">
        <f t="shared" si="306"/>
        <v>206866.27499999999</v>
      </c>
      <c r="AD557" s="31">
        <f>VLOOKUP($A557,kurspris!$A$1:$Q$835,3,FALSE)</f>
        <v>0</v>
      </c>
      <c r="AE557" s="31">
        <f>VLOOKUP($A557,kurspris!$A$1:$Q$835,4,FALSE)</f>
        <v>0</v>
      </c>
      <c r="AF557" s="31">
        <f>VLOOKUP($A557,kurspris!$A$1:$Q$835,5,FALSE)</f>
        <v>0</v>
      </c>
      <c r="AG557" s="31">
        <f>VLOOKUP($A557,kurspris!$A$1:$Q$835,6,FALSE)</f>
        <v>0</v>
      </c>
      <c r="AH557" s="31">
        <f>VLOOKUP($A557,kurspris!$A$1:$Q$835,7,FALSE)</f>
        <v>0</v>
      </c>
      <c r="AI557" s="31">
        <f>VLOOKUP($A557,kurspris!$A$1:$Q$835,8,FALSE)</f>
        <v>0</v>
      </c>
      <c r="AJ557" s="31">
        <f>VLOOKUP($A557,kurspris!$A$1:$Q$835,9,FALSE)</f>
        <v>1</v>
      </c>
      <c r="AK557" s="31">
        <f>VLOOKUP($A557,kurspris!$A$1:$Q$835,10,FALSE)</f>
        <v>0</v>
      </c>
      <c r="AL557" s="31">
        <f>VLOOKUP($A557,kurspris!$A$1:$Q$835,11,FALSE)</f>
        <v>0</v>
      </c>
      <c r="AM557" s="31">
        <f>VLOOKUP($A557,kurspris!$A$1:$Q$835,12,FALSE)</f>
        <v>0</v>
      </c>
      <c r="AN557" s="31">
        <f>VLOOKUP($A557,kurspris!$A$1:$Q$835,13,FALSE)</f>
        <v>0</v>
      </c>
      <c r="AO557" s="31">
        <f>VLOOKUP($A557,kurspris!$A$1:$Q$835,14,FALSE)</f>
        <v>0</v>
      </c>
      <c r="AP557" s="39" t="s">
        <v>2235</v>
      </c>
      <c r="AQ557"/>
      <c r="AR557" s="31">
        <f t="shared" si="307"/>
        <v>0</v>
      </c>
      <c r="AS557" s="255">
        <f t="shared" si="308"/>
        <v>0</v>
      </c>
      <c r="AT557" s="31">
        <f t="shared" si="309"/>
        <v>0</v>
      </c>
      <c r="AU557" s="255">
        <f t="shared" si="310"/>
        <v>0</v>
      </c>
      <c r="AV557" s="31">
        <f t="shared" si="311"/>
        <v>0</v>
      </c>
      <c r="AW557" s="31">
        <f t="shared" si="312"/>
        <v>0</v>
      </c>
      <c r="AX557" s="31">
        <f t="shared" si="313"/>
        <v>0</v>
      </c>
      <c r="AY557" s="255">
        <f t="shared" si="314"/>
        <v>0</v>
      </c>
      <c r="AZ557" s="232">
        <f t="shared" si="315"/>
        <v>0</v>
      </c>
      <c r="BA557" s="255">
        <f t="shared" si="316"/>
        <v>0</v>
      </c>
      <c r="BB557" s="31">
        <f t="shared" si="317"/>
        <v>0</v>
      </c>
      <c r="BC557" s="255">
        <f t="shared" si="318"/>
        <v>0</v>
      </c>
      <c r="BD557" s="31">
        <f t="shared" si="319"/>
        <v>5.5</v>
      </c>
      <c r="BE557" s="255">
        <f t="shared" si="320"/>
        <v>4.6749999999999998</v>
      </c>
      <c r="BF557" s="31">
        <f t="shared" si="321"/>
        <v>0</v>
      </c>
      <c r="BG557" s="255">
        <f t="shared" si="322"/>
        <v>0</v>
      </c>
      <c r="BH557" s="31">
        <f t="shared" si="323"/>
        <v>0</v>
      </c>
      <c r="BI557" s="255">
        <f t="shared" si="324"/>
        <v>0</v>
      </c>
      <c r="BJ557" s="31">
        <f t="shared" si="325"/>
        <v>0</v>
      </c>
      <c r="BK557" s="31">
        <f t="shared" si="326"/>
        <v>0</v>
      </c>
      <c r="BL557" s="255">
        <f t="shared" si="327"/>
        <v>0</v>
      </c>
      <c r="BM557" s="31">
        <f t="shared" si="328"/>
        <v>0</v>
      </c>
      <c r="BN557" s="255">
        <f t="shared" si="329"/>
        <v>0</v>
      </c>
    </row>
    <row r="558" spans="1:66" x14ac:dyDescent="0.25">
      <c r="A558" t="s">
        <v>140</v>
      </c>
      <c r="B558" s="186" t="str">
        <f>VLOOKUP(A558,kurspris!$A$1:$B$877,2,FALSE)</f>
        <v>Examensarbete för Studie- och yrkesvägledarprogrammet</v>
      </c>
      <c r="C558"/>
      <c r="D558" t="s">
        <v>85</v>
      </c>
      <c r="E558" t="s">
        <v>1973</v>
      </c>
      <c r="F558" s="59" t="s">
        <v>1930</v>
      </c>
      <c r="G558" t="s">
        <v>1980</v>
      </c>
      <c r="H558" t="s">
        <v>1910</v>
      </c>
      <c r="I558" t="s">
        <v>1536</v>
      </c>
      <c r="J558"/>
      <c r="K558"/>
      <c r="L558">
        <v>100</v>
      </c>
      <c r="M558">
        <v>15</v>
      </c>
      <c r="N558"/>
      <c r="O558"/>
      <c r="P558" s="31">
        <v>30</v>
      </c>
      <c r="Q558" s="232">
        <f t="shared" si="302"/>
        <v>7.5</v>
      </c>
      <c r="R558" s="40">
        <v>0.85</v>
      </c>
      <c r="S558" s="334">
        <f t="shared" si="303"/>
        <v>6.375</v>
      </c>
      <c r="T558" s="31">
        <f>VLOOKUP(A558,'Ansvar kurs'!$A$1:$C$1010,2,FALSE)</f>
        <v>2193</v>
      </c>
      <c r="U558" s="31" t="str">
        <f>VLOOKUP(T558,Orgenheter!$A$1:$C$165,2,FALSE)</f>
        <v xml:space="preserve">TUV </v>
      </c>
      <c r="V558" s="31" t="str">
        <f>VLOOKUP(T558,Orgenheter!$A$1:$C$165,3,FALSE)</f>
        <v>Sam</v>
      </c>
      <c r="W558" s="37" t="str">
        <f>VLOOKUP(D558,Program!$A$1:$B$34,2,FALSE)</f>
        <v>Studie- och yrkesvägledarprogram</v>
      </c>
      <c r="X558" s="42">
        <f>VLOOKUP(A558,kurspris!$A$1:$Q$798,15,FALSE)</f>
        <v>18405</v>
      </c>
      <c r="Y558" s="42">
        <f>VLOOKUP(A558,kurspris!$A$1:$Q$798,16,FALSE)</f>
        <v>15773</v>
      </c>
      <c r="Z558" s="42">
        <f t="shared" si="304"/>
        <v>238590.375</v>
      </c>
      <c r="AA558" s="42">
        <f>VLOOKUP(A558,kurspris!$A$1:$Q$798,17,FALSE)</f>
        <v>5800</v>
      </c>
      <c r="AB558" s="42">
        <f t="shared" si="305"/>
        <v>43500</v>
      </c>
      <c r="AC558" s="42">
        <f t="shared" si="306"/>
        <v>282090.375</v>
      </c>
      <c r="AD558" s="31">
        <f>VLOOKUP($A558,kurspris!$A$1:$Q$835,3,FALSE)</f>
        <v>0</v>
      </c>
      <c r="AE558" s="31">
        <f>VLOOKUP($A558,kurspris!$A$1:$Q$835,4,FALSE)</f>
        <v>0</v>
      </c>
      <c r="AF558" s="31">
        <f>VLOOKUP($A558,kurspris!$A$1:$Q$835,5,FALSE)</f>
        <v>0</v>
      </c>
      <c r="AG558" s="31">
        <f>VLOOKUP($A558,kurspris!$A$1:$Q$835,6,FALSE)</f>
        <v>0</v>
      </c>
      <c r="AH558" s="31">
        <f>VLOOKUP($A558,kurspris!$A$1:$Q$835,7,FALSE)</f>
        <v>0</v>
      </c>
      <c r="AI558" s="31">
        <f>VLOOKUP($A558,kurspris!$A$1:$Q$835,8,FALSE)</f>
        <v>0</v>
      </c>
      <c r="AJ558" s="31">
        <f>VLOOKUP($A558,kurspris!$A$1:$Q$835,9,FALSE)</f>
        <v>1</v>
      </c>
      <c r="AK558" s="31">
        <f>VLOOKUP($A558,kurspris!$A$1:$Q$835,10,FALSE)</f>
        <v>0</v>
      </c>
      <c r="AL558" s="31">
        <f>VLOOKUP($A558,kurspris!$A$1:$Q$835,11,FALSE)</f>
        <v>0</v>
      </c>
      <c r="AM558" s="31">
        <f>VLOOKUP($A558,kurspris!$A$1:$Q$835,12,FALSE)</f>
        <v>0</v>
      </c>
      <c r="AN558" s="31">
        <f>VLOOKUP($A558,kurspris!$A$1:$Q$835,13,FALSE)</f>
        <v>0</v>
      </c>
      <c r="AO558" s="31">
        <f>VLOOKUP($A558,kurspris!$A$1:$Q$835,14,FALSE)</f>
        <v>0</v>
      </c>
      <c r="AP558" s="39" t="s">
        <v>2235</v>
      </c>
      <c r="AQ558"/>
      <c r="AR558" s="31">
        <f t="shared" si="307"/>
        <v>0</v>
      </c>
      <c r="AS558" s="255">
        <f t="shared" si="308"/>
        <v>0</v>
      </c>
      <c r="AT558" s="31">
        <f t="shared" si="309"/>
        <v>0</v>
      </c>
      <c r="AU558" s="255">
        <f t="shared" si="310"/>
        <v>0</v>
      </c>
      <c r="AV558" s="31">
        <f t="shared" si="311"/>
        <v>0</v>
      </c>
      <c r="AW558" s="31">
        <f t="shared" si="312"/>
        <v>0</v>
      </c>
      <c r="AX558" s="31">
        <f t="shared" si="313"/>
        <v>0</v>
      </c>
      <c r="AY558" s="255">
        <f t="shared" si="314"/>
        <v>0</v>
      </c>
      <c r="AZ558" s="232">
        <f t="shared" si="315"/>
        <v>0</v>
      </c>
      <c r="BA558" s="255">
        <f t="shared" si="316"/>
        <v>0</v>
      </c>
      <c r="BB558" s="31">
        <f t="shared" si="317"/>
        <v>0</v>
      </c>
      <c r="BC558" s="255">
        <f t="shared" si="318"/>
        <v>0</v>
      </c>
      <c r="BD558" s="31">
        <f t="shared" si="319"/>
        <v>7.5</v>
      </c>
      <c r="BE558" s="255">
        <f t="shared" si="320"/>
        <v>6.375</v>
      </c>
      <c r="BF558" s="31">
        <f t="shared" si="321"/>
        <v>0</v>
      </c>
      <c r="BG558" s="255">
        <f t="shared" si="322"/>
        <v>0</v>
      </c>
      <c r="BH558" s="31">
        <f t="shared" si="323"/>
        <v>0</v>
      </c>
      <c r="BI558" s="255">
        <f t="shared" si="324"/>
        <v>0</v>
      </c>
      <c r="BJ558" s="31">
        <f t="shared" si="325"/>
        <v>0</v>
      </c>
      <c r="BK558" s="31">
        <f t="shared" si="326"/>
        <v>0</v>
      </c>
      <c r="BL558" s="255">
        <f t="shared" si="327"/>
        <v>0</v>
      </c>
      <c r="BM558" s="31">
        <f t="shared" si="328"/>
        <v>0</v>
      </c>
      <c r="BN558" s="255">
        <f t="shared" si="329"/>
        <v>0</v>
      </c>
    </row>
    <row r="559" spans="1:66" x14ac:dyDescent="0.25">
      <c r="A559" s="18" t="s">
        <v>506</v>
      </c>
      <c r="B559" s="186" t="str">
        <f>VLOOKUP(A559,kurspris!$A$1:$B$877,2,FALSE)</f>
        <v>Grupprocesser och samverkan ur ett fritidshemsperspektiv</v>
      </c>
      <c r="C559" s="37"/>
      <c r="D559" s="31" t="s">
        <v>485</v>
      </c>
      <c r="E559" s="31" t="s">
        <v>1788</v>
      </c>
      <c r="F559" s="59" t="s">
        <v>1931</v>
      </c>
      <c r="G559" s="31" t="s">
        <v>2274</v>
      </c>
      <c r="L559" s="31">
        <v>100</v>
      </c>
      <c r="M559" s="31">
        <v>7.5</v>
      </c>
      <c r="P559" s="31">
        <v>25</v>
      </c>
      <c r="Q559" s="232">
        <f t="shared" si="302"/>
        <v>3.125</v>
      </c>
      <c r="R559" s="40">
        <v>0.85</v>
      </c>
      <c r="S559" s="334">
        <f t="shared" si="303"/>
        <v>2.65625</v>
      </c>
      <c r="T559" s="31">
        <f>VLOOKUP(A559,'Ansvar kurs'!$A$1:$C$1010,2,FALSE)</f>
        <v>2193</v>
      </c>
      <c r="U559" s="31" t="str">
        <f>VLOOKUP(T559,Orgenheter!$A$1:$C$165,2,FALSE)</f>
        <v xml:space="preserve">TUV </v>
      </c>
      <c r="V559" s="31" t="str">
        <f>VLOOKUP(T559,Orgenheter!$A$1:$C$165,3,FALSE)</f>
        <v>Sam</v>
      </c>
      <c r="W559" s="37" t="str">
        <f>VLOOKUP(D559,Program!$A$1:$B$34,2,FALSE)</f>
        <v>Grundlärarprogrammet - fritidshem</v>
      </c>
      <c r="X559" s="42">
        <f>VLOOKUP(A559,kurspris!$A$1:$Q$798,15,FALSE)</f>
        <v>18405</v>
      </c>
      <c r="Y559" s="42">
        <f>VLOOKUP(A559,kurspris!$A$1:$Q$798,16,FALSE)</f>
        <v>15773</v>
      </c>
      <c r="Z559" s="42">
        <f t="shared" si="304"/>
        <v>99412.65625</v>
      </c>
      <c r="AA559" s="42">
        <f>VLOOKUP(A559,kurspris!$A$1:$Q$798,17,FALSE)</f>
        <v>5800</v>
      </c>
      <c r="AB559" s="42">
        <f t="shared" si="305"/>
        <v>18125</v>
      </c>
      <c r="AC559" s="42">
        <f t="shared" si="306"/>
        <v>117537.65625</v>
      </c>
      <c r="AD559" s="31">
        <f>VLOOKUP($A559,kurspris!$A$1:$Q$835,3,FALSE)</f>
        <v>0</v>
      </c>
      <c r="AE559" s="31">
        <f>VLOOKUP($A559,kurspris!$A$1:$Q$835,4,FALSE)</f>
        <v>0</v>
      </c>
      <c r="AF559" s="31">
        <f>VLOOKUP($A559,kurspris!$A$1:$Q$835,5,FALSE)</f>
        <v>0</v>
      </c>
      <c r="AG559" s="31">
        <f>VLOOKUP($A559,kurspris!$A$1:$Q$835,6,FALSE)</f>
        <v>0</v>
      </c>
      <c r="AH559" s="31">
        <f>VLOOKUP($A559,kurspris!$A$1:$Q$835,7,FALSE)</f>
        <v>0</v>
      </c>
      <c r="AI559" s="31">
        <f>VLOOKUP($A559,kurspris!$A$1:$Q$835,8,FALSE)</f>
        <v>0</v>
      </c>
      <c r="AJ559" s="31">
        <f>VLOOKUP($A559,kurspris!$A$1:$Q$835,9,FALSE)</f>
        <v>1</v>
      </c>
      <c r="AK559" s="31">
        <f>VLOOKUP($A559,kurspris!$A$1:$Q$835,10,FALSE)</f>
        <v>0</v>
      </c>
      <c r="AL559" s="31">
        <f>VLOOKUP($A559,kurspris!$A$1:$Q$835,11,FALSE)</f>
        <v>0</v>
      </c>
      <c r="AM559" s="31">
        <f>VLOOKUP($A559,kurspris!$A$1:$Q$835,12,FALSE)</f>
        <v>0</v>
      </c>
      <c r="AN559" s="31">
        <f>VLOOKUP($A559,kurspris!$A$1:$Q$835,13,FALSE)</f>
        <v>0</v>
      </c>
      <c r="AO559" s="31">
        <f>VLOOKUP($A559,kurspris!$A$1:$Q$835,14,FALSE)</f>
        <v>0</v>
      </c>
      <c r="AP559" s="39" t="s">
        <v>2326</v>
      </c>
      <c r="AQ559"/>
      <c r="AR559" s="31">
        <f t="shared" si="307"/>
        <v>0</v>
      </c>
      <c r="AS559" s="255">
        <f t="shared" si="308"/>
        <v>0</v>
      </c>
      <c r="AT559" s="31">
        <f t="shared" si="309"/>
        <v>0</v>
      </c>
      <c r="AU559" s="255">
        <f t="shared" si="310"/>
        <v>0</v>
      </c>
      <c r="AV559" s="31">
        <f t="shared" si="311"/>
        <v>0</v>
      </c>
      <c r="AW559" s="31">
        <f t="shared" si="312"/>
        <v>0</v>
      </c>
      <c r="AX559" s="31">
        <f t="shared" si="313"/>
        <v>0</v>
      </c>
      <c r="AY559" s="255">
        <f t="shared" si="314"/>
        <v>0</v>
      </c>
      <c r="AZ559" s="232">
        <f t="shared" si="315"/>
        <v>0</v>
      </c>
      <c r="BA559" s="255">
        <f t="shared" si="316"/>
        <v>0</v>
      </c>
      <c r="BB559" s="31">
        <f t="shared" si="317"/>
        <v>0</v>
      </c>
      <c r="BC559" s="255">
        <f t="shared" si="318"/>
        <v>0</v>
      </c>
      <c r="BD559" s="31">
        <f t="shared" si="319"/>
        <v>3.125</v>
      </c>
      <c r="BE559" s="255">
        <f t="shared" si="320"/>
        <v>2.65625</v>
      </c>
      <c r="BF559" s="31">
        <f t="shared" si="321"/>
        <v>0</v>
      </c>
      <c r="BG559" s="255">
        <f t="shared" si="322"/>
        <v>0</v>
      </c>
      <c r="BH559" s="31">
        <f t="shared" si="323"/>
        <v>0</v>
      </c>
      <c r="BI559" s="255">
        <f t="shared" si="324"/>
        <v>0</v>
      </c>
      <c r="BJ559" s="31">
        <f t="shared" si="325"/>
        <v>0</v>
      </c>
      <c r="BK559" s="31">
        <f t="shared" si="326"/>
        <v>0</v>
      </c>
      <c r="BL559" s="255">
        <f t="shared" si="327"/>
        <v>0</v>
      </c>
      <c r="BM559" s="31">
        <f t="shared" si="328"/>
        <v>0</v>
      </c>
      <c r="BN559" s="255">
        <f t="shared" si="329"/>
        <v>0</v>
      </c>
    </row>
    <row r="560" spans="1:66" x14ac:dyDescent="0.25">
      <c r="A560" t="s">
        <v>884</v>
      </c>
      <c r="B560" s="186" t="str">
        <f>VLOOKUP(A560,kurspris!$A$1:$B$877,2,FALSE)</f>
        <v>Examensarbete grundlärare - fritidshem</v>
      </c>
      <c r="C560"/>
      <c r="D560" t="s">
        <v>485</v>
      </c>
      <c r="E560" t="s">
        <v>1975</v>
      </c>
      <c r="F560" s="59" t="s">
        <v>1930</v>
      </c>
      <c r="G560" t="s">
        <v>1990</v>
      </c>
      <c r="H560" t="s">
        <v>1910</v>
      </c>
      <c r="I560"/>
      <c r="J560"/>
      <c r="K560"/>
      <c r="L560">
        <v>100</v>
      </c>
      <c r="M560">
        <v>15</v>
      </c>
      <c r="N560"/>
      <c r="O560"/>
      <c r="P560" s="31">
        <v>1</v>
      </c>
      <c r="Q560" s="232">
        <f t="shared" si="302"/>
        <v>0.25</v>
      </c>
      <c r="R560" s="40">
        <v>0.85</v>
      </c>
      <c r="S560" s="334">
        <f t="shared" si="303"/>
        <v>0.21249999999999999</v>
      </c>
      <c r="T560" s="31">
        <f>VLOOKUP(A560,'Ansvar kurs'!$A$1:$C$1010,2,FALSE)</f>
        <v>2193</v>
      </c>
      <c r="U560" s="31" t="str">
        <f>VLOOKUP(T560,Orgenheter!$A$1:$C$165,2,FALSE)</f>
        <v xml:space="preserve">TUV </v>
      </c>
      <c r="V560" s="31" t="str">
        <f>VLOOKUP(T560,Orgenheter!$A$1:$C$165,3,FALSE)</f>
        <v>Sam</v>
      </c>
      <c r="W560" s="37" t="str">
        <f>VLOOKUP(D560,Program!$A$1:$B$34,2,FALSE)</f>
        <v>Grundlärarprogrammet - fritidshem</v>
      </c>
      <c r="X560" s="42">
        <f>VLOOKUP(A560,kurspris!$A$1:$Q$798,15,FALSE)</f>
        <v>18405</v>
      </c>
      <c r="Y560" s="42">
        <f>VLOOKUP(A560,kurspris!$A$1:$Q$798,16,FALSE)</f>
        <v>15773</v>
      </c>
      <c r="Z560" s="42">
        <f t="shared" si="304"/>
        <v>7953.0124999999998</v>
      </c>
      <c r="AA560" s="42">
        <f>VLOOKUP(A560,kurspris!$A$1:$Q$798,17,FALSE)</f>
        <v>5800</v>
      </c>
      <c r="AB560" s="42">
        <f t="shared" si="305"/>
        <v>1450</v>
      </c>
      <c r="AC560" s="42">
        <f t="shared" si="306"/>
        <v>9403.0125000000007</v>
      </c>
      <c r="AD560" s="31">
        <f>VLOOKUP($A560,kurspris!$A$1:$Q$835,3,FALSE)</f>
        <v>0</v>
      </c>
      <c r="AE560" s="31">
        <f>VLOOKUP($A560,kurspris!$A$1:$Q$835,4,FALSE)</f>
        <v>0</v>
      </c>
      <c r="AF560" s="31">
        <f>VLOOKUP($A560,kurspris!$A$1:$Q$835,5,FALSE)</f>
        <v>0</v>
      </c>
      <c r="AG560" s="31">
        <f>VLOOKUP($A560,kurspris!$A$1:$Q$835,6,FALSE)</f>
        <v>0</v>
      </c>
      <c r="AH560" s="31">
        <f>VLOOKUP($A560,kurspris!$A$1:$Q$835,7,FALSE)</f>
        <v>0</v>
      </c>
      <c r="AI560" s="31">
        <f>VLOOKUP($A560,kurspris!$A$1:$Q$835,8,FALSE)</f>
        <v>0</v>
      </c>
      <c r="AJ560" s="31">
        <f>VLOOKUP($A560,kurspris!$A$1:$Q$835,9,FALSE)</f>
        <v>1</v>
      </c>
      <c r="AK560" s="31">
        <f>VLOOKUP($A560,kurspris!$A$1:$Q$835,10,FALSE)</f>
        <v>0</v>
      </c>
      <c r="AL560" s="31">
        <f>VLOOKUP($A560,kurspris!$A$1:$Q$835,11,FALSE)</f>
        <v>0</v>
      </c>
      <c r="AM560" s="31">
        <f>VLOOKUP($A560,kurspris!$A$1:$Q$835,12,FALSE)</f>
        <v>0</v>
      </c>
      <c r="AN560" s="31">
        <f>VLOOKUP($A560,kurspris!$A$1:$Q$835,13,FALSE)</f>
        <v>0</v>
      </c>
      <c r="AO560" s="31">
        <f>VLOOKUP($A560,kurspris!$A$1:$Q$835,14,FALSE)</f>
        <v>0</v>
      </c>
      <c r="AP560" s="39" t="s">
        <v>2204</v>
      </c>
      <c r="AQ560"/>
      <c r="AR560" s="31">
        <f t="shared" si="307"/>
        <v>0</v>
      </c>
      <c r="AS560" s="255">
        <f t="shared" si="308"/>
        <v>0</v>
      </c>
      <c r="AT560" s="31">
        <f t="shared" si="309"/>
        <v>0</v>
      </c>
      <c r="AU560" s="255">
        <f t="shared" si="310"/>
        <v>0</v>
      </c>
      <c r="AV560" s="31">
        <f t="shared" si="311"/>
        <v>0</v>
      </c>
      <c r="AW560" s="31">
        <f t="shared" si="312"/>
        <v>0</v>
      </c>
      <c r="AX560" s="31">
        <f t="shared" si="313"/>
        <v>0</v>
      </c>
      <c r="AY560" s="255">
        <f t="shared" si="314"/>
        <v>0</v>
      </c>
      <c r="AZ560" s="232">
        <f t="shared" si="315"/>
        <v>0</v>
      </c>
      <c r="BA560" s="255">
        <f t="shared" si="316"/>
        <v>0</v>
      </c>
      <c r="BB560" s="31">
        <f t="shared" si="317"/>
        <v>0</v>
      </c>
      <c r="BC560" s="255">
        <f t="shared" si="318"/>
        <v>0</v>
      </c>
      <c r="BD560" s="31">
        <f t="shared" si="319"/>
        <v>0.25</v>
      </c>
      <c r="BE560" s="255">
        <f t="shared" si="320"/>
        <v>0.21249999999999999</v>
      </c>
      <c r="BF560" s="31">
        <f t="shared" si="321"/>
        <v>0</v>
      </c>
      <c r="BG560" s="255">
        <f t="shared" si="322"/>
        <v>0</v>
      </c>
      <c r="BH560" s="31">
        <f t="shared" si="323"/>
        <v>0</v>
      </c>
      <c r="BI560" s="255">
        <f t="shared" si="324"/>
        <v>0</v>
      </c>
      <c r="BJ560" s="31">
        <f t="shared" si="325"/>
        <v>0</v>
      </c>
      <c r="BK560" s="31">
        <f t="shared" si="326"/>
        <v>0</v>
      </c>
      <c r="BL560" s="255">
        <f t="shared" si="327"/>
        <v>0</v>
      </c>
      <c r="BM560" s="31">
        <f t="shared" si="328"/>
        <v>0</v>
      </c>
      <c r="BN560" s="255">
        <f t="shared" si="329"/>
        <v>0</v>
      </c>
    </row>
    <row r="561" spans="1:66" x14ac:dyDescent="0.25">
      <c r="A561" t="s">
        <v>884</v>
      </c>
      <c r="B561" s="186" t="str">
        <f>VLOOKUP(A561,kurspris!$A$1:$B$877,2,FALSE)</f>
        <v>Examensarbete grundlärare - fritidshem</v>
      </c>
      <c r="C561"/>
      <c r="D561" t="s">
        <v>485</v>
      </c>
      <c r="E561" t="s">
        <v>1976</v>
      </c>
      <c r="F561" s="59" t="s">
        <v>1930</v>
      </c>
      <c r="G561" t="s">
        <v>1990</v>
      </c>
      <c r="H561" t="s">
        <v>1910</v>
      </c>
      <c r="I561"/>
      <c r="J561"/>
      <c r="K561"/>
      <c r="L561">
        <v>100</v>
      </c>
      <c r="M561">
        <v>15</v>
      </c>
      <c r="N561"/>
      <c r="O561"/>
      <c r="P561" s="31">
        <v>1</v>
      </c>
      <c r="Q561" s="232">
        <f t="shared" si="302"/>
        <v>0.25</v>
      </c>
      <c r="R561" s="40">
        <v>0.85</v>
      </c>
      <c r="S561" s="334">
        <f t="shared" si="303"/>
        <v>0.21249999999999999</v>
      </c>
      <c r="T561" s="31">
        <f>VLOOKUP(A561,'Ansvar kurs'!$A$1:$C$1010,2,FALSE)</f>
        <v>2193</v>
      </c>
      <c r="U561" s="31" t="str">
        <f>VLOOKUP(T561,Orgenheter!$A$1:$C$165,2,FALSE)</f>
        <v xml:space="preserve">TUV </v>
      </c>
      <c r="V561" s="31" t="str">
        <f>VLOOKUP(T561,Orgenheter!$A$1:$C$165,3,FALSE)</f>
        <v>Sam</v>
      </c>
      <c r="W561" s="37" t="str">
        <f>VLOOKUP(D561,Program!$A$1:$B$34,2,FALSE)</f>
        <v>Grundlärarprogrammet - fritidshem</v>
      </c>
      <c r="X561" s="42">
        <f>VLOOKUP(A561,kurspris!$A$1:$Q$798,15,FALSE)</f>
        <v>18405</v>
      </c>
      <c r="Y561" s="42">
        <f>VLOOKUP(A561,kurspris!$A$1:$Q$798,16,FALSE)</f>
        <v>15773</v>
      </c>
      <c r="Z561" s="42">
        <f t="shared" si="304"/>
        <v>7953.0124999999998</v>
      </c>
      <c r="AA561" s="42">
        <f>VLOOKUP(A561,kurspris!$A$1:$Q$798,17,FALSE)</f>
        <v>5800</v>
      </c>
      <c r="AB561" s="42">
        <f t="shared" si="305"/>
        <v>1450</v>
      </c>
      <c r="AC561" s="42">
        <f t="shared" si="306"/>
        <v>9403.0125000000007</v>
      </c>
      <c r="AD561" s="31">
        <f>VLOOKUP($A561,kurspris!$A$1:$Q$835,3,FALSE)</f>
        <v>0</v>
      </c>
      <c r="AE561" s="31">
        <f>VLOOKUP($A561,kurspris!$A$1:$Q$835,4,FALSE)</f>
        <v>0</v>
      </c>
      <c r="AF561" s="31">
        <f>VLOOKUP($A561,kurspris!$A$1:$Q$835,5,FALSE)</f>
        <v>0</v>
      </c>
      <c r="AG561" s="31">
        <f>VLOOKUP($A561,kurspris!$A$1:$Q$835,6,FALSE)</f>
        <v>0</v>
      </c>
      <c r="AH561" s="31">
        <f>VLOOKUP($A561,kurspris!$A$1:$Q$835,7,FALSE)</f>
        <v>0</v>
      </c>
      <c r="AI561" s="31">
        <f>VLOOKUP($A561,kurspris!$A$1:$Q$835,8,FALSE)</f>
        <v>0</v>
      </c>
      <c r="AJ561" s="31">
        <f>VLOOKUP($A561,kurspris!$A$1:$Q$835,9,FALSE)</f>
        <v>1</v>
      </c>
      <c r="AK561" s="31">
        <f>VLOOKUP($A561,kurspris!$A$1:$Q$835,10,FALSE)</f>
        <v>0</v>
      </c>
      <c r="AL561" s="31">
        <f>VLOOKUP($A561,kurspris!$A$1:$Q$835,11,FALSE)</f>
        <v>0</v>
      </c>
      <c r="AM561" s="31">
        <f>VLOOKUP($A561,kurspris!$A$1:$Q$835,12,FALSE)</f>
        <v>0</v>
      </c>
      <c r="AN561" s="31">
        <f>VLOOKUP($A561,kurspris!$A$1:$Q$835,13,FALSE)</f>
        <v>0</v>
      </c>
      <c r="AO561" s="31">
        <f>VLOOKUP($A561,kurspris!$A$1:$Q$835,14,FALSE)</f>
        <v>0</v>
      </c>
      <c r="AP561" s="39" t="s">
        <v>2204</v>
      </c>
      <c r="AQ561"/>
      <c r="AR561" s="31">
        <f t="shared" si="307"/>
        <v>0</v>
      </c>
      <c r="AS561" s="255">
        <f t="shared" si="308"/>
        <v>0</v>
      </c>
      <c r="AT561" s="31">
        <f t="shared" si="309"/>
        <v>0</v>
      </c>
      <c r="AU561" s="255">
        <f t="shared" si="310"/>
        <v>0</v>
      </c>
      <c r="AV561" s="31">
        <f t="shared" si="311"/>
        <v>0</v>
      </c>
      <c r="AW561" s="31">
        <f t="shared" si="312"/>
        <v>0</v>
      </c>
      <c r="AX561" s="31">
        <f t="shared" si="313"/>
        <v>0</v>
      </c>
      <c r="AY561" s="255">
        <f t="shared" si="314"/>
        <v>0</v>
      </c>
      <c r="AZ561" s="232">
        <f t="shared" si="315"/>
        <v>0</v>
      </c>
      <c r="BA561" s="255">
        <f t="shared" si="316"/>
        <v>0</v>
      </c>
      <c r="BB561" s="31">
        <f t="shared" si="317"/>
        <v>0</v>
      </c>
      <c r="BC561" s="255">
        <f t="shared" si="318"/>
        <v>0</v>
      </c>
      <c r="BD561" s="31">
        <f t="shared" si="319"/>
        <v>0.25</v>
      </c>
      <c r="BE561" s="255">
        <f t="shared" si="320"/>
        <v>0.21249999999999999</v>
      </c>
      <c r="BF561" s="31">
        <f t="shared" si="321"/>
        <v>0</v>
      </c>
      <c r="BG561" s="255">
        <f t="shared" si="322"/>
        <v>0</v>
      </c>
      <c r="BH561" s="31">
        <f t="shared" si="323"/>
        <v>0</v>
      </c>
      <c r="BI561" s="255">
        <f t="shared" si="324"/>
        <v>0</v>
      </c>
      <c r="BJ561" s="31">
        <f t="shared" si="325"/>
        <v>0</v>
      </c>
      <c r="BK561" s="31">
        <f t="shared" si="326"/>
        <v>0</v>
      </c>
      <c r="BL561" s="255">
        <f t="shared" si="327"/>
        <v>0</v>
      </c>
      <c r="BM561" s="31">
        <f t="shared" si="328"/>
        <v>0</v>
      </c>
      <c r="BN561" s="255">
        <f t="shared" si="329"/>
        <v>0</v>
      </c>
    </row>
    <row r="562" spans="1:66" x14ac:dyDescent="0.25">
      <c r="A562" t="s">
        <v>884</v>
      </c>
      <c r="B562" s="186" t="str">
        <f>VLOOKUP(A562,kurspris!$A$1:$B$877,2,FALSE)</f>
        <v>Examensarbete grundlärare - fritidshem</v>
      </c>
      <c r="C562"/>
      <c r="D562" t="s">
        <v>485</v>
      </c>
      <c r="E562" t="s">
        <v>1973</v>
      </c>
      <c r="F562" s="59" t="s">
        <v>1930</v>
      </c>
      <c r="G562" t="s">
        <v>1990</v>
      </c>
      <c r="H562" t="s">
        <v>1910</v>
      </c>
      <c r="I562"/>
      <c r="J562"/>
      <c r="K562"/>
      <c r="L562">
        <v>100</v>
      </c>
      <c r="M562">
        <v>15</v>
      </c>
      <c r="N562"/>
      <c r="O562"/>
      <c r="P562" s="31">
        <v>1</v>
      </c>
      <c r="Q562" s="232">
        <f t="shared" si="302"/>
        <v>0.25</v>
      </c>
      <c r="R562" s="40">
        <v>0.85</v>
      </c>
      <c r="S562" s="334">
        <f t="shared" si="303"/>
        <v>0.21249999999999999</v>
      </c>
      <c r="T562" s="31">
        <f>VLOOKUP(A562,'Ansvar kurs'!$A$1:$C$1010,2,FALSE)</f>
        <v>2193</v>
      </c>
      <c r="U562" s="31" t="str">
        <f>VLOOKUP(T562,Orgenheter!$A$1:$C$165,2,FALSE)</f>
        <v xml:space="preserve">TUV </v>
      </c>
      <c r="V562" s="31" t="str">
        <f>VLOOKUP(T562,Orgenheter!$A$1:$C$165,3,FALSE)</f>
        <v>Sam</v>
      </c>
      <c r="W562" s="37" t="str">
        <f>VLOOKUP(D562,Program!$A$1:$B$34,2,FALSE)</f>
        <v>Grundlärarprogrammet - fritidshem</v>
      </c>
      <c r="X562" s="42">
        <f>VLOOKUP(A562,kurspris!$A$1:$Q$798,15,FALSE)</f>
        <v>18405</v>
      </c>
      <c r="Y562" s="42">
        <f>VLOOKUP(A562,kurspris!$A$1:$Q$798,16,FALSE)</f>
        <v>15773</v>
      </c>
      <c r="Z562" s="42">
        <f t="shared" si="304"/>
        <v>7953.0124999999998</v>
      </c>
      <c r="AA562" s="42">
        <f>VLOOKUP(A562,kurspris!$A$1:$Q$798,17,FALSE)</f>
        <v>5800</v>
      </c>
      <c r="AB562" s="42">
        <f t="shared" si="305"/>
        <v>1450</v>
      </c>
      <c r="AC562" s="42">
        <f t="shared" si="306"/>
        <v>9403.0125000000007</v>
      </c>
      <c r="AD562" s="31">
        <f>VLOOKUP($A562,kurspris!$A$1:$Q$835,3,FALSE)</f>
        <v>0</v>
      </c>
      <c r="AE562" s="31">
        <f>VLOOKUP($A562,kurspris!$A$1:$Q$835,4,FALSE)</f>
        <v>0</v>
      </c>
      <c r="AF562" s="31">
        <f>VLOOKUP($A562,kurspris!$A$1:$Q$835,5,FALSE)</f>
        <v>0</v>
      </c>
      <c r="AG562" s="31">
        <f>VLOOKUP($A562,kurspris!$A$1:$Q$835,6,FALSE)</f>
        <v>0</v>
      </c>
      <c r="AH562" s="31">
        <f>VLOOKUP($A562,kurspris!$A$1:$Q$835,7,FALSE)</f>
        <v>0</v>
      </c>
      <c r="AI562" s="31">
        <f>VLOOKUP($A562,kurspris!$A$1:$Q$835,8,FALSE)</f>
        <v>0</v>
      </c>
      <c r="AJ562" s="31">
        <f>VLOOKUP($A562,kurspris!$A$1:$Q$835,9,FALSE)</f>
        <v>1</v>
      </c>
      <c r="AK562" s="31">
        <f>VLOOKUP($A562,kurspris!$A$1:$Q$835,10,FALSE)</f>
        <v>0</v>
      </c>
      <c r="AL562" s="31">
        <f>VLOOKUP($A562,kurspris!$A$1:$Q$835,11,FALSE)</f>
        <v>0</v>
      </c>
      <c r="AM562" s="31">
        <f>VLOOKUP($A562,kurspris!$A$1:$Q$835,12,FALSE)</f>
        <v>0</v>
      </c>
      <c r="AN562" s="31">
        <f>VLOOKUP($A562,kurspris!$A$1:$Q$835,13,FALSE)</f>
        <v>0</v>
      </c>
      <c r="AO562" s="31">
        <f>VLOOKUP($A562,kurspris!$A$1:$Q$835,14,FALSE)</f>
        <v>0</v>
      </c>
      <c r="AP562" s="39" t="s">
        <v>2204</v>
      </c>
      <c r="AQ562"/>
      <c r="AR562" s="31">
        <f t="shared" si="307"/>
        <v>0</v>
      </c>
      <c r="AS562" s="255">
        <f t="shared" si="308"/>
        <v>0</v>
      </c>
      <c r="AT562" s="31">
        <f t="shared" si="309"/>
        <v>0</v>
      </c>
      <c r="AU562" s="255">
        <f t="shared" si="310"/>
        <v>0</v>
      </c>
      <c r="AV562" s="31">
        <f t="shared" si="311"/>
        <v>0</v>
      </c>
      <c r="AW562" s="31">
        <f t="shared" si="312"/>
        <v>0</v>
      </c>
      <c r="AX562" s="31">
        <f t="shared" si="313"/>
        <v>0</v>
      </c>
      <c r="AY562" s="255">
        <f t="shared" si="314"/>
        <v>0</v>
      </c>
      <c r="AZ562" s="232">
        <f t="shared" si="315"/>
        <v>0</v>
      </c>
      <c r="BA562" s="255">
        <f t="shared" si="316"/>
        <v>0</v>
      </c>
      <c r="BB562" s="31">
        <f t="shared" si="317"/>
        <v>0</v>
      </c>
      <c r="BC562" s="255">
        <f t="shared" si="318"/>
        <v>0</v>
      </c>
      <c r="BD562" s="31">
        <f t="shared" si="319"/>
        <v>0.25</v>
      </c>
      <c r="BE562" s="255">
        <f t="shared" si="320"/>
        <v>0.21249999999999999</v>
      </c>
      <c r="BF562" s="31">
        <f t="shared" si="321"/>
        <v>0</v>
      </c>
      <c r="BG562" s="255">
        <f t="shared" si="322"/>
        <v>0</v>
      </c>
      <c r="BH562" s="31">
        <f t="shared" si="323"/>
        <v>0</v>
      </c>
      <c r="BI562" s="255">
        <f t="shared" si="324"/>
        <v>0</v>
      </c>
      <c r="BJ562" s="31">
        <f t="shared" si="325"/>
        <v>0</v>
      </c>
      <c r="BK562" s="31">
        <f t="shared" si="326"/>
        <v>0</v>
      </c>
      <c r="BL562" s="255">
        <f t="shared" si="327"/>
        <v>0</v>
      </c>
      <c r="BM562" s="31">
        <f t="shared" si="328"/>
        <v>0</v>
      </c>
      <c r="BN562" s="255">
        <f t="shared" si="329"/>
        <v>0</v>
      </c>
    </row>
    <row r="563" spans="1:66" x14ac:dyDescent="0.25">
      <c r="A563" t="s">
        <v>884</v>
      </c>
      <c r="B563" s="186" t="str">
        <f>VLOOKUP(A563,kurspris!$A$1:$B$877,2,FALSE)</f>
        <v>Examensarbete grundlärare - fritidshem</v>
      </c>
      <c r="C563"/>
      <c r="D563" t="s">
        <v>485</v>
      </c>
      <c r="E563" t="s">
        <v>1973</v>
      </c>
      <c r="F563" s="59" t="s">
        <v>1930</v>
      </c>
      <c r="G563" t="s">
        <v>1990</v>
      </c>
      <c r="H563" t="s">
        <v>1910</v>
      </c>
      <c r="I563"/>
      <c r="J563"/>
      <c r="K563"/>
      <c r="L563">
        <v>100</v>
      </c>
      <c r="M563">
        <v>15</v>
      </c>
      <c r="N563"/>
      <c r="O563"/>
      <c r="P563" s="31">
        <v>21</v>
      </c>
      <c r="Q563" s="232">
        <f t="shared" si="302"/>
        <v>5.25</v>
      </c>
      <c r="R563" s="40">
        <v>0.85</v>
      </c>
      <c r="S563" s="334">
        <f t="shared" si="303"/>
        <v>4.4624999999999995</v>
      </c>
      <c r="T563" s="31">
        <f>VLOOKUP(A563,'Ansvar kurs'!$A$1:$C$1010,2,FALSE)</f>
        <v>2193</v>
      </c>
      <c r="U563" s="31" t="str">
        <f>VLOOKUP(T563,Orgenheter!$A$1:$C$165,2,FALSE)</f>
        <v xml:space="preserve">TUV </v>
      </c>
      <c r="V563" s="31" t="str">
        <f>VLOOKUP(T563,Orgenheter!$A$1:$C$165,3,FALSE)</f>
        <v>Sam</v>
      </c>
      <c r="W563" s="37" t="str">
        <f>VLOOKUP(D563,Program!$A$1:$B$34,2,FALSE)</f>
        <v>Grundlärarprogrammet - fritidshem</v>
      </c>
      <c r="X563" s="42">
        <f>VLOOKUP(A563,kurspris!$A$1:$Q$798,15,FALSE)</f>
        <v>18405</v>
      </c>
      <c r="Y563" s="42">
        <f>VLOOKUP(A563,kurspris!$A$1:$Q$798,16,FALSE)</f>
        <v>15773</v>
      </c>
      <c r="Z563" s="42">
        <f t="shared" si="304"/>
        <v>167013.26250000001</v>
      </c>
      <c r="AA563" s="42">
        <f>VLOOKUP(A563,kurspris!$A$1:$Q$798,17,FALSE)</f>
        <v>5800</v>
      </c>
      <c r="AB563" s="42">
        <f t="shared" si="305"/>
        <v>30450</v>
      </c>
      <c r="AC563" s="42">
        <f t="shared" si="306"/>
        <v>197463.26250000001</v>
      </c>
      <c r="AD563" s="31">
        <f>VLOOKUP($A563,kurspris!$A$1:$Q$835,3,FALSE)</f>
        <v>0</v>
      </c>
      <c r="AE563" s="31">
        <f>VLOOKUP($A563,kurspris!$A$1:$Q$835,4,FALSE)</f>
        <v>0</v>
      </c>
      <c r="AF563" s="31">
        <f>VLOOKUP($A563,kurspris!$A$1:$Q$835,5,FALSE)</f>
        <v>0</v>
      </c>
      <c r="AG563" s="31">
        <f>VLOOKUP($A563,kurspris!$A$1:$Q$835,6,FALSE)</f>
        <v>0</v>
      </c>
      <c r="AH563" s="31">
        <f>VLOOKUP($A563,kurspris!$A$1:$Q$835,7,FALSE)</f>
        <v>0</v>
      </c>
      <c r="AI563" s="31">
        <f>VLOOKUP($A563,kurspris!$A$1:$Q$835,8,FALSE)</f>
        <v>0</v>
      </c>
      <c r="AJ563" s="31">
        <f>VLOOKUP($A563,kurspris!$A$1:$Q$835,9,FALSE)</f>
        <v>1</v>
      </c>
      <c r="AK563" s="31">
        <f>VLOOKUP($A563,kurspris!$A$1:$Q$835,10,FALSE)</f>
        <v>0</v>
      </c>
      <c r="AL563" s="31">
        <f>VLOOKUP($A563,kurspris!$A$1:$Q$835,11,FALSE)</f>
        <v>0</v>
      </c>
      <c r="AM563" s="31">
        <f>VLOOKUP($A563,kurspris!$A$1:$Q$835,12,FALSE)</f>
        <v>0</v>
      </c>
      <c r="AN563" s="31">
        <f>VLOOKUP($A563,kurspris!$A$1:$Q$835,13,FALSE)</f>
        <v>0</v>
      </c>
      <c r="AO563" s="31">
        <f>VLOOKUP($A563,kurspris!$A$1:$Q$835,14,FALSE)</f>
        <v>0</v>
      </c>
      <c r="AP563" s="39" t="s">
        <v>2204</v>
      </c>
      <c r="AQ563"/>
      <c r="AR563" s="31">
        <f t="shared" si="307"/>
        <v>0</v>
      </c>
      <c r="AS563" s="255">
        <f t="shared" si="308"/>
        <v>0</v>
      </c>
      <c r="AT563" s="31">
        <f t="shared" si="309"/>
        <v>0</v>
      </c>
      <c r="AU563" s="255">
        <f t="shared" si="310"/>
        <v>0</v>
      </c>
      <c r="AV563" s="31">
        <f t="shared" si="311"/>
        <v>0</v>
      </c>
      <c r="AW563" s="31">
        <f t="shared" si="312"/>
        <v>0</v>
      </c>
      <c r="AX563" s="31">
        <f t="shared" si="313"/>
        <v>0</v>
      </c>
      <c r="AY563" s="255">
        <f t="shared" si="314"/>
        <v>0</v>
      </c>
      <c r="AZ563" s="232">
        <f t="shared" si="315"/>
        <v>0</v>
      </c>
      <c r="BA563" s="255">
        <f t="shared" si="316"/>
        <v>0</v>
      </c>
      <c r="BB563" s="31">
        <f t="shared" si="317"/>
        <v>0</v>
      </c>
      <c r="BC563" s="255">
        <f t="shared" si="318"/>
        <v>0</v>
      </c>
      <c r="BD563" s="31">
        <f t="shared" si="319"/>
        <v>5.25</v>
      </c>
      <c r="BE563" s="255">
        <f t="shared" si="320"/>
        <v>4.4624999999999995</v>
      </c>
      <c r="BF563" s="31">
        <f t="shared" si="321"/>
        <v>0</v>
      </c>
      <c r="BG563" s="255">
        <f t="shared" si="322"/>
        <v>0</v>
      </c>
      <c r="BH563" s="31">
        <f t="shared" si="323"/>
        <v>0</v>
      </c>
      <c r="BI563" s="255">
        <f t="shared" si="324"/>
        <v>0</v>
      </c>
      <c r="BJ563" s="31">
        <f t="shared" si="325"/>
        <v>0</v>
      </c>
      <c r="BK563" s="31">
        <f t="shared" si="326"/>
        <v>0</v>
      </c>
      <c r="BL563" s="255">
        <f t="shared" si="327"/>
        <v>0</v>
      </c>
      <c r="BM563" s="31">
        <f t="shared" si="328"/>
        <v>0</v>
      </c>
      <c r="BN563" s="255">
        <f t="shared" si="329"/>
        <v>0</v>
      </c>
    </row>
    <row r="564" spans="1:66" x14ac:dyDescent="0.25">
      <c r="A564" s="39" t="s">
        <v>835</v>
      </c>
      <c r="B564" s="186" t="str">
        <f>VLOOKUP(A564,kurspris!$A$1:$B$877,2,FALSE)</f>
        <v>Kunskap, undervisning och lärande för yrkeslärare II</v>
      </c>
      <c r="C564" s="37"/>
      <c r="D564" s="59" t="s">
        <v>627</v>
      </c>
      <c r="E564" s="59" t="s">
        <v>1788</v>
      </c>
      <c r="F564" s="59" t="s">
        <v>1931</v>
      </c>
      <c r="G564" s="31" t="s">
        <v>2276</v>
      </c>
      <c r="J564" s="59"/>
      <c r="L564" s="31">
        <v>50</v>
      </c>
      <c r="M564" s="378">
        <v>15</v>
      </c>
      <c r="N564" s="40"/>
      <c r="P564" s="377">
        <v>45</v>
      </c>
      <c r="Q564" s="232">
        <f t="shared" si="302"/>
        <v>11.25</v>
      </c>
      <c r="R564" s="40">
        <v>0.85</v>
      </c>
      <c r="S564" s="334">
        <f t="shared" si="303"/>
        <v>9.5625</v>
      </c>
      <c r="T564" s="31">
        <f>VLOOKUP(A564,'Ansvar kurs'!$A$1:$C$1010,2,FALSE)</f>
        <v>2180</v>
      </c>
      <c r="U564" s="31" t="str">
        <f>VLOOKUP(T564,Orgenheter!$A$1:$C$165,2,FALSE)</f>
        <v xml:space="preserve">Pedagogik                     </v>
      </c>
      <c r="V564" s="31" t="str">
        <f>VLOOKUP(T564,Orgenheter!$A$1:$C$165,3,FALSE)</f>
        <v>Sam</v>
      </c>
      <c r="W564" s="37" t="str">
        <f>VLOOKUP(D564,Program!$A$1:$B$34,2,FALSE)</f>
        <v>Yrkeslärarprogrammet</v>
      </c>
      <c r="X564" s="42">
        <f>VLOOKUP(A564,kurspris!$A$1:$Q$798,15,FALSE)</f>
        <v>23641</v>
      </c>
      <c r="Y564" s="42">
        <f>VLOOKUP(A564,kurspris!$A$1:$Q$798,16,FALSE)</f>
        <v>28786</v>
      </c>
      <c r="Z564" s="42">
        <f t="shared" si="304"/>
        <v>541227.375</v>
      </c>
      <c r="AA564" s="42">
        <f>VLOOKUP(A564,kurspris!$A$1:$Q$798,17,FALSE)</f>
        <v>5800</v>
      </c>
      <c r="AB564" s="42">
        <f t="shared" si="305"/>
        <v>65250</v>
      </c>
      <c r="AC564" s="42">
        <f t="shared" si="306"/>
        <v>606477.375</v>
      </c>
      <c r="AD564" s="31">
        <f>VLOOKUP($A564,kurspris!$A$1:$Q$835,3,FALSE)</f>
        <v>0</v>
      </c>
      <c r="AE564" s="31">
        <f>VLOOKUP($A564,kurspris!$A$1:$Q$835,4,FALSE)</f>
        <v>0</v>
      </c>
      <c r="AF564" s="31">
        <f>VLOOKUP($A564,kurspris!$A$1:$Q$835,5,FALSE)</f>
        <v>0</v>
      </c>
      <c r="AG564" s="31">
        <f>VLOOKUP($A564,kurspris!$A$1:$Q$835,6,FALSE)</f>
        <v>1</v>
      </c>
      <c r="AH564" s="31">
        <f>VLOOKUP($A564,kurspris!$A$1:$Q$835,7,FALSE)</f>
        <v>0</v>
      </c>
      <c r="AI564" s="31">
        <f>VLOOKUP($A564,kurspris!$A$1:$Q$835,8,FALSE)</f>
        <v>0</v>
      </c>
      <c r="AJ564" s="31">
        <f>VLOOKUP($A564,kurspris!$A$1:$Q$835,9,FALSE)</f>
        <v>0</v>
      </c>
      <c r="AK564" s="31">
        <f>VLOOKUP($A564,kurspris!$A$1:$Q$835,10,FALSE)</f>
        <v>0</v>
      </c>
      <c r="AL564" s="31">
        <f>VLOOKUP($A564,kurspris!$A$1:$Q$835,11,FALSE)</f>
        <v>0</v>
      </c>
      <c r="AM564" s="31">
        <f>VLOOKUP($A564,kurspris!$A$1:$Q$835,12,FALSE)</f>
        <v>0</v>
      </c>
      <c r="AN564" s="31">
        <f>VLOOKUP($A564,kurspris!$A$1:$Q$835,13,FALSE)</f>
        <v>0</v>
      </c>
      <c r="AO564" s="31">
        <f>VLOOKUP($A564,kurspris!$A$1:$Q$835,14,FALSE)</f>
        <v>0</v>
      </c>
      <c r="AP564" s="39" t="s">
        <v>2326</v>
      </c>
      <c r="AQ564"/>
      <c r="AR564" s="31">
        <f t="shared" si="307"/>
        <v>0</v>
      </c>
      <c r="AS564" s="255">
        <f t="shared" si="308"/>
        <v>0</v>
      </c>
      <c r="AT564" s="31">
        <f t="shared" si="309"/>
        <v>0</v>
      </c>
      <c r="AU564" s="255">
        <f t="shared" si="310"/>
        <v>0</v>
      </c>
      <c r="AV564" s="31">
        <f t="shared" si="311"/>
        <v>0</v>
      </c>
      <c r="AW564" s="31">
        <f t="shared" si="312"/>
        <v>0</v>
      </c>
      <c r="AX564" s="31">
        <f t="shared" si="313"/>
        <v>11.25</v>
      </c>
      <c r="AY564" s="255">
        <f t="shared" si="314"/>
        <v>9.5625</v>
      </c>
      <c r="AZ564" s="232">
        <f t="shared" si="315"/>
        <v>0</v>
      </c>
      <c r="BA564" s="255">
        <f t="shared" si="316"/>
        <v>0</v>
      </c>
      <c r="BB564" s="31">
        <f t="shared" si="317"/>
        <v>0</v>
      </c>
      <c r="BC564" s="255">
        <f t="shared" si="318"/>
        <v>0</v>
      </c>
      <c r="BD564" s="31">
        <f t="shared" si="319"/>
        <v>0</v>
      </c>
      <c r="BE564" s="255">
        <f t="shared" si="320"/>
        <v>0</v>
      </c>
      <c r="BF564" s="31">
        <f t="shared" si="321"/>
        <v>0</v>
      </c>
      <c r="BG564" s="255">
        <f t="shared" si="322"/>
        <v>0</v>
      </c>
      <c r="BH564" s="31">
        <f t="shared" si="323"/>
        <v>0</v>
      </c>
      <c r="BI564" s="255">
        <f t="shared" si="324"/>
        <v>0</v>
      </c>
      <c r="BJ564" s="31">
        <f t="shared" si="325"/>
        <v>0</v>
      </c>
      <c r="BK564" s="31">
        <f t="shared" si="326"/>
        <v>0</v>
      </c>
      <c r="BL564" s="255">
        <f t="shared" si="327"/>
        <v>0</v>
      </c>
      <c r="BM564" s="31">
        <f t="shared" si="328"/>
        <v>0</v>
      </c>
      <c r="BN564" s="255">
        <f t="shared" si="329"/>
        <v>0</v>
      </c>
    </row>
    <row r="565" spans="1:66" x14ac:dyDescent="0.25">
      <c r="A565" s="18" t="s">
        <v>976</v>
      </c>
      <c r="B565" s="186" t="str">
        <f>VLOOKUP(A565,kurspris!$A$1:$B$877,2,FALSE)</f>
        <v>Vetenskapsteori och vetenskaplig metod</v>
      </c>
      <c r="C565" s="37"/>
      <c r="D565" t="s">
        <v>117</v>
      </c>
      <c r="E565"/>
      <c r="F565" s="59" t="s">
        <v>1930</v>
      </c>
      <c r="G565"/>
      <c r="H565"/>
      <c r="I565" t="s">
        <v>2066</v>
      </c>
      <c r="L565">
        <v>50</v>
      </c>
      <c r="M565">
        <v>15</v>
      </c>
      <c r="P565" s="31">
        <v>9</v>
      </c>
      <c r="Q565" s="232">
        <f t="shared" si="302"/>
        <v>2.25</v>
      </c>
      <c r="R565" s="40">
        <v>0.8</v>
      </c>
      <c r="S565" s="334">
        <f t="shared" si="303"/>
        <v>1.8</v>
      </c>
      <c r="T565" s="31">
        <f>VLOOKUP(A565,'Ansvar kurs'!$A$1:$C$1010,2,FALSE)</f>
        <v>2193</v>
      </c>
      <c r="U565" s="31" t="str">
        <f>VLOOKUP(T565,Orgenheter!$A$1:$C$165,2,FALSE)</f>
        <v xml:space="preserve">TUV </v>
      </c>
      <c r="V565" s="31" t="str">
        <f>VLOOKUP(T565,Orgenheter!$A$1:$C$165,3,FALSE)</f>
        <v>Sam</v>
      </c>
      <c r="W565" s="37" t="str">
        <f>VLOOKUP(D565,Program!$A$1:$B$34,2,FALSE)</f>
        <v>Fristående och övriga kurser</v>
      </c>
      <c r="X565" s="42">
        <f>VLOOKUP(A565,kurspris!$A$1:$Q$798,15,FALSE)</f>
        <v>18405</v>
      </c>
      <c r="Y565" s="42">
        <f>VLOOKUP(A565,kurspris!$A$1:$Q$798,16,FALSE)</f>
        <v>15773</v>
      </c>
      <c r="Z565" s="42">
        <f t="shared" si="304"/>
        <v>69802.649999999994</v>
      </c>
      <c r="AA565" s="42">
        <f>VLOOKUP(A565,kurspris!$A$1:$Q$798,17,FALSE)</f>
        <v>5800</v>
      </c>
      <c r="AB565" s="42">
        <f t="shared" si="305"/>
        <v>13050</v>
      </c>
      <c r="AC565" s="42">
        <f t="shared" si="306"/>
        <v>82852.649999999994</v>
      </c>
      <c r="AD565" s="31">
        <f>VLOOKUP($A565,kurspris!$A$1:$Q$835,3,FALSE)</f>
        <v>0</v>
      </c>
      <c r="AE565" s="31">
        <f>VLOOKUP($A565,kurspris!$A$1:$Q$835,4,FALSE)</f>
        <v>0</v>
      </c>
      <c r="AF565" s="31">
        <f>VLOOKUP($A565,kurspris!$A$1:$Q$835,5,FALSE)</f>
        <v>0</v>
      </c>
      <c r="AG565" s="31">
        <f>VLOOKUP($A565,kurspris!$A$1:$Q$835,6,FALSE)</f>
        <v>0</v>
      </c>
      <c r="AH565" s="31">
        <f>VLOOKUP($A565,kurspris!$A$1:$Q$835,7,FALSE)</f>
        <v>0</v>
      </c>
      <c r="AI565" s="31">
        <f>VLOOKUP($A565,kurspris!$A$1:$Q$835,8,FALSE)</f>
        <v>0</v>
      </c>
      <c r="AJ565" s="31">
        <f>VLOOKUP($A565,kurspris!$A$1:$Q$835,9,FALSE)</f>
        <v>1</v>
      </c>
      <c r="AK565" s="31">
        <f>VLOOKUP($A565,kurspris!$A$1:$Q$835,10,FALSE)</f>
        <v>0</v>
      </c>
      <c r="AL565" s="31">
        <f>VLOOKUP($A565,kurspris!$A$1:$Q$835,11,FALSE)</f>
        <v>0</v>
      </c>
      <c r="AM565" s="31">
        <f>VLOOKUP($A565,kurspris!$A$1:$Q$835,12,FALSE)</f>
        <v>0</v>
      </c>
      <c r="AN565" s="31">
        <f>VLOOKUP($A565,kurspris!$A$1:$Q$835,13,FALSE)</f>
        <v>0</v>
      </c>
      <c r="AO565" s="31">
        <f>VLOOKUP($A565,kurspris!$A$1:$Q$835,14,FALSE)</f>
        <v>0</v>
      </c>
      <c r="AP565" s="39" t="s">
        <v>2204</v>
      </c>
      <c r="AQ565" s="39" t="s">
        <v>2095</v>
      </c>
      <c r="AR565" s="31">
        <f t="shared" si="307"/>
        <v>0</v>
      </c>
      <c r="AS565" s="255">
        <f t="shared" si="308"/>
        <v>0</v>
      </c>
      <c r="AT565" s="31">
        <f t="shared" si="309"/>
        <v>0</v>
      </c>
      <c r="AU565" s="255">
        <f t="shared" si="310"/>
        <v>0</v>
      </c>
      <c r="AV565" s="31">
        <f t="shared" si="311"/>
        <v>0</v>
      </c>
      <c r="AW565" s="31">
        <f t="shared" si="312"/>
        <v>0</v>
      </c>
      <c r="AX565" s="31">
        <f t="shared" si="313"/>
        <v>0</v>
      </c>
      <c r="AY565" s="255">
        <f t="shared" si="314"/>
        <v>0</v>
      </c>
      <c r="AZ565" s="232">
        <f t="shared" si="315"/>
        <v>0</v>
      </c>
      <c r="BA565" s="255">
        <f t="shared" si="316"/>
        <v>0</v>
      </c>
      <c r="BB565" s="31">
        <f t="shared" si="317"/>
        <v>0</v>
      </c>
      <c r="BC565" s="255">
        <f t="shared" si="318"/>
        <v>0</v>
      </c>
      <c r="BD565" s="31">
        <f t="shared" si="319"/>
        <v>2.25</v>
      </c>
      <c r="BE565" s="255">
        <f t="shared" si="320"/>
        <v>1.8</v>
      </c>
      <c r="BF565" s="31">
        <f t="shared" si="321"/>
        <v>0</v>
      </c>
      <c r="BG565" s="255">
        <f t="shared" si="322"/>
        <v>0</v>
      </c>
      <c r="BH565" s="31">
        <f t="shared" si="323"/>
        <v>0</v>
      </c>
      <c r="BI565" s="255">
        <f t="shared" si="324"/>
        <v>0</v>
      </c>
      <c r="BJ565" s="31">
        <f t="shared" si="325"/>
        <v>0</v>
      </c>
      <c r="BK565" s="31">
        <f t="shared" si="326"/>
        <v>0</v>
      </c>
      <c r="BL565" s="255">
        <f t="shared" si="327"/>
        <v>0</v>
      </c>
      <c r="BM565" s="31">
        <f t="shared" si="328"/>
        <v>0</v>
      </c>
      <c r="BN565" s="255">
        <f t="shared" si="329"/>
        <v>0</v>
      </c>
    </row>
    <row r="566" spans="1:66" x14ac:dyDescent="0.25">
      <c r="A566" t="s">
        <v>920</v>
      </c>
      <c r="B566" s="186" t="str">
        <f>VLOOKUP(A566,kurspris!$A$1:$B$877,2,FALSE)</f>
        <v>Ämnesdidaktik för yrkeslärare</v>
      </c>
      <c r="C566"/>
      <c r="D566" t="s">
        <v>627</v>
      </c>
      <c r="E566" t="s">
        <v>1976</v>
      </c>
      <c r="F566" s="39" t="s">
        <v>1930</v>
      </c>
      <c r="G566" t="s">
        <v>2031</v>
      </c>
      <c r="H566" t="s">
        <v>1910</v>
      </c>
      <c r="I566"/>
      <c r="J566"/>
      <c r="K566"/>
      <c r="L566">
        <v>50</v>
      </c>
      <c r="M566">
        <v>10</v>
      </c>
      <c r="N566"/>
      <c r="O566"/>
      <c r="P566" s="31">
        <v>0</v>
      </c>
      <c r="Q566" s="232">
        <f t="shared" si="302"/>
        <v>0</v>
      </c>
      <c r="R566" s="40">
        <v>0.85</v>
      </c>
      <c r="S566" s="334">
        <f t="shared" si="303"/>
        <v>0</v>
      </c>
      <c r="T566" s="31">
        <f>VLOOKUP(A566,'Ansvar kurs'!$A$1:$C$1010,2,FALSE)</f>
        <v>2193</v>
      </c>
      <c r="U566" s="31" t="str">
        <f>VLOOKUP(T566,Orgenheter!$A$1:$C$165,2,FALSE)</f>
        <v xml:space="preserve">TUV </v>
      </c>
      <c r="V566" s="31" t="str">
        <f>VLOOKUP(T566,Orgenheter!$A$1:$C$165,3,FALSE)</f>
        <v>Sam</v>
      </c>
      <c r="W566" s="37" t="str">
        <f>VLOOKUP(D566,Program!$A$1:$B$34,2,FALSE)</f>
        <v>Yrkeslärarprogrammet</v>
      </c>
      <c r="X566" s="42">
        <f>VLOOKUP(A566,kurspris!$A$1:$Q$798,15,FALSE)</f>
        <v>23641</v>
      </c>
      <c r="Y566" s="42">
        <f>VLOOKUP(A566,kurspris!$A$1:$Q$798,16,FALSE)</f>
        <v>28786</v>
      </c>
      <c r="Z566" s="42">
        <f t="shared" si="304"/>
        <v>0</v>
      </c>
      <c r="AA566" s="42">
        <f>VLOOKUP(A566,kurspris!$A$1:$Q$798,17,FALSE)</f>
        <v>5800</v>
      </c>
      <c r="AB566" s="42">
        <f t="shared" si="305"/>
        <v>0</v>
      </c>
      <c r="AC566" s="42">
        <f t="shared" si="306"/>
        <v>0</v>
      </c>
      <c r="AD566" s="31">
        <f>VLOOKUP($A566,kurspris!$A$1:$Q$835,3,FALSE)</f>
        <v>0</v>
      </c>
      <c r="AE566" s="31">
        <f>VLOOKUP($A566,kurspris!$A$1:$Q$835,4,FALSE)</f>
        <v>0</v>
      </c>
      <c r="AF566" s="31">
        <f>VLOOKUP($A566,kurspris!$A$1:$Q$835,5,FALSE)</f>
        <v>0</v>
      </c>
      <c r="AG566" s="31">
        <f>VLOOKUP($A566,kurspris!$A$1:$Q$835,6,FALSE)</f>
        <v>1</v>
      </c>
      <c r="AH566" s="31">
        <f>VLOOKUP($A566,kurspris!$A$1:$Q$835,7,FALSE)</f>
        <v>0</v>
      </c>
      <c r="AI566" s="31">
        <f>VLOOKUP($A566,kurspris!$A$1:$Q$835,8,FALSE)</f>
        <v>0</v>
      </c>
      <c r="AJ566" s="31">
        <f>VLOOKUP($A566,kurspris!$A$1:$Q$835,9,FALSE)</f>
        <v>0</v>
      </c>
      <c r="AK566" s="31">
        <f>VLOOKUP($A566,kurspris!$A$1:$Q$835,10,FALSE)</f>
        <v>0</v>
      </c>
      <c r="AL566" s="31">
        <f>VLOOKUP($A566,kurspris!$A$1:$Q$835,11,FALSE)</f>
        <v>0</v>
      </c>
      <c r="AM566" s="31">
        <f>VLOOKUP($A566,kurspris!$A$1:$Q$835,12,FALSE)</f>
        <v>0</v>
      </c>
      <c r="AN566" s="31">
        <f>VLOOKUP($A566,kurspris!$A$1:$Q$835,13,FALSE)</f>
        <v>0</v>
      </c>
      <c r="AO566" s="31">
        <f>VLOOKUP($A566,kurspris!$A$1:$Q$835,14,FALSE)</f>
        <v>0</v>
      </c>
      <c r="AP566" s="39" t="s">
        <v>2204</v>
      </c>
      <c r="AQ566"/>
      <c r="AR566" s="31">
        <f t="shared" si="307"/>
        <v>0</v>
      </c>
      <c r="AS566" s="255">
        <f t="shared" si="308"/>
        <v>0</v>
      </c>
      <c r="AT566" s="31">
        <f t="shared" si="309"/>
        <v>0</v>
      </c>
      <c r="AU566" s="255">
        <f t="shared" si="310"/>
        <v>0</v>
      </c>
      <c r="AV566" s="31">
        <f t="shared" si="311"/>
        <v>0</v>
      </c>
      <c r="AW566" s="31">
        <f t="shared" si="312"/>
        <v>0</v>
      </c>
      <c r="AX566" s="31">
        <f t="shared" si="313"/>
        <v>0</v>
      </c>
      <c r="AY566" s="255">
        <f t="shared" si="314"/>
        <v>0</v>
      </c>
      <c r="AZ566" s="232">
        <f t="shared" si="315"/>
        <v>0</v>
      </c>
      <c r="BA566" s="255">
        <f t="shared" si="316"/>
        <v>0</v>
      </c>
      <c r="BB566" s="31">
        <f t="shared" si="317"/>
        <v>0</v>
      </c>
      <c r="BC566" s="255">
        <f t="shared" si="318"/>
        <v>0</v>
      </c>
      <c r="BD566" s="31">
        <f t="shared" si="319"/>
        <v>0</v>
      </c>
      <c r="BE566" s="255">
        <f t="shared" si="320"/>
        <v>0</v>
      </c>
      <c r="BF566" s="31">
        <f t="shared" si="321"/>
        <v>0</v>
      </c>
      <c r="BG566" s="255">
        <f t="shared" si="322"/>
        <v>0</v>
      </c>
      <c r="BH566" s="31">
        <f t="shared" si="323"/>
        <v>0</v>
      </c>
      <c r="BI566" s="255">
        <f t="shared" si="324"/>
        <v>0</v>
      </c>
      <c r="BJ566" s="31">
        <f t="shared" si="325"/>
        <v>0</v>
      </c>
      <c r="BK566" s="31">
        <f t="shared" si="326"/>
        <v>0</v>
      </c>
      <c r="BL566" s="255">
        <f t="shared" si="327"/>
        <v>0</v>
      </c>
      <c r="BM566" s="31">
        <f t="shared" si="328"/>
        <v>0</v>
      </c>
      <c r="BN566" s="255">
        <f t="shared" si="329"/>
        <v>0</v>
      </c>
    </row>
    <row r="567" spans="1:66" x14ac:dyDescent="0.25">
      <c r="A567" t="s">
        <v>920</v>
      </c>
      <c r="B567" s="186" t="str">
        <f>VLOOKUP(A567,kurspris!$A$1:$B$877,2,FALSE)</f>
        <v>Ämnesdidaktik för yrkeslärare</v>
      </c>
      <c r="C567"/>
      <c r="D567" t="s">
        <v>627</v>
      </c>
      <c r="E567" t="s">
        <v>1609</v>
      </c>
      <c r="F567" s="39" t="s">
        <v>1930</v>
      </c>
      <c r="G567" t="s">
        <v>2031</v>
      </c>
      <c r="H567" t="s">
        <v>1910</v>
      </c>
      <c r="I567"/>
      <c r="J567"/>
      <c r="K567"/>
      <c r="L567">
        <v>50</v>
      </c>
      <c r="M567">
        <v>10</v>
      </c>
      <c r="N567"/>
      <c r="O567"/>
      <c r="P567" s="31">
        <v>24</v>
      </c>
      <c r="Q567" s="232">
        <f t="shared" si="302"/>
        <v>4</v>
      </c>
      <c r="R567" s="40">
        <v>0.85</v>
      </c>
      <c r="S567" s="334">
        <f t="shared" si="303"/>
        <v>3.4</v>
      </c>
      <c r="T567" s="31">
        <f>VLOOKUP(A567,'Ansvar kurs'!$A$1:$C$1010,2,FALSE)</f>
        <v>2193</v>
      </c>
      <c r="U567" s="31" t="str">
        <f>VLOOKUP(T567,Orgenheter!$A$1:$C$165,2,FALSE)</f>
        <v xml:space="preserve">TUV </v>
      </c>
      <c r="V567" s="31" t="str">
        <f>VLOOKUP(T567,Orgenheter!$A$1:$C$165,3,FALSE)</f>
        <v>Sam</v>
      </c>
      <c r="W567" s="37" t="str">
        <f>VLOOKUP(D567,Program!$A$1:$B$34,2,FALSE)</f>
        <v>Yrkeslärarprogrammet</v>
      </c>
      <c r="X567" s="42">
        <f>VLOOKUP(A567,kurspris!$A$1:$Q$798,15,FALSE)</f>
        <v>23641</v>
      </c>
      <c r="Y567" s="42">
        <f>VLOOKUP(A567,kurspris!$A$1:$Q$798,16,FALSE)</f>
        <v>28786</v>
      </c>
      <c r="Z567" s="42">
        <f t="shared" si="304"/>
        <v>192436.4</v>
      </c>
      <c r="AA567" s="42">
        <f>VLOOKUP(A567,kurspris!$A$1:$Q$798,17,FALSE)</f>
        <v>5800</v>
      </c>
      <c r="AB567" s="42">
        <f t="shared" si="305"/>
        <v>23200</v>
      </c>
      <c r="AC567" s="42">
        <f t="shared" si="306"/>
        <v>215636.4</v>
      </c>
      <c r="AD567" s="31">
        <f>VLOOKUP($A567,kurspris!$A$1:$Q$835,3,FALSE)</f>
        <v>0</v>
      </c>
      <c r="AE567" s="31">
        <f>VLOOKUP($A567,kurspris!$A$1:$Q$835,4,FALSE)</f>
        <v>0</v>
      </c>
      <c r="AF567" s="31">
        <f>VLOOKUP($A567,kurspris!$A$1:$Q$835,5,FALSE)</f>
        <v>0</v>
      </c>
      <c r="AG567" s="31">
        <f>VLOOKUP($A567,kurspris!$A$1:$Q$835,6,FALSE)</f>
        <v>1</v>
      </c>
      <c r="AH567" s="31">
        <f>VLOOKUP($A567,kurspris!$A$1:$Q$835,7,FALSE)</f>
        <v>0</v>
      </c>
      <c r="AI567" s="31">
        <f>VLOOKUP($A567,kurspris!$A$1:$Q$835,8,FALSE)</f>
        <v>0</v>
      </c>
      <c r="AJ567" s="31">
        <f>VLOOKUP($A567,kurspris!$A$1:$Q$835,9,FALSE)</f>
        <v>0</v>
      </c>
      <c r="AK567" s="31">
        <f>VLOOKUP($A567,kurspris!$A$1:$Q$835,10,FALSE)</f>
        <v>0</v>
      </c>
      <c r="AL567" s="31">
        <f>VLOOKUP($A567,kurspris!$A$1:$Q$835,11,FALSE)</f>
        <v>0</v>
      </c>
      <c r="AM567" s="31">
        <f>VLOOKUP($A567,kurspris!$A$1:$Q$835,12,FALSE)</f>
        <v>0</v>
      </c>
      <c r="AN567" s="31">
        <f>VLOOKUP($A567,kurspris!$A$1:$Q$835,13,FALSE)</f>
        <v>0</v>
      </c>
      <c r="AO567" s="31">
        <f>VLOOKUP($A567,kurspris!$A$1:$Q$835,14,FALSE)</f>
        <v>0</v>
      </c>
      <c r="AP567" s="39" t="s">
        <v>2204</v>
      </c>
      <c r="AQ567"/>
      <c r="AR567" s="31">
        <f t="shared" si="307"/>
        <v>0</v>
      </c>
      <c r="AS567" s="255">
        <f t="shared" si="308"/>
        <v>0</v>
      </c>
      <c r="AT567" s="31">
        <f t="shared" si="309"/>
        <v>0</v>
      </c>
      <c r="AU567" s="255">
        <f t="shared" si="310"/>
        <v>0</v>
      </c>
      <c r="AV567" s="31">
        <f t="shared" si="311"/>
        <v>0</v>
      </c>
      <c r="AW567" s="31">
        <f t="shared" si="312"/>
        <v>0</v>
      </c>
      <c r="AX567" s="31">
        <f t="shared" si="313"/>
        <v>4</v>
      </c>
      <c r="AY567" s="255">
        <f t="shared" si="314"/>
        <v>3.4</v>
      </c>
      <c r="AZ567" s="232">
        <f t="shared" si="315"/>
        <v>0</v>
      </c>
      <c r="BA567" s="255">
        <f t="shared" si="316"/>
        <v>0</v>
      </c>
      <c r="BB567" s="31">
        <f t="shared" si="317"/>
        <v>0</v>
      </c>
      <c r="BC567" s="255">
        <f t="shared" si="318"/>
        <v>0</v>
      </c>
      <c r="BD567" s="31">
        <f t="shared" si="319"/>
        <v>0</v>
      </c>
      <c r="BE567" s="255">
        <f t="shared" si="320"/>
        <v>0</v>
      </c>
      <c r="BF567" s="31">
        <f t="shared" si="321"/>
        <v>0</v>
      </c>
      <c r="BG567" s="255">
        <f t="shared" si="322"/>
        <v>0</v>
      </c>
      <c r="BH567" s="31">
        <f t="shared" si="323"/>
        <v>0</v>
      </c>
      <c r="BI567" s="255">
        <f t="shared" si="324"/>
        <v>0</v>
      </c>
      <c r="BJ567" s="31">
        <f t="shared" si="325"/>
        <v>0</v>
      </c>
      <c r="BK567" s="31">
        <f t="shared" si="326"/>
        <v>0</v>
      </c>
      <c r="BL567" s="255">
        <f t="shared" si="327"/>
        <v>0</v>
      </c>
      <c r="BM567" s="31">
        <f t="shared" si="328"/>
        <v>0</v>
      </c>
      <c r="BN567" s="255">
        <f t="shared" si="329"/>
        <v>0</v>
      </c>
    </row>
    <row r="568" spans="1:66" x14ac:dyDescent="0.25">
      <c r="A568" t="s">
        <v>920</v>
      </c>
      <c r="B568" s="186" t="str">
        <f>VLOOKUP(A568,kurspris!$A$1:$B$877,2,FALSE)</f>
        <v>Ämnesdidaktik för yrkeslärare</v>
      </c>
      <c r="C568"/>
      <c r="D568" t="s">
        <v>627</v>
      </c>
      <c r="E568" t="s">
        <v>1788</v>
      </c>
      <c r="F568" s="39" t="s">
        <v>1930</v>
      </c>
      <c r="G568" t="s">
        <v>2031</v>
      </c>
      <c r="H568" t="s">
        <v>1910</v>
      </c>
      <c r="I568"/>
      <c r="J568"/>
      <c r="K568"/>
      <c r="L568">
        <v>50</v>
      </c>
      <c r="M568">
        <v>10</v>
      </c>
      <c r="N568"/>
      <c r="O568"/>
      <c r="P568" s="31">
        <v>1</v>
      </c>
      <c r="Q568" s="232">
        <f t="shared" si="302"/>
        <v>0.16666666666666666</v>
      </c>
      <c r="R568" s="40">
        <v>0.85</v>
      </c>
      <c r="S568" s="334">
        <f t="shared" si="303"/>
        <v>0.14166666666666666</v>
      </c>
      <c r="T568" s="31">
        <f>VLOOKUP(A568,'Ansvar kurs'!$A$1:$C$1010,2,FALSE)</f>
        <v>2193</v>
      </c>
      <c r="U568" s="31" t="str">
        <f>VLOOKUP(T568,Orgenheter!$A$1:$C$165,2,FALSE)</f>
        <v xml:space="preserve">TUV </v>
      </c>
      <c r="V568" s="31" t="str">
        <f>VLOOKUP(T568,Orgenheter!$A$1:$C$165,3,FALSE)</f>
        <v>Sam</v>
      </c>
      <c r="W568" s="37" t="str">
        <f>VLOOKUP(D568,Program!$A$1:$B$34,2,FALSE)</f>
        <v>Yrkeslärarprogrammet</v>
      </c>
      <c r="X568" s="42">
        <f>VLOOKUP(A568,kurspris!$A$1:$Q$798,15,FALSE)</f>
        <v>23641</v>
      </c>
      <c r="Y568" s="42">
        <f>VLOOKUP(A568,kurspris!$A$1:$Q$798,16,FALSE)</f>
        <v>28786</v>
      </c>
      <c r="Z568" s="42">
        <f t="shared" si="304"/>
        <v>8018.1833333333325</v>
      </c>
      <c r="AA568" s="42">
        <f>VLOOKUP(A568,kurspris!$A$1:$Q$798,17,FALSE)</f>
        <v>5800</v>
      </c>
      <c r="AB568" s="42">
        <f t="shared" si="305"/>
        <v>966.66666666666663</v>
      </c>
      <c r="AC568" s="42">
        <f t="shared" si="306"/>
        <v>8984.8499999999985</v>
      </c>
      <c r="AD568" s="31">
        <f>VLOOKUP($A568,kurspris!$A$1:$Q$835,3,FALSE)</f>
        <v>0</v>
      </c>
      <c r="AE568" s="31">
        <f>VLOOKUP($A568,kurspris!$A$1:$Q$835,4,FALSE)</f>
        <v>0</v>
      </c>
      <c r="AF568" s="31">
        <f>VLOOKUP($A568,kurspris!$A$1:$Q$835,5,FALSE)</f>
        <v>0</v>
      </c>
      <c r="AG568" s="31">
        <f>VLOOKUP($A568,kurspris!$A$1:$Q$835,6,FALSE)</f>
        <v>1</v>
      </c>
      <c r="AH568" s="31">
        <f>VLOOKUP($A568,kurspris!$A$1:$Q$835,7,FALSE)</f>
        <v>0</v>
      </c>
      <c r="AI568" s="31">
        <f>VLOOKUP($A568,kurspris!$A$1:$Q$835,8,FALSE)</f>
        <v>0</v>
      </c>
      <c r="AJ568" s="31">
        <f>VLOOKUP($A568,kurspris!$A$1:$Q$835,9,FALSE)</f>
        <v>0</v>
      </c>
      <c r="AK568" s="31">
        <f>VLOOKUP($A568,kurspris!$A$1:$Q$835,10,FALSE)</f>
        <v>0</v>
      </c>
      <c r="AL568" s="31">
        <f>VLOOKUP($A568,kurspris!$A$1:$Q$835,11,FALSE)</f>
        <v>0</v>
      </c>
      <c r="AM568" s="31">
        <f>VLOOKUP($A568,kurspris!$A$1:$Q$835,12,FALSE)</f>
        <v>0</v>
      </c>
      <c r="AN568" s="31">
        <f>VLOOKUP($A568,kurspris!$A$1:$Q$835,13,FALSE)</f>
        <v>0</v>
      </c>
      <c r="AO568" s="31">
        <f>VLOOKUP($A568,kurspris!$A$1:$Q$835,14,FALSE)</f>
        <v>0</v>
      </c>
      <c r="AP568" s="39" t="s">
        <v>2204</v>
      </c>
      <c r="AQ568"/>
      <c r="AR568" s="31">
        <f t="shared" si="307"/>
        <v>0</v>
      </c>
      <c r="AS568" s="255">
        <f t="shared" si="308"/>
        <v>0</v>
      </c>
      <c r="AT568" s="31">
        <f t="shared" si="309"/>
        <v>0</v>
      </c>
      <c r="AU568" s="255">
        <f t="shared" si="310"/>
        <v>0</v>
      </c>
      <c r="AV568" s="31">
        <f t="shared" si="311"/>
        <v>0</v>
      </c>
      <c r="AW568" s="31">
        <f t="shared" si="312"/>
        <v>0</v>
      </c>
      <c r="AX568" s="31">
        <f t="shared" si="313"/>
        <v>0.16666666666666666</v>
      </c>
      <c r="AY568" s="255">
        <f t="shared" si="314"/>
        <v>0.14166666666666666</v>
      </c>
      <c r="AZ568" s="232">
        <f t="shared" si="315"/>
        <v>0</v>
      </c>
      <c r="BA568" s="255">
        <f t="shared" si="316"/>
        <v>0</v>
      </c>
      <c r="BB568" s="31">
        <f t="shared" si="317"/>
        <v>0</v>
      </c>
      <c r="BC568" s="255">
        <f t="shared" si="318"/>
        <v>0</v>
      </c>
      <c r="BD568" s="31">
        <f t="shared" si="319"/>
        <v>0</v>
      </c>
      <c r="BE568" s="255">
        <f t="shared" si="320"/>
        <v>0</v>
      </c>
      <c r="BF568" s="31">
        <f t="shared" si="321"/>
        <v>0</v>
      </c>
      <c r="BG568" s="255">
        <f t="shared" si="322"/>
        <v>0</v>
      </c>
      <c r="BH568" s="31">
        <f t="shared" si="323"/>
        <v>0</v>
      </c>
      <c r="BI568" s="255">
        <f t="shared" si="324"/>
        <v>0</v>
      </c>
      <c r="BJ568" s="31">
        <f t="shared" si="325"/>
        <v>0</v>
      </c>
      <c r="BK568" s="31">
        <f t="shared" si="326"/>
        <v>0</v>
      </c>
      <c r="BL568" s="255">
        <f t="shared" si="327"/>
        <v>0</v>
      </c>
      <c r="BM568" s="31">
        <f t="shared" si="328"/>
        <v>0</v>
      </c>
      <c r="BN568" s="255">
        <f t="shared" si="329"/>
        <v>0</v>
      </c>
    </row>
    <row r="569" spans="1:66" x14ac:dyDescent="0.25">
      <c r="A569" t="s">
        <v>920</v>
      </c>
      <c r="B569" s="186" t="str">
        <f>VLOOKUP(A569,kurspris!$A$1:$B$877,2,FALSE)</f>
        <v>Ämnesdidaktik för yrkeslärare</v>
      </c>
      <c r="C569"/>
      <c r="D569" t="s">
        <v>627</v>
      </c>
      <c r="E569" t="s">
        <v>1930</v>
      </c>
      <c r="F569" s="39" t="s">
        <v>1930</v>
      </c>
      <c r="G569" t="s">
        <v>2031</v>
      </c>
      <c r="H569" t="s">
        <v>1910</v>
      </c>
      <c r="I569"/>
      <c r="J569"/>
      <c r="K569"/>
      <c r="L569">
        <v>50</v>
      </c>
      <c r="M569">
        <v>10</v>
      </c>
      <c r="N569"/>
      <c r="O569"/>
      <c r="P569" s="31">
        <v>1</v>
      </c>
      <c r="Q569" s="232">
        <f t="shared" si="302"/>
        <v>0.16666666666666666</v>
      </c>
      <c r="R569" s="40">
        <v>0.85</v>
      </c>
      <c r="S569" s="334">
        <f t="shared" si="303"/>
        <v>0.14166666666666666</v>
      </c>
      <c r="T569" s="31">
        <f>VLOOKUP(A569,'Ansvar kurs'!$A$1:$C$1010,2,FALSE)</f>
        <v>2193</v>
      </c>
      <c r="U569" s="31" t="str">
        <f>VLOOKUP(T569,Orgenheter!$A$1:$C$165,2,FALSE)</f>
        <v xml:space="preserve">TUV </v>
      </c>
      <c r="V569" s="31" t="str">
        <f>VLOOKUP(T569,Orgenheter!$A$1:$C$165,3,FALSE)</f>
        <v>Sam</v>
      </c>
      <c r="W569" s="37" t="str">
        <f>VLOOKUP(D569,Program!$A$1:$B$34,2,FALSE)</f>
        <v>Yrkeslärarprogrammet</v>
      </c>
      <c r="X569" s="42">
        <f>VLOOKUP(A569,kurspris!$A$1:$Q$798,15,FALSE)</f>
        <v>23641</v>
      </c>
      <c r="Y569" s="42">
        <f>VLOOKUP(A569,kurspris!$A$1:$Q$798,16,FALSE)</f>
        <v>28786</v>
      </c>
      <c r="Z569" s="42">
        <f t="shared" si="304"/>
        <v>8018.1833333333325</v>
      </c>
      <c r="AA569" s="42">
        <f>VLOOKUP(A569,kurspris!$A$1:$Q$798,17,FALSE)</f>
        <v>5800</v>
      </c>
      <c r="AB569" s="42">
        <f t="shared" si="305"/>
        <v>966.66666666666663</v>
      </c>
      <c r="AC569" s="42">
        <f t="shared" si="306"/>
        <v>8984.8499999999985</v>
      </c>
      <c r="AD569" s="31">
        <f>VLOOKUP($A569,kurspris!$A$1:$Q$835,3,FALSE)</f>
        <v>0</v>
      </c>
      <c r="AE569" s="31">
        <f>VLOOKUP($A569,kurspris!$A$1:$Q$835,4,FALSE)</f>
        <v>0</v>
      </c>
      <c r="AF569" s="31">
        <f>VLOOKUP($A569,kurspris!$A$1:$Q$835,5,FALSE)</f>
        <v>0</v>
      </c>
      <c r="AG569" s="31">
        <f>VLOOKUP($A569,kurspris!$A$1:$Q$835,6,FALSE)</f>
        <v>1</v>
      </c>
      <c r="AH569" s="31">
        <f>VLOOKUP($A569,kurspris!$A$1:$Q$835,7,FALSE)</f>
        <v>0</v>
      </c>
      <c r="AI569" s="31">
        <f>VLOOKUP($A569,kurspris!$A$1:$Q$835,8,FALSE)</f>
        <v>0</v>
      </c>
      <c r="AJ569" s="31">
        <f>VLOOKUP($A569,kurspris!$A$1:$Q$835,9,FALSE)</f>
        <v>0</v>
      </c>
      <c r="AK569" s="31">
        <f>VLOOKUP($A569,kurspris!$A$1:$Q$835,10,FALSE)</f>
        <v>0</v>
      </c>
      <c r="AL569" s="31">
        <f>VLOOKUP($A569,kurspris!$A$1:$Q$835,11,FALSE)</f>
        <v>0</v>
      </c>
      <c r="AM569" s="31">
        <f>VLOOKUP($A569,kurspris!$A$1:$Q$835,12,FALSE)</f>
        <v>0</v>
      </c>
      <c r="AN569" s="31">
        <f>VLOOKUP($A569,kurspris!$A$1:$Q$835,13,FALSE)</f>
        <v>0</v>
      </c>
      <c r="AO569" s="31">
        <f>VLOOKUP($A569,kurspris!$A$1:$Q$835,14,FALSE)</f>
        <v>0</v>
      </c>
      <c r="AP569" s="39" t="s">
        <v>2204</v>
      </c>
      <c r="AQ569"/>
      <c r="AR569" s="31">
        <f t="shared" si="307"/>
        <v>0</v>
      </c>
      <c r="AS569" s="255">
        <f t="shared" si="308"/>
        <v>0</v>
      </c>
      <c r="AT569" s="31">
        <f t="shared" si="309"/>
        <v>0</v>
      </c>
      <c r="AU569" s="255">
        <f t="shared" si="310"/>
        <v>0</v>
      </c>
      <c r="AV569" s="31">
        <f t="shared" si="311"/>
        <v>0</v>
      </c>
      <c r="AW569" s="31">
        <f t="shared" si="312"/>
        <v>0</v>
      </c>
      <c r="AX569" s="31">
        <f t="shared" si="313"/>
        <v>0.16666666666666666</v>
      </c>
      <c r="AY569" s="255">
        <f t="shared" si="314"/>
        <v>0.14166666666666666</v>
      </c>
      <c r="AZ569" s="232">
        <f t="shared" si="315"/>
        <v>0</v>
      </c>
      <c r="BA569" s="255">
        <f t="shared" si="316"/>
        <v>0</v>
      </c>
      <c r="BB569" s="31">
        <f t="shared" si="317"/>
        <v>0</v>
      </c>
      <c r="BC569" s="255">
        <f t="shared" si="318"/>
        <v>0</v>
      </c>
      <c r="BD569" s="31">
        <f t="shared" si="319"/>
        <v>0</v>
      </c>
      <c r="BE569" s="255">
        <f t="shared" si="320"/>
        <v>0</v>
      </c>
      <c r="BF569" s="31">
        <f t="shared" si="321"/>
        <v>0</v>
      </c>
      <c r="BG569" s="255">
        <f t="shared" si="322"/>
        <v>0</v>
      </c>
      <c r="BH569" s="31">
        <f t="shared" si="323"/>
        <v>0</v>
      </c>
      <c r="BI569" s="255">
        <f t="shared" si="324"/>
        <v>0</v>
      </c>
      <c r="BJ569" s="31">
        <f t="shared" si="325"/>
        <v>0</v>
      </c>
      <c r="BK569" s="31">
        <f t="shared" si="326"/>
        <v>0</v>
      </c>
      <c r="BL569" s="255">
        <f t="shared" si="327"/>
        <v>0</v>
      </c>
      <c r="BM569" s="31">
        <f t="shared" si="328"/>
        <v>0</v>
      </c>
      <c r="BN569" s="255">
        <f t="shared" si="329"/>
        <v>0</v>
      </c>
    </row>
    <row r="570" spans="1:66" x14ac:dyDescent="0.25">
      <c r="A570" t="s">
        <v>921</v>
      </c>
      <c r="B570" s="186" t="str">
        <f>VLOOKUP(A570,kurspris!$A$1:$B$877,2,FALSE)</f>
        <v>Profession och vetenskap för yrkeslärare</v>
      </c>
      <c r="C570"/>
      <c r="D570" t="s">
        <v>627</v>
      </c>
      <c r="E570" t="s">
        <v>1609</v>
      </c>
      <c r="F570" s="39" t="s">
        <v>1930</v>
      </c>
      <c r="G570" t="s">
        <v>1991</v>
      </c>
      <c r="H570" t="s">
        <v>1910</v>
      </c>
      <c r="I570"/>
      <c r="J570"/>
      <c r="K570"/>
      <c r="L570">
        <v>50</v>
      </c>
      <c r="M570">
        <v>5</v>
      </c>
      <c r="N570"/>
      <c r="O570"/>
      <c r="P570" s="31">
        <v>23</v>
      </c>
      <c r="Q570" s="232">
        <f t="shared" si="302"/>
        <v>1.9166666666666665</v>
      </c>
      <c r="R570" s="40">
        <v>0.85</v>
      </c>
      <c r="S570" s="334">
        <f t="shared" si="303"/>
        <v>1.6291666666666664</v>
      </c>
      <c r="T570" s="31">
        <f>VLOOKUP(A570,'Ansvar kurs'!$A$1:$C$1010,2,FALSE)</f>
        <v>2193</v>
      </c>
      <c r="U570" s="31" t="str">
        <f>VLOOKUP(T570,Orgenheter!$A$1:$C$165,2,FALSE)</f>
        <v xml:space="preserve">TUV </v>
      </c>
      <c r="V570" s="31" t="str">
        <f>VLOOKUP(T570,Orgenheter!$A$1:$C$165,3,FALSE)</f>
        <v>Sam</v>
      </c>
      <c r="W570" s="37" t="str">
        <f>VLOOKUP(D570,Program!$A$1:$B$34,2,FALSE)</f>
        <v>Yrkeslärarprogrammet</v>
      </c>
      <c r="X570" s="42">
        <f>VLOOKUP(A570,kurspris!$A$1:$Q$798,15,FALSE)</f>
        <v>23641</v>
      </c>
      <c r="Y570" s="42">
        <f>VLOOKUP(A570,kurspris!$A$1:$Q$798,16,FALSE)</f>
        <v>28786</v>
      </c>
      <c r="Z570" s="42">
        <f t="shared" si="304"/>
        <v>92209.108333333323</v>
      </c>
      <c r="AA570" s="42">
        <f>VLOOKUP(A570,kurspris!$A$1:$Q$798,17,FALSE)</f>
        <v>5800</v>
      </c>
      <c r="AB570" s="42">
        <f t="shared" si="305"/>
        <v>11116.666666666666</v>
      </c>
      <c r="AC570" s="42">
        <f t="shared" si="306"/>
        <v>103325.77499999999</v>
      </c>
      <c r="AD570" s="31">
        <f>VLOOKUP($A570,kurspris!$A$1:$Q$835,3,FALSE)</f>
        <v>0</v>
      </c>
      <c r="AE570" s="31">
        <f>VLOOKUP($A570,kurspris!$A$1:$Q$835,4,FALSE)</f>
        <v>0</v>
      </c>
      <c r="AF570" s="31">
        <f>VLOOKUP($A570,kurspris!$A$1:$Q$835,5,FALSE)</f>
        <v>0</v>
      </c>
      <c r="AG570" s="31">
        <f>VLOOKUP($A570,kurspris!$A$1:$Q$835,6,FALSE)</f>
        <v>1</v>
      </c>
      <c r="AH570" s="31">
        <f>VLOOKUP($A570,kurspris!$A$1:$Q$835,7,FALSE)</f>
        <v>0</v>
      </c>
      <c r="AI570" s="31">
        <f>VLOOKUP($A570,kurspris!$A$1:$Q$835,8,FALSE)</f>
        <v>0</v>
      </c>
      <c r="AJ570" s="31">
        <f>VLOOKUP($A570,kurspris!$A$1:$Q$835,9,FALSE)</f>
        <v>0</v>
      </c>
      <c r="AK570" s="31">
        <f>VLOOKUP($A570,kurspris!$A$1:$Q$835,10,FALSE)</f>
        <v>0</v>
      </c>
      <c r="AL570" s="31">
        <f>VLOOKUP($A570,kurspris!$A$1:$Q$835,11,FALSE)</f>
        <v>0</v>
      </c>
      <c r="AM570" s="31">
        <f>VLOOKUP($A570,kurspris!$A$1:$Q$835,12,FALSE)</f>
        <v>0</v>
      </c>
      <c r="AN570" s="31">
        <f>VLOOKUP($A570,kurspris!$A$1:$Q$835,13,FALSE)</f>
        <v>0</v>
      </c>
      <c r="AO570" s="31">
        <f>VLOOKUP($A570,kurspris!$A$1:$Q$835,14,FALSE)</f>
        <v>0</v>
      </c>
      <c r="AP570" s="39" t="s">
        <v>2235</v>
      </c>
      <c r="AQ570"/>
      <c r="AR570" s="31">
        <f t="shared" si="307"/>
        <v>0</v>
      </c>
      <c r="AS570" s="255">
        <f t="shared" si="308"/>
        <v>0</v>
      </c>
      <c r="AT570" s="31">
        <f t="shared" si="309"/>
        <v>0</v>
      </c>
      <c r="AU570" s="255">
        <f t="shared" si="310"/>
        <v>0</v>
      </c>
      <c r="AV570" s="31">
        <f t="shared" si="311"/>
        <v>0</v>
      </c>
      <c r="AW570" s="31">
        <f t="shared" si="312"/>
        <v>0</v>
      </c>
      <c r="AX570" s="31">
        <f t="shared" si="313"/>
        <v>1.9166666666666665</v>
      </c>
      <c r="AY570" s="255">
        <f t="shared" si="314"/>
        <v>1.6291666666666664</v>
      </c>
      <c r="AZ570" s="232">
        <f t="shared" si="315"/>
        <v>0</v>
      </c>
      <c r="BA570" s="255">
        <f t="shared" si="316"/>
        <v>0</v>
      </c>
      <c r="BB570" s="31">
        <f t="shared" si="317"/>
        <v>0</v>
      </c>
      <c r="BC570" s="255">
        <f t="shared" si="318"/>
        <v>0</v>
      </c>
      <c r="BD570" s="31">
        <f t="shared" si="319"/>
        <v>0</v>
      </c>
      <c r="BE570" s="255">
        <f t="shared" si="320"/>
        <v>0</v>
      </c>
      <c r="BF570" s="31">
        <f t="shared" si="321"/>
        <v>0</v>
      </c>
      <c r="BG570" s="255">
        <f t="shared" si="322"/>
        <v>0</v>
      </c>
      <c r="BH570" s="31">
        <f t="shared" si="323"/>
        <v>0</v>
      </c>
      <c r="BI570" s="255">
        <f t="shared" si="324"/>
        <v>0</v>
      </c>
      <c r="BJ570" s="31">
        <f t="shared" si="325"/>
        <v>0</v>
      </c>
      <c r="BK570" s="31">
        <f t="shared" si="326"/>
        <v>0</v>
      </c>
      <c r="BL570" s="255">
        <f t="shared" si="327"/>
        <v>0</v>
      </c>
      <c r="BM570" s="31">
        <f t="shared" si="328"/>
        <v>0</v>
      </c>
      <c r="BN570" s="255">
        <f t="shared" si="329"/>
        <v>0</v>
      </c>
    </row>
    <row r="571" spans="1:66" x14ac:dyDescent="0.25">
      <c r="A571" s="18" t="s">
        <v>1096</v>
      </c>
      <c r="B571" s="186" t="str">
        <f>VLOOKUP(A571,kurspris!$A$1:$B$877,2,FALSE)</f>
        <v>Utbildningsvetenskap i pedagogisk praktik</v>
      </c>
      <c r="C571" s="37"/>
      <c r="D571" t="s">
        <v>117</v>
      </c>
      <c r="E571"/>
      <c r="F571" s="59" t="s">
        <v>1931</v>
      </c>
      <c r="G571"/>
      <c r="H571"/>
      <c r="I571" t="s">
        <v>2066</v>
      </c>
      <c r="L571">
        <v>50</v>
      </c>
      <c r="M571">
        <v>15</v>
      </c>
      <c r="P571">
        <v>30</v>
      </c>
      <c r="Q571" s="232">
        <f t="shared" si="302"/>
        <v>7.5</v>
      </c>
      <c r="R571" s="40">
        <v>0.8</v>
      </c>
      <c r="S571" s="334">
        <f t="shared" si="303"/>
        <v>6</v>
      </c>
      <c r="T571" s="31">
        <f>VLOOKUP(A571,'Ansvar kurs'!$A$1:$C$1010,2,FALSE)</f>
        <v>2193</v>
      </c>
      <c r="U571" s="31" t="str">
        <f>VLOOKUP(T571,Orgenheter!$A$1:$C$165,2,FALSE)</f>
        <v xml:space="preserve">TUV </v>
      </c>
      <c r="V571" s="31" t="str">
        <f>VLOOKUP(T571,Orgenheter!$A$1:$C$165,3,FALSE)</f>
        <v>Sam</v>
      </c>
      <c r="W571" s="37" t="str">
        <f>VLOOKUP(D571,Program!$A$1:$B$34,2,FALSE)</f>
        <v>Fristående och övriga kurser</v>
      </c>
      <c r="X571" s="42">
        <f>VLOOKUP(A571,kurspris!$A$1:$Q$798,15,FALSE)</f>
        <v>18405</v>
      </c>
      <c r="Y571" s="42">
        <f>VLOOKUP(A571,kurspris!$A$1:$Q$798,16,FALSE)</f>
        <v>15773</v>
      </c>
      <c r="Z571" s="42">
        <f t="shared" si="304"/>
        <v>232675.5</v>
      </c>
      <c r="AA571" s="42">
        <f>VLOOKUP(A571,kurspris!$A$1:$Q$798,17,FALSE)</f>
        <v>5800</v>
      </c>
      <c r="AB571" s="42">
        <f t="shared" si="305"/>
        <v>43500</v>
      </c>
      <c r="AC571" s="42">
        <f t="shared" si="306"/>
        <v>276175.5</v>
      </c>
      <c r="AD571" s="31">
        <f>VLOOKUP($A571,kurspris!$A$1:$Q$835,3,FALSE)</f>
        <v>0</v>
      </c>
      <c r="AE571" s="31">
        <f>VLOOKUP($A571,kurspris!$A$1:$Q$835,4,FALSE)</f>
        <v>0</v>
      </c>
      <c r="AF571" s="31">
        <f>VLOOKUP($A571,kurspris!$A$1:$Q$835,5,FALSE)</f>
        <v>0</v>
      </c>
      <c r="AG571" s="31">
        <f>VLOOKUP($A571,kurspris!$A$1:$Q$835,6,FALSE)</f>
        <v>0</v>
      </c>
      <c r="AH571" s="31">
        <f>VLOOKUP($A571,kurspris!$A$1:$Q$835,7,FALSE)</f>
        <v>0</v>
      </c>
      <c r="AI571" s="31">
        <f>VLOOKUP($A571,kurspris!$A$1:$Q$835,8,FALSE)</f>
        <v>0</v>
      </c>
      <c r="AJ571" s="31">
        <f>VLOOKUP($A571,kurspris!$A$1:$Q$835,9,FALSE)</f>
        <v>1</v>
      </c>
      <c r="AK571" s="31">
        <f>VLOOKUP($A571,kurspris!$A$1:$Q$835,10,FALSE)</f>
        <v>0</v>
      </c>
      <c r="AL571" s="31">
        <f>VLOOKUP($A571,kurspris!$A$1:$Q$835,11,FALSE)</f>
        <v>0</v>
      </c>
      <c r="AM571" s="31">
        <f>VLOOKUP($A571,kurspris!$A$1:$Q$835,12,FALSE)</f>
        <v>0</v>
      </c>
      <c r="AN571" s="31">
        <f>VLOOKUP($A571,kurspris!$A$1:$Q$835,13,FALSE)</f>
        <v>0</v>
      </c>
      <c r="AO571" s="31">
        <f>VLOOKUP($A571,kurspris!$A$1:$Q$835,14,FALSE)</f>
        <v>0</v>
      </c>
      <c r="AP571" s="39" t="s">
        <v>2095</v>
      </c>
      <c r="AQ571"/>
      <c r="AR571" s="31">
        <f t="shared" si="307"/>
        <v>0</v>
      </c>
      <c r="AS571" s="255">
        <f t="shared" si="308"/>
        <v>0</v>
      </c>
      <c r="AT571" s="31">
        <f t="shared" si="309"/>
        <v>0</v>
      </c>
      <c r="AU571" s="255">
        <f t="shared" si="310"/>
        <v>0</v>
      </c>
      <c r="AV571" s="31">
        <f t="shared" si="311"/>
        <v>0</v>
      </c>
      <c r="AW571" s="31">
        <f t="shared" si="312"/>
        <v>0</v>
      </c>
      <c r="AX571" s="31">
        <f t="shared" si="313"/>
        <v>0</v>
      </c>
      <c r="AY571" s="255">
        <f t="shared" si="314"/>
        <v>0</v>
      </c>
      <c r="AZ571" s="232">
        <f t="shared" si="315"/>
        <v>0</v>
      </c>
      <c r="BA571" s="255">
        <f t="shared" si="316"/>
        <v>0</v>
      </c>
      <c r="BB571" s="31">
        <f t="shared" si="317"/>
        <v>0</v>
      </c>
      <c r="BC571" s="255">
        <f t="shared" si="318"/>
        <v>0</v>
      </c>
      <c r="BD571" s="31">
        <f t="shared" si="319"/>
        <v>7.5</v>
      </c>
      <c r="BE571" s="255">
        <f t="shared" si="320"/>
        <v>6</v>
      </c>
      <c r="BF571" s="31">
        <f t="shared" si="321"/>
        <v>0</v>
      </c>
      <c r="BG571" s="255">
        <f t="shared" si="322"/>
        <v>0</v>
      </c>
      <c r="BH571" s="31">
        <f t="shared" si="323"/>
        <v>0</v>
      </c>
      <c r="BI571" s="255">
        <f t="shared" si="324"/>
        <v>0</v>
      </c>
      <c r="BJ571" s="31">
        <f t="shared" si="325"/>
        <v>0</v>
      </c>
      <c r="BK571" s="31">
        <f t="shared" si="326"/>
        <v>0</v>
      </c>
      <c r="BL571" s="255">
        <f t="shared" si="327"/>
        <v>0</v>
      </c>
      <c r="BM571" s="31">
        <f t="shared" si="328"/>
        <v>0</v>
      </c>
      <c r="BN571" s="255">
        <f t="shared" si="329"/>
        <v>0</v>
      </c>
    </row>
    <row r="572" spans="1:66" x14ac:dyDescent="0.25">
      <c r="A572" t="s">
        <v>1114</v>
      </c>
      <c r="B572" s="186" t="str">
        <f>VLOOKUP(A572,kurspris!$A$1:$B$877,2,FALSE)</f>
        <v>Samhällsorientering, F-3</v>
      </c>
      <c r="C572"/>
      <c r="D572" t="s">
        <v>486</v>
      </c>
      <c r="E572" t="s">
        <v>1973</v>
      </c>
      <c r="F572" s="59" t="s">
        <v>1930</v>
      </c>
      <c r="G572" t="s">
        <v>1980</v>
      </c>
      <c r="H572" t="s">
        <v>1910</v>
      </c>
      <c r="I572"/>
      <c r="J572"/>
      <c r="K572"/>
      <c r="L572">
        <v>100</v>
      </c>
      <c r="M572">
        <v>15</v>
      </c>
      <c r="N572"/>
      <c r="O572"/>
      <c r="P572" s="31">
        <v>38</v>
      </c>
      <c r="Q572" s="232">
        <f t="shared" si="302"/>
        <v>9.5</v>
      </c>
      <c r="R572" s="40">
        <v>0.85</v>
      </c>
      <c r="S572" s="334">
        <f t="shared" si="303"/>
        <v>8.0749999999999993</v>
      </c>
      <c r="T572" s="31">
        <f>VLOOKUP(A572,'Ansvar kurs'!$A$1:$C$1010,2,FALSE)</f>
        <v>2180</v>
      </c>
      <c r="U572" s="31" t="str">
        <f>VLOOKUP(T572,Orgenheter!$A$1:$C$165,2,FALSE)</f>
        <v xml:space="preserve">Pedagogik                     </v>
      </c>
      <c r="V572" s="31" t="str">
        <f>VLOOKUP(T572,Orgenheter!$A$1:$C$165,3,FALSE)</f>
        <v>Sam</v>
      </c>
      <c r="W572" s="37" t="str">
        <f>VLOOKUP(D572,Program!$A$1:$B$34,2,FALSE)</f>
        <v>Grundlärarprogrammet - förskoleklass och åk 1-3</v>
      </c>
      <c r="X572" s="42">
        <f>VLOOKUP(A572,kurspris!$A$1:$Q$798,15,FALSE)</f>
        <v>18405</v>
      </c>
      <c r="Y572" s="42">
        <f>VLOOKUP(A572,kurspris!$A$1:$Q$798,16,FALSE)</f>
        <v>15773</v>
      </c>
      <c r="Z572" s="42">
        <f t="shared" si="304"/>
        <v>302214.47499999998</v>
      </c>
      <c r="AA572" s="42">
        <f>VLOOKUP(A572,kurspris!$A$1:$Q$798,17,FALSE)</f>
        <v>5800</v>
      </c>
      <c r="AB572" s="42">
        <f t="shared" si="305"/>
        <v>55100</v>
      </c>
      <c r="AC572" s="42">
        <f t="shared" si="306"/>
        <v>357314.47499999998</v>
      </c>
      <c r="AD572" s="31">
        <f>VLOOKUP($A572,kurspris!$A$1:$Q$835,3,FALSE)</f>
        <v>0</v>
      </c>
      <c r="AE572" s="31">
        <f>VLOOKUP($A572,kurspris!$A$1:$Q$835,4,FALSE)</f>
        <v>0</v>
      </c>
      <c r="AF572" s="31">
        <f>VLOOKUP($A572,kurspris!$A$1:$Q$835,5,FALSE)</f>
        <v>0</v>
      </c>
      <c r="AG572" s="31">
        <f>VLOOKUP($A572,kurspris!$A$1:$Q$835,6,FALSE)</f>
        <v>0</v>
      </c>
      <c r="AH572" s="31">
        <f>VLOOKUP($A572,kurspris!$A$1:$Q$835,7,FALSE)</f>
        <v>0</v>
      </c>
      <c r="AI572" s="31">
        <f>VLOOKUP($A572,kurspris!$A$1:$Q$835,8,FALSE)</f>
        <v>0</v>
      </c>
      <c r="AJ572" s="31">
        <f>VLOOKUP($A572,kurspris!$A$1:$Q$835,9,FALSE)</f>
        <v>1</v>
      </c>
      <c r="AK572" s="31">
        <f>VLOOKUP($A572,kurspris!$A$1:$Q$835,10,FALSE)</f>
        <v>0</v>
      </c>
      <c r="AL572" s="31">
        <f>VLOOKUP($A572,kurspris!$A$1:$Q$835,11,FALSE)</f>
        <v>0</v>
      </c>
      <c r="AM572" s="31">
        <f>VLOOKUP($A572,kurspris!$A$1:$Q$835,12,FALSE)</f>
        <v>0</v>
      </c>
      <c r="AN572" s="31">
        <f>VLOOKUP($A572,kurspris!$A$1:$Q$835,13,FALSE)</f>
        <v>0</v>
      </c>
      <c r="AO572" s="31">
        <f>VLOOKUP($A572,kurspris!$A$1:$Q$835,14,FALSE)</f>
        <v>0</v>
      </c>
      <c r="AP572" s="39" t="s">
        <v>2235</v>
      </c>
      <c r="AQ572"/>
      <c r="AR572" s="31">
        <f t="shared" si="307"/>
        <v>0</v>
      </c>
      <c r="AS572" s="255">
        <f t="shared" si="308"/>
        <v>0</v>
      </c>
      <c r="AT572" s="31">
        <f t="shared" si="309"/>
        <v>0</v>
      </c>
      <c r="AU572" s="255">
        <f t="shared" si="310"/>
        <v>0</v>
      </c>
      <c r="AV572" s="31">
        <f t="shared" si="311"/>
        <v>0</v>
      </c>
      <c r="AW572" s="31">
        <f t="shared" si="312"/>
        <v>0</v>
      </c>
      <c r="AX572" s="31">
        <f t="shared" si="313"/>
        <v>0</v>
      </c>
      <c r="AY572" s="255">
        <f t="shared" si="314"/>
        <v>0</v>
      </c>
      <c r="AZ572" s="232">
        <f t="shared" si="315"/>
        <v>0</v>
      </c>
      <c r="BA572" s="255">
        <f t="shared" si="316"/>
        <v>0</v>
      </c>
      <c r="BB572" s="31">
        <f t="shared" si="317"/>
        <v>0</v>
      </c>
      <c r="BC572" s="255">
        <f t="shared" si="318"/>
        <v>0</v>
      </c>
      <c r="BD572" s="31">
        <f t="shared" si="319"/>
        <v>9.5</v>
      </c>
      <c r="BE572" s="255">
        <f t="shared" si="320"/>
        <v>8.0749999999999993</v>
      </c>
      <c r="BF572" s="31">
        <f t="shared" si="321"/>
        <v>0</v>
      </c>
      <c r="BG572" s="255">
        <f t="shared" si="322"/>
        <v>0</v>
      </c>
      <c r="BH572" s="31">
        <f t="shared" si="323"/>
        <v>0</v>
      </c>
      <c r="BI572" s="255">
        <f t="shared" si="324"/>
        <v>0</v>
      </c>
      <c r="BJ572" s="31">
        <f t="shared" si="325"/>
        <v>0</v>
      </c>
      <c r="BK572" s="31">
        <f t="shared" si="326"/>
        <v>0</v>
      </c>
      <c r="BL572" s="255">
        <f t="shared" si="327"/>
        <v>0</v>
      </c>
      <c r="BM572" s="31">
        <f t="shared" si="328"/>
        <v>0</v>
      </c>
      <c r="BN572" s="255">
        <f t="shared" si="329"/>
        <v>0</v>
      </c>
    </row>
    <row r="573" spans="1:66" x14ac:dyDescent="0.25">
      <c r="A573" s="18" t="s">
        <v>1131</v>
      </c>
      <c r="B573" s="186" t="str">
        <f>VLOOKUP(A573,kurspris!$A$1:$B$877,2,FALSE)</f>
        <v>Sex och samlevnad, 7,5 hp</v>
      </c>
      <c r="C573" s="37"/>
      <c r="D573" t="s">
        <v>117</v>
      </c>
      <c r="E573"/>
      <c r="F573" s="59" t="s">
        <v>2093</v>
      </c>
      <c r="G573" t="s">
        <v>2065</v>
      </c>
      <c r="H573"/>
      <c r="I573" s="18" t="s">
        <v>2066</v>
      </c>
      <c r="J573" s="159"/>
      <c r="K573" s="159"/>
      <c r="L573">
        <v>50</v>
      </c>
      <c r="M573">
        <v>7.5</v>
      </c>
      <c r="P573" s="457">
        <v>0</v>
      </c>
      <c r="Q573" s="232">
        <f t="shared" si="302"/>
        <v>0</v>
      </c>
      <c r="R573" s="40">
        <v>0.8</v>
      </c>
      <c r="S573" s="334">
        <f t="shared" si="303"/>
        <v>0</v>
      </c>
      <c r="T573" s="31">
        <f>VLOOKUP(A573,'Ansvar kurs'!$A$1:$C$1010,2,FALSE)</f>
        <v>5740</v>
      </c>
      <c r="U573" s="31" t="str">
        <f>VLOOKUP(T573,Orgenheter!$A$1:$C$165,2,FALSE)</f>
        <v>NMD</v>
      </c>
      <c r="V573" s="31" t="str">
        <f>VLOOKUP(T573,Orgenheter!$A$1:$C$165,3,FALSE)</f>
        <v>TekNat</v>
      </c>
      <c r="W573" s="37" t="str">
        <f>VLOOKUP(D573,Program!$A$1:$B$34,2,FALSE)</f>
        <v>Fristående och övriga kurser</v>
      </c>
      <c r="X573" s="42">
        <f>VLOOKUP(A573,kurspris!$A$1:$Q$798,15,FALSE)</f>
        <v>19473</v>
      </c>
      <c r="Y573" s="42">
        <f>VLOOKUP(A573,kurspris!$A$1:$Q$798,16,FALSE)</f>
        <v>34806</v>
      </c>
      <c r="Z573" s="42">
        <f t="shared" si="304"/>
        <v>0</v>
      </c>
      <c r="AA573" s="42">
        <f>VLOOKUP(A573,kurspris!$A$1:$Q$798,17,FALSE)</f>
        <v>21800</v>
      </c>
      <c r="AB573" s="42">
        <f t="shared" si="305"/>
        <v>0</v>
      </c>
      <c r="AC573" s="42">
        <f t="shared" si="306"/>
        <v>0</v>
      </c>
      <c r="AD573" s="31">
        <f>VLOOKUP($A573,kurspris!$A$1:$Q$835,3,FALSE)</f>
        <v>0</v>
      </c>
      <c r="AE573" s="31">
        <f>VLOOKUP($A573,kurspris!$A$1:$Q$835,4,FALSE)</f>
        <v>0</v>
      </c>
      <c r="AF573" s="31">
        <f>VLOOKUP($A573,kurspris!$A$1:$Q$835,5,FALSE)</f>
        <v>0</v>
      </c>
      <c r="AG573" s="31">
        <f>VLOOKUP($A573,kurspris!$A$1:$Q$835,6,FALSE)</f>
        <v>0</v>
      </c>
      <c r="AH573" s="31">
        <f>VLOOKUP($A573,kurspris!$A$1:$Q$835,7,FALSE)</f>
        <v>0</v>
      </c>
      <c r="AI573" s="31">
        <f>VLOOKUP($A573,kurspris!$A$1:$Q$835,8,FALSE)</f>
        <v>1</v>
      </c>
      <c r="AJ573" s="31">
        <f>VLOOKUP($A573,kurspris!$A$1:$Q$835,9,FALSE)</f>
        <v>0</v>
      </c>
      <c r="AK573" s="31">
        <f>VLOOKUP($A573,kurspris!$A$1:$Q$835,10,FALSE)</f>
        <v>0</v>
      </c>
      <c r="AL573" s="31">
        <f>VLOOKUP($A573,kurspris!$A$1:$Q$835,11,FALSE)</f>
        <v>0</v>
      </c>
      <c r="AM573" s="31">
        <f>VLOOKUP($A573,kurspris!$A$1:$Q$835,12,FALSE)</f>
        <v>0</v>
      </c>
      <c r="AN573" s="31">
        <f>VLOOKUP($A573,kurspris!$A$1:$Q$835,13,FALSE)</f>
        <v>0</v>
      </c>
      <c r="AO573" s="31">
        <f>VLOOKUP($A573,kurspris!$A$1:$Q$835,14,FALSE)</f>
        <v>0</v>
      </c>
      <c r="AP573" s="39" t="s">
        <v>2095</v>
      </c>
      <c r="AQ573" t="s">
        <v>2154</v>
      </c>
      <c r="AR573" s="31">
        <f t="shared" si="307"/>
        <v>0</v>
      </c>
      <c r="AS573" s="255">
        <f t="shared" si="308"/>
        <v>0</v>
      </c>
      <c r="AT573" s="31">
        <f t="shared" si="309"/>
        <v>0</v>
      </c>
      <c r="AU573" s="255">
        <f t="shared" si="310"/>
        <v>0</v>
      </c>
      <c r="AV573" s="31">
        <f t="shared" si="311"/>
        <v>0</v>
      </c>
      <c r="AW573" s="31">
        <f t="shared" si="312"/>
        <v>0</v>
      </c>
      <c r="AX573" s="31">
        <f t="shared" si="313"/>
        <v>0</v>
      </c>
      <c r="AY573" s="255">
        <f t="shared" si="314"/>
        <v>0</v>
      </c>
      <c r="AZ573" s="232">
        <f t="shared" si="315"/>
        <v>0</v>
      </c>
      <c r="BA573" s="255">
        <f t="shared" si="316"/>
        <v>0</v>
      </c>
      <c r="BB573" s="31">
        <f t="shared" si="317"/>
        <v>0</v>
      </c>
      <c r="BC573" s="255">
        <f t="shared" si="318"/>
        <v>0</v>
      </c>
      <c r="BD573" s="31">
        <f t="shared" si="319"/>
        <v>0</v>
      </c>
      <c r="BE573" s="255">
        <f t="shared" si="320"/>
        <v>0</v>
      </c>
      <c r="BF573" s="31">
        <f t="shared" si="321"/>
        <v>0</v>
      </c>
      <c r="BG573" s="255">
        <f t="shared" si="322"/>
        <v>0</v>
      </c>
      <c r="BH573" s="31">
        <f t="shared" si="323"/>
        <v>0</v>
      </c>
      <c r="BI573" s="255">
        <f t="shared" si="324"/>
        <v>0</v>
      </c>
      <c r="BJ573" s="31">
        <f t="shared" si="325"/>
        <v>0</v>
      </c>
      <c r="BK573" s="31">
        <f t="shared" si="326"/>
        <v>0</v>
      </c>
      <c r="BL573" s="255">
        <f t="shared" si="327"/>
        <v>0</v>
      </c>
      <c r="BM573" s="31">
        <f t="shared" si="328"/>
        <v>0</v>
      </c>
      <c r="BN573" s="255">
        <f t="shared" si="329"/>
        <v>0</v>
      </c>
    </row>
    <row r="574" spans="1:66" x14ac:dyDescent="0.25">
      <c r="A574" s="18" t="s">
        <v>1131</v>
      </c>
      <c r="B574" s="186" t="str">
        <f>VLOOKUP(A574,kurspris!$A$1:$B$877,2,FALSE)</f>
        <v>Sex och samlevnad, 7,5 hp</v>
      </c>
      <c r="C574" s="37"/>
      <c r="D574" t="s">
        <v>117</v>
      </c>
      <c r="E574"/>
      <c r="F574" s="59" t="s">
        <v>1931</v>
      </c>
      <c r="G574"/>
      <c r="H574"/>
      <c r="I574" t="s">
        <v>1634</v>
      </c>
      <c r="L574">
        <v>25</v>
      </c>
      <c r="M574">
        <v>7.5</v>
      </c>
      <c r="P574">
        <v>10</v>
      </c>
      <c r="Q574" s="232">
        <f t="shared" si="302"/>
        <v>1.25</v>
      </c>
      <c r="R574" s="40">
        <v>0.8</v>
      </c>
      <c r="S574" s="334">
        <f t="shared" si="303"/>
        <v>1</v>
      </c>
      <c r="T574" s="31">
        <f>VLOOKUP(A574,'Ansvar kurs'!$A$1:$C$1010,2,FALSE)</f>
        <v>5740</v>
      </c>
      <c r="U574" s="31" t="str">
        <f>VLOOKUP(T574,Orgenheter!$A$1:$C$165,2,FALSE)</f>
        <v>NMD</v>
      </c>
      <c r="V574" s="31" t="str">
        <f>VLOOKUP(T574,Orgenheter!$A$1:$C$165,3,FALSE)</f>
        <v>TekNat</v>
      </c>
      <c r="W574" s="37" t="str">
        <f>VLOOKUP(D574,Program!$A$1:$B$34,2,FALSE)</f>
        <v>Fristående och övriga kurser</v>
      </c>
      <c r="X574" s="42">
        <f>VLOOKUP(A574,kurspris!$A$1:$Q$798,15,FALSE)</f>
        <v>19473</v>
      </c>
      <c r="Y574" s="42">
        <f>VLOOKUP(A574,kurspris!$A$1:$Q$798,16,FALSE)</f>
        <v>34806</v>
      </c>
      <c r="Z574" s="42">
        <f t="shared" si="304"/>
        <v>59147.25</v>
      </c>
      <c r="AA574" s="42">
        <f>VLOOKUP(A574,kurspris!$A$1:$Q$798,17,FALSE)</f>
        <v>21800</v>
      </c>
      <c r="AB574" s="42">
        <f t="shared" si="305"/>
        <v>27250</v>
      </c>
      <c r="AC574" s="42">
        <f t="shared" si="306"/>
        <v>86397.25</v>
      </c>
      <c r="AD574" s="31">
        <f>VLOOKUP($A574,kurspris!$A$1:$Q$835,3,FALSE)</f>
        <v>0</v>
      </c>
      <c r="AE574" s="31">
        <f>VLOOKUP($A574,kurspris!$A$1:$Q$835,4,FALSE)</f>
        <v>0</v>
      </c>
      <c r="AF574" s="31">
        <f>VLOOKUP($A574,kurspris!$A$1:$Q$835,5,FALSE)</f>
        <v>0</v>
      </c>
      <c r="AG574" s="31">
        <f>VLOOKUP($A574,kurspris!$A$1:$Q$835,6,FALSE)</f>
        <v>0</v>
      </c>
      <c r="AH574" s="31">
        <f>VLOOKUP($A574,kurspris!$A$1:$Q$835,7,FALSE)</f>
        <v>0</v>
      </c>
      <c r="AI574" s="31">
        <f>VLOOKUP($A574,kurspris!$A$1:$Q$835,8,FALSE)</f>
        <v>1</v>
      </c>
      <c r="AJ574" s="31">
        <f>VLOOKUP($A574,kurspris!$A$1:$Q$835,9,FALSE)</f>
        <v>0</v>
      </c>
      <c r="AK574" s="31">
        <f>VLOOKUP($A574,kurspris!$A$1:$Q$835,10,FALSE)</f>
        <v>0</v>
      </c>
      <c r="AL574" s="31">
        <f>VLOOKUP($A574,kurspris!$A$1:$Q$835,11,FALSE)</f>
        <v>0</v>
      </c>
      <c r="AM574" s="31">
        <f>VLOOKUP($A574,kurspris!$A$1:$Q$835,12,FALSE)</f>
        <v>0</v>
      </c>
      <c r="AN574" s="31">
        <f>VLOOKUP($A574,kurspris!$A$1:$Q$835,13,FALSE)</f>
        <v>0</v>
      </c>
      <c r="AO574" s="31">
        <f>VLOOKUP($A574,kurspris!$A$1:$Q$835,14,FALSE)</f>
        <v>0</v>
      </c>
      <c r="AP574" s="39" t="s">
        <v>2095</v>
      </c>
      <c r="AQ574"/>
      <c r="AR574" s="31">
        <f t="shared" si="307"/>
        <v>0</v>
      </c>
      <c r="AS574" s="255">
        <f t="shared" si="308"/>
        <v>0</v>
      </c>
      <c r="AT574" s="31">
        <f t="shared" si="309"/>
        <v>0</v>
      </c>
      <c r="AU574" s="255">
        <f t="shared" si="310"/>
        <v>0</v>
      </c>
      <c r="AV574" s="31">
        <f t="shared" si="311"/>
        <v>0</v>
      </c>
      <c r="AW574" s="31">
        <f t="shared" si="312"/>
        <v>0</v>
      </c>
      <c r="AX574" s="31">
        <f t="shared" si="313"/>
        <v>0</v>
      </c>
      <c r="AY574" s="255">
        <f t="shared" si="314"/>
        <v>0</v>
      </c>
      <c r="AZ574" s="232">
        <f t="shared" si="315"/>
        <v>0</v>
      </c>
      <c r="BA574" s="255">
        <f t="shared" si="316"/>
        <v>0</v>
      </c>
      <c r="BB574" s="31">
        <f t="shared" si="317"/>
        <v>1.25</v>
      </c>
      <c r="BC574" s="255">
        <f t="shared" si="318"/>
        <v>1</v>
      </c>
      <c r="BD574" s="31">
        <f t="shared" si="319"/>
        <v>0</v>
      </c>
      <c r="BE574" s="255">
        <f t="shared" si="320"/>
        <v>0</v>
      </c>
      <c r="BF574" s="31">
        <f t="shared" si="321"/>
        <v>0</v>
      </c>
      <c r="BG574" s="255">
        <f t="shared" si="322"/>
        <v>0</v>
      </c>
      <c r="BH574" s="31">
        <f t="shared" si="323"/>
        <v>0</v>
      </c>
      <c r="BI574" s="255">
        <f t="shared" si="324"/>
        <v>0</v>
      </c>
      <c r="BJ574" s="31">
        <f t="shared" si="325"/>
        <v>0</v>
      </c>
      <c r="BK574" s="31">
        <f t="shared" si="326"/>
        <v>0</v>
      </c>
      <c r="BL574" s="255">
        <f t="shared" si="327"/>
        <v>0</v>
      </c>
      <c r="BM574" s="31">
        <f t="shared" si="328"/>
        <v>0</v>
      </c>
      <c r="BN574" s="255">
        <f t="shared" si="329"/>
        <v>0</v>
      </c>
    </row>
    <row r="575" spans="1:66" x14ac:dyDescent="0.25">
      <c r="A575" s="18" t="s">
        <v>1131</v>
      </c>
      <c r="B575" s="186" t="str">
        <f>VLOOKUP(A575,kurspris!$A$1:$B$877,2,FALSE)</f>
        <v>Sex och samlevnad, 7,5 hp</v>
      </c>
      <c r="C575" s="37"/>
      <c r="D575" s="31" t="s">
        <v>483</v>
      </c>
      <c r="E575" s="31" t="s">
        <v>1976</v>
      </c>
      <c r="F575" s="59" t="s">
        <v>1931</v>
      </c>
      <c r="G575" s="31" t="s">
        <v>2276</v>
      </c>
      <c r="J575" t="s">
        <v>775</v>
      </c>
      <c r="L575" s="31">
        <v>25</v>
      </c>
      <c r="M575" s="31">
        <v>7.5</v>
      </c>
      <c r="P575" s="31">
        <v>1</v>
      </c>
      <c r="Q575" s="232">
        <f t="shared" si="302"/>
        <v>0.125</v>
      </c>
      <c r="R575" s="40">
        <v>0.85</v>
      </c>
      <c r="S575" s="334">
        <f t="shared" si="303"/>
        <v>0.10625</v>
      </c>
      <c r="T575" s="31">
        <f>VLOOKUP(A575,'Ansvar kurs'!$A$1:$C$1010,2,FALSE)</f>
        <v>5740</v>
      </c>
      <c r="U575" s="31" t="str">
        <f>VLOOKUP(T575,Orgenheter!$A$1:$C$165,2,FALSE)</f>
        <v>NMD</v>
      </c>
      <c r="V575" s="31" t="str">
        <f>VLOOKUP(T575,Orgenheter!$A$1:$C$165,3,FALSE)</f>
        <v>TekNat</v>
      </c>
      <c r="W575" s="37" t="str">
        <f>VLOOKUP(D575,Program!$A$1:$B$34,2,FALSE)</f>
        <v>Ämneslärarprogrammet - Gy</v>
      </c>
      <c r="X575" s="42">
        <f>VLOOKUP(A575,kurspris!$A$1:$Q$798,15,FALSE)</f>
        <v>19473</v>
      </c>
      <c r="Y575" s="42">
        <f>VLOOKUP(A575,kurspris!$A$1:$Q$798,16,FALSE)</f>
        <v>34806</v>
      </c>
      <c r="Z575" s="42">
        <f t="shared" si="304"/>
        <v>6132.2624999999998</v>
      </c>
      <c r="AA575" s="42">
        <f>VLOOKUP(A575,kurspris!$A$1:$Q$798,17,FALSE)</f>
        <v>21800</v>
      </c>
      <c r="AB575" s="42">
        <f t="shared" si="305"/>
        <v>2725</v>
      </c>
      <c r="AC575" s="42">
        <f t="shared" si="306"/>
        <v>8857.2625000000007</v>
      </c>
      <c r="AD575" s="31">
        <f>VLOOKUP($A575,kurspris!$A$1:$Q$835,3,FALSE)</f>
        <v>0</v>
      </c>
      <c r="AE575" s="31">
        <f>VLOOKUP($A575,kurspris!$A$1:$Q$835,4,FALSE)</f>
        <v>0</v>
      </c>
      <c r="AF575" s="31">
        <f>VLOOKUP($A575,kurspris!$A$1:$Q$835,5,FALSE)</f>
        <v>0</v>
      </c>
      <c r="AG575" s="31">
        <f>VLOOKUP($A575,kurspris!$A$1:$Q$835,6,FALSE)</f>
        <v>0</v>
      </c>
      <c r="AH575" s="31">
        <f>VLOOKUP($A575,kurspris!$A$1:$Q$835,7,FALSE)</f>
        <v>0</v>
      </c>
      <c r="AI575" s="31">
        <f>VLOOKUP($A575,kurspris!$A$1:$Q$835,8,FALSE)</f>
        <v>1</v>
      </c>
      <c r="AJ575" s="31">
        <f>VLOOKUP($A575,kurspris!$A$1:$Q$835,9,FALSE)</f>
        <v>0</v>
      </c>
      <c r="AK575" s="31">
        <f>VLOOKUP($A575,kurspris!$A$1:$Q$835,10,FALSE)</f>
        <v>0</v>
      </c>
      <c r="AL575" s="31">
        <f>VLOOKUP($A575,kurspris!$A$1:$Q$835,11,FALSE)</f>
        <v>0</v>
      </c>
      <c r="AM575" s="31">
        <f>VLOOKUP($A575,kurspris!$A$1:$Q$835,12,FALSE)</f>
        <v>0</v>
      </c>
      <c r="AN575" s="31">
        <f>VLOOKUP($A575,kurspris!$A$1:$Q$835,13,FALSE)</f>
        <v>0</v>
      </c>
      <c r="AO575" s="31">
        <f>VLOOKUP($A575,kurspris!$A$1:$Q$835,14,FALSE)</f>
        <v>0</v>
      </c>
      <c r="AP575" s="39" t="s">
        <v>2326</v>
      </c>
      <c r="AQ575"/>
      <c r="AR575" s="31">
        <f t="shared" si="307"/>
        <v>0</v>
      </c>
      <c r="AS575" s="255">
        <f t="shared" si="308"/>
        <v>0</v>
      </c>
      <c r="AT575" s="31">
        <f t="shared" si="309"/>
        <v>0</v>
      </c>
      <c r="AU575" s="255">
        <f t="shared" si="310"/>
        <v>0</v>
      </c>
      <c r="AV575" s="31">
        <f t="shared" si="311"/>
        <v>0</v>
      </c>
      <c r="AW575" s="31">
        <f t="shared" si="312"/>
        <v>0</v>
      </c>
      <c r="AX575" s="31">
        <f t="shared" si="313"/>
        <v>0</v>
      </c>
      <c r="AY575" s="255">
        <f t="shared" si="314"/>
        <v>0</v>
      </c>
      <c r="AZ575" s="232">
        <f t="shared" si="315"/>
        <v>0</v>
      </c>
      <c r="BA575" s="255">
        <f t="shared" si="316"/>
        <v>0</v>
      </c>
      <c r="BB575" s="31">
        <f t="shared" si="317"/>
        <v>0.125</v>
      </c>
      <c r="BC575" s="255">
        <f t="shared" si="318"/>
        <v>0.10625</v>
      </c>
      <c r="BD575" s="31">
        <f t="shared" si="319"/>
        <v>0</v>
      </c>
      <c r="BE575" s="255">
        <f t="shared" si="320"/>
        <v>0</v>
      </c>
      <c r="BF575" s="31">
        <f t="shared" si="321"/>
        <v>0</v>
      </c>
      <c r="BG575" s="255">
        <f t="shared" si="322"/>
        <v>0</v>
      </c>
      <c r="BH575" s="31">
        <f t="shared" si="323"/>
        <v>0</v>
      </c>
      <c r="BI575" s="255">
        <f t="shared" si="324"/>
        <v>0</v>
      </c>
      <c r="BJ575" s="31">
        <f t="shared" si="325"/>
        <v>0</v>
      </c>
      <c r="BK575" s="31">
        <f t="shared" si="326"/>
        <v>0</v>
      </c>
      <c r="BL575" s="255">
        <f t="shared" si="327"/>
        <v>0</v>
      </c>
      <c r="BM575" s="31">
        <f t="shared" si="328"/>
        <v>0</v>
      </c>
      <c r="BN575" s="255">
        <f t="shared" si="329"/>
        <v>0</v>
      </c>
    </row>
    <row r="576" spans="1:66" x14ac:dyDescent="0.25">
      <c r="A576" s="18" t="s">
        <v>1131</v>
      </c>
      <c r="B576" s="186" t="str">
        <f>VLOOKUP(A576,kurspris!$A$1:$B$877,2,FALSE)</f>
        <v>Sex och samlevnad, 7,5 hp</v>
      </c>
      <c r="C576" s="37"/>
      <c r="D576" s="31" t="s">
        <v>483</v>
      </c>
      <c r="E576" s="31" t="s">
        <v>1973</v>
      </c>
      <c r="F576" s="59" t="s">
        <v>1931</v>
      </c>
      <c r="G576" s="31" t="s">
        <v>2276</v>
      </c>
      <c r="J576" t="s">
        <v>774</v>
      </c>
      <c r="L576" s="31">
        <v>25</v>
      </c>
      <c r="M576" s="31">
        <v>7.5</v>
      </c>
      <c r="P576" s="31">
        <v>1</v>
      </c>
      <c r="Q576" s="232">
        <f t="shared" si="302"/>
        <v>0.125</v>
      </c>
      <c r="R576" s="40">
        <v>0.85</v>
      </c>
      <c r="S576" s="334">
        <f t="shared" si="303"/>
        <v>0.10625</v>
      </c>
      <c r="T576" s="31">
        <f>VLOOKUP(A576,'Ansvar kurs'!$A$1:$C$1010,2,FALSE)</f>
        <v>5740</v>
      </c>
      <c r="U576" s="31" t="str">
        <f>VLOOKUP(T576,Orgenheter!$A$1:$C$165,2,FALSE)</f>
        <v>NMD</v>
      </c>
      <c r="V576" s="31" t="str">
        <f>VLOOKUP(T576,Orgenheter!$A$1:$C$165,3,FALSE)</f>
        <v>TekNat</v>
      </c>
      <c r="W576" s="37" t="str">
        <f>VLOOKUP(D576,Program!$A$1:$B$34,2,FALSE)</f>
        <v>Ämneslärarprogrammet - Gy</v>
      </c>
      <c r="X576" s="42">
        <f>VLOOKUP(A576,kurspris!$A$1:$Q$798,15,FALSE)</f>
        <v>19473</v>
      </c>
      <c r="Y576" s="42">
        <f>VLOOKUP(A576,kurspris!$A$1:$Q$798,16,FALSE)</f>
        <v>34806</v>
      </c>
      <c r="Z576" s="42">
        <f t="shared" si="304"/>
        <v>6132.2624999999998</v>
      </c>
      <c r="AA576" s="42">
        <f>VLOOKUP(A576,kurspris!$A$1:$Q$798,17,FALSE)</f>
        <v>21800</v>
      </c>
      <c r="AB576" s="42">
        <f t="shared" si="305"/>
        <v>2725</v>
      </c>
      <c r="AC576" s="42">
        <f t="shared" si="306"/>
        <v>8857.2625000000007</v>
      </c>
      <c r="AD576" s="31">
        <f>VLOOKUP($A576,kurspris!$A$1:$Q$835,3,FALSE)</f>
        <v>0</v>
      </c>
      <c r="AE576" s="31">
        <f>VLOOKUP($A576,kurspris!$A$1:$Q$835,4,FALSE)</f>
        <v>0</v>
      </c>
      <c r="AF576" s="31">
        <f>VLOOKUP($A576,kurspris!$A$1:$Q$835,5,FALSE)</f>
        <v>0</v>
      </c>
      <c r="AG576" s="31">
        <f>VLOOKUP($A576,kurspris!$A$1:$Q$835,6,FALSE)</f>
        <v>0</v>
      </c>
      <c r="AH576" s="31">
        <f>VLOOKUP($A576,kurspris!$A$1:$Q$835,7,FALSE)</f>
        <v>0</v>
      </c>
      <c r="AI576" s="31">
        <f>VLOOKUP($A576,kurspris!$A$1:$Q$835,8,FALSE)</f>
        <v>1</v>
      </c>
      <c r="AJ576" s="31">
        <f>VLOOKUP($A576,kurspris!$A$1:$Q$835,9,FALSE)</f>
        <v>0</v>
      </c>
      <c r="AK576" s="31">
        <f>VLOOKUP($A576,kurspris!$A$1:$Q$835,10,FALSE)</f>
        <v>0</v>
      </c>
      <c r="AL576" s="31">
        <f>VLOOKUP($A576,kurspris!$A$1:$Q$835,11,FALSE)</f>
        <v>0</v>
      </c>
      <c r="AM576" s="31">
        <f>VLOOKUP($A576,kurspris!$A$1:$Q$835,12,FALSE)</f>
        <v>0</v>
      </c>
      <c r="AN576" s="31">
        <f>VLOOKUP($A576,kurspris!$A$1:$Q$835,13,FALSE)</f>
        <v>0</v>
      </c>
      <c r="AO576" s="31">
        <f>VLOOKUP($A576,kurspris!$A$1:$Q$835,14,FALSE)</f>
        <v>0</v>
      </c>
      <c r="AP576" s="39" t="s">
        <v>2326</v>
      </c>
      <c r="AQ576"/>
      <c r="AR576" s="31">
        <f t="shared" si="307"/>
        <v>0</v>
      </c>
      <c r="AS576" s="255">
        <f t="shared" si="308"/>
        <v>0</v>
      </c>
      <c r="AT576" s="31">
        <f t="shared" si="309"/>
        <v>0</v>
      </c>
      <c r="AU576" s="255">
        <f t="shared" si="310"/>
        <v>0</v>
      </c>
      <c r="AV576" s="31">
        <f t="shared" si="311"/>
        <v>0</v>
      </c>
      <c r="AW576" s="31">
        <f t="shared" si="312"/>
        <v>0</v>
      </c>
      <c r="AX576" s="31">
        <f t="shared" si="313"/>
        <v>0</v>
      </c>
      <c r="AY576" s="255">
        <f t="shared" si="314"/>
        <v>0</v>
      </c>
      <c r="AZ576" s="232">
        <f t="shared" si="315"/>
        <v>0</v>
      </c>
      <c r="BA576" s="255">
        <f t="shared" si="316"/>
        <v>0</v>
      </c>
      <c r="BB576" s="31">
        <f t="shared" si="317"/>
        <v>0.125</v>
      </c>
      <c r="BC576" s="255">
        <f t="shared" si="318"/>
        <v>0.10625</v>
      </c>
      <c r="BD576" s="31">
        <f t="shared" si="319"/>
        <v>0</v>
      </c>
      <c r="BE576" s="255">
        <f t="shared" si="320"/>
        <v>0</v>
      </c>
      <c r="BF576" s="31">
        <f t="shared" si="321"/>
        <v>0</v>
      </c>
      <c r="BG576" s="255">
        <f t="shared" si="322"/>
        <v>0</v>
      </c>
      <c r="BH576" s="31">
        <f t="shared" si="323"/>
        <v>0</v>
      </c>
      <c r="BI576" s="255">
        <f t="shared" si="324"/>
        <v>0</v>
      </c>
      <c r="BJ576" s="31">
        <f t="shared" si="325"/>
        <v>0</v>
      </c>
      <c r="BK576" s="31">
        <f t="shared" si="326"/>
        <v>0</v>
      </c>
      <c r="BL576" s="255">
        <f t="shared" si="327"/>
        <v>0</v>
      </c>
      <c r="BM576" s="31">
        <f t="shared" si="328"/>
        <v>0</v>
      </c>
      <c r="BN576" s="255">
        <f t="shared" si="329"/>
        <v>0</v>
      </c>
    </row>
    <row r="577" spans="1:66" x14ac:dyDescent="0.25">
      <c r="A577" s="18" t="s">
        <v>1131</v>
      </c>
      <c r="B577" s="186" t="str">
        <f>VLOOKUP(A577,kurspris!$A$1:$B$877,2,FALSE)</f>
        <v>Sex och samlevnad, 7,5 hp</v>
      </c>
      <c r="C577" s="37"/>
      <c r="D577" s="31" t="s">
        <v>483</v>
      </c>
      <c r="E577" s="31" t="s">
        <v>1609</v>
      </c>
      <c r="F577" s="59" t="s">
        <v>1931</v>
      </c>
      <c r="G577" s="31" t="s">
        <v>2276</v>
      </c>
      <c r="J577" t="s">
        <v>774</v>
      </c>
      <c r="L577" s="31">
        <v>25</v>
      </c>
      <c r="M577" s="31">
        <v>7.5</v>
      </c>
      <c r="P577" s="31">
        <v>1</v>
      </c>
      <c r="Q577" s="232">
        <f t="shared" si="302"/>
        <v>0.125</v>
      </c>
      <c r="R577" s="40">
        <v>0.85</v>
      </c>
      <c r="S577" s="334">
        <f t="shared" si="303"/>
        <v>0.10625</v>
      </c>
      <c r="T577" s="31">
        <f>VLOOKUP(A577,'Ansvar kurs'!$A$1:$C$1010,2,FALSE)</f>
        <v>5740</v>
      </c>
      <c r="U577" s="31" t="str">
        <f>VLOOKUP(T577,Orgenheter!$A$1:$C$165,2,FALSE)</f>
        <v>NMD</v>
      </c>
      <c r="V577" s="31" t="str">
        <f>VLOOKUP(T577,Orgenheter!$A$1:$C$165,3,FALSE)</f>
        <v>TekNat</v>
      </c>
      <c r="W577" s="37" t="str">
        <f>VLOOKUP(D577,Program!$A$1:$B$34,2,FALSE)</f>
        <v>Ämneslärarprogrammet - Gy</v>
      </c>
      <c r="X577" s="42">
        <f>VLOOKUP(A577,kurspris!$A$1:$Q$798,15,FALSE)</f>
        <v>19473</v>
      </c>
      <c r="Y577" s="42">
        <f>VLOOKUP(A577,kurspris!$A$1:$Q$798,16,FALSE)</f>
        <v>34806</v>
      </c>
      <c r="Z577" s="42">
        <f t="shared" si="304"/>
        <v>6132.2624999999998</v>
      </c>
      <c r="AA577" s="42">
        <f>VLOOKUP(A577,kurspris!$A$1:$Q$798,17,FALSE)</f>
        <v>21800</v>
      </c>
      <c r="AB577" s="42">
        <f t="shared" si="305"/>
        <v>2725</v>
      </c>
      <c r="AC577" s="42">
        <f t="shared" si="306"/>
        <v>8857.2625000000007</v>
      </c>
      <c r="AD577" s="31">
        <f>VLOOKUP($A577,kurspris!$A$1:$Q$835,3,FALSE)</f>
        <v>0</v>
      </c>
      <c r="AE577" s="31">
        <f>VLOOKUP($A577,kurspris!$A$1:$Q$835,4,FALSE)</f>
        <v>0</v>
      </c>
      <c r="AF577" s="31">
        <f>VLOOKUP($A577,kurspris!$A$1:$Q$835,5,FALSE)</f>
        <v>0</v>
      </c>
      <c r="AG577" s="31">
        <f>VLOOKUP($A577,kurspris!$A$1:$Q$835,6,FALSE)</f>
        <v>0</v>
      </c>
      <c r="AH577" s="31">
        <f>VLOOKUP($A577,kurspris!$A$1:$Q$835,7,FALSE)</f>
        <v>0</v>
      </c>
      <c r="AI577" s="31">
        <f>VLOOKUP($A577,kurspris!$A$1:$Q$835,8,FALSE)</f>
        <v>1</v>
      </c>
      <c r="AJ577" s="31">
        <f>VLOOKUP($A577,kurspris!$A$1:$Q$835,9,FALSE)</f>
        <v>0</v>
      </c>
      <c r="AK577" s="31">
        <f>VLOOKUP($A577,kurspris!$A$1:$Q$835,10,FALSE)</f>
        <v>0</v>
      </c>
      <c r="AL577" s="31">
        <f>VLOOKUP($A577,kurspris!$A$1:$Q$835,11,FALSE)</f>
        <v>0</v>
      </c>
      <c r="AM577" s="31">
        <f>VLOOKUP($A577,kurspris!$A$1:$Q$835,12,FALSE)</f>
        <v>0</v>
      </c>
      <c r="AN577" s="31">
        <f>VLOOKUP($A577,kurspris!$A$1:$Q$835,13,FALSE)</f>
        <v>0</v>
      </c>
      <c r="AO577" s="31">
        <f>VLOOKUP($A577,kurspris!$A$1:$Q$835,14,FALSE)</f>
        <v>0</v>
      </c>
      <c r="AP577" s="39" t="s">
        <v>2326</v>
      </c>
      <c r="AQ577"/>
      <c r="AR577" s="31">
        <f t="shared" si="307"/>
        <v>0</v>
      </c>
      <c r="AS577" s="255">
        <f t="shared" si="308"/>
        <v>0</v>
      </c>
      <c r="AT577" s="31">
        <f t="shared" si="309"/>
        <v>0</v>
      </c>
      <c r="AU577" s="255">
        <f t="shared" si="310"/>
        <v>0</v>
      </c>
      <c r="AV577" s="31">
        <f t="shared" si="311"/>
        <v>0</v>
      </c>
      <c r="AW577" s="31">
        <f t="shared" si="312"/>
        <v>0</v>
      </c>
      <c r="AX577" s="31">
        <f t="shared" si="313"/>
        <v>0</v>
      </c>
      <c r="AY577" s="255">
        <f t="shared" si="314"/>
        <v>0</v>
      </c>
      <c r="AZ577" s="232">
        <f t="shared" si="315"/>
        <v>0</v>
      </c>
      <c r="BA577" s="255">
        <f t="shared" si="316"/>
        <v>0</v>
      </c>
      <c r="BB577" s="31">
        <f t="shared" si="317"/>
        <v>0.125</v>
      </c>
      <c r="BC577" s="255">
        <f t="shared" si="318"/>
        <v>0.10625</v>
      </c>
      <c r="BD577" s="31">
        <f t="shared" si="319"/>
        <v>0</v>
      </c>
      <c r="BE577" s="255">
        <f t="shared" si="320"/>
        <v>0</v>
      </c>
      <c r="BF577" s="31">
        <f t="shared" si="321"/>
        <v>0</v>
      </c>
      <c r="BG577" s="255">
        <f t="shared" si="322"/>
        <v>0</v>
      </c>
      <c r="BH577" s="31">
        <f t="shared" si="323"/>
        <v>0</v>
      </c>
      <c r="BI577" s="255">
        <f t="shared" si="324"/>
        <v>0</v>
      </c>
      <c r="BJ577" s="31">
        <f t="shared" si="325"/>
        <v>0</v>
      </c>
      <c r="BK577" s="31">
        <f t="shared" si="326"/>
        <v>0</v>
      </c>
      <c r="BL577" s="255">
        <f t="shared" si="327"/>
        <v>0</v>
      </c>
      <c r="BM577" s="31">
        <f t="shared" si="328"/>
        <v>0</v>
      </c>
      <c r="BN577" s="255">
        <f t="shared" si="329"/>
        <v>0</v>
      </c>
    </row>
    <row r="578" spans="1:66" x14ac:dyDescent="0.25">
      <c r="A578" s="18" t="s">
        <v>1131</v>
      </c>
      <c r="B578" s="186" t="str">
        <f>VLOOKUP(A578,kurspris!$A$1:$B$877,2,FALSE)</f>
        <v>Sex och samlevnad, 7,5 hp</v>
      </c>
      <c r="C578" s="37"/>
      <c r="D578" s="31" t="s">
        <v>483</v>
      </c>
      <c r="E578" s="31" t="s">
        <v>1788</v>
      </c>
      <c r="F578" s="59" t="s">
        <v>1931</v>
      </c>
      <c r="G578" s="31" t="s">
        <v>2276</v>
      </c>
      <c r="J578" t="s">
        <v>1594</v>
      </c>
      <c r="L578" s="31">
        <v>25</v>
      </c>
      <c r="M578" s="31">
        <v>7.5</v>
      </c>
      <c r="P578" s="31">
        <v>1</v>
      </c>
      <c r="Q578" s="232">
        <f t="shared" si="302"/>
        <v>0.125</v>
      </c>
      <c r="R578" s="40">
        <v>0.85</v>
      </c>
      <c r="S578" s="334">
        <f t="shared" si="303"/>
        <v>0.10625</v>
      </c>
      <c r="T578" s="31">
        <f>VLOOKUP(A578,'Ansvar kurs'!$A$1:$C$1010,2,FALSE)</f>
        <v>5740</v>
      </c>
      <c r="U578" s="31" t="str">
        <f>VLOOKUP(T578,Orgenheter!$A$1:$C$165,2,FALSE)</f>
        <v>NMD</v>
      </c>
      <c r="V578" s="31" t="str">
        <f>VLOOKUP(T578,Orgenheter!$A$1:$C$165,3,FALSE)</f>
        <v>TekNat</v>
      </c>
      <c r="W578" s="37" t="str">
        <f>VLOOKUP(D578,Program!$A$1:$B$34,2,FALSE)</f>
        <v>Ämneslärarprogrammet - Gy</v>
      </c>
      <c r="X578" s="42">
        <f>VLOOKUP(A578,kurspris!$A$1:$Q$798,15,FALSE)</f>
        <v>19473</v>
      </c>
      <c r="Y578" s="42">
        <f>VLOOKUP(A578,kurspris!$A$1:$Q$798,16,FALSE)</f>
        <v>34806</v>
      </c>
      <c r="Z578" s="42">
        <f t="shared" si="304"/>
        <v>6132.2624999999998</v>
      </c>
      <c r="AA578" s="42">
        <f>VLOOKUP(A578,kurspris!$A$1:$Q$798,17,FALSE)</f>
        <v>21800</v>
      </c>
      <c r="AB578" s="42">
        <f t="shared" si="305"/>
        <v>2725</v>
      </c>
      <c r="AC578" s="42">
        <f t="shared" si="306"/>
        <v>8857.2625000000007</v>
      </c>
      <c r="AD578" s="31">
        <f>VLOOKUP($A578,kurspris!$A$1:$Q$835,3,FALSE)</f>
        <v>0</v>
      </c>
      <c r="AE578" s="31">
        <f>VLOOKUP($A578,kurspris!$A$1:$Q$835,4,FALSE)</f>
        <v>0</v>
      </c>
      <c r="AF578" s="31">
        <f>VLOOKUP($A578,kurspris!$A$1:$Q$835,5,FALSE)</f>
        <v>0</v>
      </c>
      <c r="AG578" s="31">
        <f>VLOOKUP($A578,kurspris!$A$1:$Q$835,6,FALSE)</f>
        <v>0</v>
      </c>
      <c r="AH578" s="31">
        <f>VLOOKUP($A578,kurspris!$A$1:$Q$835,7,FALSE)</f>
        <v>0</v>
      </c>
      <c r="AI578" s="31">
        <f>VLOOKUP($A578,kurspris!$A$1:$Q$835,8,FALSE)</f>
        <v>1</v>
      </c>
      <c r="AJ578" s="31">
        <f>VLOOKUP($A578,kurspris!$A$1:$Q$835,9,FALSE)</f>
        <v>0</v>
      </c>
      <c r="AK578" s="31">
        <f>VLOOKUP($A578,kurspris!$A$1:$Q$835,10,FALSE)</f>
        <v>0</v>
      </c>
      <c r="AL578" s="31">
        <f>VLOOKUP($A578,kurspris!$A$1:$Q$835,11,FALSE)</f>
        <v>0</v>
      </c>
      <c r="AM578" s="31">
        <f>VLOOKUP($A578,kurspris!$A$1:$Q$835,12,FALSE)</f>
        <v>0</v>
      </c>
      <c r="AN578" s="31">
        <f>VLOOKUP($A578,kurspris!$A$1:$Q$835,13,FALSE)</f>
        <v>0</v>
      </c>
      <c r="AO578" s="31">
        <f>VLOOKUP($A578,kurspris!$A$1:$Q$835,14,FALSE)</f>
        <v>0</v>
      </c>
      <c r="AP578" s="39" t="s">
        <v>2326</v>
      </c>
      <c r="AQ578"/>
      <c r="AR578" s="31">
        <f t="shared" si="307"/>
        <v>0</v>
      </c>
      <c r="AS578" s="255">
        <f t="shared" si="308"/>
        <v>0</v>
      </c>
      <c r="AT578" s="31">
        <f t="shared" si="309"/>
        <v>0</v>
      </c>
      <c r="AU578" s="255">
        <f t="shared" si="310"/>
        <v>0</v>
      </c>
      <c r="AV578" s="31">
        <f t="shared" si="311"/>
        <v>0</v>
      </c>
      <c r="AW578" s="31">
        <f t="shared" si="312"/>
        <v>0</v>
      </c>
      <c r="AX578" s="31">
        <f t="shared" si="313"/>
        <v>0</v>
      </c>
      <c r="AY578" s="255">
        <f t="shared" si="314"/>
        <v>0</v>
      </c>
      <c r="AZ578" s="232">
        <f t="shared" si="315"/>
        <v>0</v>
      </c>
      <c r="BA578" s="255">
        <f t="shared" si="316"/>
        <v>0</v>
      </c>
      <c r="BB578" s="31">
        <f t="shared" si="317"/>
        <v>0.125</v>
      </c>
      <c r="BC578" s="255">
        <f t="shared" si="318"/>
        <v>0.10625</v>
      </c>
      <c r="BD578" s="31">
        <f t="shared" si="319"/>
        <v>0</v>
      </c>
      <c r="BE578" s="255">
        <f t="shared" si="320"/>
        <v>0</v>
      </c>
      <c r="BF578" s="31">
        <f t="shared" si="321"/>
        <v>0</v>
      </c>
      <c r="BG578" s="255">
        <f t="shared" si="322"/>
        <v>0</v>
      </c>
      <c r="BH578" s="31">
        <f t="shared" si="323"/>
        <v>0</v>
      </c>
      <c r="BI578" s="255">
        <f t="shared" si="324"/>
        <v>0</v>
      </c>
      <c r="BJ578" s="31">
        <f t="shared" si="325"/>
        <v>0</v>
      </c>
      <c r="BK578" s="31">
        <f t="shared" si="326"/>
        <v>0</v>
      </c>
      <c r="BL578" s="255">
        <f t="shared" si="327"/>
        <v>0</v>
      </c>
      <c r="BM578" s="31">
        <f t="shared" si="328"/>
        <v>0</v>
      </c>
      <c r="BN578" s="255">
        <f t="shared" si="329"/>
        <v>0</v>
      </c>
    </row>
    <row r="579" spans="1:66" x14ac:dyDescent="0.25">
      <c r="A579" s="18" t="s">
        <v>1150</v>
      </c>
      <c r="B579" s="186" t="str">
        <f>VLOOKUP(A579,kurspris!$A$1:$B$877,2,FALSE)</f>
        <v>Förskollärare som profession</v>
      </c>
      <c r="C579" s="37"/>
      <c r="D579" s="31" t="s">
        <v>484</v>
      </c>
      <c r="E579" s="31" t="s">
        <v>1931</v>
      </c>
      <c r="F579" s="59" t="s">
        <v>1931</v>
      </c>
      <c r="G579" s="31" t="s">
        <v>2279</v>
      </c>
      <c r="L579" s="31">
        <v>100</v>
      </c>
      <c r="M579" s="31">
        <v>6</v>
      </c>
      <c r="P579" s="31">
        <v>57</v>
      </c>
      <c r="Q579" s="232">
        <f t="shared" ref="Q579:Q642" si="330">(M579/60)*P579</f>
        <v>5.7</v>
      </c>
      <c r="R579" s="40">
        <v>0.85</v>
      </c>
      <c r="S579" s="334">
        <f t="shared" ref="S579:S642" si="331">Q579*R579</f>
        <v>4.8449999999999998</v>
      </c>
      <c r="T579" s="31">
        <f>VLOOKUP(A579,'Ansvar kurs'!$A$1:$C$1010,2,FALSE)</f>
        <v>2193</v>
      </c>
      <c r="U579" s="31" t="str">
        <f>VLOOKUP(T579,Orgenheter!$A$1:$C$165,2,FALSE)</f>
        <v xml:space="preserve">TUV </v>
      </c>
      <c r="V579" s="31" t="str">
        <f>VLOOKUP(T579,Orgenheter!$A$1:$C$165,3,FALSE)</f>
        <v>Sam</v>
      </c>
      <c r="W579" s="37" t="str">
        <f>VLOOKUP(D579,Program!$A$1:$B$34,2,FALSE)</f>
        <v>Förskollärarprogrammet</v>
      </c>
      <c r="X579" s="42">
        <f>VLOOKUP(A579,kurspris!$A$1:$Q$798,15,FALSE)</f>
        <v>23641</v>
      </c>
      <c r="Y579" s="42">
        <f>VLOOKUP(A579,kurspris!$A$1:$Q$798,16,FALSE)</f>
        <v>28786</v>
      </c>
      <c r="Z579" s="42">
        <f t="shared" ref="Z579:Z642" si="332">X579*Q579+S579*Y579</f>
        <v>274221.87</v>
      </c>
      <c r="AA579" s="42">
        <f>VLOOKUP(A579,kurspris!$A$1:$Q$798,17,FALSE)</f>
        <v>5800</v>
      </c>
      <c r="AB579" s="42">
        <f t="shared" ref="AB579:AB642" si="333">AA579*Q579</f>
        <v>33060</v>
      </c>
      <c r="AC579" s="42">
        <f t="shared" ref="AC579:AC642" si="334">Z579+AB579</f>
        <v>307281.87</v>
      </c>
      <c r="AD579" s="31">
        <f>VLOOKUP($A579,kurspris!$A$1:$Q$835,3,FALSE)</f>
        <v>0</v>
      </c>
      <c r="AE579" s="31">
        <f>VLOOKUP($A579,kurspris!$A$1:$Q$835,4,FALSE)</f>
        <v>0</v>
      </c>
      <c r="AF579" s="31">
        <f>VLOOKUP($A579,kurspris!$A$1:$Q$835,5,FALSE)</f>
        <v>0</v>
      </c>
      <c r="AG579" s="31">
        <f>VLOOKUP($A579,kurspris!$A$1:$Q$835,6,FALSE)</f>
        <v>1</v>
      </c>
      <c r="AH579" s="31">
        <f>VLOOKUP($A579,kurspris!$A$1:$Q$835,7,FALSE)</f>
        <v>0</v>
      </c>
      <c r="AI579" s="31">
        <f>VLOOKUP($A579,kurspris!$A$1:$Q$835,8,FALSE)</f>
        <v>0</v>
      </c>
      <c r="AJ579" s="31">
        <f>VLOOKUP($A579,kurspris!$A$1:$Q$835,9,FALSE)</f>
        <v>0</v>
      </c>
      <c r="AK579" s="31">
        <f>VLOOKUP($A579,kurspris!$A$1:$Q$835,10,FALSE)</f>
        <v>0</v>
      </c>
      <c r="AL579" s="31">
        <f>VLOOKUP($A579,kurspris!$A$1:$Q$835,11,FALSE)</f>
        <v>0</v>
      </c>
      <c r="AM579" s="31">
        <f>VLOOKUP($A579,kurspris!$A$1:$Q$835,12,FALSE)</f>
        <v>0</v>
      </c>
      <c r="AN579" s="31">
        <f>VLOOKUP($A579,kurspris!$A$1:$Q$835,13,FALSE)</f>
        <v>0</v>
      </c>
      <c r="AO579" s="31">
        <f>VLOOKUP($A579,kurspris!$A$1:$Q$835,14,FALSE)</f>
        <v>0</v>
      </c>
      <c r="AP579" s="39" t="s">
        <v>2326</v>
      </c>
      <c r="AQ579"/>
      <c r="AR579" s="31">
        <f t="shared" ref="AR579:AR642" si="335">$Q579*AD579</f>
        <v>0</v>
      </c>
      <c r="AS579" s="255">
        <f t="shared" ref="AS579:AS642" si="336">$S579*AD579</f>
        <v>0</v>
      </c>
      <c r="AT579" s="31">
        <f t="shared" ref="AT579:AT642" si="337">$Q579*AE579</f>
        <v>0</v>
      </c>
      <c r="AU579" s="255">
        <f t="shared" ref="AU579:AU642" si="338">$S579*AE579</f>
        <v>0</v>
      </c>
      <c r="AV579" s="31">
        <f t="shared" ref="AV579:AV642" si="339">$Q579*AF579</f>
        <v>0</v>
      </c>
      <c r="AW579" s="31">
        <f t="shared" ref="AW579:AW642" si="340">$S579*AF579</f>
        <v>0</v>
      </c>
      <c r="AX579" s="31">
        <f t="shared" ref="AX579:AX642" si="341">$Q579*AG579</f>
        <v>5.7</v>
      </c>
      <c r="AY579" s="255">
        <f t="shared" ref="AY579:AY642" si="342">$S579*AG579</f>
        <v>4.8449999999999998</v>
      </c>
      <c r="AZ579" s="232">
        <f t="shared" ref="AZ579:AZ642" si="343">$Q579*AH579</f>
        <v>0</v>
      </c>
      <c r="BA579" s="255">
        <f t="shared" ref="BA579:BA642" si="344">$S579*AH579</f>
        <v>0</v>
      </c>
      <c r="BB579" s="31">
        <f t="shared" ref="BB579:BB642" si="345">$Q579*AI579</f>
        <v>0</v>
      </c>
      <c r="BC579" s="255">
        <f t="shared" ref="BC579:BC642" si="346">$S579*AI579</f>
        <v>0</v>
      </c>
      <c r="BD579" s="31">
        <f t="shared" ref="BD579:BD642" si="347">$Q579*AJ579</f>
        <v>0</v>
      </c>
      <c r="BE579" s="255">
        <f t="shared" ref="BE579:BE642" si="348">$S579*AJ579</f>
        <v>0</v>
      </c>
      <c r="BF579" s="31">
        <f t="shared" ref="BF579:BF642" si="349">$Q579*AK579</f>
        <v>0</v>
      </c>
      <c r="BG579" s="255">
        <f t="shared" ref="BG579:BG642" si="350">$S579*AK579</f>
        <v>0</v>
      </c>
      <c r="BH579" s="31">
        <f t="shared" ref="BH579:BH642" si="351">$Q579*AL579</f>
        <v>0</v>
      </c>
      <c r="BI579" s="255">
        <f t="shared" ref="BI579:BI642" si="352">$S579*AL579</f>
        <v>0</v>
      </c>
      <c r="BJ579" s="31">
        <f t="shared" ref="BJ579:BJ642" si="353">$Q579*AM579</f>
        <v>0</v>
      </c>
      <c r="BK579" s="31">
        <f t="shared" ref="BK579:BK642" si="354">$Q579*AN579</f>
        <v>0</v>
      </c>
      <c r="BL579" s="255">
        <f t="shared" ref="BL579:BL642" si="355">$S579*AN579</f>
        <v>0</v>
      </c>
      <c r="BM579" s="31">
        <f t="shared" ref="BM579:BM642" si="356">$Q579*AO579</f>
        <v>0</v>
      </c>
      <c r="BN579" s="255">
        <f t="shared" ref="BN579:BN642" si="357">$S579*AO579</f>
        <v>0</v>
      </c>
    </row>
    <row r="580" spans="1:66" x14ac:dyDescent="0.25">
      <c r="A580" t="s">
        <v>1150</v>
      </c>
      <c r="B580" s="186" t="str">
        <f>VLOOKUP(A580,kurspris!$A$1:$B$877,2,FALSE)</f>
        <v>Förskollärare som profession</v>
      </c>
      <c r="C580"/>
      <c r="D580" t="s">
        <v>484</v>
      </c>
      <c r="E580" s="39" t="s">
        <v>1930</v>
      </c>
      <c r="F580" s="39" t="s">
        <v>1930</v>
      </c>
      <c r="G580" t="s">
        <v>1934</v>
      </c>
      <c r="H580" t="s">
        <v>1910</v>
      </c>
      <c r="I580"/>
      <c r="J580"/>
      <c r="K580"/>
      <c r="L580">
        <v>100</v>
      </c>
      <c r="M580">
        <v>6</v>
      </c>
      <c r="N580"/>
      <c r="O580"/>
      <c r="P580" s="31">
        <v>23</v>
      </c>
      <c r="Q580" s="232">
        <f t="shared" si="330"/>
        <v>2.3000000000000003</v>
      </c>
      <c r="R580" s="40">
        <v>0.85</v>
      </c>
      <c r="S580" s="334">
        <f t="shared" si="331"/>
        <v>1.9550000000000001</v>
      </c>
      <c r="T580" s="31">
        <f>VLOOKUP(A580,'Ansvar kurs'!$A$1:$C$1010,2,FALSE)</f>
        <v>2193</v>
      </c>
      <c r="U580" s="31" t="str">
        <f>VLOOKUP(T580,Orgenheter!$A$1:$C$165,2,FALSE)</f>
        <v xml:space="preserve">TUV </v>
      </c>
      <c r="V580" s="31" t="str">
        <f>VLOOKUP(T580,Orgenheter!$A$1:$C$165,3,FALSE)</f>
        <v>Sam</v>
      </c>
      <c r="W580" s="37" t="str">
        <f>VLOOKUP(D580,Program!$A$1:$B$34,2,FALSE)</f>
        <v>Förskollärarprogrammet</v>
      </c>
      <c r="X580" s="42">
        <f>VLOOKUP(A580,kurspris!$A$1:$Q$798,15,FALSE)</f>
        <v>23641</v>
      </c>
      <c r="Y580" s="42">
        <f>VLOOKUP(A580,kurspris!$A$1:$Q$798,16,FALSE)</f>
        <v>28786</v>
      </c>
      <c r="Z580" s="42">
        <f t="shared" si="332"/>
        <v>110650.93000000001</v>
      </c>
      <c r="AA580" s="42">
        <f>VLOOKUP(A580,kurspris!$A$1:$Q$798,17,FALSE)</f>
        <v>5800</v>
      </c>
      <c r="AB580" s="42">
        <f t="shared" si="333"/>
        <v>13340.000000000002</v>
      </c>
      <c r="AC580" s="42">
        <f t="shared" si="334"/>
        <v>123990.93000000001</v>
      </c>
      <c r="AD580" s="31">
        <f>VLOOKUP($A580,kurspris!$A$1:$Q$835,3,FALSE)</f>
        <v>0</v>
      </c>
      <c r="AE580" s="31">
        <f>VLOOKUP($A580,kurspris!$A$1:$Q$835,4,FALSE)</f>
        <v>0</v>
      </c>
      <c r="AF580" s="31">
        <f>VLOOKUP($A580,kurspris!$A$1:$Q$835,5,FALSE)</f>
        <v>0</v>
      </c>
      <c r="AG580" s="31">
        <f>VLOOKUP($A580,kurspris!$A$1:$Q$835,6,FALSE)</f>
        <v>1</v>
      </c>
      <c r="AH580" s="31">
        <f>VLOOKUP($A580,kurspris!$A$1:$Q$835,7,FALSE)</f>
        <v>0</v>
      </c>
      <c r="AI580" s="31">
        <f>VLOOKUP($A580,kurspris!$A$1:$Q$835,8,FALSE)</f>
        <v>0</v>
      </c>
      <c r="AJ580" s="31">
        <f>VLOOKUP($A580,kurspris!$A$1:$Q$835,9,FALSE)</f>
        <v>0</v>
      </c>
      <c r="AK580" s="31">
        <f>VLOOKUP($A580,kurspris!$A$1:$Q$835,10,FALSE)</f>
        <v>0</v>
      </c>
      <c r="AL580" s="31">
        <f>VLOOKUP($A580,kurspris!$A$1:$Q$835,11,FALSE)</f>
        <v>0</v>
      </c>
      <c r="AM580" s="31">
        <f>VLOOKUP($A580,kurspris!$A$1:$Q$835,12,FALSE)</f>
        <v>0</v>
      </c>
      <c r="AN580" s="31">
        <f>VLOOKUP($A580,kurspris!$A$1:$Q$835,13,FALSE)</f>
        <v>0</v>
      </c>
      <c r="AO580" s="31">
        <f>VLOOKUP($A580,kurspris!$A$1:$Q$835,14,FALSE)</f>
        <v>0</v>
      </c>
      <c r="AP580" s="39" t="s">
        <v>2204</v>
      </c>
      <c r="AQ580"/>
      <c r="AR580" s="31">
        <f t="shared" si="335"/>
        <v>0</v>
      </c>
      <c r="AS580" s="255">
        <f t="shared" si="336"/>
        <v>0</v>
      </c>
      <c r="AT580" s="31">
        <f t="shared" si="337"/>
        <v>0</v>
      </c>
      <c r="AU580" s="255">
        <f t="shared" si="338"/>
        <v>0</v>
      </c>
      <c r="AV580" s="31">
        <f t="shared" si="339"/>
        <v>0</v>
      </c>
      <c r="AW580" s="31">
        <f t="shared" si="340"/>
        <v>0</v>
      </c>
      <c r="AX580" s="31">
        <f t="shared" si="341"/>
        <v>2.3000000000000003</v>
      </c>
      <c r="AY580" s="255">
        <f t="shared" si="342"/>
        <v>1.9550000000000001</v>
      </c>
      <c r="AZ580" s="232">
        <f t="shared" si="343"/>
        <v>0</v>
      </c>
      <c r="BA580" s="255">
        <f t="shared" si="344"/>
        <v>0</v>
      </c>
      <c r="BB580" s="31">
        <f t="shared" si="345"/>
        <v>0</v>
      </c>
      <c r="BC580" s="255">
        <f t="shared" si="346"/>
        <v>0</v>
      </c>
      <c r="BD580" s="31">
        <f t="shared" si="347"/>
        <v>0</v>
      </c>
      <c r="BE580" s="255">
        <f t="shared" si="348"/>
        <v>0</v>
      </c>
      <c r="BF580" s="31">
        <f t="shared" si="349"/>
        <v>0</v>
      </c>
      <c r="BG580" s="255">
        <f t="shared" si="350"/>
        <v>0</v>
      </c>
      <c r="BH580" s="31">
        <f t="shared" si="351"/>
        <v>0</v>
      </c>
      <c r="BI580" s="255">
        <f t="shared" si="352"/>
        <v>0</v>
      </c>
      <c r="BJ580" s="31">
        <f t="shared" si="353"/>
        <v>0</v>
      </c>
      <c r="BK580" s="31">
        <f t="shared" si="354"/>
        <v>0</v>
      </c>
      <c r="BL580" s="255">
        <f t="shared" si="355"/>
        <v>0</v>
      </c>
      <c r="BM580" s="31">
        <f t="shared" si="356"/>
        <v>0</v>
      </c>
      <c r="BN580" s="255">
        <f t="shared" si="357"/>
        <v>0</v>
      </c>
    </row>
    <row r="581" spans="1:66" x14ac:dyDescent="0.25">
      <c r="A581" s="18" t="s">
        <v>1151</v>
      </c>
      <c r="B581" s="186" t="str">
        <f>VLOOKUP(A581,kurspris!$A$1:$B$877,2,FALSE)</f>
        <v>Att vara förskollärare (VFU)</v>
      </c>
      <c r="C581" s="37"/>
      <c r="D581" s="31" t="s">
        <v>484</v>
      </c>
      <c r="E581" s="31" t="s">
        <v>1931</v>
      </c>
      <c r="F581" s="59" t="s">
        <v>1931</v>
      </c>
      <c r="G581" s="31" t="s">
        <v>2280</v>
      </c>
      <c r="L581" s="31">
        <v>100</v>
      </c>
      <c r="M581" s="31">
        <v>1.5</v>
      </c>
      <c r="N581" s="40">
        <v>-0.05</v>
      </c>
      <c r="O581" s="31">
        <v>57</v>
      </c>
      <c r="P581" s="377">
        <f>O581+(O581*N581)</f>
        <v>54.15</v>
      </c>
      <c r="Q581" s="232">
        <f t="shared" si="330"/>
        <v>1.35375</v>
      </c>
      <c r="R581" s="40">
        <v>0.85</v>
      </c>
      <c r="S581" s="334">
        <f t="shared" si="331"/>
        <v>1.1506875000000001</v>
      </c>
      <c r="T581" s="31">
        <f>VLOOKUP(A581,'Ansvar kurs'!$A$1:$C$1010,2,FALSE)</f>
        <v>2193</v>
      </c>
      <c r="U581" s="31" t="str">
        <f>VLOOKUP(T581,Orgenheter!$A$1:$C$165,2,FALSE)</f>
        <v xml:space="preserve">TUV </v>
      </c>
      <c r="V581" s="31" t="str">
        <f>VLOOKUP(T581,Orgenheter!$A$1:$C$165,3,FALSE)</f>
        <v>Sam</v>
      </c>
      <c r="W581" s="37" t="str">
        <f>VLOOKUP(D581,Program!$A$1:$B$34,2,FALSE)</f>
        <v>Förskollärarprogrammet</v>
      </c>
      <c r="X581" s="42">
        <f>VLOOKUP(A581,kurspris!$A$1:$Q$798,15,FALSE)</f>
        <v>21634</v>
      </c>
      <c r="Y581" s="42">
        <f>VLOOKUP(A581,kurspris!$A$1:$Q$798,16,FALSE)</f>
        <v>26986</v>
      </c>
      <c r="Z581" s="42">
        <f t="shared" si="332"/>
        <v>60339.480374999999</v>
      </c>
      <c r="AA581" s="42">
        <f>VLOOKUP(A581,kurspris!$A$1:$Q$798,17,FALSE)</f>
        <v>3400</v>
      </c>
      <c r="AB581" s="42">
        <f t="shared" si="333"/>
        <v>4602.75</v>
      </c>
      <c r="AC581" s="42">
        <f t="shared" si="334"/>
        <v>64942.230374999999</v>
      </c>
      <c r="AD581" s="31">
        <f>VLOOKUP($A581,kurspris!$A$1:$Q$835,3,FALSE)</f>
        <v>0</v>
      </c>
      <c r="AE581" s="31">
        <f>VLOOKUP($A581,kurspris!$A$1:$Q$835,4,FALSE)</f>
        <v>0</v>
      </c>
      <c r="AF581" s="31">
        <f>VLOOKUP($A581,kurspris!$A$1:$Q$835,5,FALSE)</f>
        <v>0</v>
      </c>
      <c r="AG581" s="31">
        <f>VLOOKUP($A581,kurspris!$A$1:$Q$835,6,FALSE)</f>
        <v>0</v>
      </c>
      <c r="AH581" s="31">
        <f>VLOOKUP($A581,kurspris!$A$1:$Q$835,7,FALSE)</f>
        <v>0</v>
      </c>
      <c r="AI581" s="31">
        <f>VLOOKUP($A581,kurspris!$A$1:$Q$835,8,FALSE)</f>
        <v>0</v>
      </c>
      <c r="AJ581" s="31">
        <f>VLOOKUP($A581,kurspris!$A$1:$Q$835,9,FALSE)</f>
        <v>0</v>
      </c>
      <c r="AK581" s="31">
        <f>VLOOKUP($A581,kurspris!$A$1:$Q$835,10,FALSE)</f>
        <v>0</v>
      </c>
      <c r="AL581" s="31">
        <f>VLOOKUP($A581,kurspris!$A$1:$Q$835,11,FALSE)</f>
        <v>1</v>
      </c>
      <c r="AM581" s="31">
        <f>VLOOKUP($A581,kurspris!$A$1:$Q$835,12,FALSE)</f>
        <v>0</v>
      </c>
      <c r="AN581" s="31">
        <f>VLOOKUP($A581,kurspris!$A$1:$Q$835,13,FALSE)</f>
        <v>0</v>
      </c>
      <c r="AO581" s="31">
        <f>VLOOKUP($A581,kurspris!$A$1:$Q$835,14,FALSE)</f>
        <v>0</v>
      </c>
      <c r="AP581" s="39" t="s">
        <v>1631</v>
      </c>
      <c r="AQ581"/>
      <c r="AR581" s="31">
        <f t="shared" si="335"/>
        <v>0</v>
      </c>
      <c r="AS581" s="255">
        <f t="shared" si="336"/>
        <v>0</v>
      </c>
      <c r="AT581" s="31">
        <f t="shared" si="337"/>
        <v>0</v>
      </c>
      <c r="AU581" s="255">
        <f t="shared" si="338"/>
        <v>0</v>
      </c>
      <c r="AV581" s="31">
        <f t="shared" si="339"/>
        <v>0</v>
      </c>
      <c r="AW581" s="31">
        <f t="shared" si="340"/>
        <v>0</v>
      </c>
      <c r="AX581" s="31">
        <f t="shared" si="341"/>
        <v>0</v>
      </c>
      <c r="AY581" s="255">
        <f t="shared" si="342"/>
        <v>0</v>
      </c>
      <c r="AZ581" s="232">
        <f t="shared" si="343"/>
        <v>0</v>
      </c>
      <c r="BA581" s="255">
        <f t="shared" si="344"/>
        <v>0</v>
      </c>
      <c r="BB581" s="31">
        <f t="shared" si="345"/>
        <v>0</v>
      </c>
      <c r="BC581" s="255">
        <f t="shared" si="346"/>
        <v>0</v>
      </c>
      <c r="BD581" s="31">
        <f t="shared" si="347"/>
        <v>0</v>
      </c>
      <c r="BE581" s="255">
        <f t="shared" si="348"/>
        <v>0</v>
      </c>
      <c r="BF581" s="31">
        <f t="shared" si="349"/>
        <v>0</v>
      </c>
      <c r="BG581" s="255">
        <f t="shared" si="350"/>
        <v>0</v>
      </c>
      <c r="BH581" s="31">
        <f t="shared" si="351"/>
        <v>1.35375</v>
      </c>
      <c r="BI581" s="255">
        <f t="shared" si="352"/>
        <v>1.1506875000000001</v>
      </c>
      <c r="BJ581" s="31">
        <f t="shared" si="353"/>
        <v>0</v>
      </c>
      <c r="BK581" s="31">
        <f t="shared" si="354"/>
        <v>0</v>
      </c>
      <c r="BL581" s="255">
        <f t="shared" si="355"/>
        <v>0</v>
      </c>
      <c r="BM581" s="31">
        <f t="shared" si="356"/>
        <v>0</v>
      </c>
      <c r="BN581" s="255">
        <f t="shared" si="357"/>
        <v>0</v>
      </c>
    </row>
    <row r="582" spans="1:66" x14ac:dyDescent="0.25">
      <c r="A582" t="s">
        <v>1151</v>
      </c>
      <c r="B582" s="186" t="str">
        <f>VLOOKUP(A582,kurspris!$A$1:$B$877,2,FALSE)</f>
        <v>Att vara förskollärare (VFU)</v>
      </c>
      <c r="C582"/>
      <c r="D582" t="s">
        <v>484</v>
      </c>
      <c r="E582" s="39" t="s">
        <v>1930</v>
      </c>
      <c r="F582" s="39" t="s">
        <v>1930</v>
      </c>
      <c r="G582" t="s">
        <v>1935</v>
      </c>
      <c r="H582" t="s">
        <v>1910</v>
      </c>
      <c r="I582"/>
      <c r="J582"/>
      <c r="K582"/>
      <c r="L582">
        <v>100</v>
      </c>
      <c r="M582">
        <v>1.5</v>
      </c>
      <c r="N582"/>
      <c r="O582"/>
      <c r="P582" s="31">
        <v>21</v>
      </c>
      <c r="Q582" s="232">
        <f t="shared" si="330"/>
        <v>0.52500000000000002</v>
      </c>
      <c r="R582" s="40">
        <v>0.85</v>
      </c>
      <c r="S582" s="334">
        <f t="shared" si="331"/>
        <v>0.44624999999999998</v>
      </c>
      <c r="T582" s="31">
        <f>VLOOKUP(A582,'Ansvar kurs'!$A$1:$C$1010,2,FALSE)</f>
        <v>2193</v>
      </c>
      <c r="U582" s="31" t="str">
        <f>VLOOKUP(T582,Orgenheter!$A$1:$C$165,2,FALSE)</f>
        <v xml:space="preserve">TUV </v>
      </c>
      <c r="V582" s="31" t="str">
        <f>VLOOKUP(T582,Orgenheter!$A$1:$C$165,3,FALSE)</f>
        <v>Sam</v>
      </c>
      <c r="W582" s="37" t="str">
        <f>VLOOKUP(D582,Program!$A$1:$B$34,2,FALSE)</f>
        <v>Förskollärarprogrammet</v>
      </c>
      <c r="X582" s="42">
        <f>VLOOKUP(A582,kurspris!$A$1:$Q$798,15,FALSE)</f>
        <v>21634</v>
      </c>
      <c r="Y582" s="42">
        <f>VLOOKUP(A582,kurspris!$A$1:$Q$798,16,FALSE)</f>
        <v>26986</v>
      </c>
      <c r="Z582" s="42">
        <f t="shared" si="332"/>
        <v>23400.352500000001</v>
      </c>
      <c r="AA582" s="42">
        <f>VLOOKUP(A582,kurspris!$A$1:$Q$798,17,FALSE)</f>
        <v>3400</v>
      </c>
      <c r="AB582" s="42">
        <f t="shared" si="333"/>
        <v>1785</v>
      </c>
      <c r="AC582" s="42">
        <f t="shared" si="334"/>
        <v>25185.352500000001</v>
      </c>
      <c r="AD582" s="31">
        <f>VLOOKUP($A582,kurspris!$A$1:$Q$835,3,FALSE)</f>
        <v>0</v>
      </c>
      <c r="AE582" s="31">
        <f>VLOOKUP($A582,kurspris!$A$1:$Q$835,4,FALSE)</f>
        <v>0</v>
      </c>
      <c r="AF582" s="31">
        <f>VLOOKUP($A582,kurspris!$A$1:$Q$835,5,FALSE)</f>
        <v>0</v>
      </c>
      <c r="AG582" s="31">
        <f>VLOOKUP($A582,kurspris!$A$1:$Q$835,6,FALSE)</f>
        <v>0</v>
      </c>
      <c r="AH582" s="31">
        <f>VLOOKUP($A582,kurspris!$A$1:$Q$835,7,FALSE)</f>
        <v>0</v>
      </c>
      <c r="AI582" s="31">
        <f>VLOOKUP($A582,kurspris!$A$1:$Q$835,8,FALSE)</f>
        <v>0</v>
      </c>
      <c r="AJ582" s="31">
        <f>VLOOKUP($A582,kurspris!$A$1:$Q$835,9,FALSE)</f>
        <v>0</v>
      </c>
      <c r="AK582" s="31">
        <f>VLOOKUP($A582,kurspris!$A$1:$Q$835,10,FALSE)</f>
        <v>0</v>
      </c>
      <c r="AL582" s="31">
        <f>VLOOKUP($A582,kurspris!$A$1:$Q$835,11,FALSE)</f>
        <v>1</v>
      </c>
      <c r="AM582" s="31">
        <f>VLOOKUP($A582,kurspris!$A$1:$Q$835,12,FALSE)</f>
        <v>0</v>
      </c>
      <c r="AN582" s="31">
        <f>VLOOKUP($A582,kurspris!$A$1:$Q$835,13,FALSE)</f>
        <v>0</v>
      </c>
      <c r="AO582" s="31">
        <f>VLOOKUP($A582,kurspris!$A$1:$Q$835,14,FALSE)</f>
        <v>0</v>
      </c>
      <c r="AP582" s="39" t="s">
        <v>2204</v>
      </c>
      <c r="AQ582"/>
      <c r="AR582" s="31">
        <f t="shared" si="335"/>
        <v>0</v>
      </c>
      <c r="AS582" s="255">
        <f t="shared" si="336"/>
        <v>0</v>
      </c>
      <c r="AT582" s="31">
        <f t="shared" si="337"/>
        <v>0</v>
      </c>
      <c r="AU582" s="255">
        <f t="shared" si="338"/>
        <v>0</v>
      </c>
      <c r="AV582" s="31">
        <f t="shared" si="339"/>
        <v>0</v>
      </c>
      <c r="AW582" s="31">
        <f t="shared" si="340"/>
        <v>0</v>
      </c>
      <c r="AX582" s="31">
        <f t="shared" si="341"/>
        <v>0</v>
      </c>
      <c r="AY582" s="255">
        <f t="shared" si="342"/>
        <v>0</v>
      </c>
      <c r="AZ582" s="232">
        <f t="shared" si="343"/>
        <v>0</v>
      </c>
      <c r="BA582" s="255">
        <f t="shared" si="344"/>
        <v>0</v>
      </c>
      <c r="BB582" s="31">
        <f t="shared" si="345"/>
        <v>0</v>
      </c>
      <c r="BC582" s="255">
        <f t="shared" si="346"/>
        <v>0</v>
      </c>
      <c r="BD582" s="31">
        <f t="shared" si="347"/>
        <v>0</v>
      </c>
      <c r="BE582" s="255">
        <f t="shared" si="348"/>
        <v>0</v>
      </c>
      <c r="BF582" s="31">
        <f t="shared" si="349"/>
        <v>0</v>
      </c>
      <c r="BG582" s="255">
        <f t="shared" si="350"/>
        <v>0</v>
      </c>
      <c r="BH582" s="31">
        <f t="shared" si="351"/>
        <v>0.52500000000000002</v>
      </c>
      <c r="BI582" s="255">
        <f t="shared" si="352"/>
        <v>0.44624999999999998</v>
      </c>
      <c r="BJ582" s="31">
        <f t="shared" si="353"/>
        <v>0</v>
      </c>
      <c r="BK582" s="31">
        <f t="shared" si="354"/>
        <v>0</v>
      </c>
      <c r="BL582" s="255">
        <f t="shared" si="355"/>
        <v>0</v>
      </c>
      <c r="BM582" s="31">
        <f t="shared" si="356"/>
        <v>0</v>
      </c>
      <c r="BN582" s="255">
        <f t="shared" si="357"/>
        <v>0</v>
      </c>
    </row>
    <row r="583" spans="1:66" x14ac:dyDescent="0.25">
      <c r="A583" s="18" t="s">
        <v>1287</v>
      </c>
      <c r="B583" s="186" t="str">
        <f>VLOOKUP(A583,kurspris!$A$1:$B$877,2,FALSE)</f>
        <v>Ämneslärare som profession</v>
      </c>
      <c r="C583" s="37"/>
      <c r="D583" s="31" t="s">
        <v>483</v>
      </c>
      <c r="E583" s="31" t="s">
        <v>1609</v>
      </c>
      <c r="F583" s="59" t="s">
        <v>1931</v>
      </c>
      <c r="G583" s="31" t="s">
        <v>2279</v>
      </c>
      <c r="J583" t="s">
        <v>1593</v>
      </c>
      <c r="L583" s="31">
        <v>100</v>
      </c>
      <c r="M583" s="31">
        <v>6</v>
      </c>
      <c r="P583" s="31">
        <v>1</v>
      </c>
      <c r="Q583" s="232">
        <f t="shared" si="330"/>
        <v>0.1</v>
      </c>
      <c r="R583" s="40">
        <v>0.85</v>
      </c>
      <c r="S583" s="334">
        <f t="shared" si="331"/>
        <v>8.5000000000000006E-2</v>
      </c>
      <c r="T583" s="31">
        <f>VLOOKUP(A583,'Ansvar kurs'!$A$1:$C$1010,2,FALSE)</f>
        <v>2180</v>
      </c>
      <c r="U583" s="31" t="str">
        <f>VLOOKUP(T583,Orgenheter!$A$1:$C$165,2,FALSE)</f>
        <v xml:space="preserve">Pedagogik                     </v>
      </c>
      <c r="V583" s="31" t="str">
        <f>VLOOKUP(T583,Orgenheter!$A$1:$C$165,3,FALSE)</f>
        <v>Sam</v>
      </c>
      <c r="W583" s="37" t="str">
        <f>VLOOKUP(D583,Program!$A$1:$B$34,2,FALSE)</f>
        <v>Ämneslärarprogrammet - Gy</v>
      </c>
      <c r="X583" s="42">
        <f>VLOOKUP(A583,kurspris!$A$1:$Q$798,15,FALSE)</f>
        <v>23641</v>
      </c>
      <c r="Y583" s="42">
        <f>VLOOKUP(A583,kurspris!$A$1:$Q$798,16,FALSE)</f>
        <v>28786</v>
      </c>
      <c r="Z583" s="42">
        <f t="shared" si="332"/>
        <v>4810.91</v>
      </c>
      <c r="AA583" s="42">
        <f>VLOOKUP(A583,kurspris!$A$1:$Q$798,17,FALSE)</f>
        <v>5800</v>
      </c>
      <c r="AB583" s="42">
        <f t="shared" si="333"/>
        <v>580</v>
      </c>
      <c r="AC583" s="42">
        <f t="shared" si="334"/>
        <v>5390.91</v>
      </c>
      <c r="AD583" s="31">
        <f>VLOOKUP($A583,kurspris!$A$1:$Q$835,3,FALSE)</f>
        <v>0</v>
      </c>
      <c r="AE583" s="31">
        <f>VLOOKUP($A583,kurspris!$A$1:$Q$835,4,FALSE)</f>
        <v>0</v>
      </c>
      <c r="AF583" s="31">
        <f>VLOOKUP($A583,kurspris!$A$1:$Q$835,5,FALSE)</f>
        <v>0</v>
      </c>
      <c r="AG583" s="31">
        <f>VLOOKUP($A583,kurspris!$A$1:$Q$835,6,FALSE)</f>
        <v>1</v>
      </c>
      <c r="AH583" s="31">
        <f>VLOOKUP($A583,kurspris!$A$1:$Q$835,7,FALSE)</f>
        <v>0</v>
      </c>
      <c r="AI583" s="31">
        <f>VLOOKUP($A583,kurspris!$A$1:$Q$835,8,FALSE)</f>
        <v>0</v>
      </c>
      <c r="AJ583" s="31">
        <f>VLOOKUP($A583,kurspris!$A$1:$Q$835,9,FALSE)</f>
        <v>0</v>
      </c>
      <c r="AK583" s="31">
        <f>VLOOKUP($A583,kurspris!$A$1:$Q$835,10,FALSE)</f>
        <v>0</v>
      </c>
      <c r="AL583" s="31">
        <f>VLOOKUP($A583,kurspris!$A$1:$Q$835,11,FALSE)</f>
        <v>0</v>
      </c>
      <c r="AM583" s="31">
        <f>VLOOKUP($A583,kurspris!$A$1:$Q$835,12,FALSE)</f>
        <v>0</v>
      </c>
      <c r="AN583" s="31">
        <f>VLOOKUP($A583,kurspris!$A$1:$Q$835,13,FALSE)</f>
        <v>0</v>
      </c>
      <c r="AO583" s="31">
        <f>VLOOKUP($A583,kurspris!$A$1:$Q$835,14,FALSE)</f>
        <v>0</v>
      </c>
      <c r="AP583" s="39" t="s">
        <v>2326</v>
      </c>
      <c r="AQ583"/>
      <c r="AR583" s="31">
        <f t="shared" si="335"/>
        <v>0</v>
      </c>
      <c r="AS583" s="255">
        <f t="shared" si="336"/>
        <v>0</v>
      </c>
      <c r="AT583" s="31">
        <f t="shared" si="337"/>
        <v>0</v>
      </c>
      <c r="AU583" s="255">
        <f t="shared" si="338"/>
        <v>0</v>
      </c>
      <c r="AV583" s="31">
        <f t="shared" si="339"/>
        <v>0</v>
      </c>
      <c r="AW583" s="31">
        <f t="shared" si="340"/>
        <v>0</v>
      </c>
      <c r="AX583" s="31">
        <f t="shared" si="341"/>
        <v>0.1</v>
      </c>
      <c r="AY583" s="255">
        <f t="shared" si="342"/>
        <v>8.5000000000000006E-2</v>
      </c>
      <c r="AZ583" s="232">
        <f t="shared" si="343"/>
        <v>0</v>
      </c>
      <c r="BA583" s="255">
        <f t="shared" si="344"/>
        <v>0</v>
      </c>
      <c r="BB583" s="31">
        <f t="shared" si="345"/>
        <v>0</v>
      </c>
      <c r="BC583" s="255">
        <f t="shared" si="346"/>
        <v>0</v>
      </c>
      <c r="BD583" s="31">
        <f t="shared" si="347"/>
        <v>0</v>
      </c>
      <c r="BE583" s="255">
        <f t="shared" si="348"/>
        <v>0</v>
      </c>
      <c r="BF583" s="31">
        <f t="shared" si="349"/>
        <v>0</v>
      </c>
      <c r="BG583" s="255">
        <f t="shared" si="350"/>
        <v>0</v>
      </c>
      <c r="BH583" s="31">
        <f t="shared" si="351"/>
        <v>0</v>
      </c>
      <c r="BI583" s="255">
        <f t="shared" si="352"/>
        <v>0</v>
      </c>
      <c r="BJ583" s="31">
        <f t="shared" si="353"/>
        <v>0</v>
      </c>
      <c r="BK583" s="31">
        <f t="shared" si="354"/>
        <v>0</v>
      </c>
      <c r="BL583" s="255">
        <f t="shared" si="355"/>
        <v>0</v>
      </c>
      <c r="BM583" s="31">
        <f t="shared" si="356"/>
        <v>0</v>
      </c>
      <c r="BN583" s="255">
        <f t="shared" si="357"/>
        <v>0</v>
      </c>
    </row>
    <row r="584" spans="1:66" x14ac:dyDescent="0.25">
      <c r="A584" s="18" t="s">
        <v>1287</v>
      </c>
      <c r="B584" s="186" t="str">
        <f>VLOOKUP(A584,kurspris!$A$1:$B$877,2,FALSE)</f>
        <v>Ämneslärare som profession</v>
      </c>
      <c r="C584" s="37"/>
      <c r="D584" s="31" t="s">
        <v>483</v>
      </c>
      <c r="E584" s="31" t="s">
        <v>1788</v>
      </c>
      <c r="F584" s="59" t="s">
        <v>1931</v>
      </c>
      <c r="G584" s="31" t="s">
        <v>2279</v>
      </c>
      <c r="J584" t="s">
        <v>771</v>
      </c>
      <c r="L584" s="31">
        <v>100</v>
      </c>
      <c r="M584" s="31">
        <v>6</v>
      </c>
      <c r="P584" s="31">
        <v>1</v>
      </c>
      <c r="Q584" s="232">
        <f t="shared" si="330"/>
        <v>0.1</v>
      </c>
      <c r="R584" s="40">
        <v>0.85</v>
      </c>
      <c r="S584" s="334">
        <f t="shared" si="331"/>
        <v>8.5000000000000006E-2</v>
      </c>
      <c r="T584" s="31">
        <f>VLOOKUP(A584,'Ansvar kurs'!$A$1:$C$1010,2,FALSE)</f>
        <v>2180</v>
      </c>
      <c r="U584" s="31" t="str">
        <f>VLOOKUP(T584,Orgenheter!$A$1:$C$165,2,FALSE)</f>
        <v xml:space="preserve">Pedagogik                     </v>
      </c>
      <c r="V584" s="31" t="str">
        <f>VLOOKUP(T584,Orgenheter!$A$1:$C$165,3,FALSE)</f>
        <v>Sam</v>
      </c>
      <c r="W584" s="37" t="str">
        <f>VLOOKUP(D584,Program!$A$1:$B$34,2,FALSE)</f>
        <v>Ämneslärarprogrammet - Gy</v>
      </c>
      <c r="X584" s="42">
        <f>VLOOKUP(A584,kurspris!$A$1:$Q$798,15,FALSE)</f>
        <v>23641</v>
      </c>
      <c r="Y584" s="42">
        <f>VLOOKUP(A584,kurspris!$A$1:$Q$798,16,FALSE)</f>
        <v>28786</v>
      </c>
      <c r="Z584" s="42">
        <f t="shared" si="332"/>
        <v>4810.91</v>
      </c>
      <c r="AA584" s="42">
        <f>VLOOKUP(A584,kurspris!$A$1:$Q$798,17,FALSE)</f>
        <v>5800</v>
      </c>
      <c r="AB584" s="42">
        <f t="shared" si="333"/>
        <v>580</v>
      </c>
      <c r="AC584" s="42">
        <f t="shared" si="334"/>
        <v>5390.91</v>
      </c>
      <c r="AD584" s="31">
        <f>VLOOKUP($A584,kurspris!$A$1:$Q$835,3,FALSE)</f>
        <v>0</v>
      </c>
      <c r="AE584" s="31">
        <f>VLOOKUP($A584,kurspris!$A$1:$Q$835,4,FALSE)</f>
        <v>0</v>
      </c>
      <c r="AF584" s="31">
        <f>VLOOKUP($A584,kurspris!$A$1:$Q$835,5,FALSE)</f>
        <v>0</v>
      </c>
      <c r="AG584" s="31">
        <f>VLOOKUP($A584,kurspris!$A$1:$Q$835,6,FALSE)</f>
        <v>1</v>
      </c>
      <c r="AH584" s="31">
        <f>VLOOKUP($A584,kurspris!$A$1:$Q$835,7,FALSE)</f>
        <v>0</v>
      </c>
      <c r="AI584" s="31">
        <f>VLOOKUP($A584,kurspris!$A$1:$Q$835,8,FALSE)</f>
        <v>0</v>
      </c>
      <c r="AJ584" s="31">
        <f>VLOOKUP($A584,kurspris!$A$1:$Q$835,9,FALSE)</f>
        <v>0</v>
      </c>
      <c r="AK584" s="31">
        <f>VLOOKUP($A584,kurspris!$A$1:$Q$835,10,FALSE)</f>
        <v>0</v>
      </c>
      <c r="AL584" s="31">
        <f>VLOOKUP($A584,kurspris!$A$1:$Q$835,11,FALSE)</f>
        <v>0</v>
      </c>
      <c r="AM584" s="31">
        <f>VLOOKUP($A584,kurspris!$A$1:$Q$835,12,FALSE)</f>
        <v>0</v>
      </c>
      <c r="AN584" s="31">
        <f>VLOOKUP($A584,kurspris!$A$1:$Q$835,13,FALSE)</f>
        <v>0</v>
      </c>
      <c r="AO584" s="31">
        <f>VLOOKUP($A584,kurspris!$A$1:$Q$835,14,FALSE)</f>
        <v>0</v>
      </c>
      <c r="AP584" s="39" t="s">
        <v>2326</v>
      </c>
      <c r="AQ584"/>
      <c r="AR584" s="31">
        <f t="shared" si="335"/>
        <v>0</v>
      </c>
      <c r="AS584" s="255">
        <f t="shared" si="336"/>
        <v>0</v>
      </c>
      <c r="AT584" s="31">
        <f t="shared" si="337"/>
        <v>0</v>
      </c>
      <c r="AU584" s="255">
        <f t="shared" si="338"/>
        <v>0</v>
      </c>
      <c r="AV584" s="31">
        <f t="shared" si="339"/>
        <v>0</v>
      </c>
      <c r="AW584" s="31">
        <f t="shared" si="340"/>
        <v>0</v>
      </c>
      <c r="AX584" s="31">
        <f t="shared" si="341"/>
        <v>0.1</v>
      </c>
      <c r="AY584" s="255">
        <f t="shared" si="342"/>
        <v>8.5000000000000006E-2</v>
      </c>
      <c r="AZ584" s="232">
        <f t="shared" si="343"/>
        <v>0</v>
      </c>
      <c r="BA584" s="255">
        <f t="shared" si="344"/>
        <v>0</v>
      </c>
      <c r="BB584" s="31">
        <f t="shared" si="345"/>
        <v>0</v>
      </c>
      <c r="BC584" s="255">
        <f t="shared" si="346"/>
        <v>0</v>
      </c>
      <c r="BD584" s="31">
        <f t="shared" si="347"/>
        <v>0</v>
      </c>
      <c r="BE584" s="255">
        <f t="shared" si="348"/>
        <v>0</v>
      </c>
      <c r="BF584" s="31">
        <f t="shared" si="349"/>
        <v>0</v>
      </c>
      <c r="BG584" s="255">
        <f t="shared" si="350"/>
        <v>0</v>
      </c>
      <c r="BH584" s="31">
        <f t="shared" si="351"/>
        <v>0</v>
      </c>
      <c r="BI584" s="255">
        <f t="shared" si="352"/>
        <v>0</v>
      </c>
      <c r="BJ584" s="31">
        <f t="shared" si="353"/>
        <v>0</v>
      </c>
      <c r="BK584" s="31">
        <f t="shared" si="354"/>
        <v>0</v>
      </c>
      <c r="BL584" s="255">
        <f t="shared" si="355"/>
        <v>0</v>
      </c>
      <c r="BM584" s="31">
        <f t="shared" si="356"/>
        <v>0</v>
      </c>
      <c r="BN584" s="255">
        <f t="shared" si="357"/>
        <v>0</v>
      </c>
    </row>
    <row r="585" spans="1:66" x14ac:dyDescent="0.25">
      <c r="A585" s="18" t="s">
        <v>1287</v>
      </c>
      <c r="B585" s="186" t="str">
        <f>VLOOKUP(A585,kurspris!$A$1:$B$877,2,FALSE)</f>
        <v>Ämneslärare som profession</v>
      </c>
      <c r="C585" s="37"/>
      <c r="D585" s="31" t="s">
        <v>483</v>
      </c>
      <c r="E585" s="31" t="s">
        <v>1788</v>
      </c>
      <c r="F585" s="59" t="s">
        <v>1931</v>
      </c>
      <c r="G585" s="31" t="s">
        <v>2279</v>
      </c>
      <c r="J585" t="s">
        <v>777</v>
      </c>
      <c r="L585" s="31">
        <v>100</v>
      </c>
      <c r="M585" s="31">
        <v>6</v>
      </c>
      <c r="P585" s="31">
        <v>1</v>
      </c>
      <c r="Q585" s="232">
        <f t="shared" si="330"/>
        <v>0.1</v>
      </c>
      <c r="R585" s="40">
        <v>0.85</v>
      </c>
      <c r="S585" s="334">
        <f t="shared" si="331"/>
        <v>8.5000000000000006E-2</v>
      </c>
      <c r="T585" s="31">
        <f>VLOOKUP(A585,'Ansvar kurs'!$A$1:$C$1010,2,FALSE)</f>
        <v>2180</v>
      </c>
      <c r="U585" s="31" t="str">
        <f>VLOOKUP(T585,Orgenheter!$A$1:$C$165,2,FALSE)</f>
        <v xml:space="preserve">Pedagogik                     </v>
      </c>
      <c r="V585" s="31" t="str">
        <f>VLOOKUP(T585,Orgenheter!$A$1:$C$165,3,FALSE)</f>
        <v>Sam</v>
      </c>
      <c r="W585" s="37" t="str">
        <f>VLOOKUP(D585,Program!$A$1:$B$34,2,FALSE)</f>
        <v>Ämneslärarprogrammet - Gy</v>
      </c>
      <c r="X585" s="42">
        <f>VLOOKUP(A585,kurspris!$A$1:$Q$798,15,FALSE)</f>
        <v>23641</v>
      </c>
      <c r="Y585" s="42">
        <f>VLOOKUP(A585,kurspris!$A$1:$Q$798,16,FALSE)</f>
        <v>28786</v>
      </c>
      <c r="Z585" s="42">
        <f t="shared" si="332"/>
        <v>4810.91</v>
      </c>
      <c r="AA585" s="42">
        <f>VLOOKUP(A585,kurspris!$A$1:$Q$798,17,FALSE)</f>
        <v>5800</v>
      </c>
      <c r="AB585" s="42">
        <f t="shared" si="333"/>
        <v>580</v>
      </c>
      <c r="AC585" s="42">
        <f t="shared" si="334"/>
        <v>5390.91</v>
      </c>
      <c r="AD585" s="31">
        <f>VLOOKUP($A585,kurspris!$A$1:$Q$835,3,FALSE)</f>
        <v>0</v>
      </c>
      <c r="AE585" s="31">
        <f>VLOOKUP($A585,kurspris!$A$1:$Q$835,4,FALSE)</f>
        <v>0</v>
      </c>
      <c r="AF585" s="31">
        <f>VLOOKUP($A585,kurspris!$A$1:$Q$835,5,FALSE)</f>
        <v>0</v>
      </c>
      <c r="AG585" s="31">
        <f>VLOOKUP($A585,kurspris!$A$1:$Q$835,6,FALSE)</f>
        <v>1</v>
      </c>
      <c r="AH585" s="31">
        <f>VLOOKUP($A585,kurspris!$A$1:$Q$835,7,FALSE)</f>
        <v>0</v>
      </c>
      <c r="AI585" s="31">
        <f>VLOOKUP($A585,kurspris!$A$1:$Q$835,8,FALSE)</f>
        <v>0</v>
      </c>
      <c r="AJ585" s="31">
        <f>VLOOKUP($A585,kurspris!$A$1:$Q$835,9,FALSE)</f>
        <v>0</v>
      </c>
      <c r="AK585" s="31">
        <f>VLOOKUP($A585,kurspris!$A$1:$Q$835,10,FALSE)</f>
        <v>0</v>
      </c>
      <c r="AL585" s="31">
        <f>VLOOKUP($A585,kurspris!$A$1:$Q$835,11,FALSE)</f>
        <v>0</v>
      </c>
      <c r="AM585" s="31">
        <f>VLOOKUP($A585,kurspris!$A$1:$Q$835,12,FALSE)</f>
        <v>0</v>
      </c>
      <c r="AN585" s="31">
        <f>VLOOKUP($A585,kurspris!$A$1:$Q$835,13,FALSE)</f>
        <v>0</v>
      </c>
      <c r="AO585" s="31">
        <f>VLOOKUP($A585,kurspris!$A$1:$Q$835,14,FALSE)</f>
        <v>0</v>
      </c>
      <c r="AP585" s="39" t="s">
        <v>2326</v>
      </c>
      <c r="AQ585"/>
      <c r="AR585" s="31">
        <f t="shared" si="335"/>
        <v>0</v>
      </c>
      <c r="AS585" s="255">
        <f t="shared" si="336"/>
        <v>0</v>
      </c>
      <c r="AT585" s="31">
        <f t="shared" si="337"/>
        <v>0</v>
      </c>
      <c r="AU585" s="255">
        <f t="shared" si="338"/>
        <v>0</v>
      </c>
      <c r="AV585" s="31">
        <f t="shared" si="339"/>
        <v>0</v>
      </c>
      <c r="AW585" s="31">
        <f t="shared" si="340"/>
        <v>0</v>
      </c>
      <c r="AX585" s="31">
        <f t="shared" si="341"/>
        <v>0.1</v>
      </c>
      <c r="AY585" s="255">
        <f t="shared" si="342"/>
        <v>8.5000000000000006E-2</v>
      </c>
      <c r="AZ585" s="232">
        <f t="shared" si="343"/>
        <v>0</v>
      </c>
      <c r="BA585" s="255">
        <f t="shared" si="344"/>
        <v>0</v>
      </c>
      <c r="BB585" s="31">
        <f t="shared" si="345"/>
        <v>0</v>
      </c>
      <c r="BC585" s="255">
        <f t="shared" si="346"/>
        <v>0</v>
      </c>
      <c r="BD585" s="31">
        <f t="shared" si="347"/>
        <v>0</v>
      </c>
      <c r="BE585" s="255">
        <f t="shared" si="348"/>
        <v>0</v>
      </c>
      <c r="BF585" s="31">
        <f t="shared" si="349"/>
        <v>0</v>
      </c>
      <c r="BG585" s="255">
        <f t="shared" si="350"/>
        <v>0</v>
      </c>
      <c r="BH585" s="31">
        <f t="shared" si="351"/>
        <v>0</v>
      </c>
      <c r="BI585" s="255">
        <f t="shared" si="352"/>
        <v>0</v>
      </c>
      <c r="BJ585" s="31">
        <f t="shared" si="353"/>
        <v>0</v>
      </c>
      <c r="BK585" s="31">
        <f t="shared" si="354"/>
        <v>0</v>
      </c>
      <c r="BL585" s="255">
        <f t="shared" si="355"/>
        <v>0</v>
      </c>
      <c r="BM585" s="31">
        <f t="shared" si="356"/>
        <v>0</v>
      </c>
      <c r="BN585" s="255">
        <f t="shared" si="357"/>
        <v>0</v>
      </c>
    </row>
    <row r="586" spans="1:66" x14ac:dyDescent="0.25">
      <c r="A586" s="18" t="s">
        <v>1287</v>
      </c>
      <c r="B586" s="186" t="str">
        <f>VLOOKUP(A586,kurspris!$A$1:$B$877,2,FALSE)</f>
        <v>Ämneslärare som profession</v>
      </c>
      <c r="C586" s="37"/>
      <c r="D586" s="31" t="s">
        <v>483</v>
      </c>
      <c r="E586" s="31" t="s">
        <v>1931</v>
      </c>
      <c r="F586" s="59" t="s">
        <v>1931</v>
      </c>
      <c r="G586" s="31" t="s">
        <v>2279</v>
      </c>
      <c r="J586" t="s">
        <v>1952</v>
      </c>
      <c r="L586" s="31">
        <v>100</v>
      </c>
      <c r="M586" s="31">
        <v>6</v>
      </c>
      <c r="P586" s="31">
        <v>4</v>
      </c>
      <c r="Q586" s="232">
        <f t="shared" si="330"/>
        <v>0.4</v>
      </c>
      <c r="R586" s="40">
        <v>0.85</v>
      </c>
      <c r="S586" s="334">
        <f t="shared" si="331"/>
        <v>0.34</v>
      </c>
      <c r="T586" s="31">
        <f>VLOOKUP(A586,'Ansvar kurs'!$A$1:$C$1010,2,FALSE)</f>
        <v>2180</v>
      </c>
      <c r="U586" s="31" t="str">
        <f>VLOOKUP(T586,Orgenheter!$A$1:$C$165,2,FALSE)</f>
        <v xml:space="preserve">Pedagogik                     </v>
      </c>
      <c r="V586" s="31" t="str">
        <f>VLOOKUP(T586,Orgenheter!$A$1:$C$165,3,FALSE)</f>
        <v>Sam</v>
      </c>
      <c r="W586" s="37" t="str">
        <f>VLOOKUP(D586,Program!$A$1:$B$34,2,FALSE)</f>
        <v>Ämneslärarprogrammet - Gy</v>
      </c>
      <c r="X586" s="42">
        <f>VLOOKUP(A586,kurspris!$A$1:$Q$798,15,FALSE)</f>
        <v>23641</v>
      </c>
      <c r="Y586" s="42">
        <f>VLOOKUP(A586,kurspris!$A$1:$Q$798,16,FALSE)</f>
        <v>28786</v>
      </c>
      <c r="Z586" s="42">
        <f t="shared" si="332"/>
        <v>19243.64</v>
      </c>
      <c r="AA586" s="42">
        <f>VLOOKUP(A586,kurspris!$A$1:$Q$798,17,FALSE)</f>
        <v>5800</v>
      </c>
      <c r="AB586" s="42">
        <f t="shared" si="333"/>
        <v>2320</v>
      </c>
      <c r="AC586" s="42">
        <f t="shared" si="334"/>
        <v>21563.64</v>
      </c>
      <c r="AD586" s="31">
        <f>VLOOKUP($A586,kurspris!$A$1:$Q$835,3,FALSE)</f>
        <v>0</v>
      </c>
      <c r="AE586" s="31">
        <f>VLOOKUP($A586,kurspris!$A$1:$Q$835,4,FALSE)</f>
        <v>0</v>
      </c>
      <c r="AF586" s="31">
        <f>VLOOKUP($A586,kurspris!$A$1:$Q$835,5,FALSE)</f>
        <v>0</v>
      </c>
      <c r="AG586" s="31">
        <f>VLOOKUP($A586,kurspris!$A$1:$Q$835,6,FALSE)</f>
        <v>1</v>
      </c>
      <c r="AH586" s="31">
        <f>VLOOKUP($A586,kurspris!$A$1:$Q$835,7,FALSE)</f>
        <v>0</v>
      </c>
      <c r="AI586" s="31">
        <f>VLOOKUP($A586,kurspris!$A$1:$Q$835,8,FALSE)</f>
        <v>0</v>
      </c>
      <c r="AJ586" s="31">
        <f>VLOOKUP($A586,kurspris!$A$1:$Q$835,9,FALSE)</f>
        <v>0</v>
      </c>
      <c r="AK586" s="31">
        <f>VLOOKUP($A586,kurspris!$A$1:$Q$835,10,FALSE)</f>
        <v>0</v>
      </c>
      <c r="AL586" s="31">
        <f>VLOOKUP($A586,kurspris!$A$1:$Q$835,11,FALSE)</f>
        <v>0</v>
      </c>
      <c r="AM586" s="31">
        <f>VLOOKUP($A586,kurspris!$A$1:$Q$835,12,FALSE)</f>
        <v>0</v>
      </c>
      <c r="AN586" s="31">
        <f>VLOOKUP($A586,kurspris!$A$1:$Q$835,13,FALSE)</f>
        <v>0</v>
      </c>
      <c r="AO586" s="31">
        <f>VLOOKUP($A586,kurspris!$A$1:$Q$835,14,FALSE)</f>
        <v>0</v>
      </c>
      <c r="AP586" s="39" t="s">
        <v>2326</v>
      </c>
      <c r="AQ586"/>
      <c r="AR586" s="31">
        <f t="shared" si="335"/>
        <v>0</v>
      </c>
      <c r="AS586" s="255">
        <f t="shared" si="336"/>
        <v>0</v>
      </c>
      <c r="AT586" s="31">
        <f t="shared" si="337"/>
        <v>0</v>
      </c>
      <c r="AU586" s="255">
        <f t="shared" si="338"/>
        <v>0</v>
      </c>
      <c r="AV586" s="31">
        <f t="shared" si="339"/>
        <v>0</v>
      </c>
      <c r="AW586" s="31">
        <f t="shared" si="340"/>
        <v>0</v>
      </c>
      <c r="AX586" s="31">
        <f t="shared" si="341"/>
        <v>0.4</v>
      </c>
      <c r="AY586" s="255">
        <f t="shared" si="342"/>
        <v>0.34</v>
      </c>
      <c r="AZ586" s="232">
        <f t="shared" si="343"/>
        <v>0</v>
      </c>
      <c r="BA586" s="255">
        <f t="shared" si="344"/>
        <v>0</v>
      </c>
      <c r="BB586" s="31">
        <f t="shared" si="345"/>
        <v>0</v>
      </c>
      <c r="BC586" s="255">
        <f t="shared" si="346"/>
        <v>0</v>
      </c>
      <c r="BD586" s="31">
        <f t="shared" si="347"/>
        <v>0</v>
      </c>
      <c r="BE586" s="255">
        <f t="shared" si="348"/>
        <v>0</v>
      </c>
      <c r="BF586" s="31">
        <f t="shared" si="349"/>
        <v>0</v>
      </c>
      <c r="BG586" s="255">
        <f t="shared" si="350"/>
        <v>0</v>
      </c>
      <c r="BH586" s="31">
        <f t="shared" si="351"/>
        <v>0</v>
      </c>
      <c r="BI586" s="255">
        <f t="shared" si="352"/>
        <v>0</v>
      </c>
      <c r="BJ586" s="31">
        <f t="shared" si="353"/>
        <v>0</v>
      </c>
      <c r="BK586" s="31">
        <f t="shared" si="354"/>
        <v>0</v>
      </c>
      <c r="BL586" s="255">
        <f t="shared" si="355"/>
        <v>0</v>
      </c>
      <c r="BM586" s="31">
        <f t="shared" si="356"/>
        <v>0</v>
      </c>
      <c r="BN586" s="255">
        <f t="shared" si="357"/>
        <v>0</v>
      </c>
    </row>
    <row r="587" spans="1:66" x14ac:dyDescent="0.25">
      <c r="A587" s="18" t="s">
        <v>1287</v>
      </c>
      <c r="B587" s="186" t="str">
        <f>VLOOKUP(A587,kurspris!$A$1:$B$877,2,FALSE)</f>
        <v>Ämneslärare som profession</v>
      </c>
      <c r="C587" s="37"/>
      <c r="D587" s="31" t="s">
        <v>483</v>
      </c>
      <c r="E587" s="31" t="s">
        <v>1931</v>
      </c>
      <c r="F587" s="59" t="s">
        <v>1931</v>
      </c>
      <c r="G587" s="31" t="s">
        <v>2279</v>
      </c>
      <c r="J587" t="s">
        <v>1591</v>
      </c>
      <c r="L587" s="31">
        <v>100</v>
      </c>
      <c r="M587" s="31">
        <v>6</v>
      </c>
      <c r="P587" s="31">
        <v>4</v>
      </c>
      <c r="Q587" s="232">
        <f t="shared" si="330"/>
        <v>0.4</v>
      </c>
      <c r="R587" s="40">
        <v>0.85</v>
      </c>
      <c r="S587" s="334">
        <f t="shared" si="331"/>
        <v>0.34</v>
      </c>
      <c r="T587" s="31">
        <f>VLOOKUP(A587,'Ansvar kurs'!$A$1:$C$1010,2,FALSE)</f>
        <v>2180</v>
      </c>
      <c r="U587" s="31" t="str">
        <f>VLOOKUP(T587,Orgenheter!$A$1:$C$165,2,FALSE)</f>
        <v xml:space="preserve">Pedagogik                     </v>
      </c>
      <c r="V587" s="31" t="str">
        <f>VLOOKUP(T587,Orgenheter!$A$1:$C$165,3,FALSE)</f>
        <v>Sam</v>
      </c>
      <c r="W587" s="37" t="str">
        <f>VLOOKUP(D587,Program!$A$1:$B$34,2,FALSE)</f>
        <v>Ämneslärarprogrammet - Gy</v>
      </c>
      <c r="X587" s="42">
        <f>VLOOKUP(A587,kurspris!$A$1:$Q$798,15,FALSE)</f>
        <v>23641</v>
      </c>
      <c r="Y587" s="42">
        <f>VLOOKUP(A587,kurspris!$A$1:$Q$798,16,FALSE)</f>
        <v>28786</v>
      </c>
      <c r="Z587" s="42">
        <f t="shared" si="332"/>
        <v>19243.64</v>
      </c>
      <c r="AA587" s="42">
        <f>VLOOKUP(A587,kurspris!$A$1:$Q$798,17,FALSE)</f>
        <v>5800</v>
      </c>
      <c r="AB587" s="42">
        <f t="shared" si="333"/>
        <v>2320</v>
      </c>
      <c r="AC587" s="42">
        <f t="shared" si="334"/>
        <v>21563.64</v>
      </c>
      <c r="AD587" s="31">
        <f>VLOOKUP($A587,kurspris!$A$1:$Q$835,3,FALSE)</f>
        <v>0</v>
      </c>
      <c r="AE587" s="31">
        <f>VLOOKUP($A587,kurspris!$A$1:$Q$835,4,FALSE)</f>
        <v>0</v>
      </c>
      <c r="AF587" s="31">
        <f>VLOOKUP($A587,kurspris!$A$1:$Q$835,5,FALSE)</f>
        <v>0</v>
      </c>
      <c r="AG587" s="31">
        <f>VLOOKUP($A587,kurspris!$A$1:$Q$835,6,FALSE)</f>
        <v>1</v>
      </c>
      <c r="AH587" s="31">
        <f>VLOOKUP($A587,kurspris!$A$1:$Q$835,7,FALSE)</f>
        <v>0</v>
      </c>
      <c r="AI587" s="31">
        <f>VLOOKUP($A587,kurspris!$A$1:$Q$835,8,FALSE)</f>
        <v>0</v>
      </c>
      <c r="AJ587" s="31">
        <f>VLOOKUP($A587,kurspris!$A$1:$Q$835,9,FALSE)</f>
        <v>0</v>
      </c>
      <c r="AK587" s="31">
        <f>VLOOKUP($A587,kurspris!$A$1:$Q$835,10,FALSE)</f>
        <v>0</v>
      </c>
      <c r="AL587" s="31">
        <f>VLOOKUP($A587,kurspris!$A$1:$Q$835,11,FALSE)</f>
        <v>0</v>
      </c>
      <c r="AM587" s="31">
        <f>VLOOKUP($A587,kurspris!$A$1:$Q$835,12,FALSE)</f>
        <v>0</v>
      </c>
      <c r="AN587" s="31">
        <f>VLOOKUP($A587,kurspris!$A$1:$Q$835,13,FALSE)</f>
        <v>0</v>
      </c>
      <c r="AO587" s="31">
        <f>VLOOKUP($A587,kurspris!$A$1:$Q$835,14,FALSE)</f>
        <v>0</v>
      </c>
      <c r="AP587" s="39" t="s">
        <v>2326</v>
      </c>
      <c r="AQ587"/>
      <c r="AR587" s="31">
        <f t="shared" si="335"/>
        <v>0</v>
      </c>
      <c r="AS587" s="255">
        <f t="shared" si="336"/>
        <v>0</v>
      </c>
      <c r="AT587" s="31">
        <f t="shared" si="337"/>
        <v>0</v>
      </c>
      <c r="AU587" s="255">
        <f t="shared" si="338"/>
        <v>0</v>
      </c>
      <c r="AV587" s="31">
        <f t="shared" si="339"/>
        <v>0</v>
      </c>
      <c r="AW587" s="31">
        <f t="shared" si="340"/>
        <v>0</v>
      </c>
      <c r="AX587" s="31">
        <f t="shared" si="341"/>
        <v>0.4</v>
      </c>
      <c r="AY587" s="255">
        <f t="shared" si="342"/>
        <v>0.34</v>
      </c>
      <c r="AZ587" s="232">
        <f t="shared" si="343"/>
        <v>0</v>
      </c>
      <c r="BA587" s="255">
        <f t="shared" si="344"/>
        <v>0</v>
      </c>
      <c r="BB587" s="31">
        <f t="shared" si="345"/>
        <v>0</v>
      </c>
      <c r="BC587" s="255">
        <f t="shared" si="346"/>
        <v>0</v>
      </c>
      <c r="BD587" s="31">
        <f t="shared" si="347"/>
        <v>0</v>
      </c>
      <c r="BE587" s="255">
        <f t="shared" si="348"/>
        <v>0</v>
      </c>
      <c r="BF587" s="31">
        <f t="shared" si="349"/>
        <v>0</v>
      </c>
      <c r="BG587" s="255">
        <f t="shared" si="350"/>
        <v>0</v>
      </c>
      <c r="BH587" s="31">
        <f t="shared" si="351"/>
        <v>0</v>
      </c>
      <c r="BI587" s="255">
        <f t="shared" si="352"/>
        <v>0</v>
      </c>
      <c r="BJ587" s="31">
        <f t="shared" si="353"/>
        <v>0</v>
      </c>
      <c r="BK587" s="31">
        <f t="shared" si="354"/>
        <v>0</v>
      </c>
      <c r="BL587" s="255">
        <f t="shared" si="355"/>
        <v>0</v>
      </c>
      <c r="BM587" s="31">
        <f t="shared" si="356"/>
        <v>0</v>
      </c>
      <c r="BN587" s="255">
        <f t="shared" si="357"/>
        <v>0</v>
      </c>
    </row>
    <row r="588" spans="1:66" x14ac:dyDescent="0.25">
      <c r="A588" s="18" t="s">
        <v>1287</v>
      </c>
      <c r="B588" s="186" t="str">
        <f>VLOOKUP(A588,kurspris!$A$1:$B$877,2,FALSE)</f>
        <v>Ämneslärare som profession</v>
      </c>
      <c r="C588" s="37"/>
      <c r="D588" s="31" t="s">
        <v>483</v>
      </c>
      <c r="E588" s="31" t="s">
        <v>1931</v>
      </c>
      <c r="F588" s="59" t="s">
        <v>1931</v>
      </c>
      <c r="G588" s="31" t="s">
        <v>2279</v>
      </c>
      <c r="J588" t="s">
        <v>771</v>
      </c>
      <c r="L588" s="31">
        <v>100</v>
      </c>
      <c r="M588" s="31">
        <v>6</v>
      </c>
      <c r="P588" s="31">
        <v>18</v>
      </c>
      <c r="Q588" s="232">
        <f t="shared" si="330"/>
        <v>1.8</v>
      </c>
      <c r="R588" s="40">
        <v>0.85</v>
      </c>
      <c r="S588" s="334">
        <f t="shared" si="331"/>
        <v>1.53</v>
      </c>
      <c r="T588" s="31">
        <f>VLOOKUP(A588,'Ansvar kurs'!$A$1:$C$1010,2,FALSE)</f>
        <v>2180</v>
      </c>
      <c r="U588" s="31" t="str">
        <f>VLOOKUP(T588,Orgenheter!$A$1:$C$165,2,FALSE)</f>
        <v xml:space="preserve">Pedagogik                     </v>
      </c>
      <c r="V588" s="31" t="str">
        <f>VLOOKUP(T588,Orgenheter!$A$1:$C$165,3,FALSE)</f>
        <v>Sam</v>
      </c>
      <c r="W588" s="37" t="str">
        <f>VLOOKUP(D588,Program!$A$1:$B$34,2,FALSE)</f>
        <v>Ämneslärarprogrammet - Gy</v>
      </c>
      <c r="X588" s="42">
        <f>VLOOKUP(A588,kurspris!$A$1:$Q$798,15,FALSE)</f>
        <v>23641</v>
      </c>
      <c r="Y588" s="42">
        <f>VLOOKUP(A588,kurspris!$A$1:$Q$798,16,FALSE)</f>
        <v>28786</v>
      </c>
      <c r="Z588" s="42">
        <f t="shared" si="332"/>
        <v>86596.38</v>
      </c>
      <c r="AA588" s="42">
        <f>VLOOKUP(A588,kurspris!$A$1:$Q$798,17,FALSE)</f>
        <v>5800</v>
      </c>
      <c r="AB588" s="42">
        <f t="shared" si="333"/>
        <v>10440</v>
      </c>
      <c r="AC588" s="42">
        <f t="shared" si="334"/>
        <v>97036.38</v>
      </c>
      <c r="AD588" s="31">
        <f>VLOOKUP($A588,kurspris!$A$1:$Q$835,3,FALSE)</f>
        <v>0</v>
      </c>
      <c r="AE588" s="31">
        <f>VLOOKUP($A588,kurspris!$A$1:$Q$835,4,FALSE)</f>
        <v>0</v>
      </c>
      <c r="AF588" s="31">
        <f>VLOOKUP($A588,kurspris!$A$1:$Q$835,5,FALSE)</f>
        <v>0</v>
      </c>
      <c r="AG588" s="31">
        <f>VLOOKUP($A588,kurspris!$A$1:$Q$835,6,FALSE)</f>
        <v>1</v>
      </c>
      <c r="AH588" s="31">
        <f>VLOOKUP($A588,kurspris!$A$1:$Q$835,7,FALSE)</f>
        <v>0</v>
      </c>
      <c r="AI588" s="31">
        <f>VLOOKUP($A588,kurspris!$A$1:$Q$835,8,FALSE)</f>
        <v>0</v>
      </c>
      <c r="AJ588" s="31">
        <f>VLOOKUP($A588,kurspris!$A$1:$Q$835,9,FALSE)</f>
        <v>0</v>
      </c>
      <c r="AK588" s="31">
        <f>VLOOKUP($A588,kurspris!$A$1:$Q$835,10,FALSE)</f>
        <v>0</v>
      </c>
      <c r="AL588" s="31">
        <f>VLOOKUP($A588,kurspris!$A$1:$Q$835,11,FALSE)</f>
        <v>0</v>
      </c>
      <c r="AM588" s="31">
        <f>VLOOKUP($A588,kurspris!$A$1:$Q$835,12,FALSE)</f>
        <v>0</v>
      </c>
      <c r="AN588" s="31">
        <f>VLOOKUP($A588,kurspris!$A$1:$Q$835,13,FALSE)</f>
        <v>0</v>
      </c>
      <c r="AO588" s="31">
        <f>VLOOKUP($A588,kurspris!$A$1:$Q$835,14,FALSE)</f>
        <v>0</v>
      </c>
      <c r="AP588" s="39" t="s">
        <v>2326</v>
      </c>
      <c r="AQ588"/>
      <c r="AR588" s="31">
        <f t="shared" si="335"/>
        <v>0</v>
      </c>
      <c r="AS588" s="255">
        <f t="shared" si="336"/>
        <v>0</v>
      </c>
      <c r="AT588" s="31">
        <f t="shared" si="337"/>
        <v>0</v>
      </c>
      <c r="AU588" s="255">
        <f t="shared" si="338"/>
        <v>0</v>
      </c>
      <c r="AV588" s="31">
        <f t="shared" si="339"/>
        <v>0</v>
      </c>
      <c r="AW588" s="31">
        <f t="shared" si="340"/>
        <v>0</v>
      </c>
      <c r="AX588" s="31">
        <f t="shared" si="341"/>
        <v>1.8</v>
      </c>
      <c r="AY588" s="255">
        <f t="shared" si="342"/>
        <v>1.53</v>
      </c>
      <c r="AZ588" s="232">
        <f t="shared" si="343"/>
        <v>0</v>
      </c>
      <c r="BA588" s="255">
        <f t="shared" si="344"/>
        <v>0</v>
      </c>
      <c r="BB588" s="31">
        <f t="shared" si="345"/>
        <v>0</v>
      </c>
      <c r="BC588" s="255">
        <f t="shared" si="346"/>
        <v>0</v>
      </c>
      <c r="BD588" s="31">
        <f t="shared" si="347"/>
        <v>0</v>
      </c>
      <c r="BE588" s="255">
        <f t="shared" si="348"/>
        <v>0</v>
      </c>
      <c r="BF588" s="31">
        <f t="shared" si="349"/>
        <v>0</v>
      </c>
      <c r="BG588" s="255">
        <f t="shared" si="350"/>
        <v>0</v>
      </c>
      <c r="BH588" s="31">
        <f t="shared" si="351"/>
        <v>0</v>
      </c>
      <c r="BI588" s="255">
        <f t="shared" si="352"/>
        <v>0</v>
      </c>
      <c r="BJ588" s="31">
        <f t="shared" si="353"/>
        <v>0</v>
      </c>
      <c r="BK588" s="31">
        <f t="shared" si="354"/>
        <v>0</v>
      </c>
      <c r="BL588" s="255">
        <f t="shared" si="355"/>
        <v>0</v>
      </c>
      <c r="BM588" s="31">
        <f t="shared" si="356"/>
        <v>0</v>
      </c>
      <c r="BN588" s="255">
        <f t="shared" si="357"/>
        <v>0</v>
      </c>
    </row>
    <row r="589" spans="1:66" x14ac:dyDescent="0.25">
      <c r="A589" s="18" t="s">
        <v>1287</v>
      </c>
      <c r="B589" s="186" t="str">
        <f>VLOOKUP(A589,kurspris!$A$1:$B$877,2,FALSE)</f>
        <v>Ämneslärare som profession</v>
      </c>
      <c r="C589" s="37"/>
      <c r="D589" s="31" t="s">
        <v>483</v>
      </c>
      <c r="E589" s="31" t="s">
        <v>1931</v>
      </c>
      <c r="F589" s="59" t="s">
        <v>1931</v>
      </c>
      <c r="G589" s="31" t="s">
        <v>2279</v>
      </c>
      <c r="J589" t="s">
        <v>1813</v>
      </c>
      <c r="L589" s="31">
        <v>100</v>
      </c>
      <c r="M589" s="31">
        <v>6</v>
      </c>
      <c r="P589" s="31">
        <v>7</v>
      </c>
      <c r="Q589" s="232">
        <f t="shared" si="330"/>
        <v>0.70000000000000007</v>
      </c>
      <c r="R589" s="40">
        <v>0.85</v>
      </c>
      <c r="S589" s="334">
        <f t="shared" si="331"/>
        <v>0.59500000000000008</v>
      </c>
      <c r="T589" s="31">
        <f>VLOOKUP(A589,'Ansvar kurs'!$A$1:$C$1010,2,FALSE)</f>
        <v>2180</v>
      </c>
      <c r="U589" s="31" t="str">
        <f>VLOOKUP(T589,Orgenheter!$A$1:$C$165,2,FALSE)</f>
        <v xml:space="preserve">Pedagogik                     </v>
      </c>
      <c r="V589" s="31" t="str">
        <f>VLOOKUP(T589,Orgenheter!$A$1:$C$165,3,FALSE)</f>
        <v>Sam</v>
      </c>
      <c r="W589" s="37" t="str">
        <f>VLOOKUP(D589,Program!$A$1:$B$34,2,FALSE)</f>
        <v>Ämneslärarprogrammet - Gy</v>
      </c>
      <c r="X589" s="42">
        <f>VLOOKUP(A589,kurspris!$A$1:$Q$798,15,FALSE)</f>
        <v>23641</v>
      </c>
      <c r="Y589" s="42">
        <f>VLOOKUP(A589,kurspris!$A$1:$Q$798,16,FALSE)</f>
        <v>28786</v>
      </c>
      <c r="Z589" s="42">
        <f t="shared" si="332"/>
        <v>33676.370000000003</v>
      </c>
      <c r="AA589" s="42">
        <f>VLOOKUP(A589,kurspris!$A$1:$Q$798,17,FALSE)</f>
        <v>5800</v>
      </c>
      <c r="AB589" s="42">
        <f t="shared" si="333"/>
        <v>4060.0000000000005</v>
      </c>
      <c r="AC589" s="42">
        <f t="shared" si="334"/>
        <v>37736.370000000003</v>
      </c>
      <c r="AD589" s="31">
        <f>VLOOKUP($A589,kurspris!$A$1:$Q$835,3,FALSE)</f>
        <v>0</v>
      </c>
      <c r="AE589" s="31">
        <f>VLOOKUP($A589,kurspris!$A$1:$Q$835,4,FALSE)</f>
        <v>0</v>
      </c>
      <c r="AF589" s="31">
        <f>VLOOKUP($A589,kurspris!$A$1:$Q$835,5,FALSE)</f>
        <v>0</v>
      </c>
      <c r="AG589" s="31">
        <f>VLOOKUP($A589,kurspris!$A$1:$Q$835,6,FALSE)</f>
        <v>1</v>
      </c>
      <c r="AH589" s="31">
        <f>VLOOKUP($A589,kurspris!$A$1:$Q$835,7,FALSE)</f>
        <v>0</v>
      </c>
      <c r="AI589" s="31">
        <f>VLOOKUP($A589,kurspris!$A$1:$Q$835,8,FALSE)</f>
        <v>0</v>
      </c>
      <c r="AJ589" s="31">
        <f>VLOOKUP($A589,kurspris!$A$1:$Q$835,9,FALSE)</f>
        <v>0</v>
      </c>
      <c r="AK589" s="31">
        <f>VLOOKUP($A589,kurspris!$A$1:$Q$835,10,FALSE)</f>
        <v>0</v>
      </c>
      <c r="AL589" s="31">
        <f>VLOOKUP($A589,kurspris!$A$1:$Q$835,11,FALSE)</f>
        <v>0</v>
      </c>
      <c r="AM589" s="31">
        <f>VLOOKUP($A589,kurspris!$A$1:$Q$835,12,FALSE)</f>
        <v>0</v>
      </c>
      <c r="AN589" s="31">
        <f>VLOOKUP($A589,kurspris!$A$1:$Q$835,13,FALSE)</f>
        <v>0</v>
      </c>
      <c r="AO589" s="31">
        <f>VLOOKUP($A589,kurspris!$A$1:$Q$835,14,FALSE)</f>
        <v>0</v>
      </c>
      <c r="AP589" s="39" t="s">
        <v>2326</v>
      </c>
      <c r="AQ589"/>
      <c r="AR589" s="31">
        <f t="shared" si="335"/>
        <v>0</v>
      </c>
      <c r="AS589" s="255">
        <f t="shared" si="336"/>
        <v>0</v>
      </c>
      <c r="AT589" s="31">
        <f t="shared" si="337"/>
        <v>0</v>
      </c>
      <c r="AU589" s="255">
        <f t="shared" si="338"/>
        <v>0</v>
      </c>
      <c r="AV589" s="31">
        <f t="shared" si="339"/>
        <v>0</v>
      </c>
      <c r="AW589" s="31">
        <f t="shared" si="340"/>
        <v>0</v>
      </c>
      <c r="AX589" s="31">
        <f t="shared" si="341"/>
        <v>0.70000000000000007</v>
      </c>
      <c r="AY589" s="255">
        <f t="shared" si="342"/>
        <v>0.59500000000000008</v>
      </c>
      <c r="AZ589" s="232">
        <f t="shared" si="343"/>
        <v>0</v>
      </c>
      <c r="BA589" s="255">
        <f t="shared" si="344"/>
        <v>0</v>
      </c>
      <c r="BB589" s="31">
        <f t="shared" si="345"/>
        <v>0</v>
      </c>
      <c r="BC589" s="255">
        <f t="shared" si="346"/>
        <v>0</v>
      </c>
      <c r="BD589" s="31">
        <f t="shared" si="347"/>
        <v>0</v>
      </c>
      <c r="BE589" s="255">
        <f t="shared" si="348"/>
        <v>0</v>
      </c>
      <c r="BF589" s="31">
        <f t="shared" si="349"/>
        <v>0</v>
      </c>
      <c r="BG589" s="255">
        <f t="shared" si="350"/>
        <v>0</v>
      </c>
      <c r="BH589" s="31">
        <f t="shared" si="351"/>
        <v>0</v>
      </c>
      <c r="BI589" s="255">
        <f t="shared" si="352"/>
        <v>0</v>
      </c>
      <c r="BJ589" s="31">
        <f t="shared" si="353"/>
        <v>0</v>
      </c>
      <c r="BK589" s="31">
        <f t="shared" si="354"/>
        <v>0</v>
      </c>
      <c r="BL589" s="255">
        <f t="shared" si="355"/>
        <v>0</v>
      </c>
      <c r="BM589" s="31">
        <f t="shared" si="356"/>
        <v>0</v>
      </c>
      <c r="BN589" s="255">
        <f t="shared" si="357"/>
        <v>0</v>
      </c>
    </row>
    <row r="590" spans="1:66" x14ac:dyDescent="0.25">
      <c r="A590" s="18" t="s">
        <v>1287</v>
      </c>
      <c r="B590" s="186" t="str">
        <f>VLOOKUP(A590,kurspris!$A$1:$B$877,2,FALSE)</f>
        <v>Ämneslärare som profession</v>
      </c>
      <c r="C590" s="37"/>
      <c r="D590" s="31" t="s">
        <v>483</v>
      </c>
      <c r="E590" s="31" t="s">
        <v>1931</v>
      </c>
      <c r="F590" s="59" t="s">
        <v>1931</v>
      </c>
      <c r="G590" s="31" t="s">
        <v>2279</v>
      </c>
      <c r="J590" t="s">
        <v>772</v>
      </c>
      <c r="L590" s="31">
        <v>100</v>
      </c>
      <c r="M590" s="31">
        <v>6</v>
      </c>
      <c r="P590" s="31">
        <v>30</v>
      </c>
      <c r="Q590" s="232">
        <f t="shared" si="330"/>
        <v>3</v>
      </c>
      <c r="R590" s="40">
        <v>0.85</v>
      </c>
      <c r="S590" s="334">
        <f t="shared" si="331"/>
        <v>2.5499999999999998</v>
      </c>
      <c r="T590" s="31">
        <f>VLOOKUP(A590,'Ansvar kurs'!$A$1:$C$1010,2,FALSE)</f>
        <v>2180</v>
      </c>
      <c r="U590" s="31" t="str">
        <f>VLOOKUP(T590,Orgenheter!$A$1:$C$165,2,FALSE)</f>
        <v xml:space="preserve">Pedagogik                     </v>
      </c>
      <c r="V590" s="31" t="str">
        <f>VLOOKUP(T590,Orgenheter!$A$1:$C$165,3,FALSE)</f>
        <v>Sam</v>
      </c>
      <c r="W590" s="37" t="str">
        <f>VLOOKUP(D590,Program!$A$1:$B$34,2,FALSE)</f>
        <v>Ämneslärarprogrammet - Gy</v>
      </c>
      <c r="X590" s="42">
        <f>VLOOKUP(A590,kurspris!$A$1:$Q$798,15,FALSE)</f>
        <v>23641</v>
      </c>
      <c r="Y590" s="42">
        <f>VLOOKUP(A590,kurspris!$A$1:$Q$798,16,FALSE)</f>
        <v>28786</v>
      </c>
      <c r="Z590" s="42">
        <f t="shared" si="332"/>
        <v>144327.29999999999</v>
      </c>
      <c r="AA590" s="42">
        <f>VLOOKUP(A590,kurspris!$A$1:$Q$798,17,FALSE)</f>
        <v>5800</v>
      </c>
      <c r="AB590" s="42">
        <f t="shared" si="333"/>
        <v>17400</v>
      </c>
      <c r="AC590" s="42">
        <f t="shared" si="334"/>
        <v>161727.29999999999</v>
      </c>
      <c r="AD590" s="31">
        <f>VLOOKUP($A590,kurspris!$A$1:$Q$835,3,FALSE)</f>
        <v>0</v>
      </c>
      <c r="AE590" s="31">
        <f>VLOOKUP($A590,kurspris!$A$1:$Q$835,4,FALSE)</f>
        <v>0</v>
      </c>
      <c r="AF590" s="31">
        <f>VLOOKUP($A590,kurspris!$A$1:$Q$835,5,FALSE)</f>
        <v>0</v>
      </c>
      <c r="AG590" s="31">
        <f>VLOOKUP($A590,kurspris!$A$1:$Q$835,6,FALSE)</f>
        <v>1</v>
      </c>
      <c r="AH590" s="31">
        <f>VLOOKUP($A590,kurspris!$A$1:$Q$835,7,FALSE)</f>
        <v>0</v>
      </c>
      <c r="AI590" s="31">
        <f>VLOOKUP($A590,kurspris!$A$1:$Q$835,8,FALSE)</f>
        <v>0</v>
      </c>
      <c r="AJ590" s="31">
        <f>VLOOKUP($A590,kurspris!$A$1:$Q$835,9,FALSE)</f>
        <v>0</v>
      </c>
      <c r="AK590" s="31">
        <f>VLOOKUP($A590,kurspris!$A$1:$Q$835,10,FALSE)</f>
        <v>0</v>
      </c>
      <c r="AL590" s="31">
        <f>VLOOKUP($A590,kurspris!$A$1:$Q$835,11,FALSE)</f>
        <v>0</v>
      </c>
      <c r="AM590" s="31">
        <f>VLOOKUP($A590,kurspris!$A$1:$Q$835,12,FALSE)</f>
        <v>0</v>
      </c>
      <c r="AN590" s="31">
        <f>VLOOKUP($A590,kurspris!$A$1:$Q$835,13,FALSE)</f>
        <v>0</v>
      </c>
      <c r="AO590" s="31">
        <f>VLOOKUP($A590,kurspris!$A$1:$Q$835,14,FALSE)</f>
        <v>0</v>
      </c>
      <c r="AP590" s="39" t="s">
        <v>2326</v>
      </c>
      <c r="AQ590"/>
      <c r="AR590" s="31">
        <f t="shared" si="335"/>
        <v>0</v>
      </c>
      <c r="AS590" s="255">
        <f t="shared" si="336"/>
        <v>0</v>
      </c>
      <c r="AT590" s="31">
        <f t="shared" si="337"/>
        <v>0</v>
      </c>
      <c r="AU590" s="255">
        <f t="shared" si="338"/>
        <v>0</v>
      </c>
      <c r="AV590" s="31">
        <f t="shared" si="339"/>
        <v>0</v>
      </c>
      <c r="AW590" s="31">
        <f t="shared" si="340"/>
        <v>0</v>
      </c>
      <c r="AX590" s="31">
        <f t="shared" si="341"/>
        <v>3</v>
      </c>
      <c r="AY590" s="255">
        <f t="shared" si="342"/>
        <v>2.5499999999999998</v>
      </c>
      <c r="AZ590" s="232">
        <f t="shared" si="343"/>
        <v>0</v>
      </c>
      <c r="BA590" s="255">
        <f t="shared" si="344"/>
        <v>0</v>
      </c>
      <c r="BB590" s="31">
        <f t="shared" si="345"/>
        <v>0</v>
      </c>
      <c r="BC590" s="255">
        <f t="shared" si="346"/>
        <v>0</v>
      </c>
      <c r="BD590" s="31">
        <f t="shared" si="347"/>
        <v>0</v>
      </c>
      <c r="BE590" s="255">
        <f t="shared" si="348"/>
        <v>0</v>
      </c>
      <c r="BF590" s="31">
        <f t="shared" si="349"/>
        <v>0</v>
      </c>
      <c r="BG590" s="255">
        <f t="shared" si="350"/>
        <v>0</v>
      </c>
      <c r="BH590" s="31">
        <f t="shared" si="351"/>
        <v>0</v>
      </c>
      <c r="BI590" s="255">
        <f t="shared" si="352"/>
        <v>0</v>
      </c>
      <c r="BJ590" s="31">
        <f t="shared" si="353"/>
        <v>0</v>
      </c>
      <c r="BK590" s="31">
        <f t="shared" si="354"/>
        <v>0</v>
      </c>
      <c r="BL590" s="255">
        <f t="shared" si="355"/>
        <v>0</v>
      </c>
      <c r="BM590" s="31">
        <f t="shared" si="356"/>
        <v>0</v>
      </c>
      <c r="BN590" s="255">
        <f t="shared" si="357"/>
        <v>0</v>
      </c>
    </row>
    <row r="591" spans="1:66" x14ac:dyDescent="0.25">
      <c r="A591" s="18" t="s">
        <v>1287</v>
      </c>
      <c r="B591" s="186" t="str">
        <f>VLOOKUP(A591,kurspris!$A$1:$B$877,2,FALSE)</f>
        <v>Ämneslärare som profession</v>
      </c>
      <c r="C591" s="37"/>
      <c r="D591" s="31" t="s">
        <v>483</v>
      </c>
      <c r="E591" s="31" t="s">
        <v>1931</v>
      </c>
      <c r="F591" s="59" t="s">
        <v>1931</v>
      </c>
      <c r="G591" s="31" t="s">
        <v>2279</v>
      </c>
      <c r="J591" t="s">
        <v>773</v>
      </c>
      <c r="L591" s="31">
        <v>100</v>
      </c>
      <c r="M591" s="31">
        <v>6</v>
      </c>
      <c r="P591" s="31">
        <v>22</v>
      </c>
      <c r="Q591" s="232">
        <f t="shared" si="330"/>
        <v>2.2000000000000002</v>
      </c>
      <c r="R591" s="40">
        <v>0.85</v>
      </c>
      <c r="S591" s="334">
        <f t="shared" si="331"/>
        <v>1.87</v>
      </c>
      <c r="T591" s="31">
        <f>VLOOKUP(A591,'Ansvar kurs'!$A$1:$C$1010,2,FALSE)</f>
        <v>2180</v>
      </c>
      <c r="U591" s="31" t="str">
        <f>VLOOKUP(T591,Orgenheter!$A$1:$C$165,2,FALSE)</f>
        <v xml:space="preserve">Pedagogik                     </v>
      </c>
      <c r="V591" s="31" t="str">
        <f>VLOOKUP(T591,Orgenheter!$A$1:$C$165,3,FALSE)</f>
        <v>Sam</v>
      </c>
      <c r="W591" s="37" t="str">
        <f>VLOOKUP(D591,Program!$A$1:$B$34,2,FALSE)</f>
        <v>Ämneslärarprogrammet - Gy</v>
      </c>
      <c r="X591" s="42">
        <f>VLOOKUP(A591,kurspris!$A$1:$Q$798,15,FALSE)</f>
        <v>23641</v>
      </c>
      <c r="Y591" s="42">
        <f>VLOOKUP(A591,kurspris!$A$1:$Q$798,16,FALSE)</f>
        <v>28786</v>
      </c>
      <c r="Z591" s="42">
        <f t="shared" si="332"/>
        <v>105840.02</v>
      </c>
      <c r="AA591" s="42">
        <f>VLOOKUP(A591,kurspris!$A$1:$Q$798,17,FALSE)</f>
        <v>5800</v>
      </c>
      <c r="AB591" s="42">
        <f t="shared" si="333"/>
        <v>12760.000000000002</v>
      </c>
      <c r="AC591" s="42">
        <f t="shared" si="334"/>
        <v>118600.02</v>
      </c>
      <c r="AD591" s="31">
        <f>VLOOKUP($A591,kurspris!$A$1:$Q$835,3,FALSE)</f>
        <v>0</v>
      </c>
      <c r="AE591" s="31">
        <f>VLOOKUP($A591,kurspris!$A$1:$Q$835,4,FALSE)</f>
        <v>0</v>
      </c>
      <c r="AF591" s="31">
        <f>VLOOKUP($A591,kurspris!$A$1:$Q$835,5,FALSE)</f>
        <v>0</v>
      </c>
      <c r="AG591" s="31">
        <f>VLOOKUP($A591,kurspris!$A$1:$Q$835,6,FALSE)</f>
        <v>1</v>
      </c>
      <c r="AH591" s="31">
        <f>VLOOKUP($A591,kurspris!$A$1:$Q$835,7,FALSE)</f>
        <v>0</v>
      </c>
      <c r="AI591" s="31">
        <f>VLOOKUP($A591,kurspris!$A$1:$Q$835,8,FALSE)</f>
        <v>0</v>
      </c>
      <c r="AJ591" s="31">
        <f>VLOOKUP($A591,kurspris!$A$1:$Q$835,9,FALSE)</f>
        <v>0</v>
      </c>
      <c r="AK591" s="31">
        <f>VLOOKUP($A591,kurspris!$A$1:$Q$835,10,FALSE)</f>
        <v>0</v>
      </c>
      <c r="AL591" s="31">
        <f>VLOOKUP($A591,kurspris!$A$1:$Q$835,11,FALSE)</f>
        <v>0</v>
      </c>
      <c r="AM591" s="31">
        <f>VLOOKUP($A591,kurspris!$A$1:$Q$835,12,FALSE)</f>
        <v>0</v>
      </c>
      <c r="AN591" s="31">
        <f>VLOOKUP($A591,kurspris!$A$1:$Q$835,13,FALSE)</f>
        <v>0</v>
      </c>
      <c r="AO591" s="31">
        <f>VLOOKUP($A591,kurspris!$A$1:$Q$835,14,FALSE)</f>
        <v>0</v>
      </c>
      <c r="AP591" s="39" t="s">
        <v>2326</v>
      </c>
      <c r="AQ591"/>
      <c r="AR591" s="31">
        <f t="shared" si="335"/>
        <v>0</v>
      </c>
      <c r="AS591" s="255">
        <f t="shared" si="336"/>
        <v>0</v>
      </c>
      <c r="AT591" s="31">
        <f t="shared" si="337"/>
        <v>0</v>
      </c>
      <c r="AU591" s="255">
        <f t="shared" si="338"/>
        <v>0</v>
      </c>
      <c r="AV591" s="31">
        <f t="shared" si="339"/>
        <v>0</v>
      </c>
      <c r="AW591" s="31">
        <f t="shared" si="340"/>
        <v>0</v>
      </c>
      <c r="AX591" s="31">
        <f t="shared" si="341"/>
        <v>2.2000000000000002</v>
      </c>
      <c r="AY591" s="255">
        <f t="shared" si="342"/>
        <v>1.87</v>
      </c>
      <c r="AZ591" s="232">
        <f t="shared" si="343"/>
        <v>0</v>
      </c>
      <c r="BA591" s="255">
        <f t="shared" si="344"/>
        <v>0</v>
      </c>
      <c r="BB591" s="31">
        <f t="shared" si="345"/>
        <v>0</v>
      </c>
      <c r="BC591" s="255">
        <f t="shared" si="346"/>
        <v>0</v>
      </c>
      <c r="BD591" s="31">
        <f t="shared" si="347"/>
        <v>0</v>
      </c>
      <c r="BE591" s="255">
        <f t="shared" si="348"/>
        <v>0</v>
      </c>
      <c r="BF591" s="31">
        <f t="shared" si="349"/>
        <v>0</v>
      </c>
      <c r="BG591" s="255">
        <f t="shared" si="350"/>
        <v>0</v>
      </c>
      <c r="BH591" s="31">
        <f t="shared" si="351"/>
        <v>0</v>
      </c>
      <c r="BI591" s="255">
        <f t="shared" si="352"/>
        <v>0</v>
      </c>
      <c r="BJ591" s="31">
        <f t="shared" si="353"/>
        <v>0</v>
      </c>
      <c r="BK591" s="31">
        <f t="shared" si="354"/>
        <v>0</v>
      </c>
      <c r="BL591" s="255">
        <f t="shared" si="355"/>
        <v>0</v>
      </c>
      <c r="BM591" s="31">
        <f t="shared" si="356"/>
        <v>0</v>
      </c>
      <c r="BN591" s="255">
        <f t="shared" si="357"/>
        <v>0</v>
      </c>
    </row>
    <row r="592" spans="1:66" x14ac:dyDescent="0.25">
      <c r="A592" s="18" t="s">
        <v>1287</v>
      </c>
      <c r="B592" s="186" t="str">
        <f>VLOOKUP(A592,kurspris!$A$1:$B$877,2,FALSE)</f>
        <v>Ämneslärare som profession</v>
      </c>
      <c r="C592" s="37"/>
      <c r="D592" s="31" t="s">
        <v>483</v>
      </c>
      <c r="E592" s="31" t="s">
        <v>1931</v>
      </c>
      <c r="F592" s="59" t="s">
        <v>1931</v>
      </c>
      <c r="G592" s="31" t="s">
        <v>2279</v>
      </c>
      <c r="J592" t="s">
        <v>774</v>
      </c>
      <c r="L592" s="31">
        <v>100</v>
      </c>
      <c r="M592" s="31">
        <v>6</v>
      </c>
      <c r="P592" s="31">
        <v>18</v>
      </c>
      <c r="Q592" s="232">
        <f t="shared" si="330"/>
        <v>1.8</v>
      </c>
      <c r="R592" s="40">
        <v>0.85</v>
      </c>
      <c r="S592" s="334">
        <f t="shared" si="331"/>
        <v>1.53</v>
      </c>
      <c r="T592" s="31">
        <f>VLOOKUP(A592,'Ansvar kurs'!$A$1:$C$1010,2,FALSE)</f>
        <v>2180</v>
      </c>
      <c r="U592" s="31" t="str">
        <f>VLOOKUP(T592,Orgenheter!$A$1:$C$165,2,FALSE)</f>
        <v xml:space="preserve">Pedagogik                     </v>
      </c>
      <c r="V592" s="31" t="str">
        <f>VLOOKUP(T592,Orgenheter!$A$1:$C$165,3,FALSE)</f>
        <v>Sam</v>
      </c>
      <c r="W592" s="37" t="str">
        <f>VLOOKUP(D592,Program!$A$1:$B$34,2,FALSE)</f>
        <v>Ämneslärarprogrammet - Gy</v>
      </c>
      <c r="X592" s="42">
        <f>VLOOKUP(A592,kurspris!$A$1:$Q$798,15,FALSE)</f>
        <v>23641</v>
      </c>
      <c r="Y592" s="42">
        <f>VLOOKUP(A592,kurspris!$A$1:$Q$798,16,FALSE)</f>
        <v>28786</v>
      </c>
      <c r="Z592" s="42">
        <f t="shared" si="332"/>
        <v>86596.38</v>
      </c>
      <c r="AA592" s="42">
        <f>VLOOKUP(A592,kurspris!$A$1:$Q$798,17,FALSE)</f>
        <v>5800</v>
      </c>
      <c r="AB592" s="42">
        <f t="shared" si="333"/>
        <v>10440</v>
      </c>
      <c r="AC592" s="42">
        <f t="shared" si="334"/>
        <v>97036.38</v>
      </c>
      <c r="AD592" s="31">
        <f>VLOOKUP($A592,kurspris!$A$1:$Q$835,3,FALSE)</f>
        <v>0</v>
      </c>
      <c r="AE592" s="31">
        <f>VLOOKUP($A592,kurspris!$A$1:$Q$835,4,FALSE)</f>
        <v>0</v>
      </c>
      <c r="AF592" s="31">
        <f>VLOOKUP($A592,kurspris!$A$1:$Q$835,5,FALSE)</f>
        <v>0</v>
      </c>
      <c r="AG592" s="31">
        <f>VLOOKUP($A592,kurspris!$A$1:$Q$835,6,FALSE)</f>
        <v>1</v>
      </c>
      <c r="AH592" s="31">
        <f>VLOOKUP($A592,kurspris!$A$1:$Q$835,7,FALSE)</f>
        <v>0</v>
      </c>
      <c r="AI592" s="31">
        <f>VLOOKUP($A592,kurspris!$A$1:$Q$835,8,FALSE)</f>
        <v>0</v>
      </c>
      <c r="AJ592" s="31">
        <f>VLOOKUP($A592,kurspris!$A$1:$Q$835,9,FALSE)</f>
        <v>0</v>
      </c>
      <c r="AK592" s="31">
        <f>VLOOKUP($A592,kurspris!$A$1:$Q$835,10,FALSE)</f>
        <v>0</v>
      </c>
      <c r="AL592" s="31">
        <f>VLOOKUP($A592,kurspris!$A$1:$Q$835,11,FALSE)</f>
        <v>0</v>
      </c>
      <c r="AM592" s="31">
        <f>VLOOKUP($A592,kurspris!$A$1:$Q$835,12,FALSE)</f>
        <v>0</v>
      </c>
      <c r="AN592" s="31">
        <f>VLOOKUP($A592,kurspris!$A$1:$Q$835,13,FALSE)</f>
        <v>0</v>
      </c>
      <c r="AO592" s="31">
        <f>VLOOKUP($A592,kurspris!$A$1:$Q$835,14,FALSE)</f>
        <v>0</v>
      </c>
      <c r="AP592" s="39" t="s">
        <v>2326</v>
      </c>
      <c r="AQ592"/>
      <c r="AR592" s="31">
        <f t="shared" si="335"/>
        <v>0</v>
      </c>
      <c r="AS592" s="255">
        <f t="shared" si="336"/>
        <v>0</v>
      </c>
      <c r="AT592" s="31">
        <f t="shared" si="337"/>
        <v>0</v>
      </c>
      <c r="AU592" s="255">
        <f t="shared" si="338"/>
        <v>0</v>
      </c>
      <c r="AV592" s="31">
        <f t="shared" si="339"/>
        <v>0</v>
      </c>
      <c r="AW592" s="31">
        <f t="shared" si="340"/>
        <v>0</v>
      </c>
      <c r="AX592" s="31">
        <f t="shared" si="341"/>
        <v>1.8</v>
      </c>
      <c r="AY592" s="255">
        <f t="shared" si="342"/>
        <v>1.53</v>
      </c>
      <c r="AZ592" s="232">
        <f t="shared" si="343"/>
        <v>0</v>
      </c>
      <c r="BA592" s="255">
        <f t="shared" si="344"/>
        <v>0</v>
      </c>
      <c r="BB592" s="31">
        <f t="shared" si="345"/>
        <v>0</v>
      </c>
      <c r="BC592" s="255">
        <f t="shared" si="346"/>
        <v>0</v>
      </c>
      <c r="BD592" s="31">
        <f t="shared" si="347"/>
        <v>0</v>
      </c>
      <c r="BE592" s="255">
        <f t="shared" si="348"/>
        <v>0</v>
      </c>
      <c r="BF592" s="31">
        <f t="shared" si="349"/>
        <v>0</v>
      </c>
      <c r="BG592" s="255">
        <f t="shared" si="350"/>
        <v>0</v>
      </c>
      <c r="BH592" s="31">
        <f t="shared" si="351"/>
        <v>0</v>
      </c>
      <c r="BI592" s="255">
        <f t="shared" si="352"/>
        <v>0</v>
      </c>
      <c r="BJ592" s="31">
        <f t="shared" si="353"/>
        <v>0</v>
      </c>
      <c r="BK592" s="31">
        <f t="shared" si="354"/>
        <v>0</v>
      </c>
      <c r="BL592" s="255">
        <f t="shared" si="355"/>
        <v>0</v>
      </c>
      <c r="BM592" s="31">
        <f t="shared" si="356"/>
        <v>0</v>
      </c>
      <c r="BN592" s="255">
        <f t="shared" si="357"/>
        <v>0</v>
      </c>
    </row>
    <row r="593" spans="1:66" x14ac:dyDescent="0.25">
      <c r="A593" s="18" t="s">
        <v>1287</v>
      </c>
      <c r="B593" s="186" t="str">
        <f>VLOOKUP(A593,kurspris!$A$1:$B$877,2,FALSE)</f>
        <v>Ämneslärare som profession</v>
      </c>
      <c r="C593" s="37"/>
      <c r="D593" s="31" t="s">
        <v>483</v>
      </c>
      <c r="E593" s="31" t="s">
        <v>1931</v>
      </c>
      <c r="F593" s="59" t="s">
        <v>1931</v>
      </c>
      <c r="G593" s="31" t="s">
        <v>2279</v>
      </c>
      <c r="J593" t="s">
        <v>1594</v>
      </c>
      <c r="L593" s="31">
        <v>100</v>
      </c>
      <c r="M593" s="31">
        <v>6</v>
      </c>
      <c r="P593" s="31">
        <v>1</v>
      </c>
      <c r="Q593" s="232">
        <f t="shared" si="330"/>
        <v>0.1</v>
      </c>
      <c r="R593" s="40">
        <v>0.85</v>
      </c>
      <c r="S593" s="334">
        <f t="shared" si="331"/>
        <v>8.5000000000000006E-2</v>
      </c>
      <c r="T593" s="31">
        <f>VLOOKUP(A593,'Ansvar kurs'!$A$1:$C$1010,2,FALSE)</f>
        <v>2180</v>
      </c>
      <c r="U593" s="31" t="str">
        <f>VLOOKUP(T593,Orgenheter!$A$1:$C$165,2,FALSE)</f>
        <v xml:space="preserve">Pedagogik                     </v>
      </c>
      <c r="V593" s="31" t="str">
        <f>VLOOKUP(T593,Orgenheter!$A$1:$C$165,3,FALSE)</f>
        <v>Sam</v>
      </c>
      <c r="W593" s="37" t="str">
        <f>VLOOKUP(D593,Program!$A$1:$B$34,2,FALSE)</f>
        <v>Ämneslärarprogrammet - Gy</v>
      </c>
      <c r="X593" s="42">
        <f>VLOOKUP(A593,kurspris!$A$1:$Q$798,15,FALSE)</f>
        <v>23641</v>
      </c>
      <c r="Y593" s="42">
        <f>VLOOKUP(A593,kurspris!$A$1:$Q$798,16,FALSE)</f>
        <v>28786</v>
      </c>
      <c r="Z593" s="42">
        <f t="shared" si="332"/>
        <v>4810.91</v>
      </c>
      <c r="AA593" s="42">
        <f>VLOOKUP(A593,kurspris!$A$1:$Q$798,17,FALSE)</f>
        <v>5800</v>
      </c>
      <c r="AB593" s="42">
        <f t="shared" si="333"/>
        <v>580</v>
      </c>
      <c r="AC593" s="42">
        <f t="shared" si="334"/>
        <v>5390.91</v>
      </c>
      <c r="AD593" s="31">
        <f>VLOOKUP($A593,kurspris!$A$1:$Q$835,3,FALSE)</f>
        <v>0</v>
      </c>
      <c r="AE593" s="31">
        <f>VLOOKUP($A593,kurspris!$A$1:$Q$835,4,FALSE)</f>
        <v>0</v>
      </c>
      <c r="AF593" s="31">
        <f>VLOOKUP($A593,kurspris!$A$1:$Q$835,5,FALSE)</f>
        <v>0</v>
      </c>
      <c r="AG593" s="31">
        <f>VLOOKUP($A593,kurspris!$A$1:$Q$835,6,FALSE)</f>
        <v>1</v>
      </c>
      <c r="AH593" s="31">
        <f>VLOOKUP($A593,kurspris!$A$1:$Q$835,7,FALSE)</f>
        <v>0</v>
      </c>
      <c r="AI593" s="31">
        <f>VLOOKUP($A593,kurspris!$A$1:$Q$835,8,FALSE)</f>
        <v>0</v>
      </c>
      <c r="AJ593" s="31">
        <f>VLOOKUP($A593,kurspris!$A$1:$Q$835,9,FALSE)</f>
        <v>0</v>
      </c>
      <c r="AK593" s="31">
        <f>VLOOKUP($A593,kurspris!$A$1:$Q$835,10,FALSE)</f>
        <v>0</v>
      </c>
      <c r="AL593" s="31">
        <f>VLOOKUP($A593,kurspris!$A$1:$Q$835,11,FALSE)</f>
        <v>0</v>
      </c>
      <c r="AM593" s="31">
        <f>VLOOKUP($A593,kurspris!$A$1:$Q$835,12,FALSE)</f>
        <v>0</v>
      </c>
      <c r="AN593" s="31">
        <f>VLOOKUP($A593,kurspris!$A$1:$Q$835,13,FALSE)</f>
        <v>0</v>
      </c>
      <c r="AO593" s="31">
        <f>VLOOKUP($A593,kurspris!$A$1:$Q$835,14,FALSE)</f>
        <v>0</v>
      </c>
      <c r="AP593" s="39" t="s">
        <v>2326</v>
      </c>
      <c r="AQ593"/>
      <c r="AR593" s="31">
        <f t="shared" si="335"/>
        <v>0</v>
      </c>
      <c r="AS593" s="255">
        <f t="shared" si="336"/>
        <v>0</v>
      </c>
      <c r="AT593" s="31">
        <f t="shared" si="337"/>
        <v>0</v>
      </c>
      <c r="AU593" s="255">
        <f t="shared" si="338"/>
        <v>0</v>
      </c>
      <c r="AV593" s="31">
        <f t="shared" si="339"/>
        <v>0</v>
      </c>
      <c r="AW593" s="31">
        <f t="shared" si="340"/>
        <v>0</v>
      </c>
      <c r="AX593" s="31">
        <f t="shared" si="341"/>
        <v>0.1</v>
      </c>
      <c r="AY593" s="255">
        <f t="shared" si="342"/>
        <v>8.5000000000000006E-2</v>
      </c>
      <c r="AZ593" s="232">
        <f t="shared" si="343"/>
        <v>0</v>
      </c>
      <c r="BA593" s="255">
        <f t="shared" si="344"/>
        <v>0</v>
      </c>
      <c r="BB593" s="31">
        <f t="shared" si="345"/>
        <v>0</v>
      </c>
      <c r="BC593" s="255">
        <f t="shared" si="346"/>
        <v>0</v>
      </c>
      <c r="BD593" s="31">
        <f t="shared" si="347"/>
        <v>0</v>
      </c>
      <c r="BE593" s="255">
        <f t="shared" si="348"/>
        <v>0</v>
      </c>
      <c r="BF593" s="31">
        <f t="shared" si="349"/>
        <v>0</v>
      </c>
      <c r="BG593" s="255">
        <f t="shared" si="350"/>
        <v>0</v>
      </c>
      <c r="BH593" s="31">
        <f t="shared" si="351"/>
        <v>0</v>
      </c>
      <c r="BI593" s="255">
        <f t="shared" si="352"/>
        <v>0</v>
      </c>
      <c r="BJ593" s="31">
        <f t="shared" si="353"/>
        <v>0</v>
      </c>
      <c r="BK593" s="31">
        <f t="shared" si="354"/>
        <v>0</v>
      </c>
      <c r="BL593" s="255">
        <f t="shared" si="355"/>
        <v>0</v>
      </c>
      <c r="BM593" s="31">
        <f t="shared" si="356"/>
        <v>0</v>
      </c>
      <c r="BN593" s="255">
        <f t="shared" si="357"/>
        <v>0</v>
      </c>
    </row>
    <row r="594" spans="1:66" x14ac:dyDescent="0.25">
      <c r="A594" s="18" t="s">
        <v>1287</v>
      </c>
      <c r="B594" s="186" t="str">
        <f>VLOOKUP(A594,kurspris!$A$1:$B$877,2,FALSE)</f>
        <v>Ämneslärare som profession</v>
      </c>
      <c r="C594" s="37"/>
      <c r="D594" s="31" t="s">
        <v>483</v>
      </c>
      <c r="E594" s="31" t="s">
        <v>1931</v>
      </c>
      <c r="F594" s="59" t="s">
        <v>1931</v>
      </c>
      <c r="G594" s="31" t="s">
        <v>2279</v>
      </c>
      <c r="J594" t="s">
        <v>776</v>
      </c>
      <c r="L594" s="31">
        <v>100</v>
      </c>
      <c r="M594" s="31">
        <v>6</v>
      </c>
      <c r="P594" s="31">
        <v>8</v>
      </c>
      <c r="Q594" s="232">
        <f t="shared" si="330"/>
        <v>0.8</v>
      </c>
      <c r="R594" s="40">
        <v>0.85</v>
      </c>
      <c r="S594" s="334">
        <f t="shared" si="331"/>
        <v>0.68</v>
      </c>
      <c r="T594" s="31">
        <f>VLOOKUP(A594,'Ansvar kurs'!$A$1:$C$1010,2,FALSE)</f>
        <v>2180</v>
      </c>
      <c r="U594" s="31" t="str">
        <f>VLOOKUP(T594,Orgenheter!$A$1:$C$165,2,FALSE)</f>
        <v xml:space="preserve">Pedagogik                     </v>
      </c>
      <c r="V594" s="31" t="str">
        <f>VLOOKUP(T594,Orgenheter!$A$1:$C$165,3,FALSE)</f>
        <v>Sam</v>
      </c>
      <c r="W594" s="37" t="str">
        <f>VLOOKUP(D594,Program!$A$1:$B$34,2,FALSE)</f>
        <v>Ämneslärarprogrammet - Gy</v>
      </c>
      <c r="X594" s="42">
        <f>VLOOKUP(A594,kurspris!$A$1:$Q$798,15,FALSE)</f>
        <v>23641</v>
      </c>
      <c r="Y594" s="42">
        <f>VLOOKUP(A594,kurspris!$A$1:$Q$798,16,FALSE)</f>
        <v>28786</v>
      </c>
      <c r="Z594" s="42">
        <f t="shared" si="332"/>
        <v>38487.279999999999</v>
      </c>
      <c r="AA594" s="42">
        <f>VLOOKUP(A594,kurspris!$A$1:$Q$798,17,FALSE)</f>
        <v>5800</v>
      </c>
      <c r="AB594" s="42">
        <f t="shared" si="333"/>
        <v>4640</v>
      </c>
      <c r="AC594" s="42">
        <f t="shared" si="334"/>
        <v>43127.28</v>
      </c>
      <c r="AD594" s="31">
        <f>VLOOKUP($A594,kurspris!$A$1:$Q$835,3,FALSE)</f>
        <v>0</v>
      </c>
      <c r="AE594" s="31">
        <f>VLOOKUP($A594,kurspris!$A$1:$Q$835,4,FALSE)</f>
        <v>0</v>
      </c>
      <c r="AF594" s="31">
        <f>VLOOKUP($A594,kurspris!$A$1:$Q$835,5,FALSE)</f>
        <v>0</v>
      </c>
      <c r="AG594" s="31">
        <f>VLOOKUP($A594,kurspris!$A$1:$Q$835,6,FALSE)</f>
        <v>1</v>
      </c>
      <c r="AH594" s="31">
        <f>VLOOKUP($A594,kurspris!$A$1:$Q$835,7,FALSE)</f>
        <v>0</v>
      </c>
      <c r="AI594" s="31">
        <f>VLOOKUP($A594,kurspris!$A$1:$Q$835,8,FALSE)</f>
        <v>0</v>
      </c>
      <c r="AJ594" s="31">
        <f>VLOOKUP($A594,kurspris!$A$1:$Q$835,9,FALSE)</f>
        <v>0</v>
      </c>
      <c r="AK594" s="31">
        <f>VLOOKUP($A594,kurspris!$A$1:$Q$835,10,FALSE)</f>
        <v>0</v>
      </c>
      <c r="AL594" s="31">
        <f>VLOOKUP($A594,kurspris!$A$1:$Q$835,11,FALSE)</f>
        <v>0</v>
      </c>
      <c r="AM594" s="31">
        <f>VLOOKUP($A594,kurspris!$A$1:$Q$835,12,FALSE)</f>
        <v>0</v>
      </c>
      <c r="AN594" s="31">
        <f>VLOOKUP($A594,kurspris!$A$1:$Q$835,13,FALSE)</f>
        <v>0</v>
      </c>
      <c r="AO594" s="31">
        <f>VLOOKUP($A594,kurspris!$A$1:$Q$835,14,FALSE)</f>
        <v>0</v>
      </c>
      <c r="AP594" s="39" t="s">
        <v>2326</v>
      </c>
      <c r="AQ594"/>
      <c r="AR594" s="31">
        <f t="shared" si="335"/>
        <v>0</v>
      </c>
      <c r="AS594" s="255">
        <f t="shared" si="336"/>
        <v>0</v>
      </c>
      <c r="AT594" s="31">
        <f t="shared" si="337"/>
        <v>0</v>
      </c>
      <c r="AU594" s="255">
        <f t="shared" si="338"/>
        <v>0</v>
      </c>
      <c r="AV594" s="31">
        <f t="shared" si="339"/>
        <v>0</v>
      </c>
      <c r="AW594" s="31">
        <f t="shared" si="340"/>
        <v>0</v>
      </c>
      <c r="AX594" s="31">
        <f t="shared" si="341"/>
        <v>0.8</v>
      </c>
      <c r="AY594" s="255">
        <f t="shared" si="342"/>
        <v>0.68</v>
      </c>
      <c r="AZ594" s="232">
        <f t="shared" si="343"/>
        <v>0</v>
      </c>
      <c r="BA594" s="255">
        <f t="shared" si="344"/>
        <v>0</v>
      </c>
      <c r="BB594" s="31">
        <f t="shared" si="345"/>
        <v>0</v>
      </c>
      <c r="BC594" s="255">
        <f t="shared" si="346"/>
        <v>0</v>
      </c>
      <c r="BD594" s="31">
        <f t="shared" si="347"/>
        <v>0</v>
      </c>
      <c r="BE594" s="255">
        <f t="shared" si="348"/>
        <v>0</v>
      </c>
      <c r="BF594" s="31">
        <f t="shared" si="349"/>
        <v>0</v>
      </c>
      <c r="BG594" s="255">
        <f t="shared" si="350"/>
        <v>0</v>
      </c>
      <c r="BH594" s="31">
        <f t="shared" si="351"/>
        <v>0</v>
      </c>
      <c r="BI594" s="255">
        <f t="shared" si="352"/>
        <v>0</v>
      </c>
      <c r="BJ594" s="31">
        <f t="shared" si="353"/>
        <v>0</v>
      </c>
      <c r="BK594" s="31">
        <f t="shared" si="354"/>
        <v>0</v>
      </c>
      <c r="BL594" s="255">
        <f t="shared" si="355"/>
        <v>0</v>
      </c>
      <c r="BM594" s="31">
        <f t="shared" si="356"/>
        <v>0</v>
      </c>
      <c r="BN594" s="255">
        <f t="shared" si="357"/>
        <v>0</v>
      </c>
    </row>
    <row r="595" spans="1:66" x14ac:dyDescent="0.25">
      <c r="A595" s="18" t="s">
        <v>1287</v>
      </c>
      <c r="B595" s="186" t="str">
        <f>VLOOKUP(A595,kurspris!$A$1:$B$877,2,FALSE)</f>
        <v>Ämneslärare som profession</v>
      </c>
      <c r="C595" s="37"/>
      <c r="D595" s="31" t="s">
        <v>483</v>
      </c>
      <c r="E595" s="31" t="s">
        <v>1931</v>
      </c>
      <c r="F595" s="59" t="s">
        <v>1931</v>
      </c>
      <c r="G595" s="31" t="s">
        <v>2279</v>
      </c>
      <c r="J595" t="s">
        <v>777</v>
      </c>
      <c r="L595" s="31">
        <v>100</v>
      </c>
      <c r="M595" s="31">
        <v>6</v>
      </c>
      <c r="P595" s="31">
        <v>19</v>
      </c>
      <c r="Q595" s="232">
        <f t="shared" si="330"/>
        <v>1.9000000000000001</v>
      </c>
      <c r="R595" s="40">
        <v>0.85</v>
      </c>
      <c r="S595" s="334">
        <f t="shared" si="331"/>
        <v>1.615</v>
      </c>
      <c r="T595" s="31">
        <f>VLOOKUP(A595,'Ansvar kurs'!$A$1:$C$1010,2,FALSE)</f>
        <v>2180</v>
      </c>
      <c r="U595" s="31" t="str">
        <f>VLOOKUP(T595,Orgenheter!$A$1:$C$165,2,FALSE)</f>
        <v xml:space="preserve">Pedagogik                     </v>
      </c>
      <c r="V595" s="31" t="str">
        <f>VLOOKUP(T595,Orgenheter!$A$1:$C$165,3,FALSE)</f>
        <v>Sam</v>
      </c>
      <c r="W595" s="37" t="str">
        <f>VLOOKUP(D595,Program!$A$1:$B$34,2,FALSE)</f>
        <v>Ämneslärarprogrammet - Gy</v>
      </c>
      <c r="X595" s="42">
        <f>VLOOKUP(A595,kurspris!$A$1:$Q$798,15,FALSE)</f>
        <v>23641</v>
      </c>
      <c r="Y595" s="42">
        <f>VLOOKUP(A595,kurspris!$A$1:$Q$798,16,FALSE)</f>
        <v>28786</v>
      </c>
      <c r="Z595" s="42">
        <f t="shared" si="332"/>
        <v>91407.290000000008</v>
      </c>
      <c r="AA595" s="42">
        <f>VLOOKUP(A595,kurspris!$A$1:$Q$798,17,FALSE)</f>
        <v>5800</v>
      </c>
      <c r="AB595" s="42">
        <f t="shared" si="333"/>
        <v>11020</v>
      </c>
      <c r="AC595" s="42">
        <f t="shared" si="334"/>
        <v>102427.29000000001</v>
      </c>
      <c r="AD595" s="31">
        <f>VLOOKUP($A595,kurspris!$A$1:$Q$835,3,FALSE)</f>
        <v>0</v>
      </c>
      <c r="AE595" s="31">
        <f>VLOOKUP($A595,kurspris!$A$1:$Q$835,4,FALSE)</f>
        <v>0</v>
      </c>
      <c r="AF595" s="31">
        <f>VLOOKUP($A595,kurspris!$A$1:$Q$835,5,FALSE)</f>
        <v>0</v>
      </c>
      <c r="AG595" s="31">
        <f>VLOOKUP($A595,kurspris!$A$1:$Q$835,6,FALSE)</f>
        <v>1</v>
      </c>
      <c r="AH595" s="31">
        <f>VLOOKUP($A595,kurspris!$A$1:$Q$835,7,FALSE)</f>
        <v>0</v>
      </c>
      <c r="AI595" s="31">
        <f>VLOOKUP($A595,kurspris!$A$1:$Q$835,8,FALSE)</f>
        <v>0</v>
      </c>
      <c r="AJ595" s="31">
        <f>VLOOKUP($A595,kurspris!$A$1:$Q$835,9,FALSE)</f>
        <v>0</v>
      </c>
      <c r="AK595" s="31">
        <f>VLOOKUP($A595,kurspris!$A$1:$Q$835,10,FALSE)</f>
        <v>0</v>
      </c>
      <c r="AL595" s="31">
        <f>VLOOKUP($A595,kurspris!$A$1:$Q$835,11,FALSE)</f>
        <v>0</v>
      </c>
      <c r="AM595" s="31">
        <f>VLOOKUP($A595,kurspris!$A$1:$Q$835,12,FALSE)</f>
        <v>0</v>
      </c>
      <c r="AN595" s="31">
        <f>VLOOKUP($A595,kurspris!$A$1:$Q$835,13,FALSE)</f>
        <v>0</v>
      </c>
      <c r="AO595" s="31">
        <f>VLOOKUP($A595,kurspris!$A$1:$Q$835,14,FALSE)</f>
        <v>0</v>
      </c>
      <c r="AP595" s="39" t="s">
        <v>2326</v>
      </c>
      <c r="AQ595"/>
      <c r="AR595" s="31">
        <f t="shared" si="335"/>
        <v>0</v>
      </c>
      <c r="AS595" s="255">
        <f t="shared" si="336"/>
        <v>0</v>
      </c>
      <c r="AT595" s="31">
        <f t="shared" si="337"/>
        <v>0</v>
      </c>
      <c r="AU595" s="255">
        <f t="shared" si="338"/>
        <v>0</v>
      </c>
      <c r="AV595" s="31">
        <f t="shared" si="339"/>
        <v>0</v>
      </c>
      <c r="AW595" s="31">
        <f t="shared" si="340"/>
        <v>0</v>
      </c>
      <c r="AX595" s="31">
        <f t="shared" si="341"/>
        <v>1.9000000000000001</v>
      </c>
      <c r="AY595" s="255">
        <f t="shared" si="342"/>
        <v>1.615</v>
      </c>
      <c r="AZ595" s="232">
        <f t="shared" si="343"/>
        <v>0</v>
      </c>
      <c r="BA595" s="255">
        <f t="shared" si="344"/>
        <v>0</v>
      </c>
      <c r="BB595" s="31">
        <f t="shared" si="345"/>
        <v>0</v>
      </c>
      <c r="BC595" s="255">
        <f t="shared" si="346"/>
        <v>0</v>
      </c>
      <c r="BD595" s="31">
        <f t="shared" si="347"/>
        <v>0</v>
      </c>
      <c r="BE595" s="255">
        <f t="shared" si="348"/>
        <v>0</v>
      </c>
      <c r="BF595" s="31">
        <f t="shared" si="349"/>
        <v>0</v>
      </c>
      <c r="BG595" s="255">
        <f t="shared" si="350"/>
        <v>0</v>
      </c>
      <c r="BH595" s="31">
        <f t="shared" si="351"/>
        <v>0</v>
      </c>
      <c r="BI595" s="255">
        <f t="shared" si="352"/>
        <v>0</v>
      </c>
      <c r="BJ595" s="31">
        <f t="shared" si="353"/>
        <v>0</v>
      </c>
      <c r="BK595" s="31">
        <f t="shared" si="354"/>
        <v>0</v>
      </c>
      <c r="BL595" s="255">
        <f t="shared" si="355"/>
        <v>0</v>
      </c>
      <c r="BM595" s="31">
        <f t="shared" si="356"/>
        <v>0</v>
      </c>
      <c r="BN595" s="255">
        <f t="shared" si="357"/>
        <v>0</v>
      </c>
    </row>
    <row r="596" spans="1:66" x14ac:dyDescent="0.25">
      <c r="A596" s="18" t="s">
        <v>1287</v>
      </c>
      <c r="B596" s="186" t="str">
        <f>VLOOKUP(A596,kurspris!$A$1:$B$877,2,FALSE)</f>
        <v>Ämneslärare som profession</v>
      </c>
      <c r="C596" s="37"/>
      <c r="D596" s="31" t="s">
        <v>483</v>
      </c>
      <c r="E596" s="31" t="s">
        <v>1931</v>
      </c>
      <c r="F596" s="59" t="s">
        <v>1931</v>
      </c>
      <c r="G596" s="31" t="s">
        <v>2279</v>
      </c>
      <c r="J596" t="s">
        <v>1803</v>
      </c>
      <c r="L596" s="31">
        <v>100</v>
      </c>
      <c r="M596" s="31">
        <v>6</v>
      </c>
      <c r="P596" s="31">
        <v>1</v>
      </c>
      <c r="Q596" s="232">
        <f t="shared" si="330"/>
        <v>0.1</v>
      </c>
      <c r="R596" s="40">
        <v>0.85</v>
      </c>
      <c r="S596" s="334">
        <f t="shared" si="331"/>
        <v>8.5000000000000006E-2</v>
      </c>
      <c r="T596" s="31">
        <f>VLOOKUP(A596,'Ansvar kurs'!$A$1:$C$1010,2,FALSE)</f>
        <v>2180</v>
      </c>
      <c r="U596" s="31" t="str">
        <f>VLOOKUP(T596,Orgenheter!$A$1:$C$165,2,FALSE)</f>
        <v xml:space="preserve">Pedagogik                     </v>
      </c>
      <c r="V596" s="31" t="str">
        <f>VLOOKUP(T596,Orgenheter!$A$1:$C$165,3,FALSE)</f>
        <v>Sam</v>
      </c>
      <c r="W596" s="37" t="str">
        <f>VLOOKUP(D596,Program!$A$1:$B$34,2,FALSE)</f>
        <v>Ämneslärarprogrammet - Gy</v>
      </c>
      <c r="X596" s="42">
        <f>VLOOKUP(A596,kurspris!$A$1:$Q$798,15,FALSE)</f>
        <v>23641</v>
      </c>
      <c r="Y596" s="42">
        <f>VLOOKUP(A596,kurspris!$A$1:$Q$798,16,FALSE)</f>
        <v>28786</v>
      </c>
      <c r="Z596" s="42">
        <f t="shared" si="332"/>
        <v>4810.91</v>
      </c>
      <c r="AA596" s="42">
        <f>VLOOKUP(A596,kurspris!$A$1:$Q$798,17,FALSE)</f>
        <v>5800</v>
      </c>
      <c r="AB596" s="42">
        <f t="shared" si="333"/>
        <v>580</v>
      </c>
      <c r="AC596" s="42">
        <f t="shared" si="334"/>
        <v>5390.91</v>
      </c>
      <c r="AD596" s="31">
        <f>VLOOKUP($A596,kurspris!$A$1:$Q$835,3,FALSE)</f>
        <v>0</v>
      </c>
      <c r="AE596" s="31">
        <f>VLOOKUP($A596,kurspris!$A$1:$Q$835,4,FALSE)</f>
        <v>0</v>
      </c>
      <c r="AF596" s="31">
        <f>VLOOKUP($A596,kurspris!$A$1:$Q$835,5,FALSE)</f>
        <v>0</v>
      </c>
      <c r="AG596" s="31">
        <f>VLOOKUP($A596,kurspris!$A$1:$Q$835,6,FALSE)</f>
        <v>1</v>
      </c>
      <c r="AH596" s="31">
        <f>VLOOKUP($A596,kurspris!$A$1:$Q$835,7,FALSE)</f>
        <v>0</v>
      </c>
      <c r="AI596" s="31">
        <f>VLOOKUP($A596,kurspris!$A$1:$Q$835,8,FALSE)</f>
        <v>0</v>
      </c>
      <c r="AJ596" s="31">
        <f>VLOOKUP($A596,kurspris!$A$1:$Q$835,9,FALSE)</f>
        <v>0</v>
      </c>
      <c r="AK596" s="31">
        <f>VLOOKUP($A596,kurspris!$A$1:$Q$835,10,FALSE)</f>
        <v>0</v>
      </c>
      <c r="AL596" s="31">
        <f>VLOOKUP($A596,kurspris!$A$1:$Q$835,11,FALSE)</f>
        <v>0</v>
      </c>
      <c r="AM596" s="31">
        <f>VLOOKUP($A596,kurspris!$A$1:$Q$835,12,FALSE)</f>
        <v>0</v>
      </c>
      <c r="AN596" s="31">
        <f>VLOOKUP($A596,kurspris!$A$1:$Q$835,13,FALSE)</f>
        <v>0</v>
      </c>
      <c r="AO596" s="31">
        <f>VLOOKUP($A596,kurspris!$A$1:$Q$835,14,FALSE)</f>
        <v>0</v>
      </c>
      <c r="AP596" s="39" t="s">
        <v>2326</v>
      </c>
      <c r="AQ596"/>
      <c r="AR596" s="31">
        <f t="shared" si="335"/>
        <v>0</v>
      </c>
      <c r="AS596" s="255">
        <f t="shared" si="336"/>
        <v>0</v>
      </c>
      <c r="AT596" s="31">
        <f t="shared" si="337"/>
        <v>0</v>
      </c>
      <c r="AU596" s="255">
        <f t="shared" si="338"/>
        <v>0</v>
      </c>
      <c r="AV596" s="31">
        <f t="shared" si="339"/>
        <v>0</v>
      </c>
      <c r="AW596" s="31">
        <f t="shared" si="340"/>
        <v>0</v>
      </c>
      <c r="AX596" s="31">
        <f t="shared" si="341"/>
        <v>0.1</v>
      </c>
      <c r="AY596" s="255">
        <f t="shared" si="342"/>
        <v>8.5000000000000006E-2</v>
      </c>
      <c r="AZ596" s="232">
        <f t="shared" si="343"/>
        <v>0</v>
      </c>
      <c r="BA596" s="255">
        <f t="shared" si="344"/>
        <v>0</v>
      </c>
      <c r="BB596" s="31">
        <f t="shared" si="345"/>
        <v>0</v>
      </c>
      <c r="BC596" s="255">
        <f t="shared" si="346"/>
        <v>0</v>
      </c>
      <c r="BD596" s="31">
        <f t="shared" si="347"/>
        <v>0</v>
      </c>
      <c r="BE596" s="255">
        <f t="shared" si="348"/>
        <v>0</v>
      </c>
      <c r="BF596" s="31">
        <f t="shared" si="349"/>
        <v>0</v>
      </c>
      <c r="BG596" s="255">
        <f t="shared" si="350"/>
        <v>0</v>
      </c>
      <c r="BH596" s="31">
        <f t="shared" si="351"/>
        <v>0</v>
      </c>
      <c r="BI596" s="255">
        <f t="shared" si="352"/>
        <v>0</v>
      </c>
      <c r="BJ596" s="31">
        <f t="shared" si="353"/>
        <v>0</v>
      </c>
      <c r="BK596" s="31">
        <f t="shared" si="354"/>
        <v>0</v>
      </c>
      <c r="BL596" s="255">
        <f t="shared" si="355"/>
        <v>0</v>
      </c>
      <c r="BM596" s="31">
        <f t="shared" si="356"/>
        <v>0</v>
      </c>
      <c r="BN596" s="255">
        <f t="shared" si="357"/>
        <v>0</v>
      </c>
    </row>
    <row r="597" spans="1:66" x14ac:dyDescent="0.25">
      <c r="A597" s="18" t="s">
        <v>1287</v>
      </c>
      <c r="B597" s="186" t="str">
        <f>VLOOKUP(A597,kurspris!$A$1:$B$877,2,FALSE)</f>
        <v>Ämneslärare som profession</v>
      </c>
      <c r="C597" s="37"/>
      <c r="D597" s="31" t="s">
        <v>483</v>
      </c>
      <c r="E597" s="31" t="s">
        <v>1931</v>
      </c>
      <c r="F597" s="59" t="s">
        <v>1931</v>
      </c>
      <c r="G597" s="31" t="s">
        <v>2279</v>
      </c>
      <c r="J597" t="s">
        <v>778</v>
      </c>
      <c r="L597" s="31">
        <v>100</v>
      </c>
      <c r="M597" s="31">
        <v>6</v>
      </c>
      <c r="P597" s="31">
        <v>14</v>
      </c>
      <c r="Q597" s="232">
        <f t="shared" si="330"/>
        <v>1.4000000000000001</v>
      </c>
      <c r="R597" s="40">
        <v>0.85</v>
      </c>
      <c r="S597" s="334">
        <f t="shared" si="331"/>
        <v>1.1900000000000002</v>
      </c>
      <c r="T597" s="31">
        <f>VLOOKUP(A597,'Ansvar kurs'!$A$1:$C$1010,2,FALSE)</f>
        <v>2180</v>
      </c>
      <c r="U597" s="31" t="str">
        <f>VLOOKUP(T597,Orgenheter!$A$1:$C$165,2,FALSE)</f>
        <v xml:space="preserve">Pedagogik                     </v>
      </c>
      <c r="V597" s="31" t="str">
        <f>VLOOKUP(T597,Orgenheter!$A$1:$C$165,3,FALSE)</f>
        <v>Sam</v>
      </c>
      <c r="W597" s="37" t="str">
        <f>VLOOKUP(D597,Program!$A$1:$B$34,2,FALSE)</f>
        <v>Ämneslärarprogrammet - Gy</v>
      </c>
      <c r="X597" s="42">
        <f>VLOOKUP(A597,kurspris!$A$1:$Q$798,15,FALSE)</f>
        <v>23641</v>
      </c>
      <c r="Y597" s="42">
        <f>VLOOKUP(A597,kurspris!$A$1:$Q$798,16,FALSE)</f>
        <v>28786</v>
      </c>
      <c r="Z597" s="42">
        <f t="shared" si="332"/>
        <v>67352.740000000005</v>
      </c>
      <c r="AA597" s="42">
        <f>VLOOKUP(A597,kurspris!$A$1:$Q$798,17,FALSE)</f>
        <v>5800</v>
      </c>
      <c r="AB597" s="42">
        <f t="shared" si="333"/>
        <v>8120.0000000000009</v>
      </c>
      <c r="AC597" s="42">
        <f t="shared" si="334"/>
        <v>75472.740000000005</v>
      </c>
      <c r="AD597" s="31">
        <f>VLOOKUP($A597,kurspris!$A$1:$Q$835,3,FALSE)</f>
        <v>0</v>
      </c>
      <c r="AE597" s="31">
        <f>VLOOKUP($A597,kurspris!$A$1:$Q$835,4,FALSE)</f>
        <v>0</v>
      </c>
      <c r="AF597" s="31">
        <f>VLOOKUP($A597,kurspris!$A$1:$Q$835,5,FALSE)</f>
        <v>0</v>
      </c>
      <c r="AG597" s="31">
        <f>VLOOKUP($A597,kurspris!$A$1:$Q$835,6,FALSE)</f>
        <v>1</v>
      </c>
      <c r="AH597" s="31">
        <f>VLOOKUP($A597,kurspris!$A$1:$Q$835,7,FALSE)</f>
        <v>0</v>
      </c>
      <c r="AI597" s="31">
        <f>VLOOKUP($A597,kurspris!$A$1:$Q$835,8,FALSE)</f>
        <v>0</v>
      </c>
      <c r="AJ597" s="31">
        <f>VLOOKUP($A597,kurspris!$A$1:$Q$835,9,FALSE)</f>
        <v>0</v>
      </c>
      <c r="AK597" s="31">
        <f>VLOOKUP($A597,kurspris!$A$1:$Q$835,10,FALSE)</f>
        <v>0</v>
      </c>
      <c r="AL597" s="31">
        <f>VLOOKUP($A597,kurspris!$A$1:$Q$835,11,FALSE)</f>
        <v>0</v>
      </c>
      <c r="AM597" s="31">
        <f>VLOOKUP($A597,kurspris!$A$1:$Q$835,12,FALSE)</f>
        <v>0</v>
      </c>
      <c r="AN597" s="31">
        <f>VLOOKUP($A597,kurspris!$A$1:$Q$835,13,FALSE)</f>
        <v>0</v>
      </c>
      <c r="AO597" s="31">
        <f>VLOOKUP($A597,kurspris!$A$1:$Q$835,14,FALSE)</f>
        <v>0</v>
      </c>
      <c r="AP597" s="39" t="s">
        <v>2326</v>
      </c>
      <c r="AQ597"/>
      <c r="AR597" s="31">
        <f t="shared" si="335"/>
        <v>0</v>
      </c>
      <c r="AS597" s="255">
        <f t="shared" si="336"/>
        <v>0</v>
      </c>
      <c r="AT597" s="31">
        <f t="shared" si="337"/>
        <v>0</v>
      </c>
      <c r="AU597" s="255">
        <f t="shared" si="338"/>
        <v>0</v>
      </c>
      <c r="AV597" s="31">
        <f t="shared" si="339"/>
        <v>0</v>
      </c>
      <c r="AW597" s="31">
        <f t="shared" si="340"/>
        <v>0</v>
      </c>
      <c r="AX597" s="31">
        <f t="shared" si="341"/>
        <v>1.4000000000000001</v>
      </c>
      <c r="AY597" s="255">
        <f t="shared" si="342"/>
        <v>1.1900000000000002</v>
      </c>
      <c r="AZ597" s="232">
        <f t="shared" si="343"/>
        <v>0</v>
      </c>
      <c r="BA597" s="255">
        <f t="shared" si="344"/>
        <v>0</v>
      </c>
      <c r="BB597" s="31">
        <f t="shared" si="345"/>
        <v>0</v>
      </c>
      <c r="BC597" s="255">
        <f t="shared" si="346"/>
        <v>0</v>
      </c>
      <c r="BD597" s="31">
        <f t="shared" si="347"/>
        <v>0</v>
      </c>
      <c r="BE597" s="255">
        <f t="shared" si="348"/>
        <v>0</v>
      </c>
      <c r="BF597" s="31">
        <f t="shared" si="349"/>
        <v>0</v>
      </c>
      <c r="BG597" s="255">
        <f t="shared" si="350"/>
        <v>0</v>
      </c>
      <c r="BH597" s="31">
        <f t="shared" si="351"/>
        <v>0</v>
      </c>
      <c r="BI597" s="255">
        <f t="shared" si="352"/>
        <v>0</v>
      </c>
      <c r="BJ597" s="31">
        <f t="shared" si="353"/>
        <v>0</v>
      </c>
      <c r="BK597" s="31">
        <f t="shared" si="354"/>
        <v>0</v>
      </c>
      <c r="BL597" s="255">
        <f t="shared" si="355"/>
        <v>0</v>
      </c>
      <c r="BM597" s="31">
        <f t="shared" si="356"/>
        <v>0</v>
      </c>
      <c r="BN597" s="255">
        <f t="shared" si="357"/>
        <v>0</v>
      </c>
    </row>
    <row r="598" spans="1:66" x14ac:dyDescent="0.25">
      <c r="A598" s="18" t="s">
        <v>1287</v>
      </c>
      <c r="B598" s="186" t="str">
        <f>VLOOKUP(A598,kurspris!$A$1:$B$877,2,FALSE)</f>
        <v>Ämneslärare som profession</v>
      </c>
      <c r="C598" s="37"/>
      <c r="D598" s="31" t="s">
        <v>483</v>
      </c>
      <c r="E598" s="31" t="s">
        <v>1931</v>
      </c>
      <c r="F598" s="59" t="s">
        <v>1931</v>
      </c>
      <c r="G598" s="31" t="s">
        <v>2279</v>
      </c>
      <c r="J598" t="s">
        <v>1592</v>
      </c>
      <c r="L598" s="31">
        <v>100</v>
      </c>
      <c r="M598" s="31">
        <v>6</v>
      </c>
      <c r="P598" s="31">
        <v>3</v>
      </c>
      <c r="Q598" s="232">
        <f t="shared" si="330"/>
        <v>0.30000000000000004</v>
      </c>
      <c r="R598" s="40">
        <v>0.85</v>
      </c>
      <c r="S598" s="334">
        <f t="shared" si="331"/>
        <v>0.255</v>
      </c>
      <c r="T598" s="31">
        <f>VLOOKUP(A598,'Ansvar kurs'!$A$1:$C$1010,2,FALSE)</f>
        <v>2180</v>
      </c>
      <c r="U598" s="31" t="str">
        <f>VLOOKUP(T598,Orgenheter!$A$1:$C$165,2,FALSE)</f>
        <v xml:space="preserve">Pedagogik                     </v>
      </c>
      <c r="V598" s="31" t="str">
        <f>VLOOKUP(T598,Orgenheter!$A$1:$C$165,3,FALSE)</f>
        <v>Sam</v>
      </c>
      <c r="W598" s="37" t="str">
        <f>VLOOKUP(D598,Program!$A$1:$B$34,2,FALSE)</f>
        <v>Ämneslärarprogrammet - Gy</v>
      </c>
      <c r="X598" s="42">
        <f>VLOOKUP(A598,kurspris!$A$1:$Q$798,15,FALSE)</f>
        <v>23641</v>
      </c>
      <c r="Y598" s="42">
        <f>VLOOKUP(A598,kurspris!$A$1:$Q$798,16,FALSE)</f>
        <v>28786</v>
      </c>
      <c r="Z598" s="42">
        <f t="shared" si="332"/>
        <v>14432.730000000001</v>
      </c>
      <c r="AA598" s="42">
        <f>VLOOKUP(A598,kurspris!$A$1:$Q$798,17,FALSE)</f>
        <v>5800</v>
      </c>
      <c r="AB598" s="42">
        <f t="shared" si="333"/>
        <v>1740.0000000000002</v>
      </c>
      <c r="AC598" s="42">
        <f t="shared" si="334"/>
        <v>16172.730000000001</v>
      </c>
      <c r="AD598" s="31">
        <f>VLOOKUP($A598,kurspris!$A$1:$Q$835,3,FALSE)</f>
        <v>0</v>
      </c>
      <c r="AE598" s="31">
        <f>VLOOKUP($A598,kurspris!$A$1:$Q$835,4,FALSE)</f>
        <v>0</v>
      </c>
      <c r="AF598" s="31">
        <f>VLOOKUP($A598,kurspris!$A$1:$Q$835,5,FALSE)</f>
        <v>0</v>
      </c>
      <c r="AG598" s="31">
        <f>VLOOKUP($A598,kurspris!$A$1:$Q$835,6,FALSE)</f>
        <v>1</v>
      </c>
      <c r="AH598" s="31">
        <f>VLOOKUP($A598,kurspris!$A$1:$Q$835,7,FALSE)</f>
        <v>0</v>
      </c>
      <c r="AI598" s="31">
        <f>VLOOKUP($A598,kurspris!$A$1:$Q$835,8,FALSE)</f>
        <v>0</v>
      </c>
      <c r="AJ598" s="31">
        <f>VLOOKUP($A598,kurspris!$A$1:$Q$835,9,FALSE)</f>
        <v>0</v>
      </c>
      <c r="AK598" s="31">
        <f>VLOOKUP($A598,kurspris!$A$1:$Q$835,10,FALSE)</f>
        <v>0</v>
      </c>
      <c r="AL598" s="31">
        <f>VLOOKUP($A598,kurspris!$A$1:$Q$835,11,FALSE)</f>
        <v>0</v>
      </c>
      <c r="AM598" s="31">
        <f>VLOOKUP($A598,kurspris!$A$1:$Q$835,12,FALSE)</f>
        <v>0</v>
      </c>
      <c r="AN598" s="31">
        <f>VLOOKUP($A598,kurspris!$A$1:$Q$835,13,FALSE)</f>
        <v>0</v>
      </c>
      <c r="AO598" s="31">
        <f>VLOOKUP($A598,kurspris!$A$1:$Q$835,14,FALSE)</f>
        <v>0</v>
      </c>
      <c r="AP598" s="39" t="s">
        <v>2326</v>
      </c>
      <c r="AQ598"/>
      <c r="AR598" s="31">
        <f t="shared" si="335"/>
        <v>0</v>
      </c>
      <c r="AS598" s="255">
        <f t="shared" si="336"/>
        <v>0</v>
      </c>
      <c r="AT598" s="31">
        <f t="shared" si="337"/>
        <v>0</v>
      </c>
      <c r="AU598" s="255">
        <f t="shared" si="338"/>
        <v>0</v>
      </c>
      <c r="AV598" s="31">
        <f t="shared" si="339"/>
        <v>0</v>
      </c>
      <c r="AW598" s="31">
        <f t="shared" si="340"/>
        <v>0</v>
      </c>
      <c r="AX598" s="31">
        <f t="shared" si="341"/>
        <v>0.30000000000000004</v>
      </c>
      <c r="AY598" s="255">
        <f t="shared" si="342"/>
        <v>0.255</v>
      </c>
      <c r="AZ598" s="232">
        <f t="shared" si="343"/>
        <v>0</v>
      </c>
      <c r="BA598" s="255">
        <f t="shared" si="344"/>
        <v>0</v>
      </c>
      <c r="BB598" s="31">
        <f t="shared" si="345"/>
        <v>0</v>
      </c>
      <c r="BC598" s="255">
        <f t="shared" si="346"/>
        <v>0</v>
      </c>
      <c r="BD598" s="31">
        <f t="shared" si="347"/>
        <v>0</v>
      </c>
      <c r="BE598" s="255">
        <f t="shared" si="348"/>
        <v>0</v>
      </c>
      <c r="BF598" s="31">
        <f t="shared" si="349"/>
        <v>0</v>
      </c>
      <c r="BG598" s="255">
        <f t="shared" si="350"/>
        <v>0</v>
      </c>
      <c r="BH598" s="31">
        <f t="shared" si="351"/>
        <v>0</v>
      </c>
      <c r="BI598" s="255">
        <f t="shared" si="352"/>
        <v>0</v>
      </c>
      <c r="BJ598" s="31">
        <f t="shared" si="353"/>
        <v>0</v>
      </c>
      <c r="BK598" s="31">
        <f t="shared" si="354"/>
        <v>0</v>
      </c>
      <c r="BL598" s="255">
        <f t="shared" si="355"/>
        <v>0</v>
      </c>
      <c r="BM598" s="31">
        <f t="shared" si="356"/>
        <v>0</v>
      </c>
      <c r="BN598" s="255">
        <f t="shared" si="357"/>
        <v>0</v>
      </c>
    </row>
    <row r="599" spans="1:66" x14ac:dyDescent="0.25">
      <c r="A599" s="18" t="s">
        <v>1287</v>
      </c>
      <c r="B599" s="186" t="str">
        <f>VLOOKUP(A599,kurspris!$A$1:$B$877,2,FALSE)</f>
        <v>Ämneslärare som profession</v>
      </c>
      <c r="C599" s="37"/>
      <c r="D599" s="31" t="s">
        <v>483</v>
      </c>
      <c r="E599" s="31" t="s">
        <v>1931</v>
      </c>
      <c r="F599" s="59" t="s">
        <v>1931</v>
      </c>
      <c r="G599" s="31" t="s">
        <v>2279</v>
      </c>
      <c r="J599" t="s">
        <v>1593</v>
      </c>
      <c r="L599" s="31">
        <v>100</v>
      </c>
      <c r="M599" s="31">
        <v>6</v>
      </c>
      <c r="P599" s="31">
        <v>2</v>
      </c>
      <c r="Q599" s="232">
        <f t="shared" si="330"/>
        <v>0.2</v>
      </c>
      <c r="R599" s="40">
        <v>0.85</v>
      </c>
      <c r="S599" s="334">
        <f t="shared" si="331"/>
        <v>0.17</v>
      </c>
      <c r="T599" s="31">
        <f>VLOOKUP(A599,'Ansvar kurs'!$A$1:$C$1010,2,FALSE)</f>
        <v>2180</v>
      </c>
      <c r="U599" s="31" t="str">
        <f>VLOOKUP(T599,Orgenheter!$A$1:$C$165,2,FALSE)</f>
        <v xml:space="preserve">Pedagogik                     </v>
      </c>
      <c r="V599" s="31" t="str">
        <f>VLOOKUP(T599,Orgenheter!$A$1:$C$165,3,FALSE)</f>
        <v>Sam</v>
      </c>
      <c r="W599" s="37" t="str">
        <f>VLOOKUP(D599,Program!$A$1:$B$34,2,FALSE)</f>
        <v>Ämneslärarprogrammet - Gy</v>
      </c>
      <c r="X599" s="42">
        <f>VLOOKUP(A599,kurspris!$A$1:$Q$798,15,FALSE)</f>
        <v>23641</v>
      </c>
      <c r="Y599" s="42">
        <f>VLOOKUP(A599,kurspris!$A$1:$Q$798,16,FALSE)</f>
        <v>28786</v>
      </c>
      <c r="Z599" s="42">
        <f t="shared" si="332"/>
        <v>9621.82</v>
      </c>
      <c r="AA599" s="42">
        <f>VLOOKUP(A599,kurspris!$A$1:$Q$798,17,FALSE)</f>
        <v>5800</v>
      </c>
      <c r="AB599" s="42">
        <f t="shared" si="333"/>
        <v>1160</v>
      </c>
      <c r="AC599" s="42">
        <f t="shared" si="334"/>
        <v>10781.82</v>
      </c>
      <c r="AD599" s="31">
        <f>VLOOKUP($A599,kurspris!$A$1:$Q$835,3,FALSE)</f>
        <v>0</v>
      </c>
      <c r="AE599" s="31">
        <f>VLOOKUP($A599,kurspris!$A$1:$Q$835,4,FALSE)</f>
        <v>0</v>
      </c>
      <c r="AF599" s="31">
        <f>VLOOKUP($A599,kurspris!$A$1:$Q$835,5,FALSE)</f>
        <v>0</v>
      </c>
      <c r="AG599" s="31">
        <f>VLOOKUP($A599,kurspris!$A$1:$Q$835,6,FALSE)</f>
        <v>1</v>
      </c>
      <c r="AH599" s="31">
        <f>VLOOKUP($A599,kurspris!$A$1:$Q$835,7,FALSE)</f>
        <v>0</v>
      </c>
      <c r="AI599" s="31">
        <f>VLOOKUP($A599,kurspris!$A$1:$Q$835,8,FALSE)</f>
        <v>0</v>
      </c>
      <c r="AJ599" s="31">
        <f>VLOOKUP($A599,kurspris!$A$1:$Q$835,9,FALSE)</f>
        <v>0</v>
      </c>
      <c r="AK599" s="31">
        <f>VLOOKUP($A599,kurspris!$A$1:$Q$835,10,FALSE)</f>
        <v>0</v>
      </c>
      <c r="AL599" s="31">
        <f>VLOOKUP($A599,kurspris!$A$1:$Q$835,11,FALSE)</f>
        <v>0</v>
      </c>
      <c r="AM599" s="31">
        <f>VLOOKUP($A599,kurspris!$A$1:$Q$835,12,FALSE)</f>
        <v>0</v>
      </c>
      <c r="AN599" s="31">
        <f>VLOOKUP($A599,kurspris!$A$1:$Q$835,13,FALSE)</f>
        <v>0</v>
      </c>
      <c r="AO599" s="31">
        <f>VLOOKUP($A599,kurspris!$A$1:$Q$835,14,FALSE)</f>
        <v>0</v>
      </c>
      <c r="AP599" s="39" t="s">
        <v>2326</v>
      </c>
      <c r="AQ599"/>
      <c r="AR599" s="31">
        <f t="shared" si="335"/>
        <v>0</v>
      </c>
      <c r="AS599" s="255">
        <f t="shared" si="336"/>
        <v>0</v>
      </c>
      <c r="AT599" s="31">
        <f t="shared" si="337"/>
        <v>0</v>
      </c>
      <c r="AU599" s="255">
        <f t="shared" si="338"/>
        <v>0</v>
      </c>
      <c r="AV599" s="31">
        <f t="shared" si="339"/>
        <v>0</v>
      </c>
      <c r="AW599" s="31">
        <f t="shared" si="340"/>
        <v>0</v>
      </c>
      <c r="AX599" s="31">
        <f t="shared" si="341"/>
        <v>0.2</v>
      </c>
      <c r="AY599" s="255">
        <f t="shared" si="342"/>
        <v>0.17</v>
      </c>
      <c r="AZ599" s="232">
        <f t="shared" si="343"/>
        <v>0</v>
      </c>
      <c r="BA599" s="255">
        <f t="shared" si="344"/>
        <v>0</v>
      </c>
      <c r="BB599" s="31">
        <f t="shared" si="345"/>
        <v>0</v>
      </c>
      <c r="BC599" s="255">
        <f t="shared" si="346"/>
        <v>0</v>
      </c>
      <c r="BD599" s="31">
        <f t="shared" si="347"/>
        <v>0</v>
      </c>
      <c r="BE599" s="255">
        <f t="shared" si="348"/>
        <v>0</v>
      </c>
      <c r="BF599" s="31">
        <f t="shared" si="349"/>
        <v>0</v>
      </c>
      <c r="BG599" s="255">
        <f t="shared" si="350"/>
        <v>0</v>
      </c>
      <c r="BH599" s="31">
        <f t="shared" si="351"/>
        <v>0</v>
      </c>
      <c r="BI599" s="255">
        <f t="shared" si="352"/>
        <v>0</v>
      </c>
      <c r="BJ599" s="31">
        <f t="shared" si="353"/>
        <v>0</v>
      </c>
      <c r="BK599" s="31">
        <f t="shared" si="354"/>
        <v>0</v>
      </c>
      <c r="BL599" s="255">
        <f t="shared" si="355"/>
        <v>0</v>
      </c>
      <c r="BM599" s="31">
        <f t="shared" si="356"/>
        <v>0</v>
      </c>
      <c r="BN599" s="255">
        <f t="shared" si="357"/>
        <v>0</v>
      </c>
    </row>
    <row r="600" spans="1:66" x14ac:dyDescent="0.25">
      <c r="A600" s="18" t="s">
        <v>1288</v>
      </c>
      <c r="B600" s="186" t="str">
        <f>VLOOKUP(A600,kurspris!$A$1:$B$877,2,FALSE)</f>
        <v>Att vara ämneslärare (VFU)</v>
      </c>
      <c r="C600" s="37"/>
      <c r="D600" s="31" t="s">
        <v>483</v>
      </c>
      <c r="E600" s="31" t="s">
        <v>1609</v>
      </c>
      <c r="F600" s="59" t="s">
        <v>1931</v>
      </c>
      <c r="G600" s="31" t="s">
        <v>2280</v>
      </c>
      <c r="J600" t="s">
        <v>1593</v>
      </c>
      <c r="L600" s="31">
        <v>100</v>
      </c>
      <c r="M600" s="31">
        <v>1.5</v>
      </c>
      <c r="P600" s="31">
        <v>1</v>
      </c>
      <c r="Q600" s="232">
        <f t="shared" si="330"/>
        <v>2.5000000000000001E-2</v>
      </c>
      <c r="R600" s="40">
        <v>0.85</v>
      </c>
      <c r="S600" s="334">
        <f t="shared" si="331"/>
        <v>2.1250000000000002E-2</v>
      </c>
      <c r="T600" s="31">
        <f>VLOOKUP(A600,'Ansvar kurs'!$A$1:$C$1010,2,FALSE)</f>
        <v>2180</v>
      </c>
      <c r="U600" s="31" t="str">
        <f>VLOOKUP(T600,Orgenheter!$A$1:$C$165,2,FALSE)</f>
        <v xml:space="preserve">Pedagogik                     </v>
      </c>
      <c r="V600" s="31" t="str">
        <f>VLOOKUP(T600,Orgenheter!$A$1:$C$165,3,FALSE)</f>
        <v>Sam</v>
      </c>
      <c r="W600" s="37" t="str">
        <f>VLOOKUP(D600,Program!$A$1:$B$34,2,FALSE)</f>
        <v>Ämneslärarprogrammet - Gy</v>
      </c>
      <c r="X600" s="42">
        <f>VLOOKUP(A600,kurspris!$A$1:$Q$798,15,FALSE)</f>
        <v>21634</v>
      </c>
      <c r="Y600" s="42">
        <f>VLOOKUP(A600,kurspris!$A$1:$Q$798,16,FALSE)</f>
        <v>26986</v>
      </c>
      <c r="Z600" s="42">
        <f t="shared" si="332"/>
        <v>1114.3025</v>
      </c>
      <c r="AA600" s="42">
        <f>VLOOKUP(A600,kurspris!$A$1:$Q$798,17,FALSE)</f>
        <v>3400</v>
      </c>
      <c r="AB600" s="42">
        <f t="shared" si="333"/>
        <v>85</v>
      </c>
      <c r="AC600" s="42">
        <f t="shared" si="334"/>
        <v>1199.3025</v>
      </c>
      <c r="AD600" s="31">
        <f>VLOOKUP($A600,kurspris!$A$1:$Q$835,3,FALSE)</f>
        <v>0</v>
      </c>
      <c r="AE600" s="31">
        <f>VLOOKUP($A600,kurspris!$A$1:$Q$835,4,FALSE)</f>
        <v>0</v>
      </c>
      <c r="AF600" s="31">
        <f>VLOOKUP($A600,kurspris!$A$1:$Q$835,5,FALSE)</f>
        <v>0</v>
      </c>
      <c r="AG600" s="31">
        <f>VLOOKUP($A600,kurspris!$A$1:$Q$835,6,FALSE)</f>
        <v>0</v>
      </c>
      <c r="AH600" s="31">
        <f>VLOOKUP($A600,kurspris!$A$1:$Q$835,7,FALSE)</f>
        <v>0</v>
      </c>
      <c r="AI600" s="31">
        <f>VLOOKUP($A600,kurspris!$A$1:$Q$835,8,FALSE)</f>
        <v>0</v>
      </c>
      <c r="AJ600" s="31">
        <f>VLOOKUP($A600,kurspris!$A$1:$Q$835,9,FALSE)</f>
        <v>0</v>
      </c>
      <c r="AK600" s="31">
        <f>VLOOKUP($A600,kurspris!$A$1:$Q$835,10,FALSE)</f>
        <v>0</v>
      </c>
      <c r="AL600" s="31">
        <f>VLOOKUP($A600,kurspris!$A$1:$Q$835,11,FALSE)</f>
        <v>1</v>
      </c>
      <c r="AM600" s="31">
        <f>VLOOKUP($A600,kurspris!$A$1:$Q$835,12,FALSE)</f>
        <v>0</v>
      </c>
      <c r="AN600" s="31">
        <f>VLOOKUP($A600,kurspris!$A$1:$Q$835,13,FALSE)</f>
        <v>0</v>
      </c>
      <c r="AO600" s="31">
        <f>VLOOKUP($A600,kurspris!$A$1:$Q$835,14,FALSE)</f>
        <v>0</v>
      </c>
      <c r="AP600" s="39" t="s">
        <v>2326</v>
      </c>
      <c r="AQ600"/>
      <c r="AR600" s="31">
        <f t="shared" si="335"/>
        <v>0</v>
      </c>
      <c r="AS600" s="255">
        <f t="shared" si="336"/>
        <v>0</v>
      </c>
      <c r="AT600" s="31">
        <f t="shared" si="337"/>
        <v>0</v>
      </c>
      <c r="AU600" s="255">
        <f t="shared" si="338"/>
        <v>0</v>
      </c>
      <c r="AV600" s="31">
        <f t="shared" si="339"/>
        <v>0</v>
      </c>
      <c r="AW600" s="31">
        <f t="shared" si="340"/>
        <v>0</v>
      </c>
      <c r="AX600" s="31">
        <f t="shared" si="341"/>
        <v>0</v>
      </c>
      <c r="AY600" s="255">
        <f t="shared" si="342"/>
        <v>0</v>
      </c>
      <c r="AZ600" s="232">
        <f t="shared" si="343"/>
        <v>0</v>
      </c>
      <c r="BA600" s="255">
        <f t="shared" si="344"/>
        <v>0</v>
      </c>
      <c r="BB600" s="31">
        <f t="shared" si="345"/>
        <v>0</v>
      </c>
      <c r="BC600" s="255">
        <f t="shared" si="346"/>
        <v>0</v>
      </c>
      <c r="BD600" s="31">
        <f t="shared" si="347"/>
        <v>0</v>
      </c>
      <c r="BE600" s="255">
        <f t="shared" si="348"/>
        <v>0</v>
      </c>
      <c r="BF600" s="31">
        <f t="shared" si="349"/>
        <v>0</v>
      </c>
      <c r="BG600" s="255">
        <f t="shared" si="350"/>
        <v>0</v>
      </c>
      <c r="BH600" s="31">
        <f t="shared" si="351"/>
        <v>2.5000000000000001E-2</v>
      </c>
      <c r="BI600" s="255">
        <f t="shared" si="352"/>
        <v>2.1250000000000002E-2</v>
      </c>
      <c r="BJ600" s="31">
        <f t="shared" si="353"/>
        <v>0</v>
      </c>
      <c r="BK600" s="31">
        <f t="shared" si="354"/>
        <v>0</v>
      </c>
      <c r="BL600" s="255">
        <f t="shared" si="355"/>
        <v>0</v>
      </c>
      <c r="BM600" s="31">
        <f t="shared" si="356"/>
        <v>0</v>
      </c>
      <c r="BN600" s="255">
        <f t="shared" si="357"/>
        <v>0</v>
      </c>
    </row>
    <row r="601" spans="1:66" x14ac:dyDescent="0.25">
      <c r="A601" s="18" t="s">
        <v>1288</v>
      </c>
      <c r="B601" s="186" t="str">
        <f>VLOOKUP(A601,kurspris!$A$1:$B$877,2,FALSE)</f>
        <v>Att vara ämneslärare (VFU)</v>
      </c>
      <c r="C601" s="37"/>
      <c r="D601" s="31" t="s">
        <v>483</v>
      </c>
      <c r="E601" s="31" t="s">
        <v>1788</v>
      </c>
      <c r="F601" s="59" t="s">
        <v>1931</v>
      </c>
      <c r="G601" s="31" t="s">
        <v>2280</v>
      </c>
      <c r="J601" t="s">
        <v>771</v>
      </c>
      <c r="L601" s="31">
        <v>100</v>
      </c>
      <c r="M601" s="31">
        <v>1.5</v>
      </c>
      <c r="P601" s="31">
        <v>1</v>
      </c>
      <c r="Q601" s="232">
        <f t="shared" si="330"/>
        <v>2.5000000000000001E-2</v>
      </c>
      <c r="R601" s="40">
        <v>0.85</v>
      </c>
      <c r="S601" s="334">
        <f t="shared" si="331"/>
        <v>2.1250000000000002E-2</v>
      </c>
      <c r="T601" s="31">
        <f>VLOOKUP(A601,'Ansvar kurs'!$A$1:$C$1010,2,FALSE)</f>
        <v>2180</v>
      </c>
      <c r="U601" s="31" t="str">
        <f>VLOOKUP(T601,Orgenheter!$A$1:$C$165,2,FALSE)</f>
        <v xml:space="preserve">Pedagogik                     </v>
      </c>
      <c r="V601" s="31" t="str">
        <f>VLOOKUP(T601,Orgenheter!$A$1:$C$165,3,FALSE)</f>
        <v>Sam</v>
      </c>
      <c r="W601" s="37" t="str">
        <f>VLOOKUP(D601,Program!$A$1:$B$34,2,FALSE)</f>
        <v>Ämneslärarprogrammet - Gy</v>
      </c>
      <c r="X601" s="42">
        <f>VLOOKUP(A601,kurspris!$A$1:$Q$798,15,FALSE)</f>
        <v>21634</v>
      </c>
      <c r="Y601" s="42">
        <f>VLOOKUP(A601,kurspris!$A$1:$Q$798,16,FALSE)</f>
        <v>26986</v>
      </c>
      <c r="Z601" s="42">
        <f t="shared" si="332"/>
        <v>1114.3025</v>
      </c>
      <c r="AA601" s="42">
        <f>VLOOKUP(A601,kurspris!$A$1:$Q$798,17,FALSE)</f>
        <v>3400</v>
      </c>
      <c r="AB601" s="42">
        <f t="shared" si="333"/>
        <v>85</v>
      </c>
      <c r="AC601" s="42">
        <f t="shared" si="334"/>
        <v>1199.3025</v>
      </c>
      <c r="AD601" s="31">
        <f>VLOOKUP($A601,kurspris!$A$1:$Q$835,3,FALSE)</f>
        <v>0</v>
      </c>
      <c r="AE601" s="31">
        <f>VLOOKUP($A601,kurspris!$A$1:$Q$835,4,FALSE)</f>
        <v>0</v>
      </c>
      <c r="AF601" s="31">
        <f>VLOOKUP($A601,kurspris!$A$1:$Q$835,5,FALSE)</f>
        <v>0</v>
      </c>
      <c r="AG601" s="31">
        <f>VLOOKUP($A601,kurspris!$A$1:$Q$835,6,FALSE)</f>
        <v>0</v>
      </c>
      <c r="AH601" s="31">
        <f>VLOOKUP($A601,kurspris!$A$1:$Q$835,7,FALSE)</f>
        <v>0</v>
      </c>
      <c r="AI601" s="31">
        <f>VLOOKUP($A601,kurspris!$A$1:$Q$835,8,FALSE)</f>
        <v>0</v>
      </c>
      <c r="AJ601" s="31">
        <f>VLOOKUP($A601,kurspris!$A$1:$Q$835,9,FALSE)</f>
        <v>0</v>
      </c>
      <c r="AK601" s="31">
        <f>VLOOKUP($A601,kurspris!$A$1:$Q$835,10,FALSE)</f>
        <v>0</v>
      </c>
      <c r="AL601" s="31">
        <f>VLOOKUP($A601,kurspris!$A$1:$Q$835,11,FALSE)</f>
        <v>1</v>
      </c>
      <c r="AM601" s="31">
        <f>VLOOKUP($A601,kurspris!$A$1:$Q$835,12,FALSE)</f>
        <v>0</v>
      </c>
      <c r="AN601" s="31">
        <f>VLOOKUP($A601,kurspris!$A$1:$Q$835,13,FALSE)</f>
        <v>0</v>
      </c>
      <c r="AO601" s="31">
        <f>VLOOKUP($A601,kurspris!$A$1:$Q$835,14,FALSE)</f>
        <v>0</v>
      </c>
      <c r="AP601" s="39" t="s">
        <v>2326</v>
      </c>
      <c r="AQ601"/>
      <c r="AR601" s="31">
        <f t="shared" si="335"/>
        <v>0</v>
      </c>
      <c r="AS601" s="255">
        <f t="shared" si="336"/>
        <v>0</v>
      </c>
      <c r="AT601" s="31">
        <f t="shared" si="337"/>
        <v>0</v>
      </c>
      <c r="AU601" s="255">
        <f t="shared" si="338"/>
        <v>0</v>
      </c>
      <c r="AV601" s="31">
        <f t="shared" si="339"/>
        <v>0</v>
      </c>
      <c r="AW601" s="31">
        <f t="shared" si="340"/>
        <v>0</v>
      </c>
      <c r="AX601" s="31">
        <f t="shared" si="341"/>
        <v>0</v>
      </c>
      <c r="AY601" s="255">
        <f t="shared" si="342"/>
        <v>0</v>
      </c>
      <c r="AZ601" s="232">
        <f t="shared" si="343"/>
        <v>0</v>
      </c>
      <c r="BA601" s="255">
        <f t="shared" si="344"/>
        <v>0</v>
      </c>
      <c r="BB601" s="31">
        <f t="shared" si="345"/>
        <v>0</v>
      </c>
      <c r="BC601" s="255">
        <f t="shared" si="346"/>
        <v>0</v>
      </c>
      <c r="BD601" s="31">
        <f t="shared" si="347"/>
        <v>0</v>
      </c>
      <c r="BE601" s="255">
        <f t="shared" si="348"/>
        <v>0</v>
      </c>
      <c r="BF601" s="31">
        <f t="shared" si="349"/>
        <v>0</v>
      </c>
      <c r="BG601" s="255">
        <f t="shared" si="350"/>
        <v>0</v>
      </c>
      <c r="BH601" s="31">
        <f t="shared" si="351"/>
        <v>2.5000000000000001E-2</v>
      </c>
      <c r="BI601" s="255">
        <f t="shared" si="352"/>
        <v>2.1250000000000002E-2</v>
      </c>
      <c r="BJ601" s="31">
        <f t="shared" si="353"/>
        <v>0</v>
      </c>
      <c r="BK601" s="31">
        <f t="shared" si="354"/>
        <v>0</v>
      </c>
      <c r="BL601" s="255">
        <f t="shared" si="355"/>
        <v>0</v>
      </c>
      <c r="BM601" s="31">
        <f t="shared" si="356"/>
        <v>0</v>
      </c>
      <c r="BN601" s="255">
        <f t="shared" si="357"/>
        <v>0</v>
      </c>
    </row>
    <row r="602" spans="1:66" x14ac:dyDescent="0.25">
      <c r="A602" s="18" t="s">
        <v>1288</v>
      </c>
      <c r="B602" s="186" t="str">
        <f>VLOOKUP(A602,kurspris!$A$1:$B$877,2,FALSE)</f>
        <v>Att vara ämneslärare (VFU)</v>
      </c>
      <c r="C602" s="37"/>
      <c r="D602" s="31" t="s">
        <v>483</v>
      </c>
      <c r="E602" s="31" t="s">
        <v>1788</v>
      </c>
      <c r="F602" s="59" t="s">
        <v>1931</v>
      </c>
      <c r="G602" s="31" t="s">
        <v>2280</v>
      </c>
      <c r="J602" t="s">
        <v>777</v>
      </c>
      <c r="L602" s="31">
        <v>100</v>
      </c>
      <c r="M602" s="31">
        <v>1.5</v>
      </c>
      <c r="P602" s="31">
        <v>1</v>
      </c>
      <c r="Q602" s="232">
        <f t="shared" si="330"/>
        <v>2.5000000000000001E-2</v>
      </c>
      <c r="R602" s="40">
        <v>0.85</v>
      </c>
      <c r="S602" s="334">
        <f t="shared" si="331"/>
        <v>2.1250000000000002E-2</v>
      </c>
      <c r="T602" s="31">
        <f>VLOOKUP(A602,'Ansvar kurs'!$A$1:$C$1010,2,FALSE)</f>
        <v>2180</v>
      </c>
      <c r="U602" s="31" t="str">
        <f>VLOOKUP(T602,Orgenheter!$A$1:$C$165,2,FALSE)</f>
        <v xml:space="preserve">Pedagogik                     </v>
      </c>
      <c r="V602" s="31" t="str">
        <f>VLOOKUP(T602,Orgenheter!$A$1:$C$165,3,FALSE)</f>
        <v>Sam</v>
      </c>
      <c r="W602" s="37" t="str">
        <f>VLOOKUP(D602,Program!$A$1:$B$34,2,FALSE)</f>
        <v>Ämneslärarprogrammet - Gy</v>
      </c>
      <c r="X602" s="42">
        <f>VLOOKUP(A602,kurspris!$A$1:$Q$798,15,FALSE)</f>
        <v>21634</v>
      </c>
      <c r="Y602" s="42">
        <f>VLOOKUP(A602,kurspris!$A$1:$Q$798,16,FALSE)</f>
        <v>26986</v>
      </c>
      <c r="Z602" s="42">
        <f t="shared" si="332"/>
        <v>1114.3025</v>
      </c>
      <c r="AA602" s="42">
        <f>VLOOKUP(A602,kurspris!$A$1:$Q$798,17,FALSE)</f>
        <v>3400</v>
      </c>
      <c r="AB602" s="42">
        <f t="shared" si="333"/>
        <v>85</v>
      </c>
      <c r="AC602" s="42">
        <f t="shared" si="334"/>
        <v>1199.3025</v>
      </c>
      <c r="AD602" s="31">
        <f>VLOOKUP($A602,kurspris!$A$1:$Q$835,3,FALSE)</f>
        <v>0</v>
      </c>
      <c r="AE602" s="31">
        <f>VLOOKUP($A602,kurspris!$A$1:$Q$835,4,FALSE)</f>
        <v>0</v>
      </c>
      <c r="AF602" s="31">
        <f>VLOOKUP($A602,kurspris!$A$1:$Q$835,5,FALSE)</f>
        <v>0</v>
      </c>
      <c r="AG602" s="31">
        <f>VLOOKUP($A602,kurspris!$A$1:$Q$835,6,FALSE)</f>
        <v>0</v>
      </c>
      <c r="AH602" s="31">
        <f>VLOOKUP($A602,kurspris!$A$1:$Q$835,7,FALSE)</f>
        <v>0</v>
      </c>
      <c r="AI602" s="31">
        <f>VLOOKUP($A602,kurspris!$A$1:$Q$835,8,FALSE)</f>
        <v>0</v>
      </c>
      <c r="AJ602" s="31">
        <f>VLOOKUP($A602,kurspris!$A$1:$Q$835,9,FALSE)</f>
        <v>0</v>
      </c>
      <c r="AK602" s="31">
        <f>VLOOKUP($A602,kurspris!$A$1:$Q$835,10,FALSE)</f>
        <v>0</v>
      </c>
      <c r="AL602" s="31">
        <f>VLOOKUP($A602,kurspris!$A$1:$Q$835,11,FALSE)</f>
        <v>1</v>
      </c>
      <c r="AM602" s="31">
        <f>VLOOKUP($A602,kurspris!$A$1:$Q$835,12,FALSE)</f>
        <v>0</v>
      </c>
      <c r="AN602" s="31">
        <f>VLOOKUP($A602,kurspris!$A$1:$Q$835,13,FALSE)</f>
        <v>0</v>
      </c>
      <c r="AO602" s="31">
        <f>VLOOKUP($A602,kurspris!$A$1:$Q$835,14,FALSE)</f>
        <v>0</v>
      </c>
      <c r="AP602" s="39" t="s">
        <v>2326</v>
      </c>
      <c r="AQ602"/>
      <c r="AR602" s="31">
        <f t="shared" si="335"/>
        <v>0</v>
      </c>
      <c r="AS602" s="255">
        <f t="shared" si="336"/>
        <v>0</v>
      </c>
      <c r="AT602" s="31">
        <f t="shared" si="337"/>
        <v>0</v>
      </c>
      <c r="AU602" s="255">
        <f t="shared" si="338"/>
        <v>0</v>
      </c>
      <c r="AV602" s="31">
        <f t="shared" si="339"/>
        <v>0</v>
      </c>
      <c r="AW602" s="31">
        <f t="shared" si="340"/>
        <v>0</v>
      </c>
      <c r="AX602" s="31">
        <f t="shared" si="341"/>
        <v>0</v>
      </c>
      <c r="AY602" s="255">
        <f t="shared" si="342"/>
        <v>0</v>
      </c>
      <c r="AZ602" s="232">
        <f t="shared" si="343"/>
        <v>0</v>
      </c>
      <c r="BA602" s="255">
        <f t="shared" si="344"/>
        <v>0</v>
      </c>
      <c r="BB602" s="31">
        <f t="shared" si="345"/>
        <v>0</v>
      </c>
      <c r="BC602" s="255">
        <f t="shared" si="346"/>
        <v>0</v>
      </c>
      <c r="BD602" s="31">
        <f t="shared" si="347"/>
        <v>0</v>
      </c>
      <c r="BE602" s="255">
        <f t="shared" si="348"/>
        <v>0</v>
      </c>
      <c r="BF602" s="31">
        <f t="shared" si="349"/>
        <v>0</v>
      </c>
      <c r="BG602" s="255">
        <f t="shared" si="350"/>
        <v>0</v>
      </c>
      <c r="BH602" s="31">
        <f t="shared" si="351"/>
        <v>2.5000000000000001E-2</v>
      </c>
      <c r="BI602" s="255">
        <f t="shared" si="352"/>
        <v>2.1250000000000002E-2</v>
      </c>
      <c r="BJ602" s="31">
        <f t="shared" si="353"/>
        <v>0</v>
      </c>
      <c r="BK602" s="31">
        <f t="shared" si="354"/>
        <v>0</v>
      </c>
      <c r="BL602" s="255">
        <f t="shared" si="355"/>
        <v>0</v>
      </c>
      <c r="BM602" s="31">
        <f t="shared" si="356"/>
        <v>0</v>
      </c>
      <c r="BN602" s="255">
        <f t="shared" si="357"/>
        <v>0</v>
      </c>
    </row>
    <row r="603" spans="1:66" x14ac:dyDescent="0.25">
      <c r="A603" s="18" t="s">
        <v>1288</v>
      </c>
      <c r="B603" s="186" t="str">
        <f>VLOOKUP(A603,kurspris!$A$1:$B$877,2,FALSE)</f>
        <v>Att vara ämneslärare (VFU)</v>
      </c>
      <c r="C603" s="37"/>
      <c r="D603" s="31" t="s">
        <v>483</v>
      </c>
      <c r="E603" s="31" t="s">
        <v>1931</v>
      </c>
      <c r="F603" s="59" t="s">
        <v>1931</v>
      </c>
      <c r="G603" s="31" t="s">
        <v>2280</v>
      </c>
      <c r="J603" t="s">
        <v>1952</v>
      </c>
      <c r="L603" s="31">
        <v>100</v>
      </c>
      <c r="M603" s="31">
        <v>1.5</v>
      </c>
      <c r="P603" s="31">
        <v>4</v>
      </c>
      <c r="Q603" s="232">
        <f t="shared" si="330"/>
        <v>0.1</v>
      </c>
      <c r="R603" s="40">
        <v>0.85</v>
      </c>
      <c r="S603" s="334">
        <f t="shared" si="331"/>
        <v>8.5000000000000006E-2</v>
      </c>
      <c r="T603" s="31">
        <f>VLOOKUP(A603,'Ansvar kurs'!$A$1:$C$1010,2,FALSE)</f>
        <v>2180</v>
      </c>
      <c r="U603" s="31" t="str">
        <f>VLOOKUP(T603,Orgenheter!$A$1:$C$165,2,FALSE)</f>
        <v xml:space="preserve">Pedagogik                     </v>
      </c>
      <c r="V603" s="31" t="str">
        <f>VLOOKUP(T603,Orgenheter!$A$1:$C$165,3,FALSE)</f>
        <v>Sam</v>
      </c>
      <c r="W603" s="37" t="str">
        <f>VLOOKUP(D603,Program!$A$1:$B$34,2,FALSE)</f>
        <v>Ämneslärarprogrammet - Gy</v>
      </c>
      <c r="X603" s="42">
        <f>VLOOKUP(A603,kurspris!$A$1:$Q$798,15,FALSE)</f>
        <v>21634</v>
      </c>
      <c r="Y603" s="42">
        <f>VLOOKUP(A603,kurspris!$A$1:$Q$798,16,FALSE)</f>
        <v>26986</v>
      </c>
      <c r="Z603" s="42">
        <f t="shared" si="332"/>
        <v>4457.21</v>
      </c>
      <c r="AA603" s="42">
        <f>VLOOKUP(A603,kurspris!$A$1:$Q$798,17,FALSE)</f>
        <v>3400</v>
      </c>
      <c r="AB603" s="42">
        <f t="shared" si="333"/>
        <v>340</v>
      </c>
      <c r="AC603" s="42">
        <f t="shared" si="334"/>
        <v>4797.21</v>
      </c>
      <c r="AD603" s="31">
        <f>VLOOKUP($A603,kurspris!$A$1:$Q$835,3,FALSE)</f>
        <v>0</v>
      </c>
      <c r="AE603" s="31">
        <f>VLOOKUP($A603,kurspris!$A$1:$Q$835,4,FALSE)</f>
        <v>0</v>
      </c>
      <c r="AF603" s="31">
        <f>VLOOKUP($A603,kurspris!$A$1:$Q$835,5,FALSE)</f>
        <v>0</v>
      </c>
      <c r="AG603" s="31">
        <f>VLOOKUP($A603,kurspris!$A$1:$Q$835,6,FALSE)</f>
        <v>0</v>
      </c>
      <c r="AH603" s="31">
        <f>VLOOKUP($A603,kurspris!$A$1:$Q$835,7,FALSE)</f>
        <v>0</v>
      </c>
      <c r="AI603" s="31">
        <f>VLOOKUP($A603,kurspris!$A$1:$Q$835,8,FALSE)</f>
        <v>0</v>
      </c>
      <c r="AJ603" s="31">
        <f>VLOOKUP($A603,kurspris!$A$1:$Q$835,9,FALSE)</f>
        <v>0</v>
      </c>
      <c r="AK603" s="31">
        <f>VLOOKUP($A603,kurspris!$A$1:$Q$835,10,FALSE)</f>
        <v>0</v>
      </c>
      <c r="AL603" s="31">
        <f>VLOOKUP($A603,kurspris!$A$1:$Q$835,11,FALSE)</f>
        <v>1</v>
      </c>
      <c r="AM603" s="31">
        <f>VLOOKUP($A603,kurspris!$A$1:$Q$835,12,FALSE)</f>
        <v>0</v>
      </c>
      <c r="AN603" s="31">
        <f>VLOOKUP($A603,kurspris!$A$1:$Q$835,13,FALSE)</f>
        <v>0</v>
      </c>
      <c r="AO603" s="31">
        <f>VLOOKUP($A603,kurspris!$A$1:$Q$835,14,FALSE)</f>
        <v>0</v>
      </c>
      <c r="AP603" s="39" t="s">
        <v>2326</v>
      </c>
      <c r="AQ603"/>
      <c r="AR603" s="31">
        <f t="shared" si="335"/>
        <v>0</v>
      </c>
      <c r="AS603" s="255">
        <f t="shared" si="336"/>
        <v>0</v>
      </c>
      <c r="AT603" s="31">
        <f t="shared" si="337"/>
        <v>0</v>
      </c>
      <c r="AU603" s="255">
        <f t="shared" si="338"/>
        <v>0</v>
      </c>
      <c r="AV603" s="31">
        <f t="shared" si="339"/>
        <v>0</v>
      </c>
      <c r="AW603" s="31">
        <f t="shared" si="340"/>
        <v>0</v>
      </c>
      <c r="AX603" s="31">
        <f t="shared" si="341"/>
        <v>0</v>
      </c>
      <c r="AY603" s="255">
        <f t="shared" si="342"/>
        <v>0</v>
      </c>
      <c r="AZ603" s="232">
        <f t="shared" si="343"/>
        <v>0</v>
      </c>
      <c r="BA603" s="255">
        <f t="shared" si="344"/>
        <v>0</v>
      </c>
      <c r="BB603" s="31">
        <f t="shared" si="345"/>
        <v>0</v>
      </c>
      <c r="BC603" s="255">
        <f t="shared" si="346"/>
        <v>0</v>
      </c>
      <c r="BD603" s="31">
        <f t="shared" si="347"/>
        <v>0</v>
      </c>
      <c r="BE603" s="255">
        <f t="shared" si="348"/>
        <v>0</v>
      </c>
      <c r="BF603" s="31">
        <f t="shared" si="349"/>
        <v>0</v>
      </c>
      <c r="BG603" s="255">
        <f t="shared" si="350"/>
        <v>0</v>
      </c>
      <c r="BH603" s="31">
        <f t="shared" si="351"/>
        <v>0.1</v>
      </c>
      <c r="BI603" s="255">
        <f t="shared" si="352"/>
        <v>8.5000000000000006E-2</v>
      </c>
      <c r="BJ603" s="31">
        <f t="shared" si="353"/>
        <v>0</v>
      </c>
      <c r="BK603" s="31">
        <f t="shared" si="354"/>
        <v>0</v>
      </c>
      <c r="BL603" s="255">
        <f t="shared" si="355"/>
        <v>0</v>
      </c>
      <c r="BM603" s="31">
        <f t="shared" si="356"/>
        <v>0</v>
      </c>
      <c r="BN603" s="255">
        <f t="shared" si="357"/>
        <v>0</v>
      </c>
    </row>
    <row r="604" spans="1:66" x14ac:dyDescent="0.25">
      <c r="A604" s="18" t="s">
        <v>1288</v>
      </c>
      <c r="B604" s="186" t="str">
        <f>VLOOKUP(A604,kurspris!$A$1:$B$877,2,FALSE)</f>
        <v>Att vara ämneslärare (VFU)</v>
      </c>
      <c r="C604" s="37"/>
      <c r="D604" s="31" t="s">
        <v>483</v>
      </c>
      <c r="E604" s="31" t="s">
        <v>1931</v>
      </c>
      <c r="F604" s="59" t="s">
        <v>1931</v>
      </c>
      <c r="G604" s="31" t="s">
        <v>2280</v>
      </c>
      <c r="J604" t="s">
        <v>1591</v>
      </c>
      <c r="L604" s="31">
        <v>100</v>
      </c>
      <c r="M604" s="31">
        <v>1.5</v>
      </c>
      <c r="P604" s="31">
        <v>4</v>
      </c>
      <c r="Q604" s="232">
        <f t="shared" si="330"/>
        <v>0.1</v>
      </c>
      <c r="R604" s="40">
        <v>0.85</v>
      </c>
      <c r="S604" s="334">
        <f t="shared" si="331"/>
        <v>8.5000000000000006E-2</v>
      </c>
      <c r="T604" s="31">
        <f>VLOOKUP(A604,'Ansvar kurs'!$A$1:$C$1010,2,FALSE)</f>
        <v>2180</v>
      </c>
      <c r="U604" s="31" t="str">
        <f>VLOOKUP(T604,Orgenheter!$A$1:$C$165,2,FALSE)</f>
        <v xml:space="preserve">Pedagogik                     </v>
      </c>
      <c r="V604" s="31" t="str">
        <f>VLOOKUP(T604,Orgenheter!$A$1:$C$165,3,FALSE)</f>
        <v>Sam</v>
      </c>
      <c r="W604" s="37" t="str">
        <f>VLOOKUP(D604,Program!$A$1:$B$34,2,FALSE)</f>
        <v>Ämneslärarprogrammet - Gy</v>
      </c>
      <c r="X604" s="42">
        <f>VLOOKUP(A604,kurspris!$A$1:$Q$798,15,FALSE)</f>
        <v>21634</v>
      </c>
      <c r="Y604" s="42">
        <f>VLOOKUP(A604,kurspris!$A$1:$Q$798,16,FALSE)</f>
        <v>26986</v>
      </c>
      <c r="Z604" s="42">
        <f t="shared" si="332"/>
        <v>4457.21</v>
      </c>
      <c r="AA604" s="42">
        <f>VLOOKUP(A604,kurspris!$A$1:$Q$798,17,FALSE)</f>
        <v>3400</v>
      </c>
      <c r="AB604" s="42">
        <f t="shared" si="333"/>
        <v>340</v>
      </c>
      <c r="AC604" s="42">
        <f t="shared" si="334"/>
        <v>4797.21</v>
      </c>
      <c r="AD604" s="31">
        <f>VLOOKUP($A604,kurspris!$A$1:$Q$835,3,FALSE)</f>
        <v>0</v>
      </c>
      <c r="AE604" s="31">
        <f>VLOOKUP($A604,kurspris!$A$1:$Q$835,4,FALSE)</f>
        <v>0</v>
      </c>
      <c r="AF604" s="31">
        <f>VLOOKUP($A604,kurspris!$A$1:$Q$835,5,FALSE)</f>
        <v>0</v>
      </c>
      <c r="AG604" s="31">
        <f>VLOOKUP($A604,kurspris!$A$1:$Q$835,6,FALSE)</f>
        <v>0</v>
      </c>
      <c r="AH604" s="31">
        <f>VLOOKUP($A604,kurspris!$A$1:$Q$835,7,FALSE)</f>
        <v>0</v>
      </c>
      <c r="AI604" s="31">
        <f>VLOOKUP($A604,kurspris!$A$1:$Q$835,8,FALSE)</f>
        <v>0</v>
      </c>
      <c r="AJ604" s="31">
        <f>VLOOKUP($A604,kurspris!$A$1:$Q$835,9,FALSE)</f>
        <v>0</v>
      </c>
      <c r="AK604" s="31">
        <f>VLOOKUP($A604,kurspris!$A$1:$Q$835,10,FALSE)</f>
        <v>0</v>
      </c>
      <c r="AL604" s="31">
        <f>VLOOKUP($A604,kurspris!$A$1:$Q$835,11,FALSE)</f>
        <v>1</v>
      </c>
      <c r="AM604" s="31">
        <f>VLOOKUP($A604,kurspris!$A$1:$Q$835,12,FALSE)</f>
        <v>0</v>
      </c>
      <c r="AN604" s="31">
        <f>VLOOKUP($A604,kurspris!$A$1:$Q$835,13,FALSE)</f>
        <v>0</v>
      </c>
      <c r="AO604" s="31">
        <f>VLOOKUP($A604,kurspris!$A$1:$Q$835,14,FALSE)</f>
        <v>0</v>
      </c>
      <c r="AP604" s="39" t="s">
        <v>2326</v>
      </c>
      <c r="AQ604"/>
      <c r="AR604" s="31">
        <f t="shared" si="335"/>
        <v>0</v>
      </c>
      <c r="AS604" s="255">
        <f t="shared" si="336"/>
        <v>0</v>
      </c>
      <c r="AT604" s="31">
        <f t="shared" si="337"/>
        <v>0</v>
      </c>
      <c r="AU604" s="255">
        <f t="shared" si="338"/>
        <v>0</v>
      </c>
      <c r="AV604" s="31">
        <f t="shared" si="339"/>
        <v>0</v>
      </c>
      <c r="AW604" s="31">
        <f t="shared" si="340"/>
        <v>0</v>
      </c>
      <c r="AX604" s="31">
        <f t="shared" si="341"/>
        <v>0</v>
      </c>
      <c r="AY604" s="255">
        <f t="shared" si="342"/>
        <v>0</v>
      </c>
      <c r="AZ604" s="232">
        <f t="shared" si="343"/>
        <v>0</v>
      </c>
      <c r="BA604" s="255">
        <f t="shared" si="344"/>
        <v>0</v>
      </c>
      <c r="BB604" s="31">
        <f t="shared" si="345"/>
        <v>0</v>
      </c>
      <c r="BC604" s="255">
        <f t="shared" si="346"/>
        <v>0</v>
      </c>
      <c r="BD604" s="31">
        <f t="shared" si="347"/>
        <v>0</v>
      </c>
      <c r="BE604" s="255">
        <f t="shared" si="348"/>
        <v>0</v>
      </c>
      <c r="BF604" s="31">
        <f t="shared" si="349"/>
        <v>0</v>
      </c>
      <c r="BG604" s="255">
        <f t="shared" si="350"/>
        <v>0</v>
      </c>
      <c r="BH604" s="31">
        <f t="shared" si="351"/>
        <v>0.1</v>
      </c>
      <c r="BI604" s="255">
        <f t="shared" si="352"/>
        <v>8.5000000000000006E-2</v>
      </c>
      <c r="BJ604" s="31">
        <f t="shared" si="353"/>
        <v>0</v>
      </c>
      <c r="BK604" s="31">
        <f t="shared" si="354"/>
        <v>0</v>
      </c>
      <c r="BL604" s="255">
        <f t="shared" si="355"/>
        <v>0</v>
      </c>
      <c r="BM604" s="31">
        <f t="shared" si="356"/>
        <v>0</v>
      </c>
      <c r="BN604" s="255">
        <f t="shared" si="357"/>
        <v>0</v>
      </c>
    </row>
    <row r="605" spans="1:66" x14ac:dyDescent="0.25">
      <c r="A605" s="18" t="s">
        <v>1288</v>
      </c>
      <c r="B605" s="186" t="str">
        <f>VLOOKUP(A605,kurspris!$A$1:$B$877,2,FALSE)</f>
        <v>Att vara ämneslärare (VFU)</v>
      </c>
      <c r="C605" s="37"/>
      <c r="D605" s="31" t="s">
        <v>483</v>
      </c>
      <c r="E605" s="31" t="s">
        <v>1931</v>
      </c>
      <c r="F605" s="59" t="s">
        <v>1931</v>
      </c>
      <c r="G605" s="31" t="s">
        <v>2280</v>
      </c>
      <c r="J605" t="s">
        <v>771</v>
      </c>
      <c r="L605" s="31">
        <v>100</v>
      </c>
      <c r="M605" s="31">
        <v>1.5</v>
      </c>
      <c r="P605" s="31">
        <v>19</v>
      </c>
      <c r="Q605" s="232">
        <f t="shared" si="330"/>
        <v>0.47500000000000003</v>
      </c>
      <c r="R605" s="40">
        <v>0.85</v>
      </c>
      <c r="S605" s="334">
        <f t="shared" si="331"/>
        <v>0.40375</v>
      </c>
      <c r="T605" s="31">
        <f>VLOOKUP(A605,'Ansvar kurs'!$A$1:$C$1010,2,FALSE)</f>
        <v>2180</v>
      </c>
      <c r="U605" s="31" t="str">
        <f>VLOOKUP(T605,Orgenheter!$A$1:$C$165,2,FALSE)</f>
        <v xml:space="preserve">Pedagogik                     </v>
      </c>
      <c r="V605" s="31" t="str">
        <f>VLOOKUP(T605,Orgenheter!$A$1:$C$165,3,FALSE)</f>
        <v>Sam</v>
      </c>
      <c r="W605" s="37" t="str">
        <f>VLOOKUP(D605,Program!$A$1:$B$34,2,FALSE)</f>
        <v>Ämneslärarprogrammet - Gy</v>
      </c>
      <c r="X605" s="42">
        <f>VLOOKUP(A605,kurspris!$A$1:$Q$798,15,FALSE)</f>
        <v>21634</v>
      </c>
      <c r="Y605" s="42">
        <f>VLOOKUP(A605,kurspris!$A$1:$Q$798,16,FALSE)</f>
        <v>26986</v>
      </c>
      <c r="Z605" s="42">
        <f t="shared" si="332"/>
        <v>21171.747500000001</v>
      </c>
      <c r="AA605" s="42">
        <f>VLOOKUP(A605,kurspris!$A$1:$Q$798,17,FALSE)</f>
        <v>3400</v>
      </c>
      <c r="AB605" s="42">
        <f t="shared" si="333"/>
        <v>1615</v>
      </c>
      <c r="AC605" s="42">
        <f t="shared" si="334"/>
        <v>22786.747500000001</v>
      </c>
      <c r="AD605" s="31">
        <f>VLOOKUP($A605,kurspris!$A$1:$Q$835,3,FALSE)</f>
        <v>0</v>
      </c>
      <c r="AE605" s="31">
        <f>VLOOKUP($A605,kurspris!$A$1:$Q$835,4,FALSE)</f>
        <v>0</v>
      </c>
      <c r="AF605" s="31">
        <f>VLOOKUP($A605,kurspris!$A$1:$Q$835,5,FALSE)</f>
        <v>0</v>
      </c>
      <c r="AG605" s="31">
        <f>VLOOKUP($A605,kurspris!$A$1:$Q$835,6,FALSE)</f>
        <v>0</v>
      </c>
      <c r="AH605" s="31">
        <f>VLOOKUP($A605,kurspris!$A$1:$Q$835,7,FALSE)</f>
        <v>0</v>
      </c>
      <c r="AI605" s="31">
        <f>VLOOKUP($A605,kurspris!$A$1:$Q$835,8,FALSE)</f>
        <v>0</v>
      </c>
      <c r="AJ605" s="31">
        <f>VLOOKUP($A605,kurspris!$A$1:$Q$835,9,FALSE)</f>
        <v>0</v>
      </c>
      <c r="AK605" s="31">
        <f>VLOOKUP($A605,kurspris!$A$1:$Q$835,10,FALSE)</f>
        <v>0</v>
      </c>
      <c r="AL605" s="31">
        <f>VLOOKUP($A605,kurspris!$A$1:$Q$835,11,FALSE)</f>
        <v>1</v>
      </c>
      <c r="AM605" s="31">
        <f>VLOOKUP($A605,kurspris!$A$1:$Q$835,12,FALSE)</f>
        <v>0</v>
      </c>
      <c r="AN605" s="31">
        <f>VLOOKUP($A605,kurspris!$A$1:$Q$835,13,FALSE)</f>
        <v>0</v>
      </c>
      <c r="AO605" s="31">
        <f>VLOOKUP($A605,kurspris!$A$1:$Q$835,14,FALSE)</f>
        <v>0</v>
      </c>
      <c r="AP605" s="39" t="s">
        <v>2326</v>
      </c>
      <c r="AQ605"/>
      <c r="AR605" s="31">
        <f t="shared" si="335"/>
        <v>0</v>
      </c>
      <c r="AS605" s="255">
        <f t="shared" si="336"/>
        <v>0</v>
      </c>
      <c r="AT605" s="31">
        <f t="shared" si="337"/>
        <v>0</v>
      </c>
      <c r="AU605" s="255">
        <f t="shared" si="338"/>
        <v>0</v>
      </c>
      <c r="AV605" s="31">
        <f t="shared" si="339"/>
        <v>0</v>
      </c>
      <c r="AW605" s="31">
        <f t="shared" si="340"/>
        <v>0</v>
      </c>
      <c r="AX605" s="31">
        <f t="shared" si="341"/>
        <v>0</v>
      </c>
      <c r="AY605" s="255">
        <f t="shared" si="342"/>
        <v>0</v>
      </c>
      <c r="AZ605" s="232">
        <f t="shared" si="343"/>
        <v>0</v>
      </c>
      <c r="BA605" s="255">
        <f t="shared" si="344"/>
        <v>0</v>
      </c>
      <c r="BB605" s="31">
        <f t="shared" si="345"/>
        <v>0</v>
      </c>
      <c r="BC605" s="255">
        <f t="shared" si="346"/>
        <v>0</v>
      </c>
      <c r="BD605" s="31">
        <f t="shared" si="347"/>
        <v>0</v>
      </c>
      <c r="BE605" s="255">
        <f t="shared" si="348"/>
        <v>0</v>
      </c>
      <c r="BF605" s="31">
        <f t="shared" si="349"/>
        <v>0</v>
      </c>
      <c r="BG605" s="255">
        <f t="shared" si="350"/>
        <v>0</v>
      </c>
      <c r="BH605" s="31">
        <f t="shared" si="351"/>
        <v>0.47500000000000003</v>
      </c>
      <c r="BI605" s="255">
        <f t="shared" si="352"/>
        <v>0.40375</v>
      </c>
      <c r="BJ605" s="31">
        <f t="shared" si="353"/>
        <v>0</v>
      </c>
      <c r="BK605" s="31">
        <f t="shared" si="354"/>
        <v>0</v>
      </c>
      <c r="BL605" s="255">
        <f t="shared" si="355"/>
        <v>0</v>
      </c>
      <c r="BM605" s="31">
        <f t="shared" si="356"/>
        <v>0</v>
      </c>
      <c r="BN605" s="255">
        <f t="shared" si="357"/>
        <v>0</v>
      </c>
    </row>
    <row r="606" spans="1:66" x14ac:dyDescent="0.25">
      <c r="A606" s="18" t="s">
        <v>1288</v>
      </c>
      <c r="B606" s="186" t="str">
        <f>VLOOKUP(A606,kurspris!$A$1:$B$877,2,FALSE)</f>
        <v>Att vara ämneslärare (VFU)</v>
      </c>
      <c r="C606" s="37"/>
      <c r="D606" s="31" t="s">
        <v>483</v>
      </c>
      <c r="E606" s="31" t="s">
        <v>1931</v>
      </c>
      <c r="F606" s="59" t="s">
        <v>1931</v>
      </c>
      <c r="G606" s="31" t="s">
        <v>2280</v>
      </c>
      <c r="J606" t="s">
        <v>1813</v>
      </c>
      <c r="L606" s="31">
        <v>100</v>
      </c>
      <c r="M606" s="31">
        <v>1.5</v>
      </c>
      <c r="P606" s="31">
        <v>7</v>
      </c>
      <c r="Q606" s="232">
        <f t="shared" si="330"/>
        <v>0.17500000000000002</v>
      </c>
      <c r="R606" s="40">
        <v>0.85</v>
      </c>
      <c r="S606" s="334">
        <f t="shared" si="331"/>
        <v>0.14875000000000002</v>
      </c>
      <c r="T606" s="31">
        <f>VLOOKUP(A606,'Ansvar kurs'!$A$1:$C$1010,2,FALSE)</f>
        <v>2180</v>
      </c>
      <c r="U606" s="31" t="str">
        <f>VLOOKUP(T606,Orgenheter!$A$1:$C$165,2,FALSE)</f>
        <v xml:space="preserve">Pedagogik                     </v>
      </c>
      <c r="V606" s="31" t="str">
        <f>VLOOKUP(T606,Orgenheter!$A$1:$C$165,3,FALSE)</f>
        <v>Sam</v>
      </c>
      <c r="W606" s="37" t="str">
        <f>VLOOKUP(D606,Program!$A$1:$B$34,2,FALSE)</f>
        <v>Ämneslärarprogrammet - Gy</v>
      </c>
      <c r="X606" s="42">
        <f>VLOOKUP(A606,kurspris!$A$1:$Q$798,15,FALSE)</f>
        <v>21634</v>
      </c>
      <c r="Y606" s="42">
        <f>VLOOKUP(A606,kurspris!$A$1:$Q$798,16,FALSE)</f>
        <v>26986</v>
      </c>
      <c r="Z606" s="42">
        <f t="shared" si="332"/>
        <v>7800.1175000000003</v>
      </c>
      <c r="AA606" s="42">
        <f>VLOOKUP(A606,kurspris!$A$1:$Q$798,17,FALSE)</f>
        <v>3400</v>
      </c>
      <c r="AB606" s="42">
        <f t="shared" si="333"/>
        <v>595</v>
      </c>
      <c r="AC606" s="42">
        <f t="shared" si="334"/>
        <v>8395.1175000000003</v>
      </c>
      <c r="AD606" s="31">
        <f>VLOOKUP($A606,kurspris!$A$1:$Q$835,3,FALSE)</f>
        <v>0</v>
      </c>
      <c r="AE606" s="31">
        <f>VLOOKUP($A606,kurspris!$A$1:$Q$835,4,FALSE)</f>
        <v>0</v>
      </c>
      <c r="AF606" s="31">
        <f>VLOOKUP($A606,kurspris!$A$1:$Q$835,5,FALSE)</f>
        <v>0</v>
      </c>
      <c r="AG606" s="31">
        <f>VLOOKUP($A606,kurspris!$A$1:$Q$835,6,FALSE)</f>
        <v>0</v>
      </c>
      <c r="AH606" s="31">
        <f>VLOOKUP($A606,kurspris!$A$1:$Q$835,7,FALSE)</f>
        <v>0</v>
      </c>
      <c r="AI606" s="31">
        <f>VLOOKUP($A606,kurspris!$A$1:$Q$835,8,FALSE)</f>
        <v>0</v>
      </c>
      <c r="AJ606" s="31">
        <f>VLOOKUP($A606,kurspris!$A$1:$Q$835,9,FALSE)</f>
        <v>0</v>
      </c>
      <c r="AK606" s="31">
        <f>VLOOKUP($A606,kurspris!$A$1:$Q$835,10,FALSE)</f>
        <v>0</v>
      </c>
      <c r="AL606" s="31">
        <f>VLOOKUP($A606,kurspris!$A$1:$Q$835,11,FALSE)</f>
        <v>1</v>
      </c>
      <c r="AM606" s="31">
        <f>VLOOKUP($A606,kurspris!$A$1:$Q$835,12,FALSE)</f>
        <v>0</v>
      </c>
      <c r="AN606" s="31">
        <f>VLOOKUP($A606,kurspris!$A$1:$Q$835,13,FALSE)</f>
        <v>0</v>
      </c>
      <c r="AO606" s="31">
        <f>VLOOKUP($A606,kurspris!$A$1:$Q$835,14,FALSE)</f>
        <v>0</v>
      </c>
      <c r="AP606" s="39" t="s">
        <v>2326</v>
      </c>
      <c r="AQ606"/>
      <c r="AR606" s="31">
        <f t="shared" si="335"/>
        <v>0</v>
      </c>
      <c r="AS606" s="255">
        <f t="shared" si="336"/>
        <v>0</v>
      </c>
      <c r="AT606" s="31">
        <f t="shared" si="337"/>
        <v>0</v>
      </c>
      <c r="AU606" s="255">
        <f t="shared" si="338"/>
        <v>0</v>
      </c>
      <c r="AV606" s="31">
        <f t="shared" si="339"/>
        <v>0</v>
      </c>
      <c r="AW606" s="31">
        <f t="shared" si="340"/>
        <v>0</v>
      </c>
      <c r="AX606" s="31">
        <f t="shared" si="341"/>
        <v>0</v>
      </c>
      <c r="AY606" s="255">
        <f t="shared" si="342"/>
        <v>0</v>
      </c>
      <c r="AZ606" s="232">
        <f t="shared" si="343"/>
        <v>0</v>
      </c>
      <c r="BA606" s="255">
        <f t="shared" si="344"/>
        <v>0</v>
      </c>
      <c r="BB606" s="31">
        <f t="shared" si="345"/>
        <v>0</v>
      </c>
      <c r="BC606" s="255">
        <f t="shared" si="346"/>
        <v>0</v>
      </c>
      <c r="BD606" s="31">
        <f t="shared" si="347"/>
        <v>0</v>
      </c>
      <c r="BE606" s="255">
        <f t="shared" si="348"/>
        <v>0</v>
      </c>
      <c r="BF606" s="31">
        <f t="shared" si="349"/>
        <v>0</v>
      </c>
      <c r="BG606" s="255">
        <f t="shared" si="350"/>
        <v>0</v>
      </c>
      <c r="BH606" s="31">
        <f t="shared" si="351"/>
        <v>0.17500000000000002</v>
      </c>
      <c r="BI606" s="255">
        <f t="shared" si="352"/>
        <v>0.14875000000000002</v>
      </c>
      <c r="BJ606" s="31">
        <f t="shared" si="353"/>
        <v>0</v>
      </c>
      <c r="BK606" s="31">
        <f t="shared" si="354"/>
        <v>0</v>
      </c>
      <c r="BL606" s="255">
        <f t="shared" si="355"/>
        <v>0</v>
      </c>
      <c r="BM606" s="31">
        <f t="shared" si="356"/>
        <v>0</v>
      </c>
      <c r="BN606" s="255">
        <f t="shared" si="357"/>
        <v>0</v>
      </c>
    </row>
    <row r="607" spans="1:66" x14ac:dyDescent="0.25">
      <c r="A607" s="18" t="s">
        <v>1288</v>
      </c>
      <c r="B607" s="186" t="str">
        <f>VLOOKUP(A607,kurspris!$A$1:$B$877,2,FALSE)</f>
        <v>Att vara ämneslärare (VFU)</v>
      </c>
      <c r="C607" s="37"/>
      <c r="D607" s="31" t="s">
        <v>483</v>
      </c>
      <c r="E607" s="31" t="s">
        <v>1931</v>
      </c>
      <c r="F607" s="59" t="s">
        <v>1931</v>
      </c>
      <c r="G607" s="31" t="s">
        <v>2280</v>
      </c>
      <c r="J607" t="s">
        <v>772</v>
      </c>
      <c r="L607" s="31">
        <v>100</v>
      </c>
      <c r="M607" s="31">
        <v>1.5</v>
      </c>
      <c r="P607" s="31">
        <v>29</v>
      </c>
      <c r="Q607" s="232">
        <f t="shared" si="330"/>
        <v>0.72500000000000009</v>
      </c>
      <c r="R607" s="40">
        <v>0.85</v>
      </c>
      <c r="S607" s="334">
        <f t="shared" si="331"/>
        <v>0.61625000000000008</v>
      </c>
      <c r="T607" s="31">
        <f>VLOOKUP(A607,'Ansvar kurs'!$A$1:$C$1010,2,FALSE)</f>
        <v>2180</v>
      </c>
      <c r="U607" s="31" t="str">
        <f>VLOOKUP(T607,Orgenheter!$A$1:$C$165,2,FALSE)</f>
        <v xml:space="preserve">Pedagogik                     </v>
      </c>
      <c r="V607" s="31" t="str">
        <f>VLOOKUP(T607,Orgenheter!$A$1:$C$165,3,FALSE)</f>
        <v>Sam</v>
      </c>
      <c r="W607" s="37" t="str">
        <f>VLOOKUP(D607,Program!$A$1:$B$34,2,FALSE)</f>
        <v>Ämneslärarprogrammet - Gy</v>
      </c>
      <c r="X607" s="42">
        <f>VLOOKUP(A607,kurspris!$A$1:$Q$798,15,FALSE)</f>
        <v>21634</v>
      </c>
      <c r="Y607" s="42">
        <f>VLOOKUP(A607,kurspris!$A$1:$Q$798,16,FALSE)</f>
        <v>26986</v>
      </c>
      <c r="Z607" s="42">
        <f t="shared" si="332"/>
        <v>32314.772500000003</v>
      </c>
      <c r="AA607" s="42">
        <f>VLOOKUP(A607,kurspris!$A$1:$Q$798,17,FALSE)</f>
        <v>3400</v>
      </c>
      <c r="AB607" s="42">
        <f t="shared" si="333"/>
        <v>2465.0000000000005</v>
      </c>
      <c r="AC607" s="42">
        <f t="shared" si="334"/>
        <v>34779.772500000006</v>
      </c>
      <c r="AD607" s="31">
        <f>VLOOKUP($A607,kurspris!$A$1:$Q$835,3,FALSE)</f>
        <v>0</v>
      </c>
      <c r="AE607" s="31">
        <f>VLOOKUP($A607,kurspris!$A$1:$Q$835,4,FALSE)</f>
        <v>0</v>
      </c>
      <c r="AF607" s="31">
        <f>VLOOKUP($A607,kurspris!$A$1:$Q$835,5,FALSE)</f>
        <v>0</v>
      </c>
      <c r="AG607" s="31">
        <f>VLOOKUP($A607,kurspris!$A$1:$Q$835,6,FALSE)</f>
        <v>0</v>
      </c>
      <c r="AH607" s="31">
        <f>VLOOKUP($A607,kurspris!$A$1:$Q$835,7,FALSE)</f>
        <v>0</v>
      </c>
      <c r="AI607" s="31">
        <f>VLOOKUP($A607,kurspris!$A$1:$Q$835,8,FALSE)</f>
        <v>0</v>
      </c>
      <c r="AJ607" s="31">
        <f>VLOOKUP($A607,kurspris!$A$1:$Q$835,9,FALSE)</f>
        <v>0</v>
      </c>
      <c r="AK607" s="31">
        <f>VLOOKUP($A607,kurspris!$A$1:$Q$835,10,FALSE)</f>
        <v>0</v>
      </c>
      <c r="AL607" s="31">
        <f>VLOOKUP($A607,kurspris!$A$1:$Q$835,11,FALSE)</f>
        <v>1</v>
      </c>
      <c r="AM607" s="31">
        <f>VLOOKUP($A607,kurspris!$A$1:$Q$835,12,FALSE)</f>
        <v>0</v>
      </c>
      <c r="AN607" s="31">
        <f>VLOOKUP($A607,kurspris!$A$1:$Q$835,13,FALSE)</f>
        <v>0</v>
      </c>
      <c r="AO607" s="31">
        <f>VLOOKUP($A607,kurspris!$A$1:$Q$835,14,FALSE)</f>
        <v>0</v>
      </c>
      <c r="AP607" s="39" t="s">
        <v>2326</v>
      </c>
      <c r="AQ607"/>
      <c r="AR607" s="31">
        <f t="shared" si="335"/>
        <v>0</v>
      </c>
      <c r="AS607" s="255">
        <f t="shared" si="336"/>
        <v>0</v>
      </c>
      <c r="AT607" s="31">
        <f t="shared" si="337"/>
        <v>0</v>
      </c>
      <c r="AU607" s="255">
        <f t="shared" si="338"/>
        <v>0</v>
      </c>
      <c r="AV607" s="31">
        <f t="shared" si="339"/>
        <v>0</v>
      </c>
      <c r="AW607" s="31">
        <f t="shared" si="340"/>
        <v>0</v>
      </c>
      <c r="AX607" s="31">
        <f t="shared" si="341"/>
        <v>0</v>
      </c>
      <c r="AY607" s="255">
        <f t="shared" si="342"/>
        <v>0</v>
      </c>
      <c r="AZ607" s="232">
        <f t="shared" si="343"/>
        <v>0</v>
      </c>
      <c r="BA607" s="255">
        <f t="shared" si="344"/>
        <v>0</v>
      </c>
      <c r="BB607" s="31">
        <f t="shared" si="345"/>
        <v>0</v>
      </c>
      <c r="BC607" s="255">
        <f t="shared" si="346"/>
        <v>0</v>
      </c>
      <c r="BD607" s="31">
        <f t="shared" si="347"/>
        <v>0</v>
      </c>
      <c r="BE607" s="255">
        <f t="shared" si="348"/>
        <v>0</v>
      </c>
      <c r="BF607" s="31">
        <f t="shared" si="349"/>
        <v>0</v>
      </c>
      <c r="BG607" s="255">
        <f t="shared" si="350"/>
        <v>0</v>
      </c>
      <c r="BH607" s="31">
        <f t="shared" si="351"/>
        <v>0.72500000000000009</v>
      </c>
      <c r="BI607" s="255">
        <f t="shared" si="352"/>
        <v>0.61625000000000008</v>
      </c>
      <c r="BJ607" s="31">
        <f t="shared" si="353"/>
        <v>0</v>
      </c>
      <c r="BK607" s="31">
        <f t="shared" si="354"/>
        <v>0</v>
      </c>
      <c r="BL607" s="255">
        <f t="shared" si="355"/>
        <v>0</v>
      </c>
      <c r="BM607" s="31">
        <f t="shared" si="356"/>
        <v>0</v>
      </c>
      <c r="BN607" s="255">
        <f t="shared" si="357"/>
        <v>0</v>
      </c>
    </row>
    <row r="608" spans="1:66" x14ac:dyDescent="0.25">
      <c r="A608" s="18" t="s">
        <v>1288</v>
      </c>
      <c r="B608" s="186" t="str">
        <f>VLOOKUP(A608,kurspris!$A$1:$B$877,2,FALSE)</f>
        <v>Att vara ämneslärare (VFU)</v>
      </c>
      <c r="C608" s="37"/>
      <c r="D608" s="31" t="s">
        <v>483</v>
      </c>
      <c r="E608" s="31" t="s">
        <v>1931</v>
      </c>
      <c r="F608" s="59" t="s">
        <v>1931</v>
      </c>
      <c r="G608" s="31" t="s">
        <v>2280</v>
      </c>
      <c r="J608" t="s">
        <v>773</v>
      </c>
      <c r="L608" s="31">
        <v>100</v>
      </c>
      <c r="M608" s="31">
        <v>1.5</v>
      </c>
      <c r="P608" s="31">
        <v>22</v>
      </c>
      <c r="Q608" s="232">
        <f t="shared" si="330"/>
        <v>0.55000000000000004</v>
      </c>
      <c r="R608" s="40">
        <v>0.85</v>
      </c>
      <c r="S608" s="334">
        <f t="shared" si="331"/>
        <v>0.46750000000000003</v>
      </c>
      <c r="T608" s="31">
        <f>VLOOKUP(A608,'Ansvar kurs'!$A$1:$C$1010,2,FALSE)</f>
        <v>2180</v>
      </c>
      <c r="U608" s="31" t="str">
        <f>VLOOKUP(T608,Orgenheter!$A$1:$C$165,2,FALSE)</f>
        <v xml:space="preserve">Pedagogik                     </v>
      </c>
      <c r="V608" s="31" t="str">
        <f>VLOOKUP(T608,Orgenheter!$A$1:$C$165,3,FALSE)</f>
        <v>Sam</v>
      </c>
      <c r="W608" s="37" t="str">
        <f>VLOOKUP(D608,Program!$A$1:$B$34,2,FALSE)</f>
        <v>Ämneslärarprogrammet - Gy</v>
      </c>
      <c r="X608" s="42">
        <f>VLOOKUP(A608,kurspris!$A$1:$Q$798,15,FALSE)</f>
        <v>21634</v>
      </c>
      <c r="Y608" s="42">
        <f>VLOOKUP(A608,kurspris!$A$1:$Q$798,16,FALSE)</f>
        <v>26986</v>
      </c>
      <c r="Z608" s="42">
        <f t="shared" si="332"/>
        <v>24514.654999999999</v>
      </c>
      <c r="AA608" s="42">
        <f>VLOOKUP(A608,kurspris!$A$1:$Q$798,17,FALSE)</f>
        <v>3400</v>
      </c>
      <c r="AB608" s="42">
        <f t="shared" si="333"/>
        <v>1870.0000000000002</v>
      </c>
      <c r="AC608" s="42">
        <f t="shared" si="334"/>
        <v>26384.654999999999</v>
      </c>
      <c r="AD608" s="31">
        <f>VLOOKUP($A608,kurspris!$A$1:$Q$835,3,FALSE)</f>
        <v>0</v>
      </c>
      <c r="AE608" s="31">
        <f>VLOOKUP($A608,kurspris!$A$1:$Q$835,4,FALSE)</f>
        <v>0</v>
      </c>
      <c r="AF608" s="31">
        <f>VLOOKUP($A608,kurspris!$A$1:$Q$835,5,FALSE)</f>
        <v>0</v>
      </c>
      <c r="AG608" s="31">
        <f>VLOOKUP($A608,kurspris!$A$1:$Q$835,6,FALSE)</f>
        <v>0</v>
      </c>
      <c r="AH608" s="31">
        <f>VLOOKUP($A608,kurspris!$A$1:$Q$835,7,FALSE)</f>
        <v>0</v>
      </c>
      <c r="AI608" s="31">
        <f>VLOOKUP($A608,kurspris!$A$1:$Q$835,8,FALSE)</f>
        <v>0</v>
      </c>
      <c r="AJ608" s="31">
        <f>VLOOKUP($A608,kurspris!$A$1:$Q$835,9,FALSE)</f>
        <v>0</v>
      </c>
      <c r="AK608" s="31">
        <f>VLOOKUP($A608,kurspris!$A$1:$Q$835,10,FALSE)</f>
        <v>0</v>
      </c>
      <c r="AL608" s="31">
        <f>VLOOKUP($A608,kurspris!$A$1:$Q$835,11,FALSE)</f>
        <v>1</v>
      </c>
      <c r="AM608" s="31">
        <f>VLOOKUP($A608,kurspris!$A$1:$Q$835,12,FALSE)</f>
        <v>0</v>
      </c>
      <c r="AN608" s="31">
        <f>VLOOKUP($A608,kurspris!$A$1:$Q$835,13,FALSE)</f>
        <v>0</v>
      </c>
      <c r="AO608" s="31">
        <f>VLOOKUP($A608,kurspris!$A$1:$Q$835,14,FALSE)</f>
        <v>0</v>
      </c>
      <c r="AP608" s="39" t="s">
        <v>2326</v>
      </c>
      <c r="AQ608"/>
      <c r="AR608" s="31">
        <f t="shared" si="335"/>
        <v>0</v>
      </c>
      <c r="AS608" s="255">
        <f t="shared" si="336"/>
        <v>0</v>
      </c>
      <c r="AT608" s="31">
        <f t="shared" si="337"/>
        <v>0</v>
      </c>
      <c r="AU608" s="255">
        <f t="shared" si="338"/>
        <v>0</v>
      </c>
      <c r="AV608" s="31">
        <f t="shared" si="339"/>
        <v>0</v>
      </c>
      <c r="AW608" s="31">
        <f t="shared" si="340"/>
        <v>0</v>
      </c>
      <c r="AX608" s="31">
        <f t="shared" si="341"/>
        <v>0</v>
      </c>
      <c r="AY608" s="255">
        <f t="shared" si="342"/>
        <v>0</v>
      </c>
      <c r="AZ608" s="232">
        <f t="shared" si="343"/>
        <v>0</v>
      </c>
      <c r="BA608" s="255">
        <f t="shared" si="344"/>
        <v>0</v>
      </c>
      <c r="BB608" s="31">
        <f t="shared" si="345"/>
        <v>0</v>
      </c>
      <c r="BC608" s="255">
        <f t="shared" si="346"/>
        <v>0</v>
      </c>
      <c r="BD608" s="31">
        <f t="shared" si="347"/>
        <v>0</v>
      </c>
      <c r="BE608" s="255">
        <f t="shared" si="348"/>
        <v>0</v>
      </c>
      <c r="BF608" s="31">
        <f t="shared" si="349"/>
        <v>0</v>
      </c>
      <c r="BG608" s="255">
        <f t="shared" si="350"/>
        <v>0</v>
      </c>
      <c r="BH608" s="31">
        <f t="shared" si="351"/>
        <v>0.55000000000000004</v>
      </c>
      <c r="BI608" s="255">
        <f t="shared" si="352"/>
        <v>0.46750000000000003</v>
      </c>
      <c r="BJ608" s="31">
        <f t="shared" si="353"/>
        <v>0</v>
      </c>
      <c r="BK608" s="31">
        <f t="shared" si="354"/>
        <v>0</v>
      </c>
      <c r="BL608" s="255">
        <f t="shared" si="355"/>
        <v>0</v>
      </c>
      <c r="BM608" s="31">
        <f t="shared" si="356"/>
        <v>0</v>
      </c>
      <c r="BN608" s="255">
        <f t="shared" si="357"/>
        <v>0</v>
      </c>
    </row>
    <row r="609" spans="1:66" x14ac:dyDescent="0.25">
      <c r="A609" s="18" t="s">
        <v>1288</v>
      </c>
      <c r="B609" s="186" t="str">
        <f>VLOOKUP(A609,kurspris!$A$1:$B$877,2,FALSE)</f>
        <v>Att vara ämneslärare (VFU)</v>
      </c>
      <c r="C609" s="37"/>
      <c r="D609" s="31" t="s">
        <v>483</v>
      </c>
      <c r="E609" s="31" t="s">
        <v>1931</v>
      </c>
      <c r="F609" s="59" t="s">
        <v>1931</v>
      </c>
      <c r="G609" s="31" t="s">
        <v>2280</v>
      </c>
      <c r="J609" t="s">
        <v>774</v>
      </c>
      <c r="L609" s="31">
        <v>100</v>
      </c>
      <c r="M609" s="31">
        <v>1.5</v>
      </c>
      <c r="P609" s="31">
        <v>19</v>
      </c>
      <c r="Q609" s="232">
        <f t="shared" si="330"/>
        <v>0.47500000000000003</v>
      </c>
      <c r="R609" s="40">
        <v>0.85</v>
      </c>
      <c r="S609" s="334">
        <f t="shared" si="331"/>
        <v>0.40375</v>
      </c>
      <c r="T609" s="31">
        <f>VLOOKUP(A609,'Ansvar kurs'!$A$1:$C$1010,2,FALSE)</f>
        <v>2180</v>
      </c>
      <c r="U609" s="31" t="str">
        <f>VLOOKUP(T609,Orgenheter!$A$1:$C$165,2,FALSE)</f>
        <v xml:space="preserve">Pedagogik                     </v>
      </c>
      <c r="V609" s="31" t="str">
        <f>VLOOKUP(T609,Orgenheter!$A$1:$C$165,3,FALSE)</f>
        <v>Sam</v>
      </c>
      <c r="W609" s="37" t="str">
        <f>VLOOKUP(D609,Program!$A$1:$B$34,2,FALSE)</f>
        <v>Ämneslärarprogrammet - Gy</v>
      </c>
      <c r="X609" s="42">
        <f>VLOOKUP(A609,kurspris!$A$1:$Q$798,15,FALSE)</f>
        <v>21634</v>
      </c>
      <c r="Y609" s="42">
        <f>VLOOKUP(A609,kurspris!$A$1:$Q$798,16,FALSE)</f>
        <v>26986</v>
      </c>
      <c r="Z609" s="42">
        <f t="shared" si="332"/>
        <v>21171.747500000001</v>
      </c>
      <c r="AA609" s="42">
        <f>VLOOKUP(A609,kurspris!$A$1:$Q$798,17,FALSE)</f>
        <v>3400</v>
      </c>
      <c r="AB609" s="42">
        <f t="shared" si="333"/>
        <v>1615</v>
      </c>
      <c r="AC609" s="42">
        <f t="shared" si="334"/>
        <v>22786.747500000001</v>
      </c>
      <c r="AD609" s="31">
        <f>VLOOKUP($A609,kurspris!$A$1:$Q$835,3,FALSE)</f>
        <v>0</v>
      </c>
      <c r="AE609" s="31">
        <f>VLOOKUP($A609,kurspris!$A$1:$Q$835,4,FALSE)</f>
        <v>0</v>
      </c>
      <c r="AF609" s="31">
        <f>VLOOKUP($A609,kurspris!$A$1:$Q$835,5,FALSE)</f>
        <v>0</v>
      </c>
      <c r="AG609" s="31">
        <f>VLOOKUP($A609,kurspris!$A$1:$Q$835,6,FALSE)</f>
        <v>0</v>
      </c>
      <c r="AH609" s="31">
        <f>VLOOKUP($A609,kurspris!$A$1:$Q$835,7,FALSE)</f>
        <v>0</v>
      </c>
      <c r="AI609" s="31">
        <f>VLOOKUP($A609,kurspris!$A$1:$Q$835,8,FALSE)</f>
        <v>0</v>
      </c>
      <c r="AJ609" s="31">
        <f>VLOOKUP($A609,kurspris!$A$1:$Q$835,9,FALSE)</f>
        <v>0</v>
      </c>
      <c r="AK609" s="31">
        <f>VLOOKUP($A609,kurspris!$A$1:$Q$835,10,FALSE)</f>
        <v>0</v>
      </c>
      <c r="AL609" s="31">
        <f>VLOOKUP($A609,kurspris!$A$1:$Q$835,11,FALSE)</f>
        <v>1</v>
      </c>
      <c r="AM609" s="31">
        <f>VLOOKUP($A609,kurspris!$A$1:$Q$835,12,FALSE)</f>
        <v>0</v>
      </c>
      <c r="AN609" s="31">
        <f>VLOOKUP($A609,kurspris!$A$1:$Q$835,13,FALSE)</f>
        <v>0</v>
      </c>
      <c r="AO609" s="31">
        <f>VLOOKUP($A609,kurspris!$A$1:$Q$835,14,FALSE)</f>
        <v>0</v>
      </c>
      <c r="AP609" s="39" t="s">
        <v>2326</v>
      </c>
      <c r="AQ609"/>
      <c r="AR609" s="31">
        <f t="shared" si="335"/>
        <v>0</v>
      </c>
      <c r="AS609" s="255">
        <f t="shared" si="336"/>
        <v>0</v>
      </c>
      <c r="AT609" s="31">
        <f t="shared" si="337"/>
        <v>0</v>
      </c>
      <c r="AU609" s="255">
        <f t="shared" si="338"/>
        <v>0</v>
      </c>
      <c r="AV609" s="31">
        <f t="shared" si="339"/>
        <v>0</v>
      </c>
      <c r="AW609" s="31">
        <f t="shared" si="340"/>
        <v>0</v>
      </c>
      <c r="AX609" s="31">
        <f t="shared" si="341"/>
        <v>0</v>
      </c>
      <c r="AY609" s="255">
        <f t="shared" si="342"/>
        <v>0</v>
      </c>
      <c r="AZ609" s="232">
        <f t="shared" si="343"/>
        <v>0</v>
      </c>
      <c r="BA609" s="255">
        <f t="shared" si="344"/>
        <v>0</v>
      </c>
      <c r="BB609" s="31">
        <f t="shared" si="345"/>
        <v>0</v>
      </c>
      <c r="BC609" s="255">
        <f t="shared" si="346"/>
        <v>0</v>
      </c>
      <c r="BD609" s="31">
        <f t="shared" si="347"/>
        <v>0</v>
      </c>
      <c r="BE609" s="255">
        <f t="shared" si="348"/>
        <v>0</v>
      </c>
      <c r="BF609" s="31">
        <f t="shared" si="349"/>
        <v>0</v>
      </c>
      <c r="BG609" s="255">
        <f t="shared" si="350"/>
        <v>0</v>
      </c>
      <c r="BH609" s="31">
        <f t="shared" si="351"/>
        <v>0.47500000000000003</v>
      </c>
      <c r="BI609" s="255">
        <f t="shared" si="352"/>
        <v>0.40375</v>
      </c>
      <c r="BJ609" s="31">
        <f t="shared" si="353"/>
        <v>0</v>
      </c>
      <c r="BK609" s="31">
        <f t="shared" si="354"/>
        <v>0</v>
      </c>
      <c r="BL609" s="255">
        <f t="shared" si="355"/>
        <v>0</v>
      </c>
      <c r="BM609" s="31">
        <f t="shared" si="356"/>
        <v>0</v>
      </c>
      <c r="BN609" s="255">
        <f t="shared" si="357"/>
        <v>0</v>
      </c>
    </row>
    <row r="610" spans="1:66" x14ac:dyDescent="0.25">
      <c r="A610" s="18" t="s">
        <v>1288</v>
      </c>
      <c r="B610" s="186" t="str">
        <f>VLOOKUP(A610,kurspris!$A$1:$B$877,2,FALSE)</f>
        <v>Att vara ämneslärare (VFU)</v>
      </c>
      <c r="C610" s="37"/>
      <c r="D610" s="31" t="s">
        <v>483</v>
      </c>
      <c r="E610" s="31" t="s">
        <v>1931</v>
      </c>
      <c r="F610" s="59" t="s">
        <v>1931</v>
      </c>
      <c r="G610" s="31" t="s">
        <v>2280</v>
      </c>
      <c r="J610" t="s">
        <v>1594</v>
      </c>
      <c r="L610" s="31">
        <v>100</v>
      </c>
      <c r="M610" s="31">
        <v>1.5</v>
      </c>
      <c r="P610" s="31">
        <v>1</v>
      </c>
      <c r="Q610" s="232">
        <f t="shared" si="330"/>
        <v>2.5000000000000001E-2</v>
      </c>
      <c r="R610" s="40">
        <v>0.85</v>
      </c>
      <c r="S610" s="334">
        <f t="shared" si="331"/>
        <v>2.1250000000000002E-2</v>
      </c>
      <c r="T610" s="31">
        <f>VLOOKUP(A610,'Ansvar kurs'!$A$1:$C$1010,2,FALSE)</f>
        <v>2180</v>
      </c>
      <c r="U610" s="31" t="str">
        <f>VLOOKUP(T610,Orgenheter!$A$1:$C$165,2,FALSE)</f>
        <v xml:space="preserve">Pedagogik                     </v>
      </c>
      <c r="V610" s="31" t="str">
        <f>VLOOKUP(T610,Orgenheter!$A$1:$C$165,3,FALSE)</f>
        <v>Sam</v>
      </c>
      <c r="W610" s="37" t="str">
        <f>VLOOKUP(D610,Program!$A$1:$B$34,2,FALSE)</f>
        <v>Ämneslärarprogrammet - Gy</v>
      </c>
      <c r="X610" s="42">
        <f>VLOOKUP(A610,kurspris!$A$1:$Q$798,15,FALSE)</f>
        <v>21634</v>
      </c>
      <c r="Y610" s="42">
        <f>VLOOKUP(A610,kurspris!$A$1:$Q$798,16,FALSE)</f>
        <v>26986</v>
      </c>
      <c r="Z610" s="42">
        <f t="shared" si="332"/>
        <v>1114.3025</v>
      </c>
      <c r="AA610" s="42">
        <f>VLOOKUP(A610,kurspris!$A$1:$Q$798,17,FALSE)</f>
        <v>3400</v>
      </c>
      <c r="AB610" s="42">
        <f t="shared" si="333"/>
        <v>85</v>
      </c>
      <c r="AC610" s="42">
        <f t="shared" si="334"/>
        <v>1199.3025</v>
      </c>
      <c r="AD610" s="31">
        <f>VLOOKUP($A610,kurspris!$A$1:$Q$835,3,FALSE)</f>
        <v>0</v>
      </c>
      <c r="AE610" s="31">
        <f>VLOOKUP($A610,kurspris!$A$1:$Q$835,4,FALSE)</f>
        <v>0</v>
      </c>
      <c r="AF610" s="31">
        <f>VLOOKUP($A610,kurspris!$A$1:$Q$835,5,FALSE)</f>
        <v>0</v>
      </c>
      <c r="AG610" s="31">
        <f>VLOOKUP($A610,kurspris!$A$1:$Q$835,6,FALSE)</f>
        <v>0</v>
      </c>
      <c r="AH610" s="31">
        <f>VLOOKUP($A610,kurspris!$A$1:$Q$835,7,FALSE)</f>
        <v>0</v>
      </c>
      <c r="AI610" s="31">
        <f>VLOOKUP($A610,kurspris!$A$1:$Q$835,8,FALSE)</f>
        <v>0</v>
      </c>
      <c r="AJ610" s="31">
        <f>VLOOKUP($A610,kurspris!$A$1:$Q$835,9,FALSE)</f>
        <v>0</v>
      </c>
      <c r="AK610" s="31">
        <f>VLOOKUP($A610,kurspris!$A$1:$Q$835,10,FALSE)</f>
        <v>0</v>
      </c>
      <c r="AL610" s="31">
        <f>VLOOKUP($A610,kurspris!$A$1:$Q$835,11,FALSE)</f>
        <v>1</v>
      </c>
      <c r="AM610" s="31">
        <f>VLOOKUP($A610,kurspris!$A$1:$Q$835,12,FALSE)</f>
        <v>0</v>
      </c>
      <c r="AN610" s="31">
        <f>VLOOKUP($A610,kurspris!$A$1:$Q$835,13,FALSE)</f>
        <v>0</v>
      </c>
      <c r="AO610" s="31">
        <f>VLOOKUP($A610,kurspris!$A$1:$Q$835,14,FALSE)</f>
        <v>0</v>
      </c>
      <c r="AP610" s="39" t="s">
        <v>2326</v>
      </c>
      <c r="AQ610"/>
      <c r="AR610" s="31">
        <f t="shared" si="335"/>
        <v>0</v>
      </c>
      <c r="AS610" s="255">
        <f t="shared" si="336"/>
        <v>0</v>
      </c>
      <c r="AT610" s="31">
        <f t="shared" si="337"/>
        <v>0</v>
      </c>
      <c r="AU610" s="255">
        <f t="shared" si="338"/>
        <v>0</v>
      </c>
      <c r="AV610" s="31">
        <f t="shared" si="339"/>
        <v>0</v>
      </c>
      <c r="AW610" s="31">
        <f t="shared" si="340"/>
        <v>0</v>
      </c>
      <c r="AX610" s="31">
        <f t="shared" si="341"/>
        <v>0</v>
      </c>
      <c r="AY610" s="255">
        <f t="shared" si="342"/>
        <v>0</v>
      </c>
      <c r="AZ610" s="232">
        <f t="shared" si="343"/>
        <v>0</v>
      </c>
      <c r="BA610" s="255">
        <f t="shared" si="344"/>
        <v>0</v>
      </c>
      <c r="BB610" s="31">
        <f t="shared" si="345"/>
        <v>0</v>
      </c>
      <c r="BC610" s="255">
        <f t="shared" si="346"/>
        <v>0</v>
      </c>
      <c r="BD610" s="31">
        <f t="shared" si="347"/>
        <v>0</v>
      </c>
      <c r="BE610" s="255">
        <f t="shared" si="348"/>
        <v>0</v>
      </c>
      <c r="BF610" s="31">
        <f t="shared" si="349"/>
        <v>0</v>
      </c>
      <c r="BG610" s="255">
        <f t="shared" si="350"/>
        <v>0</v>
      </c>
      <c r="BH610" s="31">
        <f t="shared" si="351"/>
        <v>2.5000000000000001E-2</v>
      </c>
      <c r="BI610" s="255">
        <f t="shared" si="352"/>
        <v>2.1250000000000002E-2</v>
      </c>
      <c r="BJ610" s="31">
        <f t="shared" si="353"/>
        <v>0</v>
      </c>
      <c r="BK610" s="31">
        <f t="shared" si="354"/>
        <v>0</v>
      </c>
      <c r="BL610" s="255">
        <f t="shared" si="355"/>
        <v>0</v>
      </c>
      <c r="BM610" s="31">
        <f t="shared" si="356"/>
        <v>0</v>
      </c>
      <c r="BN610" s="255">
        <f t="shared" si="357"/>
        <v>0</v>
      </c>
    </row>
    <row r="611" spans="1:66" x14ac:dyDescent="0.25">
      <c r="A611" s="18" t="s">
        <v>1288</v>
      </c>
      <c r="B611" s="186" t="str">
        <f>VLOOKUP(A611,kurspris!$A$1:$B$877,2,FALSE)</f>
        <v>Att vara ämneslärare (VFU)</v>
      </c>
      <c r="C611" s="37"/>
      <c r="D611" s="31" t="s">
        <v>483</v>
      </c>
      <c r="E611" s="31" t="s">
        <v>1931</v>
      </c>
      <c r="F611" s="59" t="s">
        <v>1931</v>
      </c>
      <c r="G611" s="31" t="s">
        <v>2280</v>
      </c>
      <c r="J611" t="s">
        <v>776</v>
      </c>
      <c r="L611" s="31">
        <v>100</v>
      </c>
      <c r="M611" s="31">
        <v>1.5</v>
      </c>
      <c r="P611" s="31">
        <v>8</v>
      </c>
      <c r="Q611" s="232">
        <f t="shared" si="330"/>
        <v>0.2</v>
      </c>
      <c r="R611" s="40">
        <v>0.85</v>
      </c>
      <c r="S611" s="334">
        <f t="shared" si="331"/>
        <v>0.17</v>
      </c>
      <c r="T611" s="31">
        <f>VLOOKUP(A611,'Ansvar kurs'!$A$1:$C$1010,2,FALSE)</f>
        <v>2180</v>
      </c>
      <c r="U611" s="31" t="str">
        <f>VLOOKUP(T611,Orgenheter!$A$1:$C$165,2,FALSE)</f>
        <v xml:space="preserve">Pedagogik                     </v>
      </c>
      <c r="V611" s="31" t="str">
        <f>VLOOKUP(T611,Orgenheter!$A$1:$C$165,3,FALSE)</f>
        <v>Sam</v>
      </c>
      <c r="W611" s="37" t="str">
        <f>VLOOKUP(D611,Program!$A$1:$B$34,2,FALSE)</f>
        <v>Ämneslärarprogrammet - Gy</v>
      </c>
      <c r="X611" s="42">
        <f>VLOOKUP(A611,kurspris!$A$1:$Q$798,15,FALSE)</f>
        <v>21634</v>
      </c>
      <c r="Y611" s="42">
        <f>VLOOKUP(A611,kurspris!$A$1:$Q$798,16,FALSE)</f>
        <v>26986</v>
      </c>
      <c r="Z611" s="42">
        <f t="shared" si="332"/>
        <v>8914.42</v>
      </c>
      <c r="AA611" s="42">
        <f>VLOOKUP(A611,kurspris!$A$1:$Q$798,17,FALSE)</f>
        <v>3400</v>
      </c>
      <c r="AB611" s="42">
        <f t="shared" si="333"/>
        <v>680</v>
      </c>
      <c r="AC611" s="42">
        <f t="shared" si="334"/>
        <v>9594.42</v>
      </c>
      <c r="AD611" s="31">
        <f>VLOOKUP($A611,kurspris!$A$1:$Q$835,3,FALSE)</f>
        <v>0</v>
      </c>
      <c r="AE611" s="31">
        <f>VLOOKUP($A611,kurspris!$A$1:$Q$835,4,FALSE)</f>
        <v>0</v>
      </c>
      <c r="AF611" s="31">
        <f>VLOOKUP($A611,kurspris!$A$1:$Q$835,5,FALSE)</f>
        <v>0</v>
      </c>
      <c r="AG611" s="31">
        <f>VLOOKUP($A611,kurspris!$A$1:$Q$835,6,FALSE)</f>
        <v>0</v>
      </c>
      <c r="AH611" s="31">
        <f>VLOOKUP($A611,kurspris!$A$1:$Q$835,7,FALSE)</f>
        <v>0</v>
      </c>
      <c r="AI611" s="31">
        <f>VLOOKUP($A611,kurspris!$A$1:$Q$835,8,FALSE)</f>
        <v>0</v>
      </c>
      <c r="AJ611" s="31">
        <f>VLOOKUP($A611,kurspris!$A$1:$Q$835,9,FALSE)</f>
        <v>0</v>
      </c>
      <c r="AK611" s="31">
        <f>VLOOKUP($A611,kurspris!$A$1:$Q$835,10,FALSE)</f>
        <v>0</v>
      </c>
      <c r="AL611" s="31">
        <f>VLOOKUP($A611,kurspris!$A$1:$Q$835,11,FALSE)</f>
        <v>1</v>
      </c>
      <c r="AM611" s="31">
        <f>VLOOKUP($A611,kurspris!$A$1:$Q$835,12,FALSE)</f>
        <v>0</v>
      </c>
      <c r="AN611" s="31">
        <f>VLOOKUP($A611,kurspris!$A$1:$Q$835,13,FALSE)</f>
        <v>0</v>
      </c>
      <c r="AO611" s="31">
        <f>VLOOKUP($A611,kurspris!$A$1:$Q$835,14,FALSE)</f>
        <v>0</v>
      </c>
      <c r="AP611" s="39" t="s">
        <v>2326</v>
      </c>
      <c r="AQ611"/>
      <c r="AR611" s="31">
        <f t="shared" si="335"/>
        <v>0</v>
      </c>
      <c r="AS611" s="255">
        <f t="shared" si="336"/>
        <v>0</v>
      </c>
      <c r="AT611" s="31">
        <f t="shared" si="337"/>
        <v>0</v>
      </c>
      <c r="AU611" s="255">
        <f t="shared" si="338"/>
        <v>0</v>
      </c>
      <c r="AV611" s="31">
        <f t="shared" si="339"/>
        <v>0</v>
      </c>
      <c r="AW611" s="31">
        <f t="shared" si="340"/>
        <v>0</v>
      </c>
      <c r="AX611" s="31">
        <f t="shared" si="341"/>
        <v>0</v>
      </c>
      <c r="AY611" s="255">
        <f t="shared" si="342"/>
        <v>0</v>
      </c>
      <c r="AZ611" s="232">
        <f t="shared" si="343"/>
        <v>0</v>
      </c>
      <c r="BA611" s="255">
        <f t="shared" si="344"/>
        <v>0</v>
      </c>
      <c r="BB611" s="31">
        <f t="shared" si="345"/>
        <v>0</v>
      </c>
      <c r="BC611" s="255">
        <f t="shared" si="346"/>
        <v>0</v>
      </c>
      <c r="BD611" s="31">
        <f t="shared" si="347"/>
        <v>0</v>
      </c>
      <c r="BE611" s="255">
        <f t="shared" si="348"/>
        <v>0</v>
      </c>
      <c r="BF611" s="31">
        <f t="shared" si="349"/>
        <v>0</v>
      </c>
      <c r="BG611" s="255">
        <f t="shared" si="350"/>
        <v>0</v>
      </c>
      <c r="BH611" s="31">
        <f t="shared" si="351"/>
        <v>0.2</v>
      </c>
      <c r="BI611" s="255">
        <f t="shared" si="352"/>
        <v>0.17</v>
      </c>
      <c r="BJ611" s="31">
        <f t="shared" si="353"/>
        <v>0</v>
      </c>
      <c r="BK611" s="31">
        <f t="shared" si="354"/>
        <v>0</v>
      </c>
      <c r="BL611" s="255">
        <f t="shared" si="355"/>
        <v>0</v>
      </c>
      <c r="BM611" s="31">
        <f t="shared" si="356"/>
        <v>0</v>
      </c>
      <c r="BN611" s="255">
        <f t="shared" si="357"/>
        <v>0</v>
      </c>
    </row>
    <row r="612" spans="1:66" x14ac:dyDescent="0.25">
      <c r="A612" s="18" t="s">
        <v>1288</v>
      </c>
      <c r="B612" s="186" t="str">
        <f>VLOOKUP(A612,kurspris!$A$1:$B$877,2,FALSE)</f>
        <v>Att vara ämneslärare (VFU)</v>
      </c>
      <c r="C612" s="37"/>
      <c r="D612" s="31" t="s">
        <v>483</v>
      </c>
      <c r="E612" s="31" t="s">
        <v>1931</v>
      </c>
      <c r="F612" s="59" t="s">
        <v>1931</v>
      </c>
      <c r="G612" s="31" t="s">
        <v>2280</v>
      </c>
      <c r="J612" t="s">
        <v>777</v>
      </c>
      <c r="L612" s="31">
        <v>100</v>
      </c>
      <c r="M612" s="31">
        <v>1.5</v>
      </c>
      <c r="P612" s="31">
        <v>19</v>
      </c>
      <c r="Q612" s="232">
        <f t="shared" si="330"/>
        <v>0.47500000000000003</v>
      </c>
      <c r="R612" s="40">
        <v>0.85</v>
      </c>
      <c r="S612" s="334">
        <f t="shared" si="331"/>
        <v>0.40375</v>
      </c>
      <c r="T612" s="31">
        <f>VLOOKUP(A612,'Ansvar kurs'!$A$1:$C$1010,2,FALSE)</f>
        <v>2180</v>
      </c>
      <c r="U612" s="31" t="str">
        <f>VLOOKUP(T612,Orgenheter!$A$1:$C$165,2,FALSE)</f>
        <v xml:space="preserve">Pedagogik                     </v>
      </c>
      <c r="V612" s="31" t="str">
        <f>VLOOKUP(T612,Orgenheter!$A$1:$C$165,3,FALSE)</f>
        <v>Sam</v>
      </c>
      <c r="W612" s="37" t="str">
        <f>VLOOKUP(D612,Program!$A$1:$B$34,2,FALSE)</f>
        <v>Ämneslärarprogrammet - Gy</v>
      </c>
      <c r="X612" s="42">
        <f>VLOOKUP(A612,kurspris!$A$1:$Q$798,15,FALSE)</f>
        <v>21634</v>
      </c>
      <c r="Y612" s="42">
        <f>VLOOKUP(A612,kurspris!$A$1:$Q$798,16,FALSE)</f>
        <v>26986</v>
      </c>
      <c r="Z612" s="42">
        <f t="shared" si="332"/>
        <v>21171.747500000001</v>
      </c>
      <c r="AA612" s="42">
        <f>VLOOKUP(A612,kurspris!$A$1:$Q$798,17,FALSE)</f>
        <v>3400</v>
      </c>
      <c r="AB612" s="42">
        <f t="shared" si="333"/>
        <v>1615</v>
      </c>
      <c r="AC612" s="42">
        <f t="shared" si="334"/>
        <v>22786.747500000001</v>
      </c>
      <c r="AD612" s="31">
        <f>VLOOKUP($A612,kurspris!$A$1:$Q$835,3,FALSE)</f>
        <v>0</v>
      </c>
      <c r="AE612" s="31">
        <f>VLOOKUP($A612,kurspris!$A$1:$Q$835,4,FALSE)</f>
        <v>0</v>
      </c>
      <c r="AF612" s="31">
        <f>VLOOKUP($A612,kurspris!$A$1:$Q$835,5,FALSE)</f>
        <v>0</v>
      </c>
      <c r="AG612" s="31">
        <f>VLOOKUP($A612,kurspris!$A$1:$Q$835,6,FALSE)</f>
        <v>0</v>
      </c>
      <c r="AH612" s="31">
        <f>VLOOKUP($A612,kurspris!$A$1:$Q$835,7,FALSE)</f>
        <v>0</v>
      </c>
      <c r="AI612" s="31">
        <f>VLOOKUP($A612,kurspris!$A$1:$Q$835,8,FALSE)</f>
        <v>0</v>
      </c>
      <c r="AJ612" s="31">
        <f>VLOOKUP($A612,kurspris!$A$1:$Q$835,9,FALSE)</f>
        <v>0</v>
      </c>
      <c r="AK612" s="31">
        <f>VLOOKUP($A612,kurspris!$A$1:$Q$835,10,FALSE)</f>
        <v>0</v>
      </c>
      <c r="AL612" s="31">
        <f>VLOOKUP($A612,kurspris!$A$1:$Q$835,11,FALSE)</f>
        <v>1</v>
      </c>
      <c r="AM612" s="31">
        <f>VLOOKUP($A612,kurspris!$A$1:$Q$835,12,FALSE)</f>
        <v>0</v>
      </c>
      <c r="AN612" s="31">
        <f>VLOOKUP($A612,kurspris!$A$1:$Q$835,13,FALSE)</f>
        <v>0</v>
      </c>
      <c r="AO612" s="31">
        <f>VLOOKUP($A612,kurspris!$A$1:$Q$835,14,FALSE)</f>
        <v>0</v>
      </c>
      <c r="AP612" s="39" t="s">
        <v>2326</v>
      </c>
      <c r="AQ612"/>
      <c r="AR612" s="31">
        <f t="shared" si="335"/>
        <v>0</v>
      </c>
      <c r="AS612" s="255">
        <f t="shared" si="336"/>
        <v>0</v>
      </c>
      <c r="AT612" s="31">
        <f t="shared" si="337"/>
        <v>0</v>
      </c>
      <c r="AU612" s="255">
        <f t="shared" si="338"/>
        <v>0</v>
      </c>
      <c r="AV612" s="31">
        <f t="shared" si="339"/>
        <v>0</v>
      </c>
      <c r="AW612" s="31">
        <f t="shared" si="340"/>
        <v>0</v>
      </c>
      <c r="AX612" s="31">
        <f t="shared" si="341"/>
        <v>0</v>
      </c>
      <c r="AY612" s="255">
        <f t="shared" si="342"/>
        <v>0</v>
      </c>
      <c r="AZ612" s="232">
        <f t="shared" si="343"/>
        <v>0</v>
      </c>
      <c r="BA612" s="255">
        <f t="shared" si="344"/>
        <v>0</v>
      </c>
      <c r="BB612" s="31">
        <f t="shared" si="345"/>
        <v>0</v>
      </c>
      <c r="BC612" s="255">
        <f t="shared" si="346"/>
        <v>0</v>
      </c>
      <c r="BD612" s="31">
        <f t="shared" si="347"/>
        <v>0</v>
      </c>
      <c r="BE612" s="255">
        <f t="shared" si="348"/>
        <v>0</v>
      </c>
      <c r="BF612" s="31">
        <f t="shared" si="349"/>
        <v>0</v>
      </c>
      <c r="BG612" s="255">
        <f t="shared" si="350"/>
        <v>0</v>
      </c>
      <c r="BH612" s="31">
        <f t="shared" si="351"/>
        <v>0.47500000000000003</v>
      </c>
      <c r="BI612" s="255">
        <f t="shared" si="352"/>
        <v>0.40375</v>
      </c>
      <c r="BJ612" s="31">
        <f t="shared" si="353"/>
        <v>0</v>
      </c>
      <c r="BK612" s="31">
        <f t="shared" si="354"/>
        <v>0</v>
      </c>
      <c r="BL612" s="255">
        <f t="shared" si="355"/>
        <v>0</v>
      </c>
      <c r="BM612" s="31">
        <f t="shared" si="356"/>
        <v>0</v>
      </c>
      <c r="BN612" s="255">
        <f t="shared" si="357"/>
        <v>0</v>
      </c>
    </row>
    <row r="613" spans="1:66" x14ac:dyDescent="0.25">
      <c r="A613" s="18" t="s">
        <v>1288</v>
      </c>
      <c r="B613" s="186" t="str">
        <f>VLOOKUP(A613,kurspris!$A$1:$B$877,2,FALSE)</f>
        <v>Att vara ämneslärare (VFU)</v>
      </c>
      <c r="C613" s="37"/>
      <c r="D613" s="31" t="s">
        <v>483</v>
      </c>
      <c r="E613" s="31" t="s">
        <v>1931</v>
      </c>
      <c r="F613" s="59" t="s">
        <v>1931</v>
      </c>
      <c r="G613" s="31" t="s">
        <v>2280</v>
      </c>
      <c r="J613" t="s">
        <v>1803</v>
      </c>
      <c r="L613" s="31">
        <v>100</v>
      </c>
      <c r="M613" s="31">
        <v>1.5</v>
      </c>
      <c r="P613" s="31">
        <v>1</v>
      </c>
      <c r="Q613" s="232">
        <f t="shared" si="330"/>
        <v>2.5000000000000001E-2</v>
      </c>
      <c r="R613" s="40">
        <v>0.85</v>
      </c>
      <c r="S613" s="334">
        <f t="shared" si="331"/>
        <v>2.1250000000000002E-2</v>
      </c>
      <c r="T613" s="31">
        <f>VLOOKUP(A613,'Ansvar kurs'!$A$1:$C$1010,2,FALSE)</f>
        <v>2180</v>
      </c>
      <c r="U613" s="31" t="str">
        <f>VLOOKUP(T613,Orgenheter!$A$1:$C$165,2,FALSE)</f>
        <v xml:space="preserve">Pedagogik                     </v>
      </c>
      <c r="V613" s="31" t="str">
        <f>VLOOKUP(T613,Orgenheter!$A$1:$C$165,3,FALSE)</f>
        <v>Sam</v>
      </c>
      <c r="W613" s="37" t="str">
        <f>VLOOKUP(D613,Program!$A$1:$B$34,2,FALSE)</f>
        <v>Ämneslärarprogrammet - Gy</v>
      </c>
      <c r="X613" s="42">
        <f>VLOOKUP(A613,kurspris!$A$1:$Q$798,15,FALSE)</f>
        <v>21634</v>
      </c>
      <c r="Y613" s="42">
        <f>VLOOKUP(A613,kurspris!$A$1:$Q$798,16,FALSE)</f>
        <v>26986</v>
      </c>
      <c r="Z613" s="42">
        <f t="shared" si="332"/>
        <v>1114.3025</v>
      </c>
      <c r="AA613" s="42">
        <f>VLOOKUP(A613,kurspris!$A$1:$Q$798,17,FALSE)</f>
        <v>3400</v>
      </c>
      <c r="AB613" s="42">
        <f t="shared" si="333"/>
        <v>85</v>
      </c>
      <c r="AC613" s="42">
        <f t="shared" si="334"/>
        <v>1199.3025</v>
      </c>
      <c r="AD613" s="31">
        <f>VLOOKUP($A613,kurspris!$A$1:$Q$835,3,FALSE)</f>
        <v>0</v>
      </c>
      <c r="AE613" s="31">
        <f>VLOOKUP($A613,kurspris!$A$1:$Q$835,4,FALSE)</f>
        <v>0</v>
      </c>
      <c r="AF613" s="31">
        <f>VLOOKUP($A613,kurspris!$A$1:$Q$835,5,FALSE)</f>
        <v>0</v>
      </c>
      <c r="AG613" s="31">
        <f>VLOOKUP($A613,kurspris!$A$1:$Q$835,6,FALSE)</f>
        <v>0</v>
      </c>
      <c r="AH613" s="31">
        <f>VLOOKUP($A613,kurspris!$A$1:$Q$835,7,FALSE)</f>
        <v>0</v>
      </c>
      <c r="AI613" s="31">
        <f>VLOOKUP($A613,kurspris!$A$1:$Q$835,8,FALSE)</f>
        <v>0</v>
      </c>
      <c r="AJ613" s="31">
        <f>VLOOKUP($A613,kurspris!$A$1:$Q$835,9,FALSE)</f>
        <v>0</v>
      </c>
      <c r="AK613" s="31">
        <f>VLOOKUP($A613,kurspris!$A$1:$Q$835,10,FALSE)</f>
        <v>0</v>
      </c>
      <c r="AL613" s="31">
        <f>VLOOKUP($A613,kurspris!$A$1:$Q$835,11,FALSE)</f>
        <v>1</v>
      </c>
      <c r="AM613" s="31">
        <f>VLOOKUP($A613,kurspris!$A$1:$Q$835,12,FALSE)</f>
        <v>0</v>
      </c>
      <c r="AN613" s="31">
        <f>VLOOKUP($A613,kurspris!$A$1:$Q$835,13,FALSE)</f>
        <v>0</v>
      </c>
      <c r="AO613" s="31">
        <f>VLOOKUP($A613,kurspris!$A$1:$Q$835,14,FALSE)</f>
        <v>0</v>
      </c>
      <c r="AP613" s="39" t="s">
        <v>2326</v>
      </c>
      <c r="AQ613"/>
      <c r="AR613" s="31">
        <f t="shared" si="335"/>
        <v>0</v>
      </c>
      <c r="AS613" s="255">
        <f t="shared" si="336"/>
        <v>0</v>
      </c>
      <c r="AT613" s="31">
        <f t="shared" si="337"/>
        <v>0</v>
      </c>
      <c r="AU613" s="255">
        <f t="shared" si="338"/>
        <v>0</v>
      </c>
      <c r="AV613" s="31">
        <f t="shared" si="339"/>
        <v>0</v>
      </c>
      <c r="AW613" s="31">
        <f t="shared" si="340"/>
        <v>0</v>
      </c>
      <c r="AX613" s="31">
        <f t="shared" si="341"/>
        <v>0</v>
      </c>
      <c r="AY613" s="255">
        <f t="shared" si="342"/>
        <v>0</v>
      </c>
      <c r="AZ613" s="232">
        <f t="shared" si="343"/>
        <v>0</v>
      </c>
      <c r="BA613" s="255">
        <f t="shared" si="344"/>
        <v>0</v>
      </c>
      <c r="BB613" s="31">
        <f t="shared" si="345"/>
        <v>0</v>
      </c>
      <c r="BC613" s="255">
        <f t="shared" si="346"/>
        <v>0</v>
      </c>
      <c r="BD613" s="31">
        <f t="shared" si="347"/>
        <v>0</v>
      </c>
      <c r="BE613" s="255">
        <f t="shared" si="348"/>
        <v>0</v>
      </c>
      <c r="BF613" s="31">
        <f t="shared" si="349"/>
        <v>0</v>
      </c>
      <c r="BG613" s="255">
        <f t="shared" si="350"/>
        <v>0</v>
      </c>
      <c r="BH613" s="31">
        <f t="shared" si="351"/>
        <v>2.5000000000000001E-2</v>
      </c>
      <c r="BI613" s="255">
        <f t="shared" si="352"/>
        <v>2.1250000000000002E-2</v>
      </c>
      <c r="BJ613" s="31">
        <f t="shared" si="353"/>
        <v>0</v>
      </c>
      <c r="BK613" s="31">
        <f t="shared" si="354"/>
        <v>0</v>
      </c>
      <c r="BL613" s="255">
        <f t="shared" si="355"/>
        <v>0</v>
      </c>
      <c r="BM613" s="31">
        <f t="shared" si="356"/>
        <v>0</v>
      </c>
      <c r="BN613" s="255">
        <f t="shared" si="357"/>
        <v>0</v>
      </c>
    </row>
    <row r="614" spans="1:66" x14ac:dyDescent="0.25">
      <c r="A614" s="18" t="s">
        <v>1288</v>
      </c>
      <c r="B614" s="186" t="str">
        <f>VLOOKUP(A614,kurspris!$A$1:$B$877,2,FALSE)</f>
        <v>Att vara ämneslärare (VFU)</v>
      </c>
      <c r="C614" s="37"/>
      <c r="D614" s="31" t="s">
        <v>483</v>
      </c>
      <c r="E614" s="31" t="s">
        <v>1931</v>
      </c>
      <c r="F614" s="59" t="s">
        <v>1931</v>
      </c>
      <c r="G614" s="31" t="s">
        <v>2280</v>
      </c>
      <c r="J614" t="s">
        <v>778</v>
      </c>
      <c r="L614" s="31">
        <v>100</v>
      </c>
      <c r="M614" s="31">
        <v>1.5</v>
      </c>
      <c r="P614" s="31">
        <v>14</v>
      </c>
      <c r="Q614" s="232">
        <f t="shared" si="330"/>
        <v>0.35000000000000003</v>
      </c>
      <c r="R614" s="40">
        <v>0.85</v>
      </c>
      <c r="S614" s="334">
        <f t="shared" si="331"/>
        <v>0.29750000000000004</v>
      </c>
      <c r="T614" s="31">
        <f>VLOOKUP(A614,'Ansvar kurs'!$A$1:$C$1010,2,FALSE)</f>
        <v>2180</v>
      </c>
      <c r="U614" s="31" t="str">
        <f>VLOOKUP(T614,Orgenheter!$A$1:$C$165,2,FALSE)</f>
        <v xml:space="preserve">Pedagogik                     </v>
      </c>
      <c r="V614" s="31" t="str">
        <f>VLOOKUP(T614,Orgenheter!$A$1:$C$165,3,FALSE)</f>
        <v>Sam</v>
      </c>
      <c r="W614" s="37" t="str">
        <f>VLOOKUP(D614,Program!$A$1:$B$34,2,FALSE)</f>
        <v>Ämneslärarprogrammet - Gy</v>
      </c>
      <c r="X614" s="42">
        <f>VLOOKUP(A614,kurspris!$A$1:$Q$798,15,FALSE)</f>
        <v>21634</v>
      </c>
      <c r="Y614" s="42">
        <f>VLOOKUP(A614,kurspris!$A$1:$Q$798,16,FALSE)</f>
        <v>26986</v>
      </c>
      <c r="Z614" s="42">
        <f t="shared" si="332"/>
        <v>15600.235000000001</v>
      </c>
      <c r="AA614" s="42">
        <f>VLOOKUP(A614,kurspris!$A$1:$Q$798,17,FALSE)</f>
        <v>3400</v>
      </c>
      <c r="AB614" s="42">
        <f t="shared" si="333"/>
        <v>1190</v>
      </c>
      <c r="AC614" s="42">
        <f t="shared" si="334"/>
        <v>16790.235000000001</v>
      </c>
      <c r="AD614" s="31">
        <f>VLOOKUP($A614,kurspris!$A$1:$Q$835,3,FALSE)</f>
        <v>0</v>
      </c>
      <c r="AE614" s="31">
        <f>VLOOKUP($A614,kurspris!$A$1:$Q$835,4,FALSE)</f>
        <v>0</v>
      </c>
      <c r="AF614" s="31">
        <f>VLOOKUP($A614,kurspris!$A$1:$Q$835,5,FALSE)</f>
        <v>0</v>
      </c>
      <c r="AG614" s="31">
        <f>VLOOKUP($A614,kurspris!$A$1:$Q$835,6,FALSE)</f>
        <v>0</v>
      </c>
      <c r="AH614" s="31">
        <f>VLOOKUP($A614,kurspris!$A$1:$Q$835,7,FALSE)</f>
        <v>0</v>
      </c>
      <c r="AI614" s="31">
        <f>VLOOKUP($A614,kurspris!$A$1:$Q$835,8,FALSE)</f>
        <v>0</v>
      </c>
      <c r="AJ614" s="31">
        <f>VLOOKUP($A614,kurspris!$A$1:$Q$835,9,FALSE)</f>
        <v>0</v>
      </c>
      <c r="AK614" s="31">
        <f>VLOOKUP($A614,kurspris!$A$1:$Q$835,10,FALSE)</f>
        <v>0</v>
      </c>
      <c r="AL614" s="31">
        <f>VLOOKUP($A614,kurspris!$A$1:$Q$835,11,FALSE)</f>
        <v>1</v>
      </c>
      <c r="AM614" s="31">
        <f>VLOOKUP($A614,kurspris!$A$1:$Q$835,12,FALSE)</f>
        <v>0</v>
      </c>
      <c r="AN614" s="31">
        <f>VLOOKUP($A614,kurspris!$A$1:$Q$835,13,FALSE)</f>
        <v>0</v>
      </c>
      <c r="AO614" s="31">
        <f>VLOOKUP($A614,kurspris!$A$1:$Q$835,14,FALSE)</f>
        <v>0</v>
      </c>
      <c r="AP614" s="39" t="s">
        <v>2326</v>
      </c>
      <c r="AQ614"/>
      <c r="AR614" s="31">
        <f t="shared" si="335"/>
        <v>0</v>
      </c>
      <c r="AS614" s="255">
        <f t="shared" si="336"/>
        <v>0</v>
      </c>
      <c r="AT614" s="31">
        <f t="shared" si="337"/>
        <v>0</v>
      </c>
      <c r="AU614" s="255">
        <f t="shared" si="338"/>
        <v>0</v>
      </c>
      <c r="AV614" s="31">
        <f t="shared" si="339"/>
        <v>0</v>
      </c>
      <c r="AW614" s="31">
        <f t="shared" si="340"/>
        <v>0</v>
      </c>
      <c r="AX614" s="31">
        <f t="shared" si="341"/>
        <v>0</v>
      </c>
      <c r="AY614" s="255">
        <f t="shared" si="342"/>
        <v>0</v>
      </c>
      <c r="AZ614" s="232">
        <f t="shared" si="343"/>
        <v>0</v>
      </c>
      <c r="BA614" s="255">
        <f t="shared" si="344"/>
        <v>0</v>
      </c>
      <c r="BB614" s="31">
        <f t="shared" si="345"/>
        <v>0</v>
      </c>
      <c r="BC614" s="255">
        <f t="shared" si="346"/>
        <v>0</v>
      </c>
      <c r="BD614" s="31">
        <f t="shared" si="347"/>
        <v>0</v>
      </c>
      <c r="BE614" s="255">
        <f t="shared" si="348"/>
        <v>0</v>
      </c>
      <c r="BF614" s="31">
        <f t="shared" si="349"/>
        <v>0</v>
      </c>
      <c r="BG614" s="255">
        <f t="shared" si="350"/>
        <v>0</v>
      </c>
      <c r="BH614" s="31">
        <f t="shared" si="351"/>
        <v>0.35000000000000003</v>
      </c>
      <c r="BI614" s="255">
        <f t="shared" si="352"/>
        <v>0.29750000000000004</v>
      </c>
      <c r="BJ614" s="31">
        <f t="shared" si="353"/>
        <v>0</v>
      </c>
      <c r="BK614" s="31">
        <f t="shared" si="354"/>
        <v>0</v>
      </c>
      <c r="BL614" s="255">
        <f t="shared" si="355"/>
        <v>0</v>
      </c>
      <c r="BM614" s="31">
        <f t="shared" si="356"/>
        <v>0</v>
      </c>
      <c r="BN614" s="255">
        <f t="shared" si="357"/>
        <v>0</v>
      </c>
    </row>
    <row r="615" spans="1:66" x14ac:dyDescent="0.25">
      <c r="A615" s="18" t="s">
        <v>1288</v>
      </c>
      <c r="B615" s="186" t="str">
        <f>VLOOKUP(A615,kurspris!$A$1:$B$877,2,FALSE)</f>
        <v>Att vara ämneslärare (VFU)</v>
      </c>
      <c r="C615" s="37"/>
      <c r="D615" s="31" t="s">
        <v>483</v>
      </c>
      <c r="E615" s="31" t="s">
        <v>1931</v>
      </c>
      <c r="F615" s="59" t="s">
        <v>1931</v>
      </c>
      <c r="G615" s="31" t="s">
        <v>2280</v>
      </c>
      <c r="J615" t="s">
        <v>1592</v>
      </c>
      <c r="L615" s="31">
        <v>100</v>
      </c>
      <c r="M615" s="31">
        <v>1.5</v>
      </c>
      <c r="P615" s="31">
        <v>3</v>
      </c>
      <c r="Q615" s="232">
        <f t="shared" si="330"/>
        <v>7.5000000000000011E-2</v>
      </c>
      <c r="R615" s="40">
        <v>0.85</v>
      </c>
      <c r="S615" s="334">
        <f t="shared" si="331"/>
        <v>6.3750000000000001E-2</v>
      </c>
      <c r="T615" s="31">
        <f>VLOOKUP(A615,'Ansvar kurs'!$A$1:$C$1010,2,FALSE)</f>
        <v>2180</v>
      </c>
      <c r="U615" s="31" t="str">
        <f>VLOOKUP(T615,Orgenheter!$A$1:$C$165,2,FALSE)</f>
        <v xml:space="preserve">Pedagogik                     </v>
      </c>
      <c r="V615" s="31" t="str">
        <f>VLOOKUP(T615,Orgenheter!$A$1:$C$165,3,FALSE)</f>
        <v>Sam</v>
      </c>
      <c r="W615" s="37" t="str">
        <f>VLOOKUP(D615,Program!$A$1:$B$34,2,FALSE)</f>
        <v>Ämneslärarprogrammet - Gy</v>
      </c>
      <c r="X615" s="42">
        <f>VLOOKUP(A615,kurspris!$A$1:$Q$798,15,FALSE)</f>
        <v>21634</v>
      </c>
      <c r="Y615" s="42">
        <f>VLOOKUP(A615,kurspris!$A$1:$Q$798,16,FALSE)</f>
        <v>26986</v>
      </c>
      <c r="Z615" s="42">
        <f t="shared" si="332"/>
        <v>3342.9075000000003</v>
      </c>
      <c r="AA615" s="42">
        <f>VLOOKUP(A615,kurspris!$A$1:$Q$798,17,FALSE)</f>
        <v>3400</v>
      </c>
      <c r="AB615" s="42">
        <f t="shared" si="333"/>
        <v>255.00000000000003</v>
      </c>
      <c r="AC615" s="42">
        <f t="shared" si="334"/>
        <v>3597.9075000000003</v>
      </c>
      <c r="AD615" s="31">
        <f>VLOOKUP($A615,kurspris!$A$1:$Q$835,3,FALSE)</f>
        <v>0</v>
      </c>
      <c r="AE615" s="31">
        <f>VLOOKUP($A615,kurspris!$A$1:$Q$835,4,FALSE)</f>
        <v>0</v>
      </c>
      <c r="AF615" s="31">
        <f>VLOOKUP($A615,kurspris!$A$1:$Q$835,5,FALSE)</f>
        <v>0</v>
      </c>
      <c r="AG615" s="31">
        <f>VLOOKUP($A615,kurspris!$A$1:$Q$835,6,FALSE)</f>
        <v>0</v>
      </c>
      <c r="AH615" s="31">
        <f>VLOOKUP($A615,kurspris!$A$1:$Q$835,7,FALSE)</f>
        <v>0</v>
      </c>
      <c r="AI615" s="31">
        <f>VLOOKUP($A615,kurspris!$A$1:$Q$835,8,FALSE)</f>
        <v>0</v>
      </c>
      <c r="AJ615" s="31">
        <f>VLOOKUP($A615,kurspris!$A$1:$Q$835,9,FALSE)</f>
        <v>0</v>
      </c>
      <c r="AK615" s="31">
        <f>VLOOKUP($A615,kurspris!$A$1:$Q$835,10,FALSE)</f>
        <v>0</v>
      </c>
      <c r="AL615" s="31">
        <f>VLOOKUP($A615,kurspris!$A$1:$Q$835,11,FALSE)</f>
        <v>1</v>
      </c>
      <c r="AM615" s="31">
        <f>VLOOKUP($A615,kurspris!$A$1:$Q$835,12,FALSE)</f>
        <v>0</v>
      </c>
      <c r="AN615" s="31">
        <f>VLOOKUP($A615,kurspris!$A$1:$Q$835,13,FALSE)</f>
        <v>0</v>
      </c>
      <c r="AO615" s="31">
        <f>VLOOKUP($A615,kurspris!$A$1:$Q$835,14,FALSE)</f>
        <v>0</v>
      </c>
      <c r="AP615" s="39" t="s">
        <v>2326</v>
      </c>
      <c r="AQ615"/>
      <c r="AR615" s="31">
        <f t="shared" si="335"/>
        <v>0</v>
      </c>
      <c r="AS615" s="255">
        <f t="shared" si="336"/>
        <v>0</v>
      </c>
      <c r="AT615" s="31">
        <f t="shared" si="337"/>
        <v>0</v>
      </c>
      <c r="AU615" s="255">
        <f t="shared" si="338"/>
        <v>0</v>
      </c>
      <c r="AV615" s="31">
        <f t="shared" si="339"/>
        <v>0</v>
      </c>
      <c r="AW615" s="31">
        <f t="shared" si="340"/>
        <v>0</v>
      </c>
      <c r="AX615" s="31">
        <f t="shared" si="341"/>
        <v>0</v>
      </c>
      <c r="AY615" s="255">
        <f t="shared" si="342"/>
        <v>0</v>
      </c>
      <c r="AZ615" s="232">
        <f t="shared" si="343"/>
        <v>0</v>
      </c>
      <c r="BA615" s="255">
        <f t="shared" si="344"/>
        <v>0</v>
      </c>
      <c r="BB615" s="31">
        <f t="shared" si="345"/>
        <v>0</v>
      </c>
      <c r="BC615" s="255">
        <f t="shared" si="346"/>
        <v>0</v>
      </c>
      <c r="BD615" s="31">
        <f t="shared" si="347"/>
        <v>0</v>
      </c>
      <c r="BE615" s="255">
        <f t="shared" si="348"/>
        <v>0</v>
      </c>
      <c r="BF615" s="31">
        <f t="shared" si="349"/>
        <v>0</v>
      </c>
      <c r="BG615" s="255">
        <f t="shared" si="350"/>
        <v>0</v>
      </c>
      <c r="BH615" s="31">
        <f t="shared" si="351"/>
        <v>7.5000000000000011E-2</v>
      </c>
      <c r="BI615" s="255">
        <f t="shared" si="352"/>
        <v>6.3750000000000001E-2</v>
      </c>
      <c r="BJ615" s="31">
        <f t="shared" si="353"/>
        <v>0</v>
      </c>
      <c r="BK615" s="31">
        <f t="shared" si="354"/>
        <v>0</v>
      </c>
      <c r="BL615" s="255">
        <f t="shared" si="355"/>
        <v>0</v>
      </c>
      <c r="BM615" s="31">
        <f t="shared" si="356"/>
        <v>0</v>
      </c>
      <c r="BN615" s="255">
        <f t="shared" si="357"/>
        <v>0</v>
      </c>
    </row>
    <row r="616" spans="1:66" x14ac:dyDescent="0.25">
      <c r="A616" s="18" t="s">
        <v>1288</v>
      </c>
      <c r="B616" s="186" t="str">
        <f>VLOOKUP(A616,kurspris!$A$1:$B$877,2,FALSE)</f>
        <v>Att vara ämneslärare (VFU)</v>
      </c>
      <c r="C616" s="37"/>
      <c r="D616" s="31" t="s">
        <v>483</v>
      </c>
      <c r="E616" s="31" t="s">
        <v>1931</v>
      </c>
      <c r="F616" s="59" t="s">
        <v>1931</v>
      </c>
      <c r="G616" s="31" t="s">
        <v>2280</v>
      </c>
      <c r="J616" t="s">
        <v>1593</v>
      </c>
      <c r="L616" s="31">
        <v>100</v>
      </c>
      <c r="M616" s="31">
        <v>1.5</v>
      </c>
      <c r="P616" s="31">
        <v>2</v>
      </c>
      <c r="Q616" s="232">
        <f t="shared" si="330"/>
        <v>0.05</v>
      </c>
      <c r="R616" s="40">
        <v>0.85</v>
      </c>
      <c r="S616" s="334">
        <f t="shared" si="331"/>
        <v>4.2500000000000003E-2</v>
      </c>
      <c r="T616" s="31">
        <f>VLOOKUP(A616,'Ansvar kurs'!$A$1:$C$1010,2,FALSE)</f>
        <v>2180</v>
      </c>
      <c r="U616" s="31" t="str">
        <f>VLOOKUP(T616,Orgenheter!$A$1:$C$165,2,FALSE)</f>
        <v xml:space="preserve">Pedagogik                     </v>
      </c>
      <c r="V616" s="31" t="str">
        <f>VLOOKUP(T616,Orgenheter!$A$1:$C$165,3,FALSE)</f>
        <v>Sam</v>
      </c>
      <c r="W616" s="37" t="str">
        <f>VLOOKUP(D616,Program!$A$1:$B$34,2,FALSE)</f>
        <v>Ämneslärarprogrammet - Gy</v>
      </c>
      <c r="X616" s="42">
        <f>VLOOKUP(A616,kurspris!$A$1:$Q$798,15,FALSE)</f>
        <v>21634</v>
      </c>
      <c r="Y616" s="42">
        <f>VLOOKUP(A616,kurspris!$A$1:$Q$798,16,FALSE)</f>
        <v>26986</v>
      </c>
      <c r="Z616" s="42">
        <f t="shared" si="332"/>
        <v>2228.605</v>
      </c>
      <c r="AA616" s="42">
        <f>VLOOKUP(A616,kurspris!$A$1:$Q$798,17,FALSE)</f>
        <v>3400</v>
      </c>
      <c r="AB616" s="42">
        <f t="shared" si="333"/>
        <v>170</v>
      </c>
      <c r="AC616" s="42">
        <f t="shared" si="334"/>
        <v>2398.605</v>
      </c>
      <c r="AD616" s="31">
        <f>VLOOKUP($A616,kurspris!$A$1:$Q$835,3,FALSE)</f>
        <v>0</v>
      </c>
      <c r="AE616" s="31">
        <f>VLOOKUP($A616,kurspris!$A$1:$Q$835,4,FALSE)</f>
        <v>0</v>
      </c>
      <c r="AF616" s="31">
        <f>VLOOKUP($A616,kurspris!$A$1:$Q$835,5,FALSE)</f>
        <v>0</v>
      </c>
      <c r="AG616" s="31">
        <f>VLOOKUP($A616,kurspris!$A$1:$Q$835,6,FALSE)</f>
        <v>0</v>
      </c>
      <c r="AH616" s="31">
        <f>VLOOKUP($A616,kurspris!$A$1:$Q$835,7,FALSE)</f>
        <v>0</v>
      </c>
      <c r="AI616" s="31">
        <f>VLOOKUP($A616,kurspris!$A$1:$Q$835,8,FALSE)</f>
        <v>0</v>
      </c>
      <c r="AJ616" s="31">
        <f>VLOOKUP($A616,kurspris!$A$1:$Q$835,9,FALSE)</f>
        <v>0</v>
      </c>
      <c r="AK616" s="31">
        <f>VLOOKUP($A616,kurspris!$A$1:$Q$835,10,FALSE)</f>
        <v>0</v>
      </c>
      <c r="AL616" s="31">
        <f>VLOOKUP($A616,kurspris!$A$1:$Q$835,11,FALSE)</f>
        <v>1</v>
      </c>
      <c r="AM616" s="31">
        <f>VLOOKUP($A616,kurspris!$A$1:$Q$835,12,FALSE)</f>
        <v>0</v>
      </c>
      <c r="AN616" s="31">
        <f>VLOOKUP($A616,kurspris!$A$1:$Q$835,13,FALSE)</f>
        <v>0</v>
      </c>
      <c r="AO616" s="31">
        <f>VLOOKUP($A616,kurspris!$A$1:$Q$835,14,FALSE)</f>
        <v>0</v>
      </c>
      <c r="AP616" s="39" t="s">
        <v>2326</v>
      </c>
      <c r="AQ616"/>
      <c r="AR616" s="31">
        <f t="shared" si="335"/>
        <v>0</v>
      </c>
      <c r="AS616" s="255">
        <f t="shared" si="336"/>
        <v>0</v>
      </c>
      <c r="AT616" s="31">
        <f t="shared" si="337"/>
        <v>0</v>
      </c>
      <c r="AU616" s="255">
        <f t="shared" si="338"/>
        <v>0</v>
      </c>
      <c r="AV616" s="31">
        <f t="shared" si="339"/>
        <v>0</v>
      </c>
      <c r="AW616" s="31">
        <f t="shared" si="340"/>
        <v>0</v>
      </c>
      <c r="AX616" s="31">
        <f t="shared" si="341"/>
        <v>0</v>
      </c>
      <c r="AY616" s="255">
        <f t="shared" si="342"/>
        <v>0</v>
      </c>
      <c r="AZ616" s="232">
        <f t="shared" si="343"/>
        <v>0</v>
      </c>
      <c r="BA616" s="255">
        <f t="shared" si="344"/>
        <v>0</v>
      </c>
      <c r="BB616" s="31">
        <f t="shared" si="345"/>
        <v>0</v>
      </c>
      <c r="BC616" s="255">
        <f t="shared" si="346"/>
        <v>0</v>
      </c>
      <c r="BD616" s="31">
        <f t="shared" si="347"/>
        <v>0</v>
      </c>
      <c r="BE616" s="255">
        <f t="shared" si="348"/>
        <v>0</v>
      </c>
      <c r="BF616" s="31">
        <f t="shared" si="349"/>
        <v>0</v>
      </c>
      <c r="BG616" s="255">
        <f t="shared" si="350"/>
        <v>0</v>
      </c>
      <c r="BH616" s="31">
        <f t="shared" si="351"/>
        <v>0.05</v>
      </c>
      <c r="BI616" s="255">
        <f t="shared" si="352"/>
        <v>4.2500000000000003E-2</v>
      </c>
      <c r="BJ616" s="31">
        <f t="shared" si="353"/>
        <v>0</v>
      </c>
      <c r="BK616" s="31">
        <f t="shared" si="354"/>
        <v>0</v>
      </c>
      <c r="BL616" s="255">
        <f t="shared" si="355"/>
        <v>0</v>
      </c>
      <c r="BM616" s="31">
        <f t="shared" si="356"/>
        <v>0</v>
      </c>
      <c r="BN616" s="255">
        <f t="shared" si="357"/>
        <v>0</v>
      </c>
    </row>
    <row r="617" spans="1:66" x14ac:dyDescent="0.25">
      <c r="A617" s="18" t="s">
        <v>1285</v>
      </c>
      <c r="B617" s="186" t="str">
        <f>VLOOKUP(A617,kurspris!$A$1:$B$877,2,FALSE)</f>
        <v>Lärande och undervisning</v>
      </c>
      <c r="C617" s="37"/>
      <c r="D617" s="31" t="s">
        <v>483</v>
      </c>
      <c r="E617" s="31" t="s">
        <v>1609</v>
      </c>
      <c r="F617" s="59" t="s">
        <v>1931</v>
      </c>
      <c r="G617" s="31" t="s">
        <v>2278</v>
      </c>
      <c r="J617" t="s">
        <v>1593</v>
      </c>
      <c r="L617" s="31">
        <v>100</v>
      </c>
      <c r="M617" s="31">
        <v>7.5</v>
      </c>
      <c r="P617" s="31">
        <v>1</v>
      </c>
      <c r="Q617" s="232">
        <f t="shared" si="330"/>
        <v>0.125</v>
      </c>
      <c r="R617" s="40">
        <v>0.85</v>
      </c>
      <c r="S617" s="334">
        <f t="shared" si="331"/>
        <v>0.10625</v>
      </c>
      <c r="T617" s="31">
        <f>VLOOKUP(A617,'Ansvar kurs'!$A$1:$C$1010,2,FALSE)</f>
        <v>2180</v>
      </c>
      <c r="U617" s="31" t="str">
        <f>VLOOKUP(T617,Orgenheter!$A$1:$C$165,2,FALSE)</f>
        <v xml:space="preserve">Pedagogik                     </v>
      </c>
      <c r="V617" s="31" t="str">
        <f>VLOOKUP(T617,Orgenheter!$A$1:$C$165,3,FALSE)</f>
        <v>Sam</v>
      </c>
      <c r="W617" s="37" t="str">
        <f>VLOOKUP(D617,Program!$A$1:$B$34,2,FALSE)</f>
        <v>Ämneslärarprogrammet - Gy</v>
      </c>
      <c r="X617" s="42">
        <f>VLOOKUP(A617,kurspris!$A$1:$Q$798,15,FALSE)</f>
        <v>23641</v>
      </c>
      <c r="Y617" s="42">
        <f>VLOOKUP(A617,kurspris!$A$1:$Q$798,16,FALSE)</f>
        <v>28786</v>
      </c>
      <c r="Z617" s="42">
        <f t="shared" si="332"/>
        <v>6013.6374999999998</v>
      </c>
      <c r="AA617" s="42">
        <f>VLOOKUP(A617,kurspris!$A$1:$Q$798,17,FALSE)</f>
        <v>5800</v>
      </c>
      <c r="AB617" s="42">
        <f t="shared" si="333"/>
        <v>725</v>
      </c>
      <c r="AC617" s="42">
        <f t="shared" si="334"/>
        <v>6738.6374999999998</v>
      </c>
      <c r="AD617" s="31">
        <f>VLOOKUP($A617,kurspris!$A$1:$Q$835,3,FALSE)</f>
        <v>0</v>
      </c>
      <c r="AE617" s="31">
        <f>VLOOKUP($A617,kurspris!$A$1:$Q$835,4,FALSE)</f>
        <v>0</v>
      </c>
      <c r="AF617" s="31">
        <f>VLOOKUP($A617,kurspris!$A$1:$Q$835,5,FALSE)</f>
        <v>0</v>
      </c>
      <c r="AG617" s="31">
        <f>VLOOKUP($A617,kurspris!$A$1:$Q$835,6,FALSE)</f>
        <v>1</v>
      </c>
      <c r="AH617" s="31">
        <f>VLOOKUP($A617,kurspris!$A$1:$Q$835,7,FALSE)</f>
        <v>0</v>
      </c>
      <c r="AI617" s="31">
        <f>VLOOKUP($A617,kurspris!$A$1:$Q$835,8,FALSE)</f>
        <v>0</v>
      </c>
      <c r="AJ617" s="31">
        <f>VLOOKUP($A617,kurspris!$A$1:$Q$835,9,FALSE)</f>
        <v>0</v>
      </c>
      <c r="AK617" s="31">
        <f>VLOOKUP($A617,kurspris!$A$1:$Q$835,10,FALSE)</f>
        <v>0</v>
      </c>
      <c r="AL617" s="31">
        <f>VLOOKUP($A617,kurspris!$A$1:$Q$835,11,FALSE)</f>
        <v>0</v>
      </c>
      <c r="AM617" s="31">
        <f>VLOOKUP($A617,kurspris!$A$1:$Q$835,12,FALSE)</f>
        <v>0</v>
      </c>
      <c r="AN617" s="31">
        <f>VLOOKUP($A617,kurspris!$A$1:$Q$835,13,FALSE)</f>
        <v>0</v>
      </c>
      <c r="AO617" s="31">
        <f>VLOOKUP($A617,kurspris!$A$1:$Q$835,14,FALSE)</f>
        <v>0</v>
      </c>
      <c r="AP617" s="39" t="s">
        <v>2326</v>
      </c>
      <c r="AQ617"/>
      <c r="AR617" s="31">
        <f t="shared" si="335"/>
        <v>0</v>
      </c>
      <c r="AS617" s="255">
        <f t="shared" si="336"/>
        <v>0</v>
      </c>
      <c r="AT617" s="31">
        <f t="shared" si="337"/>
        <v>0</v>
      </c>
      <c r="AU617" s="255">
        <f t="shared" si="338"/>
        <v>0</v>
      </c>
      <c r="AV617" s="31">
        <f t="shared" si="339"/>
        <v>0</v>
      </c>
      <c r="AW617" s="31">
        <f t="shared" si="340"/>
        <v>0</v>
      </c>
      <c r="AX617" s="31">
        <f t="shared" si="341"/>
        <v>0.125</v>
      </c>
      <c r="AY617" s="255">
        <f t="shared" si="342"/>
        <v>0.10625</v>
      </c>
      <c r="AZ617" s="232">
        <f t="shared" si="343"/>
        <v>0</v>
      </c>
      <c r="BA617" s="255">
        <f t="shared" si="344"/>
        <v>0</v>
      </c>
      <c r="BB617" s="31">
        <f t="shared" si="345"/>
        <v>0</v>
      </c>
      <c r="BC617" s="255">
        <f t="shared" si="346"/>
        <v>0</v>
      </c>
      <c r="BD617" s="31">
        <f t="shared" si="347"/>
        <v>0</v>
      </c>
      <c r="BE617" s="255">
        <f t="shared" si="348"/>
        <v>0</v>
      </c>
      <c r="BF617" s="31">
        <f t="shared" si="349"/>
        <v>0</v>
      </c>
      <c r="BG617" s="255">
        <f t="shared" si="350"/>
        <v>0</v>
      </c>
      <c r="BH617" s="31">
        <f t="shared" si="351"/>
        <v>0</v>
      </c>
      <c r="BI617" s="255">
        <f t="shared" si="352"/>
        <v>0</v>
      </c>
      <c r="BJ617" s="31">
        <f t="shared" si="353"/>
        <v>0</v>
      </c>
      <c r="BK617" s="31">
        <f t="shared" si="354"/>
        <v>0</v>
      </c>
      <c r="BL617" s="255">
        <f t="shared" si="355"/>
        <v>0</v>
      </c>
      <c r="BM617" s="31">
        <f t="shared" si="356"/>
        <v>0</v>
      </c>
      <c r="BN617" s="255">
        <f t="shared" si="357"/>
        <v>0</v>
      </c>
    </row>
    <row r="618" spans="1:66" x14ac:dyDescent="0.25">
      <c r="A618" s="18" t="s">
        <v>1285</v>
      </c>
      <c r="B618" s="186" t="str">
        <f>VLOOKUP(A618,kurspris!$A$1:$B$877,2,FALSE)</f>
        <v>Lärande och undervisning</v>
      </c>
      <c r="C618" s="37"/>
      <c r="D618" s="31" t="s">
        <v>483</v>
      </c>
      <c r="E618" s="31" t="s">
        <v>1788</v>
      </c>
      <c r="F618" s="59" t="s">
        <v>1931</v>
      </c>
      <c r="G618" s="31" t="s">
        <v>2278</v>
      </c>
      <c r="J618" t="s">
        <v>771</v>
      </c>
      <c r="L618" s="31">
        <v>100</v>
      </c>
      <c r="M618" s="31">
        <v>7.5</v>
      </c>
      <c r="P618" s="31">
        <v>1</v>
      </c>
      <c r="Q618" s="232">
        <f t="shared" si="330"/>
        <v>0.125</v>
      </c>
      <c r="R618" s="40">
        <v>0.85</v>
      </c>
      <c r="S618" s="334">
        <f t="shared" si="331"/>
        <v>0.10625</v>
      </c>
      <c r="T618" s="31">
        <f>VLOOKUP(A618,'Ansvar kurs'!$A$1:$C$1010,2,FALSE)</f>
        <v>2180</v>
      </c>
      <c r="U618" s="31" t="str">
        <f>VLOOKUP(T618,Orgenheter!$A$1:$C$165,2,FALSE)</f>
        <v xml:space="preserve">Pedagogik                     </v>
      </c>
      <c r="V618" s="31" t="str">
        <f>VLOOKUP(T618,Orgenheter!$A$1:$C$165,3,FALSE)</f>
        <v>Sam</v>
      </c>
      <c r="W618" s="37" t="str">
        <f>VLOOKUP(D618,Program!$A$1:$B$34,2,FALSE)</f>
        <v>Ämneslärarprogrammet - Gy</v>
      </c>
      <c r="X618" s="42">
        <f>VLOOKUP(A618,kurspris!$A$1:$Q$798,15,FALSE)</f>
        <v>23641</v>
      </c>
      <c r="Y618" s="42">
        <f>VLOOKUP(A618,kurspris!$A$1:$Q$798,16,FALSE)</f>
        <v>28786</v>
      </c>
      <c r="Z618" s="42">
        <f t="shared" si="332"/>
        <v>6013.6374999999998</v>
      </c>
      <c r="AA618" s="42">
        <f>VLOOKUP(A618,kurspris!$A$1:$Q$798,17,FALSE)</f>
        <v>5800</v>
      </c>
      <c r="AB618" s="42">
        <f t="shared" si="333"/>
        <v>725</v>
      </c>
      <c r="AC618" s="42">
        <f t="shared" si="334"/>
        <v>6738.6374999999998</v>
      </c>
      <c r="AD618" s="31">
        <f>VLOOKUP($A618,kurspris!$A$1:$Q$835,3,FALSE)</f>
        <v>0</v>
      </c>
      <c r="AE618" s="31">
        <f>VLOOKUP($A618,kurspris!$A$1:$Q$835,4,FALSE)</f>
        <v>0</v>
      </c>
      <c r="AF618" s="31">
        <f>VLOOKUP($A618,kurspris!$A$1:$Q$835,5,FALSE)</f>
        <v>0</v>
      </c>
      <c r="AG618" s="31">
        <f>VLOOKUP($A618,kurspris!$A$1:$Q$835,6,FALSE)</f>
        <v>1</v>
      </c>
      <c r="AH618" s="31">
        <f>VLOOKUP($A618,kurspris!$A$1:$Q$835,7,FALSE)</f>
        <v>0</v>
      </c>
      <c r="AI618" s="31">
        <f>VLOOKUP($A618,kurspris!$A$1:$Q$835,8,FALSE)</f>
        <v>0</v>
      </c>
      <c r="AJ618" s="31">
        <f>VLOOKUP($A618,kurspris!$A$1:$Q$835,9,FALSE)</f>
        <v>0</v>
      </c>
      <c r="AK618" s="31">
        <f>VLOOKUP($A618,kurspris!$A$1:$Q$835,10,FALSE)</f>
        <v>0</v>
      </c>
      <c r="AL618" s="31">
        <f>VLOOKUP($A618,kurspris!$A$1:$Q$835,11,FALSE)</f>
        <v>0</v>
      </c>
      <c r="AM618" s="31">
        <f>VLOOKUP($A618,kurspris!$A$1:$Q$835,12,FALSE)</f>
        <v>0</v>
      </c>
      <c r="AN618" s="31">
        <f>VLOOKUP($A618,kurspris!$A$1:$Q$835,13,FALSE)</f>
        <v>0</v>
      </c>
      <c r="AO618" s="31">
        <f>VLOOKUP($A618,kurspris!$A$1:$Q$835,14,FALSE)</f>
        <v>0</v>
      </c>
      <c r="AP618" s="39" t="s">
        <v>2326</v>
      </c>
      <c r="AQ618"/>
      <c r="AR618" s="31">
        <f t="shared" si="335"/>
        <v>0</v>
      </c>
      <c r="AS618" s="255">
        <f t="shared" si="336"/>
        <v>0</v>
      </c>
      <c r="AT618" s="31">
        <f t="shared" si="337"/>
        <v>0</v>
      </c>
      <c r="AU618" s="255">
        <f t="shared" si="338"/>
        <v>0</v>
      </c>
      <c r="AV618" s="31">
        <f t="shared" si="339"/>
        <v>0</v>
      </c>
      <c r="AW618" s="31">
        <f t="shared" si="340"/>
        <v>0</v>
      </c>
      <c r="AX618" s="31">
        <f t="shared" si="341"/>
        <v>0.125</v>
      </c>
      <c r="AY618" s="255">
        <f t="shared" si="342"/>
        <v>0.10625</v>
      </c>
      <c r="AZ618" s="232">
        <f t="shared" si="343"/>
        <v>0</v>
      </c>
      <c r="BA618" s="255">
        <f t="shared" si="344"/>
        <v>0</v>
      </c>
      <c r="BB618" s="31">
        <f t="shared" si="345"/>
        <v>0</v>
      </c>
      <c r="BC618" s="255">
        <f t="shared" si="346"/>
        <v>0</v>
      </c>
      <c r="BD618" s="31">
        <f t="shared" si="347"/>
        <v>0</v>
      </c>
      <c r="BE618" s="255">
        <f t="shared" si="348"/>
        <v>0</v>
      </c>
      <c r="BF618" s="31">
        <f t="shared" si="349"/>
        <v>0</v>
      </c>
      <c r="BG618" s="255">
        <f t="shared" si="350"/>
        <v>0</v>
      </c>
      <c r="BH618" s="31">
        <f t="shared" si="351"/>
        <v>0</v>
      </c>
      <c r="BI618" s="255">
        <f t="shared" si="352"/>
        <v>0</v>
      </c>
      <c r="BJ618" s="31">
        <f t="shared" si="353"/>
        <v>0</v>
      </c>
      <c r="BK618" s="31">
        <f t="shared" si="354"/>
        <v>0</v>
      </c>
      <c r="BL618" s="255">
        <f t="shared" si="355"/>
        <v>0</v>
      </c>
      <c r="BM618" s="31">
        <f t="shared" si="356"/>
        <v>0</v>
      </c>
      <c r="BN618" s="255">
        <f t="shared" si="357"/>
        <v>0</v>
      </c>
    </row>
    <row r="619" spans="1:66" x14ac:dyDescent="0.25">
      <c r="A619" s="18" t="s">
        <v>1285</v>
      </c>
      <c r="B619" s="186" t="str">
        <f>VLOOKUP(A619,kurspris!$A$1:$B$877,2,FALSE)</f>
        <v>Lärande och undervisning</v>
      </c>
      <c r="C619" s="37"/>
      <c r="D619" s="31" t="s">
        <v>483</v>
      </c>
      <c r="E619" s="31" t="s">
        <v>1788</v>
      </c>
      <c r="F619" s="59" t="s">
        <v>1931</v>
      </c>
      <c r="G619" s="31" t="s">
        <v>2278</v>
      </c>
      <c r="J619" t="s">
        <v>777</v>
      </c>
      <c r="L619" s="31">
        <v>100</v>
      </c>
      <c r="M619" s="31">
        <v>7.5</v>
      </c>
      <c r="P619" s="31">
        <v>1</v>
      </c>
      <c r="Q619" s="232">
        <f t="shared" si="330"/>
        <v>0.125</v>
      </c>
      <c r="R619" s="40">
        <v>0.85</v>
      </c>
      <c r="S619" s="334">
        <f t="shared" si="331"/>
        <v>0.10625</v>
      </c>
      <c r="T619" s="31">
        <f>VLOOKUP(A619,'Ansvar kurs'!$A$1:$C$1010,2,FALSE)</f>
        <v>2180</v>
      </c>
      <c r="U619" s="31" t="str">
        <f>VLOOKUP(T619,Orgenheter!$A$1:$C$165,2,FALSE)</f>
        <v xml:space="preserve">Pedagogik                     </v>
      </c>
      <c r="V619" s="31" t="str">
        <f>VLOOKUP(T619,Orgenheter!$A$1:$C$165,3,FALSE)</f>
        <v>Sam</v>
      </c>
      <c r="W619" s="37" t="str">
        <f>VLOOKUP(D619,Program!$A$1:$B$34,2,FALSE)</f>
        <v>Ämneslärarprogrammet - Gy</v>
      </c>
      <c r="X619" s="42">
        <f>VLOOKUP(A619,kurspris!$A$1:$Q$798,15,FALSE)</f>
        <v>23641</v>
      </c>
      <c r="Y619" s="42">
        <f>VLOOKUP(A619,kurspris!$A$1:$Q$798,16,FALSE)</f>
        <v>28786</v>
      </c>
      <c r="Z619" s="42">
        <f t="shared" si="332"/>
        <v>6013.6374999999998</v>
      </c>
      <c r="AA619" s="42">
        <f>VLOOKUP(A619,kurspris!$A$1:$Q$798,17,FALSE)</f>
        <v>5800</v>
      </c>
      <c r="AB619" s="42">
        <f t="shared" si="333"/>
        <v>725</v>
      </c>
      <c r="AC619" s="42">
        <f t="shared" si="334"/>
        <v>6738.6374999999998</v>
      </c>
      <c r="AD619" s="31">
        <f>VLOOKUP($A619,kurspris!$A$1:$Q$835,3,FALSE)</f>
        <v>0</v>
      </c>
      <c r="AE619" s="31">
        <f>VLOOKUP($A619,kurspris!$A$1:$Q$835,4,FALSE)</f>
        <v>0</v>
      </c>
      <c r="AF619" s="31">
        <f>VLOOKUP($A619,kurspris!$A$1:$Q$835,5,FALSE)</f>
        <v>0</v>
      </c>
      <c r="AG619" s="31">
        <f>VLOOKUP($A619,kurspris!$A$1:$Q$835,6,FALSE)</f>
        <v>1</v>
      </c>
      <c r="AH619" s="31">
        <f>VLOOKUP($A619,kurspris!$A$1:$Q$835,7,FALSE)</f>
        <v>0</v>
      </c>
      <c r="AI619" s="31">
        <f>VLOOKUP($A619,kurspris!$A$1:$Q$835,8,FALSE)</f>
        <v>0</v>
      </c>
      <c r="AJ619" s="31">
        <f>VLOOKUP($A619,kurspris!$A$1:$Q$835,9,FALSE)</f>
        <v>0</v>
      </c>
      <c r="AK619" s="31">
        <f>VLOOKUP($A619,kurspris!$A$1:$Q$835,10,FALSE)</f>
        <v>0</v>
      </c>
      <c r="AL619" s="31">
        <f>VLOOKUP($A619,kurspris!$A$1:$Q$835,11,FALSE)</f>
        <v>0</v>
      </c>
      <c r="AM619" s="31">
        <f>VLOOKUP($A619,kurspris!$A$1:$Q$835,12,FALSE)</f>
        <v>0</v>
      </c>
      <c r="AN619" s="31">
        <f>VLOOKUP($A619,kurspris!$A$1:$Q$835,13,FALSE)</f>
        <v>0</v>
      </c>
      <c r="AO619" s="31">
        <f>VLOOKUP($A619,kurspris!$A$1:$Q$835,14,FALSE)</f>
        <v>0</v>
      </c>
      <c r="AP619" s="39" t="s">
        <v>2326</v>
      </c>
      <c r="AQ619"/>
      <c r="AR619" s="31">
        <f t="shared" si="335"/>
        <v>0</v>
      </c>
      <c r="AS619" s="255">
        <f t="shared" si="336"/>
        <v>0</v>
      </c>
      <c r="AT619" s="31">
        <f t="shared" si="337"/>
        <v>0</v>
      </c>
      <c r="AU619" s="255">
        <f t="shared" si="338"/>
        <v>0</v>
      </c>
      <c r="AV619" s="31">
        <f t="shared" si="339"/>
        <v>0</v>
      </c>
      <c r="AW619" s="31">
        <f t="shared" si="340"/>
        <v>0</v>
      </c>
      <c r="AX619" s="31">
        <f t="shared" si="341"/>
        <v>0.125</v>
      </c>
      <c r="AY619" s="255">
        <f t="shared" si="342"/>
        <v>0.10625</v>
      </c>
      <c r="AZ619" s="232">
        <f t="shared" si="343"/>
        <v>0</v>
      </c>
      <c r="BA619" s="255">
        <f t="shared" si="344"/>
        <v>0</v>
      </c>
      <c r="BB619" s="31">
        <f t="shared" si="345"/>
        <v>0</v>
      </c>
      <c r="BC619" s="255">
        <f t="shared" si="346"/>
        <v>0</v>
      </c>
      <c r="BD619" s="31">
        <f t="shared" si="347"/>
        <v>0</v>
      </c>
      <c r="BE619" s="255">
        <f t="shared" si="348"/>
        <v>0</v>
      </c>
      <c r="BF619" s="31">
        <f t="shared" si="349"/>
        <v>0</v>
      </c>
      <c r="BG619" s="255">
        <f t="shared" si="350"/>
        <v>0</v>
      </c>
      <c r="BH619" s="31">
        <f t="shared" si="351"/>
        <v>0</v>
      </c>
      <c r="BI619" s="255">
        <f t="shared" si="352"/>
        <v>0</v>
      </c>
      <c r="BJ619" s="31">
        <f t="shared" si="353"/>
        <v>0</v>
      </c>
      <c r="BK619" s="31">
        <f t="shared" si="354"/>
        <v>0</v>
      </c>
      <c r="BL619" s="255">
        <f t="shared" si="355"/>
        <v>0</v>
      </c>
      <c r="BM619" s="31">
        <f t="shared" si="356"/>
        <v>0</v>
      </c>
      <c r="BN619" s="255">
        <f t="shared" si="357"/>
        <v>0</v>
      </c>
    </row>
    <row r="620" spans="1:66" x14ac:dyDescent="0.25">
      <c r="A620" s="18" t="s">
        <v>1285</v>
      </c>
      <c r="B620" s="186" t="str">
        <f>VLOOKUP(A620,kurspris!$A$1:$B$877,2,FALSE)</f>
        <v>Lärande och undervisning</v>
      </c>
      <c r="C620" s="37"/>
      <c r="D620" s="31" t="s">
        <v>483</v>
      </c>
      <c r="E620" s="31" t="s">
        <v>1931</v>
      </c>
      <c r="F620" s="59" t="s">
        <v>1931</v>
      </c>
      <c r="G620" s="31" t="s">
        <v>2278</v>
      </c>
      <c r="J620" t="s">
        <v>1952</v>
      </c>
      <c r="L620" s="31">
        <v>100</v>
      </c>
      <c r="M620" s="31">
        <v>7.5</v>
      </c>
      <c r="P620" s="31">
        <v>4</v>
      </c>
      <c r="Q620" s="232">
        <f t="shared" si="330"/>
        <v>0.5</v>
      </c>
      <c r="R620" s="40">
        <v>0.85</v>
      </c>
      <c r="S620" s="334">
        <f t="shared" si="331"/>
        <v>0.42499999999999999</v>
      </c>
      <c r="T620" s="31">
        <f>VLOOKUP(A620,'Ansvar kurs'!$A$1:$C$1010,2,FALSE)</f>
        <v>2180</v>
      </c>
      <c r="U620" s="31" t="str">
        <f>VLOOKUP(T620,Orgenheter!$A$1:$C$165,2,FALSE)</f>
        <v xml:space="preserve">Pedagogik                     </v>
      </c>
      <c r="V620" s="31" t="str">
        <f>VLOOKUP(T620,Orgenheter!$A$1:$C$165,3,FALSE)</f>
        <v>Sam</v>
      </c>
      <c r="W620" s="37" t="str">
        <f>VLOOKUP(D620,Program!$A$1:$B$34,2,FALSE)</f>
        <v>Ämneslärarprogrammet - Gy</v>
      </c>
      <c r="X620" s="42">
        <f>VLOOKUP(A620,kurspris!$A$1:$Q$798,15,FALSE)</f>
        <v>23641</v>
      </c>
      <c r="Y620" s="42">
        <f>VLOOKUP(A620,kurspris!$A$1:$Q$798,16,FALSE)</f>
        <v>28786</v>
      </c>
      <c r="Z620" s="42">
        <f t="shared" si="332"/>
        <v>24054.55</v>
      </c>
      <c r="AA620" s="42">
        <f>VLOOKUP(A620,kurspris!$A$1:$Q$798,17,FALSE)</f>
        <v>5800</v>
      </c>
      <c r="AB620" s="42">
        <f t="shared" si="333"/>
        <v>2900</v>
      </c>
      <c r="AC620" s="42">
        <f t="shared" si="334"/>
        <v>26954.55</v>
      </c>
      <c r="AD620" s="31">
        <f>VLOOKUP($A620,kurspris!$A$1:$Q$835,3,FALSE)</f>
        <v>0</v>
      </c>
      <c r="AE620" s="31">
        <f>VLOOKUP($A620,kurspris!$A$1:$Q$835,4,FALSE)</f>
        <v>0</v>
      </c>
      <c r="AF620" s="31">
        <f>VLOOKUP($A620,kurspris!$A$1:$Q$835,5,FALSE)</f>
        <v>0</v>
      </c>
      <c r="AG620" s="31">
        <f>VLOOKUP($A620,kurspris!$A$1:$Q$835,6,FALSE)</f>
        <v>1</v>
      </c>
      <c r="AH620" s="31">
        <f>VLOOKUP($A620,kurspris!$A$1:$Q$835,7,FALSE)</f>
        <v>0</v>
      </c>
      <c r="AI620" s="31">
        <f>VLOOKUP($A620,kurspris!$A$1:$Q$835,8,FALSE)</f>
        <v>0</v>
      </c>
      <c r="AJ620" s="31">
        <f>VLOOKUP($A620,kurspris!$A$1:$Q$835,9,FALSE)</f>
        <v>0</v>
      </c>
      <c r="AK620" s="31">
        <f>VLOOKUP($A620,kurspris!$A$1:$Q$835,10,FALSE)</f>
        <v>0</v>
      </c>
      <c r="AL620" s="31">
        <f>VLOOKUP($A620,kurspris!$A$1:$Q$835,11,FALSE)</f>
        <v>0</v>
      </c>
      <c r="AM620" s="31">
        <f>VLOOKUP($A620,kurspris!$A$1:$Q$835,12,FALSE)</f>
        <v>0</v>
      </c>
      <c r="AN620" s="31">
        <f>VLOOKUP($A620,kurspris!$A$1:$Q$835,13,FALSE)</f>
        <v>0</v>
      </c>
      <c r="AO620" s="31">
        <f>VLOOKUP($A620,kurspris!$A$1:$Q$835,14,FALSE)</f>
        <v>0</v>
      </c>
      <c r="AP620" s="39" t="s">
        <v>2326</v>
      </c>
      <c r="AQ620"/>
      <c r="AR620" s="31">
        <f t="shared" si="335"/>
        <v>0</v>
      </c>
      <c r="AS620" s="255">
        <f t="shared" si="336"/>
        <v>0</v>
      </c>
      <c r="AT620" s="31">
        <f t="shared" si="337"/>
        <v>0</v>
      </c>
      <c r="AU620" s="255">
        <f t="shared" si="338"/>
        <v>0</v>
      </c>
      <c r="AV620" s="31">
        <f t="shared" si="339"/>
        <v>0</v>
      </c>
      <c r="AW620" s="31">
        <f t="shared" si="340"/>
        <v>0</v>
      </c>
      <c r="AX620" s="31">
        <f t="shared" si="341"/>
        <v>0.5</v>
      </c>
      <c r="AY620" s="255">
        <f t="shared" si="342"/>
        <v>0.42499999999999999</v>
      </c>
      <c r="AZ620" s="232">
        <f t="shared" si="343"/>
        <v>0</v>
      </c>
      <c r="BA620" s="255">
        <f t="shared" si="344"/>
        <v>0</v>
      </c>
      <c r="BB620" s="31">
        <f t="shared" si="345"/>
        <v>0</v>
      </c>
      <c r="BC620" s="255">
        <f t="shared" si="346"/>
        <v>0</v>
      </c>
      <c r="BD620" s="31">
        <f t="shared" si="347"/>
        <v>0</v>
      </c>
      <c r="BE620" s="255">
        <f t="shared" si="348"/>
        <v>0</v>
      </c>
      <c r="BF620" s="31">
        <f t="shared" si="349"/>
        <v>0</v>
      </c>
      <c r="BG620" s="255">
        <f t="shared" si="350"/>
        <v>0</v>
      </c>
      <c r="BH620" s="31">
        <f t="shared" si="351"/>
        <v>0</v>
      </c>
      <c r="BI620" s="255">
        <f t="shared" si="352"/>
        <v>0</v>
      </c>
      <c r="BJ620" s="31">
        <f t="shared" si="353"/>
        <v>0</v>
      </c>
      <c r="BK620" s="31">
        <f t="shared" si="354"/>
        <v>0</v>
      </c>
      <c r="BL620" s="255">
        <f t="shared" si="355"/>
        <v>0</v>
      </c>
      <c r="BM620" s="31">
        <f t="shared" si="356"/>
        <v>0</v>
      </c>
      <c r="BN620" s="255">
        <f t="shared" si="357"/>
        <v>0</v>
      </c>
    </row>
    <row r="621" spans="1:66" x14ac:dyDescent="0.25">
      <c r="A621" s="18" t="s">
        <v>1285</v>
      </c>
      <c r="B621" s="186" t="str">
        <f>VLOOKUP(A621,kurspris!$A$1:$B$877,2,FALSE)</f>
        <v>Lärande och undervisning</v>
      </c>
      <c r="C621" s="37"/>
      <c r="D621" s="31" t="s">
        <v>483</v>
      </c>
      <c r="E621" s="31" t="s">
        <v>1931</v>
      </c>
      <c r="F621" s="59" t="s">
        <v>1931</v>
      </c>
      <c r="G621" s="31" t="s">
        <v>2278</v>
      </c>
      <c r="J621" t="s">
        <v>1591</v>
      </c>
      <c r="L621" s="31">
        <v>100</v>
      </c>
      <c r="M621" s="31">
        <v>7.5</v>
      </c>
      <c r="P621" s="31">
        <v>4</v>
      </c>
      <c r="Q621" s="232">
        <f t="shared" si="330"/>
        <v>0.5</v>
      </c>
      <c r="R621" s="40">
        <v>0.85</v>
      </c>
      <c r="S621" s="334">
        <f t="shared" si="331"/>
        <v>0.42499999999999999</v>
      </c>
      <c r="T621" s="31">
        <f>VLOOKUP(A621,'Ansvar kurs'!$A$1:$C$1010,2,FALSE)</f>
        <v>2180</v>
      </c>
      <c r="U621" s="31" t="str">
        <f>VLOOKUP(T621,Orgenheter!$A$1:$C$165,2,FALSE)</f>
        <v xml:space="preserve">Pedagogik                     </v>
      </c>
      <c r="V621" s="31" t="str">
        <f>VLOOKUP(T621,Orgenheter!$A$1:$C$165,3,FALSE)</f>
        <v>Sam</v>
      </c>
      <c r="W621" s="37" t="str">
        <f>VLOOKUP(D621,Program!$A$1:$B$34,2,FALSE)</f>
        <v>Ämneslärarprogrammet - Gy</v>
      </c>
      <c r="X621" s="42">
        <f>VLOOKUP(A621,kurspris!$A$1:$Q$798,15,FALSE)</f>
        <v>23641</v>
      </c>
      <c r="Y621" s="42">
        <f>VLOOKUP(A621,kurspris!$A$1:$Q$798,16,FALSE)</f>
        <v>28786</v>
      </c>
      <c r="Z621" s="42">
        <f t="shared" si="332"/>
        <v>24054.55</v>
      </c>
      <c r="AA621" s="42">
        <f>VLOOKUP(A621,kurspris!$A$1:$Q$798,17,FALSE)</f>
        <v>5800</v>
      </c>
      <c r="AB621" s="42">
        <f t="shared" si="333"/>
        <v>2900</v>
      </c>
      <c r="AC621" s="42">
        <f t="shared" si="334"/>
        <v>26954.55</v>
      </c>
      <c r="AD621" s="31">
        <f>VLOOKUP($A621,kurspris!$A$1:$Q$835,3,FALSE)</f>
        <v>0</v>
      </c>
      <c r="AE621" s="31">
        <f>VLOOKUP($A621,kurspris!$A$1:$Q$835,4,FALSE)</f>
        <v>0</v>
      </c>
      <c r="AF621" s="31">
        <f>VLOOKUP($A621,kurspris!$A$1:$Q$835,5,FALSE)</f>
        <v>0</v>
      </c>
      <c r="AG621" s="31">
        <f>VLOOKUP($A621,kurspris!$A$1:$Q$835,6,FALSE)</f>
        <v>1</v>
      </c>
      <c r="AH621" s="31">
        <f>VLOOKUP($A621,kurspris!$A$1:$Q$835,7,FALSE)</f>
        <v>0</v>
      </c>
      <c r="AI621" s="31">
        <f>VLOOKUP($A621,kurspris!$A$1:$Q$835,8,FALSE)</f>
        <v>0</v>
      </c>
      <c r="AJ621" s="31">
        <f>VLOOKUP($A621,kurspris!$A$1:$Q$835,9,FALSE)</f>
        <v>0</v>
      </c>
      <c r="AK621" s="31">
        <f>VLOOKUP($A621,kurspris!$A$1:$Q$835,10,FALSE)</f>
        <v>0</v>
      </c>
      <c r="AL621" s="31">
        <f>VLOOKUP($A621,kurspris!$A$1:$Q$835,11,FALSE)</f>
        <v>0</v>
      </c>
      <c r="AM621" s="31">
        <f>VLOOKUP($A621,kurspris!$A$1:$Q$835,12,FALSE)</f>
        <v>0</v>
      </c>
      <c r="AN621" s="31">
        <f>VLOOKUP($A621,kurspris!$A$1:$Q$835,13,FALSE)</f>
        <v>0</v>
      </c>
      <c r="AO621" s="31">
        <f>VLOOKUP($A621,kurspris!$A$1:$Q$835,14,FALSE)</f>
        <v>0</v>
      </c>
      <c r="AP621" s="39" t="s">
        <v>2326</v>
      </c>
      <c r="AQ621"/>
      <c r="AR621" s="31">
        <f t="shared" si="335"/>
        <v>0</v>
      </c>
      <c r="AS621" s="255">
        <f t="shared" si="336"/>
        <v>0</v>
      </c>
      <c r="AT621" s="31">
        <f t="shared" si="337"/>
        <v>0</v>
      </c>
      <c r="AU621" s="255">
        <f t="shared" si="338"/>
        <v>0</v>
      </c>
      <c r="AV621" s="31">
        <f t="shared" si="339"/>
        <v>0</v>
      </c>
      <c r="AW621" s="31">
        <f t="shared" si="340"/>
        <v>0</v>
      </c>
      <c r="AX621" s="31">
        <f t="shared" si="341"/>
        <v>0.5</v>
      </c>
      <c r="AY621" s="255">
        <f t="shared" si="342"/>
        <v>0.42499999999999999</v>
      </c>
      <c r="AZ621" s="232">
        <f t="shared" si="343"/>
        <v>0</v>
      </c>
      <c r="BA621" s="255">
        <f t="shared" si="344"/>
        <v>0</v>
      </c>
      <c r="BB621" s="31">
        <f t="shared" si="345"/>
        <v>0</v>
      </c>
      <c r="BC621" s="255">
        <f t="shared" si="346"/>
        <v>0</v>
      </c>
      <c r="BD621" s="31">
        <f t="shared" si="347"/>
        <v>0</v>
      </c>
      <c r="BE621" s="255">
        <f t="shared" si="348"/>
        <v>0</v>
      </c>
      <c r="BF621" s="31">
        <f t="shared" si="349"/>
        <v>0</v>
      </c>
      <c r="BG621" s="255">
        <f t="shared" si="350"/>
        <v>0</v>
      </c>
      <c r="BH621" s="31">
        <f t="shared" si="351"/>
        <v>0</v>
      </c>
      <c r="BI621" s="255">
        <f t="shared" si="352"/>
        <v>0</v>
      </c>
      <c r="BJ621" s="31">
        <f t="shared" si="353"/>
        <v>0</v>
      </c>
      <c r="BK621" s="31">
        <f t="shared" si="354"/>
        <v>0</v>
      </c>
      <c r="BL621" s="255">
        <f t="shared" si="355"/>
        <v>0</v>
      </c>
      <c r="BM621" s="31">
        <f t="shared" si="356"/>
        <v>0</v>
      </c>
      <c r="BN621" s="255">
        <f t="shared" si="357"/>
        <v>0</v>
      </c>
    </row>
    <row r="622" spans="1:66" x14ac:dyDescent="0.25">
      <c r="A622" s="18" t="s">
        <v>1285</v>
      </c>
      <c r="B622" s="186" t="str">
        <f>VLOOKUP(A622,kurspris!$A$1:$B$877,2,FALSE)</f>
        <v>Lärande och undervisning</v>
      </c>
      <c r="C622" s="37"/>
      <c r="D622" s="31" t="s">
        <v>483</v>
      </c>
      <c r="E622" s="31" t="s">
        <v>1931</v>
      </c>
      <c r="F622" s="59" t="s">
        <v>1931</v>
      </c>
      <c r="G622" s="31" t="s">
        <v>2278</v>
      </c>
      <c r="J622" t="s">
        <v>771</v>
      </c>
      <c r="L622" s="31">
        <v>100</v>
      </c>
      <c r="M622" s="31">
        <v>7.5</v>
      </c>
      <c r="P622" s="31">
        <v>17</v>
      </c>
      <c r="Q622" s="232">
        <f t="shared" si="330"/>
        <v>2.125</v>
      </c>
      <c r="R622" s="40">
        <v>0.85</v>
      </c>
      <c r="S622" s="334">
        <f t="shared" si="331"/>
        <v>1.8062499999999999</v>
      </c>
      <c r="T622" s="31">
        <f>VLOOKUP(A622,'Ansvar kurs'!$A$1:$C$1010,2,FALSE)</f>
        <v>2180</v>
      </c>
      <c r="U622" s="31" t="str">
        <f>VLOOKUP(T622,Orgenheter!$A$1:$C$165,2,FALSE)</f>
        <v xml:space="preserve">Pedagogik                     </v>
      </c>
      <c r="V622" s="31" t="str">
        <f>VLOOKUP(T622,Orgenheter!$A$1:$C$165,3,FALSE)</f>
        <v>Sam</v>
      </c>
      <c r="W622" s="37" t="str">
        <f>VLOOKUP(D622,Program!$A$1:$B$34,2,FALSE)</f>
        <v>Ämneslärarprogrammet - Gy</v>
      </c>
      <c r="X622" s="42">
        <f>VLOOKUP(A622,kurspris!$A$1:$Q$798,15,FALSE)</f>
        <v>23641</v>
      </c>
      <c r="Y622" s="42">
        <f>VLOOKUP(A622,kurspris!$A$1:$Q$798,16,FALSE)</f>
        <v>28786</v>
      </c>
      <c r="Z622" s="42">
        <f t="shared" si="332"/>
        <v>102231.83749999999</v>
      </c>
      <c r="AA622" s="42">
        <f>VLOOKUP(A622,kurspris!$A$1:$Q$798,17,FALSE)</f>
        <v>5800</v>
      </c>
      <c r="AB622" s="42">
        <f t="shared" si="333"/>
        <v>12325</v>
      </c>
      <c r="AC622" s="42">
        <f t="shared" si="334"/>
        <v>114556.83749999999</v>
      </c>
      <c r="AD622" s="31">
        <f>VLOOKUP($A622,kurspris!$A$1:$Q$835,3,FALSE)</f>
        <v>0</v>
      </c>
      <c r="AE622" s="31">
        <f>VLOOKUP($A622,kurspris!$A$1:$Q$835,4,FALSE)</f>
        <v>0</v>
      </c>
      <c r="AF622" s="31">
        <f>VLOOKUP($A622,kurspris!$A$1:$Q$835,5,FALSE)</f>
        <v>0</v>
      </c>
      <c r="AG622" s="31">
        <f>VLOOKUP($A622,kurspris!$A$1:$Q$835,6,FALSE)</f>
        <v>1</v>
      </c>
      <c r="AH622" s="31">
        <f>VLOOKUP($A622,kurspris!$A$1:$Q$835,7,FALSE)</f>
        <v>0</v>
      </c>
      <c r="AI622" s="31">
        <f>VLOOKUP($A622,kurspris!$A$1:$Q$835,8,FALSE)</f>
        <v>0</v>
      </c>
      <c r="AJ622" s="31">
        <f>VLOOKUP($A622,kurspris!$A$1:$Q$835,9,FALSE)</f>
        <v>0</v>
      </c>
      <c r="AK622" s="31">
        <f>VLOOKUP($A622,kurspris!$A$1:$Q$835,10,FALSE)</f>
        <v>0</v>
      </c>
      <c r="AL622" s="31">
        <f>VLOOKUP($A622,kurspris!$A$1:$Q$835,11,FALSE)</f>
        <v>0</v>
      </c>
      <c r="AM622" s="31">
        <f>VLOOKUP($A622,kurspris!$A$1:$Q$835,12,FALSE)</f>
        <v>0</v>
      </c>
      <c r="AN622" s="31">
        <f>VLOOKUP($A622,kurspris!$A$1:$Q$835,13,FALSE)</f>
        <v>0</v>
      </c>
      <c r="AO622" s="31">
        <f>VLOOKUP($A622,kurspris!$A$1:$Q$835,14,FALSE)</f>
        <v>0</v>
      </c>
      <c r="AP622" s="39" t="s">
        <v>2326</v>
      </c>
      <c r="AQ622"/>
      <c r="AR622" s="31">
        <f t="shared" si="335"/>
        <v>0</v>
      </c>
      <c r="AS622" s="255">
        <f t="shared" si="336"/>
        <v>0</v>
      </c>
      <c r="AT622" s="31">
        <f t="shared" si="337"/>
        <v>0</v>
      </c>
      <c r="AU622" s="255">
        <f t="shared" si="338"/>
        <v>0</v>
      </c>
      <c r="AV622" s="31">
        <f t="shared" si="339"/>
        <v>0</v>
      </c>
      <c r="AW622" s="31">
        <f t="shared" si="340"/>
        <v>0</v>
      </c>
      <c r="AX622" s="31">
        <f t="shared" si="341"/>
        <v>2.125</v>
      </c>
      <c r="AY622" s="255">
        <f t="shared" si="342"/>
        <v>1.8062499999999999</v>
      </c>
      <c r="AZ622" s="232">
        <f t="shared" si="343"/>
        <v>0</v>
      </c>
      <c r="BA622" s="255">
        <f t="shared" si="344"/>
        <v>0</v>
      </c>
      <c r="BB622" s="31">
        <f t="shared" si="345"/>
        <v>0</v>
      </c>
      <c r="BC622" s="255">
        <f t="shared" si="346"/>
        <v>0</v>
      </c>
      <c r="BD622" s="31">
        <f t="shared" si="347"/>
        <v>0</v>
      </c>
      <c r="BE622" s="255">
        <f t="shared" si="348"/>
        <v>0</v>
      </c>
      <c r="BF622" s="31">
        <f t="shared" si="349"/>
        <v>0</v>
      </c>
      <c r="BG622" s="255">
        <f t="shared" si="350"/>
        <v>0</v>
      </c>
      <c r="BH622" s="31">
        <f t="shared" si="351"/>
        <v>0</v>
      </c>
      <c r="BI622" s="255">
        <f t="shared" si="352"/>
        <v>0</v>
      </c>
      <c r="BJ622" s="31">
        <f t="shared" si="353"/>
        <v>0</v>
      </c>
      <c r="BK622" s="31">
        <f t="shared" si="354"/>
        <v>0</v>
      </c>
      <c r="BL622" s="255">
        <f t="shared" si="355"/>
        <v>0</v>
      </c>
      <c r="BM622" s="31">
        <f t="shared" si="356"/>
        <v>0</v>
      </c>
      <c r="BN622" s="255">
        <f t="shared" si="357"/>
        <v>0</v>
      </c>
    </row>
    <row r="623" spans="1:66" x14ac:dyDescent="0.25">
      <c r="A623" s="18" t="s">
        <v>1285</v>
      </c>
      <c r="B623" s="186" t="str">
        <f>VLOOKUP(A623,kurspris!$A$1:$B$877,2,FALSE)</f>
        <v>Lärande och undervisning</v>
      </c>
      <c r="C623" s="37"/>
      <c r="D623" s="31" t="s">
        <v>483</v>
      </c>
      <c r="E623" s="31" t="s">
        <v>1931</v>
      </c>
      <c r="F623" s="59" t="s">
        <v>1931</v>
      </c>
      <c r="G623" s="31" t="s">
        <v>2278</v>
      </c>
      <c r="J623" t="s">
        <v>1813</v>
      </c>
      <c r="L623" s="31">
        <v>100</v>
      </c>
      <c r="M623" s="31">
        <v>7.5</v>
      </c>
      <c r="P623" s="31">
        <v>7</v>
      </c>
      <c r="Q623" s="232">
        <f t="shared" si="330"/>
        <v>0.875</v>
      </c>
      <c r="R623" s="40">
        <v>0.85</v>
      </c>
      <c r="S623" s="334">
        <f t="shared" si="331"/>
        <v>0.74375000000000002</v>
      </c>
      <c r="T623" s="31">
        <f>VLOOKUP(A623,'Ansvar kurs'!$A$1:$C$1010,2,FALSE)</f>
        <v>2180</v>
      </c>
      <c r="U623" s="31" t="str">
        <f>VLOOKUP(T623,Orgenheter!$A$1:$C$165,2,FALSE)</f>
        <v xml:space="preserve">Pedagogik                     </v>
      </c>
      <c r="V623" s="31" t="str">
        <f>VLOOKUP(T623,Orgenheter!$A$1:$C$165,3,FALSE)</f>
        <v>Sam</v>
      </c>
      <c r="W623" s="37" t="str">
        <f>VLOOKUP(D623,Program!$A$1:$B$34,2,FALSE)</f>
        <v>Ämneslärarprogrammet - Gy</v>
      </c>
      <c r="X623" s="42">
        <f>VLOOKUP(A623,kurspris!$A$1:$Q$798,15,FALSE)</f>
        <v>23641</v>
      </c>
      <c r="Y623" s="42">
        <f>VLOOKUP(A623,kurspris!$A$1:$Q$798,16,FALSE)</f>
        <v>28786</v>
      </c>
      <c r="Z623" s="42">
        <f t="shared" si="332"/>
        <v>42095.462500000001</v>
      </c>
      <c r="AA623" s="42">
        <f>VLOOKUP(A623,kurspris!$A$1:$Q$798,17,FALSE)</f>
        <v>5800</v>
      </c>
      <c r="AB623" s="42">
        <f t="shared" si="333"/>
        <v>5075</v>
      </c>
      <c r="AC623" s="42">
        <f t="shared" si="334"/>
        <v>47170.462500000001</v>
      </c>
      <c r="AD623" s="31">
        <f>VLOOKUP($A623,kurspris!$A$1:$Q$835,3,FALSE)</f>
        <v>0</v>
      </c>
      <c r="AE623" s="31">
        <f>VLOOKUP($A623,kurspris!$A$1:$Q$835,4,FALSE)</f>
        <v>0</v>
      </c>
      <c r="AF623" s="31">
        <f>VLOOKUP($A623,kurspris!$A$1:$Q$835,5,FALSE)</f>
        <v>0</v>
      </c>
      <c r="AG623" s="31">
        <f>VLOOKUP($A623,kurspris!$A$1:$Q$835,6,FALSE)</f>
        <v>1</v>
      </c>
      <c r="AH623" s="31">
        <f>VLOOKUP($A623,kurspris!$A$1:$Q$835,7,FALSE)</f>
        <v>0</v>
      </c>
      <c r="AI623" s="31">
        <f>VLOOKUP($A623,kurspris!$A$1:$Q$835,8,FALSE)</f>
        <v>0</v>
      </c>
      <c r="AJ623" s="31">
        <f>VLOOKUP($A623,kurspris!$A$1:$Q$835,9,FALSE)</f>
        <v>0</v>
      </c>
      <c r="AK623" s="31">
        <f>VLOOKUP($A623,kurspris!$A$1:$Q$835,10,FALSE)</f>
        <v>0</v>
      </c>
      <c r="AL623" s="31">
        <f>VLOOKUP($A623,kurspris!$A$1:$Q$835,11,FALSE)</f>
        <v>0</v>
      </c>
      <c r="AM623" s="31">
        <f>VLOOKUP($A623,kurspris!$A$1:$Q$835,12,FALSE)</f>
        <v>0</v>
      </c>
      <c r="AN623" s="31">
        <f>VLOOKUP($A623,kurspris!$A$1:$Q$835,13,FALSE)</f>
        <v>0</v>
      </c>
      <c r="AO623" s="31">
        <f>VLOOKUP($A623,kurspris!$A$1:$Q$835,14,FALSE)</f>
        <v>0</v>
      </c>
      <c r="AP623" s="39" t="s">
        <v>2326</v>
      </c>
      <c r="AQ623"/>
      <c r="AR623" s="31">
        <f t="shared" si="335"/>
        <v>0</v>
      </c>
      <c r="AS623" s="255">
        <f t="shared" si="336"/>
        <v>0</v>
      </c>
      <c r="AT623" s="31">
        <f t="shared" si="337"/>
        <v>0</v>
      </c>
      <c r="AU623" s="255">
        <f t="shared" si="338"/>
        <v>0</v>
      </c>
      <c r="AV623" s="31">
        <f t="shared" si="339"/>
        <v>0</v>
      </c>
      <c r="AW623" s="31">
        <f t="shared" si="340"/>
        <v>0</v>
      </c>
      <c r="AX623" s="31">
        <f t="shared" si="341"/>
        <v>0.875</v>
      </c>
      <c r="AY623" s="255">
        <f t="shared" si="342"/>
        <v>0.74375000000000002</v>
      </c>
      <c r="AZ623" s="232">
        <f t="shared" si="343"/>
        <v>0</v>
      </c>
      <c r="BA623" s="255">
        <f t="shared" si="344"/>
        <v>0</v>
      </c>
      <c r="BB623" s="31">
        <f t="shared" si="345"/>
        <v>0</v>
      </c>
      <c r="BC623" s="255">
        <f t="shared" si="346"/>
        <v>0</v>
      </c>
      <c r="BD623" s="31">
        <f t="shared" si="347"/>
        <v>0</v>
      </c>
      <c r="BE623" s="255">
        <f t="shared" si="348"/>
        <v>0</v>
      </c>
      <c r="BF623" s="31">
        <f t="shared" si="349"/>
        <v>0</v>
      </c>
      <c r="BG623" s="255">
        <f t="shared" si="350"/>
        <v>0</v>
      </c>
      <c r="BH623" s="31">
        <f t="shared" si="351"/>
        <v>0</v>
      </c>
      <c r="BI623" s="255">
        <f t="shared" si="352"/>
        <v>0</v>
      </c>
      <c r="BJ623" s="31">
        <f t="shared" si="353"/>
        <v>0</v>
      </c>
      <c r="BK623" s="31">
        <f t="shared" si="354"/>
        <v>0</v>
      </c>
      <c r="BL623" s="255">
        <f t="shared" si="355"/>
        <v>0</v>
      </c>
      <c r="BM623" s="31">
        <f t="shared" si="356"/>
        <v>0</v>
      </c>
      <c r="BN623" s="255">
        <f t="shared" si="357"/>
        <v>0</v>
      </c>
    </row>
    <row r="624" spans="1:66" x14ac:dyDescent="0.25">
      <c r="A624" s="18" t="s">
        <v>1285</v>
      </c>
      <c r="B624" s="186" t="str">
        <f>VLOOKUP(A624,kurspris!$A$1:$B$877,2,FALSE)</f>
        <v>Lärande och undervisning</v>
      </c>
      <c r="C624" s="37"/>
      <c r="D624" s="31" t="s">
        <v>483</v>
      </c>
      <c r="E624" s="31" t="s">
        <v>1931</v>
      </c>
      <c r="F624" s="59" t="s">
        <v>1931</v>
      </c>
      <c r="G624" s="31" t="s">
        <v>2278</v>
      </c>
      <c r="J624" t="s">
        <v>772</v>
      </c>
      <c r="L624" s="31">
        <v>100</v>
      </c>
      <c r="M624" s="31">
        <v>7.5</v>
      </c>
      <c r="P624" s="31">
        <v>29</v>
      </c>
      <c r="Q624" s="232">
        <f t="shared" si="330"/>
        <v>3.625</v>
      </c>
      <c r="R624" s="40">
        <v>0.85</v>
      </c>
      <c r="S624" s="334">
        <f t="shared" si="331"/>
        <v>3.0812499999999998</v>
      </c>
      <c r="T624" s="31">
        <f>VLOOKUP(A624,'Ansvar kurs'!$A$1:$C$1010,2,FALSE)</f>
        <v>2180</v>
      </c>
      <c r="U624" s="31" t="str">
        <f>VLOOKUP(T624,Orgenheter!$A$1:$C$165,2,FALSE)</f>
        <v xml:space="preserve">Pedagogik                     </v>
      </c>
      <c r="V624" s="31" t="str">
        <f>VLOOKUP(T624,Orgenheter!$A$1:$C$165,3,FALSE)</f>
        <v>Sam</v>
      </c>
      <c r="W624" s="37" t="str">
        <f>VLOOKUP(D624,Program!$A$1:$B$34,2,FALSE)</f>
        <v>Ämneslärarprogrammet - Gy</v>
      </c>
      <c r="X624" s="42">
        <f>VLOOKUP(A624,kurspris!$A$1:$Q$798,15,FALSE)</f>
        <v>23641</v>
      </c>
      <c r="Y624" s="42">
        <f>VLOOKUP(A624,kurspris!$A$1:$Q$798,16,FALSE)</f>
        <v>28786</v>
      </c>
      <c r="Z624" s="42">
        <f t="shared" si="332"/>
        <v>174395.48749999999</v>
      </c>
      <c r="AA624" s="42">
        <f>VLOOKUP(A624,kurspris!$A$1:$Q$798,17,FALSE)</f>
        <v>5800</v>
      </c>
      <c r="AB624" s="42">
        <f t="shared" si="333"/>
        <v>21025</v>
      </c>
      <c r="AC624" s="42">
        <f t="shared" si="334"/>
        <v>195420.48749999999</v>
      </c>
      <c r="AD624" s="31">
        <f>VLOOKUP($A624,kurspris!$A$1:$Q$835,3,FALSE)</f>
        <v>0</v>
      </c>
      <c r="AE624" s="31">
        <f>VLOOKUP($A624,kurspris!$A$1:$Q$835,4,FALSE)</f>
        <v>0</v>
      </c>
      <c r="AF624" s="31">
        <f>VLOOKUP($A624,kurspris!$A$1:$Q$835,5,FALSE)</f>
        <v>0</v>
      </c>
      <c r="AG624" s="31">
        <f>VLOOKUP($A624,kurspris!$A$1:$Q$835,6,FALSE)</f>
        <v>1</v>
      </c>
      <c r="AH624" s="31">
        <f>VLOOKUP($A624,kurspris!$A$1:$Q$835,7,FALSE)</f>
        <v>0</v>
      </c>
      <c r="AI624" s="31">
        <f>VLOOKUP($A624,kurspris!$A$1:$Q$835,8,FALSE)</f>
        <v>0</v>
      </c>
      <c r="AJ624" s="31">
        <f>VLOOKUP($A624,kurspris!$A$1:$Q$835,9,FALSE)</f>
        <v>0</v>
      </c>
      <c r="AK624" s="31">
        <f>VLOOKUP($A624,kurspris!$A$1:$Q$835,10,FALSE)</f>
        <v>0</v>
      </c>
      <c r="AL624" s="31">
        <f>VLOOKUP($A624,kurspris!$A$1:$Q$835,11,FALSE)</f>
        <v>0</v>
      </c>
      <c r="AM624" s="31">
        <f>VLOOKUP($A624,kurspris!$A$1:$Q$835,12,FALSE)</f>
        <v>0</v>
      </c>
      <c r="AN624" s="31">
        <f>VLOOKUP($A624,kurspris!$A$1:$Q$835,13,FALSE)</f>
        <v>0</v>
      </c>
      <c r="AO624" s="31">
        <f>VLOOKUP($A624,kurspris!$A$1:$Q$835,14,FALSE)</f>
        <v>0</v>
      </c>
      <c r="AP624" s="39" t="s">
        <v>2326</v>
      </c>
      <c r="AQ624"/>
      <c r="AR624" s="31">
        <f t="shared" si="335"/>
        <v>0</v>
      </c>
      <c r="AS624" s="255">
        <f t="shared" si="336"/>
        <v>0</v>
      </c>
      <c r="AT624" s="31">
        <f t="shared" si="337"/>
        <v>0</v>
      </c>
      <c r="AU624" s="255">
        <f t="shared" si="338"/>
        <v>0</v>
      </c>
      <c r="AV624" s="31">
        <f t="shared" si="339"/>
        <v>0</v>
      </c>
      <c r="AW624" s="31">
        <f t="shared" si="340"/>
        <v>0</v>
      </c>
      <c r="AX624" s="31">
        <f t="shared" si="341"/>
        <v>3.625</v>
      </c>
      <c r="AY624" s="255">
        <f t="shared" si="342"/>
        <v>3.0812499999999998</v>
      </c>
      <c r="AZ624" s="232">
        <f t="shared" si="343"/>
        <v>0</v>
      </c>
      <c r="BA624" s="255">
        <f t="shared" si="344"/>
        <v>0</v>
      </c>
      <c r="BB624" s="31">
        <f t="shared" si="345"/>
        <v>0</v>
      </c>
      <c r="BC624" s="255">
        <f t="shared" si="346"/>
        <v>0</v>
      </c>
      <c r="BD624" s="31">
        <f t="shared" si="347"/>
        <v>0</v>
      </c>
      <c r="BE624" s="255">
        <f t="shared" si="348"/>
        <v>0</v>
      </c>
      <c r="BF624" s="31">
        <f t="shared" si="349"/>
        <v>0</v>
      </c>
      <c r="BG624" s="255">
        <f t="shared" si="350"/>
        <v>0</v>
      </c>
      <c r="BH624" s="31">
        <f t="shared" si="351"/>
        <v>0</v>
      </c>
      <c r="BI624" s="255">
        <f t="shared" si="352"/>
        <v>0</v>
      </c>
      <c r="BJ624" s="31">
        <f t="shared" si="353"/>
        <v>0</v>
      </c>
      <c r="BK624" s="31">
        <f t="shared" si="354"/>
        <v>0</v>
      </c>
      <c r="BL624" s="255">
        <f t="shared" si="355"/>
        <v>0</v>
      </c>
      <c r="BM624" s="31">
        <f t="shared" si="356"/>
        <v>0</v>
      </c>
      <c r="BN624" s="255">
        <f t="shared" si="357"/>
        <v>0</v>
      </c>
    </row>
    <row r="625" spans="1:66" x14ac:dyDescent="0.25">
      <c r="A625" s="18" t="s">
        <v>1285</v>
      </c>
      <c r="B625" s="186" t="str">
        <f>VLOOKUP(A625,kurspris!$A$1:$B$877,2,FALSE)</f>
        <v>Lärande och undervisning</v>
      </c>
      <c r="C625" s="37"/>
      <c r="D625" s="31" t="s">
        <v>483</v>
      </c>
      <c r="E625" s="31" t="s">
        <v>1931</v>
      </c>
      <c r="F625" s="59" t="s">
        <v>1931</v>
      </c>
      <c r="G625" s="31" t="s">
        <v>2278</v>
      </c>
      <c r="J625" t="s">
        <v>773</v>
      </c>
      <c r="L625" s="31">
        <v>100</v>
      </c>
      <c r="M625" s="31">
        <v>7.5</v>
      </c>
      <c r="P625" s="31">
        <v>21</v>
      </c>
      <c r="Q625" s="232">
        <f t="shared" si="330"/>
        <v>2.625</v>
      </c>
      <c r="R625" s="40">
        <v>0.85</v>
      </c>
      <c r="S625" s="334">
        <f t="shared" si="331"/>
        <v>2.2312499999999997</v>
      </c>
      <c r="T625" s="31">
        <f>VLOOKUP(A625,'Ansvar kurs'!$A$1:$C$1010,2,FALSE)</f>
        <v>2180</v>
      </c>
      <c r="U625" s="31" t="str">
        <f>VLOOKUP(T625,Orgenheter!$A$1:$C$165,2,FALSE)</f>
        <v xml:space="preserve">Pedagogik                     </v>
      </c>
      <c r="V625" s="31" t="str">
        <f>VLOOKUP(T625,Orgenheter!$A$1:$C$165,3,FALSE)</f>
        <v>Sam</v>
      </c>
      <c r="W625" s="37" t="str">
        <f>VLOOKUP(D625,Program!$A$1:$B$34,2,FALSE)</f>
        <v>Ämneslärarprogrammet - Gy</v>
      </c>
      <c r="X625" s="42">
        <f>VLOOKUP(A625,kurspris!$A$1:$Q$798,15,FALSE)</f>
        <v>23641</v>
      </c>
      <c r="Y625" s="42">
        <f>VLOOKUP(A625,kurspris!$A$1:$Q$798,16,FALSE)</f>
        <v>28786</v>
      </c>
      <c r="Z625" s="42">
        <f t="shared" si="332"/>
        <v>126286.38749999998</v>
      </c>
      <c r="AA625" s="42">
        <f>VLOOKUP(A625,kurspris!$A$1:$Q$798,17,FALSE)</f>
        <v>5800</v>
      </c>
      <c r="AB625" s="42">
        <f t="shared" si="333"/>
        <v>15225</v>
      </c>
      <c r="AC625" s="42">
        <f t="shared" si="334"/>
        <v>141511.38749999998</v>
      </c>
      <c r="AD625" s="31">
        <f>VLOOKUP($A625,kurspris!$A$1:$Q$835,3,FALSE)</f>
        <v>0</v>
      </c>
      <c r="AE625" s="31">
        <f>VLOOKUP($A625,kurspris!$A$1:$Q$835,4,FALSE)</f>
        <v>0</v>
      </c>
      <c r="AF625" s="31">
        <f>VLOOKUP($A625,kurspris!$A$1:$Q$835,5,FALSE)</f>
        <v>0</v>
      </c>
      <c r="AG625" s="31">
        <f>VLOOKUP($A625,kurspris!$A$1:$Q$835,6,FALSE)</f>
        <v>1</v>
      </c>
      <c r="AH625" s="31">
        <f>VLOOKUP($A625,kurspris!$A$1:$Q$835,7,FALSE)</f>
        <v>0</v>
      </c>
      <c r="AI625" s="31">
        <f>VLOOKUP($A625,kurspris!$A$1:$Q$835,8,FALSE)</f>
        <v>0</v>
      </c>
      <c r="AJ625" s="31">
        <f>VLOOKUP($A625,kurspris!$A$1:$Q$835,9,FALSE)</f>
        <v>0</v>
      </c>
      <c r="AK625" s="31">
        <f>VLOOKUP($A625,kurspris!$A$1:$Q$835,10,FALSE)</f>
        <v>0</v>
      </c>
      <c r="AL625" s="31">
        <f>VLOOKUP($A625,kurspris!$A$1:$Q$835,11,FALSE)</f>
        <v>0</v>
      </c>
      <c r="AM625" s="31">
        <f>VLOOKUP($A625,kurspris!$A$1:$Q$835,12,FALSE)</f>
        <v>0</v>
      </c>
      <c r="AN625" s="31">
        <f>VLOOKUP($A625,kurspris!$A$1:$Q$835,13,FALSE)</f>
        <v>0</v>
      </c>
      <c r="AO625" s="31">
        <f>VLOOKUP($A625,kurspris!$A$1:$Q$835,14,FALSE)</f>
        <v>0</v>
      </c>
      <c r="AP625" s="39" t="s">
        <v>2326</v>
      </c>
      <c r="AQ625"/>
      <c r="AR625" s="31">
        <f t="shared" si="335"/>
        <v>0</v>
      </c>
      <c r="AS625" s="255">
        <f t="shared" si="336"/>
        <v>0</v>
      </c>
      <c r="AT625" s="31">
        <f t="shared" si="337"/>
        <v>0</v>
      </c>
      <c r="AU625" s="255">
        <f t="shared" si="338"/>
        <v>0</v>
      </c>
      <c r="AV625" s="31">
        <f t="shared" si="339"/>
        <v>0</v>
      </c>
      <c r="AW625" s="31">
        <f t="shared" si="340"/>
        <v>0</v>
      </c>
      <c r="AX625" s="31">
        <f t="shared" si="341"/>
        <v>2.625</v>
      </c>
      <c r="AY625" s="255">
        <f t="shared" si="342"/>
        <v>2.2312499999999997</v>
      </c>
      <c r="AZ625" s="232">
        <f t="shared" si="343"/>
        <v>0</v>
      </c>
      <c r="BA625" s="255">
        <f t="shared" si="344"/>
        <v>0</v>
      </c>
      <c r="BB625" s="31">
        <f t="shared" si="345"/>
        <v>0</v>
      </c>
      <c r="BC625" s="255">
        <f t="shared" si="346"/>
        <v>0</v>
      </c>
      <c r="BD625" s="31">
        <f t="shared" si="347"/>
        <v>0</v>
      </c>
      <c r="BE625" s="255">
        <f t="shared" si="348"/>
        <v>0</v>
      </c>
      <c r="BF625" s="31">
        <f t="shared" si="349"/>
        <v>0</v>
      </c>
      <c r="BG625" s="255">
        <f t="shared" si="350"/>
        <v>0</v>
      </c>
      <c r="BH625" s="31">
        <f t="shared" si="351"/>
        <v>0</v>
      </c>
      <c r="BI625" s="255">
        <f t="shared" si="352"/>
        <v>0</v>
      </c>
      <c r="BJ625" s="31">
        <f t="shared" si="353"/>
        <v>0</v>
      </c>
      <c r="BK625" s="31">
        <f t="shared" si="354"/>
        <v>0</v>
      </c>
      <c r="BL625" s="255">
        <f t="shared" si="355"/>
        <v>0</v>
      </c>
      <c r="BM625" s="31">
        <f t="shared" si="356"/>
        <v>0</v>
      </c>
      <c r="BN625" s="255">
        <f t="shared" si="357"/>
        <v>0</v>
      </c>
    </row>
    <row r="626" spans="1:66" x14ac:dyDescent="0.25">
      <c r="A626" s="18" t="s">
        <v>1285</v>
      </c>
      <c r="B626" s="186" t="str">
        <f>VLOOKUP(A626,kurspris!$A$1:$B$877,2,FALSE)</f>
        <v>Lärande och undervisning</v>
      </c>
      <c r="C626" s="37"/>
      <c r="D626" s="31" t="s">
        <v>483</v>
      </c>
      <c r="E626" s="31" t="s">
        <v>1931</v>
      </c>
      <c r="F626" s="59" t="s">
        <v>1931</v>
      </c>
      <c r="G626" s="31" t="s">
        <v>2278</v>
      </c>
      <c r="J626" t="s">
        <v>774</v>
      </c>
      <c r="L626" s="31">
        <v>100</v>
      </c>
      <c r="M626" s="31">
        <v>7.5</v>
      </c>
      <c r="P626" s="31">
        <v>18</v>
      </c>
      <c r="Q626" s="232">
        <f t="shared" si="330"/>
        <v>2.25</v>
      </c>
      <c r="R626" s="40">
        <v>0.85</v>
      </c>
      <c r="S626" s="334">
        <f t="shared" si="331"/>
        <v>1.9124999999999999</v>
      </c>
      <c r="T626" s="31">
        <f>VLOOKUP(A626,'Ansvar kurs'!$A$1:$C$1010,2,FALSE)</f>
        <v>2180</v>
      </c>
      <c r="U626" s="31" t="str">
        <f>VLOOKUP(T626,Orgenheter!$A$1:$C$165,2,FALSE)</f>
        <v xml:space="preserve">Pedagogik                     </v>
      </c>
      <c r="V626" s="31" t="str">
        <f>VLOOKUP(T626,Orgenheter!$A$1:$C$165,3,FALSE)</f>
        <v>Sam</v>
      </c>
      <c r="W626" s="37" t="str">
        <f>VLOOKUP(D626,Program!$A$1:$B$34,2,FALSE)</f>
        <v>Ämneslärarprogrammet - Gy</v>
      </c>
      <c r="X626" s="42">
        <f>VLOOKUP(A626,kurspris!$A$1:$Q$798,15,FALSE)</f>
        <v>23641</v>
      </c>
      <c r="Y626" s="42">
        <f>VLOOKUP(A626,kurspris!$A$1:$Q$798,16,FALSE)</f>
        <v>28786</v>
      </c>
      <c r="Z626" s="42">
        <f t="shared" si="332"/>
        <v>108245.47500000001</v>
      </c>
      <c r="AA626" s="42">
        <f>VLOOKUP(A626,kurspris!$A$1:$Q$798,17,FALSE)</f>
        <v>5800</v>
      </c>
      <c r="AB626" s="42">
        <f t="shared" si="333"/>
        <v>13050</v>
      </c>
      <c r="AC626" s="42">
        <f t="shared" si="334"/>
        <v>121295.47500000001</v>
      </c>
      <c r="AD626" s="31">
        <f>VLOOKUP($A626,kurspris!$A$1:$Q$835,3,FALSE)</f>
        <v>0</v>
      </c>
      <c r="AE626" s="31">
        <f>VLOOKUP($A626,kurspris!$A$1:$Q$835,4,FALSE)</f>
        <v>0</v>
      </c>
      <c r="AF626" s="31">
        <f>VLOOKUP($A626,kurspris!$A$1:$Q$835,5,FALSE)</f>
        <v>0</v>
      </c>
      <c r="AG626" s="31">
        <f>VLOOKUP($A626,kurspris!$A$1:$Q$835,6,FALSE)</f>
        <v>1</v>
      </c>
      <c r="AH626" s="31">
        <f>VLOOKUP($A626,kurspris!$A$1:$Q$835,7,FALSE)</f>
        <v>0</v>
      </c>
      <c r="AI626" s="31">
        <f>VLOOKUP($A626,kurspris!$A$1:$Q$835,8,FALSE)</f>
        <v>0</v>
      </c>
      <c r="AJ626" s="31">
        <f>VLOOKUP($A626,kurspris!$A$1:$Q$835,9,FALSE)</f>
        <v>0</v>
      </c>
      <c r="AK626" s="31">
        <f>VLOOKUP($A626,kurspris!$A$1:$Q$835,10,FALSE)</f>
        <v>0</v>
      </c>
      <c r="AL626" s="31">
        <f>VLOOKUP($A626,kurspris!$A$1:$Q$835,11,FALSE)</f>
        <v>0</v>
      </c>
      <c r="AM626" s="31">
        <f>VLOOKUP($A626,kurspris!$A$1:$Q$835,12,FALSE)</f>
        <v>0</v>
      </c>
      <c r="AN626" s="31">
        <f>VLOOKUP($A626,kurspris!$A$1:$Q$835,13,FALSE)</f>
        <v>0</v>
      </c>
      <c r="AO626" s="31">
        <f>VLOOKUP($A626,kurspris!$A$1:$Q$835,14,FALSE)</f>
        <v>0</v>
      </c>
      <c r="AP626" s="39" t="s">
        <v>2326</v>
      </c>
      <c r="AQ626"/>
      <c r="AR626" s="31">
        <f t="shared" si="335"/>
        <v>0</v>
      </c>
      <c r="AS626" s="255">
        <f t="shared" si="336"/>
        <v>0</v>
      </c>
      <c r="AT626" s="31">
        <f t="shared" si="337"/>
        <v>0</v>
      </c>
      <c r="AU626" s="255">
        <f t="shared" si="338"/>
        <v>0</v>
      </c>
      <c r="AV626" s="31">
        <f t="shared" si="339"/>
        <v>0</v>
      </c>
      <c r="AW626" s="31">
        <f t="shared" si="340"/>
        <v>0</v>
      </c>
      <c r="AX626" s="31">
        <f t="shared" si="341"/>
        <v>2.25</v>
      </c>
      <c r="AY626" s="255">
        <f t="shared" si="342"/>
        <v>1.9124999999999999</v>
      </c>
      <c r="AZ626" s="232">
        <f t="shared" si="343"/>
        <v>0</v>
      </c>
      <c r="BA626" s="255">
        <f t="shared" si="344"/>
        <v>0</v>
      </c>
      <c r="BB626" s="31">
        <f t="shared" si="345"/>
        <v>0</v>
      </c>
      <c r="BC626" s="255">
        <f t="shared" si="346"/>
        <v>0</v>
      </c>
      <c r="BD626" s="31">
        <f t="shared" si="347"/>
        <v>0</v>
      </c>
      <c r="BE626" s="255">
        <f t="shared" si="348"/>
        <v>0</v>
      </c>
      <c r="BF626" s="31">
        <f t="shared" si="349"/>
        <v>0</v>
      </c>
      <c r="BG626" s="255">
        <f t="shared" si="350"/>
        <v>0</v>
      </c>
      <c r="BH626" s="31">
        <f t="shared" si="351"/>
        <v>0</v>
      </c>
      <c r="BI626" s="255">
        <f t="shared" si="352"/>
        <v>0</v>
      </c>
      <c r="BJ626" s="31">
        <f t="shared" si="353"/>
        <v>0</v>
      </c>
      <c r="BK626" s="31">
        <f t="shared" si="354"/>
        <v>0</v>
      </c>
      <c r="BL626" s="255">
        <f t="shared" si="355"/>
        <v>0</v>
      </c>
      <c r="BM626" s="31">
        <f t="shared" si="356"/>
        <v>0</v>
      </c>
      <c r="BN626" s="255">
        <f t="shared" si="357"/>
        <v>0</v>
      </c>
    </row>
    <row r="627" spans="1:66" x14ac:dyDescent="0.25">
      <c r="A627" s="18" t="s">
        <v>1285</v>
      </c>
      <c r="B627" s="186" t="str">
        <f>VLOOKUP(A627,kurspris!$A$1:$B$877,2,FALSE)</f>
        <v>Lärande och undervisning</v>
      </c>
      <c r="C627" s="37"/>
      <c r="D627" s="31" t="s">
        <v>483</v>
      </c>
      <c r="E627" s="31" t="s">
        <v>1931</v>
      </c>
      <c r="F627" s="59" t="s">
        <v>1931</v>
      </c>
      <c r="G627" s="31" t="s">
        <v>2278</v>
      </c>
      <c r="J627" t="s">
        <v>1594</v>
      </c>
      <c r="L627" s="31">
        <v>100</v>
      </c>
      <c r="M627" s="31">
        <v>7.5</v>
      </c>
      <c r="P627" s="31">
        <v>1</v>
      </c>
      <c r="Q627" s="232">
        <f t="shared" si="330"/>
        <v>0.125</v>
      </c>
      <c r="R627" s="40">
        <v>0.85</v>
      </c>
      <c r="S627" s="334">
        <f t="shared" si="331"/>
        <v>0.10625</v>
      </c>
      <c r="T627" s="31">
        <f>VLOOKUP(A627,'Ansvar kurs'!$A$1:$C$1010,2,FALSE)</f>
        <v>2180</v>
      </c>
      <c r="U627" s="31" t="str">
        <f>VLOOKUP(T627,Orgenheter!$A$1:$C$165,2,FALSE)</f>
        <v xml:space="preserve">Pedagogik                     </v>
      </c>
      <c r="V627" s="31" t="str">
        <f>VLOOKUP(T627,Orgenheter!$A$1:$C$165,3,FALSE)</f>
        <v>Sam</v>
      </c>
      <c r="W627" s="37" t="str">
        <f>VLOOKUP(D627,Program!$A$1:$B$34,2,FALSE)</f>
        <v>Ämneslärarprogrammet - Gy</v>
      </c>
      <c r="X627" s="42">
        <f>VLOOKUP(A627,kurspris!$A$1:$Q$798,15,FALSE)</f>
        <v>23641</v>
      </c>
      <c r="Y627" s="42">
        <f>VLOOKUP(A627,kurspris!$A$1:$Q$798,16,FALSE)</f>
        <v>28786</v>
      </c>
      <c r="Z627" s="42">
        <f t="shared" si="332"/>
        <v>6013.6374999999998</v>
      </c>
      <c r="AA627" s="42">
        <f>VLOOKUP(A627,kurspris!$A$1:$Q$798,17,FALSE)</f>
        <v>5800</v>
      </c>
      <c r="AB627" s="42">
        <f t="shared" si="333"/>
        <v>725</v>
      </c>
      <c r="AC627" s="42">
        <f t="shared" si="334"/>
        <v>6738.6374999999998</v>
      </c>
      <c r="AD627" s="31">
        <f>VLOOKUP($A627,kurspris!$A$1:$Q$835,3,FALSE)</f>
        <v>0</v>
      </c>
      <c r="AE627" s="31">
        <f>VLOOKUP($A627,kurspris!$A$1:$Q$835,4,FALSE)</f>
        <v>0</v>
      </c>
      <c r="AF627" s="31">
        <f>VLOOKUP($A627,kurspris!$A$1:$Q$835,5,FALSE)</f>
        <v>0</v>
      </c>
      <c r="AG627" s="31">
        <f>VLOOKUP($A627,kurspris!$A$1:$Q$835,6,FALSE)</f>
        <v>1</v>
      </c>
      <c r="AH627" s="31">
        <f>VLOOKUP($A627,kurspris!$A$1:$Q$835,7,FALSE)</f>
        <v>0</v>
      </c>
      <c r="AI627" s="31">
        <f>VLOOKUP($A627,kurspris!$A$1:$Q$835,8,FALSE)</f>
        <v>0</v>
      </c>
      <c r="AJ627" s="31">
        <f>VLOOKUP($A627,kurspris!$A$1:$Q$835,9,FALSE)</f>
        <v>0</v>
      </c>
      <c r="AK627" s="31">
        <f>VLOOKUP($A627,kurspris!$A$1:$Q$835,10,FALSE)</f>
        <v>0</v>
      </c>
      <c r="AL627" s="31">
        <f>VLOOKUP($A627,kurspris!$A$1:$Q$835,11,FALSE)</f>
        <v>0</v>
      </c>
      <c r="AM627" s="31">
        <f>VLOOKUP($A627,kurspris!$A$1:$Q$835,12,FALSE)</f>
        <v>0</v>
      </c>
      <c r="AN627" s="31">
        <f>VLOOKUP($A627,kurspris!$A$1:$Q$835,13,FALSE)</f>
        <v>0</v>
      </c>
      <c r="AO627" s="31">
        <f>VLOOKUP($A627,kurspris!$A$1:$Q$835,14,FALSE)</f>
        <v>0</v>
      </c>
      <c r="AP627" s="39" t="s">
        <v>2326</v>
      </c>
      <c r="AQ627"/>
      <c r="AR627" s="31">
        <f t="shared" si="335"/>
        <v>0</v>
      </c>
      <c r="AS627" s="255">
        <f t="shared" si="336"/>
        <v>0</v>
      </c>
      <c r="AT627" s="31">
        <f t="shared" si="337"/>
        <v>0</v>
      </c>
      <c r="AU627" s="255">
        <f t="shared" si="338"/>
        <v>0</v>
      </c>
      <c r="AV627" s="31">
        <f t="shared" si="339"/>
        <v>0</v>
      </c>
      <c r="AW627" s="31">
        <f t="shared" si="340"/>
        <v>0</v>
      </c>
      <c r="AX627" s="31">
        <f t="shared" si="341"/>
        <v>0.125</v>
      </c>
      <c r="AY627" s="255">
        <f t="shared" si="342"/>
        <v>0.10625</v>
      </c>
      <c r="AZ627" s="232">
        <f t="shared" si="343"/>
        <v>0</v>
      </c>
      <c r="BA627" s="255">
        <f t="shared" si="344"/>
        <v>0</v>
      </c>
      <c r="BB627" s="31">
        <f t="shared" si="345"/>
        <v>0</v>
      </c>
      <c r="BC627" s="255">
        <f t="shared" si="346"/>
        <v>0</v>
      </c>
      <c r="BD627" s="31">
        <f t="shared" si="347"/>
        <v>0</v>
      </c>
      <c r="BE627" s="255">
        <f t="shared" si="348"/>
        <v>0</v>
      </c>
      <c r="BF627" s="31">
        <f t="shared" si="349"/>
        <v>0</v>
      </c>
      <c r="BG627" s="255">
        <f t="shared" si="350"/>
        <v>0</v>
      </c>
      <c r="BH627" s="31">
        <f t="shared" si="351"/>
        <v>0</v>
      </c>
      <c r="BI627" s="255">
        <f t="shared" si="352"/>
        <v>0</v>
      </c>
      <c r="BJ627" s="31">
        <f t="shared" si="353"/>
        <v>0</v>
      </c>
      <c r="BK627" s="31">
        <f t="shared" si="354"/>
        <v>0</v>
      </c>
      <c r="BL627" s="255">
        <f t="shared" si="355"/>
        <v>0</v>
      </c>
      <c r="BM627" s="31">
        <f t="shared" si="356"/>
        <v>0</v>
      </c>
      <c r="BN627" s="255">
        <f t="shared" si="357"/>
        <v>0</v>
      </c>
    </row>
    <row r="628" spans="1:66" x14ac:dyDescent="0.25">
      <c r="A628" s="18" t="s">
        <v>1285</v>
      </c>
      <c r="B628" s="186" t="str">
        <f>VLOOKUP(A628,kurspris!$A$1:$B$877,2,FALSE)</f>
        <v>Lärande och undervisning</v>
      </c>
      <c r="C628" s="37"/>
      <c r="D628" s="31" t="s">
        <v>483</v>
      </c>
      <c r="E628" s="31" t="s">
        <v>1931</v>
      </c>
      <c r="F628" s="59" t="s">
        <v>1931</v>
      </c>
      <c r="G628" s="31" t="s">
        <v>2278</v>
      </c>
      <c r="J628" t="s">
        <v>776</v>
      </c>
      <c r="L628" s="31">
        <v>100</v>
      </c>
      <c r="M628" s="31">
        <v>7.5</v>
      </c>
      <c r="P628" s="31">
        <v>8</v>
      </c>
      <c r="Q628" s="232">
        <f t="shared" si="330"/>
        <v>1</v>
      </c>
      <c r="R628" s="40">
        <v>0.85</v>
      </c>
      <c r="S628" s="334">
        <f t="shared" si="331"/>
        <v>0.85</v>
      </c>
      <c r="T628" s="31">
        <f>VLOOKUP(A628,'Ansvar kurs'!$A$1:$C$1010,2,FALSE)</f>
        <v>2180</v>
      </c>
      <c r="U628" s="31" t="str">
        <f>VLOOKUP(T628,Orgenheter!$A$1:$C$165,2,FALSE)</f>
        <v xml:space="preserve">Pedagogik                     </v>
      </c>
      <c r="V628" s="31" t="str">
        <f>VLOOKUP(T628,Orgenheter!$A$1:$C$165,3,FALSE)</f>
        <v>Sam</v>
      </c>
      <c r="W628" s="37" t="str">
        <f>VLOOKUP(D628,Program!$A$1:$B$34,2,FALSE)</f>
        <v>Ämneslärarprogrammet - Gy</v>
      </c>
      <c r="X628" s="42">
        <f>VLOOKUP(A628,kurspris!$A$1:$Q$798,15,FALSE)</f>
        <v>23641</v>
      </c>
      <c r="Y628" s="42">
        <f>VLOOKUP(A628,kurspris!$A$1:$Q$798,16,FALSE)</f>
        <v>28786</v>
      </c>
      <c r="Z628" s="42">
        <f t="shared" si="332"/>
        <v>48109.1</v>
      </c>
      <c r="AA628" s="42">
        <f>VLOOKUP(A628,kurspris!$A$1:$Q$798,17,FALSE)</f>
        <v>5800</v>
      </c>
      <c r="AB628" s="42">
        <f t="shared" si="333"/>
        <v>5800</v>
      </c>
      <c r="AC628" s="42">
        <f t="shared" si="334"/>
        <v>53909.1</v>
      </c>
      <c r="AD628" s="31">
        <f>VLOOKUP($A628,kurspris!$A$1:$Q$835,3,FALSE)</f>
        <v>0</v>
      </c>
      <c r="AE628" s="31">
        <f>VLOOKUP($A628,kurspris!$A$1:$Q$835,4,FALSE)</f>
        <v>0</v>
      </c>
      <c r="AF628" s="31">
        <f>VLOOKUP($A628,kurspris!$A$1:$Q$835,5,FALSE)</f>
        <v>0</v>
      </c>
      <c r="AG628" s="31">
        <f>VLOOKUP($A628,kurspris!$A$1:$Q$835,6,FALSE)</f>
        <v>1</v>
      </c>
      <c r="AH628" s="31">
        <f>VLOOKUP($A628,kurspris!$A$1:$Q$835,7,FALSE)</f>
        <v>0</v>
      </c>
      <c r="AI628" s="31">
        <f>VLOOKUP($A628,kurspris!$A$1:$Q$835,8,FALSE)</f>
        <v>0</v>
      </c>
      <c r="AJ628" s="31">
        <f>VLOOKUP($A628,kurspris!$A$1:$Q$835,9,FALSE)</f>
        <v>0</v>
      </c>
      <c r="AK628" s="31">
        <f>VLOOKUP($A628,kurspris!$A$1:$Q$835,10,FALSE)</f>
        <v>0</v>
      </c>
      <c r="AL628" s="31">
        <f>VLOOKUP($A628,kurspris!$A$1:$Q$835,11,FALSE)</f>
        <v>0</v>
      </c>
      <c r="AM628" s="31">
        <f>VLOOKUP($A628,kurspris!$A$1:$Q$835,12,FALSE)</f>
        <v>0</v>
      </c>
      <c r="AN628" s="31">
        <f>VLOOKUP($A628,kurspris!$A$1:$Q$835,13,FALSE)</f>
        <v>0</v>
      </c>
      <c r="AO628" s="31">
        <f>VLOOKUP($A628,kurspris!$A$1:$Q$835,14,FALSE)</f>
        <v>0</v>
      </c>
      <c r="AP628" s="39" t="s">
        <v>2326</v>
      </c>
      <c r="AQ628"/>
      <c r="AR628" s="31">
        <f t="shared" si="335"/>
        <v>0</v>
      </c>
      <c r="AS628" s="255">
        <f t="shared" si="336"/>
        <v>0</v>
      </c>
      <c r="AT628" s="31">
        <f t="shared" si="337"/>
        <v>0</v>
      </c>
      <c r="AU628" s="255">
        <f t="shared" si="338"/>
        <v>0</v>
      </c>
      <c r="AV628" s="31">
        <f t="shared" si="339"/>
        <v>0</v>
      </c>
      <c r="AW628" s="31">
        <f t="shared" si="340"/>
        <v>0</v>
      </c>
      <c r="AX628" s="31">
        <f t="shared" si="341"/>
        <v>1</v>
      </c>
      <c r="AY628" s="255">
        <f t="shared" si="342"/>
        <v>0.85</v>
      </c>
      <c r="AZ628" s="232">
        <f t="shared" si="343"/>
        <v>0</v>
      </c>
      <c r="BA628" s="255">
        <f t="shared" si="344"/>
        <v>0</v>
      </c>
      <c r="BB628" s="31">
        <f t="shared" si="345"/>
        <v>0</v>
      </c>
      <c r="BC628" s="255">
        <f t="shared" si="346"/>
        <v>0</v>
      </c>
      <c r="BD628" s="31">
        <f t="shared" si="347"/>
        <v>0</v>
      </c>
      <c r="BE628" s="255">
        <f t="shared" si="348"/>
        <v>0</v>
      </c>
      <c r="BF628" s="31">
        <f t="shared" si="349"/>
        <v>0</v>
      </c>
      <c r="BG628" s="255">
        <f t="shared" si="350"/>
        <v>0</v>
      </c>
      <c r="BH628" s="31">
        <f t="shared" si="351"/>
        <v>0</v>
      </c>
      <c r="BI628" s="255">
        <f t="shared" si="352"/>
        <v>0</v>
      </c>
      <c r="BJ628" s="31">
        <f t="shared" si="353"/>
        <v>0</v>
      </c>
      <c r="BK628" s="31">
        <f t="shared" si="354"/>
        <v>0</v>
      </c>
      <c r="BL628" s="255">
        <f t="shared" si="355"/>
        <v>0</v>
      </c>
      <c r="BM628" s="31">
        <f t="shared" si="356"/>
        <v>0</v>
      </c>
      <c r="BN628" s="255">
        <f t="shared" si="357"/>
        <v>0</v>
      </c>
    </row>
    <row r="629" spans="1:66" x14ac:dyDescent="0.25">
      <c r="A629" s="18" t="s">
        <v>1285</v>
      </c>
      <c r="B629" s="186" t="str">
        <f>VLOOKUP(A629,kurspris!$A$1:$B$877,2,FALSE)</f>
        <v>Lärande och undervisning</v>
      </c>
      <c r="C629" s="37"/>
      <c r="D629" s="31" t="s">
        <v>483</v>
      </c>
      <c r="E629" s="31" t="s">
        <v>1931</v>
      </c>
      <c r="F629" s="59" t="s">
        <v>1931</v>
      </c>
      <c r="G629" s="31" t="s">
        <v>2278</v>
      </c>
      <c r="J629" t="s">
        <v>777</v>
      </c>
      <c r="L629" s="31">
        <v>100</v>
      </c>
      <c r="M629" s="31">
        <v>7.5</v>
      </c>
      <c r="P629" s="31">
        <v>18</v>
      </c>
      <c r="Q629" s="232">
        <f t="shared" si="330"/>
        <v>2.25</v>
      </c>
      <c r="R629" s="40">
        <v>0.85</v>
      </c>
      <c r="S629" s="334">
        <f t="shared" si="331"/>
        <v>1.9124999999999999</v>
      </c>
      <c r="T629" s="31">
        <f>VLOOKUP(A629,'Ansvar kurs'!$A$1:$C$1010,2,FALSE)</f>
        <v>2180</v>
      </c>
      <c r="U629" s="31" t="str">
        <f>VLOOKUP(T629,Orgenheter!$A$1:$C$165,2,FALSE)</f>
        <v xml:space="preserve">Pedagogik                     </v>
      </c>
      <c r="V629" s="31" t="str">
        <f>VLOOKUP(T629,Orgenheter!$A$1:$C$165,3,FALSE)</f>
        <v>Sam</v>
      </c>
      <c r="W629" s="37" t="str">
        <f>VLOOKUP(D629,Program!$A$1:$B$34,2,FALSE)</f>
        <v>Ämneslärarprogrammet - Gy</v>
      </c>
      <c r="X629" s="42">
        <f>VLOOKUP(A629,kurspris!$A$1:$Q$798,15,FALSE)</f>
        <v>23641</v>
      </c>
      <c r="Y629" s="42">
        <f>VLOOKUP(A629,kurspris!$A$1:$Q$798,16,FALSE)</f>
        <v>28786</v>
      </c>
      <c r="Z629" s="42">
        <f t="shared" si="332"/>
        <v>108245.47500000001</v>
      </c>
      <c r="AA629" s="42">
        <f>VLOOKUP(A629,kurspris!$A$1:$Q$798,17,FALSE)</f>
        <v>5800</v>
      </c>
      <c r="AB629" s="42">
        <f t="shared" si="333"/>
        <v>13050</v>
      </c>
      <c r="AC629" s="42">
        <f t="shared" si="334"/>
        <v>121295.47500000001</v>
      </c>
      <c r="AD629" s="31">
        <f>VLOOKUP($A629,kurspris!$A$1:$Q$835,3,FALSE)</f>
        <v>0</v>
      </c>
      <c r="AE629" s="31">
        <f>VLOOKUP($A629,kurspris!$A$1:$Q$835,4,FALSE)</f>
        <v>0</v>
      </c>
      <c r="AF629" s="31">
        <f>VLOOKUP($A629,kurspris!$A$1:$Q$835,5,FALSE)</f>
        <v>0</v>
      </c>
      <c r="AG629" s="31">
        <f>VLOOKUP($A629,kurspris!$A$1:$Q$835,6,FALSE)</f>
        <v>1</v>
      </c>
      <c r="AH629" s="31">
        <f>VLOOKUP($A629,kurspris!$A$1:$Q$835,7,FALSE)</f>
        <v>0</v>
      </c>
      <c r="AI629" s="31">
        <f>VLOOKUP($A629,kurspris!$A$1:$Q$835,8,FALSE)</f>
        <v>0</v>
      </c>
      <c r="AJ629" s="31">
        <f>VLOOKUP($A629,kurspris!$A$1:$Q$835,9,FALSE)</f>
        <v>0</v>
      </c>
      <c r="AK629" s="31">
        <f>VLOOKUP($A629,kurspris!$A$1:$Q$835,10,FALSE)</f>
        <v>0</v>
      </c>
      <c r="AL629" s="31">
        <f>VLOOKUP($A629,kurspris!$A$1:$Q$835,11,FALSE)</f>
        <v>0</v>
      </c>
      <c r="AM629" s="31">
        <f>VLOOKUP($A629,kurspris!$A$1:$Q$835,12,FALSE)</f>
        <v>0</v>
      </c>
      <c r="AN629" s="31">
        <f>VLOOKUP($A629,kurspris!$A$1:$Q$835,13,FALSE)</f>
        <v>0</v>
      </c>
      <c r="AO629" s="31">
        <f>VLOOKUP($A629,kurspris!$A$1:$Q$835,14,FALSE)</f>
        <v>0</v>
      </c>
      <c r="AP629" s="39" t="s">
        <v>2326</v>
      </c>
      <c r="AQ629"/>
      <c r="AR629" s="31">
        <f t="shared" si="335"/>
        <v>0</v>
      </c>
      <c r="AS629" s="255">
        <f t="shared" si="336"/>
        <v>0</v>
      </c>
      <c r="AT629" s="31">
        <f t="shared" si="337"/>
        <v>0</v>
      </c>
      <c r="AU629" s="255">
        <f t="shared" si="338"/>
        <v>0</v>
      </c>
      <c r="AV629" s="31">
        <f t="shared" si="339"/>
        <v>0</v>
      </c>
      <c r="AW629" s="31">
        <f t="shared" si="340"/>
        <v>0</v>
      </c>
      <c r="AX629" s="31">
        <f t="shared" si="341"/>
        <v>2.25</v>
      </c>
      <c r="AY629" s="255">
        <f t="shared" si="342"/>
        <v>1.9124999999999999</v>
      </c>
      <c r="AZ629" s="232">
        <f t="shared" si="343"/>
        <v>0</v>
      </c>
      <c r="BA629" s="255">
        <f t="shared" si="344"/>
        <v>0</v>
      </c>
      <c r="BB629" s="31">
        <f t="shared" si="345"/>
        <v>0</v>
      </c>
      <c r="BC629" s="255">
        <f t="shared" si="346"/>
        <v>0</v>
      </c>
      <c r="BD629" s="31">
        <f t="shared" si="347"/>
        <v>0</v>
      </c>
      <c r="BE629" s="255">
        <f t="shared" si="348"/>
        <v>0</v>
      </c>
      <c r="BF629" s="31">
        <f t="shared" si="349"/>
        <v>0</v>
      </c>
      <c r="BG629" s="255">
        <f t="shared" si="350"/>
        <v>0</v>
      </c>
      <c r="BH629" s="31">
        <f t="shared" si="351"/>
        <v>0</v>
      </c>
      <c r="BI629" s="255">
        <f t="shared" si="352"/>
        <v>0</v>
      </c>
      <c r="BJ629" s="31">
        <f t="shared" si="353"/>
        <v>0</v>
      </c>
      <c r="BK629" s="31">
        <f t="shared" si="354"/>
        <v>0</v>
      </c>
      <c r="BL629" s="255">
        <f t="shared" si="355"/>
        <v>0</v>
      </c>
      <c r="BM629" s="31">
        <f t="shared" si="356"/>
        <v>0</v>
      </c>
      <c r="BN629" s="255">
        <f t="shared" si="357"/>
        <v>0</v>
      </c>
    </row>
    <row r="630" spans="1:66" x14ac:dyDescent="0.25">
      <c r="A630" s="18" t="s">
        <v>1285</v>
      </c>
      <c r="B630" s="186" t="str">
        <f>VLOOKUP(A630,kurspris!$A$1:$B$877,2,FALSE)</f>
        <v>Lärande och undervisning</v>
      </c>
      <c r="C630" s="37"/>
      <c r="D630" s="31" t="s">
        <v>483</v>
      </c>
      <c r="E630" s="31" t="s">
        <v>1931</v>
      </c>
      <c r="F630" s="59" t="s">
        <v>1931</v>
      </c>
      <c r="G630" s="31" t="s">
        <v>2278</v>
      </c>
      <c r="J630" t="s">
        <v>1803</v>
      </c>
      <c r="L630" s="31">
        <v>100</v>
      </c>
      <c r="M630" s="31">
        <v>7.5</v>
      </c>
      <c r="P630" s="31">
        <v>1</v>
      </c>
      <c r="Q630" s="232">
        <f t="shared" si="330"/>
        <v>0.125</v>
      </c>
      <c r="R630" s="40">
        <v>0.85</v>
      </c>
      <c r="S630" s="334">
        <f t="shared" si="331"/>
        <v>0.10625</v>
      </c>
      <c r="T630" s="31">
        <f>VLOOKUP(A630,'Ansvar kurs'!$A$1:$C$1010,2,FALSE)</f>
        <v>2180</v>
      </c>
      <c r="U630" s="31" t="str">
        <f>VLOOKUP(T630,Orgenheter!$A$1:$C$165,2,FALSE)</f>
        <v xml:space="preserve">Pedagogik                     </v>
      </c>
      <c r="V630" s="31" t="str">
        <f>VLOOKUP(T630,Orgenheter!$A$1:$C$165,3,FALSE)</f>
        <v>Sam</v>
      </c>
      <c r="W630" s="37" t="str">
        <f>VLOOKUP(D630,Program!$A$1:$B$34,2,FALSE)</f>
        <v>Ämneslärarprogrammet - Gy</v>
      </c>
      <c r="X630" s="42">
        <f>VLOOKUP(A630,kurspris!$A$1:$Q$798,15,FALSE)</f>
        <v>23641</v>
      </c>
      <c r="Y630" s="42">
        <f>VLOOKUP(A630,kurspris!$A$1:$Q$798,16,FALSE)</f>
        <v>28786</v>
      </c>
      <c r="Z630" s="42">
        <f t="shared" si="332"/>
        <v>6013.6374999999998</v>
      </c>
      <c r="AA630" s="42">
        <f>VLOOKUP(A630,kurspris!$A$1:$Q$798,17,FALSE)</f>
        <v>5800</v>
      </c>
      <c r="AB630" s="42">
        <f t="shared" si="333"/>
        <v>725</v>
      </c>
      <c r="AC630" s="42">
        <f t="shared" si="334"/>
        <v>6738.6374999999998</v>
      </c>
      <c r="AD630" s="31">
        <f>VLOOKUP($A630,kurspris!$A$1:$Q$835,3,FALSE)</f>
        <v>0</v>
      </c>
      <c r="AE630" s="31">
        <f>VLOOKUP($A630,kurspris!$A$1:$Q$835,4,FALSE)</f>
        <v>0</v>
      </c>
      <c r="AF630" s="31">
        <f>VLOOKUP($A630,kurspris!$A$1:$Q$835,5,FALSE)</f>
        <v>0</v>
      </c>
      <c r="AG630" s="31">
        <f>VLOOKUP($A630,kurspris!$A$1:$Q$835,6,FALSE)</f>
        <v>1</v>
      </c>
      <c r="AH630" s="31">
        <f>VLOOKUP($A630,kurspris!$A$1:$Q$835,7,FALSE)</f>
        <v>0</v>
      </c>
      <c r="AI630" s="31">
        <f>VLOOKUP($A630,kurspris!$A$1:$Q$835,8,FALSE)</f>
        <v>0</v>
      </c>
      <c r="AJ630" s="31">
        <f>VLOOKUP($A630,kurspris!$A$1:$Q$835,9,FALSE)</f>
        <v>0</v>
      </c>
      <c r="AK630" s="31">
        <f>VLOOKUP($A630,kurspris!$A$1:$Q$835,10,FALSE)</f>
        <v>0</v>
      </c>
      <c r="AL630" s="31">
        <f>VLOOKUP($A630,kurspris!$A$1:$Q$835,11,FALSE)</f>
        <v>0</v>
      </c>
      <c r="AM630" s="31">
        <f>VLOOKUP($A630,kurspris!$A$1:$Q$835,12,FALSE)</f>
        <v>0</v>
      </c>
      <c r="AN630" s="31">
        <f>VLOOKUP($A630,kurspris!$A$1:$Q$835,13,FALSE)</f>
        <v>0</v>
      </c>
      <c r="AO630" s="31">
        <f>VLOOKUP($A630,kurspris!$A$1:$Q$835,14,FALSE)</f>
        <v>0</v>
      </c>
      <c r="AP630" s="39" t="s">
        <v>2326</v>
      </c>
      <c r="AQ630"/>
      <c r="AR630" s="31">
        <f t="shared" si="335"/>
        <v>0</v>
      </c>
      <c r="AS630" s="255">
        <f t="shared" si="336"/>
        <v>0</v>
      </c>
      <c r="AT630" s="31">
        <f t="shared" si="337"/>
        <v>0</v>
      </c>
      <c r="AU630" s="255">
        <f t="shared" si="338"/>
        <v>0</v>
      </c>
      <c r="AV630" s="31">
        <f t="shared" si="339"/>
        <v>0</v>
      </c>
      <c r="AW630" s="31">
        <f t="shared" si="340"/>
        <v>0</v>
      </c>
      <c r="AX630" s="31">
        <f t="shared" si="341"/>
        <v>0.125</v>
      </c>
      <c r="AY630" s="255">
        <f t="shared" si="342"/>
        <v>0.10625</v>
      </c>
      <c r="AZ630" s="232">
        <f t="shared" si="343"/>
        <v>0</v>
      </c>
      <c r="BA630" s="255">
        <f t="shared" si="344"/>
        <v>0</v>
      </c>
      <c r="BB630" s="31">
        <f t="shared" si="345"/>
        <v>0</v>
      </c>
      <c r="BC630" s="255">
        <f t="shared" si="346"/>
        <v>0</v>
      </c>
      <c r="BD630" s="31">
        <f t="shared" si="347"/>
        <v>0</v>
      </c>
      <c r="BE630" s="255">
        <f t="shared" si="348"/>
        <v>0</v>
      </c>
      <c r="BF630" s="31">
        <f t="shared" si="349"/>
        <v>0</v>
      </c>
      <c r="BG630" s="255">
        <f t="shared" si="350"/>
        <v>0</v>
      </c>
      <c r="BH630" s="31">
        <f t="shared" si="351"/>
        <v>0</v>
      </c>
      <c r="BI630" s="255">
        <f t="shared" si="352"/>
        <v>0</v>
      </c>
      <c r="BJ630" s="31">
        <f t="shared" si="353"/>
        <v>0</v>
      </c>
      <c r="BK630" s="31">
        <f t="shared" si="354"/>
        <v>0</v>
      </c>
      <c r="BL630" s="255">
        <f t="shared" si="355"/>
        <v>0</v>
      </c>
      <c r="BM630" s="31">
        <f t="shared" si="356"/>
        <v>0</v>
      </c>
      <c r="BN630" s="255">
        <f t="shared" si="357"/>
        <v>0</v>
      </c>
    </row>
    <row r="631" spans="1:66" x14ac:dyDescent="0.25">
      <c r="A631" s="18" t="s">
        <v>1285</v>
      </c>
      <c r="B631" s="186" t="str">
        <f>VLOOKUP(A631,kurspris!$A$1:$B$877,2,FALSE)</f>
        <v>Lärande och undervisning</v>
      </c>
      <c r="C631" s="37"/>
      <c r="D631" s="31" t="s">
        <v>483</v>
      </c>
      <c r="E631" s="31" t="s">
        <v>1931</v>
      </c>
      <c r="F631" s="59" t="s">
        <v>1931</v>
      </c>
      <c r="G631" s="31" t="s">
        <v>2278</v>
      </c>
      <c r="J631" t="s">
        <v>778</v>
      </c>
      <c r="L631" s="31">
        <v>100</v>
      </c>
      <c r="M631" s="31">
        <v>7.5</v>
      </c>
      <c r="P631" s="31">
        <v>13</v>
      </c>
      <c r="Q631" s="232">
        <f t="shared" si="330"/>
        <v>1.625</v>
      </c>
      <c r="R631" s="40">
        <v>0.85</v>
      </c>
      <c r="S631" s="334">
        <f t="shared" si="331"/>
        <v>1.3812499999999999</v>
      </c>
      <c r="T631" s="31">
        <f>VLOOKUP(A631,'Ansvar kurs'!$A$1:$C$1010,2,FALSE)</f>
        <v>2180</v>
      </c>
      <c r="U631" s="31" t="str">
        <f>VLOOKUP(T631,Orgenheter!$A$1:$C$165,2,FALSE)</f>
        <v xml:space="preserve">Pedagogik                     </v>
      </c>
      <c r="V631" s="31" t="str">
        <f>VLOOKUP(T631,Orgenheter!$A$1:$C$165,3,FALSE)</f>
        <v>Sam</v>
      </c>
      <c r="W631" s="37" t="str">
        <f>VLOOKUP(D631,Program!$A$1:$B$34,2,FALSE)</f>
        <v>Ämneslärarprogrammet - Gy</v>
      </c>
      <c r="X631" s="42">
        <f>VLOOKUP(A631,kurspris!$A$1:$Q$798,15,FALSE)</f>
        <v>23641</v>
      </c>
      <c r="Y631" s="42">
        <f>VLOOKUP(A631,kurspris!$A$1:$Q$798,16,FALSE)</f>
        <v>28786</v>
      </c>
      <c r="Z631" s="42">
        <f t="shared" si="332"/>
        <v>78177.287500000006</v>
      </c>
      <c r="AA631" s="42">
        <f>VLOOKUP(A631,kurspris!$A$1:$Q$798,17,FALSE)</f>
        <v>5800</v>
      </c>
      <c r="AB631" s="42">
        <f t="shared" si="333"/>
        <v>9425</v>
      </c>
      <c r="AC631" s="42">
        <f t="shared" si="334"/>
        <v>87602.287500000006</v>
      </c>
      <c r="AD631" s="31">
        <f>VLOOKUP($A631,kurspris!$A$1:$Q$835,3,FALSE)</f>
        <v>0</v>
      </c>
      <c r="AE631" s="31">
        <f>VLOOKUP($A631,kurspris!$A$1:$Q$835,4,FALSE)</f>
        <v>0</v>
      </c>
      <c r="AF631" s="31">
        <f>VLOOKUP($A631,kurspris!$A$1:$Q$835,5,FALSE)</f>
        <v>0</v>
      </c>
      <c r="AG631" s="31">
        <f>VLOOKUP($A631,kurspris!$A$1:$Q$835,6,FALSE)</f>
        <v>1</v>
      </c>
      <c r="AH631" s="31">
        <f>VLOOKUP($A631,kurspris!$A$1:$Q$835,7,FALSE)</f>
        <v>0</v>
      </c>
      <c r="AI631" s="31">
        <f>VLOOKUP($A631,kurspris!$A$1:$Q$835,8,FALSE)</f>
        <v>0</v>
      </c>
      <c r="AJ631" s="31">
        <f>VLOOKUP($A631,kurspris!$A$1:$Q$835,9,FALSE)</f>
        <v>0</v>
      </c>
      <c r="AK631" s="31">
        <f>VLOOKUP($A631,kurspris!$A$1:$Q$835,10,FALSE)</f>
        <v>0</v>
      </c>
      <c r="AL631" s="31">
        <f>VLOOKUP($A631,kurspris!$A$1:$Q$835,11,FALSE)</f>
        <v>0</v>
      </c>
      <c r="AM631" s="31">
        <f>VLOOKUP($A631,kurspris!$A$1:$Q$835,12,FALSE)</f>
        <v>0</v>
      </c>
      <c r="AN631" s="31">
        <f>VLOOKUP($A631,kurspris!$A$1:$Q$835,13,FALSE)</f>
        <v>0</v>
      </c>
      <c r="AO631" s="31">
        <f>VLOOKUP($A631,kurspris!$A$1:$Q$835,14,FALSE)</f>
        <v>0</v>
      </c>
      <c r="AP631" s="39" t="s">
        <v>2326</v>
      </c>
      <c r="AQ631"/>
      <c r="AR631" s="31">
        <f t="shared" si="335"/>
        <v>0</v>
      </c>
      <c r="AS631" s="255">
        <f t="shared" si="336"/>
        <v>0</v>
      </c>
      <c r="AT631" s="31">
        <f t="shared" si="337"/>
        <v>0</v>
      </c>
      <c r="AU631" s="255">
        <f t="shared" si="338"/>
        <v>0</v>
      </c>
      <c r="AV631" s="31">
        <f t="shared" si="339"/>
        <v>0</v>
      </c>
      <c r="AW631" s="31">
        <f t="shared" si="340"/>
        <v>0</v>
      </c>
      <c r="AX631" s="31">
        <f t="shared" si="341"/>
        <v>1.625</v>
      </c>
      <c r="AY631" s="255">
        <f t="shared" si="342"/>
        <v>1.3812499999999999</v>
      </c>
      <c r="AZ631" s="232">
        <f t="shared" si="343"/>
        <v>0</v>
      </c>
      <c r="BA631" s="255">
        <f t="shared" si="344"/>
        <v>0</v>
      </c>
      <c r="BB631" s="31">
        <f t="shared" si="345"/>
        <v>0</v>
      </c>
      <c r="BC631" s="255">
        <f t="shared" si="346"/>
        <v>0</v>
      </c>
      <c r="BD631" s="31">
        <f t="shared" si="347"/>
        <v>0</v>
      </c>
      <c r="BE631" s="255">
        <f t="shared" si="348"/>
        <v>0</v>
      </c>
      <c r="BF631" s="31">
        <f t="shared" si="349"/>
        <v>0</v>
      </c>
      <c r="BG631" s="255">
        <f t="shared" si="350"/>
        <v>0</v>
      </c>
      <c r="BH631" s="31">
        <f t="shared" si="351"/>
        <v>0</v>
      </c>
      <c r="BI631" s="255">
        <f t="shared" si="352"/>
        <v>0</v>
      </c>
      <c r="BJ631" s="31">
        <f t="shared" si="353"/>
        <v>0</v>
      </c>
      <c r="BK631" s="31">
        <f t="shared" si="354"/>
        <v>0</v>
      </c>
      <c r="BL631" s="255">
        <f t="shared" si="355"/>
        <v>0</v>
      </c>
      <c r="BM631" s="31">
        <f t="shared" si="356"/>
        <v>0</v>
      </c>
      <c r="BN631" s="255">
        <f t="shared" si="357"/>
        <v>0</v>
      </c>
    </row>
    <row r="632" spans="1:66" x14ac:dyDescent="0.25">
      <c r="A632" s="18" t="s">
        <v>1285</v>
      </c>
      <c r="B632" s="186" t="str">
        <f>VLOOKUP(A632,kurspris!$A$1:$B$877,2,FALSE)</f>
        <v>Lärande och undervisning</v>
      </c>
      <c r="C632" s="37"/>
      <c r="D632" s="31" t="s">
        <v>483</v>
      </c>
      <c r="E632" s="31" t="s">
        <v>1931</v>
      </c>
      <c r="F632" s="59" t="s">
        <v>1931</v>
      </c>
      <c r="G632" s="31" t="s">
        <v>2278</v>
      </c>
      <c r="J632" t="s">
        <v>1592</v>
      </c>
      <c r="L632" s="31">
        <v>100</v>
      </c>
      <c r="M632" s="31">
        <v>7.5</v>
      </c>
      <c r="P632" s="31">
        <v>3</v>
      </c>
      <c r="Q632" s="232">
        <f t="shared" si="330"/>
        <v>0.375</v>
      </c>
      <c r="R632" s="40">
        <v>0.85</v>
      </c>
      <c r="S632" s="334">
        <f t="shared" si="331"/>
        <v>0.31874999999999998</v>
      </c>
      <c r="T632" s="31">
        <f>VLOOKUP(A632,'Ansvar kurs'!$A$1:$C$1010,2,FALSE)</f>
        <v>2180</v>
      </c>
      <c r="U632" s="31" t="str">
        <f>VLOOKUP(T632,Orgenheter!$A$1:$C$165,2,FALSE)</f>
        <v xml:space="preserve">Pedagogik                     </v>
      </c>
      <c r="V632" s="31" t="str">
        <f>VLOOKUP(T632,Orgenheter!$A$1:$C$165,3,FALSE)</f>
        <v>Sam</v>
      </c>
      <c r="W632" s="37" t="str">
        <f>VLOOKUP(D632,Program!$A$1:$B$34,2,FALSE)</f>
        <v>Ämneslärarprogrammet - Gy</v>
      </c>
      <c r="X632" s="42">
        <f>VLOOKUP(A632,kurspris!$A$1:$Q$798,15,FALSE)</f>
        <v>23641</v>
      </c>
      <c r="Y632" s="42">
        <f>VLOOKUP(A632,kurspris!$A$1:$Q$798,16,FALSE)</f>
        <v>28786</v>
      </c>
      <c r="Z632" s="42">
        <f t="shared" si="332"/>
        <v>18040.912499999999</v>
      </c>
      <c r="AA632" s="42">
        <f>VLOOKUP(A632,kurspris!$A$1:$Q$798,17,FALSE)</f>
        <v>5800</v>
      </c>
      <c r="AB632" s="42">
        <f t="shared" si="333"/>
        <v>2175</v>
      </c>
      <c r="AC632" s="42">
        <f t="shared" si="334"/>
        <v>20215.912499999999</v>
      </c>
      <c r="AD632" s="31">
        <f>VLOOKUP($A632,kurspris!$A$1:$Q$835,3,FALSE)</f>
        <v>0</v>
      </c>
      <c r="AE632" s="31">
        <f>VLOOKUP($A632,kurspris!$A$1:$Q$835,4,FALSE)</f>
        <v>0</v>
      </c>
      <c r="AF632" s="31">
        <f>VLOOKUP($A632,kurspris!$A$1:$Q$835,5,FALSE)</f>
        <v>0</v>
      </c>
      <c r="AG632" s="31">
        <f>VLOOKUP($A632,kurspris!$A$1:$Q$835,6,FALSE)</f>
        <v>1</v>
      </c>
      <c r="AH632" s="31">
        <f>VLOOKUP($A632,kurspris!$A$1:$Q$835,7,FALSE)</f>
        <v>0</v>
      </c>
      <c r="AI632" s="31">
        <f>VLOOKUP($A632,kurspris!$A$1:$Q$835,8,FALSE)</f>
        <v>0</v>
      </c>
      <c r="AJ632" s="31">
        <f>VLOOKUP($A632,kurspris!$A$1:$Q$835,9,FALSE)</f>
        <v>0</v>
      </c>
      <c r="AK632" s="31">
        <f>VLOOKUP($A632,kurspris!$A$1:$Q$835,10,FALSE)</f>
        <v>0</v>
      </c>
      <c r="AL632" s="31">
        <f>VLOOKUP($A632,kurspris!$A$1:$Q$835,11,FALSE)</f>
        <v>0</v>
      </c>
      <c r="AM632" s="31">
        <f>VLOOKUP($A632,kurspris!$A$1:$Q$835,12,FALSE)</f>
        <v>0</v>
      </c>
      <c r="AN632" s="31">
        <f>VLOOKUP($A632,kurspris!$A$1:$Q$835,13,FALSE)</f>
        <v>0</v>
      </c>
      <c r="AO632" s="31">
        <f>VLOOKUP($A632,kurspris!$A$1:$Q$835,14,FALSE)</f>
        <v>0</v>
      </c>
      <c r="AP632" s="39" t="s">
        <v>2326</v>
      </c>
      <c r="AQ632"/>
      <c r="AR632" s="31">
        <f t="shared" si="335"/>
        <v>0</v>
      </c>
      <c r="AS632" s="255">
        <f t="shared" si="336"/>
        <v>0</v>
      </c>
      <c r="AT632" s="31">
        <f t="shared" si="337"/>
        <v>0</v>
      </c>
      <c r="AU632" s="255">
        <f t="shared" si="338"/>
        <v>0</v>
      </c>
      <c r="AV632" s="31">
        <f t="shared" si="339"/>
        <v>0</v>
      </c>
      <c r="AW632" s="31">
        <f t="shared" si="340"/>
        <v>0</v>
      </c>
      <c r="AX632" s="31">
        <f t="shared" si="341"/>
        <v>0.375</v>
      </c>
      <c r="AY632" s="255">
        <f t="shared" si="342"/>
        <v>0.31874999999999998</v>
      </c>
      <c r="AZ632" s="232">
        <f t="shared" si="343"/>
        <v>0</v>
      </c>
      <c r="BA632" s="255">
        <f t="shared" si="344"/>
        <v>0</v>
      </c>
      <c r="BB632" s="31">
        <f t="shared" si="345"/>
        <v>0</v>
      </c>
      <c r="BC632" s="255">
        <f t="shared" si="346"/>
        <v>0</v>
      </c>
      <c r="BD632" s="31">
        <f t="shared" si="347"/>
        <v>0</v>
      </c>
      <c r="BE632" s="255">
        <f t="shared" si="348"/>
        <v>0</v>
      </c>
      <c r="BF632" s="31">
        <f t="shared" si="349"/>
        <v>0</v>
      </c>
      <c r="BG632" s="255">
        <f t="shared" si="350"/>
        <v>0</v>
      </c>
      <c r="BH632" s="31">
        <f t="shared" si="351"/>
        <v>0</v>
      </c>
      <c r="BI632" s="255">
        <f t="shared" si="352"/>
        <v>0</v>
      </c>
      <c r="BJ632" s="31">
        <f t="shared" si="353"/>
        <v>0</v>
      </c>
      <c r="BK632" s="31">
        <f t="shared" si="354"/>
        <v>0</v>
      </c>
      <c r="BL632" s="255">
        <f t="shared" si="355"/>
        <v>0</v>
      </c>
      <c r="BM632" s="31">
        <f t="shared" si="356"/>
        <v>0</v>
      </c>
      <c r="BN632" s="255">
        <f t="shared" si="357"/>
        <v>0</v>
      </c>
    </row>
    <row r="633" spans="1:66" x14ac:dyDescent="0.25">
      <c r="A633" s="18" t="s">
        <v>1285</v>
      </c>
      <c r="B633" s="186" t="str">
        <f>VLOOKUP(A633,kurspris!$A$1:$B$877,2,FALSE)</f>
        <v>Lärande och undervisning</v>
      </c>
      <c r="C633" s="37"/>
      <c r="D633" s="31" t="s">
        <v>483</v>
      </c>
      <c r="E633" s="31" t="s">
        <v>1931</v>
      </c>
      <c r="F633" s="59" t="s">
        <v>1931</v>
      </c>
      <c r="G633" s="31" t="s">
        <v>2278</v>
      </c>
      <c r="J633" t="s">
        <v>1593</v>
      </c>
      <c r="L633" s="31">
        <v>100</v>
      </c>
      <c r="M633" s="31">
        <v>7.5</v>
      </c>
      <c r="P633" s="31">
        <v>2</v>
      </c>
      <c r="Q633" s="232">
        <f t="shared" si="330"/>
        <v>0.25</v>
      </c>
      <c r="R633" s="40">
        <v>0.85</v>
      </c>
      <c r="S633" s="334">
        <f t="shared" si="331"/>
        <v>0.21249999999999999</v>
      </c>
      <c r="T633" s="31">
        <f>VLOOKUP(A633,'Ansvar kurs'!$A$1:$C$1010,2,FALSE)</f>
        <v>2180</v>
      </c>
      <c r="U633" s="31" t="str">
        <f>VLOOKUP(T633,Orgenheter!$A$1:$C$165,2,FALSE)</f>
        <v xml:space="preserve">Pedagogik                     </v>
      </c>
      <c r="V633" s="31" t="str">
        <f>VLOOKUP(T633,Orgenheter!$A$1:$C$165,3,FALSE)</f>
        <v>Sam</v>
      </c>
      <c r="W633" s="37" t="str">
        <f>VLOOKUP(D633,Program!$A$1:$B$34,2,FALSE)</f>
        <v>Ämneslärarprogrammet - Gy</v>
      </c>
      <c r="X633" s="42">
        <f>VLOOKUP(A633,kurspris!$A$1:$Q$798,15,FALSE)</f>
        <v>23641</v>
      </c>
      <c r="Y633" s="42">
        <f>VLOOKUP(A633,kurspris!$A$1:$Q$798,16,FALSE)</f>
        <v>28786</v>
      </c>
      <c r="Z633" s="42">
        <f t="shared" si="332"/>
        <v>12027.275</v>
      </c>
      <c r="AA633" s="42">
        <f>VLOOKUP(A633,kurspris!$A$1:$Q$798,17,FALSE)</f>
        <v>5800</v>
      </c>
      <c r="AB633" s="42">
        <f t="shared" si="333"/>
        <v>1450</v>
      </c>
      <c r="AC633" s="42">
        <f t="shared" si="334"/>
        <v>13477.275</v>
      </c>
      <c r="AD633" s="31">
        <f>VLOOKUP($A633,kurspris!$A$1:$Q$835,3,FALSE)</f>
        <v>0</v>
      </c>
      <c r="AE633" s="31">
        <f>VLOOKUP($A633,kurspris!$A$1:$Q$835,4,FALSE)</f>
        <v>0</v>
      </c>
      <c r="AF633" s="31">
        <f>VLOOKUP($A633,kurspris!$A$1:$Q$835,5,FALSE)</f>
        <v>0</v>
      </c>
      <c r="AG633" s="31">
        <f>VLOOKUP($A633,kurspris!$A$1:$Q$835,6,FALSE)</f>
        <v>1</v>
      </c>
      <c r="AH633" s="31">
        <f>VLOOKUP($A633,kurspris!$A$1:$Q$835,7,FALSE)</f>
        <v>0</v>
      </c>
      <c r="AI633" s="31">
        <f>VLOOKUP($A633,kurspris!$A$1:$Q$835,8,FALSE)</f>
        <v>0</v>
      </c>
      <c r="AJ633" s="31">
        <f>VLOOKUP($A633,kurspris!$A$1:$Q$835,9,FALSE)</f>
        <v>0</v>
      </c>
      <c r="AK633" s="31">
        <f>VLOOKUP($A633,kurspris!$A$1:$Q$835,10,FALSE)</f>
        <v>0</v>
      </c>
      <c r="AL633" s="31">
        <f>VLOOKUP($A633,kurspris!$A$1:$Q$835,11,FALSE)</f>
        <v>0</v>
      </c>
      <c r="AM633" s="31">
        <f>VLOOKUP($A633,kurspris!$A$1:$Q$835,12,FALSE)</f>
        <v>0</v>
      </c>
      <c r="AN633" s="31">
        <f>VLOOKUP($A633,kurspris!$A$1:$Q$835,13,FALSE)</f>
        <v>0</v>
      </c>
      <c r="AO633" s="31">
        <f>VLOOKUP($A633,kurspris!$A$1:$Q$835,14,FALSE)</f>
        <v>0</v>
      </c>
      <c r="AP633" s="39" t="s">
        <v>2326</v>
      </c>
      <c r="AQ633"/>
      <c r="AR633" s="31">
        <f t="shared" si="335"/>
        <v>0</v>
      </c>
      <c r="AS633" s="255">
        <f t="shared" si="336"/>
        <v>0</v>
      </c>
      <c r="AT633" s="31">
        <f t="shared" si="337"/>
        <v>0</v>
      </c>
      <c r="AU633" s="255">
        <f t="shared" si="338"/>
        <v>0</v>
      </c>
      <c r="AV633" s="31">
        <f t="shared" si="339"/>
        <v>0</v>
      </c>
      <c r="AW633" s="31">
        <f t="shared" si="340"/>
        <v>0</v>
      </c>
      <c r="AX633" s="31">
        <f t="shared" si="341"/>
        <v>0.25</v>
      </c>
      <c r="AY633" s="255">
        <f t="shared" si="342"/>
        <v>0.21249999999999999</v>
      </c>
      <c r="AZ633" s="232">
        <f t="shared" si="343"/>
        <v>0</v>
      </c>
      <c r="BA633" s="255">
        <f t="shared" si="344"/>
        <v>0</v>
      </c>
      <c r="BB633" s="31">
        <f t="shared" si="345"/>
        <v>0</v>
      </c>
      <c r="BC633" s="255">
        <f t="shared" si="346"/>
        <v>0</v>
      </c>
      <c r="BD633" s="31">
        <f t="shared" si="347"/>
        <v>0</v>
      </c>
      <c r="BE633" s="255">
        <f t="shared" si="348"/>
        <v>0</v>
      </c>
      <c r="BF633" s="31">
        <f t="shared" si="349"/>
        <v>0</v>
      </c>
      <c r="BG633" s="255">
        <f t="shared" si="350"/>
        <v>0</v>
      </c>
      <c r="BH633" s="31">
        <f t="shared" si="351"/>
        <v>0</v>
      </c>
      <c r="BI633" s="255">
        <f t="shared" si="352"/>
        <v>0</v>
      </c>
      <c r="BJ633" s="31">
        <f t="shared" si="353"/>
        <v>0</v>
      </c>
      <c r="BK633" s="31">
        <f t="shared" si="354"/>
        <v>0</v>
      </c>
      <c r="BL633" s="255">
        <f t="shared" si="355"/>
        <v>0</v>
      </c>
      <c r="BM633" s="31">
        <f t="shared" si="356"/>
        <v>0</v>
      </c>
      <c r="BN633" s="255">
        <f t="shared" si="357"/>
        <v>0</v>
      </c>
    </row>
    <row r="634" spans="1:66" x14ac:dyDescent="0.25">
      <c r="A634" s="18" t="s">
        <v>1285</v>
      </c>
      <c r="B634" s="186" t="str">
        <f>VLOOKUP(A634,kurspris!$A$1:$B$877,2,FALSE)</f>
        <v>Lärande och undervisning</v>
      </c>
      <c r="C634" s="37"/>
      <c r="D634" s="31" t="s">
        <v>484</v>
      </c>
      <c r="E634" s="31" t="s">
        <v>1931</v>
      </c>
      <c r="F634" s="59" t="s">
        <v>1931</v>
      </c>
      <c r="G634" s="31" t="s">
        <v>2278</v>
      </c>
      <c r="L634" s="31">
        <v>100</v>
      </c>
      <c r="M634" s="31">
        <v>7.5</v>
      </c>
      <c r="N634" s="40">
        <v>-0.1</v>
      </c>
      <c r="O634" s="31">
        <v>57</v>
      </c>
      <c r="P634" s="377">
        <f>O634+(O634*N634)</f>
        <v>51.3</v>
      </c>
      <c r="Q634" s="232">
        <f t="shared" si="330"/>
        <v>6.4124999999999996</v>
      </c>
      <c r="R634" s="40">
        <v>0.85</v>
      </c>
      <c r="S634" s="334">
        <f t="shared" si="331"/>
        <v>5.4506249999999996</v>
      </c>
      <c r="T634" s="31">
        <f>VLOOKUP(A634,'Ansvar kurs'!$A$1:$C$1010,2,FALSE)</f>
        <v>2180</v>
      </c>
      <c r="U634" s="31" t="str">
        <f>VLOOKUP(T634,Orgenheter!$A$1:$C$165,2,FALSE)</f>
        <v xml:space="preserve">Pedagogik                     </v>
      </c>
      <c r="V634" s="31" t="str">
        <f>VLOOKUP(T634,Orgenheter!$A$1:$C$165,3,FALSE)</f>
        <v>Sam</v>
      </c>
      <c r="W634" s="37" t="str">
        <f>VLOOKUP(D634,Program!$A$1:$B$34,2,FALSE)</f>
        <v>Förskollärarprogrammet</v>
      </c>
      <c r="X634" s="42">
        <f>VLOOKUP(A634,kurspris!$A$1:$Q$798,15,FALSE)</f>
        <v>23641</v>
      </c>
      <c r="Y634" s="42">
        <f>VLOOKUP(A634,kurspris!$A$1:$Q$798,16,FALSE)</f>
        <v>28786</v>
      </c>
      <c r="Z634" s="42">
        <f t="shared" si="332"/>
        <v>308499.60375000001</v>
      </c>
      <c r="AA634" s="42">
        <f>VLOOKUP(A634,kurspris!$A$1:$Q$798,17,FALSE)</f>
        <v>5800</v>
      </c>
      <c r="AB634" s="42">
        <f t="shared" si="333"/>
        <v>37192.5</v>
      </c>
      <c r="AC634" s="42">
        <f t="shared" si="334"/>
        <v>345692.10375000001</v>
      </c>
      <c r="AD634" s="31">
        <f>VLOOKUP($A634,kurspris!$A$1:$Q$835,3,FALSE)</f>
        <v>0</v>
      </c>
      <c r="AE634" s="31">
        <f>VLOOKUP($A634,kurspris!$A$1:$Q$835,4,FALSE)</f>
        <v>0</v>
      </c>
      <c r="AF634" s="31">
        <f>VLOOKUP($A634,kurspris!$A$1:$Q$835,5,FALSE)</f>
        <v>0</v>
      </c>
      <c r="AG634" s="31">
        <f>VLOOKUP($A634,kurspris!$A$1:$Q$835,6,FALSE)</f>
        <v>1</v>
      </c>
      <c r="AH634" s="31">
        <f>VLOOKUP($A634,kurspris!$A$1:$Q$835,7,FALSE)</f>
        <v>0</v>
      </c>
      <c r="AI634" s="31">
        <f>VLOOKUP($A634,kurspris!$A$1:$Q$835,8,FALSE)</f>
        <v>0</v>
      </c>
      <c r="AJ634" s="31">
        <f>VLOOKUP($A634,kurspris!$A$1:$Q$835,9,FALSE)</f>
        <v>0</v>
      </c>
      <c r="AK634" s="31">
        <f>VLOOKUP($A634,kurspris!$A$1:$Q$835,10,FALSE)</f>
        <v>0</v>
      </c>
      <c r="AL634" s="31">
        <f>VLOOKUP($A634,kurspris!$A$1:$Q$835,11,FALSE)</f>
        <v>0</v>
      </c>
      <c r="AM634" s="31">
        <f>VLOOKUP($A634,kurspris!$A$1:$Q$835,12,FALSE)</f>
        <v>0</v>
      </c>
      <c r="AN634" s="31">
        <f>VLOOKUP($A634,kurspris!$A$1:$Q$835,13,FALSE)</f>
        <v>0</v>
      </c>
      <c r="AO634" s="31">
        <f>VLOOKUP($A634,kurspris!$A$1:$Q$835,14,FALSE)</f>
        <v>0</v>
      </c>
      <c r="AP634" s="39" t="s">
        <v>1631</v>
      </c>
      <c r="AQ634"/>
      <c r="AR634" s="31">
        <f t="shared" si="335"/>
        <v>0</v>
      </c>
      <c r="AS634" s="255">
        <f t="shared" si="336"/>
        <v>0</v>
      </c>
      <c r="AT634" s="31">
        <f t="shared" si="337"/>
        <v>0</v>
      </c>
      <c r="AU634" s="255">
        <f t="shared" si="338"/>
        <v>0</v>
      </c>
      <c r="AV634" s="31">
        <f t="shared" si="339"/>
        <v>0</v>
      </c>
      <c r="AW634" s="31">
        <f t="shared" si="340"/>
        <v>0</v>
      </c>
      <c r="AX634" s="31">
        <f t="shared" si="341"/>
        <v>6.4124999999999996</v>
      </c>
      <c r="AY634" s="255">
        <f t="shared" si="342"/>
        <v>5.4506249999999996</v>
      </c>
      <c r="AZ634" s="232">
        <f t="shared" si="343"/>
        <v>0</v>
      </c>
      <c r="BA634" s="255">
        <f t="shared" si="344"/>
        <v>0</v>
      </c>
      <c r="BB634" s="31">
        <f t="shared" si="345"/>
        <v>0</v>
      </c>
      <c r="BC634" s="255">
        <f t="shared" si="346"/>
        <v>0</v>
      </c>
      <c r="BD634" s="31">
        <f t="shared" si="347"/>
        <v>0</v>
      </c>
      <c r="BE634" s="255">
        <f t="shared" si="348"/>
        <v>0</v>
      </c>
      <c r="BF634" s="31">
        <f t="shared" si="349"/>
        <v>0</v>
      </c>
      <c r="BG634" s="255">
        <f t="shared" si="350"/>
        <v>0</v>
      </c>
      <c r="BH634" s="31">
        <f t="shared" si="351"/>
        <v>0</v>
      </c>
      <c r="BI634" s="255">
        <f t="shared" si="352"/>
        <v>0</v>
      </c>
      <c r="BJ634" s="31">
        <f t="shared" si="353"/>
        <v>0</v>
      </c>
      <c r="BK634" s="31">
        <f t="shared" si="354"/>
        <v>0</v>
      </c>
      <c r="BL634" s="255">
        <f t="shared" si="355"/>
        <v>0</v>
      </c>
      <c r="BM634" s="31">
        <f t="shared" si="356"/>
        <v>0</v>
      </c>
      <c r="BN634" s="255">
        <f t="shared" si="357"/>
        <v>0</v>
      </c>
    </row>
    <row r="635" spans="1:66" x14ac:dyDescent="0.25">
      <c r="A635" t="s">
        <v>1285</v>
      </c>
      <c r="B635" s="186" t="str">
        <f>VLOOKUP(A635,kurspris!$A$1:$B$877,2,FALSE)</f>
        <v>Lärande och undervisning</v>
      </c>
      <c r="C635"/>
      <c r="D635" t="s">
        <v>484</v>
      </c>
      <c r="E635" s="39" t="s">
        <v>1930</v>
      </c>
      <c r="F635" s="39" t="s">
        <v>1930</v>
      </c>
      <c r="G635" t="s">
        <v>1936</v>
      </c>
      <c r="H635" t="s">
        <v>1910</v>
      </c>
      <c r="I635"/>
      <c r="J635"/>
      <c r="K635"/>
      <c r="L635">
        <v>100</v>
      </c>
      <c r="M635">
        <v>7.5</v>
      </c>
      <c r="N635"/>
      <c r="O635"/>
      <c r="P635" s="31">
        <v>21</v>
      </c>
      <c r="Q635" s="232">
        <f t="shared" si="330"/>
        <v>2.625</v>
      </c>
      <c r="R635" s="40">
        <v>0.85</v>
      </c>
      <c r="S635" s="334">
        <f t="shared" si="331"/>
        <v>2.2312499999999997</v>
      </c>
      <c r="T635" s="31">
        <f>VLOOKUP(A635,'Ansvar kurs'!$A$1:$C$1010,2,FALSE)</f>
        <v>2180</v>
      </c>
      <c r="U635" s="31" t="str">
        <f>VLOOKUP(T635,Orgenheter!$A$1:$C$165,2,FALSE)</f>
        <v xml:space="preserve">Pedagogik                     </v>
      </c>
      <c r="V635" s="31" t="str">
        <f>VLOOKUP(T635,Orgenheter!$A$1:$C$165,3,FALSE)</f>
        <v>Sam</v>
      </c>
      <c r="W635" s="37" t="str">
        <f>VLOOKUP(D635,Program!$A$1:$B$34,2,FALSE)</f>
        <v>Förskollärarprogrammet</v>
      </c>
      <c r="X635" s="42">
        <f>VLOOKUP(A635,kurspris!$A$1:$Q$798,15,FALSE)</f>
        <v>23641</v>
      </c>
      <c r="Y635" s="42">
        <f>VLOOKUP(A635,kurspris!$A$1:$Q$798,16,FALSE)</f>
        <v>28786</v>
      </c>
      <c r="Z635" s="42">
        <f t="shared" si="332"/>
        <v>126286.38749999998</v>
      </c>
      <c r="AA635" s="42">
        <f>VLOOKUP(A635,kurspris!$A$1:$Q$798,17,FALSE)</f>
        <v>5800</v>
      </c>
      <c r="AB635" s="42">
        <f t="shared" si="333"/>
        <v>15225</v>
      </c>
      <c r="AC635" s="42">
        <f t="shared" si="334"/>
        <v>141511.38749999998</v>
      </c>
      <c r="AD635" s="31">
        <f>VLOOKUP($A635,kurspris!$A$1:$Q$835,3,FALSE)</f>
        <v>0</v>
      </c>
      <c r="AE635" s="31">
        <f>VLOOKUP($A635,kurspris!$A$1:$Q$835,4,FALSE)</f>
        <v>0</v>
      </c>
      <c r="AF635" s="31">
        <f>VLOOKUP($A635,kurspris!$A$1:$Q$835,5,FALSE)</f>
        <v>0</v>
      </c>
      <c r="AG635" s="31">
        <f>VLOOKUP($A635,kurspris!$A$1:$Q$835,6,FALSE)</f>
        <v>1</v>
      </c>
      <c r="AH635" s="31">
        <f>VLOOKUP($A635,kurspris!$A$1:$Q$835,7,FALSE)</f>
        <v>0</v>
      </c>
      <c r="AI635" s="31">
        <f>VLOOKUP($A635,kurspris!$A$1:$Q$835,8,FALSE)</f>
        <v>0</v>
      </c>
      <c r="AJ635" s="31">
        <f>VLOOKUP($A635,kurspris!$A$1:$Q$835,9,FALSE)</f>
        <v>0</v>
      </c>
      <c r="AK635" s="31">
        <f>VLOOKUP($A635,kurspris!$A$1:$Q$835,10,FALSE)</f>
        <v>0</v>
      </c>
      <c r="AL635" s="31">
        <f>VLOOKUP($A635,kurspris!$A$1:$Q$835,11,FALSE)</f>
        <v>0</v>
      </c>
      <c r="AM635" s="31">
        <f>VLOOKUP($A635,kurspris!$A$1:$Q$835,12,FALSE)</f>
        <v>0</v>
      </c>
      <c r="AN635" s="31">
        <f>VLOOKUP($A635,kurspris!$A$1:$Q$835,13,FALSE)</f>
        <v>0</v>
      </c>
      <c r="AO635" s="31">
        <f>VLOOKUP($A635,kurspris!$A$1:$Q$835,14,FALSE)</f>
        <v>0</v>
      </c>
      <c r="AP635" s="39" t="s">
        <v>2204</v>
      </c>
      <c r="AQ635"/>
      <c r="AR635" s="31">
        <f t="shared" si="335"/>
        <v>0</v>
      </c>
      <c r="AS635" s="255">
        <f t="shared" si="336"/>
        <v>0</v>
      </c>
      <c r="AT635" s="31">
        <f t="shared" si="337"/>
        <v>0</v>
      </c>
      <c r="AU635" s="255">
        <f t="shared" si="338"/>
        <v>0</v>
      </c>
      <c r="AV635" s="31">
        <f t="shared" si="339"/>
        <v>0</v>
      </c>
      <c r="AW635" s="31">
        <f t="shared" si="340"/>
        <v>0</v>
      </c>
      <c r="AX635" s="31">
        <f t="shared" si="341"/>
        <v>2.625</v>
      </c>
      <c r="AY635" s="255">
        <f t="shared" si="342"/>
        <v>2.2312499999999997</v>
      </c>
      <c r="AZ635" s="232">
        <f t="shared" si="343"/>
        <v>0</v>
      </c>
      <c r="BA635" s="255">
        <f t="shared" si="344"/>
        <v>0</v>
      </c>
      <c r="BB635" s="31">
        <f t="shared" si="345"/>
        <v>0</v>
      </c>
      <c r="BC635" s="255">
        <f t="shared" si="346"/>
        <v>0</v>
      </c>
      <c r="BD635" s="31">
        <f t="shared" si="347"/>
        <v>0</v>
      </c>
      <c r="BE635" s="255">
        <f t="shared" si="348"/>
        <v>0</v>
      </c>
      <c r="BF635" s="31">
        <f t="shared" si="349"/>
        <v>0</v>
      </c>
      <c r="BG635" s="255">
        <f t="shared" si="350"/>
        <v>0</v>
      </c>
      <c r="BH635" s="31">
        <f t="shared" si="351"/>
        <v>0</v>
      </c>
      <c r="BI635" s="255">
        <f t="shared" si="352"/>
        <v>0</v>
      </c>
      <c r="BJ635" s="31">
        <f t="shared" si="353"/>
        <v>0</v>
      </c>
      <c r="BK635" s="31">
        <f t="shared" si="354"/>
        <v>0</v>
      </c>
      <c r="BL635" s="255">
        <f t="shared" si="355"/>
        <v>0</v>
      </c>
      <c r="BM635" s="31">
        <f t="shared" si="356"/>
        <v>0</v>
      </c>
      <c r="BN635" s="255">
        <f t="shared" si="357"/>
        <v>0</v>
      </c>
    </row>
    <row r="636" spans="1:66" x14ac:dyDescent="0.25">
      <c r="A636" s="18" t="s">
        <v>1285</v>
      </c>
      <c r="B636" s="186" t="str">
        <f>VLOOKUP(A636,kurspris!$A$1:$B$877,2,FALSE)</f>
        <v>Lärande och undervisning</v>
      </c>
      <c r="C636" s="37"/>
      <c r="D636" s="31" t="s">
        <v>485</v>
      </c>
      <c r="E636" s="31" t="s">
        <v>1931</v>
      </c>
      <c r="F636" s="59" t="s">
        <v>1931</v>
      </c>
      <c r="G636" s="31" t="s">
        <v>2278</v>
      </c>
      <c r="L636" s="31">
        <v>100</v>
      </c>
      <c r="M636" s="31">
        <v>7.5</v>
      </c>
      <c r="N636" s="40">
        <v>-0.1</v>
      </c>
      <c r="O636" s="31">
        <v>25</v>
      </c>
      <c r="P636" s="377">
        <f>O636+(O636*N636)</f>
        <v>22.5</v>
      </c>
      <c r="Q636" s="232">
        <f t="shared" si="330"/>
        <v>2.8125</v>
      </c>
      <c r="R636" s="40">
        <v>0.85</v>
      </c>
      <c r="S636" s="334">
        <f t="shared" si="331"/>
        <v>2.390625</v>
      </c>
      <c r="T636" s="31">
        <f>VLOOKUP(A636,'Ansvar kurs'!$A$1:$C$1010,2,FALSE)</f>
        <v>2180</v>
      </c>
      <c r="U636" s="31" t="str">
        <f>VLOOKUP(T636,Orgenheter!$A$1:$C$165,2,FALSE)</f>
        <v xml:space="preserve">Pedagogik                     </v>
      </c>
      <c r="V636" s="31" t="str">
        <f>VLOOKUP(T636,Orgenheter!$A$1:$C$165,3,FALSE)</f>
        <v>Sam</v>
      </c>
      <c r="W636" s="37" t="str">
        <f>VLOOKUP(D636,Program!$A$1:$B$34,2,FALSE)</f>
        <v>Grundlärarprogrammet - fritidshem</v>
      </c>
      <c r="X636" s="42">
        <f>VLOOKUP(A636,kurspris!$A$1:$Q$798,15,FALSE)</f>
        <v>23641</v>
      </c>
      <c r="Y636" s="42">
        <f>VLOOKUP(A636,kurspris!$A$1:$Q$798,16,FALSE)</f>
        <v>28786</v>
      </c>
      <c r="Z636" s="42">
        <f t="shared" si="332"/>
        <v>135306.84375</v>
      </c>
      <c r="AA636" s="42">
        <f>VLOOKUP(A636,kurspris!$A$1:$Q$798,17,FALSE)</f>
        <v>5800</v>
      </c>
      <c r="AB636" s="42">
        <f t="shared" si="333"/>
        <v>16312.5</v>
      </c>
      <c r="AC636" s="42">
        <f t="shared" si="334"/>
        <v>151619.34375</v>
      </c>
      <c r="AD636" s="31">
        <f>VLOOKUP($A636,kurspris!$A$1:$Q$835,3,FALSE)</f>
        <v>0</v>
      </c>
      <c r="AE636" s="31">
        <f>VLOOKUP($A636,kurspris!$A$1:$Q$835,4,FALSE)</f>
        <v>0</v>
      </c>
      <c r="AF636" s="31">
        <f>VLOOKUP($A636,kurspris!$A$1:$Q$835,5,FALSE)</f>
        <v>0</v>
      </c>
      <c r="AG636" s="31">
        <f>VLOOKUP($A636,kurspris!$A$1:$Q$835,6,FALSE)</f>
        <v>1</v>
      </c>
      <c r="AH636" s="31">
        <f>VLOOKUP($A636,kurspris!$A$1:$Q$835,7,FALSE)</f>
        <v>0</v>
      </c>
      <c r="AI636" s="31">
        <f>VLOOKUP($A636,kurspris!$A$1:$Q$835,8,FALSE)</f>
        <v>0</v>
      </c>
      <c r="AJ636" s="31">
        <f>VLOOKUP($A636,kurspris!$A$1:$Q$835,9,FALSE)</f>
        <v>0</v>
      </c>
      <c r="AK636" s="31">
        <f>VLOOKUP($A636,kurspris!$A$1:$Q$835,10,FALSE)</f>
        <v>0</v>
      </c>
      <c r="AL636" s="31">
        <f>VLOOKUP($A636,kurspris!$A$1:$Q$835,11,FALSE)</f>
        <v>0</v>
      </c>
      <c r="AM636" s="31">
        <f>VLOOKUP($A636,kurspris!$A$1:$Q$835,12,FALSE)</f>
        <v>0</v>
      </c>
      <c r="AN636" s="31">
        <f>VLOOKUP($A636,kurspris!$A$1:$Q$835,13,FALSE)</f>
        <v>0</v>
      </c>
      <c r="AO636" s="31">
        <f>VLOOKUP($A636,kurspris!$A$1:$Q$835,14,FALSE)</f>
        <v>0</v>
      </c>
      <c r="AP636" s="39" t="s">
        <v>1631</v>
      </c>
      <c r="AQ636"/>
      <c r="AR636" s="31">
        <f t="shared" si="335"/>
        <v>0</v>
      </c>
      <c r="AS636" s="255">
        <f t="shared" si="336"/>
        <v>0</v>
      </c>
      <c r="AT636" s="31">
        <f t="shared" si="337"/>
        <v>0</v>
      </c>
      <c r="AU636" s="255">
        <f t="shared" si="338"/>
        <v>0</v>
      </c>
      <c r="AV636" s="31">
        <f t="shared" si="339"/>
        <v>0</v>
      </c>
      <c r="AW636" s="31">
        <f t="shared" si="340"/>
        <v>0</v>
      </c>
      <c r="AX636" s="31">
        <f t="shared" si="341"/>
        <v>2.8125</v>
      </c>
      <c r="AY636" s="255">
        <f t="shared" si="342"/>
        <v>2.390625</v>
      </c>
      <c r="AZ636" s="232">
        <f t="shared" si="343"/>
        <v>0</v>
      </c>
      <c r="BA636" s="255">
        <f t="shared" si="344"/>
        <v>0</v>
      </c>
      <c r="BB636" s="31">
        <f t="shared" si="345"/>
        <v>0</v>
      </c>
      <c r="BC636" s="255">
        <f t="shared" si="346"/>
        <v>0</v>
      </c>
      <c r="BD636" s="31">
        <f t="shared" si="347"/>
        <v>0</v>
      </c>
      <c r="BE636" s="255">
        <f t="shared" si="348"/>
        <v>0</v>
      </c>
      <c r="BF636" s="31">
        <f t="shared" si="349"/>
        <v>0</v>
      </c>
      <c r="BG636" s="255">
        <f t="shared" si="350"/>
        <v>0</v>
      </c>
      <c r="BH636" s="31">
        <f t="shared" si="351"/>
        <v>0</v>
      </c>
      <c r="BI636" s="255">
        <f t="shared" si="352"/>
        <v>0</v>
      </c>
      <c r="BJ636" s="31">
        <f t="shared" si="353"/>
        <v>0</v>
      </c>
      <c r="BK636" s="31">
        <f t="shared" si="354"/>
        <v>0</v>
      </c>
      <c r="BL636" s="255">
        <f t="shared" si="355"/>
        <v>0</v>
      </c>
      <c r="BM636" s="31">
        <f t="shared" si="356"/>
        <v>0</v>
      </c>
      <c r="BN636" s="255">
        <f t="shared" si="357"/>
        <v>0</v>
      </c>
    </row>
    <row r="637" spans="1:66" x14ac:dyDescent="0.25">
      <c r="A637" s="18" t="s">
        <v>1285</v>
      </c>
      <c r="B637" s="186" t="str">
        <f>VLOOKUP(A637,kurspris!$A$1:$B$877,2,FALSE)</f>
        <v>Lärande och undervisning</v>
      </c>
      <c r="C637" s="37"/>
      <c r="D637" s="31" t="s">
        <v>486</v>
      </c>
      <c r="E637" s="31" t="s">
        <v>1975</v>
      </c>
      <c r="F637" s="59" t="s">
        <v>1931</v>
      </c>
      <c r="G637" s="31" t="s">
        <v>2278</v>
      </c>
      <c r="L637" s="31">
        <v>100</v>
      </c>
      <c r="M637" s="31">
        <v>7.5</v>
      </c>
      <c r="P637" s="31">
        <v>1</v>
      </c>
      <c r="Q637" s="232">
        <f t="shared" si="330"/>
        <v>0.125</v>
      </c>
      <c r="R637" s="40">
        <v>0.85</v>
      </c>
      <c r="S637" s="334">
        <f t="shared" si="331"/>
        <v>0.10625</v>
      </c>
      <c r="T637" s="31">
        <f>VLOOKUP(A637,'Ansvar kurs'!$A$1:$C$1010,2,FALSE)</f>
        <v>2180</v>
      </c>
      <c r="U637" s="31" t="str">
        <f>VLOOKUP(T637,Orgenheter!$A$1:$C$165,2,FALSE)</f>
        <v xml:space="preserve">Pedagogik                     </v>
      </c>
      <c r="V637" s="31" t="str">
        <f>VLOOKUP(T637,Orgenheter!$A$1:$C$165,3,FALSE)</f>
        <v>Sam</v>
      </c>
      <c r="W637" s="37" t="str">
        <f>VLOOKUP(D637,Program!$A$1:$B$34,2,FALSE)</f>
        <v>Grundlärarprogrammet - förskoleklass och åk 1-3</v>
      </c>
      <c r="X637" s="42">
        <f>VLOOKUP(A637,kurspris!$A$1:$Q$798,15,FALSE)</f>
        <v>23641</v>
      </c>
      <c r="Y637" s="42">
        <f>VLOOKUP(A637,kurspris!$A$1:$Q$798,16,FALSE)</f>
        <v>28786</v>
      </c>
      <c r="Z637" s="42">
        <f t="shared" si="332"/>
        <v>6013.6374999999998</v>
      </c>
      <c r="AA637" s="42">
        <f>VLOOKUP(A637,kurspris!$A$1:$Q$798,17,FALSE)</f>
        <v>5800</v>
      </c>
      <c r="AB637" s="42">
        <f t="shared" si="333"/>
        <v>725</v>
      </c>
      <c r="AC637" s="42">
        <f t="shared" si="334"/>
        <v>6738.6374999999998</v>
      </c>
      <c r="AD637" s="31">
        <f>VLOOKUP($A637,kurspris!$A$1:$Q$835,3,FALSE)</f>
        <v>0</v>
      </c>
      <c r="AE637" s="31">
        <f>VLOOKUP($A637,kurspris!$A$1:$Q$835,4,FALSE)</f>
        <v>0</v>
      </c>
      <c r="AF637" s="31">
        <f>VLOOKUP($A637,kurspris!$A$1:$Q$835,5,FALSE)</f>
        <v>0</v>
      </c>
      <c r="AG637" s="31">
        <f>VLOOKUP($A637,kurspris!$A$1:$Q$835,6,FALSE)</f>
        <v>1</v>
      </c>
      <c r="AH637" s="31">
        <f>VLOOKUP($A637,kurspris!$A$1:$Q$835,7,FALSE)</f>
        <v>0</v>
      </c>
      <c r="AI637" s="31">
        <f>VLOOKUP($A637,kurspris!$A$1:$Q$835,8,FALSE)</f>
        <v>0</v>
      </c>
      <c r="AJ637" s="31">
        <f>VLOOKUP($A637,kurspris!$A$1:$Q$835,9,FALSE)</f>
        <v>0</v>
      </c>
      <c r="AK637" s="31">
        <f>VLOOKUP($A637,kurspris!$A$1:$Q$835,10,FALSE)</f>
        <v>0</v>
      </c>
      <c r="AL637" s="31">
        <f>VLOOKUP($A637,kurspris!$A$1:$Q$835,11,FALSE)</f>
        <v>0</v>
      </c>
      <c r="AM637" s="31">
        <f>VLOOKUP($A637,kurspris!$A$1:$Q$835,12,FALSE)</f>
        <v>0</v>
      </c>
      <c r="AN637" s="31">
        <f>VLOOKUP($A637,kurspris!$A$1:$Q$835,13,FALSE)</f>
        <v>0</v>
      </c>
      <c r="AO637" s="31">
        <f>VLOOKUP($A637,kurspris!$A$1:$Q$835,14,FALSE)</f>
        <v>0</v>
      </c>
      <c r="AP637" s="39" t="s">
        <v>2326</v>
      </c>
      <c r="AQ637"/>
      <c r="AR637" s="31">
        <f t="shared" si="335"/>
        <v>0</v>
      </c>
      <c r="AS637" s="255">
        <f t="shared" si="336"/>
        <v>0</v>
      </c>
      <c r="AT637" s="31">
        <f t="shared" si="337"/>
        <v>0</v>
      </c>
      <c r="AU637" s="255">
        <f t="shared" si="338"/>
        <v>0</v>
      </c>
      <c r="AV637" s="31">
        <f t="shared" si="339"/>
        <v>0</v>
      </c>
      <c r="AW637" s="31">
        <f t="shared" si="340"/>
        <v>0</v>
      </c>
      <c r="AX637" s="31">
        <f t="shared" si="341"/>
        <v>0.125</v>
      </c>
      <c r="AY637" s="255">
        <f t="shared" si="342"/>
        <v>0.10625</v>
      </c>
      <c r="AZ637" s="232">
        <f t="shared" si="343"/>
        <v>0</v>
      </c>
      <c r="BA637" s="255">
        <f t="shared" si="344"/>
        <v>0</v>
      </c>
      <c r="BB637" s="31">
        <f t="shared" si="345"/>
        <v>0</v>
      </c>
      <c r="BC637" s="255">
        <f t="shared" si="346"/>
        <v>0</v>
      </c>
      <c r="BD637" s="31">
        <f t="shared" si="347"/>
        <v>0</v>
      </c>
      <c r="BE637" s="255">
        <f t="shared" si="348"/>
        <v>0</v>
      </c>
      <c r="BF637" s="31">
        <f t="shared" si="349"/>
        <v>0</v>
      </c>
      <c r="BG637" s="255">
        <f t="shared" si="350"/>
        <v>0</v>
      </c>
      <c r="BH637" s="31">
        <f t="shared" si="351"/>
        <v>0</v>
      </c>
      <c r="BI637" s="255">
        <f t="shared" si="352"/>
        <v>0</v>
      </c>
      <c r="BJ637" s="31">
        <f t="shared" si="353"/>
        <v>0</v>
      </c>
      <c r="BK637" s="31">
        <f t="shared" si="354"/>
        <v>0</v>
      </c>
      <c r="BL637" s="255">
        <f t="shared" si="355"/>
        <v>0</v>
      </c>
      <c r="BM637" s="31">
        <f t="shared" si="356"/>
        <v>0</v>
      </c>
      <c r="BN637" s="255">
        <f t="shared" si="357"/>
        <v>0</v>
      </c>
    </row>
    <row r="638" spans="1:66" x14ac:dyDescent="0.25">
      <c r="A638" s="18" t="s">
        <v>1285</v>
      </c>
      <c r="B638" s="186" t="str">
        <f>VLOOKUP(A638,kurspris!$A$1:$B$877,2,FALSE)</f>
        <v>Lärande och undervisning</v>
      </c>
      <c r="C638" s="37"/>
      <c r="D638" s="31" t="s">
        <v>486</v>
      </c>
      <c r="E638" s="31" t="s">
        <v>1788</v>
      </c>
      <c r="F638" s="59" t="s">
        <v>1931</v>
      </c>
      <c r="G638" s="31" t="s">
        <v>2278</v>
      </c>
      <c r="L638" s="31">
        <v>100</v>
      </c>
      <c r="M638" s="31">
        <v>7.5</v>
      </c>
      <c r="P638" s="31">
        <v>1</v>
      </c>
      <c r="Q638" s="232">
        <f t="shared" si="330"/>
        <v>0.125</v>
      </c>
      <c r="R638" s="40">
        <v>0.85</v>
      </c>
      <c r="S638" s="334">
        <f t="shared" si="331"/>
        <v>0.10625</v>
      </c>
      <c r="T638" s="31">
        <f>VLOOKUP(A638,'Ansvar kurs'!$A$1:$C$1010,2,FALSE)</f>
        <v>2180</v>
      </c>
      <c r="U638" s="31" t="str">
        <f>VLOOKUP(T638,Orgenheter!$A$1:$C$165,2,FALSE)</f>
        <v xml:space="preserve">Pedagogik                     </v>
      </c>
      <c r="V638" s="31" t="str">
        <f>VLOOKUP(T638,Orgenheter!$A$1:$C$165,3,FALSE)</f>
        <v>Sam</v>
      </c>
      <c r="W638" s="37" t="str">
        <f>VLOOKUP(D638,Program!$A$1:$B$34,2,FALSE)</f>
        <v>Grundlärarprogrammet - förskoleklass och åk 1-3</v>
      </c>
      <c r="X638" s="42">
        <f>VLOOKUP(A638,kurspris!$A$1:$Q$798,15,FALSE)</f>
        <v>23641</v>
      </c>
      <c r="Y638" s="42">
        <f>VLOOKUP(A638,kurspris!$A$1:$Q$798,16,FALSE)</f>
        <v>28786</v>
      </c>
      <c r="Z638" s="42">
        <f t="shared" si="332"/>
        <v>6013.6374999999998</v>
      </c>
      <c r="AA638" s="42">
        <f>VLOOKUP(A638,kurspris!$A$1:$Q$798,17,FALSE)</f>
        <v>5800</v>
      </c>
      <c r="AB638" s="42">
        <f t="shared" si="333"/>
        <v>725</v>
      </c>
      <c r="AC638" s="42">
        <f t="shared" si="334"/>
        <v>6738.6374999999998</v>
      </c>
      <c r="AD638" s="31">
        <f>VLOOKUP($A638,kurspris!$A$1:$Q$835,3,FALSE)</f>
        <v>0</v>
      </c>
      <c r="AE638" s="31">
        <f>VLOOKUP($A638,kurspris!$A$1:$Q$835,4,FALSE)</f>
        <v>0</v>
      </c>
      <c r="AF638" s="31">
        <f>VLOOKUP($A638,kurspris!$A$1:$Q$835,5,FALSE)</f>
        <v>0</v>
      </c>
      <c r="AG638" s="31">
        <f>VLOOKUP($A638,kurspris!$A$1:$Q$835,6,FALSE)</f>
        <v>1</v>
      </c>
      <c r="AH638" s="31">
        <f>VLOOKUP($A638,kurspris!$A$1:$Q$835,7,FALSE)</f>
        <v>0</v>
      </c>
      <c r="AI638" s="31">
        <f>VLOOKUP($A638,kurspris!$A$1:$Q$835,8,FALSE)</f>
        <v>0</v>
      </c>
      <c r="AJ638" s="31">
        <f>VLOOKUP($A638,kurspris!$A$1:$Q$835,9,FALSE)</f>
        <v>0</v>
      </c>
      <c r="AK638" s="31">
        <f>VLOOKUP($A638,kurspris!$A$1:$Q$835,10,FALSE)</f>
        <v>0</v>
      </c>
      <c r="AL638" s="31">
        <f>VLOOKUP($A638,kurspris!$A$1:$Q$835,11,FALSE)</f>
        <v>0</v>
      </c>
      <c r="AM638" s="31">
        <f>VLOOKUP($A638,kurspris!$A$1:$Q$835,12,FALSE)</f>
        <v>0</v>
      </c>
      <c r="AN638" s="31">
        <f>VLOOKUP($A638,kurspris!$A$1:$Q$835,13,FALSE)</f>
        <v>0</v>
      </c>
      <c r="AO638" s="31">
        <f>VLOOKUP($A638,kurspris!$A$1:$Q$835,14,FALSE)</f>
        <v>0</v>
      </c>
      <c r="AP638" s="39" t="s">
        <v>2326</v>
      </c>
      <c r="AQ638"/>
      <c r="AR638" s="31">
        <f t="shared" si="335"/>
        <v>0</v>
      </c>
      <c r="AS638" s="255">
        <f t="shared" si="336"/>
        <v>0</v>
      </c>
      <c r="AT638" s="31">
        <f t="shared" si="337"/>
        <v>0</v>
      </c>
      <c r="AU638" s="255">
        <f t="shared" si="338"/>
        <v>0</v>
      </c>
      <c r="AV638" s="31">
        <f t="shared" si="339"/>
        <v>0</v>
      </c>
      <c r="AW638" s="31">
        <f t="shared" si="340"/>
        <v>0</v>
      </c>
      <c r="AX638" s="31">
        <f t="shared" si="341"/>
        <v>0.125</v>
      </c>
      <c r="AY638" s="255">
        <f t="shared" si="342"/>
        <v>0.10625</v>
      </c>
      <c r="AZ638" s="232">
        <f t="shared" si="343"/>
        <v>0</v>
      </c>
      <c r="BA638" s="255">
        <f t="shared" si="344"/>
        <v>0</v>
      </c>
      <c r="BB638" s="31">
        <f t="shared" si="345"/>
        <v>0</v>
      </c>
      <c r="BC638" s="255">
        <f t="shared" si="346"/>
        <v>0</v>
      </c>
      <c r="BD638" s="31">
        <f t="shared" si="347"/>
        <v>0</v>
      </c>
      <c r="BE638" s="255">
        <f t="shared" si="348"/>
        <v>0</v>
      </c>
      <c r="BF638" s="31">
        <f t="shared" si="349"/>
        <v>0</v>
      </c>
      <c r="BG638" s="255">
        <f t="shared" si="350"/>
        <v>0</v>
      </c>
      <c r="BH638" s="31">
        <f t="shared" si="351"/>
        <v>0</v>
      </c>
      <c r="BI638" s="255">
        <f t="shared" si="352"/>
        <v>0</v>
      </c>
      <c r="BJ638" s="31">
        <f t="shared" si="353"/>
        <v>0</v>
      </c>
      <c r="BK638" s="31">
        <f t="shared" si="354"/>
        <v>0</v>
      </c>
      <c r="BL638" s="255">
        <f t="shared" si="355"/>
        <v>0</v>
      </c>
      <c r="BM638" s="31">
        <f t="shared" si="356"/>
        <v>0</v>
      </c>
      <c r="BN638" s="255">
        <f t="shared" si="357"/>
        <v>0</v>
      </c>
    </row>
    <row r="639" spans="1:66" x14ac:dyDescent="0.25">
      <c r="A639" s="18" t="s">
        <v>1285</v>
      </c>
      <c r="B639" s="186" t="str">
        <f>VLOOKUP(A639,kurspris!$A$1:$B$877,2,FALSE)</f>
        <v>Lärande och undervisning</v>
      </c>
      <c r="C639" s="37"/>
      <c r="D639" s="31" t="s">
        <v>486</v>
      </c>
      <c r="E639" s="31" t="s">
        <v>1931</v>
      </c>
      <c r="F639" s="59" t="s">
        <v>1931</v>
      </c>
      <c r="G639" s="31" t="s">
        <v>2278</v>
      </c>
      <c r="L639" s="31">
        <v>100</v>
      </c>
      <c r="M639" s="31">
        <v>7.5</v>
      </c>
      <c r="N639" s="40">
        <v>-0.05</v>
      </c>
      <c r="O639" s="31">
        <v>51</v>
      </c>
      <c r="P639" s="377">
        <f>O639+(O639*N639)</f>
        <v>48.45</v>
      </c>
      <c r="Q639" s="232">
        <f t="shared" si="330"/>
        <v>6.0562500000000004</v>
      </c>
      <c r="R639" s="40">
        <v>0.85</v>
      </c>
      <c r="S639" s="334">
        <f t="shared" si="331"/>
        <v>5.1478125000000006</v>
      </c>
      <c r="T639" s="31">
        <f>VLOOKUP(A639,'Ansvar kurs'!$A$1:$C$1010,2,FALSE)</f>
        <v>2180</v>
      </c>
      <c r="U639" s="31" t="str">
        <f>VLOOKUP(T639,Orgenheter!$A$1:$C$165,2,FALSE)</f>
        <v xml:space="preserve">Pedagogik                     </v>
      </c>
      <c r="V639" s="31" t="str">
        <f>VLOOKUP(T639,Orgenheter!$A$1:$C$165,3,FALSE)</f>
        <v>Sam</v>
      </c>
      <c r="W639" s="37" t="str">
        <f>VLOOKUP(D639,Program!$A$1:$B$34,2,FALSE)</f>
        <v>Grundlärarprogrammet - förskoleklass och åk 1-3</v>
      </c>
      <c r="X639" s="42">
        <f>VLOOKUP(A639,kurspris!$A$1:$Q$798,15,FALSE)</f>
        <v>23641</v>
      </c>
      <c r="Y639" s="42">
        <f>VLOOKUP(A639,kurspris!$A$1:$Q$798,16,FALSE)</f>
        <v>28786</v>
      </c>
      <c r="Z639" s="42">
        <f t="shared" si="332"/>
        <v>291360.736875</v>
      </c>
      <c r="AA639" s="42">
        <f>VLOOKUP(A639,kurspris!$A$1:$Q$798,17,FALSE)</f>
        <v>5800</v>
      </c>
      <c r="AB639" s="42">
        <f t="shared" si="333"/>
        <v>35126.25</v>
      </c>
      <c r="AC639" s="42">
        <f t="shared" si="334"/>
        <v>326486.986875</v>
      </c>
      <c r="AD639" s="31">
        <f>VLOOKUP($A639,kurspris!$A$1:$Q$835,3,FALSE)</f>
        <v>0</v>
      </c>
      <c r="AE639" s="31">
        <f>VLOOKUP($A639,kurspris!$A$1:$Q$835,4,FALSE)</f>
        <v>0</v>
      </c>
      <c r="AF639" s="31">
        <f>VLOOKUP($A639,kurspris!$A$1:$Q$835,5,FALSE)</f>
        <v>0</v>
      </c>
      <c r="AG639" s="31">
        <f>VLOOKUP($A639,kurspris!$A$1:$Q$835,6,FALSE)</f>
        <v>1</v>
      </c>
      <c r="AH639" s="31">
        <f>VLOOKUP($A639,kurspris!$A$1:$Q$835,7,FALSE)</f>
        <v>0</v>
      </c>
      <c r="AI639" s="31">
        <f>VLOOKUP($A639,kurspris!$A$1:$Q$835,8,FALSE)</f>
        <v>0</v>
      </c>
      <c r="AJ639" s="31">
        <f>VLOOKUP($A639,kurspris!$A$1:$Q$835,9,FALSE)</f>
        <v>0</v>
      </c>
      <c r="AK639" s="31">
        <f>VLOOKUP($A639,kurspris!$A$1:$Q$835,10,FALSE)</f>
        <v>0</v>
      </c>
      <c r="AL639" s="31">
        <f>VLOOKUP($A639,kurspris!$A$1:$Q$835,11,FALSE)</f>
        <v>0</v>
      </c>
      <c r="AM639" s="31">
        <f>VLOOKUP($A639,kurspris!$A$1:$Q$835,12,FALSE)</f>
        <v>0</v>
      </c>
      <c r="AN639" s="31">
        <f>VLOOKUP($A639,kurspris!$A$1:$Q$835,13,FALSE)</f>
        <v>0</v>
      </c>
      <c r="AO639" s="31">
        <f>VLOOKUP($A639,kurspris!$A$1:$Q$835,14,FALSE)</f>
        <v>0</v>
      </c>
      <c r="AP639" s="39" t="s">
        <v>1631</v>
      </c>
      <c r="AQ639"/>
      <c r="AR639" s="31">
        <f t="shared" si="335"/>
        <v>0</v>
      </c>
      <c r="AS639" s="255">
        <f t="shared" si="336"/>
        <v>0</v>
      </c>
      <c r="AT639" s="31">
        <f t="shared" si="337"/>
        <v>0</v>
      </c>
      <c r="AU639" s="255">
        <f t="shared" si="338"/>
        <v>0</v>
      </c>
      <c r="AV639" s="31">
        <f t="shared" si="339"/>
        <v>0</v>
      </c>
      <c r="AW639" s="31">
        <f t="shared" si="340"/>
        <v>0</v>
      </c>
      <c r="AX639" s="31">
        <f t="shared" si="341"/>
        <v>6.0562500000000004</v>
      </c>
      <c r="AY639" s="255">
        <f t="shared" si="342"/>
        <v>5.1478125000000006</v>
      </c>
      <c r="AZ639" s="232">
        <f t="shared" si="343"/>
        <v>0</v>
      </c>
      <c r="BA639" s="255">
        <f t="shared" si="344"/>
        <v>0</v>
      </c>
      <c r="BB639" s="31">
        <f t="shared" si="345"/>
        <v>0</v>
      </c>
      <c r="BC639" s="255">
        <f t="shared" si="346"/>
        <v>0</v>
      </c>
      <c r="BD639" s="31">
        <f t="shared" si="347"/>
        <v>0</v>
      </c>
      <c r="BE639" s="255">
        <f t="shared" si="348"/>
        <v>0</v>
      </c>
      <c r="BF639" s="31">
        <f t="shared" si="349"/>
        <v>0</v>
      </c>
      <c r="BG639" s="255">
        <f t="shared" si="350"/>
        <v>0</v>
      </c>
      <c r="BH639" s="31">
        <f t="shared" si="351"/>
        <v>0</v>
      </c>
      <c r="BI639" s="255">
        <f t="shared" si="352"/>
        <v>0</v>
      </c>
      <c r="BJ639" s="31">
        <f t="shared" si="353"/>
        <v>0</v>
      </c>
      <c r="BK639" s="31">
        <f t="shared" si="354"/>
        <v>0</v>
      </c>
      <c r="BL639" s="255">
        <f t="shared" si="355"/>
        <v>0</v>
      </c>
      <c r="BM639" s="31">
        <f t="shared" si="356"/>
        <v>0</v>
      </c>
      <c r="BN639" s="255">
        <f t="shared" si="357"/>
        <v>0</v>
      </c>
    </row>
    <row r="640" spans="1:66" x14ac:dyDescent="0.25">
      <c r="A640" s="18" t="s">
        <v>1285</v>
      </c>
      <c r="B640" s="186" t="str">
        <f>VLOOKUP(A640,kurspris!$A$1:$B$877,2,FALSE)</f>
        <v>Lärande och undervisning</v>
      </c>
      <c r="C640" s="37"/>
      <c r="D640" s="31" t="s">
        <v>486</v>
      </c>
      <c r="E640" s="31" t="s">
        <v>1787</v>
      </c>
      <c r="F640" s="59" t="s">
        <v>1931</v>
      </c>
      <c r="G640" s="31" t="s">
        <v>2278</v>
      </c>
      <c r="L640" s="31">
        <v>100</v>
      </c>
      <c r="M640" s="31">
        <v>7.5</v>
      </c>
      <c r="P640" s="31">
        <v>1</v>
      </c>
      <c r="Q640" s="232">
        <f t="shared" si="330"/>
        <v>0.125</v>
      </c>
      <c r="R640" s="40">
        <v>0.85</v>
      </c>
      <c r="S640" s="334">
        <f t="shared" si="331"/>
        <v>0.10625</v>
      </c>
      <c r="T640" s="31">
        <f>VLOOKUP(A640,'Ansvar kurs'!$A$1:$C$1010,2,FALSE)</f>
        <v>2180</v>
      </c>
      <c r="U640" s="31" t="str">
        <f>VLOOKUP(T640,Orgenheter!$A$1:$C$165,2,FALSE)</f>
        <v xml:space="preserve">Pedagogik                     </v>
      </c>
      <c r="V640" s="31" t="str">
        <f>VLOOKUP(T640,Orgenheter!$A$1:$C$165,3,FALSE)</f>
        <v>Sam</v>
      </c>
      <c r="W640" s="37" t="str">
        <f>VLOOKUP(D640,Program!$A$1:$B$34,2,FALSE)</f>
        <v>Grundlärarprogrammet - förskoleklass och åk 1-3</v>
      </c>
      <c r="X640" s="42">
        <f>VLOOKUP(A640,kurspris!$A$1:$Q$798,15,FALSE)</f>
        <v>23641</v>
      </c>
      <c r="Y640" s="42">
        <f>VLOOKUP(A640,kurspris!$A$1:$Q$798,16,FALSE)</f>
        <v>28786</v>
      </c>
      <c r="Z640" s="42">
        <f t="shared" si="332"/>
        <v>6013.6374999999998</v>
      </c>
      <c r="AA640" s="42">
        <f>VLOOKUP(A640,kurspris!$A$1:$Q$798,17,FALSE)</f>
        <v>5800</v>
      </c>
      <c r="AB640" s="42">
        <f t="shared" si="333"/>
        <v>725</v>
      </c>
      <c r="AC640" s="42">
        <f t="shared" si="334"/>
        <v>6738.6374999999998</v>
      </c>
      <c r="AD640" s="31">
        <f>VLOOKUP($A640,kurspris!$A$1:$Q$835,3,FALSE)</f>
        <v>0</v>
      </c>
      <c r="AE640" s="31">
        <f>VLOOKUP($A640,kurspris!$A$1:$Q$835,4,FALSE)</f>
        <v>0</v>
      </c>
      <c r="AF640" s="31">
        <f>VLOOKUP($A640,kurspris!$A$1:$Q$835,5,FALSE)</f>
        <v>0</v>
      </c>
      <c r="AG640" s="31">
        <f>VLOOKUP($A640,kurspris!$A$1:$Q$835,6,FALSE)</f>
        <v>1</v>
      </c>
      <c r="AH640" s="31">
        <f>VLOOKUP($A640,kurspris!$A$1:$Q$835,7,FALSE)</f>
        <v>0</v>
      </c>
      <c r="AI640" s="31">
        <f>VLOOKUP($A640,kurspris!$A$1:$Q$835,8,FALSE)</f>
        <v>0</v>
      </c>
      <c r="AJ640" s="31">
        <f>VLOOKUP($A640,kurspris!$A$1:$Q$835,9,FALSE)</f>
        <v>0</v>
      </c>
      <c r="AK640" s="31">
        <f>VLOOKUP($A640,kurspris!$A$1:$Q$835,10,FALSE)</f>
        <v>0</v>
      </c>
      <c r="AL640" s="31">
        <f>VLOOKUP($A640,kurspris!$A$1:$Q$835,11,FALSE)</f>
        <v>0</v>
      </c>
      <c r="AM640" s="31">
        <f>VLOOKUP($A640,kurspris!$A$1:$Q$835,12,FALSE)</f>
        <v>0</v>
      </c>
      <c r="AN640" s="31">
        <f>VLOOKUP($A640,kurspris!$A$1:$Q$835,13,FALSE)</f>
        <v>0</v>
      </c>
      <c r="AO640" s="31">
        <f>VLOOKUP($A640,kurspris!$A$1:$Q$835,14,FALSE)</f>
        <v>0</v>
      </c>
      <c r="AP640" s="39" t="s">
        <v>2326</v>
      </c>
      <c r="AQ640"/>
      <c r="AR640" s="31">
        <f t="shared" si="335"/>
        <v>0</v>
      </c>
      <c r="AS640" s="255">
        <f t="shared" si="336"/>
        <v>0</v>
      </c>
      <c r="AT640" s="31">
        <f t="shared" si="337"/>
        <v>0</v>
      </c>
      <c r="AU640" s="255">
        <f t="shared" si="338"/>
        <v>0</v>
      </c>
      <c r="AV640" s="31">
        <f t="shared" si="339"/>
        <v>0</v>
      </c>
      <c r="AW640" s="31">
        <f t="shared" si="340"/>
        <v>0</v>
      </c>
      <c r="AX640" s="31">
        <f t="shared" si="341"/>
        <v>0.125</v>
      </c>
      <c r="AY640" s="255">
        <f t="shared" si="342"/>
        <v>0.10625</v>
      </c>
      <c r="AZ640" s="232">
        <f t="shared" si="343"/>
        <v>0</v>
      </c>
      <c r="BA640" s="255">
        <f t="shared" si="344"/>
        <v>0</v>
      </c>
      <c r="BB640" s="31">
        <f t="shared" si="345"/>
        <v>0</v>
      </c>
      <c r="BC640" s="255">
        <f t="shared" si="346"/>
        <v>0</v>
      </c>
      <c r="BD640" s="31">
        <f t="shared" si="347"/>
        <v>0</v>
      </c>
      <c r="BE640" s="255">
        <f t="shared" si="348"/>
        <v>0</v>
      </c>
      <c r="BF640" s="31">
        <f t="shared" si="349"/>
        <v>0</v>
      </c>
      <c r="BG640" s="255">
        <f t="shared" si="350"/>
        <v>0</v>
      </c>
      <c r="BH640" s="31">
        <f t="shared" si="351"/>
        <v>0</v>
      </c>
      <c r="BI640" s="255">
        <f t="shared" si="352"/>
        <v>0</v>
      </c>
      <c r="BJ640" s="31">
        <f t="shared" si="353"/>
        <v>0</v>
      </c>
      <c r="BK640" s="31">
        <f t="shared" si="354"/>
        <v>0</v>
      </c>
      <c r="BL640" s="255">
        <f t="shared" si="355"/>
        <v>0</v>
      </c>
      <c r="BM640" s="31">
        <f t="shared" si="356"/>
        <v>0</v>
      </c>
      <c r="BN640" s="255">
        <f t="shared" si="357"/>
        <v>0</v>
      </c>
    </row>
    <row r="641" spans="1:66" x14ac:dyDescent="0.25">
      <c r="A641" s="18" t="s">
        <v>1285</v>
      </c>
      <c r="B641" s="186" t="str">
        <f>VLOOKUP(A641,kurspris!$A$1:$B$877,2,FALSE)</f>
        <v>Lärande och undervisning</v>
      </c>
      <c r="C641" s="37"/>
      <c r="D641" s="31" t="s">
        <v>524</v>
      </c>
      <c r="E641" s="31" t="s">
        <v>1931</v>
      </c>
      <c r="F641" s="59" t="s">
        <v>1931</v>
      </c>
      <c r="G641" s="31" t="s">
        <v>2278</v>
      </c>
      <c r="L641" s="31">
        <v>100</v>
      </c>
      <c r="M641" s="31">
        <v>7.5</v>
      </c>
      <c r="N641" s="40">
        <v>-0.08</v>
      </c>
      <c r="O641" s="31">
        <v>35</v>
      </c>
      <c r="P641" s="377">
        <f>O641+(O641*N641)</f>
        <v>32.200000000000003</v>
      </c>
      <c r="Q641" s="232">
        <f t="shared" si="330"/>
        <v>4.0250000000000004</v>
      </c>
      <c r="R641" s="40">
        <v>0.85</v>
      </c>
      <c r="S641" s="334">
        <f t="shared" si="331"/>
        <v>3.4212500000000001</v>
      </c>
      <c r="T641" s="31">
        <f>VLOOKUP(A641,'Ansvar kurs'!$A$1:$C$1010,2,FALSE)</f>
        <v>2180</v>
      </c>
      <c r="U641" s="31" t="str">
        <f>VLOOKUP(T641,Orgenheter!$A$1:$C$165,2,FALSE)</f>
        <v xml:space="preserve">Pedagogik                     </v>
      </c>
      <c r="V641" s="31" t="str">
        <f>VLOOKUP(T641,Orgenheter!$A$1:$C$165,3,FALSE)</f>
        <v>Sam</v>
      </c>
      <c r="W641" s="37" t="str">
        <f>VLOOKUP(D641,Program!$A$1:$B$34,2,FALSE)</f>
        <v>Grundlärarprogrammet - grundskolans åk 4-6</v>
      </c>
      <c r="X641" s="42">
        <f>VLOOKUP(A641,kurspris!$A$1:$Q$798,15,FALSE)</f>
        <v>23641</v>
      </c>
      <c r="Y641" s="42">
        <f>VLOOKUP(A641,kurspris!$A$1:$Q$798,16,FALSE)</f>
        <v>28786</v>
      </c>
      <c r="Z641" s="42">
        <f t="shared" si="332"/>
        <v>193639.1275</v>
      </c>
      <c r="AA641" s="42">
        <f>VLOOKUP(A641,kurspris!$A$1:$Q$798,17,FALSE)</f>
        <v>5800</v>
      </c>
      <c r="AB641" s="42">
        <f t="shared" si="333"/>
        <v>23345.000000000004</v>
      </c>
      <c r="AC641" s="42">
        <f t="shared" si="334"/>
        <v>216984.1275</v>
      </c>
      <c r="AD641" s="31">
        <f>VLOOKUP($A641,kurspris!$A$1:$Q$835,3,FALSE)</f>
        <v>0</v>
      </c>
      <c r="AE641" s="31">
        <f>VLOOKUP($A641,kurspris!$A$1:$Q$835,4,FALSE)</f>
        <v>0</v>
      </c>
      <c r="AF641" s="31">
        <f>VLOOKUP($A641,kurspris!$A$1:$Q$835,5,FALSE)</f>
        <v>0</v>
      </c>
      <c r="AG641" s="31">
        <f>VLOOKUP($A641,kurspris!$A$1:$Q$835,6,FALSE)</f>
        <v>1</v>
      </c>
      <c r="AH641" s="31">
        <f>VLOOKUP($A641,kurspris!$A$1:$Q$835,7,FALSE)</f>
        <v>0</v>
      </c>
      <c r="AI641" s="31">
        <f>VLOOKUP($A641,kurspris!$A$1:$Q$835,8,FALSE)</f>
        <v>0</v>
      </c>
      <c r="AJ641" s="31">
        <f>VLOOKUP($A641,kurspris!$A$1:$Q$835,9,FALSE)</f>
        <v>0</v>
      </c>
      <c r="AK641" s="31">
        <f>VLOOKUP($A641,kurspris!$A$1:$Q$835,10,FALSE)</f>
        <v>0</v>
      </c>
      <c r="AL641" s="31">
        <f>VLOOKUP($A641,kurspris!$A$1:$Q$835,11,FALSE)</f>
        <v>0</v>
      </c>
      <c r="AM641" s="31">
        <f>VLOOKUP($A641,kurspris!$A$1:$Q$835,12,FALSE)</f>
        <v>0</v>
      </c>
      <c r="AN641" s="31">
        <f>VLOOKUP($A641,kurspris!$A$1:$Q$835,13,FALSE)</f>
        <v>0</v>
      </c>
      <c r="AO641" s="31">
        <f>VLOOKUP($A641,kurspris!$A$1:$Q$835,14,FALSE)</f>
        <v>0</v>
      </c>
      <c r="AP641" s="39" t="s">
        <v>1631</v>
      </c>
      <c r="AQ641"/>
      <c r="AR641" s="31">
        <f t="shared" si="335"/>
        <v>0</v>
      </c>
      <c r="AS641" s="255">
        <f t="shared" si="336"/>
        <v>0</v>
      </c>
      <c r="AT641" s="31">
        <f t="shared" si="337"/>
        <v>0</v>
      </c>
      <c r="AU641" s="255">
        <f t="shared" si="338"/>
        <v>0</v>
      </c>
      <c r="AV641" s="31">
        <f t="shared" si="339"/>
        <v>0</v>
      </c>
      <c r="AW641" s="31">
        <f t="shared" si="340"/>
        <v>0</v>
      </c>
      <c r="AX641" s="31">
        <f t="shared" si="341"/>
        <v>4.0250000000000004</v>
      </c>
      <c r="AY641" s="255">
        <f t="shared" si="342"/>
        <v>3.4212500000000001</v>
      </c>
      <c r="AZ641" s="232">
        <f t="shared" si="343"/>
        <v>0</v>
      </c>
      <c r="BA641" s="255">
        <f t="shared" si="344"/>
        <v>0</v>
      </c>
      <c r="BB641" s="31">
        <f t="shared" si="345"/>
        <v>0</v>
      </c>
      <c r="BC641" s="255">
        <f t="shared" si="346"/>
        <v>0</v>
      </c>
      <c r="BD641" s="31">
        <f t="shared" si="347"/>
        <v>0</v>
      </c>
      <c r="BE641" s="255">
        <f t="shared" si="348"/>
        <v>0</v>
      </c>
      <c r="BF641" s="31">
        <f t="shared" si="349"/>
        <v>0</v>
      </c>
      <c r="BG641" s="255">
        <f t="shared" si="350"/>
        <v>0</v>
      </c>
      <c r="BH641" s="31">
        <f t="shared" si="351"/>
        <v>0</v>
      </c>
      <c r="BI641" s="255">
        <f t="shared" si="352"/>
        <v>0</v>
      </c>
      <c r="BJ641" s="31">
        <f t="shared" si="353"/>
        <v>0</v>
      </c>
      <c r="BK641" s="31">
        <f t="shared" si="354"/>
        <v>0</v>
      </c>
      <c r="BL641" s="255">
        <f t="shared" si="355"/>
        <v>0</v>
      </c>
      <c r="BM641" s="31">
        <f t="shared" si="356"/>
        <v>0</v>
      </c>
      <c r="BN641" s="255">
        <f t="shared" si="357"/>
        <v>0</v>
      </c>
    </row>
    <row r="642" spans="1:66" x14ac:dyDescent="0.25">
      <c r="A642" s="18" t="s">
        <v>1370</v>
      </c>
      <c r="B642" s="186" t="str">
        <f>VLOOKUP(A642,kurspris!$A$1:$B$877,2,FALSE)</f>
        <v>Undervisning och lärande inom det svenska skolsystemet</v>
      </c>
      <c r="C642" s="37"/>
      <c r="D642" t="s">
        <v>117</v>
      </c>
      <c r="E642"/>
      <c r="F642" s="59" t="s">
        <v>1930</v>
      </c>
      <c r="G642" t="s">
        <v>2206</v>
      </c>
      <c r="H642"/>
      <c r="I642" t="s">
        <v>1634</v>
      </c>
      <c r="L642">
        <v>100</v>
      </c>
      <c r="M642">
        <v>7.5</v>
      </c>
      <c r="P642" s="31">
        <v>2</v>
      </c>
      <c r="Q642" s="232">
        <f t="shared" si="330"/>
        <v>0.25</v>
      </c>
      <c r="R642" s="40">
        <v>0.8</v>
      </c>
      <c r="S642" s="334">
        <f t="shared" si="331"/>
        <v>0.2</v>
      </c>
      <c r="T642" s="31">
        <f>VLOOKUP(A642,'Ansvar kurs'!$A$1:$C$1010,2,FALSE)</f>
        <v>2180</v>
      </c>
      <c r="U642" s="31" t="str">
        <f>VLOOKUP(T642,Orgenheter!$A$1:$C$165,2,FALSE)</f>
        <v xml:space="preserve">Pedagogik                     </v>
      </c>
      <c r="V642" s="31" t="str">
        <f>VLOOKUP(T642,Orgenheter!$A$1:$C$165,3,FALSE)</f>
        <v>Sam</v>
      </c>
      <c r="W642" s="37" t="str">
        <f>VLOOKUP(D642,Program!$A$1:$B$34,2,FALSE)</f>
        <v>Fristående och övriga kurser</v>
      </c>
      <c r="X642" s="42">
        <f>VLOOKUP(A642,kurspris!$A$1:$Q$798,15,FALSE)</f>
        <v>20988.2</v>
      </c>
      <c r="Y642" s="42">
        <f>VLOOKUP(A642,kurspris!$A$1:$Q$798,16,FALSE)</f>
        <v>24743.4</v>
      </c>
      <c r="Z642" s="42">
        <f t="shared" si="332"/>
        <v>10195.73</v>
      </c>
      <c r="AA642" s="42">
        <f>VLOOKUP(A642,kurspris!$A$1:$Q$798,17,FALSE)</f>
        <v>3880</v>
      </c>
      <c r="AB642" s="42">
        <f t="shared" si="333"/>
        <v>970</v>
      </c>
      <c r="AC642" s="42">
        <f t="shared" si="334"/>
        <v>11165.73</v>
      </c>
      <c r="AD642" s="31">
        <f>VLOOKUP($A642,kurspris!$A$1:$Q$835,3,FALSE)</f>
        <v>0</v>
      </c>
      <c r="AE642" s="31">
        <f>VLOOKUP($A642,kurspris!$A$1:$Q$835,4,FALSE)</f>
        <v>0</v>
      </c>
      <c r="AF642" s="31">
        <f>VLOOKUP($A642,kurspris!$A$1:$Q$835,5,FALSE)</f>
        <v>0</v>
      </c>
      <c r="AG642" s="31">
        <f>VLOOKUP($A642,kurspris!$A$1:$Q$835,6,FALSE)</f>
        <v>0</v>
      </c>
      <c r="AH642" s="31">
        <f>VLOOKUP($A642,kurspris!$A$1:$Q$835,7,FALSE)</f>
        <v>0</v>
      </c>
      <c r="AI642" s="31">
        <f>VLOOKUP($A642,kurspris!$A$1:$Q$835,8,FALSE)</f>
        <v>0</v>
      </c>
      <c r="AJ642" s="31">
        <f>VLOOKUP($A642,kurspris!$A$1:$Q$835,9,FALSE)</f>
        <v>0.2</v>
      </c>
      <c r="AK642" s="31">
        <f>VLOOKUP($A642,kurspris!$A$1:$Q$835,10,FALSE)</f>
        <v>0</v>
      </c>
      <c r="AL642" s="31">
        <f>VLOOKUP($A642,kurspris!$A$1:$Q$835,11,FALSE)</f>
        <v>0.8</v>
      </c>
      <c r="AM642" s="31">
        <f>VLOOKUP($A642,kurspris!$A$1:$Q$835,12,FALSE)</f>
        <v>0</v>
      </c>
      <c r="AN642" s="31">
        <f>VLOOKUP($A642,kurspris!$A$1:$Q$835,13,FALSE)</f>
        <v>0</v>
      </c>
      <c r="AO642" s="31">
        <f>VLOOKUP($A642,kurspris!$A$1:$Q$835,14,FALSE)</f>
        <v>0</v>
      </c>
      <c r="AP642" s="39" t="s">
        <v>2232</v>
      </c>
      <c r="AQ642" s="39" t="s">
        <v>2095</v>
      </c>
      <c r="AR642" s="31">
        <f t="shared" si="335"/>
        <v>0</v>
      </c>
      <c r="AS642" s="255">
        <f t="shared" si="336"/>
        <v>0</v>
      </c>
      <c r="AT642" s="31">
        <f t="shared" si="337"/>
        <v>0</v>
      </c>
      <c r="AU642" s="255">
        <f t="shared" si="338"/>
        <v>0</v>
      </c>
      <c r="AV642" s="31">
        <f t="shared" si="339"/>
        <v>0</v>
      </c>
      <c r="AW642" s="31">
        <f t="shared" si="340"/>
        <v>0</v>
      </c>
      <c r="AX642" s="31">
        <f t="shared" si="341"/>
        <v>0</v>
      </c>
      <c r="AY642" s="255">
        <f t="shared" si="342"/>
        <v>0</v>
      </c>
      <c r="AZ642" s="232">
        <f t="shared" si="343"/>
        <v>0</v>
      </c>
      <c r="BA642" s="255">
        <f t="shared" si="344"/>
        <v>0</v>
      </c>
      <c r="BB642" s="31">
        <f t="shared" si="345"/>
        <v>0</v>
      </c>
      <c r="BC642" s="255">
        <f t="shared" si="346"/>
        <v>0</v>
      </c>
      <c r="BD642" s="31">
        <f t="shared" si="347"/>
        <v>0.05</v>
      </c>
      <c r="BE642" s="255">
        <f t="shared" si="348"/>
        <v>4.0000000000000008E-2</v>
      </c>
      <c r="BF642" s="31">
        <f t="shared" si="349"/>
        <v>0</v>
      </c>
      <c r="BG642" s="255">
        <f t="shared" si="350"/>
        <v>0</v>
      </c>
      <c r="BH642" s="31">
        <f t="shared" si="351"/>
        <v>0.2</v>
      </c>
      <c r="BI642" s="255">
        <f t="shared" si="352"/>
        <v>0.16000000000000003</v>
      </c>
      <c r="BJ642" s="31">
        <f t="shared" si="353"/>
        <v>0</v>
      </c>
      <c r="BK642" s="31">
        <f t="shared" si="354"/>
        <v>0</v>
      </c>
      <c r="BL642" s="255">
        <f t="shared" si="355"/>
        <v>0</v>
      </c>
      <c r="BM642" s="31">
        <f t="shared" si="356"/>
        <v>0</v>
      </c>
      <c r="BN642" s="255">
        <f t="shared" si="357"/>
        <v>0</v>
      </c>
    </row>
    <row r="643" spans="1:66" x14ac:dyDescent="0.25">
      <c r="A643" s="18" t="s">
        <v>1370</v>
      </c>
      <c r="B643" s="186" t="str">
        <f>VLOOKUP(A643,kurspris!$A$1:$B$877,2,FALSE)</f>
        <v>Undervisning och lärande inom det svenska skolsystemet</v>
      </c>
      <c r="C643" s="37"/>
      <c r="D643" t="s">
        <v>117</v>
      </c>
      <c r="E643"/>
      <c r="F643" s="59" t="s">
        <v>1930</v>
      </c>
      <c r="G643" t="s">
        <v>2205</v>
      </c>
      <c r="H643"/>
      <c r="I643" t="s">
        <v>1634</v>
      </c>
      <c r="L643">
        <v>100</v>
      </c>
      <c r="M643">
        <v>7.5</v>
      </c>
      <c r="P643" s="31">
        <v>8</v>
      </c>
      <c r="Q643" s="232">
        <f t="shared" ref="Q643:Q704" si="358">(M643/60)*P643</f>
        <v>1</v>
      </c>
      <c r="R643" s="40">
        <v>0.8</v>
      </c>
      <c r="S643" s="334">
        <f t="shared" ref="S643:S704" si="359">Q643*R643</f>
        <v>0.8</v>
      </c>
      <c r="T643" s="31">
        <f>VLOOKUP(A643,'Ansvar kurs'!$A$1:$C$1010,2,FALSE)</f>
        <v>2180</v>
      </c>
      <c r="U643" s="31" t="str">
        <f>VLOOKUP(T643,Orgenheter!$A$1:$C$165,2,FALSE)</f>
        <v xml:space="preserve">Pedagogik                     </v>
      </c>
      <c r="V643" s="31" t="str">
        <f>VLOOKUP(T643,Orgenheter!$A$1:$C$165,3,FALSE)</f>
        <v>Sam</v>
      </c>
      <c r="W643" s="37" t="str">
        <f>VLOOKUP(D643,Program!$A$1:$B$34,2,FALSE)</f>
        <v>Fristående och övriga kurser</v>
      </c>
      <c r="X643" s="42">
        <f>VLOOKUP(A643,kurspris!$A$1:$Q$798,15,FALSE)</f>
        <v>20988.2</v>
      </c>
      <c r="Y643" s="42">
        <f>VLOOKUP(A643,kurspris!$A$1:$Q$798,16,FALSE)</f>
        <v>24743.4</v>
      </c>
      <c r="Z643" s="42">
        <f t="shared" ref="Z643:Z704" si="360">X643*Q643+S643*Y643</f>
        <v>40782.92</v>
      </c>
      <c r="AA643" s="42">
        <f>VLOOKUP(A643,kurspris!$A$1:$Q$798,17,FALSE)</f>
        <v>3880</v>
      </c>
      <c r="AB643" s="42">
        <f t="shared" ref="AB643:AB704" si="361">AA643*Q643</f>
        <v>3880</v>
      </c>
      <c r="AC643" s="42">
        <f t="shared" ref="AC643:AC704" si="362">Z643+AB643</f>
        <v>44662.92</v>
      </c>
      <c r="AD643" s="31">
        <f>VLOOKUP($A643,kurspris!$A$1:$Q$835,3,FALSE)</f>
        <v>0</v>
      </c>
      <c r="AE643" s="31">
        <f>VLOOKUP($A643,kurspris!$A$1:$Q$835,4,FALSE)</f>
        <v>0</v>
      </c>
      <c r="AF643" s="31">
        <f>VLOOKUP($A643,kurspris!$A$1:$Q$835,5,FALSE)</f>
        <v>0</v>
      </c>
      <c r="AG643" s="31">
        <f>VLOOKUP($A643,kurspris!$A$1:$Q$835,6,FALSE)</f>
        <v>0</v>
      </c>
      <c r="AH643" s="31">
        <f>VLOOKUP($A643,kurspris!$A$1:$Q$835,7,FALSE)</f>
        <v>0</v>
      </c>
      <c r="AI643" s="31">
        <f>VLOOKUP($A643,kurspris!$A$1:$Q$835,8,FALSE)</f>
        <v>0</v>
      </c>
      <c r="AJ643" s="31">
        <f>VLOOKUP($A643,kurspris!$A$1:$Q$835,9,FALSE)</f>
        <v>0.2</v>
      </c>
      <c r="AK643" s="31">
        <f>VLOOKUP($A643,kurspris!$A$1:$Q$835,10,FALSE)</f>
        <v>0</v>
      </c>
      <c r="AL643" s="31">
        <f>VLOOKUP($A643,kurspris!$A$1:$Q$835,11,FALSE)</f>
        <v>0.8</v>
      </c>
      <c r="AM643" s="31">
        <f>VLOOKUP($A643,kurspris!$A$1:$Q$835,12,FALSE)</f>
        <v>0</v>
      </c>
      <c r="AN643" s="31">
        <f>VLOOKUP($A643,kurspris!$A$1:$Q$835,13,FALSE)</f>
        <v>0</v>
      </c>
      <c r="AO643" s="31">
        <f>VLOOKUP($A643,kurspris!$A$1:$Q$835,14,FALSE)</f>
        <v>0</v>
      </c>
      <c r="AP643" s="39" t="s">
        <v>2204</v>
      </c>
      <c r="AQ643" s="39" t="s">
        <v>2095</v>
      </c>
      <c r="AR643" s="31">
        <f t="shared" ref="AR643:AR704" si="363">$Q643*AD643</f>
        <v>0</v>
      </c>
      <c r="AS643" s="255">
        <f t="shared" ref="AS643:AS704" si="364">$S643*AD643</f>
        <v>0</v>
      </c>
      <c r="AT643" s="31">
        <f t="shared" ref="AT643:AT704" si="365">$Q643*AE643</f>
        <v>0</v>
      </c>
      <c r="AU643" s="255">
        <f t="shared" ref="AU643:AU704" si="366">$S643*AE643</f>
        <v>0</v>
      </c>
      <c r="AV643" s="31">
        <f t="shared" ref="AV643:AV704" si="367">$Q643*AF643</f>
        <v>0</v>
      </c>
      <c r="AW643" s="31">
        <f t="shared" ref="AW643:AW704" si="368">$S643*AF643</f>
        <v>0</v>
      </c>
      <c r="AX643" s="31">
        <f t="shared" ref="AX643:AX704" si="369">$Q643*AG643</f>
        <v>0</v>
      </c>
      <c r="AY643" s="255">
        <f t="shared" ref="AY643:AY704" si="370">$S643*AG643</f>
        <v>0</v>
      </c>
      <c r="AZ643" s="232">
        <f t="shared" ref="AZ643:AZ704" si="371">$Q643*AH643</f>
        <v>0</v>
      </c>
      <c r="BA643" s="255">
        <f t="shared" ref="BA643:BA704" si="372">$S643*AH643</f>
        <v>0</v>
      </c>
      <c r="BB643" s="31">
        <f t="shared" ref="BB643:BB704" si="373">$Q643*AI643</f>
        <v>0</v>
      </c>
      <c r="BC643" s="255">
        <f t="shared" ref="BC643:BC704" si="374">$S643*AI643</f>
        <v>0</v>
      </c>
      <c r="BD643" s="31">
        <f t="shared" ref="BD643:BD704" si="375">$Q643*AJ643</f>
        <v>0.2</v>
      </c>
      <c r="BE643" s="255">
        <f t="shared" ref="BE643:BE704" si="376">$S643*AJ643</f>
        <v>0.16000000000000003</v>
      </c>
      <c r="BF643" s="31">
        <f t="shared" ref="BF643:BF704" si="377">$Q643*AK643</f>
        <v>0</v>
      </c>
      <c r="BG643" s="255">
        <f t="shared" ref="BG643:BG704" si="378">$S643*AK643</f>
        <v>0</v>
      </c>
      <c r="BH643" s="31">
        <f t="shared" ref="BH643:BH704" si="379">$Q643*AL643</f>
        <v>0.8</v>
      </c>
      <c r="BI643" s="255">
        <f t="shared" ref="BI643:BI704" si="380">$S643*AL643</f>
        <v>0.64000000000000012</v>
      </c>
      <c r="BJ643" s="31">
        <f t="shared" ref="BJ643:BJ704" si="381">$Q643*AM643</f>
        <v>0</v>
      </c>
      <c r="BK643" s="31">
        <f t="shared" ref="BK643:BK704" si="382">$Q643*AN643</f>
        <v>0</v>
      </c>
      <c r="BL643" s="255">
        <f t="shared" ref="BL643:BL704" si="383">$S643*AN643</f>
        <v>0</v>
      </c>
      <c r="BM643" s="31">
        <f t="shared" ref="BM643:BM704" si="384">$Q643*AO643</f>
        <v>0</v>
      </c>
      <c r="BN643" s="255">
        <f t="shared" ref="BN643:BN704" si="385">$S643*AO643</f>
        <v>0</v>
      </c>
    </row>
    <row r="644" spans="1:66" x14ac:dyDescent="0.25">
      <c r="A644" s="18" t="s">
        <v>1370</v>
      </c>
      <c r="B644" s="186" t="str">
        <f>VLOOKUP(A644,kurspris!$A$1:$B$877,2,FALSE)</f>
        <v>Undervisning och lärande inom det svenska skolsystemet</v>
      </c>
      <c r="C644" s="37"/>
      <c r="D644" t="s">
        <v>117</v>
      </c>
      <c r="E644"/>
      <c r="F644" s="59" t="s">
        <v>1931</v>
      </c>
      <c r="G644"/>
      <c r="H644"/>
      <c r="I644" t="s">
        <v>1634</v>
      </c>
      <c r="L644">
        <v>100</v>
      </c>
      <c r="M644">
        <v>7.5</v>
      </c>
      <c r="P644">
        <v>25</v>
      </c>
      <c r="Q644" s="232">
        <f t="shared" si="358"/>
        <v>3.125</v>
      </c>
      <c r="R644" s="40">
        <v>0.8</v>
      </c>
      <c r="S644" s="334">
        <f t="shared" si="359"/>
        <v>2.5</v>
      </c>
      <c r="T644" s="31">
        <f>VLOOKUP(A644,'Ansvar kurs'!$A$1:$C$1010,2,FALSE)</f>
        <v>2180</v>
      </c>
      <c r="U644" s="31" t="str">
        <f>VLOOKUP(T644,Orgenheter!$A$1:$C$165,2,FALSE)</f>
        <v xml:space="preserve">Pedagogik                     </v>
      </c>
      <c r="V644" s="31" t="str">
        <f>VLOOKUP(T644,Orgenheter!$A$1:$C$165,3,FALSE)</f>
        <v>Sam</v>
      </c>
      <c r="W644" s="37" t="str">
        <f>VLOOKUP(D644,Program!$A$1:$B$34,2,FALSE)</f>
        <v>Fristående och övriga kurser</v>
      </c>
      <c r="X644" s="42">
        <f>VLOOKUP(A644,kurspris!$A$1:$Q$798,15,FALSE)</f>
        <v>20988.2</v>
      </c>
      <c r="Y644" s="42">
        <f>VLOOKUP(A644,kurspris!$A$1:$Q$798,16,FALSE)</f>
        <v>24743.4</v>
      </c>
      <c r="Z644" s="42">
        <f t="shared" si="360"/>
        <v>127446.625</v>
      </c>
      <c r="AA644" s="42">
        <f>VLOOKUP(A644,kurspris!$A$1:$Q$798,17,FALSE)</f>
        <v>3880</v>
      </c>
      <c r="AB644" s="42">
        <f t="shared" si="361"/>
        <v>12125</v>
      </c>
      <c r="AC644" s="42">
        <f t="shared" si="362"/>
        <v>139571.625</v>
      </c>
      <c r="AD644" s="31">
        <f>VLOOKUP($A644,kurspris!$A$1:$Q$835,3,FALSE)</f>
        <v>0</v>
      </c>
      <c r="AE644" s="31">
        <f>VLOOKUP($A644,kurspris!$A$1:$Q$835,4,FALSE)</f>
        <v>0</v>
      </c>
      <c r="AF644" s="31">
        <f>VLOOKUP($A644,kurspris!$A$1:$Q$835,5,FALSE)</f>
        <v>0</v>
      </c>
      <c r="AG644" s="31">
        <f>VLOOKUP($A644,kurspris!$A$1:$Q$835,6,FALSE)</f>
        <v>0</v>
      </c>
      <c r="AH644" s="31">
        <f>VLOOKUP($A644,kurspris!$A$1:$Q$835,7,FALSE)</f>
        <v>0</v>
      </c>
      <c r="AI644" s="31">
        <f>VLOOKUP($A644,kurspris!$A$1:$Q$835,8,FALSE)</f>
        <v>0</v>
      </c>
      <c r="AJ644" s="31">
        <f>VLOOKUP($A644,kurspris!$A$1:$Q$835,9,FALSE)</f>
        <v>0.2</v>
      </c>
      <c r="AK644" s="31">
        <f>VLOOKUP($A644,kurspris!$A$1:$Q$835,10,FALSE)</f>
        <v>0</v>
      </c>
      <c r="AL644" s="31">
        <f>VLOOKUP($A644,kurspris!$A$1:$Q$835,11,FALSE)</f>
        <v>0.8</v>
      </c>
      <c r="AM644" s="31">
        <f>VLOOKUP($A644,kurspris!$A$1:$Q$835,12,FALSE)</f>
        <v>0</v>
      </c>
      <c r="AN644" s="31">
        <f>VLOOKUP($A644,kurspris!$A$1:$Q$835,13,FALSE)</f>
        <v>0</v>
      </c>
      <c r="AO644" s="31">
        <f>VLOOKUP($A644,kurspris!$A$1:$Q$835,14,FALSE)</f>
        <v>0</v>
      </c>
      <c r="AP644" s="39" t="s">
        <v>2095</v>
      </c>
      <c r="AQ644"/>
      <c r="AR644" s="31">
        <f t="shared" si="363"/>
        <v>0</v>
      </c>
      <c r="AS644" s="255">
        <f t="shared" si="364"/>
        <v>0</v>
      </c>
      <c r="AT644" s="31">
        <f t="shared" si="365"/>
        <v>0</v>
      </c>
      <c r="AU644" s="255">
        <f t="shared" si="366"/>
        <v>0</v>
      </c>
      <c r="AV644" s="31">
        <f t="shared" si="367"/>
        <v>0</v>
      </c>
      <c r="AW644" s="31">
        <f t="shared" si="368"/>
        <v>0</v>
      </c>
      <c r="AX644" s="31">
        <f t="shared" si="369"/>
        <v>0</v>
      </c>
      <c r="AY644" s="255">
        <f t="shared" si="370"/>
        <v>0</v>
      </c>
      <c r="AZ644" s="232">
        <f t="shared" si="371"/>
        <v>0</v>
      </c>
      <c r="BA644" s="255">
        <f t="shared" si="372"/>
        <v>0</v>
      </c>
      <c r="BB644" s="31">
        <f t="shared" si="373"/>
        <v>0</v>
      </c>
      <c r="BC644" s="255">
        <f t="shared" si="374"/>
        <v>0</v>
      </c>
      <c r="BD644" s="31">
        <f t="shared" si="375"/>
        <v>0.625</v>
      </c>
      <c r="BE644" s="255">
        <f t="shared" si="376"/>
        <v>0.5</v>
      </c>
      <c r="BF644" s="31">
        <f t="shared" si="377"/>
        <v>0</v>
      </c>
      <c r="BG644" s="255">
        <f t="shared" si="378"/>
        <v>0</v>
      </c>
      <c r="BH644" s="31">
        <f t="shared" si="379"/>
        <v>2.5</v>
      </c>
      <c r="BI644" s="255">
        <f t="shared" si="380"/>
        <v>2</v>
      </c>
      <c r="BJ644" s="31">
        <f t="shared" si="381"/>
        <v>0</v>
      </c>
      <c r="BK644" s="31">
        <f t="shared" si="382"/>
        <v>0</v>
      </c>
      <c r="BL644" s="255">
        <f t="shared" si="383"/>
        <v>0</v>
      </c>
      <c r="BM644" s="31">
        <f t="shared" si="384"/>
        <v>0</v>
      </c>
      <c r="BN644" s="255">
        <f t="shared" si="385"/>
        <v>0</v>
      </c>
    </row>
    <row r="645" spans="1:66" x14ac:dyDescent="0.25">
      <c r="A645" s="18" t="s">
        <v>1372</v>
      </c>
      <c r="B645" s="186" t="str">
        <f>VLOOKUP(A645,kurspris!$A$1:$B$877,2,FALSE)</f>
        <v>Utbildning: Undervisning och lärande i en internationell kontext</v>
      </c>
      <c r="C645" s="37"/>
      <c r="D645" t="s">
        <v>117</v>
      </c>
      <c r="E645"/>
      <c r="F645" s="59" t="s">
        <v>1930</v>
      </c>
      <c r="G645"/>
      <c r="H645"/>
      <c r="I645" t="s">
        <v>1634</v>
      </c>
      <c r="L645">
        <v>100</v>
      </c>
      <c r="M645">
        <v>7.5</v>
      </c>
      <c r="P645" s="31">
        <v>16</v>
      </c>
      <c r="Q645" s="232">
        <f t="shared" si="358"/>
        <v>2</v>
      </c>
      <c r="R645" s="40">
        <v>0.8</v>
      </c>
      <c r="S645" s="334">
        <f t="shared" si="359"/>
        <v>1.6</v>
      </c>
      <c r="T645" s="31">
        <f>VLOOKUP(A645,'Ansvar kurs'!$A$1:$C$1010,2,FALSE)</f>
        <v>2180</v>
      </c>
      <c r="U645" s="31" t="str">
        <f>VLOOKUP(T645,Orgenheter!$A$1:$C$165,2,FALSE)</f>
        <v xml:space="preserve">Pedagogik                     </v>
      </c>
      <c r="V645" s="31" t="str">
        <f>VLOOKUP(T645,Orgenheter!$A$1:$C$165,3,FALSE)</f>
        <v>Sam</v>
      </c>
      <c r="W645" s="37" t="str">
        <f>VLOOKUP(D645,Program!$A$1:$B$34,2,FALSE)</f>
        <v>Fristående och övriga kurser</v>
      </c>
      <c r="X645" s="42">
        <f>VLOOKUP(A645,kurspris!$A$1:$Q$798,15,FALSE)</f>
        <v>18405</v>
      </c>
      <c r="Y645" s="42">
        <f>VLOOKUP(A645,kurspris!$A$1:$Q$798,16,FALSE)</f>
        <v>15773</v>
      </c>
      <c r="Z645" s="42">
        <f t="shared" si="360"/>
        <v>62046.8</v>
      </c>
      <c r="AA645" s="42">
        <f>VLOOKUP(A645,kurspris!$A$1:$Q$798,17,FALSE)</f>
        <v>5800</v>
      </c>
      <c r="AB645" s="42">
        <f t="shared" si="361"/>
        <v>11600</v>
      </c>
      <c r="AC645" s="42">
        <f t="shared" si="362"/>
        <v>73646.8</v>
      </c>
      <c r="AD645" s="31">
        <f>VLOOKUP($A645,kurspris!$A$1:$Q$835,3,FALSE)</f>
        <v>0</v>
      </c>
      <c r="AE645" s="31">
        <f>VLOOKUP($A645,kurspris!$A$1:$Q$835,4,FALSE)</f>
        <v>0</v>
      </c>
      <c r="AF645" s="31">
        <f>VLOOKUP($A645,kurspris!$A$1:$Q$835,5,FALSE)</f>
        <v>0</v>
      </c>
      <c r="AG645" s="31">
        <f>VLOOKUP($A645,kurspris!$A$1:$Q$835,6,FALSE)</f>
        <v>0</v>
      </c>
      <c r="AH645" s="31">
        <f>VLOOKUP($A645,kurspris!$A$1:$Q$835,7,FALSE)</f>
        <v>0</v>
      </c>
      <c r="AI645" s="31">
        <f>VLOOKUP($A645,kurspris!$A$1:$Q$835,8,FALSE)</f>
        <v>0</v>
      </c>
      <c r="AJ645" s="31">
        <f>VLOOKUP($A645,kurspris!$A$1:$Q$835,9,FALSE)</f>
        <v>1</v>
      </c>
      <c r="AK645" s="31">
        <f>VLOOKUP($A645,kurspris!$A$1:$Q$835,10,FALSE)</f>
        <v>0</v>
      </c>
      <c r="AL645" s="31">
        <f>VLOOKUP($A645,kurspris!$A$1:$Q$835,11,FALSE)</f>
        <v>0</v>
      </c>
      <c r="AM645" s="31">
        <f>VLOOKUP($A645,kurspris!$A$1:$Q$835,12,FALSE)</f>
        <v>0</v>
      </c>
      <c r="AN645" s="31">
        <f>VLOOKUP($A645,kurspris!$A$1:$Q$835,13,FALSE)</f>
        <v>0</v>
      </c>
      <c r="AO645" s="31">
        <f>VLOOKUP($A645,kurspris!$A$1:$Q$835,14,FALSE)</f>
        <v>0</v>
      </c>
      <c r="AP645" s="39" t="s">
        <v>2204</v>
      </c>
      <c r="AQ645" s="39" t="s">
        <v>2095</v>
      </c>
      <c r="AR645" s="31">
        <f t="shared" si="363"/>
        <v>0</v>
      </c>
      <c r="AS645" s="255">
        <f t="shared" si="364"/>
        <v>0</v>
      </c>
      <c r="AT645" s="31">
        <f t="shared" si="365"/>
        <v>0</v>
      </c>
      <c r="AU645" s="255">
        <f t="shared" si="366"/>
        <v>0</v>
      </c>
      <c r="AV645" s="31">
        <f t="shared" si="367"/>
        <v>0</v>
      </c>
      <c r="AW645" s="31">
        <f t="shared" si="368"/>
        <v>0</v>
      </c>
      <c r="AX645" s="31">
        <f t="shared" si="369"/>
        <v>0</v>
      </c>
      <c r="AY645" s="255">
        <f t="shared" si="370"/>
        <v>0</v>
      </c>
      <c r="AZ645" s="232">
        <f t="shared" si="371"/>
        <v>0</v>
      </c>
      <c r="BA645" s="255">
        <f t="shared" si="372"/>
        <v>0</v>
      </c>
      <c r="BB645" s="31">
        <f t="shared" si="373"/>
        <v>0</v>
      </c>
      <c r="BC645" s="255">
        <f t="shared" si="374"/>
        <v>0</v>
      </c>
      <c r="BD645" s="31">
        <f t="shared" si="375"/>
        <v>2</v>
      </c>
      <c r="BE645" s="255">
        <f t="shared" si="376"/>
        <v>1.6</v>
      </c>
      <c r="BF645" s="31">
        <f t="shared" si="377"/>
        <v>0</v>
      </c>
      <c r="BG645" s="255">
        <f t="shared" si="378"/>
        <v>0</v>
      </c>
      <c r="BH645" s="31">
        <f t="shared" si="379"/>
        <v>0</v>
      </c>
      <c r="BI645" s="255">
        <f t="shared" si="380"/>
        <v>0</v>
      </c>
      <c r="BJ645" s="31">
        <f t="shared" si="381"/>
        <v>0</v>
      </c>
      <c r="BK645" s="31">
        <f t="shared" si="382"/>
        <v>0</v>
      </c>
      <c r="BL645" s="255">
        <f t="shared" si="383"/>
        <v>0</v>
      </c>
      <c r="BM645" s="31">
        <f t="shared" si="384"/>
        <v>0</v>
      </c>
      <c r="BN645" s="255">
        <f t="shared" si="385"/>
        <v>0</v>
      </c>
    </row>
    <row r="646" spans="1:66" x14ac:dyDescent="0.25">
      <c r="A646" s="18" t="s">
        <v>1372</v>
      </c>
      <c r="B646" s="186" t="str">
        <f>VLOOKUP(A646,kurspris!$A$1:$B$877,2,FALSE)</f>
        <v>Utbildning: Undervisning och lärande i en internationell kontext</v>
      </c>
      <c r="C646" s="37"/>
      <c r="D646" t="s">
        <v>117</v>
      </c>
      <c r="E646"/>
      <c r="F646" s="59" t="s">
        <v>1931</v>
      </c>
      <c r="G646"/>
      <c r="H646"/>
      <c r="I646" t="s">
        <v>1634</v>
      </c>
      <c r="L646">
        <v>100</v>
      </c>
      <c r="M646">
        <v>7.5</v>
      </c>
      <c r="P646">
        <v>30</v>
      </c>
      <c r="Q646" s="232">
        <f t="shared" si="358"/>
        <v>3.75</v>
      </c>
      <c r="R646" s="40">
        <v>0.8</v>
      </c>
      <c r="S646" s="334">
        <f t="shared" si="359"/>
        <v>3</v>
      </c>
      <c r="T646" s="31">
        <f>VLOOKUP(A646,'Ansvar kurs'!$A$1:$C$1010,2,FALSE)</f>
        <v>2180</v>
      </c>
      <c r="U646" s="31" t="str">
        <f>VLOOKUP(T646,Orgenheter!$A$1:$C$165,2,FALSE)</f>
        <v xml:space="preserve">Pedagogik                     </v>
      </c>
      <c r="V646" s="31" t="str">
        <f>VLOOKUP(T646,Orgenheter!$A$1:$C$165,3,FALSE)</f>
        <v>Sam</v>
      </c>
      <c r="W646" s="37" t="str">
        <f>VLOOKUP(D646,Program!$A$1:$B$34,2,FALSE)</f>
        <v>Fristående och övriga kurser</v>
      </c>
      <c r="X646" s="42">
        <f>VLOOKUP(A646,kurspris!$A$1:$Q$798,15,FALSE)</f>
        <v>18405</v>
      </c>
      <c r="Y646" s="42">
        <f>VLOOKUP(A646,kurspris!$A$1:$Q$798,16,FALSE)</f>
        <v>15773</v>
      </c>
      <c r="Z646" s="42">
        <f t="shared" si="360"/>
        <v>116337.75</v>
      </c>
      <c r="AA646" s="42">
        <f>VLOOKUP(A646,kurspris!$A$1:$Q$798,17,FALSE)</f>
        <v>5800</v>
      </c>
      <c r="AB646" s="42">
        <f t="shared" si="361"/>
        <v>21750</v>
      </c>
      <c r="AC646" s="42">
        <f t="shared" si="362"/>
        <v>138087.75</v>
      </c>
      <c r="AD646" s="31">
        <f>VLOOKUP($A646,kurspris!$A$1:$Q$835,3,FALSE)</f>
        <v>0</v>
      </c>
      <c r="AE646" s="31">
        <f>VLOOKUP($A646,kurspris!$A$1:$Q$835,4,FALSE)</f>
        <v>0</v>
      </c>
      <c r="AF646" s="31">
        <f>VLOOKUP($A646,kurspris!$A$1:$Q$835,5,FALSE)</f>
        <v>0</v>
      </c>
      <c r="AG646" s="31">
        <f>VLOOKUP($A646,kurspris!$A$1:$Q$835,6,FALSE)</f>
        <v>0</v>
      </c>
      <c r="AH646" s="31">
        <f>VLOOKUP($A646,kurspris!$A$1:$Q$835,7,FALSE)</f>
        <v>0</v>
      </c>
      <c r="AI646" s="31">
        <f>VLOOKUP($A646,kurspris!$A$1:$Q$835,8,FALSE)</f>
        <v>0</v>
      </c>
      <c r="AJ646" s="31">
        <f>VLOOKUP($A646,kurspris!$A$1:$Q$835,9,FALSE)</f>
        <v>1</v>
      </c>
      <c r="AK646" s="31">
        <f>VLOOKUP($A646,kurspris!$A$1:$Q$835,10,FALSE)</f>
        <v>0</v>
      </c>
      <c r="AL646" s="31">
        <f>VLOOKUP($A646,kurspris!$A$1:$Q$835,11,FALSE)</f>
        <v>0</v>
      </c>
      <c r="AM646" s="31">
        <f>VLOOKUP($A646,kurspris!$A$1:$Q$835,12,FALSE)</f>
        <v>0</v>
      </c>
      <c r="AN646" s="31">
        <f>VLOOKUP($A646,kurspris!$A$1:$Q$835,13,FALSE)</f>
        <v>0</v>
      </c>
      <c r="AO646" s="31">
        <f>VLOOKUP($A646,kurspris!$A$1:$Q$835,14,FALSE)</f>
        <v>0</v>
      </c>
      <c r="AP646" s="39" t="s">
        <v>2095</v>
      </c>
      <c r="AQ646"/>
      <c r="AR646" s="31">
        <f t="shared" si="363"/>
        <v>0</v>
      </c>
      <c r="AS646" s="255">
        <f t="shared" si="364"/>
        <v>0</v>
      </c>
      <c r="AT646" s="31">
        <f t="shared" si="365"/>
        <v>0</v>
      </c>
      <c r="AU646" s="255">
        <f t="shared" si="366"/>
        <v>0</v>
      </c>
      <c r="AV646" s="31">
        <f t="shared" si="367"/>
        <v>0</v>
      </c>
      <c r="AW646" s="31">
        <f t="shared" si="368"/>
        <v>0</v>
      </c>
      <c r="AX646" s="31">
        <f t="shared" si="369"/>
        <v>0</v>
      </c>
      <c r="AY646" s="255">
        <f t="shared" si="370"/>
        <v>0</v>
      </c>
      <c r="AZ646" s="232">
        <f t="shared" si="371"/>
        <v>0</v>
      </c>
      <c r="BA646" s="255">
        <f t="shared" si="372"/>
        <v>0</v>
      </c>
      <c r="BB646" s="31">
        <f t="shared" si="373"/>
        <v>0</v>
      </c>
      <c r="BC646" s="255">
        <f t="shared" si="374"/>
        <v>0</v>
      </c>
      <c r="BD646" s="31">
        <f t="shared" si="375"/>
        <v>3.75</v>
      </c>
      <c r="BE646" s="255">
        <f t="shared" si="376"/>
        <v>3</v>
      </c>
      <c r="BF646" s="31">
        <f t="shared" si="377"/>
        <v>0</v>
      </c>
      <c r="BG646" s="255">
        <f t="shared" si="378"/>
        <v>0</v>
      </c>
      <c r="BH646" s="31">
        <f t="shared" si="379"/>
        <v>0</v>
      </c>
      <c r="BI646" s="255">
        <f t="shared" si="380"/>
        <v>0</v>
      </c>
      <c r="BJ646" s="31">
        <f t="shared" si="381"/>
        <v>0</v>
      </c>
      <c r="BK646" s="31">
        <f t="shared" si="382"/>
        <v>0</v>
      </c>
      <c r="BL646" s="255">
        <f t="shared" si="383"/>
        <v>0</v>
      </c>
      <c r="BM646" s="31">
        <f t="shared" si="384"/>
        <v>0</v>
      </c>
      <c r="BN646" s="255">
        <f t="shared" si="385"/>
        <v>0</v>
      </c>
    </row>
    <row r="647" spans="1:66" x14ac:dyDescent="0.25">
      <c r="A647" s="18" t="s">
        <v>1371</v>
      </c>
      <c r="B647" s="186" t="str">
        <f>VLOOKUP(A647,kurspris!$A$1:$B$877,2,FALSE)</f>
        <v>Demokrati, mänskliga rättigheter och hållbar utveckling: globala perspektiv i utbildning</v>
      </c>
      <c r="C647" s="37"/>
      <c r="D647" t="s">
        <v>117</v>
      </c>
      <c r="E647"/>
      <c r="F647" s="59" t="s">
        <v>1930</v>
      </c>
      <c r="G647"/>
      <c r="H647"/>
      <c r="I647" t="s">
        <v>1634</v>
      </c>
      <c r="L647">
        <v>100</v>
      </c>
      <c r="M647">
        <v>7.5</v>
      </c>
      <c r="P647" s="31">
        <v>10</v>
      </c>
      <c r="Q647" s="232">
        <f t="shared" si="358"/>
        <v>1.25</v>
      </c>
      <c r="R647" s="40">
        <v>0.8</v>
      </c>
      <c r="S647" s="334">
        <f t="shared" si="359"/>
        <v>1</v>
      </c>
      <c r="T647" s="31">
        <f>VLOOKUP(A647,'Ansvar kurs'!$A$1:$C$1010,2,FALSE)</f>
        <v>2180</v>
      </c>
      <c r="U647" s="31" t="str">
        <f>VLOOKUP(T647,Orgenheter!$A$1:$C$165,2,FALSE)</f>
        <v xml:space="preserve">Pedagogik                     </v>
      </c>
      <c r="V647" s="31" t="str">
        <f>VLOOKUP(T647,Orgenheter!$A$1:$C$165,3,FALSE)</f>
        <v>Sam</v>
      </c>
      <c r="W647" s="37" t="str">
        <f>VLOOKUP(D647,Program!$A$1:$B$34,2,FALSE)</f>
        <v>Fristående och övriga kurser</v>
      </c>
      <c r="X647" s="42">
        <f>VLOOKUP(A647,kurspris!$A$1:$Q$798,15,FALSE)</f>
        <v>18405</v>
      </c>
      <c r="Y647" s="42">
        <f>VLOOKUP(A647,kurspris!$A$1:$Q$798,16,FALSE)</f>
        <v>15773</v>
      </c>
      <c r="Z647" s="42">
        <f t="shared" si="360"/>
        <v>38779.25</v>
      </c>
      <c r="AA647" s="42">
        <f>VLOOKUP(A647,kurspris!$A$1:$Q$798,17,FALSE)</f>
        <v>5800</v>
      </c>
      <c r="AB647" s="42">
        <f t="shared" si="361"/>
        <v>7250</v>
      </c>
      <c r="AC647" s="42">
        <f t="shared" si="362"/>
        <v>46029.25</v>
      </c>
      <c r="AD647" s="31">
        <f>VLOOKUP($A647,kurspris!$A$1:$Q$835,3,FALSE)</f>
        <v>0</v>
      </c>
      <c r="AE647" s="31">
        <f>VLOOKUP($A647,kurspris!$A$1:$Q$835,4,FALSE)</f>
        <v>0</v>
      </c>
      <c r="AF647" s="31">
        <f>VLOOKUP($A647,kurspris!$A$1:$Q$835,5,FALSE)</f>
        <v>0</v>
      </c>
      <c r="AG647" s="31">
        <f>VLOOKUP($A647,kurspris!$A$1:$Q$835,6,FALSE)</f>
        <v>0</v>
      </c>
      <c r="AH647" s="31">
        <f>VLOOKUP($A647,kurspris!$A$1:$Q$835,7,FALSE)</f>
        <v>0</v>
      </c>
      <c r="AI647" s="31">
        <f>VLOOKUP($A647,kurspris!$A$1:$Q$835,8,FALSE)</f>
        <v>0</v>
      </c>
      <c r="AJ647" s="31">
        <f>VLOOKUP($A647,kurspris!$A$1:$Q$835,9,FALSE)</f>
        <v>1</v>
      </c>
      <c r="AK647" s="31">
        <f>VLOOKUP($A647,kurspris!$A$1:$Q$835,10,FALSE)</f>
        <v>0</v>
      </c>
      <c r="AL647" s="31">
        <f>VLOOKUP($A647,kurspris!$A$1:$Q$835,11,FALSE)</f>
        <v>0</v>
      </c>
      <c r="AM647" s="31">
        <f>VLOOKUP($A647,kurspris!$A$1:$Q$835,12,FALSE)</f>
        <v>0</v>
      </c>
      <c r="AN647" s="31">
        <f>VLOOKUP($A647,kurspris!$A$1:$Q$835,13,FALSE)</f>
        <v>0</v>
      </c>
      <c r="AO647" s="31">
        <f>VLOOKUP($A647,kurspris!$A$1:$Q$835,14,FALSE)</f>
        <v>0</v>
      </c>
      <c r="AP647" s="39" t="s">
        <v>2232</v>
      </c>
      <c r="AQ647" s="39" t="s">
        <v>2095</v>
      </c>
      <c r="AR647" s="31">
        <f t="shared" si="363"/>
        <v>0</v>
      </c>
      <c r="AS647" s="255">
        <f t="shared" si="364"/>
        <v>0</v>
      </c>
      <c r="AT647" s="31">
        <f t="shared" si="365"/>
        <v>0</v>
      </c>
      <c r="AU647" s="255">
        <f t="shared" si="366"/>
        <v>0</v>
      </c>
      <c r="AV647" s="31">
        <f t="shared" si="367"/>
        <v>0</v>
      </c>
      <c r="AW647" s="31">
        <f t="shared" si="368"/>
        <v>0</v>
      </c>
      <c r="AX647" s="31">
        <f t="shared" si="369"/>
        <v>0</v>
      </c>
      <c r="AY647" s="255">
        <f t="shared" si="370"/>
        <v>0</v>
      </c>
      <c r="AZ647" s="232">
        <f t="shared" si="371"/>
        <v>0</v>
      </c>
      <c r="BA647" s="255">
        <f t="shared" si="372"/>
        <v>0</v>
      </c>
      <c r="BB647" s="31">
        <f t="shared" si="373"/>
        <v>0</v>
      </c>
      <c r="BC647" s="255">
        <f t="shared" si="374"/>
        <v>0</v>
      </c>
      <c r="BD647" s="31">
        <f t="shared" si="375"/>
        <v>1.25</v>
      </c>
      <c r="BE647" s="255">
        <f t="shared" si="376"/>
        <v>1</v>
      </c>
      <c r="BF647" s="31">
        <f t="shared" si="377"/>
        <v>0</v>
      </c>
      <c r="BG647" s="255">
        <f t="shared" si="378"/>
        <v>0</v>
      </c>
      <c r="BH647" s="31">
        <f t="shared" si="379"/>
        <v>0</v>
      </c>
      <c r="BI647" s="255">
        <f t="shared" si="380"/>
        <v>0</v>
      </c>
      <c r="BJ647" s="31">
        <f t="shared" si="381"/>
        <v>0</v>
      </c>
      <c r="BK647" s="31">
        <f t="shared" si="382"/>
        <v>0</v>
      </c>
      <c r="BL647" s="255">
        <f t="shared" si="383"/>
        <v>0</v>
      </c>
      <c r="BM647" s="31">
        <f t="shared" si="384"/>
        <v>0</v>
      </c>
      <c r="BN647" s="255">
        <f t="shared" si="385"/>
        <v>0</v>
      </c>
    </row>
    <row r="648" spans="1:66" x14ac:dyDescent="0.25">
      <c r="A648" s="18" t="s">
        <v>1371</v>
      </c>
      <c r="B648" s="186" t="str">
        <f>VLOOKUP(A648,kurspris!$A$1:$B$877,2,FALSE)</f>
        <v>Demokrati, mänskliga rättigheter och hållbar utveckling: globala perspektiv i utbildning</v>
      </c>
      <c r="C648" s="37"/>
      <c r="D648" t="s">
        <v>117</v>
      </c>
      <c r="E648"/>
      <c r="F648" s="59" t="s">
        <v>1930</v>
      </c>
      <c r="G648"/>
      <c r="H648"/>
      <c r="I648" t="s">
        <v>2066</v>
      </c>
      <c r="L648">
        <v>25</v>
      </c>
      <c r="M648">
        <v>7.5</v>
      </c>
      <c r="P648" s="31">
        <v>18</v>
      </c>
      <c r="Q648" s="232">
        <f t="shared" si="358"/>
        <v>2.25</v>
      </c>
      <c r="R648" s="40">
        <v>0.8</v>
      </c>
      <c r="S648" s="334">
        <f t="shared" si="359"/>
        <v>1.8</v>
      </c>
      <c r="T648" s="31">
        <f>VLOOKUP(A648,'Ansvar kurs'!$A$1:$C$1010,2,FALSE)</f>
        <v>2180</v>
      </c>
      <c r="U648" s="31" t="str">
        <f>VLOOKUP(T648,Orgenheter!$A$1:$C$165,2,FALSE)</f>
        <v xml:space="preserve">Pedagogik                     </v>
      </c>
      <c r="V648" s="31" t="str">
        <f>VLOOKUP(T648,Orgenheter!$A$1:$C$165,3,FALSE)</f>
        <v>Sam</v>
      </c>
      <c r="W648" s="37" t="str">
        <f>VLOOKUP(D648,Program!$A$1:$B$34,2,FALSE)</f>
        <v>Fristående och övriga kurser</v>
      </c>
      <c r="X648" s="42">
        <f>VLOOKUP(A648,kurspris!$A$1:$Q$798,15,FALSE)</f>
        <v>18405</v>
      </c>
      <c r="Y648" s="42">
        <f>VLOOKUP(A648,kurspris!$A$1:$Q$798,16,FALSE)</f>
        <v>15773</v>
      </c>
      <c r="Z648" s="42">
        <f t="shared" si="360"/>
        <v>69802.649999999994</v>
      </c>
      <c r="AA648" s="42">
        <f>VLOOKUP(A648,kurspris!$A$1:$Q$798,17,FALSE)</f>
        <v>5800</v>
      </c>
      <c r="AB648" s="42">
        <f t="shared" si="361"/>
        <v>13050</v>
      </c>
      <c r="AC648" s="42">
        <f t="shared" si="362"/>
        <v>82852.649999999994</v>
      </c>
      <c r="AD648" s="31">
        <f>VLOOKUP($A648,kurspris!$A$1:$Q$835,3,FALSE)</f>
        <v>0</v>
      </c>
      <c r="AE648" s="31">
        <f>VLOOKUP($A648,kurspris!$A$1:$Q$835,4,FALSE)</f>
        <v>0</v>
      </c>
      <c r="AF648" s="31">
        <f>VLOOKUP($A648,kurspris!$A$1:$Q$835,5,FALSE)</f>
        <v>0</v>
      </c>
      <c r="AG648" s="31">
        <f>VLOOKUP($A648,kurspris!$A$1:$Q$835,6,FALSE)</f>
        <v>0</v>
      </c>
      <c r="AH648" s="31">
        <f>VLOOKUP($A648,kurspris!$A$1:$Q$835,7,FALSE)</f>
        <v>0</v>
      </c>
      <c r="AI648" s="31">
        <f>VLOOKUP($A648,kurspris!$A$1:$Q$835,8,FALSE)</f>
        <v>0</v>
      </c>
      <c r="AJ648" s="31">
        <f>VLOOKUP($A648,kurspris!$A$1:$Q$835,9,FALSE)</f>
        <v>1</v>
      </c>
      <c r="AK648" s="31">
        <f>VLOOKUP($A648,kurspris!$A$1:$Q$835,10,FALSE)</f>
        <v>0</v>
      </c>
      <c r="AL648" s="31">
        <f>VLOOKUP($A648,kurspris!$A$1:$Q$835,11,FALSE)</f>
        <v>0</v>
      </c>
      <c r="AM648" s="31">
        <f>VLOOKUP($A648,kurspris!$A$1:$Q$835,12,FALSE)</f>
        <v>0</v>
      </c>
      <c r="AN648" s="31">
        <f>VLOOKUP($A648,kurspris!$A$1:$Q$835,13,FALSE)</f>
        <v>0</v>
      </c>
      <c r="AO648" s="31">
        <f>VLOOKUP($A648,kurspris!$A$1:$Q$835,14,FALSE)</f>
        <v>0</v>
      </c>
      <c r="AP648" s="39" t="s">
        <v>2232</v>
      </c>
      <c r="AQ648" s="39" t="s">
        <v>2095</v>
      </c>
      <c r="AR648" s="31">
        <f t="shared" si="363"/>
        <v>0</v>
      </c>
      <c r="AS648" s="255">
        <f t="shared" si="364"/>
        <v>0</v>
      </c>
      <c r="AT648" s="31">
        <f t="shared" si="365"/>
        <v>0</v>
      </c>
      <c r="AU648" s="255">
        <f t="shared" si="366"/>
        <v>0</v>
      </c>
      <c r="AV648" s="31">
        <f t="shared" si="367"/>
        <v>0</v>
      </c>
      <c r="AW648" s="31">
        <f t="shared" si="368"/>
        <v>0</v>
      </c>
      <c r="AX648" s="31">
        <f t="shared" si="369"/>
        <v>0</v>
      </c>
      <c r="AY648" s="255">
        <f t="shared" si="370"/>
        <v>0</v>
      </c>
      <c r="AZ648" s="232">
        <f t="shared" si="371"/>
        <v>0</v>
      </c>
      <c r="BA648" s="255">
        <f t="shared" si="372"/>
        <v>0</v>
      </c>
      <c r="BB648" s="31">
        <f t="shared" si="373"/>
        <v>0</v>
      </c>
      <c r="BC648" s="255">
        <f t="shared" si="374"/>
        <v>0</v>
      </c>
      <c r="BD648" s="31">
        <f t="shared" si="375"/>
        <v>2.25</v>
      </c>
      <c r="BE648" s="255">
        <f t="shared" si="376"/>
        <v>1.8</v>
      </c>
      <c r="BF648" s="31">
        <f t="shared" si="377"/>
        <v>0</v>
      </c>
      <c r="BG648" s="255">
        <f t="shared" si="378"/>
        <v>0</v>
      </c>
      <c r="BH648" s="31">
        <f t="shared" si="379"/>
        <v>0</v>
      </c>
      <c r="BI648" s="255">
        <f t="shared" si="380"/>
        <v>0</v>
      </c>
      <c r="BJ648" s="31">
        <f t="shared" si="381"/>
        <v>0</v>
      </c>
      <c r="BK648" s="31">
        <f t="shared" si="382"/>
        <v>0</v>
      </c>
      <c r="BL648" s="255">
        <f t="shared" si="383"/>
        <v>0</v>
      </c>
      <c r="BM648" s="31">
        <f t="shared" si="384"/>
        <v>0</v>
      </c>
      <c r="BN648" s="255">
        <f t="shared" si="385"/>
        <v>0</v>
      </c>
    </row>
    <row r="649" spans="1:66" x14ac:dyDescent="0.25">
      <c r="A649" s="18" t="s">
        <v>1371</v>
      </c>
      <c r="B649" s="186" t="str">
        <f>VLOOKUP(A649,kurspris!$A$1:$B$877,2,FALSE)</f>
        <v>Demokrati, mänskliga rättigheter och hållbar utveckling: globala perspektiv i utbildning</v>
      </c>
      <c r="C649" s="37"/>
      <c r="D649" t="s">
        <v>117</v>
      </c>
      <c r="E649"/>
      <c r="F649" s="59" t="s">
        <v>1931</v>
      </c>
      <c r="G649"/>
      <c r="H649"/>
      <c r="I649" t="s">
        <v>1634</v>
      </c>
      <c r="L649">
        <v>100</v>
      </c>
      <c r="M649">
        <v>7.5</v>
      </c>
      <c r="P649">
        <v>30</v>
      </c>
      <c r="Q649" s="232">
        <f t="shared" si="358"/>
        <v>3.75</v>
      </c>
      <c r="R649" s="40">
        <v>0.8</v>
      </c>
      <c r="S649" s="334">
        <f t="shared" si="359"/>
        <v>3</v>
      </c>
      <c r="T649" s="31">
        <f>VLOOKUP(A649,'Ansvar kurs'!$A$1:$C$1010,2,FALSE)</f>
        <v>2180</v>
      </c>
      <c r="U649" s="31" t="str">
        <f>VLOOKUP(T649,Orgenheter!$A$1:$C$165,2,FALSE)</f>
        <v xml:space="preserve">Pedagogik                     </v>
      </c>
      <c r="V649" s="31" t="str">
        <f>VLOOKUP(T649,Orgenheter!$A$1:$C$165,3,FALSE)</f>
        <v>Sam</v>
      </c>
      <c r="W649" s="37" t="str">
        <f>VLOOKUP(D649,Program!$A$1:$B$34,2,FALSE)</f>
        <v>Fristående och övriga kurser</v>
      </c>
      <c r="X649" s="42">
        <f>VLOOKUP(A649,kurspris!$A$1:$Q$798,15,FALSE)</f>
        <v>18405</v>
      </c>
      <c r="Y649" s="42">
        <f>VLOOKUP(A649,kurspris!$A$1:$Q$798,16,FALSE)</f>
        <v>15773</v>
      </c>
      <c r="Z649" s="42">
        <f t="shared" si="360"/>
        <v>116337.75</v>
      </c>
      <c r="AA649" s="42">
        <f>VLOOKUP(A649,kurspris!$A$1:$Q$798,17,FALSE)</f>
        <v>5800</v>
      </c>
      <c r="AB649" s="42">
        <f t="shared" si="361"/>
        <v>21750</v>
      </c>
      <c r="AC649" s="42">
        <f t="shared" si="362"/>
        <v>138087.75</v>
      </c>
      <c r="AD649" s="31">
        <f>VLOOKUP($A649,kurspris!$A$1:$Q$835,3,FALSE)</f>
        <v>0</v>
      </c>
      <c r="AE649" s="31">
        <f>VLOOKUP($A649,kurspris!$A$1:$Q$835,4,FALSE)</f>
        <v>0</v>
      </c>
      <c r="AF649" s="31">
        <f>VLOOKUP($A649,kurspris!$A$1:$Q$835,5,FALSE)</f>
        <v>0</v>
      </c>
      <c r="AG649" s="31">
        <f>VLOOKUP($A649,kurspris!$A$1:$Q$835,6,FALSE)</f>
        <v>0</v>
      </c>
      <c r="AH649" s="31">
        <f>VLOOKUP($A649,kurspris!$A$1:$Q$835,7,FALSE)</f>
        <v>0</v>
      </c>
      <c r="AI649" s="31">
        <f>VLOOKUP($A649,kurspris!$A$1:$Q$835,8,FALSE)</f>
        <v>0</v>
      </c>
      <c r="AJ649" s="31">
        <f>VLOOKUP($A649,kurspris!$A$1:$Q$835,9,FALSE)</f>
        <v>1</v>
      </c>
      <c r="AK649" s="31">
        <f>VLOOKUP($A649,kurspris!$A$1:$Q$835,10,FALSE)</f>
        <v>0</v>
      </c>
      <c r="AL649" s="31">
        <f>VLOOKUP($A649,kurspris!$A$1:$Q$835,11,FALSE)</f>
        <v>0</v>
      </c>
      <c r="AM649" s="31">
        <f>VLOOKUP($A649,kurspris!$A$1:$Q$835,12,FALSE)</f>
        <v>0</v>
      </c>
      <c r="AN649" s="31">
        <f>VLOOKUP($A649,kurspris!$A$1:$Q$835,13,FALSE)</f>
        <v>0</v>
      </c>
      <c r="AO649" s="31">
        <f>VLOOKUP($A649,kurspris!$A$1:$Q$835,14,FALSE)</f>
        <v>0</v>
      </c>
      <c r="AP649" s="39" t="s">
        <v>2095</v>
      </c>
      <c r="AQ649"/>
      <c r="AR649" s="31">
        <f t="shared" si="363"/>
        <v>0</v>
      </c>
      <c r="AS649" s="255">
        <f t="shared" si="364"/>
        <v>0</v>
      </c>
      <c r="AT649" s="31">
        <f t="shared" si="365"/>
        <v>0</v>
      </c>
      <c r="AU649" s="255">
        <f t="shared" si="366"/>
        <v>0</v>
      </c>
      <c r="AV649" s="31">
        <f t="shared" si="367"/>
        <v>0</v>
      </c>
      <c r="AW649" s="31">
        <f t="shared" si="368"/>
        <v>0</v>
      </c>
      <c r="AX649" s="31">
        <f t="shared" si="369"/>
        <v>0</v>
      </c>
      <c r="AY649" s="255">
        <f t="shared" si="370"/>
        <v>0</v>
      </c>
      <c r="AZ649" s="232">
        <f t="shared" si="371"/>
        <v>0</v>
      </c>
      <c r="BA649" s="255">
        <f t="shared" si="372"/>
        <v>0</v>
      </c>
      <c r="BB649" s="31">
        <f t="shared" si="373"/>
        <v>0</v>
      </c>
      <c r="BC649" s="255">
        <f t="shared" si="374"/>
        <v>0</v>
      </c>
      <c r="BD649" s="31">
        <f t="shared" si="375"/>
        <v>3.75</v>
      </c>
      <c r="BE649" s="255">
        <f t="shared" si="376"/>
        <v>3</v>
      </c>
      <c r="BF649" s="31">
        <f t="shared" si="377"/>
        <v>0</v>
      </c>
      <c r="BG649" s="255">
        <f t="shared" si="378"/>
        <v>0</v>
      </c>
      <c r="BH649" s="31">
        <f t="shared" si="379"/>
        <v>0</v>
      </c>
      <c r="BI649" s="255">
        <f t="shared" si="380"/>
        <v>0</v>
      </c>
      <c r="BJ649" s="31">
        <f t="shared" si="381"/>
        <v>0</v>
      </c>
      <c r="BK649" s="31">
        <f t="shared" si="382"/>
        <v>0</v>
      </c>
      <c r="BL649" s="255">
        <f t="shared" si="383"/>
        <v>0</v>
      </c>
      <c r="BM649" s="31">
        <f t="shared" si="384"/>
        <v>0</v>
      </c>
      <c r="BN649" s="255">
        <f t="shared" si="385"/>
        <v>0</v>
      </c>
    </row>
    <row r="650" spans="1:66" x14ac:dyDescent="0.25">
      <c r="A650" s="18" t="s">
        <v>1373</v>
      </c>
      <c r="B650" s="186" t="str">
        <f>VLOOKUP(A650,kurspris!$A$1:$B$877,2,FALSE)</f>
        <v>Forskningsdesign och metod inom utbildningsvetenskap</v>
      </c>
      <c r="C650" s="37"/>
      <c r="D650" t="s">
        <v>117</v>
      </c>
      <c r="E650"/>
      <c r="F650" s="59" t="s">
        <v>1931</v>
      </c>
      <c r="G650"/>
      <c r="H650"/>
      <c r="I650" t="s">
        <v>1634</v>
      </c>
      <c r="L650">
        <v>100</v>
      </c>
      <c r="M650">
        <v>7.5</v>
      </c>
      <c r="P650">
        <v>15</v>
      </c>
      <c r="Q650" s="232">
        <f t="shared" si="358"/>
        <v>1.875</v>
      </c>
      <c r="R650" s="40">
        <v>0.8</v>
      </c>
      <c r="S650" s="334">
        <f t="shared" si="359"/>
        <v>1.5</v>
      </c>
      <c r="T650" s="31">
        <f>VLOOKUP(A650,'Ansvar kurs'!$A$1:$C$1010,2,FALSE)</f>
        <v>2180</v>
      </c>
      <c r="U650" s="31" t="str">
        <f>VLOOKUP(T650,Orgenheter!$A$1:$C$165,2,FALSE)</f>
        <v xml:space="preserve">Pedagogik                     </v>
      </c>
      <c r="V650" s="31" t="str">
        <f>VLOOKUP(T650,Orgenheter!$A$1:$C$165,3,FALSE)</f>
        <v>Sam</v>
      </c>
      <c r="W650" s="37" t="str">
        <f>VLOOKUP(D650,Program!$A$1:$B$34,2,FALSE)</f>
        <v>Fristående och övriga kurser</v>
      </c>
      <c r="X650" s="42">
        <f>VLOOKUP(A650,kurspris!$A$1:$Q$798,15,FALSE)</f>
        <v>18405</v>
      </c>
      <c r="Y650" s="42">
        <f>VLOOKUP(A650,kurspris!$A$1:$Q$798,16,FALSE)</f>
        <v>15773</v>
      </c>
      <c r="Z650" s="42">
        <f t="shared" si="360"/>
        <v>58168.875</v>
      </c>
      <c r="AA650" s="42">
        <f>VLOOKUP(A650,kurspris!$A$1:$Q$798,17,FALSE)</f>
        <v>5800</v>
      </c>
      <c r="AB650" s="42">
        <f t="shared" si="361"/>
        <v>10875</v>
      </c>
      <c r="AC650" s="42">
        <f t="shared" si="362"/>
        <v>69043.875</v>
      </c>
      <c r="AD650" s="31">
        <f>VLOOKUP($A650,kurspris!$A$1:$Q$835,3,FALSE)</f>
        <v>0</v>
      </c>
      <c r="AE650" s="31">
        <f>VLOOKUP($A650,kurspris!$A$1:$Q$835,4,FALSE)</f>
        <v>0</v>
      </c>
      <c r="AF650" s="31">
        <f>VLOOKUP($A650,kurspris!$A$1:$Q$835,5,FALSE)</f>
        <v>0</v>
      </c>
      <c r="AG650" s="31">
        <f>VLOOKUP($A650,kurspris!$A$1:$Q$835,6,FALSE)</f>
        <v>0</v>
      </c>
      <c r="AH650" s="31">
        <f>VLOOKUP($A650,kurspris!$A$1:$Q$835,7,FALSE)</f>
        <v>0</v>
      </c>
      <c r="AI650" s="31">
        <f>VLOOKUP($A650,kurspris!$A$1:$Q$835,8,FALSE)</f>
        <v>0</v>
      </c>
      <c r="AJ650" s="31">
        <f>VLOOKUP($A650,kurspris!$A$1:$Q$835,9,FALSE)</f>
        <v>1</v>
      </c>
      <c r="AK650" s="31">
        <f>VLOOKUP($A650,kurspris!$A$1:$Q$835,10,FALSE)</f>
        <v>0</v>
      </c>
      <c r="AL650" s="31">
        <f>VLOOKUP($A650,kurspris!$A$1:$Q$835,11,FALSE)</f>
        <v>0</v>
      </c>
      <c r="AM650" s="31">
        <f>VLOOKUP($A650,kurspris!$A$1:$Q$835,12,FALSE)</f>
        <v>0</v>
      </c>
      <c r="AN650" s="31">
        <f>VLOOKUP($A650,kurspris!$A$1:$Q$835,13,FALSE)</f>
        <v>0</v>
      </c>
      <c r="AO650" s="31">
        <f>VLOOKUP($A650,kurspris!$A$1:$Q$835,14,FALSE)</f>
        <v>0</v>
      </c>
      <c r="AP650" s="39" t="s">
        <v>2095</v>
      </c>
      <c r="AQ650"/>
      <c r="AR650" s="31">
        <f t="shared" si="363"/>
        <v>0</v>
      </c>
      <c r="AS650" s="255">
        <f t="shared" si="364"/>
        <v>0</v>
      </c>
      <c r="AT650" s="31">
        <f t="shared" si="365"/>
        <v>0</v>
      </c>
      <c r="AU650" s="255">
        <f t="shared" si="366"/>
        <v>0</v>
      </c>
      <c r="AV650" s="31">
        <f t="shared" si="367"/>
        <v>0</v>
      </c>
      <c r="AW650" s="31">
        <f t="shared" si="368"/>
        <v>0</v>
      </c>
      <c r="AX650" s="31">
        <f t="shared" si="369"/>
        <v>0</v>
      </c>
      <c r="AY650" s="255">
        <f t="shared" si="370"/>
        <v>0</v>
      </c>
      <c r="AZ650" s="232">
        <f t="shared" si="371"/>
        <v>0</v>
      </c>
      <c r="BA650" s="255">
        <f t="shared" si="372"/>
        <v>0</v>
      </c>
      <c r="BB650" s="31">
        <f t="shared" si="373"/>
        <v>0</v>
      </c>
      <c r="BC650" s="255">
        <f t="shared" si="374"/>
        <v>0</v>
      </c>
      <c r="BD650" s="31">
        <f t="shared" si="375"/>
        <v>1.875</v>
      </c>
      <c r="BE650" s="255">
        <f t="shared" si="376"/>
        <v>1.5</v>
      </c>
      <c r="BF650" s="31">
        <f t="shared" si="377"/>
        <v>0</v>
      </c>
      <c r="BG650" s="255">
        <f t="shared" si="378"/>
        <v>0</v>
      </c>
      <c r="BH650" s="31">
        <f t="shared" si="379"/>
        <v>0</v>
      </c>
      <c r="BI650" s="255">
        <f t="shared" si="380"/>
        <v>0</v>
      </c>
      <c r="BJ650" s="31">
        <f t="shared" si="381"/>
        <v>0</v>
      </c>
      <c r="BK650" s="31">
        <f t="shared" si="382"/>
        <v>0</v>
      </c>
      <c r="BL650" s="255">
        <f t="shared" si="383"/>
        <v>0</v>
      </c>
      <c r="BM650" s="31">
        <f t="shared" si="384"/>
        <v>0</v>
      </c>
      <c r="BN650" s="255">
        <f t="shared" si="385"/>
        <v>0</v>
      </c>
    </row>
    <row r="651" spans="1:66" x14ac:dyDescent="0.25">
      <c r="A651" t="s">
        <v>1539</v>
      </c>
      <c r="B651" s="186" t="str">
        <f>VLOOKUP(A651,kurspris!$A$1:$B$877,2,FALSE)</f>
        <v>Matematikutveckling och lärande i ett specialpedagogiskt perspektiv</v>
      </c>
      <c r="C651"/>
      <c r="D651" t="s">
        <v>115</v>
      </c>
      <c r="E651" t="s">
        <v>1609</v>
      </c>
      <c r="F651" s="59" t="s">
        <v>1930</v>
      </c>
      <c r="G651" t="s">
        <v>1989</v>
      </c>
      <c r="H651" t="s">
        <v>1910</v>
      </c>
      <c r="I651"/>
      <c r="J651" t="s">
        <v>2163</v>
      </c>
      <c r="K651"/>
      <c r="L651">
        <v>100</v>
      </c>
      <c r="M651">
        <v>8</v>
      </c>
      <c r="N651"/>
      <c r="O651"/>
      <c r="P651" s="31">
        <v>0</v>
      </c>
      <c r="Q651" s="232">
        <f t="shared" si="358"/>
        <v>0</v>
      </c>
      <c r="R651" s="40">
        <v>0.85</v>
      </c>
      <c r="S651" s="334">
        <f t="shared" si="359"/>
        <v>0</v>
      </c>
      <c r="T651" s="31">
        <f>VLOOKUP(A651,'Ansvar kurs'!$A$1:$C$1010,2,FALSE)</f>
        <v>5740</v>
      </c>
      <c r="U651" s="31" t="str">
        <f>VLOOKUP(T651,Orgenheter!$A$1:$C$165,2,FALSE)</f>
        <v>NMD</v>
      </c>
      <c r="V651" s="31" t="str">
        <f>VLOOKUP(T651,Orgenheter!$A$1:$C$165,3,FALSE)</f>
        <v>TekNat</v>
      </c>
      <c r="W651" s="37" t="str">
        <f>VLOOKUP(D651,Program!$A$1:$B$34,2,FALSE)</f>
        <v>Speciallärarprogrammet</v>
      </c>
      <c r="X651" s="42">
        <f>VLOOKUP(A651,kurspris!$A$1:$Q$798,15,FALSE)</f>
        <v>19473</v>
      </c>
      <c r="Y651" s="42">
        <f>VLOOKUP(A651,kurspris!$A$1:$Q$798,16,FALSE)</f>
        <v>34806</v>
      </c>
      <c r="Z651" s="42">
        <f t="shared" si="360"/>
        <v>0</v>
      </c>
      <c r="AA651" s="42">
        <f>VLOOKUP(A651,kurspris!$A$1:$Q$798,17,FALSE)</f>
        <v>21800</v>
      </c>
      <c r="AB651" s="42">
        <f t="shared" si="361"/>
        <v>0</v>
      </c>
      <c r="AC651" s="42">
        <f t="shared" si="362"/>
        <v>0</v>
      </c>
      <c r="AD651" s="31">
        <f>VLOOKUP($A651,kurspris!$A$1:$Q$835,3,FALSE)</f>
        <v>0</v>
      </c>
      <c r="AE651" s="31">
        <f>VLOOKUP($A651,kurspris!$A$1:$Q$835,4,FALSE)</f>
        <v>0</v>
      </c>
      <c r="AF651" s="31">
        <f>VLOOKUP($A651,kurspris!$A$1:$Q$835,5,FALSE)</f>
        <v>0</v>
      </c>
      <c r="AG651" s="31">
        <f>VLOOKUP($A651,kurspris!$A$1:$Q$835,6,FALSE)</f>
        <v>0</v>
      </c>
      <c r="AH651" s="31">
        <f>VLOOKUP($A651,kurspris!$A$1:$Q$835,7,FALSE)</f>
        <v>0</v>
      </c>
      <c r="AI651" s="31">
        <f>VLOOKUP($A651,kurspris!$A$1:$Q$835,8,FALSE)</f>
        <v>1</v>
      </c>
      <c r="AJ651" s="31">
        <f>VLOOKUP($A651,kurspris!$A$1:$Q$835,9,FALSE)</f>
        <v>0</v>
      </c>
      <c r="AK651" s="31">
        <f>VLOOKUP($A651,kurspris!$A$1:$Q$835,10,FALSE)</f>
        <v>0</v>
      </c>
      <c r="AL651" s="31">
        <f>VLOOKUP($A651,kurspris!$A$1:$Q$835,11,FALSE)</f>
        <v>0</v>
      </c>
      <c r="AM651" s="31">
        <f>VLOOKUP($A651,kurspris!$A$1:$Q$835,12,FALSE)</f>
        <v>0</v>
      </c>
      <c r="AN651" s="31">
        <f>VLOOKUP($A651,kurspris!$A$1:$Q$835,13,FALSE)</f>
        <v>0</v>
      </c>
      <c r="AO651" s="31">
        <f>VLOOKUP($A651,kurspris!$A$1:$Q$835,14,FALSE)</f>
        <v>0</v>
      </c>
      <c r="AP651" s="39" t="s">
        <v>2204</v>
      </c>
      <c r="AQ651"/>
      <c r="AR651" s="31">
        <f t="shared" si="363"/>
        <v>0</v>
      </c>
      <c r="AS651" s="255">
        <f t="shared" si="364"/>
        <v>0</v>
      </c>
      <c r="AT651" s="31">
        <f t="shared" si="365"/>
        <v>0</v>
      </c>
      <c r="AU651" s="255">
        <f t="shared" si="366"/>
        <v>0</v>
      </c>
      <c r="AV651" s="31">
        <f t="shared" si="367"/>
        <v>0</v>
      </c>
      <c r="AW651" s="31">
        <f t="shared" si="368"/>
        <v>0</v>
      </c>
      <c r="AX651" s="31">
        <f t="shared" si="369"/>
        <v>0</v>
      </c>
      <c r="AY651" s="255">
        <f t="shared" si="370"/>
        <v>0</v>
      </c>
      <c r="AZ651" s="232">
        <f t="shared" si="371"/>
        <v>0</v>
      </c>
      <c r="BA651" s="255">
        <f t="shared" si="372"/>
        <v>0</v>
      </c>
      <c r="BB651" s="31">
        <f t="shared" si="373"/>
        <v>0</v>
      </c>
      <c r="BC651" s="255">
        <f t="shared" si="374"/>
        <v>0</v>
      </c>
      <c r="BD651" s="31">
        <f t="shared" si="375"/>
        <v>0</v>
      </c>
      <c r="BE651" s="255">
        <f t="shared" si="376"/>
        <v>0</v>
      </c>
      <c r="BF651" s="31">
        <f t="shared" si="377"/>
        <v>0</v>
      </c>
      <c r="BG651" s="255">
        <f t="shared" si="378"/>
        <v>0</v>
      </c>
      <c r="BH651" s="31">
        <f t="shared" si="379"/>
        <v>0</v>
      </c>
      <c r="BI651" s="255">
        <f t="shared" si="380"/>
        <v>0</v>
      </c>
      <c r="BJ651" s="31">
        <f t="shared" si="381"/>
        <v>0</v>
      </c>
      <c r="BK651" s="31">
        <f t="shared" si="382"/>
        <v>0</v>
      </c>
      <c r="BL651" s="255">
        <f t="shared" si="383"/>
        <v>0</v>
      </c>
      <c r="BM651" s="31">
        <f t="shared" si="384"/>
        <v>0</v>
      </c>
      <c r="BN651" s="255">
        <f t="shared" si="385"/>
        <v>0</v>
      </c>
    </row>
    <row r="652" spans="1:66" x14ac:dyDescent="0.25">
      <c r="A652" t="s">
        <v>1539</v>
      </c>
      <c r="B652" s="186" t="str">
        <f>VLOOKUP(A652,kurspris!$A$1:$B$877,2,FALSE)</f>
        <v>Matematikutveckling och lärande i ett specialpedagogiskt perspektiv</v>
      </c>
      <c r="C652"/>
      <c r="D652" t="s">
        <v>115</v>
      </c>
      <c r="E652" t="s">
        <v>1788</v>
      </c>
      <c r="F652" s="59" t="s">
        <v>1930</v>
      </c>
      <c r="G652" t="s">
        <v>1989</v>
      </c>
      <c r="H652" t="s">
        <v>1910</v>
      </c>
      <c r="I652"/>
      <c r="J652" t="s">
        <v>2163</v>
      </c>
      <c r="K652"/>
      <c r="L652">
        <v>100</v>
      </c>
      <c r="M652">
        <v>8</v>
      </c>
      <c r="N652"/>
      <c r="O652"/>
      <c r="P652" s="31">
        <v>8</v>
      </c>
      <c r="Q652" s="232">
        <f t="shared" si="358"/>
        <v>1.0666666666666667</v>
      </c>
      <c r="R652" s="40">
        <v>0.85</v>
      </c>
      <c r="S652" s="334">
        <f t="shared" si="359"/>
        <v>0.90666666666666662</v>
      </c>
      <c r="T652" s="31">
        <f>VLOOKUP(A652,'Ansvar kurs'!$A$1:$C$1010,2,FALSE)</f>
        <v>5740</v>
      </c>
      <c r="U652" s="31" t="str">
        <f>VLOOKUP(T652,Orgenheter!$A$1:$C$165,2,FALSE)</f>
        <v>NMD</v>
      </c>
      <c r="V652" s="31" t="str">
        <f>VLOOKUP(T652,Orgenheter!$A$1:$C$165,3,FALSE)</f>
        <v>TekNat</v>
      </c>
      <c r="W652" s="37" t="str">
        <f>VLOOKUP(D652,Program!$A$1:$B$34,2,FALSE)</f>
        <v>Speciallärarprogrammet</v>
      </c>
      <c r="X652" s="42">
        <f>VLOOKUP(A652,kurspris!$A$1:$Q$798,15,FALSE)</f>
        <v>19473</v>
      </c>
      <c r="Y652" s="42">
        <f>VLOOKUP(A652,kurspris!$A$1:$Q$798,16,FALSE)</f>
        <v>34806</v>
      </c>
      <c r="Z652" s="42">
        <f t="shared" si="360"/>
        <v>52328.639999999999</v>
      </c>
      <c r="AA652" s="42">
        <f>VLOOKUP(A652,kurspris!$A$1:$Q$798,17,FALSE)</f>
        <v>21800</v>
      </c>
      <c r="AB652" s="42">
        <f t="shared" si="361"/>
        <v>23253.333333333332</v>
      </c>
      <c r="AC652" s="42">
        <f t="shared" si="362"/>
        <v>75581.973333333328</v>
      </c>
      <c r="AD652" s="31">
        <f>VLOOKUP($A652,kurspris!$A$1:$Q$835,3,FALSE)</f>
        <v>0</v>
      </c>
      <c r="AE652" s="31">
        <f>VLOOKUP($A652,kurspris!$A$1:$Q$835,4,FALSE)</f>
        <v>0</v>
      </c>
      <c r="AF652" s="31">
        <f>VLOOKUP($A652,kurspris!$A$1:$Q$835,5,FALSE)</f>
        <v>0</v>
      </c>
      <c r="AG652" s="31">
        <f>VLOOKUP($A652,kurspris!$A$1:$Q$835,6,FALSE)</f>
        <v>0</v>
      </c>
      <c r="AH652" s="31">
        <f>VLOOKUP($A652,kurspris!$A$1:$Q$835,7,FALSE)</f>
        <v>0</v>
      </c>
      <c r="AI652" s="31">
        <f>VLOOKUP($A652,kurspris!$A$1:$Q$835,8,FALSE)</f>
        <v>1</v>
      </c>
      <c r="AJ652" s="31">
        <f>VLOOKUP($A652,kurspris!$A$1:$Q$835,9,FALSE)</f>
        <v>0</v>
      </c>
      <c r="AK652" s="31">
        <f>VLOOKUP($A652,kurspris!$A$1:$Q$835,10,FALSE)</f>
        <v>0</v>
      </c>
      <c r="AL652" s="31">
        <f>VLOOKUP($A652,kurspris!$A$1:$Q$835,11,FALSE)</f>
        <v>0</v>
      </c>
      <c r="AM652" s="31">
        <f>VLOOKUP($A652,kurspris!$A$1:$Q$835,12,FALSE)</f>
        <v>0</v>
      </c>
      <c r="AN652" s="31">
        <f>VLOOKUP($A652,kurspris!$A$1:$Q$835,13,FALSE)</f>
        <v>0</v>
      </c>
      <c r="AO652" s="31">
        <f>VLOOKUP($A652,kurspris!$A$1:$Q$835,14,FALSE)</f>
        <v>0</v>
      </c>
      <c r="AP652" s="39" t="s">
        <v>2204</v>
      </c>
      <c r="AQ652"/>
      <c r="AR652" s="31">
        <f t="shared" si="363"/>
        <v>0</v>
      </c>
      <c r="AS652" s="255">
        <f t="shared" si="364"/>
        <v>0</v>
      </c>
      <c r="AT652" s="31">
        <f t="shared" si="365"/>
        <v>0</v>
      </c>
      <c r="AU652" s="255">
        <f t="shared" si="366"/>
        <v>0</v>
      </c>
      <c r="AV652" s="31">
        <f t="shared" si="367"/>
        <v>0</v>
      </c>
      <c r="AW652" s="31">
        <f t="shared" si="368"/>
        <v>0</v>
      </c>
      <c r="AX652" s="31">
        <f t="shared" si="369"/>
        <v>0</v>
      </c>
      <c r="AY652" s="255">
        <f t="shared" si="370"/>
        <v>0</v>
      </c>
      <c r="AZ652" s="232">
        <f t="shared" si="371"/>
        <v>0</v>
      </c>
      <c r="BA652" s="255">
        <f t="shared" si="372"/>
        <v>0</v>
      </c>
      <c r="BB652" s="31">
        <f t="shared" si="373"/>
        <v>1.0666666666666667</v>
      </c>
      <c r="BC652" s="255">
        <f t="shared" si="374"/>
        <v>0.90666666666666662</v>
      </c>
      <c r="BD652" s="31">
        <f t="shared" si="375"/>
        <v>0</v>
      </c>
      <c r="BE652" s="255">
        <f t="shared" si="376"/>
        <v>0</v>
      </c>
      <c r="BF652" s="31">
        <f t="shared" si="377"/>
        <v>0</v>
      </c>
      <c r="BG652" s="255">
        <f t="shared" si="378"/>
        <v>0</v>
      </c>
      <c r="BH652" s="31">
        <f t="shared" si="379"/>
        <v>0</v>
      </c>
      <c r="BI652" s="255">
        <f t="shared" si="380"/>
        <v>0</v>
      </c>
      <c r="BJ652" s="31">
        <f t="shared" si="381"/>
        <v>0</v>
      </c>
      <c r="BK652" s="31">
        <f t="shared" si="382"/>
        <v>0</v>
      </c>
      <c r="BL652" s="255">
        <f t="shared" si="383"/>
        <v>0</v>
      </c>
      <c r="BM652" s="31">
        <f t="shared" si="384"/>
        <v>0</v>
      </c>
      <c r="BN652" s="255">
        <f t="shared" si="385"/>
        <v>0</v>
      </c>
    </row>
    <row r="653" spans="1:66" x14ac:dyDescent="0.25">
      <c r="A653" t="s">
        <v>1540</v>
      </c>
      <c r="B653" s="186" t="str">
        <f>VLOOKUP(A653,kurspris!$A$1:$B$877,2,FALSE)</f>
        <v>Identifiering och kartläggning av undervisning och lärande med fokus på elever i behov av särskilda utbildningsinsatser</v>
      </c>
      <c r="C653"/>
      <c r="D653" t="s">
        <v>115</v>
      </c>
      <c r="E653" t="s">
        <v>1788</v>
      </c>
      <c r="F653" s="59" t="s">
        <v>1930</v>
      </c>
      <c r="G653" t="s">
        <v>2160</v>
      </c>
      <c r="H653" t="s">
        <v>1910</v>
      </c>
      <c r="I653"/>
      <c r="J653" t="s">
        <v>2163</v>
      </c>
      <c r="K653"/>
      <c r="L653">
        <v>100</v>
      </c>
      <c r="M653">
        <v>12</v>
      </c>
      <c r="N653"/>
      <c r="O653"/>
      <c r="P653" s="31">
        <v>8</v>
      </c>
      <c r="Q653" s="232">
        <f t="shared" si="358"/>
        <v>1.6</v>
      </c>
      <c r="R653" s="40">
        <v>0.85</v>
      </c>
      <c r="S653" s="334">
        <f t="shared" si="359"/>
        <v>1.36</v>
      </c>
      <c r="T653" s="31">
        <f>VLOOKUP(A653,'Ansvar kurs'!$A$1:$C$1010,2,FALSE)</f>
        <v>5740</v>
      </c>
      <c r="U653" s="31" t="str">
        <f>VLOOKUP(T653,Orgenheter!$A$1:$C$165,2,FALSE)</f>
        <v>NMD</v>
      </c>
      <c r="V653" s="31" t="str">
        <f>VLOOKUP(T653,Orgenheter!$A$1:$C$165,3,FALSE)</f>
        <v>TekNat</v>
      </c>
      <c r="W653" s="37" t="str">
        <f>VLOOKUP(D653,Program!$A$1:$B$34,2,FALSE)</f>
        <v>Speciallärarprogrammet</v>
      </c>
      <c r="X653" s="42">
        <f>VLOOKUP(A653,kurspris!$A$1:$Q$798,15,FALSE)</f>
        <v>19473</v>
      </c>
      <c r="Y653" s="42">
        <f>VLOOKUP(A653,kurspris!$A$1:$Q$798,16,FALSE)</f>
        <v>34806</v>
      </c>
      <c r="Z653" s="42">
        <f t="shared" si="360"/>
        <v>78492.960000000006</v>
      </c>
      <c r="AA653" s="42">
        <f>VLOOKUP(A653,kurspris!$A$1:$Q$798,17,FALSE)</f>
        <v>21800</v>
      </c>
      <c r="AB653" s="42">
        <f t="shared" si="361"/>
        <v>34880</v>
      </c>
      <c r="AC653" s="42">
        <f t="shared" si="362"/>
        <v>113372.96</v>
      </c>
      <c r="AD653" s="31">
        <f>VLOOKUP($A653,kurspris!$A$1:$Q$835,3,FALSE)</f>
        <v>0</v>
      </c>
      <c r="AE653" s="31">
        <f>VLOOKUP($A653,kurspris!$A$1:$Q$835,4,FALSE)</f>
        <v>0</v>
      </c>
      <c r="AF653" s="31">
        <f>VLOOKUP($A653,kurspris!$A$1:$Q$835,5,FALSE)</f>
        <v>0</v>
      </c>
      <c r="AG653" s="31">
        <f>VLOOKUP($A653,kurspris!$A$1:$Q$835,6,FALSE)</f>
        <v>0</v>
      </c>
      <c r="AH653" s="31">
        <f>VLOOKUP($A653,kurspris!$A$1:$Q$835,7,FALSE)</f>
        <v>0</v>
      </c>
      <c r="AI653" s="31">
        <f>VLOOKUP($A653,kurspris!$A$1:$Q$835,8,FALSE)</f>
        <v>1</v>
      </c>
      <c r="AJ653" s="31">
        <f>VLOOKUP($A653,kurspris!$A$1:$Q$835,9,FALSE)</f>
        <v>0</v>
      </c>
      <c r="AK653" s="31">
        <f>VLOOKUP($A653,kurspris!$A$1:$Q$835,10,FALSE)</f>
        <v>0</v>
      </c>
      <c r="AL653" s="31">
        <f>VLOOKUP($A653,kurspris!$A$1:$Q$835,11,FALSE)</f>
        <v>0</v>
      </c>
      <c r="AM653" s="31">
        <f>VLOOKUP($A653,kurspris!$A$1:$Q$835,12,FALSE)</f>
        <v>0</v>
      </c>
      <c r="AN653" s="31">
        <f>VLOOKUP($A653,kurspris!$A$1:$Q$835,13,FALSE)</f>
        <v>0</v>
      </c>
      <c r="AO653" s="31">
        <f>VLOOKUP($A653,kurspris!$A$1:$Q$835,14,FALSE)</f>
        <v>0</v>
      </c>
      <c r="AP653" s="39" t="s">
        <v>2204</v>
      </c>
      <c r="AQ653"/>
      <c r="AR653" s="31">
        <f t="shared" si="363"/>
        <v>0</v>
      </c>
      <c r="AS653" s="255">
        <f t="shared" si="364"/>
        <v>0</v>
      </c>
      <c r="AT653" s="31">
        <f t="shared" si="365"/>
        <v>0</v>
      </c>
      <c r="AU653" s="255">
        <f t="shared" si="366"/>
        <v>0</v>
      </c>
      <c r="AV653" s="31">
        <f t="shared" si="367"/>
        <v>0</v>
      </c>
      <c r="AW653" s="31">
        <f t="shared" si="368"/>
        <v>0</v>
      </c>
      <c r="AX653" s="31">
        <f t="shared" si="369"/>
        <v>0</v>
      </c>
      <c r="AY653" s="255">
        <f t="shared" si="370"/>
        <v>0</v>
      </c>
      <c r="AZ653" s="232">
        <f t="shared" si="371"/>
        <v>0</v>
      </c>
      <c r="BA653" s="255">
        <f t="shared" si="372"/>
        <v>0</v>
      </c>
      <c r="BB653" s="31">
        <f t="shared" si="373"/>
        <v>1.6</v>
      </c>
      <c r="BC653" s="255">
        <f t="shared" si="374"/>
        <v>1.36</v>
      </c>
      <c r="BD653" s="31">
        <f t="shared" si="375"/>
        <v>0</v>
      </c>
      <c r="BE653" s="255">
        <f t="shared" si="376"/>
        <v>0</v>
      </c>
      <c r="BF653" s="31">
        <f t="shared" si="377"/>
        <v>0</v>
      </c>
      <c r="BG653" s="255">
        <f t="shared" si="378"/>
        <v>0</v>
      </c>
      <c r="BH653" s="31">
        <f t="shared" si="379"/>
        <v>0</v>
      </c>
      <c r="BI653" s="255">
        <f t="shared" si="380"/>
        <v>0</v>
      </c>
      <c r="BJ653" s="31">
        <f t="shared" si="381"/>
        <v>0</v>
      </c>
      <c r="BK653" s="31">
        <f t="shared" si="382"/>
        <v>0</v>
      </c>
      <c r="BL653" s="255">
        <f t="shared" si="383"/>
        <v>0</v>
      </c>
      <c r="BM653" s="31">
        <f t="shared" si="384"/>
        <v>0</v>
      </c>
      <c r="BN653" s="255">
        <f t="shared" si="385"/>
        <v>0</v>
      </c>
    </row>
    <row r="654" spans="1:66" x14ac:dyDescent="0.25">
      <c r="A654" t="s">
        <v>1541</v>
      </c>
      <c r="B654" s="186" t="str">
        <f>VLOOKUP(A654,kurspris!$A$1:$B$877,2,FALSE)</f>
        <v>Stöd och stimulans i arbetet med elever i behov av särskilda utbildningsinsatser</v>
      </c>
      <c r="C654"/>
      <c r="D654" t="s">
        <v>115</v>
      </c>
      <c r="E654" t="s">
        <v>1788</v>
      </c>
      <c r="F654" s="59" t="s">
        <v>1930</v>
      </c>
      <c r="G654" t="s">
        <v>2161</v>
      </c>
      <c r="H654" t="s">
        <v>1910</v>
      </c>
      <c r="I654"/>
      <c r="J654" t="s">
        <v>2163</v>
      </c>
      <c r="K654"/>
      <c r="L654">
        <v>100</v>
      </c>
      <c r="M654">
        <v>10</v>
      </c>
      <c r="N654"/>
      <c r="O654"/>
      <c r="P654" s="31">
        <v>8</v>
      </c>
      <c r="Q654" s="232">
        <f t="shared" si="358"/>
        <v>1.3333333333333333</v>
      </c>
      <c r="R654" s="40">
        <v>0.85</v>
      </c>
      <c r="S654" s="334">
        <f t="shared" si="359"/>
        <v>1.1333333333333333</v>
      </c>
      <c r="T654" s="31">
        <f>VLOOKUP(A654,'Ansvar kurs'!$A$1:$C$1010,2,FALSE)</f>
        <v>5740</v>
      </c>
      <c r="U654" s="31" t="str">
        <f>VLOOKUP(T654,Orgenheter!$A$1:$C$165,2,FALSE)</f>
        <v>NMD</v>
      </c>
      <c r="V654" s="31" t="str">
        <f>VLOOKUP(T654,Orgenheter!$A$1:$C$165,3,FALSE)</f>
        <v>TekNat</v>
      </c>
      <c r="W654" s="37" t="str">
        <f>VLOOKUP(D654,Program!$A$1:$B$34,2,FALSE)</f>
        <v>Speciallärarprogrammet</v>
      </c>
      <c r="X654" s="42">
        <f>VLOOKUP(A654,kurspris!$A$1:$Q$798,15,FALSE)</f>
        <v>19473</v>
      </c>
      <c r="Y654" s="42">
        <f>VLOOKUP(A654,kurspris!$A$1:$Q$798,16,FALSE)</f>
        <v>34806</v>
      </c>
      <c r="Z654" s="42">
        <f t="shared" si="360"/>
        <v>65410.799999999996</v>
      </c>
      <c r="AA654" s="42">
        <f>VLOOKUP(A654,kurspris!$A$1:$Q$798,17,FALSE)</f>
        <v>21800</v>
      </c>
      <c r="AB654" s="42">
        <f t="shared" si="361"/>
        <v>29066.666666666664</v>
      </c>
      <c r="AC654" s="42">
        <f t="shared" si="362"/>
        <v>94477.46666666666</v>
      </c>
      <c r="AD654" s="31">
        <f>VLOOKUP($A654,kurspris!$A$1:$Q$835,3,FALSE)</f>
        <v>0</v>
      </c>
      <c r="AE654" s="31">
        <f>VLOOKUP($A654,kurspris!$A$1:$Q$835,4,FALSE)</f>
        <v>0</v>
      </c>
      <c r="AF654" s="31">
        <f>VLOOKUP($A654,kurspris!$A$1:$Q$835,5,FALSE)</f>
        <v>0</v>
      </c>
      <c r="AG654" s="31">
        <f>VLOOKUP($A654,kurspris!$A$1:$Q$835,6,FALSE)</f>
        <v>0</v>
      </c>
      <c r="AH654" s="31">
        <f>VLOOKUP($A654,kurspris!$A$1:$Q$835,7,FALSE)</f>
        <v>0</v>
      </c>
      <c r="AI654" s="31">
        <f>VLOOKUP($A654,kurspris!$A$1:$Q$835,8,FALSE)</f>
        <v>1</v>
      </c>
      <c r="AJ654" s="31">
        <f>VLOOKUP($A654,kurspris!$A$1:$Q$835,9,FALSE)</f>
        <v>0</v>
      </c>
      <c r="AK654" s="31">
        <f>VLOOKUP($A654,kurspris!$A$1:$Q$835,10,FALSE)</f>
        <v>0</v>
      </c>
      <c r="AL654" s="31">
        <f>VLOOKUP($A654,kurspris!$A$1:$Q$835,11,FALSE)</f>
        <v>0</v>
      </c>
      <c r="AM654" s="31">
        <f>VLOOKUP($A654,kurspris!$A$1:$Q$835,12,FALSE)</f>
        <v>0</v>
      </c>
      <c r="AN654" s="31">
        <f>VLOOKUP($A654,kurspris!$A$1:$Q$835,13,FALSE)</f>
        <v>0</v>
      </c>
      <c r="AO654" s="31">
        <f>VLOOKUP($A654,kurspris!$A$1:$Q$835,14,FALSE)</f>
        <v>0</v>
      </c>
      <c r="AP654" s="39" t="s">
        <v>2235</v>
      </c>
      <c r="AQ654"/>
      <c r="AR654" s="31">
        <f t="shared" si="363"/>
        <v>0</v>
      </c>
      <c r="AS654" s="255">
        <f t="shared" si="364"/>
        <v>0</v>
      </c>
      <c r="AT654" s="31">
        <f t="shared" si="365"/>
        <v>0</v>
      </c>
      <c r="AU654" s="255">
        <f t="shared" si="366"/>
        <v>0</v>
      </c>
      <c r="AV654" s="31">
        <f t="shared" si="367"/>
        <v>0</v>
      </c>
      <c r="AW654" s="31">
        <f t="shared" si="368"/>
        <v>0</v>
      </c>
      <c r="AX654" s="31">
        <f t="shared" si="369"/>
        <v>0</v>
      </c>
      <c r="AY654" s="255">
        <f t="shared" si="370"/>
        <v>0</v>
      </c>
      <c r="AZ654" s="232">
        <f t="shared" si="371"/>
        <v>0</v>
      </c>
      <c r="BA654" s="255">
        <f t="shared" si="372"/>
        <v>0</v>
      </c>
      <c r="BB654" s="31">
        <f t="shared" si="373"/>
        <v>1.3333333333333333</v>
      </c>
      <c r="BC654" s="255">
        <f t="shared" si="374"/>
        <v>1.1333333333333333</v>
      </c>
      <c r="BD654" s="31">
        <f t="shared" si="375"/>
        <v>0</v>
      </c>
      <c r="BE654" s="255">
        <f t="shared" si="376"/>
        <v>0</v>
      </c>
      <c r="BF654" s="31">
        <f t="shared" si="377"/>
        <v>0</v>
      </c>
      <c r="BG654" s="255">
        <f t="shared" si="378"/>
        <v>0</v>
      </c>
      <c r="BH654" s="31">
        <f t="shared" si="379"/>
        <v>0</v>
      </c>
      <c r="BI654" s="255">
        <f t="shared" si="380"/>
        <v>0</v>
      </c>
      <c r="BJ654" s="31">
        <f t="shared" si="381"/>
        <v>0</v>
      </c>
      <c r="BK654" s="31">
        <f t="shared" si="382"/>
        <v>0</v>
      </c>
      <c r="BL654" s="255">
        <f t="shared" si="383"/>
        <v>0</v>
      </c>
      <c r="BM654" s="31">
        <f t="shared" si="384"/>
        <v>0</v>
      </c>
      <c r="BN654" s="255">
        <f t="shared" si="385"/>
        <v>0</v>
      </c>
    </row>
    <row r="655" spans="1:66" x14ac:dyDescent="0.25">
      <c r="A655" t="s">
        <v>1439</v>
      </c>
      <c r="B655" s="186" t="str">
        <f>VLOOKUP(A655,kurspris!$A$1:$B$877,2,FALSE)</f>
        <v>Läraryrkets dimensioner - ingångsämne idrott och hälsa</v>
      </c>
      <c r="C655"/>
      <c r="D655" t="s">
        <v>482</v>
      </c>
      <c r="E655" t="s">
        <v>1976</v>
      </c>
      <c r="F655" s="59" t="s">
        <v>1930</v>
      </c>
      <c r="G655" t="s">
        <v>1998</v>
      </c>
      <c r="H655" t="s">
        <v>1910</v>
      </c>
      <c r="I655"/>
      <c r="J655" t="s">
        <v>773</v>
      </c>
      <c r="K655"/>
      <c r="L655">
        <v>100</v>
      </c>
      <c r="M655">
        <v>22.5</v>
      </c>
      <c r="N655"/>
      <c r="O655"/>
      <c r="P655" s="31">
        <v>1</v>
      </c>
      <c r="Q655" s="232">
        <f t="shared" si="358"/>
        <v>0.375</v>
      </c>
      <c r="R655" s="40">
        <v>0.85</v>
      </c>
      <c r="S655" s="334">
        <f t="shared" si="359"/>
        <v>0.31874999999999998</v>
      </c>
      <c r="T655" s="31">
        <f>VLOOKUP(A655,'Ansvar kurs'!$A$1:$C$1010,2,FALSE)</f>
        <v>2180</v>
      </c>
      <c r="U655" s="31" t="str">
        <f>VLOOKUP(T655,Orgenheter!$A$1:$C$165,2,FALSE)</f>
        <v xml:space="preserve">Pedagogik                     </v>
      </c>
      <c r="V655" s="31" t="str">
        <f>VLOOKUP(T655,Orgenheter!$A$1:$C$165,3,FALSE)</f>
        <v>Sam</v>
      </c>
      <c r="W655" s="37" t="str">
        <f>VLOOKUP(D655,Program!$A$1:$B$34,2,FALSE)</f>
        <v>Ämneslärarprogrammet - åk 7-9</v>
      </c>
      <c r="X655" s="42">
        <f>VLOOKUP(A655,kurspris!$A$1:$Q$798,15,FALSE)</f>
        <v>21634</v>
      </c>
      <c r="Y655" s="42">
        <f>VLOOKUP(A655,kurspris!$A$1:$Q$798,16,FALSE)</f>
        <v>26986</v>
      </c>
      <c r="Z655" s="42">
        <f t="shared" si="360"/>
        <v>16714.537499999999</v>
      </c>
      <c r="AA655" s="42">
        <f>VLOOKUP(A655,kurspris!$A$1:$Q$798,17,FALSE)</f>
        <v>3400</v>
      </c>
      <c r="AB655" s="42">
        <f t="shared" si="361"/>
        <v>1275</v>
      </c>
      <c r="AC655" s="42">
        <f t="shared" si="362"/>
        <v>17989.537499999999</v>
      </c>
      <c r="AD655" s="31">
        <f>VLOOKUP($A655,kurspris!$A$1:$Q$835,3,FALSE)</f>
        <v>0</v>
      </c>
      <c r="AE655" s="31">
        <f>VLOOKUP($A655,kurspris!$A$1:$Q$835,4,FALSE)</f>
        <v>0</v>
      </c>
      <c r="AF655" s="31">
        <f>VLOOKUP($A655,kurspris!$A$1:$Q$835,5,FALSE)</f>
        <v>0</v>
      </c>
      <c r="AG655" s="31">
        <f>VLOOKUP($A655,kurspris!$A$1:$Q$835,6,FALSE)</f>
        <v>0</v>
      </c>
      <c r="AH655" s="31">
        <f>VLOOKUP($A655,kurspris!$A$1:$Q$835,7,FALSE)</f>
        <v>0</v>
      </c>
      <c r="AI655" s="31">
        <f>VLOOKUP($A655,kurspris!$A$1:$Q$835,8,FALSE)</f>
        <v>0</v>
      </c>
      <c r="AJ655" s="31">
        <f>VLOOKUP($A655,kurspris!$A$1:$Q$835,9,FALSE)</f>
        <v>0</v>
      </c>
      <c r="AK655" s="31">
        <f>VLOOKUP($A655,kurspris!$A$1:$Q$835,10,FALSE)</f>
        <v>0</v>
      </c>
      <c r="AL655" s="31">
        <f>VLOOKUP($A655,kurspris!$A$1:$Q$835,11,FALSE)</f>
        <v>1</v>
      </c>
      <c r="AM655" s="31">
        <f>VLOOKUP($A655,kurspris!$A$1:$Q$835,12,FALSE)</f>
        <v>0</v>
      </c>
      <c r="AN655" s="31">
        <f>VLOOKUP($A655,kurspris!$A$1:$Q$835,13,FALSE)</f>
        <v>0</v>
      </c>
      <c r="AO655" s="31">
        <f>VLOOKUP($A655,kurspris!$A$1:$Q$835,14,FALSE)</f>
        <v>0</v>
      </c>
      <c r="AP655" s="39" t="s">
        <v>2204</v>
      </c>
      <c r="AQ655"/>
      <c r="AR655" s="31">
        <f t="shared" si="363"/>
        <v>0</v>
      </c>
      <c r="AS655" s="255">
        <f t="shared" si="364"/>
        <v>0</v>
      </c>
      <c r="AT655" s="31">
        <f t="shared" si="365"/>
        <v>0</v>
      </c>
      <c r="AU655" s="255">
        <f t="shared" si="366"/>
        <v>0</v>
      </c>
      <c r="AV655" s="31">
        <f t="shared" si="367"/>
        <v>0</v>
      </c>
      <c r="AW655" s="31">
        <f t="shared" si="368"/>
        <v>0</v>
      </c>
      <c r="AX655" s="31">
        <f t="shared" si="369"/>
        <v>0</v>
      </c>
      <c r="AY655" s="255">
        <f t="shared" si="370"/>
        <v>0</v>
      </c>
      <c r="AZ655" s="232">
        <f t="shared" si="371"/>
        <v>0</v>
      </c>
      <c r="BA655" s="255">
        <f t="shared" si="372"/>
        <v>0</v>
      </c>
      <c r="BB655" s="31">
        <f t="shared" si="373"/>
        <v>0</v>
      </c>
      <c r="BC655" s="255">
        <f t="shared" si="374"/>
        <v>0</v>
      </c>
      <c r="BD655" s="31">
        <f t="shared" si="375"/>
        <v>0</v>
      </c>
      <c r="BE655" s="255">
        <f t="shared" si="376"/>
        <v>0</v>
      </c>
      <c r="BF655" s="31">
        <f t="shared" si="377"/>
        <v>0</v>
      </c>
      <c r="BG655" s="255">
        <f t="shared" si="378"/>
        <v>0</v>
      </c>
      <c r="BH655" s="31">
        <f t="shared" si="379"/>
        <v>0.375</v>
      </c>
      <c r="BI655" s="255">
        <f t="shared" si="380"/>
        <v>0.31874999999999998</v>
      </c>
      <c r="BJ655" s="31">
        <f t="shared" si="381"/>
        <v>0</v>
      </c>
      <c r="BK655" s="31">
        <f t="shared" si="382"/>
        <v>0</v>
      </c>
      <c r="BL655" s="255">
        <f t="shared" si="383"/>
        <v>0</v>
      </c>
      <c r="BM655" s="31">
        <f t="shared" si="384"/>
        <v>0</v>
      </c>
      <c r="BN655" s="255">
        <f t="shared" si="385"/>
        <v>0</v>
      </c>
    </row>
    <row r="656" spans="1:66" x14ac:dyDescent="0.25">
      <c r="A656" s="18" t="s">
        <v>1439</v>
      </c>
      <c r="B656" s="186" t="str">
        <f>VLOOKUP(A656,kurspris!$A$1:$B$877,2,FALSE)</f>
        <v>Läraryrkets dimensioner - ingångsämne idrott och hälsa</v>
      </c>
      <c r="C656" s="37"/>
      <c r="D656" s="31" t="s">
        <v>483</v>
      </c>
      <c r="E656" s="31" t="s">
        <v>1994</v>
      </c>
      <c r="F656" s="59" t="s">
        <v>1931</v>
      </c>
      <c r="G656" s="31" t="s">
        <v>2267</v>
      </c>
      <c r="J656" t="s">
        <v>773</v>
      </c>
      <c r="L656" s="31">
        <v>100</v>
      </c>
      <c r="M656" s="31">
        <v>22.5</v>
      </c>
      <c r="P656" s="31">
        <v>1</v>
      </c>
      <c r="Q656" s="232">
        <f t="shared" si="358"/>
        <v>0.375</v>
      </c>
      <c r="R656" s="40">
        <v>0.85</v>
      </c>
      <c r="S656" s="334">
        <f t="shared" si="359"/>
        <v>0.31874999999999998</v>
      </c>
      <c r="T656" s="31">
        <f>VLOOKUP(A656,'Ansvar kurs'!$A$1:$C$1010,2,FALSE)</f>
        <v>2180</v>
      </c>
      <c r="U656" s="31" t="str">
        <f>VLOOKUP(T656,Orgenheter!$A$1:$C$165,2,FALSE)</f>
        <v xml:space="preserve">Pedagogik                     </v>
      </c>
      <c r="V656" s="31" t="str">
        <f>VLOOKUP(T656,Orgenheter!$A$1:$C$165,3,FALSE)</f>
        <v>Sam</v>
      </c>
      <c r="W656" s="37" t="str">
        <f>VLOOKUP(D656,Program!$A$1:$B$34,2,FALSE)</f>
        <v>Ämneslärarprogrammet - Gy</v>
      </c>
      <c r="X656" s="42">
        <f>VLOOKUP(A656,kurspris!$A$1:$Q$798,15,FALSE)</f>
        <v>21634</v>
      </c>
      <c r="Y656" s="42">
        <f>VLOOKUP(A656,kurspris!$A$1:$Q$798,16,FALSE)</f>
        <v>26986</v>
      </c>
      <c r="Z656" s="42">
        <f t="shared" si="360"/>
        <v>16714.537499999999</v>
      </c>
      <c r="AA656" s="42">
        <f>VLOOKUP(A656,kurspris!$A$1:$Q$798,17,FALSE)</f>
        <v>3400</v>
      </c>
      <c r="AB656" s="42">
        <f t="shared" si="361"/>
        <v>1275</v>
      </c>
      <c r="AC656" s="42">
        <f t="shared" si="362"/>
        <v>17989.537499999999</v>
      </c>
      <c r="AD656" s="31">
        <f>VLOOKUP($A656,kurspris!$A$1:$Q$835,3,FALSE)</f>
        <v>0</v>
      </c>
      <c r="AE656" s="31">
        <f>VLOOKUP($A656,kurspris!$A$1:$Q$835,4,FALSE)</f>
        <v>0</v>
      </c>
      <c r="AF656" s="31">
        <f>VLOOKUP($A656,kurspris!$A$1:$Q$835,5,FALSE)</f>
        <v>0</v>
      </c>
      <c r="AG656" s="31">
        <f>VLOOKUP($A656,kurspris!$A$1:$Q$835,6,FALSE)</f>
        <v>0</v>
      </c>
      <c r="AH656" s="31">
        <f>VLOOKUP($A656,kurspris!$A$1:$Q$835,7,FALSE)</f>
        <v>0</v>
      </c>
      <c r="AI656" s="31">
        <f>VLOOKUP($A656,kurspris!$A$1:$Q$835,8,FALSE)</f>
        <v>0</v>
      </c>
      <c r="AJ656" s="31">
        <f>VLOOKUP($A656,kurspris!$A$1:$Q$835,9,FALSE)</f>
        <v>0</v>
      </c>
      <c r="AK656" s="31">
        <f>VLOOKUP($A656,kurspris!$A$1:$Q$835,10,FALSE)</f>
        <v>0</v>
      </c>
      <c r="AL656" s="31">
        <f>VLOOKUP($A656,kurspris!$A$1:$Q$835,11,FALSE)</f>
        <v>1</v>
      </c>
      <c r="AM656" s="31">
        <f>VLOOKUP($A656,kurspris!$A$1:$Q$835,12,FALSE)</f>
        <v>0</v>
      </c>
      <c r="AN656" s="31">
        <f>VLOOKUP($A656,kurspris!$A$1:$Q$835,13,FALSE)</f>
        <v>0</v>
      </c>
      <c r="AO656" s="31">
        <f>VLOOKUP($A656,kurspris!$A$1:$Q$835,14,FALSE)</f>
        <v>0</v>
      </c>
      <c r="AP656" s="39" t="s">
        <v>2326</v>
      </c>
      <c r="AQ656"/>
      <c r="AR656" s="31">
        <f t="shared" si="363"/>
        <v>0</v>
      </c>
      <c r="AS656" s="255">
        <f t="shared" si="364"/>
        <v>0</v>
      </c>
      <c r="AT656" s="31">
        <f t="shared" si="365"/>
        <v>0</v>
      </c>
      <c r="AU656" s="255">
        <f t="shared" si="366"/>
        <v>0</v>
      </c>
      <c r="AV656" s="31">
        <f t="shared" si="367"/>
        <v>0</v>
      </c>
      <c r="AW656" s="31">
        <f t="shared" si="368"/>
        <v>0</v>
      </c>
      <c r="AX656" s="31">
        <f t="shared" si="369"/>
        <v>0</v>
      </c>
      <c r="AY656" s="255">
        <f t="shared" si="370"/>
        <v>0</v>
      </c>
      <c r="AZ656" s="232">
        <f t="shared" si="371"/>
        <v>0</v>
      </c>
      <c r="BA656" s="255">
        <f t="shared" si="372"/>
        <v>0</v>
      </c>
      <c r="BB656" s="31">
        <f t="shared" si="373"/>
        <v>0</v>
      </c>
      <c r="BC656" s="255">
        <f t="shared" si="374"/>
        <v>0</v>
      </c>
      <c r="BD656" s="31">
        <f t="shared" si="375"/>
        <v>0</v>
      </c>
      <c r="BE656" s="255">
        <f t="shared" si="376"/>
        <v>0</v>
      </c>
      <c r="BF656" s="31">
        <f t="shared" si="377"/>
        <v>0</v>
      </c>
      <c r="BG656" s="255">
        <f t="shared" si="378"/>
        <v>0</v>
      </c>
      <c r="BH656" s="31">
        <f t="shared" si="379"/>
        <v>0.375</v>
      </c>
      <c r="BI656" s="255">
        <f t="shared" si="380"/>
        <v>0.31874999999999998</v>
      </c>
      <c r="BJ656" s="31">
        <f t="shared" si="381"/>
        <v>0</v>
      </c>
      <c r="BK656" s="31">
        <f t="shared" si="382"/>
        <v>0</v>
      </c>
      <c r="BL656" s="255">
        <f t="shared" si="383"/>
        <v>0</v>
      </c>
      <c r="BM656" s="31">
        <f t="shared" si="384"/>
        <v>0</v>
      </c>
      <c r="BN656" s="255">
        <f t="shared" si="385"/>
        <v>0</v>
      </c>
    </row>
    <row r="657" spans="1:66" x14ac:dyDescent="0.25">
      <c r="A657" s="18" t="s">
        <v>1439</v>
      </c>
      <c r="B657" s="186" t="str">
        <f>VLOOKUP(A657,kurspris!$A$1:$B$877,2,FALSE)</f>
        <v>Läraryrkets dimensioner - ingångsämne idrott och hälsa</v>
      </c>
      <c r="C657" s="37"/>
      <c r="D657" s="31" t="s">
        <v>483</v>
      </c>
      <c r="E657" s="31" t="s">
        <v>1992</v>
      </c>
      <c r="F657" s="59" t="s">
        <v>1931</v>
      </c>
      <c r="G657" s="31" t="s">
        <v>2267</v>
      </c>
      <c r="J657" t="s">
        <v>773</v>
      </c>
      <c r="L657" s="31">
        <v>100</v>
      </c>
      <c r="M657" s="31">
        <v>22.5</v>
      </c>
      <c r="P657" s="31">
        <v>1</v>
      </c>
      <c r="Q657" s="232">
        <f t="shared" si="358"/>
        <v>0.375</v>
      </c>
      <c r="R657" s="40">
        <v>0.85</v>
      </c>
      <c r="S657" s="334">
        <f t="shared" si="359"/>
        <v>0.31874999999999998</v>
      </c>
      <c r="T657" s="31">
        <f>VLOOKUP(A657,'Ansvar kurs'!$A$1:$C$1010,2,FALSE)</f>
        <v>2180</v>
      </c>
      <c r="U657" s="31" t="str">
        <f>VLOOKUP(T657,Orgenheter!$A$1:$C$165,2,FALSE)</f>
        <v xml:space="preserve">Pedagogik                     </v>
      </c>
      <c r="V657" s="31" t="str">
        <f>VLOOKUP(T657,Orgenheter!$A$1:$C$165,3,FALSE)</f>
        <v>Sam</v>
      </c>
      <c r="W657" s="37" t="str">
        <f>VLOOKUP(D657,Program!$A$1:$B$34,2,FALSE)</f>
        <v>Ämneslärarprogrammet - Gy</v>
      </c>
      <c r="X657" s="42">
        <f>VLOOKUP(A657,kurspris!$A$1:$Q$798,15,FALSE)</f>
        <v>21634</v>
      </c>
      <c r="Y657" s="42">
        <f>VLOOKUP(A657,kurspris!$A$1:$Q$798,16,FALSE)</f>
        <v>26986</v>
      </c>
      <c r="Z657" s="42">
        <f t="shared" si="360"/>
        <v>16714.537499999999</v>
      </c>
      <c r="AA657" s="42">
        <f>VLOOKUP(A657,kurspris!$A$1:$Q$798,17,FALSE)</f>
        <v>3400</v>
      </c>
      <c r="AB657" s="42">
        <f t="shared" si="361"/>
        <v>1275</v>
      </c>
      <c r="AC657" s="42">
        <f t="shared" si="362"/>
        <v>17989.537499999999</v>
      </c>
      <c r="AD657" s="31">
        <f>VLOOKUP($A657,kurspris!$A$1:$Q$835,3,FALSE)</f>
        <v>0</v>
      </c>
      <c r="AE657" s="31">
        <f>VLOOKUP($A657,kurspris!$A$1:$Q$835,4,FALSE)</f>
        <v>0</v>
      </c>
      <c r="AF657" s="31">
        <f>VLOOKUP($A657,kurspris!$A$1:$Q$835,5,FALSE)</f>
        <v>0</v>
      </c>
      <c r="AG657" s="31">
        <f>VLOOKUP($A657,kurspris!$A$1:$Q$835,6,FALSE)</f>
        <v>0</v>
      </c>
      <c r="AH657" s="31">
        <f>VLOOKUP($A657,kurspris!$A$1:$Q$835,7,FALSE)</f>
        <v>0</v>
      </c>
      <c r="AI657" s="31">
        <f>VLOOKUP($A657,kurspris!$A$1:$Q$835,8,FALSE)</f>
        <v>0</v>
      </c>
      <c r="AJ657" s="31">
        <f>VLOOKUP($A657,kurspris!$A$1:$Q$835,9,FALSE)</f>
        <v>0</v>
      </c>
      <c r="AK657" s="31">
        <f>VLOOKUP($A657,kurspris!$A$1:$Q$835,10,FALSE)</f>
        <v>0</v>
      </c>
      <c r="AL657" s="31">
        <f>VLOOKUP($A657,kurspris!$A$1:$Q$835,11,FALSE)</f>
        <v>1</v>
      </c>
      <c r="AM657" s="31">
        <f>VLOOKUP($A657,kurspris!$A$1:$Q$835,12,FALSE)</f>
        <v>0</v>
      </c>
      <c r="AN657" s="31">
        <f>VLOOKUP($A657,kurspris!$A$1:$Q$835,13,FALSE)</f>
        <v>0</v>
      </c>
      <c r="AO657" s="31">
        <f>VLOOKUP($A657,kurspris!$A$1:$Q$835,14,FALSE)</f>
        <v>0</v>
      </c>
      <c r="AP657" s="39" t="s">
        <v>2326</v>
      </c>
      <c r="AQ657"/>
      <c r="AR657" s="31">
        <f t="shared" si="363"/>
        <v>0</v>
      </c>
      <c r="AS657" s="255">
        <f t="shared" si="364"/>
        <v>0</v>
      </c>
      <c r="AT657" s="31">
        <f t="shared" si="365"/>
        <v>0</v>
      </c>
      <c r="AU657" s="255">
        <f t="shared" si="366"/>
        <v>0</v>
      </c>
      <c r="AV657" s="31">
        <f t="shared" si="367"/>
        <v>0</v>
      </c>
      <c r="AW657" s="31">
        <f t="shared" si="368"/>
        <v>0</v>
      </c>
      <c r="AX657" s="31">
        <f t="shared" si="369"/>
        <v>0</v>
      </c>
      <c r="AY657" s="255">
        <f t="shared" si="370"/>
        <v>0</v>
      </c>
      <c r="AZ657" s="232">
        <f t="shared" si="371"/>
        <v>0</v>
      </c>
      <c r="BA657" s="255">
        <f t="shared" si="372"/>
        <v>0</v>
      </c>
      <c r="BB657" s="31">
        <f t="shared" si="373"/>
        <v>0</v>
      </c>
      <c r="BC657" s="255">
        <f t="shared" si="374"/>
        <v>0</v>
      </c>
      <c r="BD657" s="31">
        <f t="shared" si="375"/>
        <v>0</v>
      </c>
      <c r="BE657" s="255">
        <f t="shared" si="376"/>
        <v>0</v>
      </c>
      <c r="BF657" s="31">
        <f t="shared" si="377"/>
        <v>0</v>
      </c>
      <c r="BG657" s="255">
        <f t="shared" si="378"/>
        <v>0</v>
      </c>
      <c r="BH657" s="31">
        <f t="shared" si="379"/>
        <v>0.375</v>
      </c>
      <c r="BI657" s="255">
        <f t="shared" si="380"/>
        <v>0.31874999999999998</v>
      </c>
      <c r="BJ657" s="31">
        <f t="shared" si="381"/>
        <v>0</v>
      </c>
      <c r="BK657" s="31">
        <f t="shared" si="382"/>
        <v>0</v>
      </c>
      <c r="BL657" s="255">
        <f t="shared" si="383"/>
        <v>0</v>
      </c>
      <c r="BM657" s="31">
        <f t="shared" si="384"/>
        <v>0</v>
      </c>
      <c r="BN657" s="255">
        <f t="shared" si="385"/>
        <v>0</v>
      </c>
    </row>
    <row r="658" spans="1:66" x14ac:dyDescent="0.25">
      <c r="A658" s="18" t="s">
        <v>1439</v>
      </c>
      <c r="B658" s="186" t="str">
        <f>VLOOKUP(A658,kurspris!$A$1:$B$877,2,FALSE)</f>
        <v>Läraryrkets dimensioner - ingångsämne idrott och hälsa</v>
      </c>
      <c r="C658" s="37"/>
      <c r="D658" s="31" t="s">
        <v>483</v>
      </c>
      <c r="E658" s="31" t="s">
        <v>1976</v>
      </c>
      <c r="F658" s="59" t="s">
        <v>1931</v>
      </c>
      <c r="G658" s="31" t="s">
        <v>2267</v>
      </c>
      <c r="J658" t="s">
        <v>773</v>
      </c>
      <c r="L658" s="31">
        <v>100</v>
      </c>
      <c r="M658" s="31">
        <v>22.5</v>
      </c>
      <c r="P658" s="31">
        <v>9</v>
      </c>
      <c r="Q658" s="232">
        <f t="shared" si="358"/>
        <v>3.375</v>
      </c>
      <c r="R658" s="40">
        <v>0.85</v>
      </c>
      <c r="S658" s="334">
        <f t="shared" si="359"/>
        <v>2.8687499999999999</v>
      </c>
      <c r="T658" s="31">
        <f>VLOOKUP(A658,'Ansvar kurs'!$A$1:$C$1010,2,FALSE)</f>
        <v>2180</v>
      </c>
      <c r="U658" s="31" t="str">
        <f>VLOOKUP(T658,Orgenheter!$A$1:$C$165,2,FALSE)</f>
        <v xml:space="preserve">Pedagogik                     </v>
      </c>
      <c r="V658" s="31" t="str">
        <f>VLOOKUP(T658,Orgenheter!$A$1:$C$165,3,FALSE)</f>
        <v>Sam</v>
      </c>
      <c r="W658" s="37" t="str">
        <f>VLOOKUP(D658,Program!$A$1:$B$34,2,FALSE)</f>
        <v>Ämneslärarprogrammet - Gy</v>
      </c>
      <c r="X658" s="42">
        <f>VLOOKUP(A658,kurspris!$A$1:$Q$798,15,FALSE)</f>
        <v>21634</v>
      </c>
      <c r="Y658" s="42">
        <f>VLOOKUP(A658,kurspris!$A$1:$Q$798,16,FALSE)</f>
        <v>26986</v>
      </c>
      <c r="Z658" s="42">
        <f t="shared" si="360"/>
        <v>150430.83749999999</v>
      </c>
      <c r="AA658" s="42">
        <f>VLOOKUP(A658,kurspris!$A$1:$Q$798,17,FALSE)</f>
        <v>3400</v>
      </c>
      <c r="AB658" s="42">
        <f t="shared" si="361"/>
        <v>11475</v>
      </c>
      <c r="AC658" s="42">
        <f t="shared" si="362"/>
        <v>161905.83749999999</v>
      </c>
      <c r="AD658" s="31">
        <f>VLOOKUP($A658,kurspris!$A$1:$Q$835,3,FALSE)</f>
        <v>0</v>
      </c>
      <c r="AE658" s="31">
        <f>VLOOKUP($A658,kurspris!$A$1:$Q$835,4,FALSE)</f>
        <v>0</v>
      </c>
      <c r="AF658" s="31">
        <f>VLOOKUP($A658,kurspris!$A$1:$Q$835,5,FALSE)</f>
        <v>0</v>
      </c>
      <c r="AG658" s="31">
        <f>VLOOKUP($A658,kurspris!$A$1:$Q$835,6,FALSE)</f>
        <v>0</v>
      </c>
      <c r="AH658" s="31">
        <f>VLOOKUP($A658,kurspris!$A$1:$Q$835,7,FALSE)</f>
        <v>0</v>
      </c>
      <c r="AI658" s="31">
        <f>VLOOKUP($A658,kurspris!$A$1:$Q$835,8,FALSE)</f>
        <v>0</v>
      </c>
      <c r="AJ658" s="31">
        <f>VLOOKUP($A658,kurspris!$A$1:$Q$835,9,FALSE)</f>
        <v>0</v>
      </c>
      <c r="AK658" s="31">
        <f>VLOOKUP($A658,kurspris!$A$1:$Q$835,10,FALSE)</f>
        <v>0</v>
      </c>
      <c r="AL658" s="31">
        <f>VLOOKUP($A658,kurspris!$A$1:$Q$835,11,FALSE)</f>
        <v>1</v>
      </c>
      <c r="AM658" s="31">
        <f>VLOOKUP($A658,kurspris!$A$1:$Q$835,12,FALSE)</f>
        <v>0</v>
      </c>
      <c r="AN658" s="31">
        <f>VLOOKUP($A658,kurspris!$A$1:$Q$835,13,FALSE)</f>
        <v>0</v>
      </c>
      <c r="AO658" s="31">
        <f>VLOOKUP($A658,kurspris!$A$1:$Q$835,14,FALSE)</f>
        <v>0</v>
      </c>
      <c r="AP658" s="39" t="s">
        <v>2326</v>
      </c>
      <c r="AQ658"/>
      <c r="AR658" s="31">
        <f t="shared" si="363"/>
        <v>0</v>
      </c>
      <c r="AS658" s="255">
        <f t="shared" si="364"/>
        <v>0</v>
      </c>
      <c r="AT658" s="31">
        <f t="shared" si="365"/>
        <v>0</v>
      </c>
      <c r="AU658" s="255">
        <f t="shared" si="366"/>
        <v>0</v>
      </c>
      <c r="AV658" s="31">
        <f t="shared" si="367"/>
        <v>0</v>
      </c>
      <c r="AW658" s="31">
        <f t="shared" si="368"/>
        <v>0</v>
      </c>
      <c r="AX658" s="31">
        <f t="shared" si="369"/>
        <v>0</v>
      </c>
      <c r="AY658" s="255">
        <f t="shared" si="370"/>
        <v>0</v>
      </c>
      <c r="AZ658" s="232">
        <f t="shared" si="371"/>
        <v>0</v>
      </c>
      <c r="BA658" s="255">
        <f t="shared" si="372"/>
        <v>0</v>
      </c>
      <c r="BB658" s="31">
        <f t="shared" si="373"/>
        <v>0</v>
      </c>
      <c r="BC658" s="255">
        <f t="shared" si="374"/>
        <v>0</v>
      </c>
      <c r="BD658" s="31">
        <f t="shared" si="375"/>
        <v>0</v>
      </c>
      <c r="BE658" s="255">
        <f t="shared" si="376"/>
        <v>0</v>
      </c>
      <c r="BF658" s="31">
        <f t="shared" si="377"/>
        <v>0</v>
      </c>
      <c r="BG658" s="255">
        <f t="shared" si="378"/>
        <v>0</v>
      </c>
      <c r="BH658" s="31">
        <f t="shared" si="379"/>
        <v>3.375</v>
      </c>
      <c r="BI658" s="255">
        <f t="shared" si="380"/>
        <v>2.8687499999999999</v>
      </c>
      <c r="BJ658" s="31">
        <f t="shared" si="381"/>
        <v>0</v>
      </c>
      <c r="BK658" s="31">
        <f t="shared" si="382"/>
        <v>0</v>
      </c>
      <c r="BL658" s="255">
        <f t="shared" si="383"/>
        <v>0</v>
      </c>
      <c r="BM658" s="31">
        <f t="shared" si="384"/>
        <v>0</v>
      </c>
      <c r="BN658" s="255">
        <f t="shared" si="385"/>
        <v>0</v>
      </c>
    </row>
    <row r="659" spans="1:66" x14ac:dyDescent="0.25">
      <c r="A659" s="18" t="s">
        <v>1439</v>
      </c>
      <c r="B659" s="186" t="str">
        <f>VLOOKUP(A659,kurspris!$A$1:$B$877,2,FALSE)</f>
        <v>Läraryrkets dimensioner - ingångsämne idrott och hälsa</v>
      </c>
      <c r="C659" s="37"/>
      <c r="D659" s="31" t="s">
        <v>483</v>
      </c>
      <c r="E659" s="31" t="s">
        <v>1973</v>
      </c>
      <c r="F659" s="59" t="s">
        <v>1931</v>
      </c>
      <c r="G659" s="31" t="s">
        <v>2267</v>
      </c>
      <c r="J659" t="s">
        <v>773</v>
      </c>
      <c r="L659" s="31">
        <v>100</v>
      </c>
      <c r="M659" s="31">
        <v>22.5</v>
      </c>
      <c r="P659" s="31">
        <v>1</v>
      </c>
      <c r="Q659" s="232">
        <f t="shared" si="358"/>
        <v>0.375</v>
      </c>
      <c r="R659" s="40">
        <v>0.85</v>
      </c>
      <c r="S659" s="334">
        <f t="shared" si="359"/>
        <v>0.31874999999999998</v>
      </c>
      <c r="T659" s="31">
        <f>VLOOKUP(A659,'Ansvar kurs'!$A$1:$C$1010,2,FALSE)</f>
        <v>2180</v>
      </c>
      <c r="U659" s="31" t="str">
        <f>VLOOKUP(T659,Orgenheter!$A$1:$C$165,2,FALSE)</f>
        <v xml:space="preserve">Pedagogik                     </v>
      </c>
      <c r="V659" s="31" t="str">
        <f>VLOOKUP(T659,Orgenheter!$A$1:$C$165,3,FALSE)</f>
        <v>Sam</v>
      </c>
      <c r="W659" s="37" t="str">
        <f>VLOOKUP(D659,Program!$A$1:$B$34,2,FALSE)</f>
        <v>Ämneslärarprogrammet - Gy</v>
      </c>
      <c r="X659" s="42">
        <f>VLOOKUP(A659,kurspris!$A$1:$Q$798,15,FALSE)</f>
        <v>21634</v>
      </c>
      <c r="Y659" s="42">
        <f>VLOOKUP(A659,kurspris!$A$1:$Q$798,16,FALSE)</f>
        <v>26986</v>
      </c>
      <c r="Z659" s="42">
        <f t="shared" si="360"/>
        <v>16714.537499999999</v>
      </c>
      <c r="AA659" s="42">
        <f>VLOOKUP(A659,kurspris!$A$1:$Q$798,17,FALSE)</f>
        <v>3400</v>
      </c>
      <c r="AB659" s="42">
        <f t="shared" si="361"/>
        <v>1275</v>
      </c>
      <c r="AC659" s="42">
        <f t="shared" si="362"/>
        <v>17989.537499999999</v>
      </c>
      <c r="AD659" s="31">
        <f>VLOOKUP($A659,kurspris!$A$1:$Q$835,3,FALSE)</f>
        <v>0</v>
      </c>
      <c r="AE659" s="31">
        <f>VLOOKUP($A659,kurspris!$A$1:$Q$835,4,FALSE)</f>
        <v>0</v>
      </c>
      <c r="AF659" s="31">
        <f>VLOOKUP($A659,kurspris!$A$1:$Q$835,5,FALSE)</f>
        <v>0</v>
      </c>
      <c r="AG659" s="31">
        <f>VLOOKUP($A659,kurspris!$A$1:$Q$835,6,FALSE)</f>
        <v>0</v>
      </c>
      <c r="AH659" s="31">
        <f>VLOOKUP($A659,kurspris!$A$1:$Q$835,7,FALSE)</f>
        <v>0</v>
      </c>
      <c r="AI659" s="31">
        <f>VLOOKUP($A659,kurspris!$A$1:$Q$835,8,FALSE)</f>
        <v>0</v>
      </c>
      <c r="AJ659" s="31">
        <f>VLOOKUP($A659,kurspris!$A$1:$Q$835,9,FALSE)</f>
        <v>0</v>
      </c>
      <c r="AK659" s="31">
        <f>VLOOKUP($A659,kurspris!$A$1:$Q$835,10,FALSE)</f>
        <v>0</v>
      </c>
      <c r="AL659" s="31">
        <f>VLOOKUP($A659,kurspris!$A$1:$Q$835,11,FALSE)</f>
        <v>1</v>
      </c>
      <c r="AM659" s="31">
        <f>VLOOKUP($A659,kurspris!$A$1:$Q$835,12,FALSE)</f>
        <v>0</v>
      </c>
      <c r="AN659" s="31">
        <f>VLOOKUP($A659,kurspris!$A$1:$Q$835,13,FALSE)</f>
        <v>0</v>
      </c>
      <c r="AO659" s="31">
        <f>VLOOKUP($A659,kurspris!$A$1:$Q$835,14,FALSE)</f>
        <v>0</v>
      </c>
      <c r="AP659" s="39" t="s">
        <v>2326</v>
      </c>
      <c r="AQ659"/>
      <c r="AR659" s="31">
        <f t="shared" si="363"/>
        <v>0</v>
      </c>
      <c r="AS659" s="255">
        <f t="shared" si="364"/>
        <v>0</v>
      </c>
      <c r="AT659" s="31">
        <f t="shared" si="365"/>
        <v>0</v>
      </c>
      <c r="AU659" s="255">
        <f t="shared" si="366"/>
        <v>0</v>
      </c>
      <c r="AV659" s="31">
        <f t="shared" si="367"/>
        <v>0</v>
      </c>
      <c r="AW659" s="31">
        <f t="shared" si="368"/>
        <v>0</v>
      </c>
      <c r="AX659" s="31">
        <f t="shared" si="369"/>
        <v>0</v>
      </c>
      <c r="AY659" s="255">
        <f t="shared" si="370"/>
        <v>0</v>
      </c>
      <c r="AZ659" s="232">
        <f t="shared" si="371"/>
        <v>0</v>
      </c>
      <c r="BA659" s="255">
        <f t="shared" si="372"/>
        <v>0</v>
      </c>
      <c r="BB659" s="31">
        <f t="shared" si="373"/>
        <v>0</v>
      </c>
      <c r="BC659" s="255">
        <f t="shared" si="374"/>
        <v>0</v>
      </c>
      <c r="BD659" s="31">
        <f t="shared" si="375"/>
        <v>0</v>
      </c>
      <c r="BE659" s="255">
        <f t="shared" si="376"/>
        <v>0</v>
      </c>
      <c r="BF659" s="31">
        <f t="shared" si="377"/>
        <v>0</v>
      </c>
      <c r="BG659" s="255">
        <f t="shared" si="378"/>
        <v>0</v>
      </c>
      <c r="BH659" s="31">
        <f t="shared" si="379"/>
        <v>0.375</v>
      </c>
      <c r="BI659" s="255">
        <f t="shared" si="380"/>
        <v>0.31874999999999998</v>
      </c>
      <c r="BJ659" s="31">
        <f t="shared" si="381"/>
        <v>0</v>
      </c>
      <c r="BK659" s="31">
        <f t="shared" si="382"/>
        <v>0</v>
      </c>
      <c r="BL659" s="255">
        <f t="shared" si="383"/>
        <v>0</v>
      </c>
      <c r="BM659" s="31">
        <f t="shared" si="384"/>
        <v>0</v>
      </c>
      <c r="BN659" s="255">
        <f t="shared" si="385"/>
        <v>0</v>
      </c>
    </row>
    <row r="660" spans="1:66" x14ac:dyDescent="0.25">
      <c r="A660" s="18" t="s">
        <v>1439</v>
      </c>
      <c r="B660" s="186" t="str">
        <f>VLOOKUP(A660,kurspris!$A$1:$B$877,2,FALSE)</f>
        <v>Läraryrkets dimensioner - ingångsämne idrott och hälsa</v>
      </c>
      <c r="C660" s="37"/>
      <c r="D660" s="31" t="s">
        <v>483</v>
      </c>
      <c r="E660" s="31" t="s">
        <v>1609</v>
      </c>
      <c r="F660" s="59" t="s">
        <v>1931</v>
      </c>
      <c r="G660" s="31" t="s">
        <v>2267</v>
      </c>
      <c r="J660" t="s">
        <v>773</v>
      </c>
      <c r="L660" s="31">
        <v>100</v>
      </c>
      <c r="M660" s="31">
        <v>22.5</v>
      </c>
      <c r="P660" s="31">
        <v>2</v>
      </c>
      <c r="Q660" s="232">
        <f t="shared" si="358"/>
        <v>0.75</v>
      </c>
      <c r="R660" s="40">
        <v>0.85</v>
      </c>
      <c r="S660" s="334">
        <f t="shared" si="359"/>
        <v>0.63749999999999996</v>
      </c>
      <c r="T660" s="31">
        <f>VLOOKUP(A660,'Ansvar kurs'!$A$1:$C$1010,2,FALSE)</f>
        <v>2180</v>
      </c>
      <c r="U660" s="31" t="str">
        <f>VLOOKUP(T660,Orgenheter!$A$1:$C$165,2,FALSE)</f>
        <v xml:space="preserve">Pedagogik                     </v>
      </c>
      <c r="V660" s="31" t="str">
        <f>VLOOKUP(T660,Orgenheter!$A$1:$C$165,3,FALSE)</f>
        <v>Sam</v>
      </c>
      <c r="W660" s="37" t="str">
        <f>VLOOKUP(D660,Program!$A$1:$B$34,2,FALSE)</f>
        <v>Ämneslärarprogrammet - Gy</v>
      </c>
      <c r="X660" s="42">
        <f>VLOOKUP(A660,kurspris!$A$1:$Q$798,15,FALSE)</f>
        <v>21634</v>
      </c>
      <c r="Y660" s="42">
        <f>VLOOKUP(A660,kurspris!$A$1:$Q$798,16,FALSE)</f>
        <v>26986</v>
      </c>
      <c r="Z660" s="42">
        <f t="shared" si="360"/>
        <v>33429.074999999997</v>
      </c>
      <c r="AA660" s="42">
        <f>VLOOKUP(A660,kurspris!$A$1:$Q$798,17,FALSE)</f>
        <v>3400</v>
      </c>
      <c r="AB660" s="42">
        <f t="shared" si="361"/>
        <v>2550</v>
      </c>
      <c r="AC660" s="42">
        <f t="shared" si="362"/>
        <v>35979.074999999997</v>
      </c>
      <c r="AD660" s="31">
        <f>VLOOKUP($A660,kurspris!$A$1:$Q$835,3,FALSE)</f>
        <v>0</v>
      </c>
      <c r="AE660" s="31">
        <f>VLOOKUP($A660,kurspris!$A$1:$Q$835,4,FALSE)</f>
        <v>0</v>
      </c>
      <c r="AF660" s="31">
        <f>VLOOKUP($A660,kurspris!$A$1:$Q$835,5,FALSE)</f>
        <v>0</v>
      </c>
      <c r="AG660" s="31">
        <f>VLOOKUP($A660,kurspris!$A$1:$Q$835,6,FALSE)</f>
        <v>0</v>
      </c>
      <c r="AH660" s="31">
        <f>VLOOKUP($A660,kurspris!$A$1:$Q$835,7,FALSE)</f>
        <v>0</v>
      </c>
      <c r="AI660" s="31">
        <f>VLOOKUP($A660,kurspris!$A$1:$Q$835,8,FALSE)</f>
        <v>0</v>
      </c>
      <c r="AJ660" s="31">
        <f>VLOOKUP($A660,kurspris!$A$1:$Q$835,9,FALSE)</f>
        <v>0</v>
      </c>
      <c r="AK660" s="31">
        <f>VLOOKUP($A660,kurspris!$A$1:$Q$835,10,FALSE)</f>
        <v>0</v>
      </c>
      <c r="AL660" s="31">
        <f>VLOOKUP($A660,kurspris!$A$1:$Q$835,11,FALSE)</f>
        <v>1</v>
      </c>
      <c r="AM660" s="31">
        <f>VLOOKUP($A660,kurspris!$A$1:$Q$835,12,FALSE)</f>
        <v>0</v>
      </c>
      <c r="AN660" s="31">
        <f>VLOOKUP($A660,kurspris!$A$1:$Q$835,13,FALSE)</f>
        <v>0</v>
      </c>
      <c r="AO660" s="31">
        <f>VLOOKUP($A660,kurspris!$A$1:$Q$835,14,FALSE)</f>
        <v>0</v>
      </c>
      <c r="AP660" s="39" t="s">
        <v>2326</v>
      </c>
      <c r="AQ660"/>
      <c r="AR660" s="31">
        <f t="shared" si="363"/>
        <v>0</v>
      </c>
      <c r="AS660" s="255">
        <f t="shared" si="364"/>
        <v>0</v>
      </c>
      <c r="AT660" s="31">
        <f t="shared" si="365"/>
        <v>0</v>
      </c>
      <c r="AU660" s="255">
        <f t="shared" si="366"/>
        <v>0</v>
      </c>
      <c r="AV660" s="31">
        <f t="shared" si="367"/>
        <v>0</v>
      </c>
      <c r="AW660" s="31">
        <f t="shared" si="368"/>
        <v>0</v>
      </c>
      <c r="AX660" s="31">
        <f t="shared" si="369"/>
        <v>0</v>
      </c>
      <c r="AY660" s="255">
        <f t="shared" si="370"/>
        <v>0</v>
      </c>
      <c r="AZ660" s="232">
        <f t="shared" si="371"/>
        <v>0</v>
      </c>
      <c r="BA660" s="255">
        <f t="shared" si="372"/>
        <v>0</v>
      </c>
      <c r="BB660" s="31">
        <f t="shared" si="373"/>
        <v>0</v>
      </c>
      <c r="BC660" s="255">
        <f t="shared" si="374"/>
        <v>0</v>
      </c>
      <c r="BD660" s="31">
        <f t="shared" si="375"/>
        <v>0</v>
      </c>
      <c r="BE660" s="255">
        <f t="shared" si="376"/>
        <v>0</v>
      </c>
      <c r="BF660" s="31">
        <f t="shared" si="377"/>
        <v>0</v>
      </c>
      <c r="BG660" s="255">
        <f t="shared" si="378"/>
        <v>0</v>
      </c>
      <c r="BH660" s="31">
        <f t="shared" si="379"/>
        <v>0.75</v>
      </c>
      <c r="BI660" s="255">
        <f t="shared" si="380"/>
        <v>0.63749999999999996</v>
      </c>
      <c r="BJ660" s="31">
        <f t="shared" si="381"/>
        <v>0</v>
      </c>
      <c r="BK660" s="31">
        <f t="shared" si="382"/>
        <v>0</v>
      </c>
      <c r="BL660" s="255">
        <f t="shared" si="383"/>
        <v>0</v>
      </c>
      <c r="BM660" s="31">
        <f t="shared" si="384"/>
        <v>0</v>
      </c>
      <c r="BN660" s="255">
        <f t="shared" si="385"/>
        <v>0</v>
      </c>
    </row>
    <row r="661" spans="1:66" x14ac:dyDescent="0.25">
      <c r="A661" t="s">
        <v>1443</v>
      </c>
      <c r="B661" s="186" t="str">
        <f>VLOOKUP(A661,kurspris!$A$1:$B$877,2,FALSE)</f>
        <v>Barns lärande och omsorg</v>
      </c>
      <c r="C661"/>
      <c r="D661" t="s">
        <v>484</v>
      </c>
      <c r="E661" t="s">
        <v>1788</v>
      </c>
      <c r="F661" s="39" t="s">
        <v>1930</v>
      </c>
      <c r="G661" t="s">
        <v>1979</v>
      </c>
      <c r="H661" t="s">
        <v>1910</v>
      </c>
      <c r="I661"/>
      <c r="J661"/>
      <c r="K661"/>
      <c r="L661">
        <v>100</v>
      </c>
      <c r="M661">
        <v>15</v>
      </c>
      <c r="N661"/>
      <c r="O661"/>
      <c r="P661" s="31">
        <v>50</v>
      </c>
      <c r="Q661" s="232">
        <f t="shared" si="358"/>
        <v>12.5</v>
      </c>
      <c r="R661" s="40">
        <v>0.85</v>
      </c>
      <c r="S661" s="334">
        <f t="shared" si="359"/>
        <v>10.625</v>
      </c>
      <c r="T661" s="31">
        <f>VLOOKUP(A661,'Ansvar kurs'!$A$1:$C$1010,2,FALSE)</f>
        <v>2193</v>
      </c>
      <c r="U661" s="31" t="str">
        <f>VLOOKUP(T661,Orgenheter!$A$1:$C$165,2,FALSE)</f>
        <v xml:space="preserve">TUV </v>
      </c>
      <c r="V661" s="31" t="str">
        <f>VLOOKUP(T661,Orgenheter!$A$1:$C$165,3,FALSE)</f>
        <v>Sam</v>
      </c>
      <c r="W661" s="37" t="str">
        <f>VLOOKUP(D661,Program!$A$1:$B$34,2,FALSE)</f>
        <v>Förskollärarprogrammet</v>
      </c>
      <c r="X661" s="42">
        <f>VLOOKUP(A661,kurspris!$A$1:$Q$798,15,FALSE)</f>
        <v>18405</v>
      </c>
      <c r="Y661" s="42">
        <f>VLOOKUP(A661,kurspris!$A$1:$Q$798,16,FALSE)</f>
        <v>15773</v>
      </c>
      <c r="Z661" s="42">
        <f t="shared" si="360"/>
        <v>397650.625</v>
      </c>
      <c r="AA661" s="42">
        <f>VLOOKUP(A661,kurspris!$A$1:$Q$798,17,FALSE)</f>
        <v>5800</v>
      </c>
      <c r="AB661" s="42">
        <f t="shared" si="361"/>
        <v>72500</v>
      </c>
      <c r="AC661" s="42">
        <f t="shared" si="362"/>
        <v>470150.625</v>
      </c>
      <c r="AD661" s="31">
        <f>VLOOKUP($A661,kurspris!$A$1:$Q$835,3,FALSE)</f>
        <v>0</v>
      </c>
      <c r="AE661" s="31">
        <f>VLOOKUP($A661,kurspris!$A$1:$Q$835,4,FALSE)</f>
        <v>0</v>
      </c>
      <c r="AF661" s="31">
        <f>VLOOKUP($A661,kurspris!$A$1:$Q$835,5,FALSE)</f>
        <v>0</v>
      </c>
      <c r="AG661" s="31">
        <f>VLOOKUP($A661,kurspris!$A$1:$Q$835,6,FALSE)</f>
        <v>0</v>
      </c>
      <c r="AH661" s="31">
        <f>VLOOKUP($A661,kurspris!$A$1:$Q$835,7,FALSE)</f>
        <v>0</v>
      </c>
      <c r="AI661" s="31">
        <f>VLOOKUP($A661,kurspris!$A$1:$Q$835,8,FALSE)</f>
        <v>0</v>
      </c>
      <c r="AJ661" s="31">
        <f>VLOOKUP($A661,kurspris!$A$1:$Q$835,9,FALSE)</f>
        <v>1</v>
      </c>
      <c r="AK661" s="31">
        <f>VLOOKUP($A661,kurspris!$A$1:$Q$835,10,FALSE)</f>
        <v>0</v>
      </c>
      <c r="AL661" s="31">
        <f>VLOOKUP($A661,kurspris!$A$1:$Q$835,11,FALSE)</f>
        <v>0</v>
      </c>
      <c r="AM661" s="31">
        <f>VLOOKUP($A661,kurspris!$A$1:$Q$835,12,FALSE)</f>
        <v>0</v>
      </c>
      <c r="AN661" s="31">
        <f>VLOOKUP($A661,kurspris!$A$1:$Q$835,13,FALSE)</f>
        <v>0</v>
      </c>
      <c r="AO661" s="31">
        <f>VLOOKUP($A661,kurspris!$A$1:$Q$835,14,FALSE)</f>
        <v>0</v>
      </c>
      <c r="AP661" s="39" t="s">
        <v>2204</v>
      </c>
      <c r="AQ661"/>
      <c r="AR661" s="31">
        <f t="shared" si="363"/>
        <v>0</v>
      </c>
      <c r="AS661" s="255">
        <f t="shared" si="364"/>
        <v>0</v>
      </c>
      <c r="AT661" s="31">
        <f t="shared" si="365"/>
        <v>0</v>
      </c>
      <c r="AU661" s="255">
        <f t="shared" si="366"/>
        <v>0</v>
      </c>
      <c r="AV661" s="31">
        <f t="shared" si="367"/>
        <v>0</v>
      </c>
      <c r="AW661" s="31">
        <f t="shared" si="368"/>
        <v>0</v>
      </c>
      <c r="AX661" s="31">
        <f t="shared" si="369"/>
        <v>0</v>
      </c>
      <c r="AY661" s="255">
        <f t="shared" si="370"/>
        <v>0</v>
      </c>
      <c r="AZ661" s="232">
        <f t="shared" si="371"/>
        <v>0</v>
      </c>
      <c r="BA661" s="255">
        <f t="shared" si="372"/>
        <v>0</v>
      </c>
      <c r="BB661" s="31">
        <f t="shared" si="373"/>
        <v>0</v>
      </c>
      <c r="BC661" s="255">
        <f t="shared" si="374"/>
        <v>0</v>
      </c>
      <c r="BD661" s="31">
        <f t="shared" si="375"/>
        <v>12.5</v>
      </c>
      <c r="BE661" s="255">
        <f t="shared" si="376"/>
        <v>10.625</v>
      </c>
      <c r="BF661" s="31">
        <f t="shared" si="377"/>
        <v>0</v>
      </c>
      <c r="BG661" s="255">
        <f t="shared" si="378"/>
        <v>0</v>
      </c>
      <c r="BH661" s="31">
        <f t="shared" si="379"/>
        <v>0</v>
      </c>
      <c r="BI661" s="255">
        <f t="shared" si="380"/>
        <v>0</v>
      </c>
      <c r="BJ661" s="31">
        <f t="shared" si="381"/>
        <v>0</v>
      </c>
      <c r="BK661" s="31">
        <f t="shared" si="382"/>
        <v>0</v>
      </c>
      <c r="BL661" s="255">
        <f t="shared" si="383"/>
        <v>0</v>
      </c>
      <c r="BM661" s="31">
        <f t="shared" si="384"/>
        <v>0</v>
      </c>
      <c r="BN661" s="255">
        <f t="shared" si="385"/>
        <v>0</v>
      </c>
    </row>
    <row r="662" spans="1:66" x14ac:dyDescent="0.25">
      <c r="A662" s="159" t="s">
        <v>1443</v>
      </c>
      <c r="B662" s="186" t="str">
        <f>VLOOKUP(A662,kurspris!$A$1:$B$877,2,FALSE)</f>
        <v>Barns lärande och omsorg</v>
      </c>
      <c r="C662" s="37"/>
      <c r="D662" s="31" t="s">
        <v>484</v>
      </c>
      <c r="E662" s="31" t="s">
        <v>1931</v>
      </c>
      <c r="F662" s="59" t="s">
        <v>1931</v>
      </c>
      <c r="G662" s="31" t="s">
        <v>2270</v>
      </c>
      <c r="L662" s="31">
        <v>100</v>
      </c>
      <c r="M662" s="31">
        <v>15</v>
      </c>
      <c r="P662" s="31">
        <v>1</v>
      </c>
      <c r="Q662" s="232">
        <f t="shared" si="358"/>
        <v>0.25</v>
      </c>
      <c r="R662" s="40">
        <v>0.85</v>
      </c>
      <c r="S662" s="334">
        <f t="shared" si="359"/>
        <v>0.21249999999999999</v>
      </c>
      <c r="T662" s="31">
        <f>VLOOKUP(A662,'Ansvar kurs'!$A$1:$C$1010,2,FALSE)</f>
        <v>2193</v>
      </c>
      <c r="U662" s="31" t="str">
        <f>VLOOKUP(T662,Orgenheter!$A$1:$C$165,2,FALSE)</f>
        <v xml:space="preserve">TUV </v>
      </c>
      <c r="V662" s="31" t="str">
        <f>VLOOKUP(T662,Orgenheter!$A$1:$C$165,3,FALSE)</f>
        <v>Sam</v>
      </c>
      <c r="W662" s="37" t="str">
        <f>VLOOKUP(D662,Program!$A$1:$B$34,2,FALSE)</f>
        <v>Förskollärarprogrammet</v>
      </c>
      <c r="X662" s="42">
        <f>VLOOKUP(A662,kurspris!$A$1:$Q$798,15,FALSE)</f>
        <v>18405</v>
      </c>
      <c r="Y662" s="42">
        <f>VLOOKUP(A662,kurspris!$A$1:$Q$798,16,FALSE)</f>
        <v>15773</v>
      </c>
      <c r="Z662" s="42">
        <f t="shared" si="360"/>
        <v>7953.0124999999998</v>
      </c>
      <c r="AA662" s="42">
        <f>VLOOKUP(A662,kurspris!$A$1:$Q$798,17,FALSE)</f>
        <v>5800</v>
      </c>
      <c r="AB662" s="42">
        <f t="shared" si="361"/>
        <v>1450</v>
      </c>
      <c r="AC662" s="42">
        <f t="shared" si="362"/>
        <v>9403.0125000000007</v>
      </c>
      <c r="AD662" s="31">
        <f>VLOOKUP($A662,kurspris!$A$1:$Q$835,3,FALSE)</f>
        <v>0</v>
      </c>
      <c r="AE662" s="31">
        <f>VLOOKUP($A662,kurspris!$A$1:$Q$835,4,FALSE)</f>
        <v>0</v>
      </c>
      <c r="AF662" s="31">
        <f>VLOOKUP($A662,kurspris!$A$1:$Q$835,5,FALSE)</f>
        <v>0</v>
      </c>
      <c r="AG662" s="31">
        <f>VLOOKUP($A662,kurspris!$A$1:$Q$835,6,FALSE)</f>
        <v>0</v>
      </c>
      <c r="AH662" s="31">
        <f>VLOOKUP($A662,kurspris!$A$1:$Q$835,7,FALSE)</f>
        <v>0</v>
      </c>
      <c r="AI662" s="31">
        <f>VLOOKUP($A662,kurspris!$A$1:$Q$835,8,FALSE)</f>
        <v>0</v>
      </c>
      <c r="AJ662" s="31">
        <f>VLOOKUP($A662,kurspris!$A$1:$Q$835,9,FALSE)</f>
        <v>1</v>
      </c>
      <c r="AK662" s="31">
        <f>VLOOKUP($A662,kurspris!$A$1:$Q$835,10,FALSE)</f>
        <v>0</v>
      </c>
      <c r="AL662" s="31">
        <f>VLOOKUP($A662,kurspris!$A$1:$Q$835,11,FALSE)</f>
        <v>0</v>
      </c>
      <c r="AM662" s="31">
        <f>VLOOKUP($A662,kurspris!$A$1:$Q$835,12,FALSE)</f>
        <v>0</v>
      </c>
      <c r="AN662" s="31">
        <f>VLOOKUP($A662,kurspris!$A$1:$Q$835,13,FALSE)</f>
        <v>0</v>
      </c>
      <c r="AO662" s="31">
        <f>VLOOKUP($A662,kurspris!$A$1:$Q$835,14,FALSE)</f>
        <v>0</v>
      </c>
      <c r="AP662" s="39" t="s">
        <v>2326</v>
      </c>
      <c r="AQ662"/>
      <c r="AR662" s="31">
        <f t="shared" si="363"/>
        <v>0</v>
      </c>
      <c r="AS662" s="255">
        <f t="shared" si="364"/>
        <v>0</v>
      </c>
      <c r="AT662" s="31">
        <f t="shared" si="365"/>
        <v>0</v>
      </c>
      <c r="AU662" s="255">
        <f t="shared" si="366"/>
        <v>0</v>
      </c>
      <c r="AV662" s="31">
        <f t="shared" si="367"/>
        <v>0</v>
      </c>
      <c r="AW662" s="31">
        <f t="shared" si="368"/>
        <v>0</v>
      </c>
      <c r="AX662" s="31">
        <f t="shared" si="369"/>
        <v>0</v>
      </c>
      <c r="AY662" s="255">
        <f t="shared" si="370"/>
        <v>0</v>
      </c>
      <c r="AZ662" s="232">
        <f t="shared" si="371"/>
        <v>0</v>
      </c>
      <c r="BA662" s="255">
        <f t="shared" si="372"/>
        <v>0</v>
      </c>
      <c r="BB662" s="31">
        <f t="shared" si="373"/>
        <v>0</v>
      </c>
      <c r="BC662" s="255">
        <f t="shared" si="374"/>
        <v>0</v>
      </c>
      <c r="BD662" s="31">
        <f t="shared" si="375"/>
        <v>0.25</v>
      </c>
      <c r="BE662" s="255">
        <f t="shared" si="376"/>
        <v>0.21249999999999999</v>
      </c>
      <c r="BF662" s="31">
        <f t="shared" si="377"/>
        <v>0</v>
      </c>
      <c r="BG662" s="255">
        <f t="shared" si="378"/>
        <v>0</v>
      </c>
      <c r="BH662" s="31">
        <f t="shared" si="379"/>
        <v>0</v>
      </c>
      <c r="BI662" s="255">
        <f t="shared" si="380"/>
        <v>0</v>
      </c>
      <c r="BJ662" s="31">
        <f t="shared" si="381"/>
        <v>0</v>
      </c>
      <c r="BK662" s="31">
        <f t="shared" si="382"/>
        <v>0</v>
      </c>
      <c r="BL662" s="255">
        <f t="shared" si="383"/>
        <v>0</v>
      </c>
      <c r="BM662" s="31">
        <f t="shared" si="384"/>
        <v>0</v>
      </c>
      <c r="BN662" s="255">
        <f t="shared" si="385"/>
        <v>0</v>
      </c>
    </row>
    <row r="663" spans="1:66" x14ac:dyDescent="0.25">
      <c r="A663" s="159" t="s">
        <v>1443</v>
      </c>
      <c r="B663" s="186" t="str">
        <f>VLOOKUP(A663,kurspris!$A$1:$B$877,2,FALSE)</f>
        <v>Barns lärande och omsorg</v>
      </c>
      <c r="C663" s="37"/>
      <c r="D663" s="31" t="s">
        <v>484</v>
      </c>
      <c r="E663" s="31" t="s">
        <v>1930</v>
      </c>
      <c r="F663" s="59" t="s">
        <v>1931</v>
      </c>
      <c r="G663" s="31" t="s">
        <v>2270</v>
      </c>
      <c r="L663" s="31">
        <v>100</v>
      </c>
      <c r="M663" s="31">
        <v>15</v>
      </c>
      <c r="P663" s="31">
        <v>15</v>
      </c>
      <c r="Q663" s="232">
        <f t="shared" si="358"/>
        <v>3.75</v>
      </c>
      <c r="R663" s="40">
        <v>0.85</v>
      </c>
      <c r="S663" s="334">
        <f t="shared" si="359"/>
        <v>3.1875</v>
      </c>
      <c r="T663" s="31">
        <f>VLOOKUP(A663,'Ansvar kurs'!$A$1:$C$1010,2,FALSE)</f>
        <v>2193</v>
      </c>
      <c r="U663" s="31" t="str">
        <f>VLOOKUP(T663,Orgenheter!$A$1:$C$165,2,FALSE)</f>
        <v xml:space="preserve">TUV </v>
      </c>
      <c r="V663" s="31" t="str">
        <f>VLOOKUP(T663,Orgenheter!$A$1:$C$165,3,FALSE)</f>
        <v>Sam</v>
      </c>
      <c r="W663" s="37" t="str">
        <f>VLOOKUP(D663,Program!$A$1:$B$34,2,FALSE)</f>
        <v>Förskollärarprogrammet</v>
      </c>
      <c r="X663" s="42">
        <f>VLOOKUP(A663,kurspris!$A$1:$Q$798,15,FALSE)</f>
        <v>18405</v>
      </c>
      <c r="Y663" s="42">
        <f>VLOOKUP(A663,kurspris!$A$1:$Q$798,16,FALSE)</f>
        <v>15773</v>
      </c>
      <c r="Z663" s="42">
        <f t="shared" si="360"/>
        <v>119295.1875</v>
      </c>
      <c r="AA663" s="42">
        <f>VLOOKUP(A663,kurspris!$A$1:$Q$798,17,FALSE)</f>
        <v>5800</v>
      </c>
      <c r="AB663" s="42">
        <f t="shared" si="361"/>
        <v>21750</v>
      </c>
      <c r="AC663" s="42">
        <f t="shared" si="362"/>
        <v>141045.1875</v>
      </c>
      <c r="AD663" s="31">
        <f>VLOOKUP($A663,kurspris!$A$1:$Q$835,3,FALSE)</f>
        <v>0</v>
      </c>
      <c r="AE663" s="31">
        <f>VLOOKUP($A663,kurspris!$A$1:$Q$835,4,FALSE)</f>
        <v>0</v>
      </c>
      <c r="AF663" s="31">
        <f>VLOOKUP($A663,kurspris!$A$1:$Q$835,5,FALSE)</f>
        <v>0</v>
      </c>
      <c r="AG663" s="31">
        <f>VLOOKUP($A663,kurspris!$A$1:$Q$835,6,FALSE)</f>
        <v>0</v>
      </c>
      <c r="AH663" s="31">
        <f>VLOOKUP($A663,kurspris!$A$1:$Q$835,7,FALSE)</f>
        <v>0</v>
      </c>
      <c r="AI663" s="31">
        <f>VLOOKUP($A663,kurspris!$A$1:$Q$835,8,FALSE)</f>
        <v>0</v>
      </c>
      <c r="AJ663" s="31">
        <f>VLOOKUP($A663,kurspris!$A$1:$Q$835,9,FALSE)</f>
        <v>1</v>
      </c>
      <c r="AK663" s="31">
        <f>VLOOKUP($A663,kurspris!$A$1:$Q$835,10,FALSE)</f>
        <v>0</v>
      </c>
      <c r="AL663" s="31">
        <f>VLOOKUP($A663,kurspris!$A$1:$Q$835,11,FALSE)</f>
        <v>0</v>
      </c>
      <c r="AM663" s="31">
        <f>VLOOKUP($A663,kurspris!$A$1:$Q$835,12,FALSE)</f>
        <v>0</v>
      </c>
      <c r="AN663" s="31">
        <f>VLOOKUP($A663,kurspris!$A$1:$Q$835,13,FALSE)</f>
        <v>0</v>
      </c>
      <c r="AO663" s="31">
        <f>VLOOKUP($A663,kurspris!$A$1:$Q$835,14,FALSE)</f>
        <v>0</v>
      </c>
      <c r="AP663" s="39" t="s">
        <v>2326</v>
      </c>
      <c r="AQ663"/>
      <c r="AR663" s="31">
        <f t="shared" si="363"/>
        <v>0</v>
      </c>
      <c r="AS663" s="255">
        <f t="shared" si="364"/>
        <v>0</v>
      </c>
      <c r="AT663" s="31">
        <f t="shared" si="365"/>
        <v>0</v>
      </c>
      <c r="AU663" s="255">
        <f t="shared" si="366"/>
        <v>0</v>
      </c>
      <c r="AV663" s="31">
        <f t="shared" si="367"/>
        <v>0</v>
      </c>
      <c r="AW663" s="31">
        <f t="shared" si="368"/>
        <v>0</v>
      </c>
      <c r="AX663" s="31">
        <f t="shared" si="369"/>
        <v>0</v>
      </c>
      <c r="AY663" s="255">
        <f t="shared" si="370"/>
        <v>0</v>
      </c>
      <c r="AZ663" s="232">
        <f t="shared" si="371"/>
        <v>0</v>
      </c>
      <c r="BA663" s="255">
        <f t="shared" si="372"/>
        <v>0</v>
      </c>
      <c r="BB663" s="31">
        <f t="shared" si="373"/>
        <v>0</v>
      </c>
      <c r="BC663" s="255">
        <f t="shared" si="374"/>
        <v>0</v>
      </c>
      <c r="BD663" s="31">
        <f t="shared" si="375"/>
        <v>3.75</v>
      </c>
      <c r="BE663" s="255">
        <f t="shared" si="376"/>
        <v>3.1875</v>
      </c>
      <c r="BF663" s="31">
        <f t="shared" si="377"/>
        <v>0</v>
      </c>
      <c r="BG663" s="255">
        <f t="shared" si="378"/>
        <v>0</v>
      </c>
      <c r="BH663" s="31">
        <f t="shared" si="379"/>
        <v>0</v>
      </c>
      <c r="BI663" s="255">
        <f t="shared" si="380"/>
        <v>0</v>
      </c>
      <c r="BJ663" s="31">
        <f t="shared" si="381"/>
        <v>0</v>
      </c>
      <c r="BK663" s="31">
        <f t="shared" si="382"/>
        <v>0</v>
      </c>
      <c r="BL663" s="255">
        <f t="shared" si="383"/>
        <v>0</v>
      </c>
      <c r="BM663" s="31">
        <f t="shared" si="384"/>
        <v>0</v>
      </c>
      <c r="BN663" s="255">
        <f t="shared" si="385"/>
        <v>0</v>
      </c>
    </row>
    <row r="664" spans="1:66" x14ac:dyDescent="0.25">
      <c r="A664" s="31" t="s">
        <v>1444</v>
      </c>
      <c r="B664" s="186" t="str">
        <f>VLOOKUP(A664,kurspris!$A$1:$B$877,2,FALSE)</f>
        <v>Förskolans uppdrag och arbetssätt 1</v>
      </c>
      <c r="D664" s="31" t="s">
        <v>484</v>
      </c>
      <c r="E664" s="31" t="s">
        <v>1788</v>
      </c>
      <c r="F664" s="59" t="s">
        <v>1930</v>
      </c>
      <c r="G664" s="31" t="s">
        <v>2167</v>
      </c>
      <c r="H664" s="31" t="s">
        <v>1910</v>
      </c>
      <c r="L664" s="31">
        <v>100</v>
      </c>
      <c r="M664" s="31">
        <v>5</v>
      </c>
      <c r="P664" s="31">
        <v>49</v>
      </c>
      <c r="Q664" s="232">
        <f t="shared" si="358"/>
        <v>4.083333333333333</v>
      </c>
      <c r="R664" s="40">
        <v>0.85</v>
      </c>
      <c r="S664" s="334">
        <f t="shared" si="359"/>
        <v>3.4708333333333328</v>
      </c>
      <c r="T664" s="31">
        <f>VLOOKUP(A664,'Ansvar kurs'!$A$1:$C$1010,2,FALSE)</f>
        <v>2193</v>
      </c>
      <c r="U664" s="31" t="str">
        <f>VLOOKUP(T664,Orgenheter!$A$1:$C$165,2,FALSE)</f>
        <v xml:space="preserve">TUV </v>
      </c>
      <c r="V664" s="31" t="str">
        <f>VLOOKUP(T664,Orgenheter!$A$1:$C$165,3,FALSE)</f>
        <v>Sam</v>
      </c>
      <c r="W664" s="37" t="str">
        <f>VLOOKUP(D664,Program!$A$1:$B$34,2,FALSE)</f>
        <v>Förskollärarprogrammet</v>
      </c>
      <c r="X664" s="42">
        <f>VLOOKUP(A664,kurspris!$A$1:$Q$798,15,FALSE)</f>
        <v>18405</v>
      </c>
      <c r="Y664" s="42">
        <f>VLOOKUP(A664,kurspris!$A$1:$Q$798,16,FALSE)</f>
        <v>15773</v>
      </c>
      <c r="Z664" s="42">
        <f t="shared" si="360"/>
        <v>129899.20416666666</v>
      </c>
      <c r="AA664" s="42">
        <f>VLOOKUP(A664,kurspris!$A$1:$Q$798,17,FALSE)</f>
        <v>5800</v>
      </c>
      <c r="AB664" s="42">
        <f t="shared" si="361"/>
        <v>23683.333333333332</v>
      </c>
      <c r="AC664" s="42">
        <f t="shared" si="362"/>
        <v>153582.53750000001</v>
      </c>
      <c r="AD664" s="31">
        <f>VLOOKUP($A664,kurspris!$A$1:$Q$835,3,FALSE)</f>
        <v>0</v>
      </c>
      <c r="AE664" s="31">
        <f>VLOOKUP($A664,kurspris!$A$1:$Q$835,4,FALSE)</f>
        <v>0</v>
      </c>
      <c r="AF664" s="31">
        <f>VLOOKUP($A664,kurspris!$A$1:$Q$835,5,FALSE)</f>
        <v>0</v>
      </c>
      <c r="AG664" s="31">
        <f>VLOOKUP($A664,kurspris!$A$1:$Q$835,6,FALSE)</f>
        <v>0</v>
      </c>
      <c r="AH664" s="31">
        <f>VLOOKUP($A664,kurspris!$A$1:$Q$835,7,FALSE)</f>
        <v>0</v>
      </c>
      <c r="AI664" s="31">
        <f>VLOOKUP($A664,kurspris!$A$1:$Q$835,8,FALSE)</f>
        <v>0</v>
      </c>
      <c r="AJ664" s="31">
        <f>VLOOKUP($A664,kurspris!$A$1:$Q$835,9,FALSE)</f>
        <v>1</v>
      </c>
      <c r="AK664" s="31">
        <f>VLOOKUP($A664,kurspris!$A$1:$Q$835,10,FALSE)</f>
        <v>0</v>
      </c>
      <c r="AL664" s="31">
        <f>VLOOKUP($A664,kurspris!$A$1:$Q$835,11,FALSE)</f>
        <v>0</v>
      </c>
      <c r="AM664" s="31">
        <f>VLOOKUP($A664,kurspris!$A$1:$Q$835,12,FALSE)</f>
        <v>0</v>
      </c>
      <c r="AN664" s="31">
        <f>VLOOKUP($A664,kurspris!$A$1:$Q$835,13,FALSE)</f>
        <v>0</v>
      </c>
      <c r="AO664" s="31">
        <f>VLOOKUP($A664,kurspris!$A$1:$Q$835,14,FALSE)</f>
        <v>0</v>
      </c>
      <c r="AP664" s="39" t="s">
        <v>2235</v>
      </c>
      <c r="AQ664"/>
      <c r="AR664" s="31">
        <f t="shared" si="363"/>
        <v>0</v>
      </c>
      <c r="AS664" s="255">
        <f t="shared" si="364"/>
        <v>0</v>
      </c>
      <c r="AT664" s="31">
        <f t="shared" si="365"/>
        <v>0</v>
      </c>
      <c r="AU664" s="255">
        <f t="shared" si="366"/>
        <v>0</v>
      </c>
      <c r="AV664" s="31">
        <f t="shared" si="367"/>
        <v>0</v>
      </c>
      <c r="AW664" s="31">
        <f t="shared" si="368"/>
        <v>0</v>
      </c>
      <c r="AX664" s="31">
        <f t="shared" si="369"/>
        <v>0</v>
      </c>
      <c r="AY664" s="255">
        <f t="shared" si="370"/>
        <v>0</v>
      </c>
      <c r="AZ664" s="232">
        <f t="shared" si="371"/>
        <v>0</v>
      </c>
      <c r="BA664" s="255">
        <f t="shared" si="372"/>
        <v>0</v>
      </c>
      <c r="BB664" s="31">
        <f t="shared" si="373"/>
        <v>0</v>
      </c>
      <c r="BC664" s="255">
        <f t="shared" si="374"/>
        <v>0</v>
      </c>
      <c r="BD664" s="31">
        <f t="shared" si="375"/>
        <v>4.083333333333333</v>
      </c>
      <c r="BE664" s="255">
        <f t="shared" si="376"/>
        <v>3.4708333333333328</v>
      </c>
      <c r="BF664" s="31">
        <f t="shared" si="377"/>
        <v>0</v>
      </c>
      <c r="BG664" s="255">
        <f t="shared" si="378"/>
        <v>0</v>
      </c>
      <c r="BH664" s="31">
        <f t="shared" si="379"/>
        <v>0</v>
      </c>
      <c r="BI664" s="255">
        <f t="shared" si="380"/>
        <v>0</v>
      </c>
      <c r="BJ664" s="31">
        <f t="shared" si="381"/>
        <v>0</v>
      </c>
      <c r="BK664" s="31">
        <f t="shared" si="382"/>
        <v>0</v>
      </c>
      <c r="BL664" s="255">
        <f t="shared" si="383"/>
        <v>0</v>
      </c>
      <c r="BM664" s="31">
        <f t="shared" si="384"/>
        <v>0</v>
      </c>
      <c r="BN664" s="255">
        <f t="shared" si="385"/>
        <v>0</v>
      </c>
    </row>
    <row r="665" spans="1:66" x14ac:dyDescent="0.25">
      <c r="A665" s="159" t="s">
        <v>1444</v>
      </c>
      <c r="B665" s="186" t="str">
        <f>VLOOKUP(A665,kurspris!$A$1:$B$877,2,FALSE)</f>
        <v>Förskolans uppdrag och arbetssätt 1</v>
      </c>
      <c r="C665" s="37"/>
      <c r="D665" s="31" t="s">
        <v>484</v>
      </c>
      <c r="E665" s="31" t="s">
        <v>1930</v>
      </c>
      <c r="F665" s="59" t="s">
        <v>1931</v>
      </c>
      <c r="G665" s="31" t="s">
        <v>2287</v>
      </c>
      <c r="L665" s="31">
        <v>100</v>
      </c>
      <c r="M665" s="31">
        <v>5</v>
      </c>
      <c r="P665" s="31">
        <v>15</v>
      </c>
      <c r="Q665" s="232">
        <f t="shared" si="358"/>
        <v>1.25</v>
      </c>
      <c r="R665" s="40">
        <v>0.85</v>
      </c>
      <c r="S665" s="334">
        <f t="shared" si="359"/>
        <v>1.0625</v>
      </c>
      <c r="T665" s="31">
        <f>VLOOKUP(A665,'Ansvar kurs'!$A$1:$C$1010,2,FALSE)</f>
        <v>2193</v>
      </c>
      <c r="U665" s="31" t="str">
        <f>VLOOKUP(T665,Orgenheter!$A$1:$C$165,2,FALSE)</f>
        <v xml:space="preserve">TUV </v>
      </c>
      <c r="V665" s="31" t="str">
        <f>VLOOKUP(T665,Orgenheter!$A$1:$C$165,3,FALSE)</f>
        <v>Sam</v>
      </c>
      <c r="W665" s="37" t="str">
        <f>VLOOKUP(D665,Program!$A$1:$B$34,2,FALSE)</f>
        <v>Förskollärarprogrammet</v>
      </c>
      <c r="X665" s="42">
        <f>VLOOKUP(A665,kurspris!$A$1:$Q$798,15,FALSE)</f>
        <v>18405</v>
      </c>
      <c r="Y665" s="42">
        <f>VLOOKUP(A665,kurspris!$A$1:$Q$798,16,FALSE)</f>
        <v>15773</v>
      </c>
      <c r="Z665" s="42">
        <f t="shared" si="360"/>
        <v>39765.0625</v>
      </c>
      <c r="AA665" s="42">
        <f>VLOOKUP(A665,kurspris!$A$1:$Q$798,17,FALSE)</f>
        <v>5800</v>
      </c>
      <c r="AB665" s="42">
        <f t="shared" si="361"/>
        <v>7250</v>
      </c>
      <c r="AC665" s="42">
        <f t="shared" si="362"/>
        <v>47015.0625</v>
      </c>
      <c r="AD665" s="31">
        <f>VLOOKUP($A665,kurspris!$A$1:$Q$835,3,FALSE)</f>
        <v>0</v>
      </c>
      <c r="AE665" s="31">
        <f>VLOOKUP($A665,kurspris!$A$1:$Q$835,4,FALSE)</f>
        <v>0</v>
      </c>
      <c r="AF665" s="31">
        <f>VLOOKUP($A665,kurspris!$A$1:$Q$835,5,FALSE)</f>
        <v>0</v>
      </c>
      <c r="AG665" s="31">
        <f>VLOOKUP($A665,kurspris!$A$1:$Q$835,6,FALSE)</f>
        <v>0</v>
      </c>
      <c r="AH665" s="31">
        <f>VLOOKUP($A665,kurspris!$A$1:$Q$835,7,FALSE)</f>
        <v>0</v>
      </c>
      <c r="AI665" s="31">
        <f>VLOOKUP($A665,kurspris!$A$1:$Q$835,8,FALSE)</f>
        <v>0</v>
      </c>
      <c r="AJ665" s="31">
        <f>VLOOKUP($A665,kurspris!$A$1:$Q$835,9,FALSE)</f>
        <v>1</v>
      </c>
      <c r="AK665" s="31">
        <f>VLOOKUP($A665,kurspris!$A$1:$Q$835,10,FALSE)</f>
        <v>0</v>
      </c>
      <c r="AL665" s="31">
        <f>VLOOKUP($A665,kurspris!$A$1:$Q$835,11,FALSE)</f>
        <v>0</v>
      </c>
      <c r="AM665" s="31">
        <f>VLOOKUP($A665,kurspris!$A$1:$Q$835,12,FALSE)</f>
        <v>0</v>
      </c>
      <c r="AN665" s="31">
        <f>VLOOKUP($A665,kurspris!$A$1:$Q$835,13,FALSE)</f>
        <v>0</v>
      </c>
      <c r="AO665" s="31">
        <f>VLOOKUP($A665,kurspris!$A$1:$Q$835,14,FALSE)</f>
        <v>0</v>
      </c>
      <c r="AP665" s="39" t="s">
        <v>2326</v>
      </c>
      <c r="AQ665"/>
      <c r="AR665" s="31">
        <f t="shared" si="363"/>
        <v>0</v>
      </c>
      <c r="AS665" s="255">
        <f t="shared" si="364"/>
        <v>0</v>
      </c>
      <c r="AT665" s="31">
        <f t="shared" si="365"/>
        <v>0</v>
      </c>
      <c r="AU665" s="255">
        <f t="shared" si="366"/>
        <v>0</v>
      </c>
      <c r="AV665" s="31">
        <f t="shared" si="367"/>
        <v>0</v>
      </c>
      <c r="AW665" s="31">
        <f t="shared" si="368"/>
        <v>0</v>
      </c>
      <c r="AX665" s="31">
        <f t="shared" si="369"/>
        <v>0</v>
      </c>
      <c r="AY665" s="255">
        <f t="shared" si="370"/>
        <v>0</v>
      </c>
      <c r="AZ665" s="232">
        <f t="shared" si="371"/>
        <v>0</v>
      </c>
      <c r="BA665" s="255">
        <f t="shared" si="372"/>
        <v>0</v>
      </c>
      <c r="BB665" s="31">
        <f t="shared" si="373"/>
        <v>0</v>
      </c>
      <c r="BC665" s="255">
        <f t="shared" si="374"/>
        <v>0</v>
      </c>
      <c r="BD665" s="31">
        <f t="shared" si="375"/>
        <v>1.25</v>
      </c>
      <c r="BE665" s="255">
        <f t="shared" si="376"/>
        <v>1.0625</v>
      </c>
      <c r="BF665" s="31">
        <f t="shared" si="377"/>
        <v>0</v>
      </c>
      <c r="BG665" s="255">
        <f t="shared" si="378"/>
        <v>0</v>
      </c>
      <c r="BH665" s="31">
        <f t="shared" si="379"/>
        <v>0</v>
      </c>
      <c r="BI665" s="255">
        <f t="shared" si="380"/>
        <v>0</v>
      </c>
      <c r="BJ665" s="31">
        <f t="shared" si="381"/>
        <v>0</v>
      </c>
      <c r="BK665" s="31">
        <f t="shared" si="382"/>
        <v>0</v>
      </c>
      <c r="BL665" s="255">
        <f t="shared" si="383"/>
        <v>0</v>
      </c>
      <c r="BM665" s="31">
        <f t="shared" si="384"/>
        <v>0</v>
      </c>
      <c r="BN665" s="255">
        <f t="shared" si="385"/>
        <v>0</v>
      </c>
    </row>
    <row r="666" spans="1:66" x14ac:dyDescent="0.25">
      <c r="A666" s="31" t="s">
        <v>1514</v>
      </c>
      <c r="B666" s="186" t="str">
        <f>VLOOKUP(A666,kurspris!$A$1:$B$877,2,FALSE)</f>
        <v>Läraryrkets dimensioner - ingångsämne Samhällskunskap</v>
      </c>
      <c r="D666" s="31" t="s">
        <v>482</v>
      </c>
      <c r="E666" s="31" t="s">
        <v>1994</v>
      </c>
      <c r="F666" s="59" t="s">
        <v>1930</v>
      </c>
      <c r="G666" s="31" t="s">
        <v>1998</v>
      </c>
      <c r="H666" s="31" t="s">
        <v>1910</v>
      </c>
      <c r="J666" s="31" t="s">
        <v>777</v>
      </c>
      <c r="L666" s="31">
        <v>100</v>
      </c>
      <c r="M666" s="31">
        <v>22.5</v>
      </c>
      <c r="P666" s="31">
        <v>1</v>
      </c>
      <c r="Q666" s="232">
        <f t="shared" si="358"/>
        <v>0.375</v>
      </c>
      <c r="R666" s="40">
        <v>0.85</v>
      </c>
      <c r="S666" s="334">
        <f t="shared" si="359"/>
        <v>0.31874999999999998</v>
      </c>
      <c r="T666" s="31">
        <f>VLOOKUP(A666,'Ansvar kurs'!$A$1:$C$1010,2,FALSE)</f>
        <v>2180</v>
      </c>
      <c r="U666" s="31" t="str">
        <f>VLOOKUP(T666,Orgenheter!$A$1:$C$165,2,FALSE)</f>
        <v xml:space="preserve">Pedagogik                     </v>
      </c>
      <c r="V666" s="31" t="str">
        <f>VLOOKUP(T666,Orgenheter!$A$1:$C$165,3,FALSE)</f>
        <v>Sam</v>
      </c>
      <c r="W666" s="37" t="str">
        <f>VLOOKUP(D666,Program!$A$1:$B$34,2,FALSE)</f>
        <v>Ämneslärarprogrammet - åk 7-9</v>
      </c>
      <c r="X666" s="42">
        <f>VLOOKUP(A666,kurspris!$A$1:$Q$798,15,FALSE)</f>
        <v>21634</v>
      </c>
      <c r="Y666" s="42">
        <f>VLOOKUP(A666,kurspris!$A$1:$Q$798,16,FALSE)</f>
        <v>26986</v>
      </c>
      <c r="Z666" s="42">
        <f t="shared" si="360"/>
        <v>16714.537499999999</v>
      </c>
      <c r="AA666" s="42">
        <f>VLOOKUP(A666,kurspris!$A$1:$Q$798,17,FALSE)</f>
        <v>3400</v>
      </c>
      <c r="AB666" s="42">
        <f t="shared" si="361"/>
        <v>1275</v>
      </c>
      <c r="AC666" s="42">
        <f t="shared" si="362"/>
        <v>17989.537499999999</v>
      </c>
      <c r="AD666" s="31">
        <f>VLOOKUP($A666,kurspris!$A$1:$Q$835,3,FALSE)</f>
        <v>0</v>
      </c>
      <c r="AE666" s="31">
        <f>VLOOKUP($A666,kurspris!$A$1:$Q$835,4,FALSE)</f>
        <v>0</v>
      </c>
      <c r="AF666" s="31">
        <f>VLOOKUP($A666,kurspris!$A$1:$Q$835,5,FALSE)</f>
        <v>0</v>
      </c>
      <c r="AG666" s="31">
        <f>VLOOKUP($A666,kurspris!$A$1:$Q$835,6,FALSE)</f>
        <v>0</v>
      </c>
      <c r="AH666" s="31">
        <f>VLOOKUP($A666,kurspris!$A$1:$Q$835,7,FALSE)</f>
        <v>0</v>
      </c>
      <c r="AI666" s="31">
        <f>VLOOKUP($A666,kurspris!$A$1:$Q$835,8,FALSE)</f>
        <v>0</v>
      </c>
      <c r="AJ666" s="31">
        <f>VLOOKUP($A666,kurspris!$A$1:$Q$835,9,FALSE)</f>
        <v>0</v>
      </c>
      <c r="AK666" s="31">
        <f>VLOOKUP($A666,kurspris!$A$1:$Q$835,10,FALSE)</f>
        <v>0</v>
      </c>
      <c r="AL666" s="31">
        <f>VLOOKUP($A666,kurspris!$A$1:$Q$835,11,FALSE)</f>
        <v>1</v>
      </c>
      <c r="AM666" s="31">
        <f>VLOOKUP($A666,kurspris!$A$1:$Q$835,12,FALSE)</f>
        <v>0</v>
      </c>
      <c r="AN666" s="31">
        <f>VLOOKUP($A666,kurspris!$A$1:$Q$835,13,FALSE)</f>
        <v>0</v>
      </c>
      <c r="AO666" s="31">
        <f>VLOOKUP($A666,kurspris!$A$1:$Q$835,14,FALSE)</f>
        <v>0</v>
      </c>
      <c r="AP666" s="39" t="s">
        <v>2204</v>
      </c>
      <c r="AQ666"/>
      <c r="AR666" s="31">
        <f t="shared" si="363"/>
        <v>0</v>
      </c>
      <c r="AS666" s="255">
        <f t="shared" si="364"/>
        <v>0</v>
      </c>
      <c r="AT666" s="31">
        <f t="shared" si="365"/>
        <v>0</v>
      </c>
      <c r="AU666" s="255">
        <f t="shared" si="366"/>
        <v>0</v>
      </c>
      <c r="AV666" s="31">
        <f t="shared" si="367"/>
        <v>0</v>
      </c>
      <c r="AW666" s="31">
        <f t="shared" si="368"/>
        <v>0</v>
      </c>
      <c r="AX666" s="31">
        <f t="shared" si="369"/>
        <v>0</v>
      </c>
      <c r="AY666" s="255">
        <f t="shared" si="370"/>
        <v>0</v>
      </c>
      <c r="AZ666" s="232">
        <f t="shared" si="371"/>
        <v>0</v>
      </c>
      <c r="BA666" s="255">
        <f t="shared" si="372"/>
        <v>0</v>
      </c>
      <c r="BB666" s="31">
        <f t="shared" si="373"/>
        <v>0</v>
      </c>
      <c r="BC666" s="255">
        <f t="shared" si="374"/>
        <v>0</v>
      </c>
      <c r="BD666" s="31">
        <f t="shared" si="375"/>
        <v>0</v>
      </c>
      <c r="BE666" s="255">
        <f t="shared" si="376"/>
        <v>0</v>
      </c>
      <c r="BF666" s="31">
        <f t="shared" si="377"/>
        <v>0</v>
      </c>
      <c r="BG666" s="255">
        <f t="shared" si="378"/>
        <v>0</v>
      </c>
      <c r="BH666" s="31">
        <f t="shared" si="379"/>
        <v>0.375</v>
      </c>
      <c r="BI666" s="255">
        <f t="shared" si="380"/>
        <v>0.31874999999999998</v>
      </c>
      <c r="BJ666" s="31">
        <f t="shared" si="381"/>
        <v>0</v>
      </c>
      <c r="BK666" s="31">
        <f t="shared" si="382"/>
        <v>0</v>
      </c>
      <c r="BL666" s="255">
        <f t="shared" si="383"/>
        <v>0</v>
      </c>
      <c r="BM666" s="31">
        <f t="shared" si="384"/>
        <v>0</v>
      </c>
      <c r="BN666" s="255">
        <f t="shared" si="385"/>
        <v>0</v>
      </c>
    </row>
    <row r="667" spans="1:66" x14ac:dyDescent="0.25">
      <c r="A667" s="159" t="s">
        <v>1514</v>
      </c>
      <c r="B667" s="186" t="str">
        <f>VLOOKUP(A667,kurspris!$A$1:$B$877,2,FALSE)</f>
        <v>Läraryrkets dimensioner - ingångsämne Samhällskunskap</v>
      </c>
      <c r="C667" s="37"/>
      <c r="D667" s="31" t="s">
        <v>483</v>
      </c>
      <c r="E667" s="31" t="s">
        <v>1976</v>
      </c>
      <c r="F667" s="59" t="s">
        <v>1931</v>
      </c>
      <c r="G667" s="31" t="s">
        <v>2267</v>
      </c>
      <c r="J667" s="31" t="s">
        <v>777</v>
      </c>
      <c r="L667" s="31">
        <v>100</v>
      </c>
      <c r="M667" s="31">
        <v>22.5</v>
      </c>
      <c r="P667" s="31">
        <v>4</v>
      </c>
      <c r="Q667" s="232">
        <f t="shared" si="358"/>
        <v>1.5</v>
      </c>
      <c r="R667" s="40">
        <v>0.85</v>
      </c>
      <c r="S667" s="334">
        <f t="shared" si="359"/>
        <v>1.2749999999999999</v>
      </c>
      <c r="T667" s="31">
        <f>VLOOKUP(A667,'Ansvar kurs'!$A$1:$C$1010,2,FALSE)</f>
        <v>2180</v>
      </c>
      <c r="U667" s="31" t="str">
        <f>VLOOKUP(T667,Orgenheter!$A$1:$C$165,2,FALSE)</f>
        <v xml:space="preserve">Pedagogik                     </v>
      </c>
      <c r="V667" s="31" t="str">
        <f>VLOOKUP(T667,Orgenheter!$A$1:$C$165,3,FALSE)</f>
        <v>Sam</v>
      </c>
      <c r="W667" s="37" t="str">
        <f>VLOOKUP(D667,Program!$A$1:$B$34,2,FALSE)</f>
        <v>Ämneslärarprogrammet - Gy</v>
      </c>
      <c r="X667" s="42">
        <f>VLOOKUP(A667,kurspris!$A$1:$Q$798,15,FALSE)</f>
        <v>21634</v>
      </c>
      <c r="Y667" s="42">
        <f>VLOOKUP(A667,kurspris!$A$1:$Q$798,16,FALSE)</f>
        <v>26986</v>
      </c>
      <c r="Z667" s="42">
        <f t="shared" si="360"/>
        <v>66858.149999999994</v>
      </c>
      <c r="AA667" s="42">
        <f>VLOOKUP(A667,kurspris!$A$1:$Q$798,17,FALSE)</f>
        <v>3400</v>
      </c>
      <c r="AB667" s="42">
        <f t="shared" si="361"/>
        <v>5100</v>
      </c>
      <c r="AC667" s="42">
        <f t="shared" si="362"/>
        <v>71958.149999999994</v>
      </c>
      <c r="AD667" s="31">
        <f>VLOOKUP($A667,kurspris!$A$1:$Q$835,3,FALSE)</f>
        <v>0</v>
      </c>
      <c r="AE667" s="31">
        <f>VLOOKUP($A667,kurspris!$A$1:$Q$835,4,FALSE)</f>
        <v>0</v>
      </c>
      <c r="AF667" s="31">
        <f>VLOOKUP($A667,kurspris!$A$1:$Q$835,5,FALSE)</f>
        <v>0</v>
      </c>
      <c r="AG667" s="31">
        <f>VLOOKUP($A667,kurspris!$A$1:$Q$835,6,FALSE)</f>
        <v>0</v>
      </c>
      <c r="AH667" s="31">
        <f>VLOOKUP($A667,kurspris!$A$1:$Q$835,7,FALSE)</f>
        <v>0</v>
      </c>
      <c r="AI667" s="31">
        <f>VLOOKUP($A667,kurspris!$A$1:$Q$835,8,FALSE)</f>
        <v>0</v>
      </c>
      <c r="AJ667" s="31">
        <f>VLOOKUP($A667,kurspris!$A$1:$Q$835,9,FALSE)</f>
        <v>0</v>
      </c>
      <c r="AK667" s="31">
        <f>VLOOKUP($A667,kurspris!$A$1:$Q$835,10,FALSE)</f>
        <v>0</v>
      </c>
      <c r="AL667" s="31">
        <f>VLOOKUP($A667,kurspris!$A$1:$Q$835,11,FALSE)</f>
        <v>1</v>
      </c>
      <c r="AM667" s="31">
        <f>VLOOKUP($A667,kurspris!$A$1:$Q$835,12,FALSE)</f>
        <v>0</v>
      </c>
      <c r="AN667" s="31">
        <f>VLOOKUP($A667,kurspris!$A$1:$Q$835,13,FALSE)</f>
        <v>0</v>
      </c>
      <c r="AO667" s="31">
        <f>VLOOKUP($A667,kurspris!$A$1:$Q$835,14,FALSE)</f>
        <v>0</v>
      </c>
      <c r="AP667" s="39" t="s">
        <v>2326</v>
      </c>
      <c r="AQ667"/>
      <c r="AR667" s="31">
        <f t="shared" si="363"/>
        <v>0</v>
      </c>
      <c r="AS667" s="255">
        <f t="shared" si="364"/>
        <v>0</v>
      </c>
      <c r="AT667" s="31">
        <f t="shared" si="365"/>
        <v>0</v>
      </c>
      <c r="AU667" s="255">
        <f t="shared" si="366"/>
        <v>0</v>
      </c>
      <c r="AV667" s="31">
        <f t="shared" si="367"/>
        <v>0</v>
      </c>
      <c r="AW667" s="31">
        <f t="shared" si="368"/>
        <v>0</v>
      </c>
      <c r="AX667" s="31">
        <f t="shared" si="369"/>
        <v>0</v>
      </c>
      <c r="AY667" s="255">
        <f t="shared" si="370"/>
        <v>0</v>
      </c>
      <c r="AZ667" s="232">
        <f t="shared" si="371"/>
        <v>0</v>
      </c>
      <c r="BA667" s="255">
        <f t="shared" si="372"/>
        <v>0</v>
      </c>
      <c r="BB667" s="31">
        <f t="shared" si="373"/>
        <v>0</v>
      </c>
      <c r="BC667" s="255">
        <f t="shared" si="374"/>
        <v>0</v>
      </c>
      <c r="BD667" s="31">
        <f t="shared" si="375"/>
        <v>0</v>
      </c>
      <c r="BE667" s="255">
        <f t="shared" si="376"/>
        <v>0</v>
      </c>
      <c r="BF667" s="31">
        <f t="shared" si="377"/>
        <v>0</v>
      </c>
      <c r="BG667" s="255">
        <f t="shared" si="378"/>
        <v>0</v>
      </c>
      <c r="BH667" s="31">
        <f t="shared" si="379"/>
        <v>1.5</v>
      </c>
      <c r="BI667" s="255">
        <f t="shared" si="380"/>
        <v>1.2749999999999999</v>
      </c>
      <c r="BJ667" s="31">
        <f t="shared" si="381"/>
        <v>0</v>
      </c>
      <c r="BK667" s="31">
        <f t="shared" si="382"/>
        <v>0</v>
      </c>
      <c r="BL667" s="255">
        <f t="shared" si="383"/>
        <v>0</v>
      </c>
      <c r="BM667" s="31">
        <f t="shared" si="384"/>
        <v>0</v>
      </c>
      <c r="BN667" s="255">
        <f t="shared" si="385"/>
        <v>0</v>
      </c>
    </row>
    <row r="668" spans="1:66" x14ac:dyDescent="0.25">
      <c r="A668" s="31" t="s">
        <v>1485</v>
      </c>
      <c r="B668" s="186" t="str">
        <f>VLOOKUP(A668,kurspris!$A$1:$B$877,2,FALSE)</f>
        <v>Handledarutbildning för VFU-handledare, bedömning</v>
      </c>
      <c r="C668" s="37"/>
      <c r="D668" s="59" t="s">
        <v>117</v>
      </c>
      <c r="F668" s="59" t="s">
        <v>1930</v>
      </c>
      <c r="H668" s="31" t="s">
        <v>1910</v>
      </c>
      <c r="I668" s="31" t="s">
        <v>628</v>
      </c>
      <c r="L668" s="31">
        <v>25</v>
      </c>
      <c r="M668" s="376">
        <v>3.5</v>
      </c>
      <c r="P668" s="31">
        <v>35</v>
      </c>
      <c r="Q668" s="232">
        <f t="shared" si="358"/>
        <v>2.0416666666666665</v>
      </c>
      <c r="R668" s="40">
        <v>0.85</v>
      </c>
      <c r="S668" s="334">
        <f t="shared" si="359"/>
        <v>1.7354166666666664</v>
      </c>
      <c r="T668" s="31">
        <f>VLOOKUP(A668,'Ansvar kurs'!$A$1:$C$1010,2,FALSE)</f>
        <v>5740</v>
      </c>
      <c r="U668" s="31" t="str">
        <f>VLOOKUP(T668,Orgenheter!$A$1:$C$165,2,FALSE)</f>
        <v>NMD</v>
      </c>
      <c r="V668" s="31" t="str">
        <f>VLOOKUP(T668,Orgenheter!$A$1:$C$165,3,FALSE)</f>
        <v>TekNat</v>
      </c>
      <c r="W668" s="37" t="str">
        <f>VLOOKUP(D668,Program!$A$1:$B$34,2,FALSE)</f>
        <v>Fristående och övriga kurser</v>
      </c>
      <c r="X668" s="42">
        <f>VLOOKUP(A668,kurspris!$A$1:$Q$798,15,FALSE)</f>
        <v>19473</v>
      </c>
      <c r="Y668" s="42">
        <f>VLOOKUP(A668,kurspris!$A$1:$Q$798,16,FALSE)</f>
        <v>34806</v>
      </c>
      <c r="Z668" s="42">
        <f t="shared" si="360"/>
        <v>100160.28749999999</v>
      </c>
      <c r="AA668" s="42">
        <f>VLOOKUP(A668,kurspris!$A$1:$Q$798,17,FALSE)</f>
        <v>21800</v>
      </c>
      <c r="AB668" s="42">
        <f t="shared" si="361"/>
        <v>44508.333333333328</v>
      </c>
      <c r="AC668" s="42">
        <f t="shared" si="362"/>
        <v>144668.62083333332</v>
      </c>
      <c r="AD668" s="31">
        <f>VLOOKUP($A668,kurspris!$A$1:$Q$835,3,FALSE)</f>
        <v>0</v>
      </c>
      <c r="AE668" s="31">
        <f>VLOOKUP($A668,kurspris!$A$1:$Q$835,4,FALSE)</f>
        <v>0</v>
      </c>
      <c r="AF668" s="31">
        <f>VLOOKUP($A668,kurspris!$A$1:$Q$835,5,FALSE)</f>
        <v>0</v>
      </c>
      <c r="AG668" s="31">
        <f>VLOOKUP($A668,kurspris!$A$1:$Q$835,6,FALSE)</f>
        <v>0</v>
      </c>
      <c r="AH668" s="31">
        <f>VLOOKUP($A668,kurspris!$A$1:$Q$835,7,FALSE)</f>
        <v>0</v>
      </c>
      <c r="AI668" s="31">
        <f>VLOOKUP($A668,kurspris!$A$1:$Q$835,8,FALSE)</f>
        <v>1</v>
      </c>
      <c r="AJ668" s="31">
        <f>VLOOKUP($A668,kurspris!$A$1:$Q$835,9,FALSE)</f>
        <v>0</v>
      </c>
      <c r="AK668" s="31">
        <f>VLOOKUP($A668,kurspris!$A$1:$Q$835,10,FALSE)</f>
        <v>0</v>
      </c>
      <c r="AL668" s="31">
        <f>VLOOKUP($A668,kurspris!$A$1:$Q$835,11,FALSE)</f>
        <v>0</v>
      </c>
      <c r="AM668" s="31">
        <f>VLOOKUP($A668,kurspris!$A$1:$Q$835,12,FALSE)</f>
        <v>0</v>
      </c>
      <c r="AN668" s="31">
        <f>VLOOKUP($A668,kurspris!$A$1:$Q$835,13,FALSE)</f>
        <v>0</v>
      </c>
      <c r="AO668" s="31">
        <f>VLOOKUP($A668,kurspris!$A$1:$Q$835,14,FALSE)</f>
        <v>0</v>
      </c>
      <c r="AP668" s="39" t="s">
        <v>2232</v>
      </c>
      <c r="AQ668" s="39" t="s">
        <v>2094</v>
      </c>
      <c r="AR668" s="31">
        <f t="shared" si="363"/>
        <v>0</v>
      </c>
      <c r="AS668" s="255">
        <f t="shared" si="364"/>
        <v>0</v>
      </c>
      <c r="AT668" s="31">
        <f t="shared" si="365"/>
        <v>0</v>
      </c>
      <c r="AU668" s="255">
        <f t="shared" si="366"/>
        <v>0</v>
      </c>
      <c r="AV668" s="31">
        <f t="shared" si="367"/>
        <v>0</v>
      </c>
      <c r="AW668" s="31">
        <f t="shared" si="368"/>
        <v>0</v>
      </c>
      <c r="AX668" s="31">
        <f t="shared" si="369"/>
        <v>0</v>
      </c>
      <c r="AY668" s="255">
        <f t="shared" si="370"/>
        <v>0</v>
      </c>
      <c r="AZ668" s="232">
        <f t="shared" si="371"/>
        <v>0</v>
      </c>
      <c r="BA668" s="255">
        <f t="shared" si="372"/>
        <v>0</v>
      </c>
      <c r="BB668" s="31">
        <f t="shared" si="373"/>
        <v>2.0416666666666665</v>
      </c>
      <c r="BC668" s="255">
        <f t="shared" si="374"/>
        <v>1.7354166666666664</v>
      </c>
      <c r="BD668" s="31">
        <f t="shared" si="375"/>
        <v>0</v>
      </c>
      <c r="BE668" s="255">
        <f t="shared" si="376"/>
        <v>0</v>
      </c>
      <c r="BF668" s="31">
        <f t="shared" si="377"/>
        <v>0</v>
      </c>
      <c r="BG668" s="255">
        <f t="shared" si="378"/>
        <v>0</v>
      </c>
      <c r="BH668" s="31">
        <f t="shared" si="379"/>
        <v>0</v>
      </c>
      <c r="BI668" s="255">
        <f t="shared" si="380"/>
        <v>0</v>
      </c>
      <c r="BJ668" s="31">
        <f t="shared" si="381"/>
        <v>0</v>
      </c>
      <c r="BK668" s="31">
        <f t="shared" si="382"/>
        <v>0</v>
      </c>
      <c r="BL668" s="255">
        <f t="shared" si="383"/>
        <v>0</v>
      </c>
      <c r="BM668" s="31">
        <f t="shared" si="384"/>
        <v>0</v>
      </c>
      <c r="BN668" s="255">
        <f t="shared" si="385"/>
        <v>0</v>
      </c>
    </row>
    <row r="669" spans="1:66" x14ac:dyDescent="0.25">
      <c r="A669" s="159" t="s">
        <v>1485</v>
      </c>
      <c r="B669" s="186" t="str">
        <f>VLOOKUP(A669,kurspris!$A$1:$B$877,2,FALSE)</f>
        <v>Handledarutbildning för VFU-handledare, bedömning</v>
      </c>
      <c r="C669" s="37"/>
      <c r="D669" s="31" t="s">
        <v>117</v>
      </c>
      <c r="F669" s="59" t="s">
        <v>2093</v>
      </c>
      <c r="G669" s="31" t="s">
        <v>2065</v>
      </c>
      <c r="I669" s="159" t="s">
        <v>2066</v>
      </c>
      <c r="J669" s="159"/>
      <c r="K669" s="159"/>
      <c r="L669" s="31">
        <v>25</v>
      </c>
      <c r="M669" s="31">
        <v>3.5</v>
      </c>
      <c r="P669" s="31">
        <v>0</v>
      </c>
      <c r="Q669" s="232">
        <f t="shared" si="358"/>
        <v>0</v>
      </c>
      <c r="R669" s="40">
        <v>0.8</v>
      </c>
      <c r="S669" s="334">
        <f t="shared" si="359"/>
        <v>0</v>
      </c>
      <c r="T669" s="31">
        <f>VLOOKUP(A669,'Ansvar kurs'!$A$1:$C$1010,2,FALSE)</f>
        <v>5740</v>
      </c>
      <c r="U669" s="31" t="str">
        <f>VLOOKUP(T669,Orgenheter!$A$1:$C$165,2,FALSE)</f>
        <v>NMD</v>
      </c>
      <c r="V669" s="31" t="str">
        <f>VLOOKUP(T669,Orgenheter!$A$1:$C$165,3,FALSE)</f>
        <v>TekNat</v>
      </c>
      <c r="W669" s="37" t="str">
        <f>VLOOKUP(D669,Program!$A$1:$B$34,2,FALSE)</f>
        <v>Fristående och övriga kurser</v>
      </c>
      <c r="X669" s="42">
        <f>VLOOKUP(A669,kurspris!$A$1:$Q$798,15,FALSE)</f>
        <v>19473</v>
      </c>
      <c r="Y669" s="42">
        <f>VLOOKUP(A669,kurspris!$A$1:$Q$798,16,FALSE)</f>
        <v>34806</v>
      </c>
      <c r="Z669" s="42">
        <f t="shared" si="360"/>
        <v>0</v>
      </c>
      <c r="AA669" s="42">
        <f>VLOOKUP(A669,kurspris!$A$1:$Q$798,17,FALSE)</f>
        <v>21800</v>
      </c>
      <c r="AB669" s="42">
        <f t="shared" si="361"/>
        <v>0</v>
      </c>
      <c r="AC669" s="42">
        <f t="shared" si="362"/>
        <v>0</v>
      </c>
      <c r="AD669" s="31">
        <f>VLOOKUP($A669,kurspris!$A$1:$Q$835,3,FALSE)</f>
        <v>0</v>
      </c>
      <c r="AE669" s="31">
        <f>VLOOKUP($A669,kurspris!$A$1:$Q$835,4,FALSE)</f>
        <v>0</v>
      </c>
      <c r="AF669" s="31">
        <f>VLOOKUP($A669,kurspris!$A$1:$Q$835,5,FALSE)</f>
        <v>0</v>
      </c>
      <c r="AG669" s="31">
        <f>VLOOKUP($A669,kurspris!$A$1:$Q$835,6,FALSE)</f>
        <v>0</v>
      </c>
      <c r="AH669" s="31">
        <f>VLOOKUP($A669,kurspris!$A$1:$Q$835,7,FALSE)</f>
        <v>0</v>
      </c>
      <c r="AI669" s="31">
        <f>VLOOKUP($A669,kurspris!$A$1:$Q$835,8,FALSE)</f>
        <v>1</v>
      </c>
      <c r="AJ669" s="31">
        <f>VLOOKUP($A669,kurspris!$A$1:$Q$835,9,FALSE)</f>
        <v>0</v>
      </c>
      <c r="AK669" s="31">
        <f>VLOOKUP($A669,kurspris!$A$1:$Q$835,10,FALSE)</f>
        <v>0</v>
      </c>
      <c r="AL669" s="31">
        <f>VLOOKUP($A669,kurspris!$A$1:$Q$835,11,FALSE)</f>
        <v>0</v>
      </c>
      <c r="AM669" s="31">
        <f>VLOOKUP($A669,kurspris!$A$1:$Q$835,12,FALSE)</f>
        <v>0</v>
      </c>
      <c r="AN669" s="31">
        <f>VLOOKUP($A669,kurspris!$A$1:$Q$835,13,FALSE)</f>
        <v>0</v>
      </c>
      <c r="AO669" s="31">
        <f>VLOOKUP($A669,kurspris!$A$1:$Q$835,14,FALSE)</f>
        <v>0</v>
      </c>
      <c r="AP669" s="39" t="s">
        <v>2250</v>
      </c>
      <c r="AQ669" s="39" t="s">
        <v>2095</v>
      </c>
      <c r="AR669" s="31">
        <f t="shared" si="363"/>
        <v>0</v>
      </c>
      <c r="AS669" s="255">
        <f t="shared" si="364"/>
        <v>0</v>
      </c>
      <c r="AT669" s="31">
        <f t="shared" si="365"/>
        <v>0</v>
      </c>
      <c r="AU669" s="255">
        <f t="shared" si="366"/>
        <v>0</v>
      </c>
      <c r="AV669" s="31">
        <f t="shared" si="367"/>
        <v>0</v>
      </c>
      <c r="AW669" s="31">
        <f t="shared" si="368"/>
        <v>0</v>
      </c>
      <c r="AX669" s="31">
        <f t="shared" si="369"/>
        <v>0</v>
      </c>
      <c r="AY669" s="255">
        <f t="shared" si="370"/>
        <v>0</v>
      </c>
      <c r="AZ669" s="232">
        <f t="shared" si="371"/>
        <v>0</v>
      </c>
      <c r="BA669" s="255">
        <f t="shared" si="372"/>
        <v>0</v>
      </c>
      <c r="BB669" s="31">
        <f t="shared" si="373"/>
        <v>0</v>
      </c>
      <c r="BC669" s="255">
        <f t="shared" si="374"/>
        <v>0</v>
      </c>
      <c r="BD669" s="31">
        <f t="shared" si="375"/>
        <v>0</v>
      </c>
      <c r="BE669" s="255">
        <f t="shared" si="376"/>
        <v>0</v>
      </c>
      <c r="BF669" s="31">
        <f t="shared" si="377"/>
        <v>0</v>
      </c>
      <c r="BG669" s="255">
        <f t="shared" si="378"/>
        <v>0</v>
      </c>
      <c r="BH669" s="31">
        <f t="shared" si="379"/>
        <v>0</v>
      </c>
      <c r="BI669" s="255">
        <f t="shared" si="380"/>
        <v>0</v>
      </c>
      <c r="BJ669" s="31">
        <f t="shared" si="381"/>
        <v>0</v>
      </c>
      <c r="BK669" s="31">
        <f t="shared" si="382"/>
        <v>0</v>
      </c>
      <c r="BL669" s="255">
        <f t="shared" si="383"/>
        <v>0</v>
      </c>
      <c r="BM669" s="31">
        <f t="shared" si="384"/>
        <v>0</v>
      </c>
      <c r="BN669" s="255">
        <f t="shared" si="385"/>
        <v>0</v>
      </c>
    </row>
    <row r="670" spans="1:66" x14ac:dyDescent="0.25">
      <c r="A670" s="31" t="s">
        <v>1485</v>
      </c>
      <c r="B670" s="186" t="str">
        <f>VLOOKUP(A670,kurspris!$A$1:$B$877,2,FALSE)</f>
        <v>Handledarutbildning för VFU-handledare, bedömning</v>
      </c>
      <c r="C670" s="37"/>
      <c r="D670" s="59" t="s">
        <v>117</v>
      </c>
      <c r="F670" s="59" t="s">
        <v>1931</v>
      </c>
      <c r="H670" s="31" t="s">
        <v>1910</v>
      </c>
      <c r="I670" s="31" t="s">
        <v>628</v>
      </c>
      <c r="L670" s="31">
        <v>25</v>
      </c>
      <c r="M670" s="376">
        <v>3.5</v>
      </c>
      <c r="P670" s="31">
        <v>40</v>
      </c>
      <c r="Q670" s="232">
        <f t="shared" si="358"/>
        <v>2.3333333333333335</v>
      </c>
      <c r="R670" s="40">
        <v>0.85</v>
      </c>
      <c r="S670" s="334">
        <f t="shared" si="359"/>
        <v>1.9833333333333334</v>
      </c>
      <c r="T670" s="31">
        <f>VLOOKUP(A670,'Ansvar kurs'!$A$1:$C$1010,2,FALSE)</f>
        <v>5740</v>
      </c>
      <c r="U670" s="31" t="str">
        <f>VLOOKUP(T670,Orgenheter!$A$1:$C$165,2,FALSE)</f>
        <v>NMD</v>
      </c>
      <c r="V670" s="31" t="str">
        <f>VLOOKUP(T670,Orgenheter!$A$1:$C$165,3,FALSE)</f>
        <v>TekNat</v>
      </c>
      <c r="W670" s="37" t="str">
        <f>VLOOKUP(D670,Program!$A$1:$B$34,2,FALSE)</f>
        <v>Fristående och övriga kurser</v>
      </c>
      <c r="X670" s="42">
        <f>VLOOKUP(A670,kurspris!$A$1:$Q$798,15,FALSE)</f>
        <v>19473</v>
      </c>
      <c r="Y670" s="42">
        <f>VLOOKUP(A670,kurspris!$A$1:$Q$798,16,FALSE)</f>
        <v>34806</v>
      </c>
      <c r="Z670" s="42">
        <f t="shared" si="360"/>
        <v>114468.90000000001</v>
      </c>
      <c r="AA670" s="42">
        <f>VLOOKUP(A670,kurspris!$A$1:$Q$798,17,FALSE)</f>
        <v>21800</v>
      </c>
      <c r="AB670" s="42">
        <f t="shared" si="361"/>
        <v>50866.666666666672</v>
      </c>
      <c r="AC670" s="42">
        <f t="shared" si="362"/>
        <v>165335.56666666668</v>
      </c>
      <c r="AD670" s="31">
        <f>VLOOKUP($A670,kurspris!$A$1:$Q$835,3,FALSE)</f>
        <v>0</v>
      </c>
      <c r="AE670" s="31">
        <f>VLOOKUP($A670,kurspris!$A$1:$Q$835,4,FALSE)</f>
        <v>0</v>
      </c>
      <c r="AF670" s="31">
        <f>VLOOKUP($A670,kurspris!$A$1:$Q$835,5,FALSE)</f>
        <v>0</v>
      </c>
      <c r="AG670" s="31">
        <f>VLOOKUP($A670,kurspris!$A$1:$Q$835,6,FALSE)</f>
        <v>0</v>
      </c>
      <c r="AH670" s="31">
        <f>VLOOKUP($A670,kurspris!$A$1:$Q$835,7,FALSE)</f>
        <v>0</v>
      </c>
      <c r="AI670" s="31">
        <f>VLOOKUP($A670,kurspris!$A$1:$Q$835,8,FALSE)</f>
        <v>1</v>
      </c>
      <c r="AJ670" s="31">
        <f>VLOOKUP($A670,kurspris!$A$1:$Q$835,9,FALSE)</f>
        <v>0</v>
      </c>
      <c r="AK670" s="31">
        <f>VLOOKUP($A670,kurspris!$A$1:$Q$835,10,FALSE)</f>
        <v>0</v>
      </c>
      <c r="AL670" s="31">
        <f>VLOOKUP($A670,kurspris!$A$1:$Q$835,11,FALSE)</f>
        <v>0</v>
      </c>
      <c r="AM670" s="31">
        <f>VLOOKUP($A670,kurspris!$A$1:$Q$835,12,FALSE)</f>
        <v>0</v>
      </c>
      <c r="AN670" s="31">
        <f>VLOOKUP($A670,kurspris!$A$1:$Q$835,13,FALSE)</f>
        <v>0</v>
      </c>
      <c r="AO670" s="31">
        <f>VLOOKUP($A670,kurspris!$A$1:$Q$835,14,FALSE)</f>
        <v>0</v>
      </c>
      <c r="AP670" s="39" t="s">
        <v>1631</v>
      </c>
      <c r="AQ670" s="39" t="s">
        <v>2094</v>
      </c>
      <c r="AR670" s="31">
        <f t="shared" si="363"/>
        <v>0</v>
      </c>
      <c r="AS670" s="255">
        <f t="shared" si="364"/>
        <v>0</v>
      </c>
      <c r="AT670" s="31">
        <f t="shared" si="365"/>
        <v>0</v>
      </c>
      <c r="AU670" s="255">
        <f t="shared" si="366"/>
        <v>0</v>
      </c>
      <c r="AV670" s="31">
        <f t="shared" si="367"/>
        <v>0</v>
      </c>
      <c r="AW670" s="31">
        <f t="shared" si="368"/>
        <v>0</v>
      </c>
      <c r="AX670" s="31">
        <f t="shared" si="369"/>
        <v>0</v>
      </c>
      <c r="AY670" s="255">
        <f t="shared" si="370"/>
        <v>0</v>
      </c>
      <c r="AZ670" s="232">
        <f t="shared" si="371"/>
        <v>0</v>
      </c>
      <c r="BA670" s="255">
        <f t="shared" si="372"/>
        <v>0</v>
      </c>
      <c r="BB670" s="31">
        <f t="shared" si="373"/>
        <v>2.3333333333333335</v>
      </c>
      <c r="BC670" s="255">
        <f t="shared" si="374"/>
        <v>1.9833333333333334</v>
      </c>
      <c r="BD670" s="31">
        <f t="shared" si="375"/>
        <v>0</v>
      </c>
      <c r="BE670" s="255">
        <f t="shared" si="376"/>
        <v>0</v>
      </c>
      <c r="BF670" s="31">
        <f t="shared" si="377"/>
        <v>0</v>
      </c>
      <c r="BG670" s="255">
        <f t="shared" si="378"/>
        <v>0</v>
      </c>
      <c r="BH670" s="31">
        <f t="shared" si="379"/>
        <v>0</v>
      </c>
      <c r="BI670" s="255">
        <f t="shared" si="380"/>
        <v>0</v>
      </c>
      <c r="BJ670" s="31">
        <f t="shared" si="381"/>
        <v>0</v>
      </c>
      <c r="BK670" s="31">
        <f t="shared" si="382"/>
        <v>0</v>
      </c>
      <c r="BL670" s="255">
        <f t="shared" si="383"/>
        <v>0</v>
      </c>
      <c r="BM670" s="31">
        <f t="shared" si="384"/>
        <v>0</v>
      </c>
      <c r="BN670" s="255">
        <f t="shared" si="385"/>
        <v>0</v>
      </c>
    </row>
    <row r="671" spans="1:66" x14ac:dyDescent="0.25">
      <c r="A671" s="159" t="s">
        <v>1515</v>
      </c>
      <c r="B671" s="186" t="str">
        <f>VLOOKUP(A671,kurspris!$A$1:$B$877,2,FALSE)</f>
        <v>Att undervisa i fritidshem (VFU)</v>
      </c>
      <c r="C671" s="37"/>
      <c r="D671" s="31" t="s">
        <v>485</v>
      </c>
      <c r="E671" s="31" t="s">
        <v>1788</v>
      </c>
      <c r="F671" s="59" t="s">
        <v>1931</v>
      </c>
      <c r="G671" s="31" t="s">
        <v>2290</v>
      </c>
      <c r="L671" s="31">
        <v>100</v>
      </c>
      <c r="M671" s="31">
        <v>7.5</v>
      </c>
      <c r="P671" s="31">
        <v>26</v>
      </c>
      <c r="Q671" s="232">
        <f t="shared" si="358"/>
        <v>3.25</v>
      </c>
      <c r="R671" s="40">
        <v>0.85</v>
      </c>
      <c r="S671" s="334">
        <f t="shared" si="359"/>
        <v>2.7624999999999997</v>
      </c>
      <c r="T671" s="31">
        <f>VLOOKUP(A671,'Ansvar kurs'!$A$1:$C$1010,2,FALSE)</f>
        <v>2193</v>
      </c>
      <c r="U671" s="31" t="str">
        <f>VLOOKUP(T671,Orgenheter!$A$1:$C$165,2,FALSE)</f>
        <v xml:space="preserve">TUV </v>
      </c>
      <c r="V671" s="31" t="str">
        <f>VLOOKUP(T671,Orgenheter!$A$1:$C$165,3,FALSE)</f>
        <v>Sam</v>
      </c>
      <c r="W671" s="37" t="str">
        <f>VLOOKUP(D671,Program!$A$1:$B$34,2,FALSE)</f>
        <v>Grundlärarprogrammet - fritidshem</v>
      </c>
      <c r="X671" s="42">
        <f>VLOOKUP(A671,kurspris!$A$1:$Q$798,15,FALSE)</f>
        <v>21634</v>
      </c>
      <c r="Y671" s="42">
        <f>VLOOKUP(A671,kurspris!$A$1:$Q$798,16,FALSE)</f>
        <v>26986</v>
      </c>
      <c r="Z671" s="42">
        <f t="shared" si="360"/>
        <v>144859.32500000001</v>
      </c>
      <c r="AA671" s="42">
        <f>VLOOKUP(A671,kurspris!$A$1:$Q$798,17,FALSE)</f>
        <v>3400</v>
      </c>
      <c r="AB671" s="42">
        <f t="shared" si="361"/>
        <v>11050</v>
      </c>
      <c r="AC671" s="42">
        <f t="shared" si="362"/>
        <v>155909.32500000001</v>
      </c>
      <c r="AD671" s="31">
        <f>VLOOKUP($A671,kurspris!$A$1:$Q$835,3,FALSE)</f>
        <v>0</v>
      </c>
      <c r="AE671" s="31">
        <f>VLOOKUP($A671,kurspris!$A$1:$Q$835,4,FALSE)</f>
        <v>0</v>
      </c>
      <c r="AF671" s="31">
        <f>VLOOKUP($A671,kurspris!$A$1:$Q$835,5,FALSE)</f>
        <v>0</v>
      </c>
      <c r="AG671" s="31">
        <f>VLOOKUP($A671,kurspris!$A$1:$Q$835,6,FALSE)</f>
        <v>0</v>
      </c>
      <c r="AH671" s="31">
        <f>VLOOKUP($A671,kurspris!$A$1:$Q$835,7,FALSE)</f>
        <v>0</v>
      </c>
      <c r="AI671" s="31">
        <f>VLOOKUP($A671,kurspris!$A$1:$Q$835,8,FALSE)</f>
        <v>0</v>
      </c>
      <c r="AJ671" s="31">
        <f>VLOOKUP($A671,kurspris!$A$1:$Q$835,9,FALSE)</f>
        <v>0</v>
      </c>
      <c r="AK671" s="31">
        <f>VLOOKUP($A671,kurspris!$A$1:$Q$835,10,FALSE)</f>
        <v>0</v>
      </c>
      <c r="AL671" s="31">
        <f>VLOOKUP($A671,kurspris!$A$1:$Q$835,11,FALSE)</f>
        <v>1</v>
      </c>
      <c r="AM671" s="31">
        <f>VLOOKUP($A671,kurspris!$A$1:$Q$835,12,FALSE)</f>
        <v>0</v>
      </c>
      <c r="AN671" s="31">
        <f>VLOOKUP($A671,kurspris!$A$1:$Q$835,13,FALSE)</f>
        <v>0</v>
      </c>
      <c r="AO671" s="31">
        <f>VLOOKUP($A671,kurspris!$A$1:$Q$835,14,FALSE)</f>
        <v>0</v>
      </c>
      <c r="AP671" s="39" t="s">
        <v>2326</v>
      </c>
      <c r="AQ671"/>
      <c r="AR671" s="31">
        <f t="shared" si="363"/>
        <v>0</v>
      </c>
      <c r="AS671" s="255">
        <f t="shared" si="364"/>
        <v>0</v>
      </c>
      <c r="AT671" s="31">
        <f t="shared" si="365"/>
        <v>0</v>
      </c>
      <c r="AU671" s="255">
        <f t="shared" si="366"/>
        <v>0</v>
      </c>
      <c r="AV671" s="31">
        <f t="shared" si="367"/>
        <v>0</v>
      </c>
      <c r="AW671" s="31">
        <f t="shared" si="368"/>
        <v>0</v>
      </c>
      <c r="AX671" s="31">
        <f t="shared" si="369"/>
        <v>0</v>
      </c>
      <c r="AY671" s="255">
        <f t="shared" si="370"/>
        <v>0</v>
      </c>
      <c r="AZ671" s="232">
        <f t="shared" si="371"/>
        <v>0</v>
      </c>
      <c r="BA671" s="255">
        <f t="shared" si="372"/>
        <v>0</v>
      </c>
      <c r="BB671" s="31">
        <f t="shared" si="373"/>
        <v>0</v>
      </c>
      <c r="BC671" s="255">
        <f t="shared" si="374"/>
        <v>0</v>
      </c>
      <c r="BD671" s="31">
        <f t="shared" si="375"/>
        <v>0</v>
      </c>
      <c r="BE671" s="255">
        <f t="shared" si="376"/>
        <v>0</v>
      </c>
      <c r="BF671" s="31">
        <f t="shared" si="377"/>
        <v>0</v>
      </c>
      <c r="BG671" s="255">
        <f t="shared" si="378"/>
        <v>0</v>
      </c>
      <c r="BH671" s="31">
        <f t="shared" si="379"/>
        <v>3.25</v>
      </c>
      <c r="BI671" s="255">
        <f t="shared" si="380"/>
        <v>2.7624999999999997</v>
      </c>
      <c r="BJ671" s="31">
        <f t="shared" si="381"/>
        <v>0</v>
      </c>
      <c r="BK671" s="31">
        <f t="shared" si="382"/>
        <v>0</v>
      </c>
      <c r="BL671" s="255">
        <f t="shared" si="383"/>
        <v>0</v>
      </c>
      <c r="BM671" s="31">
        <f t="shared" si="384"/>
        <v>0</v>
      </c>
      <c r="BN671" s="255">
        <f t="shared" si="385"/>
        <v>0</v>
      </c>
    </row>
    <row r="672" spans="1:66" x14ac:dyDescent="0.25">
      <c r="A672" s="159" t="s">
        <v>1927</v>
      </c>
      <c r="B672" s="186" t="str">
        <f>VLOOKUP(A672,kurspris!$A$1:$B$877,2,FALSE)</f>
        <v>Handledarutbildning för VFU-handledare, handledningssamtal</v>
      </c>
      <c r="C672" s="37"/>
      <c r="D672" s="59" t="s">
        <v>117</v>
      </c>
      <c r="F672" s="59" t="s">
        <v>1930</v>
      </c>
      <c r="H672" s="31" t="s">
        <v>1910</v>
      </c>
      <c r="I672" s="31" t="s">
        <v>628</v>
      </c>
      <c r="L672" s="31">
        <v>25</v>
      </c>
      <c r="M672" s="376">
        <v>4</v>
      </c>
      <c r="P672" s="31">
        <v>35</v>
      </c>
      <c r="Q672" s="232">
        <f t="shared" si="358"/>
        <v>2.3333333333333335</v>
      </c>
      <c r="R672" s="40">
        <v>0.85</v>
      </c>
      <c r="S672" s="334">
        <f t="shared" si="359"/>
        <v>1.9833333333333334</v>
      </c>
      <c r="T672" s="31">
        <f>VLOOKUP(A672,'Ansvar kurs'!$A$1:$C$1010,2,FALSE)</f>
        <v>2193</v>
      </c>
      <c r="U672" s="31" t="str">
        <f>VLOOKUP(T672,Orgenheter!$A$1:$C$165,2,FALSE)</f>
        <v xml:space="preserve">TUV </v>
      </c>
      <c r="V672" s="31" t="str">
        <f>VLOOKUP(T672,Orgenheter!$A$1:$C$165,3,FALSE)</f>
        <v>Sam</v>
      </c>
      <c r="W672" s="37" t="str">
        <f>VLOOKUP(D672,Program!$A$1:$B$34,2,FALSE)</f>
        <v>Fristående och övriga kurser</v>
      </c>
      <c r="X672" s="42">
        <f>VLOOKUP(A672,kurspris!$A$1:$Q$798,15,FALSE)</f>
        <v>18405</v>
      </c>
      <c r="Y672" s="42">
        <f>VLOOKUP(A672,kurspris!$A$1:$Q$798,16,FALSE)</f>
        <v>15773</v>
      </c>
      <c r="Z672" s="42">
        <f t="shared" si="360"/>
        <v>74228.116666666669</v>
      </c>
      <c r="AA672" s="42">
        <f>VLOOKUP(A672,kurspris!$A$1:$Q$798,17,FALSE)</f>
        <v>5800</v>
      </c>
      <c r="AB672" s="42">
        <f t="shared" si="361"/>
        <v>13533.333333333334</v>
      </c>
      <c r="AC672" s="42">
        <f t="shared" si="362"/>
        <v>87761.45</v>
      </c>
      <c r="AD672" s="31">
        <f>VLOOKUP($A672,kurspris!$A$1:$Q$835,3,FALSE)</f>
        <v>0</v>
      </c>
      <c r="AE672" s="31">
        <f>VLOOKUP($A672,kurspris!$A$1:$Q$835,4,FALSE)</f>
        <v>0</v>
      </c>
      <c r="AF672" s="31">
        <f>VLOOKUP($A672,kurspris!$A$1:$Q$835,5,FALSE)</f>
        <v>0</v>
      </c>
      <c r="AG672" s="31">
        <f>VLOOKUP($A672,kurspris!$A$1:$Q$835,6,FALSE)</f>
        <v>0</v>
      </c>
      <c r="AH672" s="31">
        <f>VLOOKUP($A672,kurspris!$A$1:$Q$835,7,FALSE)</f>
        <v>0</v>
      </c>
      <c r="AI672" s="31">
        <f>VLOOKUP($A672,kurspris!$A$1:$Q$835,8,FALSE)</f>
        <v>0</v>
      </c>
      <c r="AJ672" s="31">
        <f>VLOOKUP($A672,kurspris!$A$1:$Q$835,9,FALSE)</f>
        <v>1</v>
      </c>
      <c r="AK672" s="31">
        <f>VLOOKUP($A672,kurspris!$A$1:$Q$835,10,FALSE)</f>
        <v>0</v>
      </c>
      <c r="AL672" s="31">
        <f>VLOOKUP($A672,kurspris!$A$1:$Q$835,11,FALSE)</f>
        <v>0</v>
      </c>
      <c r="AM672" s="31">
        <f>VLOOKUP($A672,kurspris!$A$1:$Q$835,12,FALSE)</f>
        <v>0</v>
      </c>
      <c r="AN672" s="31">
        <f>VLOOKUP($A672,kurspris!$A$1:$Q$835,13,FALSE)</f>
        <v>0</v>
      </c>
      <c r="AO672" s="31">
        <f>VLOOKUP($A672,kurspris!$A$1:$Q$835,14,FALSE)</f>
        <v>0</v>
      </c>
      <c r="AP672" s="39" t="s">
        <v>2232</v>
      </c>
      <c r="AQ672" s="39" t="s">
        <v>2094</v>
      </c>
      <c r="AR672" s="31">
        <f t="shared" si="363"/>
        <v>0</v>
      </c>
      <c r="AS672" s="255">
        <f t="shared" si="364"/>
        <v>0</v>
      </c>
      <c r="AT672" s="31">
        <f t="shared" si="365"/>
        <v>0</v>
      </c>
      <c r="AU672" s="255">
        <f t="shared" si="366"/>
        <v>0</v>
      </c>
      <c r="AV672" s="31">
        <f t="shared" si="367"/>
        <v>0</v>
      </c>
      <c r="AW672" s="31">
        <f t="shared" si="368"/>
        <v>0</v>
      </c>
      <c r="AX672" s="31">
        <f t="shared" si="369"/>
        <v>0</v>
      </c>
      <c r="AY672" s="255">
        <f t="shared" si="370"/>
        <v>0</v>
      </c>
      <c r="AZ672" s="232">
        <f t="shared" si="371"/>
        <v>0</v>
      </c>
      <c r="BA672" s="255">
        <f t="shared" si="372"/>
        <v>0</v>
      </c>
      <c r="BB672" s="31">
        <f t="shared" si="373"/>
        <v>0</v>
      </c>
      <c r="BC672" s="255">
        <f t="shared" si="374"/>
        <v>0</v>
      </c>
      <c r="BD672" s="31">
        <f t="shared" si="375"/>
        <v>2.3333333333333335</v>
      </c>
      <c r="BE672" s="255">
        <f t="shared" si="376"/>
        <v>1.9833333333333334</v>
      </c>
      <c r="BF672" s="31">
        <f t="shared" si="377"/>
        <v>0</v>
      </c>
      <c r="BG672" s="255">
        <f t="shared" si="378"/>
        <v>0</v>
      </c>
      <c r="BH672" s="31">
        <f t="shared" si="379"/>
        <v>0</v>
      </c>
      <c r="BI672" s="255">
        <f t="shared" si="380"/>
        <v>0</v>
      </c>
      <c r="BJ672" s="31">
        <f t="shared" si="381"/>
        <v>0</v>
      </c>
      <c r="BK672" s="31">
        <f t="shared" si="382"/>
        <v>0</v>
      </c>
      <c r="BL672" s="255">
        <f t="shared" si="383"/>
        <v>0</v>
      </c>
      <c r="BM672" s="31">
        <f t="shared" si="384"/>
        <v>0</v>
      </c>
      <c r="BN672" s="255">
        <f t="shared" si="385"/>
        <v>0</v>
      </c>
    </row>
    <row r="673" spans="1:66" x14ac:dyDescent="0.25">
      <c r="A673" s="159" t="s">
        <v>1927</v>
      </c>
      <c r="B673" s="186" t="str">
        <f>VLOOKUP(A673,kurspris!$A$1:$B$877,2,FALSE)</f>
        <v>Handledarutbildning för VFU-handledare, handledningssamtal</v>
      </c>
      <c r="C673" s="37"/>
      <c r="D673" s="59" t="s">
        <v>117</v>
      </c>
      <c r="F673" s="59" t="s">
        <v>1931</v>
      </c>
      <c r="H673" s="31" t="s">
        <v>1910</v>
      </c>
      <c r="I673" s="31" t="s">
        <v>628</v>
      </c>
      <c r="L673" s="31">
        <v>25</v>
      </c>
      <c r="M673" s="376">
        <v>4</v>
      </c>
      <c r="P673" s="31">
        <v>40</v>
      </c>
      <c r="Q673" s="232">
        <f t="shared" si="358"/>
        <v>2.6666666666666665</v>
      </c>
      <c r="R673" s="40">
        <v>0.85</v>
      </c>
      <c r="S673" s="334">
        <f t="shared" si="359"/>
        <v>2.2666666666666666</v>
      </c>
      <c r="T673" s="31">
        <f>VLOOKUP(A673,'Ansvar kurs'!$A$1:$C$1010,2,FALSE)</f>
        <v>2193</v>
      </c>
      <c r="U673" s="31" t="str">
        <f>VLOOKUP(T673,Orgenheter!$A$1:$C$165,2,FALSE)</f>
        <v xml:space="preserve">TUV </v>
      </c>
      <c r="V673" s="31" t="str">
        <f>VLOOKUP(T673,Orgenheter!$A$1:$C$165,3,FALSE)</f>
        <v>Sam</v>
      </c>
      <c r="W673" s="37" t="str">
        <f>VLOOKUP(D673,Program!$A$1:$B$34,2,FALSE)</f>
        <v>Fristående och övriga kurser</v>
      </c>
      <c r="X673" s="42">
        <f>VLOOKUP(A673,kurspris!$A$1:$Q$798,15,FALSE)</f>
        <v>18405</v>
      </c>
      <c r="Y673" s="42">
        <f>VLOOKUP(A673,kurspris!$A$1:$Q$798,16,FALSE)</f>
        <v>15773</v>
      </c>
      <c r="Z673" s="42">
        <f t="shared" si="360"/>
        <v>84832.133333333331</v>
      </c>
      <c r="AA673" s="42">
        <f>VLOOKUP(A673,kurspris!$A$1:$Q$798,17,FALSE)</f>
        <v>5800</v>
      </c>
      <c r="AB673" s="42">
        <f t="shared" si="361"/>
        <v>15466.666666666666</v>
      </c>
      <c r="AC673" s="42">
        <f t="shared" si="362"/>
        <v>100298.8</v>
      </c>
      <c r="AD673" s="31">
        <f>VLOOKUP($A673,kurspris!$A$1:$Q$835,3,FALSE)</f>
        <v>0</v>
      </c>
      <c r="AE673" s="31">
        <f>VLOOKUP($A673,kurspris!$A$1:$Q$835,4,FALSE)</f>
        <v>0</v>
      </c>
      <c r="AF673" s="31">
        <f>VLOOKUP($A673,kurspris!$A$1:$Q$835,5,FALSE)</f>
        <v>0</v>
      </c>
      <c r="AG673" s="31">
        <f>VLOOKUP($A673,kurspris!$A$1:$Q$835,6,FALSE)</f>
        <v>0</v>
      </c>
      <c r="AH673" s="31">
        <f>VLOOKUP($A673,kurspris!$A$1:$Q$835,7,FALSE)</f>
        <v>0</v>
      </c>
      <c r="AI673" s="31">
        <f>VLOOKUP($A673,kurspris!$A$1:$Q$835,8,FALSE)</f>
        <v>0</v>
      </c>
      <c r="AJ673" s="31">
        <f>VLOOKUP($A673,kurspris!$A$1:$Q$835,9,FALSE)</f>
        <v>1</v>
      </c>
      <c r="AK673" s="31">
        <f>VLOOKUP($A673,kurspris!$A$1:$Q$835,10,FALSE)</f>
        <v>0</v>
      </c>
      <c r="AL673" s="31">
        <f>VLOOKUP($A673,kurspris!$A$1:$Q$835,11,FALSE)</f>
        <v>0</v>
      </c>
      <c r="AM673" s="31">
        <f>VLOOKUP($A673,kurspris!$A$1:$Q$835,12,FALSE)</f>
        <v>0</v>
      </c>
      <c r="AN673" s="31">
        <f>VLOOKUP($A673,kurspris!$A$1:$Q$835,13,FALSE)</f>
        <v>0</v>
      </c>
      <c r="AO673" s="31">
        <f>VLOOKUP($A673,kurspris!$A$1:$Q$835,14,FALSE)</f>
        <v>0</v>
      </c>
      <c r="AP673" s="39" t="s">
        <v>1631</v>
      </c>
      <c r="AQ673" s="39" t="s">
        <v>2094</v>
      </c>
      <c r="AR673" s="31">
        <f t="shared" si="363"/>
        <v>0</v>
      </c>
      <c r="AS673" s="255">
        <f t="shared" si="364"/>
        <v>0</v>
      </c>
      <c r="AT673" s="31">
        <f t="shared" si="365"/>
        <v>0</v>
      </c>
      <c r="AU673" s="255">
        <f t="shared" si="366"/>
        <v>0</v>
      </c>
      <c r="AV673" s="31">
        <f t="shared" si="367"/>
        <v>0</v>
      </c>
      <c r="AW673" s="31">
        <f t="shared" si="368"/>
        <v>0</v>
      </c>
      <c r="AX673" s="31">
        <f t="shared" si="369"/>
        <v>0</v>
      </c>
      <c r="AY673" s="255">
        <f t="shared" si="370"/>
        <v>0</v>
      </c>
      <c r="AZ673" s="232">
        <f t="shared" si="371"/>
        <v>0</v>
      </c>
      <c r="BA673" s="255">
        <f t="shared" si="372"/>
        <v>0</v>
      </c>
      <c r="BB673" s="31">
        <f t="shared" si="373"/>
        <v>0</v>
      </c>
      <c r="BC673" s="255">
        <f t="shared" si="374"/>
        <v>0</v>
      </c>
      <c r="BD673" s="31">
        <f t="shared" si="375"/>
        <v>2.6666666666666665</v>
      </c>
      <c r="BE673" s="255">
        <f t="shared" si="376"/>
        <v>2.2666666666666666</v>
      </c>
      <c r="BF673" s="31">
        <f t="shared" si="377"/>
        <v>0</v>
      </c>
      <c r="BG673" s="255">
        <f t="shared" si="378"/>
        <v>0</v>
      </c>
      <c r="BH673" s="31">
        <f t="shared" si="379"/>
        <v>0</v>
      </c>
      <c r="BI673" s="255">
        <f t="shared" si="380"/>
        <v>0</v>
      </c>
      <c r="BJ673" s="31">
        <f t="shared" si="381"/>
        <v>0</v>
      </c>
      <c r="BK673" s="31">
        <f t="shared" si="382"/>
        <v>0</v>
      </c>
      <c r="BL673" s="255">
        <f t="shared" si="383"/>
        <v>0</v>
      </c>
      <c r="BM673" s="31">
        <f t="shared" si="384"/>
        <v>0</v>
      </c>
      <c r="BN673" s="255">
        <f t="shared" si="385"/>
        <v>0</v>
      </c>
    </row>
    <row r="674" spans="1:66" x14ac:dyDescent="0.25">
      <c r="A674" t="s">
        <v>1481</v>
      </c>
      <c r="B674" s="186" t="str">
        <f>VLOOKUP(A674,kurspris!$A$1:$B$877,2,FALSE)</f>
        <v>Verksamhetsförlagd utbildning för yrkeslärare (VFU)</v>
      </c>
      <c r="C674"/>
      <c r="D674" t="s">
        <v>627</v>
      </c>
      <c r="E674" t="s">
        <v>1976</v>
      </c>
      <c r="F674" s="39" t="s">
        <v>1930</v>
      </c>
      <c r="G674" t="s">
        <v>2032</v>
      </c>
      <c r="H674" t="s">
        <v>1910</v>
      </c>
      <c r="I674"/>
      <c r="J674"/>
      <c r="K674"/>
      <c r="L674">
        <v>50</v>
      </c>
      <c r="M674" s="295">
        <v>15</v>
      </c>
      <c r="N674"/>
      <c r="O674"/>
      <c r="P674" s="31">
        <v>0</v>
      </c>
      <c r="Q674" s="232">
        <f t="shared" si="358"/>
        <v>0</v>
      </c>
      <c r="R674" s="40">
        <v>0.85</v>
      </c>
      <c r="S674" s="334">
        <f t="shared" si="359"/>
        <v>0</v>
      </c>
      <c r="T674" s="31">
        <f>VLOOKUP(A674,'Ansvar kurs'!$A$1:$C$1010,2,FALSE)</f>
        <v>2180</v>
      </c>
      <c r="U674" s="31" t="str">
        <f>VLOOKUP(T674,Orgenheter!$A$1:$C$165,2,FALSE)</f>
        <v xml:space="preserve">Pedagogik                     </v>
      </c>
      <c r="V674" s="31" t="str">
        <f>VLOOKUP(T674,Orgenheter!$A$1:$C$165,3,FALSE)</f>
        <v>Sam</v>
      </c>
      <c r="W674" s="37" t="str">
        <f>VLOOKUP(D674,Program!$A$1:$B$34,2,FALSE)</f>
        <v>Yrkeslärarprogrammet</v>
      </c>
      <c r="X674" s="42">
        <f>VLOOKUP(A674,kurspris!$A$1:$Q$798,15,FALSE)</f>
        <v>21634</v>
      </c>
      <c r="Y674" s="42">
        <f>VLOOKUP(A674,kurspris!$A$1:$Q$798,16,FALSE)</f>
        <v>26986</v>
      </c>
      <c r="Z674" s="42">
        <f t="shared" si="360"/>
        <v>0</v>
      </c>
      <c r="AA674" s="42">
        <f>VLOOKUP(A674,kurspris!$A$1:$Q$798,17,FALSE)</f>
        <v>3400</v>
      </c>
      <c r="AB674" s="42">
        <f t="shared" si="361"/>
        <v>0</v>
      </c>
      <c r="AC674" s="42">
        <f t="shared" si="362"/>
        <v>0</v>
      </c>
      <c r="AD674" s="31">
        <f>VLOOKUP($A674,kurspris!$A$1:$Q$835,3,FALSE)</f>
        <v>0</v>
      </c>
      <c r="AE674" s="31">
        <f>VLOOKUP($A674,kurspris!$A$1:$Q$835,4,FALSE)</f>
        <v>0</v>
      </c>
      <c r="AF674" s="31">
        <f>VLOOKUP($A674,kurspris!$A$1:$Q$835,5,FALSE)</f>
        <v>0</v>
      </c>
      <c r="AG674" s="31">
        <f>VLOOKUP($A674,kurspris!$A$1:$Q$835,6,FALSE)</f>
        <v>0</v>
      </c>
      <c r="AH674" s="31">
        <f>VLOOKUP($A674,kurspris!$A$1:$Q$835,7,FALSE)</f>
        <v>0</v>
      </c>
      <c r="AI674" s="31">
        <f>VLOOKUP($A674,kurspris!$A$1:$Q$835,8,FALSE)</f>
        <v>0</v>
      </c>
      <c r="AJ674" s="31">
        <f>VLOOKUP($A674,kurspris!$A$1:$Q$835,9,FALSE)</f>
        <v>0</v>
      </c>
      <c r="AK674" s="31">
        <f>VLOOKUP($A674,kurspris!$A$1:$Q$835,10,FALSE)</f>
        <v>0</v>
      </c>
      <c r="AL674" s="31">
        <f>VLOOKUP($A674,kurspris!$A$1:$Q$835,11,FALSE)</f>
        <v>1</v>
      </c>
      <c r="AM674" s="31">
        <f>VLOOKUP($A674,kurspris!$A$1:$Q$835,12,FALSE)</f>
        <v>0</v>
      </c>
      <c r="AN674" s="31">
        <f>VLOOKUP($A674,kurspris!$A$1:$Q$835,13,FALSE)</f>
        <v>0</v>
      </c>
      <c r="AO674" s="31">
        <f>VLOOKUP($A674,kurspris!$A$1:$Q$835,14,FALSE)</f>
        <v>0</v>
      </c>
      <c r="AP674" s="39" t="s">
        <v>2204</v>
      </c>
      <c r="AQ674" s="39" t="s">
        <v>2037</v>
      </c>
      <c r="AR674" s="31">
        <f t="shared" si="363"/>
        <v>0</v>
      </c>
      <c r="AS674" s="255">
        <f t="shared" si="364"/>
        <v>0</v>
      </c>
      <c r="AT674" s="31">
        <f t="shared" si="365"/>
        <v>0</v>
      </c>
      <c r="AU674" s="255">
        <f t="shared" si="366"/>
        <v>0</v>
      </c>
      <c r="AV674" s="31">
        <f t="shared" si="367"/>
        <v>0</v>
      </c>
      <c r="AW674" s="31">
        <f t="shared" si="368"/>
        <v>0</v>
      </c>
      <c r="AX674" s="31">
        <f t="shared" si="369"/>
        <v>0</v>
      </c>
      <c r="AY674" s="255">
        <f t="shared" si="370"/>
        <v>0</v>
      </c>
      <c r="AZ674" s="232">
        <f t="shared" si="371"/>
        <v>0</v>
      </c>
      <c r="BA674" s="255">
        <f t="shared" si="372"/>
        <v>0</v>
      </c>
      <c r="BB674" s="31">
        <f t="shared" si="373"/>
        <v>0</v>
      </c>
      <c r="BC674" s="255">
        <f t="shared" si="374"/>
        <v>0</v>
      </c>
      <c r="BD674" s="31">
        <f t="shared" si="375"/>
        <v>0</v>
      </c>
      <c r="BE674" s="255">
        <f t="shared" si="376"/>
        <v>0</v>
      </c>
      <c r="BF674" s="31">
        <f t="shared" si="377"/>
        <v>0</v>
      </c>
      <c r="BG674" s="255">
        <f t="shared" si="378"/>
        <v>0</v>
      </c>
      <c r="BH674" s="31">
        <f t="shared" si="379"/>
        <v>0</v>
      </c>
      <c r="BI674" s="255">
        <f t="shared" si="380"/>
        <v>0</v>
      </c>
      <c r="BJ674" s="31">
        <f t="shared" si="381"/>
        <v>0</v>
      </c>
      <c r="BK674" s="31">
        <f t="shared" si="382"/>
        <v>0</v>
      </c>
      <c r="BL674" s="255">
        <f t="shared" si="383"/>
        <v>0</v>
      </c>
      <c r="BM674" s="31">
        <f t="shared" si="384"/>
        <v>0</v>
      </c>
      <c r="BN674" s="255">
        <f t="shared" si="385"/>
        <v>0</v>
      </c>
    </row>
    <row r="675" spans="1:66" x14ac:dyDescent="0.25">
      <c r="A675" s="18" t="s">
        <v>1481</v>
      </c>
      <c r="B675" s="186" t="str">
        <f>VLOOKUP(A675,kurspris!$A$1:$B$877,2,FALSE)</f>
        <v>Verksamhetsförlagd utbildning för yrkeslärare (VFU)</v>
      </c>
      <c r="C675" s="37"/>
      <c r="D675" s="31" t="s">
        <v>627</v>
      </c>
      <c r="E675" s="31" t="s">
        <v>1976</v>
      </c>
      <c r="F675" s="59" t="s">
        <v>1931</v>
      </c>
      <c r="G675" s="295" t="s">
        <v>2299</v>
      </c>
      <c r="L675" s="31">
        <v>50</v>
      </c>
      <c r="M675" s="31">
        <v>15</v>
      </c>
      <c r="P675" s="31">
        <v>1</v>
      </c>
      <c r="Q675" s="232">
        <f t="shared" si="358"/>
        <v>0.25</v>
      </c>
      <c r="R675" s="40">
        <v>0.85</v>
      </c>
      <c r="S675" s="334">
        <f t="shared" si="359"/>
        <v>0.21249999999999999</v>
      </c>
      <c r="T675" s="31">
        <f>VLOOKUP(A675,'Ansvar kurs'!$A$1:$C$1010,2,FALSE)</f>
        <v>2180</v>
      </c>
      <c r="U675" s="31" t="str">
        <f>VLOOKUP(T675,Orgenheter!$A$1:$C$165,2,FALSE)</f>
        <v xml:space="preserve">Pedagogik                     </v>
      </c>
      <c r="V675" s="31" t="str">
        <f>VLOOKUP(T675,Orgenheter!$A$1:$C$165,3,FALSE)</f>
        <v>Sam</v>
      </c>
      <c r="W675" s="37" t="str">
        <f>VLOOKUP(D675,Program!$A$1:$B$34,2,FALSE)</f>
        <v>Yrkeslärarprogrammet</v>
      </c>
      <c r="X675" s="42">
        <f>VLOOKUP(A675,kurspris!$A$1:$Q$798,15,FALSE)</f>
        <v>21634</v>
      </c>
      <c r="Y675" s="42">
        <f>VLOOKUP(A675,kurspris!$A$1:$Q$798,16,FALSE)</f>
        <v>26986</v>
      </c>
      <c r="Z675" s="42">
        <f t="shared" si="360"/>
        <v>11143.025</v>
      </c>
      <c r="AA675" s="42">
        <f>VLOOKUP(A675,kurspris!$A$1:$Q$798,17,FALSE)</f>
        <v>3400</v>
      </c>
      <c r="AB675" s="42">
        <f t="shared" si="361"/>
        <v>850</v>
      </c>
      <c r="AC675" s="42">
        <f t="shared" si="362"/>
        <v>11993.025</v>
      </c>
      <c r="AD675" s="31">
        <f>VLOOKUP($A675,kurspris!$A$1:$Q$835,3,FALSE)</f>
        <v>0</v>
      </c>
      <c r="AE675" s="31">
        <f>VLOOKUP($A675,kurspris!$A$1:$Q$835,4,FALSE)</f>
        <v>0</v>
      </c>
      <c r="AF675" s="31">
        <f>VLOOKUP($A675,kurspris!$A$1:$Q$835,5,FALSE)</f>
        <v>0</v>
      </c>
      <c r="AG675" s="31">
        <f>VLOOKUP($A675,kurspris!$A$1:$Q$835,6,FALSE)</f>
        <v>0</v>
      </c>
      <c r="AH675" s="31">
        <f>VLOOKUP($A675,kurspris!$A$1:$Q$835,7,FALSE)</f>
        <v>0</v>
      </c>
      <c r="AI675" s="31">
        <f>VLOOKUP($A675,kurspris!$A$1:$Q$835,8,FALSE)</f>
        <v>0</v>
      </c>
      <c r="AJ675" s="31">
        <f>VLOOKUP($A675,kurspris!$A$1:$Q$835,9,FALSE)</f>
        <v>0</v>
      </c>
      <c r="AK675" s="31">
        <f>VLOOKUP($A675,kurspris!$A$1:$Q$835,10,FALSE)</f>
        <v>0</v>
      </c>
      <c r="AL675" s="31">
        <f>VLOOKUP($A675,kurspris!$A$1:$Q$835,11,FALSE)</f>
        <v>1</v>
      </c>
      <c r="AM675" s="31">
        <f>VLOOKUP($A675,kurspris!$A$1:$Q$835,12,FALSE)</f>
        <v>0</v>
      </c>
      <c r="AN675" s="31">
        <f>VLOOKUP($A675,kurspris!$A$1:$Q$835,13,FALSE)</f>
        <v>0</v>
      </c>
      <c r="AO675" s="31">
        <f>VLOOKUP($A675,kurspris!$A$1:$Q$835,14,FALSE)</f>
        <v>0</v>
      </c>
      <c r="AP675" s="39" t="s">
        <v>2326</v>
      </c>
      <c r="AQ675" t="s">
        <v>2037</v>
      </c>
      <c r="AR675" s="31">
        <f t="shared" si="363"/>
        <v>0</v>
      </c>
      <c r="AS675" s="255">
        <f t="shared" si="364"/>
        <v>0</v>
      </c>
      <c r="AT675" s="31">
        <f t="shared" si="365"/>
        <v>0</v>
      </c>
      <c r="AU675" s="255">
        <f t="shared" si="366"/>
        <v>0</v>
      </c>
      <c r="AV675" s="31">
        <f t="shared" si="367"/>
        <v>0</v>
      </c>
      <c r="AW675" s="31">
        <f t="shared" si="368"/>
        <v>0</v>
      </c>
      <c r="AX675" s="31">
        <f t="shared" si="369"/>
        <v>0</v>
      </c>
      <c r="AY675" s="255">
        <f t="shared" si="370"/>
        <v>0</v>
      </c>
      <c r="AZ675" s="232">
        <f t="shared" si="371"/>
        <v>0</v>
      </c>
      <c r="BA675" s="255">
        <f t="shared" si="372"/>
        <v>0</v>
      </c>
      <c r="BB675" s="31">
        <f t="shared" si="373"/>
        <v>0</v>
      </c>
      <c r="BC675" s="255">
        <f t="shared" si="374"/>
        <v>0</v>
      </c>
      <c r="BD675" s="31">
        <f t="shared" si="375"/>
        <v>0</v>
      </c>
      <c r="BE675" s="255">
        <f t="shared" si="376"/>
        <v>0</v>
      </c>
      <c r="BF675" s="31">
        <f t="shared" si="377"/>
        <v>0</v>
      </c>
      <c r="BG675" s="255">
        <f t="shared" si="378"/>
        <v>0</v>
      </c>
      <c r="BH675" s="31">
        <f t="shared" si="379"/>
        <v>0.25</v>
      </c>
      <c r="BI675" s="255">
        <f t="shared" si="380"/>
        <v>0.21249999999999999</v>
      </c>
      <c r="BJ675" s="31">
        <f t="shared" si="381"/>
        <v>0</v>
      </c>
      <c r="BK675" s="31">
        <f t="shared" si="382"/>
        <v>0</v>
      </c>
      <c r="BL675" s="255">
        <f t="shared" si="383"/>
        <v>0</v>
      </c>
      <c r="BM675" s="31">
        <f t="shared" si="384"/>
        <v>0</v>
      </c>
      <c r="BN675" s="255">
        <f t="shared" si="385"/>
        <v>0</v>
      </c>
    </row>
    <row r="676" spans="1:66" x14ac:dyDescent="0.25">
      <c r="A676" t="s">
        <v>1481</v>
      </c>
      <c r="B676" s="186" t="str">
        <f>VLOOKUP(A676,kurspris!$A$1:$B$877,2,FALSE)</f>
        <v>Verksamhetsförlagd utbildning för yrkeslärare (VFU)</v>
      </c>
      <c r="C676"/>
      <c r="D676" t="s">
        <v>627</v>
      </c>
      <c r="E676" t="s">
        <v>1973</v>
      </c>
      <c r="F676" s="39" t="s">
        <v>1930</v>
      </c>
      <c r="G676" t="s">
        <v>2032</v>
      </c>
      <c r="H676" t="s">
        <v>1910</v>
      </c>
      <c r="I676"/>
      <c r="J676"/>
      <c r="K676"/>
      <c r="L676">
        <v>50</v>
      </c>
      <c r="M676" s="295">
        <v>15</v>
      </c>
      <c r="N676"/>
      <c r="O676"/>
      <c r="P676" s="31">
        <v>12</v>
      </c>
      <c r="Q676" s="232">
        <f t="shared" si="358"/>
        <v>3</v>
      </c>
      <c r="R676" s="40">
        <v>0.85</v>
      </c>
      <c r="S676" s="334">
        <f t="shared" si="359"/>
        <v>2.5499999999999998</v>
      </c>
      <c r="T676" s="31">
        <f>VLOOKUP(A676,'Ansvar kurs'!$A$1:$C$1010,2,FALSE)</f>
        <v>2180</v>
      </c>
      <c r="U676" s="31" t="str">
        <f>VLOOKUP(T676,Orgenheter!$A$1:$C$165,2,FALSE)</f>
        <v xml:space="preserve">Pedagogik                     </v>
      </c>
      <c r="V676" s="31" t="str">
        <f>VLOOKUP(T676,Orgenheter!$A$1:$C$165,3,FALSE)</f>
        <v>Sam</v>
      </c>
      <c r="W676" s="37" t="str">
        <f>VLOOKUP(D676,Program!$A$1:$B$34,2,FALSE)</f>
        <v>Yrkeslärarprogrammet</v>
      </c>
      <c r="X676" s="42">
        <f>VLOOKUP(A676,kurspris!$A$1:$Q$798,15,FALSE)</f>
        <v>21634</v>
      </c>
      <c r="Y676" s="42">
        <f>VLOOKUP(A676,kurspris!$A$1:$Q$798,16,FALSE)</f>
        <v>26986</v>
      </c>
      <c r="Z676" s="42">
        <f t="shared" si="360"/>
        <v>133716.29999999999</v>
      </c>
      <c r="AA676" s="42">
        <f>VLOOKUP(A676,kurspris!$A$1:$Q$798,17,FALSE)</f>
        <v>3400</v>
      </c>
      <c r="AB676" s="42">
        <f t="shared" si="361"/>
        <v>10200</v>
      </c>
      <c r="AC676" s="42">
        <f t="shared" si="362"/>
        <v>143916.29999999999</v>
      </c>
      <c r="AD676" s="31">
        <f>VLOOKUP($A676,kurspris!$A$1:$Q$835,3,FALSE)</f>
        <v>0</v>
      </c>
      <c r="AE676" s="31">
        <f>VLOOKUP($A676,kurspris!$A$1:$Q$835,4,FALSE)</f>
        <v>0</v>
      </c>
      <c r="AF676" s="31">
        <f>VLOOKUP($A676,kurspris!$A$1:$Q$835,5,FALSE)</f>
        <v>0</v>
      </c>
      <c r="AG676" s="31">
        <f>VLOOKUP($A676,kurspris!$A$1:$Q$835,6,FALSE)</f>
        <v>0</v>
      </c>
      <c r="AH676" s="31">
        <f>VLOOKUP($A676,kurspris!$A$1:$Q$835,7,FALSE)</f>
        <v>0</v>
      </c>
      <c r="AI676" s="31">
        <f>VLOOKUP($A676,kurspris!$A$1:$Q$835,8,FALSE)</f>
        <v>0</v>
      </c>
      <c r="AJ676" s="31">
        <f>VLOOKUP($A676,kurspris!$A$1:$Q$835,9,FALSE)</f>
        <v>0</v>
      </c>
      <c r="AK676" s="31">
        <f>VLOOKUP($A676,kurspris!$A$1:$Q$835,10,FALSE)</f>
        <v>0</v>
      </c>
      <c r="AL676" s="31">
        <f>VLOOKUP($A676,kurspris!$A$1:$Q$835,11,FALSE)</f>
        <v>1</v>
      </c>
      <c r="AM676" s="31">
        <f>VLOOKUP($A676,kurspris!$A$1:$Q$835,12,FALSE)</f>
        <v>0</v>
      </c>
      <c r="AN676" s="31">
        <f>VLOOKUP($A676,kurspris!$A$1:$Q$835,13,FALSE)</f>
        <v>0</v>
      </c>
      <c r="AO676" s="31">
        <f>VLOOKUP($A676,kurspris!$A$1:$Q$835,14,FALSE)</f>
        <v>0</v>
      </c>
      <c r="AP676" s="39" t="s">
        <v>2204</v>
      </c>
      <c r="AQ676" s="39" t="s">
        <v>2037</v>
      </c>
      <c r="AR676" s="31">
        <f t="shared" si="363"/>
        <v>0</v>
      </c>
      <c r="AS676" s="255">
        <f t="shared" si="364"/>
        <v>0</v>
      </c>
      <c r="AT676" s="31">
        <f t="shared" si="365"/>
        <v>0</v>
      </c>
      <c r="AU676" s="255">
        <f t="shared" si="366"/>
        <v>0</v>
      </c>
      <c r="AV676" s="31">
        <f t="shared" si="367"/>
        <v>0</v>
      </c>
      <c r="AW676" s="31">
        <f t="shared" si="368"/>
        <v>0</v>
      </c>
      <c r="AX676" s="31">
        <f t="shared" si="369"/>
        <v>0</v>
      </c>
      <c r="AY676" s="255">
        <f t="shared" si="370"/>
        <v>0</v>
      </c>
      <c r="AZ676" s="232">
        <f t="shared" si="371"/>
        <v>0</v>
      </c>
      <c r="BA676" s="255">
        <f t="shared" si="372"/>
        <v>0</v>
      </c>
      <c r="BB676" s="31">
        <f t="shared" si="373"/>
        <v>0</v>
      </c>
      <c r="BC676" s="255">
        <f t="shared" si="374"/>
        <v>0</v>
      </c>
      <c r="BD676" s="31">
        <f t="shared" si="375"/>
        <v>0</v>
      </c>
      <c r="BE676" s="255">
        <f t="shared" si="376"/>
        <v>0</v>
      </c>
      <c r="BF676" s="31">
        <f t="shared" si="377"/>
        <v>0</v>
      </c>
      <c r="BG676" s="255">
        <f t="shared" si="378"/>
        <v>0</v>
      </c>
      <c r="BH676" s="31">
        <f t="shared" si="379"/>
        <v>3</v>
      </c>
      <c r="BI676" s="255">
        <f t="shared" si="380"/>
        <v>2.5499999999999998</v>
      </c>
      <c r="BJ676" s="31">
        <f t="shared" si="381"/>
        <v>0</v>
      </c>
      <c r="BK676" s="31">
        <f t="shared" si="382"/>
        <v>0</v>
      </c>
      <c r="BL676" s="255">
        <f t="shared" si="383"/>
        <v>0</v>
      </c>
      <c r="BM676" s="31">
        <f t="shared" si="384"/>
        <v>0</v>
      </c>
      <c r="BN676" s="255">
        <f t="shared" si="385"/>
        <v>0</v>
      </c>
    </row>
    <row r="677" spans="1:66" x14ac:dyDescent="0.25">
      <c r="A677" s="18" t="s">
        <v>1481</v>
      </c>
      <c r="B677" s="186" t="str">
        <f>VLOOKUP(A677,kurspris!$A$1:$B$877,2,FALSE)</f>
        <v>Verksamhetsförlagd utbildning för yrkeslärare (VFU)</v>
      </c>
      <c r="C677" s="37"/>
      <c r="D677" s="31" t="s">
        <v>627</v>
      </c>
      <c r="E677" s="31" t="s">
        <v>1609</v>
      </c>
      <c r="F677" s="59" t="s">
        <v>1931</v>
      </c>
      <c r="G677" s="295" t="s">
        <v>2299</v>
      </c>
      <c r="L677" s="31">
        <v>50</v>
      </c>
      <c r="M677" s="31">
        <v>15</v>
      </c>
      <c r="P677" s="31">
        <v>24</v>
      </c>
      <c r="Q677" s="232">
        <f t="shared" si="358"/>
        <v>6</v>
      </c>
      <c r="R677" s="40">
        <v>0.85</v>
      </c>
      <c r="S677" s="334">
        <f t="shared" si="359"/>
        <v>5.0999999999999996</v>
      </c>
      <c r="T677" s="31">
        <f>VLOOKUP(A677,'Ansvar kurs'!$A$1:$C$1010,2,FALSE)</f>
        <v>2180</v>
      </c>
      <c r="U677" s="31" t="str">
        <f>VLOOKUP(T677,Orgenheter!$A$1:$C$165,2,FALSE)</f>
        <v xml:space="preserve">Pedagogik                     </v>
      </c>
      <c r="V677" s="31" t="str">
        <f>VLOOKUP(T677,Orgenheter!$A$1:$C$165,3,FALSE)</f>
        <v>Sam</v>
      </c>
      <c r="W677" s="37" t="str">
        <f>VLOOKUP(D677,Program!$A$1:$B$34,2,FALSE)</f>
        <v>Yrkeslärarprogrammet</v>
      </c>
      <c r="X677" s="42">
        <f>VLOOKUP(A677,kurspris!$A$1:$Q$798,15,FALSE)</f>
        <v>21634</v>
      </c>
      <c r="Y677" s="42">
        <f>VLOOKUP(A677,kurspris!$A$1:$Q$798,16,FALSE)</f>
        <v>26986</v>
      </c>
      <c r="Z677" s="42">
        <f t="shared" si="360"/>
        <v>267432.59999999998</v>
      </c>
      <c r="AA677" s="42">
        <f>VLOOKUP(A677,kurspris!$A$1:$Q$798,17,FALSE)</f>
        <v>3400</v>
      </c>
      <c r="AB677" s="42">
        <f t="shared" si="361"/>
        <v>20400</v>
      </c>
      <c r="AC677" s="42">
        <f t="shared" si="362"/>
        <v>287832.59999999998</v>
      </c>
      <c r="AD677" s="31">
        <f>VLOOKUP($A677,kurspris!$A$1:$Q$835,3,FALSE)</f>
        <v>0</v>
      </c>
      <c r="AE677" s="31">
        <f>VLOOKUP($A677,kurspris!$A$1:$Q$835,4,FALSE)</f>
        <v>0</v>
      </c>
      <c r="AF677" s="31">
        <f>VLOOKUP($A677,kurspris!$A$1:$Q$835,5,FALSE)</f>
        <v>0</v>
      </c>
      <c r="AG677" s="31">
        <f>VLOOKUP($A677,kurspris!$A$1:$Q$835,6,FALSE)</f>
        <v>0</v>
      </c>
      <c r="AH677" s="31">
        <f>VLOOKUP($A677,kurspris!$A$1:$Q$835,7,FALSE)</f>
        <v>0</v>
      </c>
      <c r="AI677" s="31">
        <f>VLOOKUP($A677,kurspris!$A$1:$Q$835,8,FALSE)</f>
        <v>0</v>
      </c>
      <c r="AJ677" s="31">
        <f>VLOOKUP($A677,kurspris!$A$1:$Q$835,9,FALSE)</f>
        <v>0</v>
      </c>
      <c r="AK677" s="31">
        <f>VLOOKUP($A677,kurspris!$A$1:$Q$835,10,FALSE)</f>
        <v>0</v>
      </c>
      <c r="AL677" s="31">
        <f>VLOOKUP($A677,kurspris!$A$1:$Q$835,11,FALSE)</f>
        <v>1</v>
      </c>
      <c r="AM677" s="31">
        <f>VLOOKUP($A677,kurspris!$A$1:$Q$835,12,FALSE)</f>
        <v>0</v>
      </c>
      <c r="AN677" s="31">
        <f>VLOOKUP($A677,kurspris!$A$1:$Q$835,13,FALSE)</f>
        <v>0</v>
      </c>
      <c r="AO677" s="31">
        <f>VLOOKUP($A677,kurspris!$A$1:$Q$835,14,FALSE)</f>
        <v>0</v>
      </c>
      <c r="AP677" s="39" t="s">
        <v>2326</v>
      </c>
      <c r="AQ677" t="s">
        <v>2037</v>
      </c>
      <c r="AR677" s="31">
        <f t="shared" si="363"/>
        <v>0</v>
      </c>
      <c r="AS677" s="255">
        <f t="shared" si="364"/>
        <v>0</v>
      </c>
      <c r="AT677" s="31">
        <f t="shared" si="365"/>
        <v>0</v>
      </c>
      <c r="AU677" s="255">
        <f t="shared" si="366"/>
        <v>0</v>
      </c>
      <c r="AV677" s="31">
        <f t="shared" si="367"/>
        <v>0</v>
      </c>
      <c r="AW677" s="31">
        <f t="shared" si="368"/>
        <v>0</v>
      </c>
      <c r="AX677" s="31">
        <f t="shared" si="369"/>
        <v>0</v>
      </c>
      <c r="AY677" s="255">
        <f t="shared" si="370"/>
        <v>0</v>
      </c>
      <c r="AZ677" s="232">
        <f t="shared" si="371"/>
        <v>0</v>
      </c>
      <c r="BA677" s="255">
        <f t="shared" si="372"/>
        <v>0</v>
      </c>
      <c r="BB677" s="31">
        <f t="shared" si="373"/>
        <v>0</v>
      </c>
      <c r="BC677" s="255">
        <f t="shared" si="374"/>
        <v>0</v>
      </c>
      <c r="BD677" s="31">
        <f t="shared" si="375"/>
        <v>0</v>
      </c>
      <c r="BE677" s="255">
        <f t="shared" si="376"/>
        <v>0</v>
      </c>
      <c r="BF677" s="31">
        <f t="shared" si="377"/>
        <v>0</v>
      </c>
      <c r="BG677" s="255">
        <f t="shared" si="378"/>
        <v>0</v>
      </c>
      <c r="BH677" s="31">
        <f t="shared" si="379"/>
        <v>6</v>
      </c>
      <c r="BI677" s="255">
        <f t="shared" si="380"/>
        <v>5.0999999999999996</v>
      </c>
      <c r="BJ677" s="31">
        <f t="shared" si="381"/>
        <v>0</v>
      </c>
      <c r="BK677" s="31">
        <f t="shared" si="382"/>
        <v>0</v>
      </c>
      <c r="BL677" s="255">
        <f t="shared" si="383"/>
        <v>0</v>
      </c>
      <c r="BM677" s="31">
        <f t="shared" si="384"/>
        <v>0</v>
      </c>
      <c r="BN677" s="255">
        <f t="shared" si="385"/>
        <v>0</v>
      </c>
    </row>
    <row r="678" spans="1:66" x14ac:dyDescent="0.25">
      <c r="A678" s="18" t="s">
        <v>1481</v>
      </c>
      <c r="B678" s="186" t="str">
        <f>VLOOKUP(A678,kurspris!$A$1:$B$877,2,FALSE)</f>
        <v>Verksamhetsförlagd utbildning för yrkeslärare (VFU)</v>
      </c>
      <c r="C678" s="37"/>
      <c r="D678" s="31" t="s">
        <v>627</v>
      </c>
      <c r="E678" s="31" t="s">
        <v>1788</v>
      </c>
      <c r="F678" s="59" t="s">
        <v>1931</v>
      </c>
      <c r="G678" s="295" t="s">
        <v>2299</v>
      </c>
      <c r="L678" s="31">
        <v>50</v>
      </c>
      <c r="M678" s="31">
        <v>15</v>
      </c>
      <c r="P678" s="31">
        <v>1</v>
      </c>
      <c r="Q678" s="232">
        <f t="shared" si="358"/>
        <v>0.25</v>
      </c>
      <c r="R678" s="40">
        <v>0.85</v>
      </c>
      <c r="S678" s="334">
        <f t="shared" si="359"/>
        <v>0.21249999999999999</v>
      </c>
      <c r="T678" s="31">
        <f>VLOOKUP(A678,'Ansvar kurs'!$A$1:$C$1010,2,FALSE)</f>
        <v>2180</v>
      </c>
      <c r="U678" s="31" t="str">
        <f>VLOOKUP(T678,Orgenheter!$A$1:$C$165,2,FALSE)</f>
        <v xml:space="preserve">Pedagogik                     </v>
      </c>
      <c r="V678" s="31" t="str">
        <f>VLOOKUP(T678,Orgenheter!$A$1:$C$165,3,FALSE)</f>
        <v>Sam</v>
      </c>
      <c r="W678" s="37" t="str">
        <f>VLOOKUP(D678,Program!$A$1:$B$34,2,FALSE)</f>
        <v>Yrkeslärarprogrammet</v>
      </c>
      <c r="X678" s="42">
        <f>VLOOKUP(A678,kurspris!$A$1:$Q$798,15,FALSE)</f>
        <v>21634</v>
      </c>
      <c r="Y678" s="42">
        <f>VLOOKUP(A678,kurspris!$A$1:$Q$798,16,FALSE)</f>
        <v>26986</v>
      </c>
      <c r="Z678" s="42">
        <f t="shared" si="360"/>
        <v>11143.025</v>
      </c>
      <c r="AA678" s="42">
        <f>VLOOKUP(A678,kurspris!$A$1:$Q$798,17,FALSE)</f>
        <v>3400</v>
      </c>
      <c r="AB678" s="42">
        <f t="shared" si="361"/>
        <v>850</v>
      </c>
      <c r="AC678" s="42">
        <f t="shared" si="362"/>
        <v>11993.025</v>
      </c>
      <c r="AD678" s="31">
        <f>VLOOKUP($A678,kurspris!$A$1:$Q$835,3,FALSE)</f>
        <v>0</v>
      </c>
      <c r="AE678" s="31">
        <f>VLOOKUP($A678,kurspris!$A$1:$Q$835,4,FALSE)</f>
        <v>0</v>
      </c>
      <c r="AF678" s="31">
        <f>VLOOKUP($A678,kurspris!$A$1:$Q$835,5,FALSE)</f>
        <v>0</v>
      </c>
      <c r="AG678" s="31">
        <f>VLOOKUP($A678,kurspris!$A$1:$Q$835,6,FALSE)</f>
        <v>0</v>
      </c>
      <c r="AH678" s="31">
        <f>VLOOKUP($A678,kurspris!$A$1:$Q$835,7,FALSE)</f>
        <v>0</v>
      </c>
      <c r="AI678" s="31">
        <f>VLOOKUP($A678,kurspris!$A$1:$Q$835,8,FALSE)</f>
        <v>0</v>
      </c>
      <c r="AJ678" s="31">
        <f>VLOOKUP($A678,kurspris!$A$1:$Q$835,9,FALSE)</f>
        <v>0</v>
      </c>
      <c r="AK678" s="31">
        <f>VLOOKUP($A678,kurspris!$A$1:$Q$835,10,FALSE)</f>
        <v>0</v>
      </c>
      <c r="AL678" s="31">
        <f>VLOOKUP($A678,kurspris!$A$1:$Q$835,11,FALSE)</f>
        <v>1</v>
      </c>
      <c r="AM678" s="31">
        <f>VLOOKUP($A678,kurspris!$A$1:$Q$835,12,FALSE)</f>
        <v>0</v>
      </c>
      <c r="AN678" s="31">
        <f>VLOOKUP($A678,kurspris!$A$1:$Q$835,13,FALSE)</f>
        <v>0</v>
      </c>
      <c r="AO678" s="31">
        <f>VLOOKUP($A678,kurspris!$A$1:$Q$835,14,FALSE)</f>
        <v>0</v>
      </c>
      <c r="AP678" s="39" t="s">
        <v>2326</v>
      </c>
      <c r="AQ678" t="s">
        <v>2037</v>
      </c>
      <c r="AR678" s="31">
        <f t="shared" si="363"/>
        <v>0</v>
      </c>
      <c r="AS678" s="255">
        <f t="shared" si="364"/>
        <v>0</v>
      </c>
      <c r="AT678" s="31">
        <f t="shared" si="365"/>
        <v>0</v>
      </c>
      <c r="AU678" s="255">
        <f t="shared" si="366"/>
        <v>0</v>
      </c>
      <c r="AV678" s="31">
        <f t="shared" si="367"/>
        <v>0</v>
      </c>
      <c r="AW678" s="31">
        <f t="shared" si="368"/>
        <v>0</v>
      </c>
      <c r="AX678" s="31">
        <f t="shared" si="369"/>
        <v>0</v>
      </c>
      <c r="AY678" s="255">
        <f t="shared" si="370"/>
        <v>0</v>
      </c>
      <c r="AZ678" s="232">
        <f t="shared" si="371"/>
        <v>0</v>
      </c>
      <c r="BA678" s="255">
        <f t="shared" si="372"/>
        <v>0</v>
      </c>
      <c r="BB678" s="31">
        <f t="shared" si="373"/>
        <v>0</v>
      </c>
      <c r="BC678" s="255">
        <f t="shared" si="374"/>
        <v>0</v>
      </c>
      <c r="BD678" s="31">
        <f t="shared" si="375"/>
        <v>0</v>
      </c>
      <c r="BE678" s="255">
        <f t="shared" si="376"/>
        <v>0</v>
      </c>
      <c r="BF678" s="31">
        <f t="shared" si="377"/>
        <v>0</v>
      </c>
      <c r="BG678" s="255">
        <f t="shared" si="378"/>
        <v>0</v>
      </c>
      <c r="BH678" s="31">
        <f t="shared" si="379"/>
        <v>0.25</v>
      </c>
      <c r="BI678" s="255">
        <f t="shared" si="380"/>
        <v>0.21249999999999999</v>
      </c>
      <c r="BJ678" s="31">
        <f t="shared" si="381"/>
        <v>0</v>
      </c>
      <c r="BK678" s="31">
        <f t="shared" si="382"/>
        <v>0</v>
      </c>
      <c r="BL678" s="255">
        <f t="shared" si="383"/>
        <v>0</v>
      </c>
      <c r="BM678" s="31">
        <f t="shared" si="384"/>
        <v>0</v>
      </c>
      <c r="BN678" s="255">
        <f t="shared" si="385"/>
        <v>0</v>
      </c>
    </row>
    <row r="679" spans="1:66" x14ac:dyDescent="0.25">
      <c r="A679" s="18" t="s">
        <v>1481</v>
      </c>
      <c r="B679" s="186" t="str">
        <f>VLOOKUP(A679,kurspris!$A$1:$B$877,2,FALSE)</f>
        <v>Verksamhetsförlagd utbildning för yrkeslärare (VFU)</v>
      </c>
      <c r="C679" s="37"/>
      <c r="D679" s="31" t="s">
        <v>627</v>
      </c>
      <c r="E679" s="31" t="s">
        <v>1930</v>
      </c>
      <c r="F679" s="59" t="s">
        <v>1931</v>
      </c>
      <c r="G679" s="295" t="s">
        <v>2299</v>
      </c>
      <c r="L679" s="31">
        <v>50</v>
      </c>
      <c r="M679" s="31">
        <v>15</v>
      </c>
      <c r="P679" s="31">
        <v>1</v>
      </c>
      <c r="Q679" s="232">
        <f t="shared" si="358"/>
        <v>0.25</v>
      </c>
      <c r="R679" s="40">
        <v>0.85</v>
      </c>
      <c r="S679" s="334">
        <f t="shared" si="359"/>
        <v>0.21249999999999999</v>
      </c>
      <c r="T679" s="31">
        <f>VLOOKUP(A679,'Ansvar kurs'!$A$1:$C$1010,2,FALSE)</f>
        <v>2180</v>
      </c>
      <c r="U679" s="31" t="str">
        <f>VLOOKUP(T679,Orgenheter!$A$1:$C$165,2,FALSE)</f>
        <v xml:space="preserve">Pedagogik                     </v>
      </c>
      <c r="V679" s="31" t="str">
        <f>VLOOKUP(T679,Orgenheter!$A$1:$C$165,3,FALSE)</f>
        <v>Sam</v>
      </c>
      <c r="W679" s="37" t="str">
        <f>VLOOKUP(D679,Program!$A$1:$B$34,2,FALSE)</f>
        <v>Yrkeslärarprogrammet</v>
      </c>
      <c r="X679" s="42">
        <f>VLOOKUP(A679,kurspris!$A$1:$Q$798,15,FALSE)</f>
        <v>21634</v>
      </c>
      <c r="Y679" s="42">
        <f>VLOOKUP(A679,kurspris!$A$1:$Q$798,16,FALSE)</f>
        <v>26986</v>
      </c>
      <c r="Z679" s="42">
        <f t="shared" si="360"/>
        <v>11143.025</v>
      </c>
      <c r="AA679" s="42">
        <f>VLOOKUP(A679,kurspris!$A$1:$Q$798,17,FALSE)</f>
        <v>3400</v>
      </c>
      <c r="AB679" s="42">
        <f t="shared" si="361"/>
        <v>850</v>
      </c>
      <c r="AC679" s="42">
        <f t="shared" si="362"/>
        <v>11993.025</v>
      </c>
      <c r="AD679" s="31">
        <f>VLOOKUP($A679,kurspris!$A$1:$Q$835,3,FALSE)</f>
        <v>0</v>
      </c>
      <c r="AE679" s="31">
        <f>VLOOKUP($A679,kurspris!$A$1:$Q$835,4,FALSE)</f>
        <v>0</v>
      </c>
      <c r="AF679" s="31">
        <f>VLOOKUP($A679,kurspris!$A$1:$Q$835,5,FALSE)</f>
        <v>0</v>
      </c>
      <c r="AG679" s="31">
        <f>VLOOKUP($A679,kurspris!$A$1:$Q$835,6,FALSE)</f>
        <v>0</v>
      </c>
      <c r="AH679" s="31">
        <f>VLOOKUP($A679,kurspris!$A$1:$Q$835,7,FALSE)</f>
        <v>0</v>
      </c>
      <c r="AI679" s="31">
        <f>VLOOKUP($A679,kurspris!$A$1:$Q$835,8,FALSE)</f>
        <v>0</v>
      </c>
      <c r="AJ679" s="31">
        <f>VLOOKUP($A679,kurspris!$A$1:$Q$835,9,FALSE)</f>
        <v>0</v>
      </c>
      <c r="AK679" s="31">
        <f>VLOOKUP($A679,kurspris!$A$1:$Q$835,10,FALSE)</f>
        <v>0</v>
      </c>
      <c r="AL679" s="31">
        <f>VLOOKUP($A679,kurspris!$A$1:$Q$835,11,FALSE)</f>
        <v>1</v>
      </c>
      <c r="AM679" s="31">
        <f>VLOOKUP($A679,kurspris!$A$1:$Q$835,12,FALSE)</f>
        <v>0</v>
      </c>
      <c r="AN679" s="31">
        <f>VLOOKUP($A679,kurspris!$A$1:$Q$835,13,FALSE)</f>
        <v>0</v>
      </c>
      <c r="AO679" s="31">
        <f>VLOOKUP($A679,kurspris!$A$1:$Q$835,14,FALSE)</f>
        <v>0</v>
      </c>
      <c r="AP679" s="39" t="s">
        <v>2326</v>
      </c>
      <c r="AQ679" t="s">
        <v>2037</v>
      </c>
      <c r="AR679" s="31">
        <f t="shared" si="363"/>
        <v>0</v>
      </c>
      <c r="AS679" s="255">
        <f t="shared" si="364"/>
        <v>0</v>
      </c>
      <c r="AT679" s="31">
        <f t="shared" si="365"/>
        <v>0</v>
      </c>
      <c r="AU679" s="255">
        <f t="shared" si="366"/>
        <v>0</v>
      </c>
      <c r="AV679" s="31">
        <f t="shared" si="367"/>
        <v>0</v>
      </c>
      <c r="AW679" s="31">
        <f t="shared" si="368"/>
        <v>0</v>
      </c>
      <c r="AX679" s="31">
        <f t="shared" si="369"/>
        <v>0</v>
      </c>
      <c r="AY679" s="255">
        <f t="shared" si="370"/>
        <v>0</v>
      </c>
      <c r="AZ679" s="232">
        <f t="shared" si="371"/>
        <v>0</v>
      </c>
      <c r="BA679" s="255">
        <f t="shared" si="372"/>
        <v>0</v>
      </c>
      <c r="BB679" s="31">
        <f t="shared" si="373"/>
        <v>0</v>
      </c>
      <c r="BC679" s="255">
        <f t="shared" si="374"/>
        <v>0</v>
      </c>
      <c r="BD679" s="31">
        <f t="shared" si="375"/>
        <v>0</v>
      </c>
      <c r="BE679" s="255">
        <f t="shared" si="376"/>
        <v>0</v>
      </c>
      <c r="BF679" s="31">
        <f t="shared" si="377"/>
        <v>0</v>
      </c>
      <c r="BG679" s="255">
        <f t="shared" si="378"/>
        <v>0</v>
      </c>
      <c r="BH679" s="31">
        <f t="shared" si="379"/>
        <v>0.25</v>
      </c>
      <c r="BI679" s="255">
        <f t="shared" si="380"/>
        <v>0.21249999999999999</v>
      </c>
      <c r="BJ679" s="31">
        <f t="shared" si="381"/>
        <v>0</v>
      </c>
      <c r="BK679" s="31">
        <f t="shared" si="382"/>
        <v>0</v>
      </c>
      <c r="BL679" s="255">
        <f t="shared" si="383"/>
        <v>0</v>
      </c>
      <c r="BM679" s="31">
        <f t="shared" si="384"/>
        <v>0</v>
      </c>
      <c r="BN679" s="255">
        <f t="shared" si="385"/>
        <v>0</v>
      </c>
    </row>
    <row r="680" spans="1:66" x14ac:dyDescent="0.25">
      <c r="A680" t="s">
        <v>1483</v>
      </c>
      <c r="B680" s="186" t="str">
        <f>VLOOKUP(A680,kurspris!$A$1:$B$877,2,FALSE)</f>
        <v>Examensarbete för grundlärarexamen med inriktning mot förskoleklass och grundskolans år 1-3</v>
      </c>
      <c r="C680"/>
      <c r="D680" t="s">
        <v>486</v>
      </c>
      <c r="E680" t="s">
        <v>1992</v>
      </c>
      <c r="F680" s="39" t="s">
        <v>1930</v>
      </c>
      <c r="G680" t="s">
        <v>1993</v>
      </c>
      <c r="H680" t="s">
        <v>1910</v>
      </c>
      <c r="I680"/>
      <c r="J680"/>
      <c r="K680"/>
      <c r="L680">
        <v>100</v>
      </c>
      <c r="M680" s="295">
        <v>22.5</v>
      </c>
      <c r="N680"/>
      <c r="O680"/>
      <c r="P680" s="31">
        <v>0</v>
      </c>
      <c r="Q680" s="232">
        <f t="shared" si="358"/>
        <v>0</v>
      </c>
      <c r="R680" s="40">
        <v>0.85</v>
      </c>
      <c r="S680" s="334">
        <f t="shared" si="359"/>
        <v>0</v>
      </c>
      <c r="T680" s="31">
        <f>VLOOKUP(A680,'Ansvar kurs'!$A$1:$C$1010,2,FALSE)</f>
        <v>5740</v>
      </c>
      <c r="U680" s="31" t="str">
        <f>VLOOKUP(T680,Orgenheter!$A$1:$C$165,2,FALSE)</f>
        <v>NMD</v>
      </c>
      <c r="V680" s="31" t="str">
        <f>VLOOKUP(T680,Orgenheter!$A$1:$C$165,3,FALSE)</f>
        <v>TekNat</v>
      </c>
      <c r="W680" s="37" t="str">
        <f>VLOOKUP(D680,Program!$A$1:$B$34,2,FALSE)</f>
        <v>Grundlärarprogrammet - förskoleklass och åk 1-3</v>
      </c>
      <c r="X680" s="42">
        <f>VLOOKUP(A680,kurspris!$A$1:$Q$798,15,FALSE)</f>
        <v>19473</v>
      </c>
      <c r="Y680" s="42">
        <f>VLOOKUP(A680,kurspris!$A$1:$Q$798,16,FALSE)</f>
        <v>34806</v>
      </c>
      <c r="Z680" s="42">
        <f t="shared" si="360"/>
        <v>0</v>
      </c>
      <c r="AA680" s="42">
        <f>VLOOKUP(A680,kurspris!$A$1:$Q$798,17,FALSE)</f>
        <v>21800</v>
      </c>
      <c r="AB680" s="42">
        <f t="shared" si="361"/>
        <v>0</v>
      </c>
      <c r="AC680" s="42">
        <f t="shared" si="362"/>
        <v>0</v>
      </c>
      <c r="AD680" s="31">
        <f>VLOOKUP($A680,kurspris!$A$1:$Q$835,3,FALSE)</f>
        <v>0</v>
      </c>
      <c r="AE680" s="31">
        <f>VLOOKUP($A680,kurspris!$A$1:$Q$835,4,FALSE)</f>
        <v>0</v>
      </c>
      <c r="AF680" s="31">
        <f>VLOOKUP($A680,kurspris!$A$1:$Q$835,5,FALSE)</f>
        <v>0</v>
      </c>
      <c r="AG680" s="31">
        <f>VLOOKUP($A680,kurspris!$A$1:$Q$835,6,FALSE)</f>
        <v>0</v>
      </c>
      <c r="AH680" s="31">
        <f>VLOOKUP($A680,kurspris!$A$1:$Q$835,7,FALSE)</f>
        <v>0</v>
      </c>
      <c r="AI680" s="31">
        <f>VLOOKUP($A680,kurspris!$A$1:$Q$835,8,FALSE)</f>
        <v>1</v>
      </c>
      <c r="AJ680" s="31">
        <f>VLOOKUP($A680,kurspris!$A$1:$Q$835,9,FALSE)</f>
        <v>0</v>
      </c>
      <c r="AK680" s="31">
        <f>VLOOKUP($A680,kurspris!$A$1:$Q$835,10,FALSE)</f>
        <v>0</v>
      </c>
      <c r="AL680" s="31">
        <f>VLOOKUP($A680,kurspris!$A$1:$Q$835,11,FALSE)</f>
        <v>0</v>
      </c>
      <c r="AM680" s="31">
        <f>VLOOKUP($A680,kurspris!$A$1:$Q$835,12,FALSE)</f>
        <v>0</v>
      </c>
      <c r="AN680" s="31">
        <f>VLOOKUP($A680,kurspris!$A$1:$Q$835,13,FALSE)</f>
        <v>0</v>
      </c>
      <c r="AO680" s="31">
        <f>VLOOKUP($A680,kurspris!$A$1:$Q$835,14,FALSE)</f>
        <v>0</v>
      </c>
      <c r="AP680" s="39" t="s">
        <v>2204</v>
      </c>
      <c r="AQ680" s="39" t="s">
        <v>2035</v>
      </c>
      <c r="AR680" s="31">
        <f t="shared" si="363"/>
        <v>0</v>
      </c>
      <c r="AS680" s="255">
        <f t="shared" si="364"/>
        <v>0</v>
      </c>
      <c r="AT680" s="31">
        <f t="shared" si="365"/>
        <v>0</v>
      </c>
      <c r="AU680" s="255">
        <f t="shared" si="366"/>
        <v>0</v>
      </c>
      <c r="AV680" s="31">
        <f t="shared" si="367"/>
        <v>0</v>
      </c>
      <c r="AW680" s="31">
        <f t="shared" si="368"/>
        <v>0</v>
      </c>
      <c r="AX680" s="31">
        <f t="shared" si="369"/>
        <v>0</v>
      </c>
      <c r="AY680" s="255">
        <f t="shared" si="370"/>
        <v>0</v>
      </c>
      <c r="AZ680" s="232">
        <f t="shared" si="371"/>
        <v>0</v>
      </c>
      <c r="BA680" s="255">
        <f t="shared" si="372"/>
        <v>0</v>
      </c>
      <c r="BB680" s="31">
        <f t="shared" si="373"/>
        <v>0</v>
      </c>
      <c r="BC680" s="255">
        <f t="shared" si="374"/>
        <v>0</v>
      </c>
      <c r="BD680" s="31">
        <f t="shared" si="375"/>
        <v>0</v>
      </c>
      <c r="BE680" s="255">
        <f t="shared" si="376"/>
        <v>0</v>
      </c>
      <c r="BF680" s="31">
        <f t="shared" si="377"/>
        <v>0</v>
      </c>
      <c r="BG680" s="255">
        <f t="shared" si="378"/>
        <v>0</v>
      </c>
      <c r="BH680" s="31">
        <f t="shared" si="379"/>
        <v>0</v>
      </c>
      <c r="BI680" s="255">
        <f t="shared" si="380"/>
        <v>0</v>
      </c>
      <c r="BJ680" s="31">
        <f t="shared" si="381"/>
        <v>0</v>
      </c>
      <c r="BK680" s="31">
        <f t="shared" si="382"/>
        <v>0</v>
      </c>
      <c r="BL680" s="255">
        <f t="shared" si="383"/>
        <v>0</v>
      </c>
      <c r="BM680" s="31">
        <f t="shared" si="384"/>
        <v>0</v>
      </c>
      <c r="BN680" s="255">
        <f t="shared" si="385"/>
        <v>0</v>
      </c>
    </row>
    <row r="681" spans="1:66" x14ac:dyDescent="0.25">
      <c r="A681" t="s">
        <v>1483</v>
      </c>
      <c r="B681" s="186" t="str">
        <f>VLOOKUP(A681,kurspris!$A$1:$B$877,2,FALSE)</f>
        <v>Examensarbete för grundlärarexamen med inriktning mot förskoleklass och grundskolans år 1-3</v>
      </c>
      <c r="C681"/>
      <c r="D681" t="s">
        <v>486</v>
      </c>
      <c r="E681" t="s">
        <v>1992</v>
      </c>
      <c r="F681" s="39" t="s">
        <v>1930</v>
      </c>
      <c r="G681" t="s">
        <v>1993</v>
      </c>
      <c r="H681" t="s">
        <v>1910</v>
      </c>
      <c r="I681"/>
      <c r="J681"/>
      <c r="K681"/>
      <c r="L681">
        <v>100</v>
      </c>
      <c r="M681" s="295">
        <v>22.5</v>
      </c>
      <c r="N681"/>
      <c r="O681"/>
      <c r="P681" s="31">
        <v>0</v>
      </c>
      <c r="Q681" s="232">
        <f t="shared" si="358"/>
        <v>0</v>
      </c>
      <c r="R681" s="40">
        <v>0.85</v>
      </c>
      <c r="S681" s="334">
        <f t="shared" si="359"/>
        <v>0</v>
      </c>
      <c r="T681" s="31">
        <f>VLOOKUP(A681,'Ansvar kurs'!$A$1:$C$1010,2,FALSE)</f>
        <v>5740</v>
      </c>
      <c r="U681" s="31" t="str">
        <f>VLOOKUP(T681,Orgenheter!$A$1:$C$165,2,FALSE)</f>
        <v>NMD</v>
      </c>
      <c r="V681" s="31" t="str">
        <f>VLOOKUP(T681,Orgenheter!$A$1:$C$165,3,FALSE)</f>
        <v>TekNat</v>
      </c>
      <c r="W681" s="37" t="str">
        <f>VLOOKUP(D681,Program!$A$1:$B$34,2,FALSE)</f>
        <v>Grundlärarprogrammet - förskoleklass och åk 1-3</v>
      </c>
      <c r="X681" s="42">
        <f>VLOOKUP(A681,kurspris!$A$1:$Q$798,15,FALSE)</f>
        <v>19473</v>
      </c>
      <c r="Y681" s="42">
        <f>VLOOKUP(A681,kurspris!$A$1:$Q$798,16,FALSE)</f>
        <v>34806</v>
      </c>
      <c r="Z681" s="42">
        <f t="shared" si="360"/>
        <v>0</v>
      </c>
      <c r="AA681" s="42">
        <f>VLOOKUP(A681,kurspris!$A$1:$Q$798,17,FALSE)</f>
        <v>21800</v>
      </c>
      <c r="AB681" s="42">
        <f t="shared" si="361"/>
        <v>0</v>
      </c>
      <c r="AC681" s="42">
        <f t="shared" si="362"/>
        <v>0</v>
      </c>
      <c r="AD681" s="31">
        <f>VLOOKUP($A681,kurspris!$A$1:$Q$835,3,FALSE)</f>
        <v>0</v>
      </c>
      <c r="AE681" s="31">
        <f>VLOOKUP($A681,kurspris!$A$1:$Q$835,4,FALSE)</f>
        <v>0</v>
      </c>
      <c r="AF681" s="31">
        <f>VLOOKUP($A681,kurspris!$A$1:$Q$835,5,FALSE)</f>
        <v>0</v>
      </c>
      <c r="AG681" s="31">
        <f>VLOOKUP($A681,kurspris!$A$1:$Q$835,6,FALSE)</f>
        <v>0</v>
      </c>
      <c r="AH681" s="31">
        <f>VLOOKUP($A681,kurspris!$A$1:$Q$835,7,FALSE)</f>
        <v>0</v>
      </c>
      <c r="AI681" s="31">
        <f>VLOOKUP($A681,kurspris!$A$1:$Q$835,8,FALSE)</f>
        <v>1</v>
      </c>
      <c r="AJ681" s="31">
        <f>VLOOKUP($A681,kurspris!$A$1:$Q$835,9,FALSE)</f>
        <v>0</v>
      </c>
      <c r="AK681" s="31">
        <f>VLOOKUP($A681,kurspris!$A$1:$Q$835,10,FALSE)</f>
        <v>0</v>
      </c>
      <c r="AL681" s="31">
        <f>VLOOKUP($A681,kurspris!$A$1:$Q$835,11,FALSE)</f>
        <v>0</v>
      </c>
      <c r="AM681" s="31">
        <f>VLOOKUP($A681,kurspris!$A$1:$Q$835,12,FALSE)</f>
        <v>0</v>
      </c>
      <c r="AN681" s="31">
        <f>VLOOKUP($A681,kurspris!$A$1:$Q$835,13,FALSE)</f>
        <v>0</v>
      </c>
      <c r="AO681" s="31">
        <f>VLOOKUP($A681,kurspris!$A$1:$Q$835,14,FALSE)</f>
        <v>0</v>
      </c>
      <c r="AP681" s="39" t="s">
        <v>2204</v>
      </c>
      <c r="AQ681" s="39" t="s">
        <v>2035</v>
      </c>
      <c r="AR681" s="31">
        <f t="shared" si="363"/>
        <v>0</v>
      </c>
      <c r="AS681" s="255">
        <f t="shared" si="364"/>
        <v>0</v>
      </c>
      <c r="AT681" s="31">
        <f t="shared" si="365"/>
        <v>0</v>
      </c>
      <c r="AU681" s="255">
        <f t="shared" si="366"/>
        <v>0</v>
      </c>
      <c r="AV681" s="31">
        <f t="shared" si="367"/>
        <v>0</v>
      </c>
      <c r="AW681" s="31">
        <f t="shared" si="368"/>
        <v>0</v>
      </c>
      <c r="AX681" s="31">
        <f t="shared" si="369"/>
        <v>0</v>
      </c>
      <c r="AY681" s="255">
        <f t="shared" si="370"/>
        <v>0</v>
      </c>
      <c r="AZ681" s="232">
        <f t="shared" si="371"/>
        <v>0</v>
      </c>
      <c r="BA681" s="255">
        <f t="shared" si="372"/>
        <v>0</v>
      </c>
      <c r="BB681" s="31">
        <f t="shared" si="373"/>
        <v>0</v>
      </c>
      <c r="BC681" s="255">
        <f t="shared" si="374"/>
        <v>0</v>
      </c>
      <c r="BD681" s="31">
        <f t="shared" si="375"/>
        <v>0</v>
      </c>
      <c r="BE681" s="255">
        <f t="shared" si="376"/>
        <v>0</v>
      </c>
      <c r="BF681" s="31">
        <f t="shared" si="377"/>
        <v>0</v>
      </c>
      <c r="BG681" s="255">
        <f t="shared" si="378"/>
        <v>0</v>
      </c>
      <c r="BH681" s="31">
        <f t="shared" si="379"/>
        <v>0</v>
      </c>
      <c r="BI681" s="255">
        <f t="shared" si="380"/>
        <v>0</v>
      </c>
      <c r="BJ681" s="31">
        <f t="shared" si="381"/>
        <v>0</v>
      </c>
      <c r="BK681" s="31">
        <f t="shared" si="382"/>
        <v>0</v>
      </c>
      <c r="BL681" s="255">
        <f t="shared" si="383"/>
        <v>0</v>
      </c>
      <c r="BM681" s="31">
        <f t="shared" si="384"/>
        <v>0</v>
      </c>
      <c r="BN681" s="255">
        <f t="shared" si="385"/>
        <v>0</v>
      </c>
    </row>
    <row r="682" spans="1:66" x14ac:dyDescent="0.25">
      <c r="A682" t="s">
        <v>1483</v>
      </c>
      <c r="B682" s="186" t="str">
        <f>VLOOKUP(A682,kurspris!$A$1:$B$877,2,FALSE)</f>
        <v>Examensarbete för grundlärarexamen med inriktning mot förskoleklass och grundskolans år 1-3</v>
      </c>
      <c r="C682"/>
      <c r="D682" t="s">
        <v>486</v>
      </c>
      <c r="E682" t="s">
        <v>1975</v>
      </c>
      <c r="F682" s="39" t="s">
        <v>1930</v>
      </c>
      <c r="G682" t="s">
        <v>1993</v>
      </c>
      <c r="H682" t="s">
        <v>1910</v>
      </c>
      <c r="I682"/>
      <c r="J682"/>
      <c r="K682"/>
      <c r="L682">
        <v>100</v>
      </c>
      <c r="M682" s="295">
        <v>22.5</v>
      </c>
      <c r="N682"/>
      <c r="O682"/>
      <c r="P682" s="31">
        <v>1</v>
      </c>
      <c r="Q682" s="232">
        <f t="shared" si="358"/>
        <v>0.375</v>
      </c>
      <c r="R682" s="40">
        <v>0.85</v>
      </c>
      <c r="S682" s="334">
        <f t="shared" si="359"/>
        <v>0.31874999999999998</v>
      </c>
      <c r="T682" s="31">
        <f>VLOOKUP(A682,'Ansvar kurs'!$A$1:$C$1010,2,FALSE)</f>
        <v>5740</v>
      </c>
      <c r="U682" s="31" t="str">
        <f>VLOOKUP(T682,Orgenheter!$A$1:$C$165,2,FALSE)</f>
        <v>NMD</v>
      </c>
      <c r="V682" s="31" t="str">
        <f>VLOOKUP(T682,Orgenheter!$A$1:$C$165,3,FALSE)</f>
        <v>TekNat</v>
      </c>
      <c r="W682" s="37" t="str">
        <f>VLOOKUP(D682,Program!$A$1:$B$34,2,FALSE)</f>
        <v>Grundlärarprogrammet - förskoleklass och åk 1-3</v>
      </c>
      <c r="X682" s="42">
        <f>VLOOKUP(A682,kurspris!$A$1:$Q$798,15,FALSE)</f>
        <v>19473</v>
      </c>
      <c r="Y682" s="42">
        <f>VLOOKUP(A682,kurspris!$A$1:$Q$798,16,FALSE)</f>
        <v>34806</v>
      </c>
      <c r="Z682" s="42">
        <f t="shared" si="360"/>
        <v>18396.787499999999</v>
      </c>
      <c r="AA682" s="42">
        <f>VLOOKUP(A682,kurspris!$A$1:$Q$798,17,FALSE)</f>
        <v>21800</v>
      </c>
      <c r="AB682" s="42">
        <f t="shared" si="361"/>
        <v>8175</v>
      </c>
      <c r="AC682" s="42">
        <f t="shared" si="362"/>
        <v>26571.787499999999</v>
      </c>
      <c r="AD682" s="31">
        <f>VLOOKUP($A682,kurspris!$A$1:$Q$835,3,FALSE)</f>
        <v>0</v>
      </c>
      <c r="AE682" s="31">
        <f>VLOOKUP($A682,kurspris!$A$1:$Q$835,4,FALSE)</f>
        <v>0</v>
      </c>
      <c r="AF682" s="31">
        <f>VLOOKUP($A682,kurspris!$A$1:$Q$835,5,FALSE)</f>
        <v>0</v>
      </c>
      <c r="AG682" s="31">
        <f>VLOOKUP($A682,kurspris!$A$1:$Q$835,6,FALSE)</f>
        <v>0</v>
      </c>
      <c r="AH682" s="31">
        <f>VLOOKUP($A682,kurspris!$A$1:$Q$835,7,FALSE)</f>
        <v>0</v>
      </c>
      <c r="AI682" s="31">
        <f>VLOOKUP($A682,kurspris!$A$1:$Q$835,8,FALSE)</f>
        <v>1</v>
      </c>
      <c r="AJ682" s="31">
        <f>VLOOKUP($A682,kurspris!$A$1:$Q$835,9,FALSE)</f>
        <v>0</v>
      </c>
      <c r="AK682" s="31">
        <f>VLOOKUP($A682,kurspris!$A$1:$Q$835,10,FALSE)</f>
        <v>0</v>
      </c>
      <c r="AL682" s="31">
        <f>VLOOKUP($A682,kurspris!$A$1:$Q$835,11,FALSE)</f>
        <v>0</v>
      </c>
      <c r="AM682" s="31">
        <f>VLOOKUP($A682,kurspris!$A$1:$Q$835,12,FALSE)</f>
        <v>0</v>
      </c>
      <c r="AN682" s="31">
        <f>VLOOKUP($A682,kurspris!$A$1:$Q$835,13,FALSE)</f>
        <v>0</v>
      </c>
      <c r="AO682" s="31">
        <f>VLOOKUP($A682,kurspris!$A$1:$Q$835,14,FALSE)</f>
        <v>0</v>
      </c>
      <c r="AP682" s="39" t="s">
        <v>2204</v>
      </c>
      <c r="AQ682" s="39" t="s">
        <v>2035</v>
      </c>
      <c r="AR682" s="31">
        <f t="shared" si="363"/>
        <v>0</v>
      </c>
      <c r="AS682" s="255">
        <f t="shared" si="364"/>
        <v>0</v>
      </c>
      <c r="AT682" s="31">
        <f t="shared" si="365"/>
        <v>0</v>
      </c>
      <c r="AU682" s="255">
        <f t="shared" si="366"/>
        <v>0</v>
      </c>
      <c r="AV682" s="31">
        <f t="shared" si="367"/>
        <v>0</v>
      </c>
      <c r="AW682" s="31">
        <f t="shared" si="368"/>
        <v>0</v>
      </c>
      <c r="AX682" s="31">
        <f t="shared" si="369"/>
        <v>0</v>
      </c>
      <c r="AY682" s="255">
        <f t="shared" si="370"/>
        <v>0</v>
      </c>
      <c r="AZ682" s="232">
        <f t="shared" si="371"/>
        <v>0</v>
      </c>
      <c r="BA682" s="255">
        <f t="shared" si="372"/>
        <v>0</v>
      </c>
      <c r="BB682" s="31">
        <f t="shared" si="373"/>
        <v>0.375</v>
      </c>
      <c r="BC682" s="255">
        <f t="shared" si="374"/>
        <v>0.31874999999999998</v>
      </c>
      <c r="BD682" s="31">
        <f t="shared" si="375"/>
        <v>0</v>
      </c>
      <c r="BE682" s="255">
        <f t="shared" si="376"/>
        <v>0</v>
      </c>
      <c r="BF682" s="31">
        <f t="shared" si="377"/>
        <v>0</v>
      </c>
      <c r="BG682" s="255">
        <f t="shared" si="378"/>
        <v>0</v>
      </c>
      <c r="BH682" s="31">
        <f t="shared" si="379"/>
        <v>0</v>
      </c>
      <c r="BI682" s="255">
        <f t="shared" si="380"/>
        <v>0</v>
      </c>
      <c r="BJ682" s="31">
        <f t="shared" si="381"/>
        <v>0</v>
      </c>
      <c r="BK682" s="31">
        <f t="shared" si="382"/>
        <v>0</v>
      </c>
      <c r="BL682" s="255">
        <f t="shared" si="383"/>
        <v>0</v>
      </c>
      <c r="BM682" s="31">
        <f t="shared" si="384"/>
        <v>0</v>
      </c>
      <c r="BN682" s="255">
        <f t="shared" si="385"/>
        <v>0</v>
      </c>
    </row>
    <row r="683" spans="1:66" x14ac:dyDescent="0.25">
      <c r="A683" t="s">
        <v>1483</v>
      </c>
      <c r="B683" s="186" t="str">
        <f>VLOOKUP(A683,kurspris!$A$1:$B$877,2,FALSE)</f>
        <v>Examensarbete för grundlärarexamen med inriktning mot förskoleklass och grundskolans år 1-3</v>
      </c>
      <c r="C683"/>
      <c r="D683" t="s">
        <v>486</v>
      </c>
      <c r="E683" t="s">
        <v>1976</v>
      </c>
      <c r="F683" s="39" t="s">
        <v>1930</v>
      </c>
      <c r="G683" t="s">
        <v>1993</v>
      </c>
      <c r="H683" t="s">
        <v>1910</v>
      </c>
      <c r="I683"/>
      <c r="J683"/>
      <c r="K683"/>
      <c r="L683">
        <v>100</v>
      </c>
      <c r="M683" s="295">
        <v>22.5</v>
      </c>
      <c r="N683"/>
      <c r="O683"/>
      <c r="P683" s="31">
        <v>46</v>
      </c>
      <c r="Q683" s="232">
        <f t="shared" si="358"/>
        <v>17.25</v>
      </c>
      <c r="R683" s="40">
        <v>0.85</v>
      </c>
      <c r="S683" s="334">
        <f t="shared" si="359"/>
        <v>14.6625</v>
      </c>
      <c r="T683" s="31">
        <f>VLOOKUP(A683,'Ansvar kurs'!$A$1:$C$1010,2,FALSE)</f>
        <v>5740</v>
      </c>
      <c r="U683" s="31" t="str">
        <f>VLOOKUP(T683,Orgenheter!$A$1:$C$165,2,FALSE)</f>
        <v>NMD</v>
      </c>
      <c r="V683" s="31" t="str">
        <f>VLOOKUP(T683,Orgenheter!$A$1:$C$165,3,FALSE)</f>
        <v>TekNat</v>
      </c>
      <c r="W683" s="37" t="str">
        <f>VLOOKUP(D683,Program!$A$1:$B$34,2,FALSE)</f>
        <v>Grundlärarprogrammet - förskoleklass och åk 1-3</v>
      </c>
      <c r="X683" s="42">
        <f>VLOOKUP(A683,kurspris!$A$1:$Q$798,15,FALSE)</f>
        <v>19473</v>
      </c>
      <c r="Y683" s="42">
        <f>VLOOKUP(A683,kurspris!$A$1:$Q$798,16,FALSE)</f>
        <v>34806</v>
      </c>
      <c r="Z683" s="42">
        <f t="shared" si="360"/>
        <v>846252.22499999998</v>
      </c>
      <c r="AA683" s="42">
        <f>VLOOKUP(A683,kurspris!$A$1:$Q$798,17,FALSE)</f>
        <v>21800</v>
      </c>
      <c r="AB683" s="42">
        <f t="shared" si="361"/>
        <v>376050</v>
      </c>
      <c r="AC683" s="42">
        <f t="shared" si="362"/>
        <v>1222302.2250000001</v>
      </c>
      <c r="AD683" s="31">
        <f>VLOOKUP($A683,kurspris!$A$1:$Q$835,3,FALSE)</f>
        <v>0</v>
      </c>
      <c r="AE683" s="31">
        <f>VLOOKUP($A683,kurspris!$A$1:$Q$835,4,FALSE)</f>
        <v>0</v>
      </c>
      <c r="AF683" s="31">
        <f>VLOOKUP($A683,kurspris!$A$1:$Q$835,5,FALSE)</f>
        <v>0</v>
      </c>
      <c r="AG683" s="31">
        <f>VLOOKUP($A683,kurspris!$A$1:$Q$835,6,FALSE)</f>
        <v>0</v>
      </c>
      <c r="AH683" s="31">
        <f>VLOOKUP($A683,kurspris!$A$1:$Q$835,7,FALSE)</f>
        <v>0</v>
      </c>
      <c r="AI683" s="31">
        <f>VLOOKUP($A683,kurspris!$A$1:$Q$835,8,FALSE)</f>
        <v>1</v>
      </c>
      <c r="AJ683" s="31">
        <f>VLOOKUP($A683,kurspris!$A$1:$Q$835,9,FALSE)</f>
        <v>0</v>
      </c>
      <c r="AK683" s="31">
        <f>VLOOKUP($A683,kurspris!$A$1:$Q$835,10,FALSE)</f>
        <v>0</v>
      </c>
      <c r="AL683" s="31">
        <f>VLOOKUP($A683,kurspris!$A$1:$Q$835,11,FALSE)</f>
        <v>0</v>
      </c>
      <c r="AM683" s="31">
        <f>VLOOKUP($A683,kurspris!$A$1:$Q$835,12,FALSE)</f>
        <v>0</v>
      </c>
      <c r="AN683" s="31">
        <f>VLOOKUP($A683,kurspris!$A$1:$Q$835,13,FALSE)</f>
        <v>0</v>
      </c>
      <c r="AO683" s="31">
        <f>VLOOKUP($A683,kurspris!$A$1:$Q$835,14,FALSE)</f>
        <v>0</v>
      </c>
      <c r="AP683" s="39" t="s">
        <v>2204</v>
      </c>
      <c r="AQ683" s="39" t="s">
        <v>2035</v>
      </c>
      <c r="AR683" s="31">
        <f t="shared" si="363"/>
        <v>0</v>
      </c>
      <c r="AS683" s="255">
        <f t="shared" si="364"/>
        <v>0</v>
      </c>
      <c r="AT683" s="31">
        <f t="shared" si="365"/>
        <v>0</v>
      </c>
      <c r="AU683" s="255">
        <f t="shared" si="366"/>
        <v>0</v>
      </c>
      <c r="AV683" s="31">
        <f t="shared" si="367"/>
        <v>0</v>
      </c>
      <c r="AW683" s="31">
        <f t="shared" si="368"/>
        <v>0</v>
      </c>
      <c r="AX683" s="31">
        <f t="shared" si="369"/>
        <v>0</v>
      </c>
      <c r="AY683" s="255">
        <f t="shared" si="370"/>
        <v>0</v>
      </c>
      <c r="AZ683" s="232">
        <f t="shared" si="371"/>
        <v>0</v>
      </c>
      <c r="BA683" s="255">
        <f t="shared" si="372"/>
        <v>0</v>
      </c>
      <c r="BB683" s="31">
        <f t="shared" si="373"/>
        <v>17.25</v>
      </c>
      <c r="BC683" s="255">
        <f t="shared" si="374"/>
        <v>14.6625</v>
      </c>
      <c r="BD683" s="31">
        <f t="shared" si="375"/>
        <v>0</v>
      </c>
      <c r="BE683" s="255">
        <f t="shared" si="376"/>
        <v>0</v>
      </c>
      <c r="BF683" s="31">
        <f t="shared" si="377"/>
        <v>0</v>
      </c>
      <c r="BG683" s="255">
        <f t="shared" si="378"/>
        <v>0</v>
      </c>
      <c r="BH683" s="31">
        <f t="shared" si="379"/>
        <v>0</v>
      </c>
      <c r="BI683" s="255">
        <f t="shared" si="380"/>
        <v>0</v>
      </c>
      <c r="BJ683" s="31">
        <f t="shared" si="381"/>
        <v>0</v>
      </c>
      <c r="BK683" s="31">
        <f t="shared" si="382"/>
        <v>0</v>
      </c>
      <c r="BL683" s="255">
        <f t="shared" si="383"/>
        <v>0</v>
      </c>
      <c r="BM683" s="31">
        <f t="shared" si="384"/>
        <v>0</v>
      </c>
      <c r="BN683" s="255">
        <f t="shared" si="385"/>
        <v>0</v>
      </c>
    </row>
    <row r="684" spans="1:66" x14ac:dyDescent="0.25">
      <c r="A684" t="s">
        <v>1483</v>
      </c>
      <c r="B684" s="186" t="str">
        <f>VLOOKUP(A684,kurspris!$A$1:$B$877,2,FALSE)</f>
        <v>Examensarbete för grundlärarexamen med inriktning mot förskoleklass och grundskolans år 1-3</v>
      </c>
      <c r="C684"/>
      <c r="D684" t="s">
        <v>486</v>
      </c>
      <c r="E684" t="s">
        <v>1976</v>
      </c>
      <c r="F684" s="39" t="s">
        <v>1930</v>
      </c>
      <c r="G684" t="s">
        <v>1993</v>
      </c>
      <c r="H684" t="s">
        <v>1910</v>
      </c>
      <c r="I684"/>
      <c r="J684"/>
      <c r="K684"/>
      <c r="L684">
        <v>100</v>
      </c>
      <c r="M684" s="295">
        <v>22.5</v>
      </c>
      <c r="N684"/>
      <c r="O684"/>
      <c r="P684" s="31">
        <v>1</v>
      </c>
      <c r="Q684" s="232">
        <f t="shared" si="358"/>
        <v>0.375</v>
      </c>
      <c r="R684" s="40">
        <v>0.85</v>
      </c>
      <c r="S684" s="334">
        <f t="shared" si="359"/>
        <v>0.31874999999999998</v>
      </c>
      <c r="T684" s="31">
        <f>VLOOKUP(A684,'Ansvar kurs'!$A$1:$C$1010,2,FALSE)</f>
        <v>5740</v>
      </c>
      <c r="U684" s="31" t="str">
        <f>VLOOKUP(T684,Orgenheter!$A$1:$C$165,2,FALSE)</f>
        <v>NMD</v>
      </c>
      <c r="V684" s="31" t="str">
        <f>VLOOKUP(T684,Orgenheter!$A$1:$C$165,3,FALSE)</f>
        <v>TekNat</v>
      </c>
      <c r="W684" s="37" t="str">
        <f>VLOOKUP(D684,Program!$A$1:$B$34,2,FALSE)</f>
        <v>Grundlärarprogrammet - förskoleklass och åk 1-3</v>
      </c>
      <c r="X684" s="42">
        <f>VLOOKUP(A684,kurspris!$A$1:$Q$798,15,FALSE)</f>
        <v>19473</v>
      </c>
      <c r="Y684" s="42">
        <f>VLOOKUP(A684,kurspris!$A$1:$Q$798,16,FALSE)</f>
        <v>34806</v>
      </c>
      <c r="Z684" s="42">
        <f t="shared" si="360"/>
        <v>18396.787499999999</v>
      </c>
      <c r="AA684" s="42">
        <f>VLOOKUP(A684,kurspris!$A$1:$Q$798,17,FALSE)</f>
        <v>21800</v>
      </c>
      <c r="AB684" s="42">
        <f t="shared" si="361"/>
        <v>8175</v>
      </c>
      <c r="AC684" s="42">
        <f t="shared" si="362"/>
        <v>26571.787499999999</v>
      </c>
      <c r="AD684" s="31">
        <f>VLOOKUP($A684,kurspris!$A$1:$Q$835,3,FALSE)</f>
        <v>0</v>
      </c>
      <c r="AE684" s="31">
        <f>VLOOKUP($A684,kurspris!$A$1:$Q$835,4,FALSE)</f>
        <v>0</v>
      </c>
      <c r="AF684" s="31">
        <f>VLOOKUP($A684,kurspris!$A$1:$Q$835,5,FALSE)</f>
        <v>0</v>
      </c>
      <c r="AG684" s="31">
        <f>VLOOKUP($A684,kurspris!$A$1:$Q$835,6,FALSE)</f>
        <v>0</v>
      </c>
      <c r="AH684" s="31">
        <f>VLOOKUP($A684,kurspris!$A$1:$Q$835,7,FALSE)</f>
        <v>0</v>
      </c>
      <c r="AI684" s="31">
        <f>VLOOKUP($A684,kurspris!$A$1:$Q$835,8,FALSE)</f>
        <v>1</v>
      </c>
      <c r="AJ684" s="31">
        <f>VLOOKUP($A684,kurspris!$A$1:$Q$835,9,FALSE)</f>
        <v>0</v>
      </c>
      <c r="AK684" s="31">
        <f>VLOOKUP($A684,kurspris!$A$1:$Q$835,10,FALSE)</f>
        <v>0</v>
      </c>
      <c r="AL684" s="31">
        <f>VLOOKUP($A684,kurspris!$A$1:$Q$835,11,FALSE)</f>
        <v>0</v>
      </c>
      <c r="AM684" s="31">
        <f>VLOOKUP($A684,kurspris!$A$1:$Q$835,12,FALSE)</f>
        <v>0</v>
      </c>
      <c r="AN684" s="31">
        <f>VLOOKUP($A684,kurspris!$A$1:$Q$835,13,FALSE)</f>
        <v>0</v>
      </c>
      <c r="AO684" s="31">
        <f>VLOOKUP($A684,kurspris!$A$1:$Q$835,14,FALSE)</f>
        <v>0</v>
      </c>
      <c r="AP684" s="39" t="s">
        <v>2204</v>
      </c>
      <c r="AQ684" s="39" t="s">
        <v>2035</v>
      </c>
      <c r="AR684" s="31">
        <f t="shared" si="363"/>
        <v>0</v>
      </c>
      <c r="AS684" s="255">
        <f t="shared" si="364"/>
        <v>0</v>
      </c>
      <c r="AT684" s="31">
        <f t="shared" si="365"/>
        <v>0</v>
      </c>
      <c r="AU684" s="255">
        <f t="shared" si="366"/>
        <v>0</v>
      </c>
      <c r="AV684" s="31">
        <f t="shared" si="367"/>
        <v>0</v>
      </c>
      <c r="AW684" s="31">
        <f t="shared" si="368"/>
        <v>0</v>
      </c>
      <c r="AX684" s="31">
        <f t="shared" si="369"/>
        <v>0</v>
      </c>
      <c r="AY684" s="255">
        <f t="shared" si="370"/>
        <v>0</v>
      </c>
      <c r="AZ684" s="232">
        <f t="shared" si="371"/>
        <v>0</v>
      </c>
      <c r="BA684" s="255">
        <f t="shared" si="372"/>
        <v>0</v>
      </c>
      <c r="BB684" s="31">
        <f t="shared" si="373"/>
        <v>0.375</v>
      </c>
      <c r="BC684" s="255">
        <f t="shared" si="374"/>
        <v>0.31874999999999998</v>
      </c>
      <c r="BD684" s="31">
        <f t="shared" si="375"/>
        <v>0</v>
      </c>
      <c r="BE684" s="255">
        <f t="shared" si="376"/>
        <v>0</v>
      </c>
      <c r="BF684" s="31">
        <f t="shared" si="377"/>
        <v>0</v>
      </c>
      <c r="BG684" s="255">
        <f t="shared" si="378"/>
        <v>0</v>
      </c>
      <c r="BH684" s="31">
        <f t="shared" si="379"/>
        <v>0</v>
      </c>
      <c r="BI684" s="255">
        <f t="shared" si="380"/>
        <v>0</v>
      </c>
      <c r="BJ684" s="31">
        <f t="shared" si="381"/>
        <v>0</v>
      </c>
      <c r="BK684" s="31">
        <f t="shared" si="382"/>
        <v>0</v>
      </c>
      <c r="BL684" s="255">
        <f t="shared" si="383"/>
        <v>0</v>
      </c>
      <c r="BM684" s="31">
        <f t="shared" si="384"/>
        <v>0</v>
      </c>
      <c r="BN684" s="255">
        <f t="shared" si="385"/>
        <v>0</v>
      </c>
    </row>
    <row r="685" spans="1:66" x14ac:dyDescent="0.25">
      <c r="A685" s="18" t="s">
        <v>1483</v>
      </c>
      <c r="B685" s="186" t="str">
        <f>VLOOKUP(A685,kurspris!$A$1:$B$877,2,FALSE)</f>
        <v>Examensarbete för grundlärarexamen med inriktning mot förskoleklass och grundskolans år 1-3</v>
      </c>
      <c r="C685" s="37"/>
      <c r="D685" s="31" t="s">
        <v>486</v>
      </c>
      <c r="E685" s="31" t="s">
        <v>1973</v>
      </c>
      <c r="F685" s="59" t="s">
        <v>1931</v>
      </c>
      <c r="G685" s="295" t="s">
        <v>2268</v>
      </c>
      <c r="L685" s="31">
        <v>100</v>
      </c>
      <c r="M685" s="31">
        <v>7.5</v>
      </c>
      <c r="P685" s="31">
        <v>38</v>
      </c>
      <c r="Q685" s="232">
        <f t="shared" si="358"/>
        <v>4.75</v>
      </c>
      <c r="R685" s="40">
        <v>0.85</v>
      </c>
      <c r="S685" s="334">
        <f t="shared" si="359"/>
        <v>4.0374999999999996</v>
      </c>
      <c r="T685" s="31">
        <f>VLOOKUP(A685,'Ansvar kurs'!$A$1:$C$1010,2,FALSE)</f>
        <v>5740</v>
      </c>
      <c r="U685" s="31" t="str">
        <f>VLOOKUP(T685,Orgenheter!$A$1:$C$165,2,FALSE)</f>
        <v>NMD</v>
      </c>
      <c r="V685" s="31" t="str">
        <f>VLOOKUP(T685,Orgenheter!$A$1:$C$165,3,FALSE)</f>
        <v>TekNat</v>
      </c>
      <c r="W685" s="37" t="str">
        <f>VLOOKUP(D685,Program!$A$1:$B$34,2,FALSE)</f>
        <v>Grundlärarprogrammet - förskoleklass och åk 1-3</v>
      </c>
      <c r="X685" s="42">
        <f>VLOOKUP(A685,kurspris!$A$1:$Q$798,15,FALSE)</f>
        <v>19473</v>
      </c>
      <c r="Y685" s="42">
        <f>VLOOKUP(A685,kurspris!$A$1:$Q$798,16,FALSE)</f>
        <v>34806</v>
      </c>
      <c r="Z685" s="42">
        <f t="shared" si="360"/>
        <v>233025.97499999998</v>
      </c>
      <c r="AA685" s="42">
        <f>VLOOKUP(A685,kurspris!$A$1:$Q$798,17,FALSE)</f>
        <v>21800</v>
      </c>
      <c r="AB685" s="42">
        <f t="shared" si="361"/>
        <v>103550</v>
      </c>
      <c r="AC685" s="42">
        <f t="shared" si="362"/>
        <v>336575.97499999998</v>
      </c>
      <c r="AD685" s="31">
        <f>VLOOKUP($A685,kurspris!$A$1:$Q$835,3,FALSE)</f>
        <v>0</v>
      </c>
      <c r="AE685" s="31">
        <f>VLOOKUP($A685,kurspris!$A$1:$Q$835,4,FALSE)</f>
        <v>0</v>
      </c>
      <c r="AF685" s="31">
        <f>VLOOKUP($A685,kurspris!$A$1:$Q$835,5,FALSE)</f>
        <v>0</v>
      </c>
      <c r="AG685" s="31">
        <f>VLOOKUP($A685,kurspris!$A$1:$Q$835,6,FALSE)</f>
        <v>0</v>
      </c>
      <c r="AH685" s="31">
        <f>VLOOKUP($A685,kurspris!$A$1:$Q$835,7,FALSE)</f>
        <v>0</v>
      </c>
      <c r="AI685" s="31">
        <f>VLOOKUP($A685,kurspris!$A$1:$Q$835,8,FALSE)</f>
        <v>1</v>
      </c>
      <c r="AJ685" s="31">
        <f>VLOOKUP($A685,kurspris!$A$1:$Q$835,9,FALSE)</f>
        <v>0</v>
      </c>
      <c r="AK685" s="31">
        <f>VLOOKUP($A685,kurspris!$A$1:$Q$835,10,FALSE)</f>
        <v>0</v>
      </c>
      <c r="AL685" s="31">
        <f>VLOOKUP($A685,kurspris!$A$1:$Q$835,11,FALSE)</f>
        <v>0</v>
      </c>
      <c r="AM685" s="31">
        <f>VLOOKUP($A685,kurspris!$A$1:$Q$835,12,FALSE)</f>
        <v>0</v>
      </c>
      <c r="AN685" s="31">
        <f>VLOOKUP($A685,kurspris!$A$1:$Q$835,13,FALSE)</f>
        <v>0</v>
      </c>
      <c r="AO685" s="31">
        <f>VLOOKUP($A685,kurspris!$A$1:$Q$835,14,FALSE)</f>
        <v>0</v>
      </c>
      <c r="AP685" s="39" t="s">
        <v>2326</v>
      </c>
      <c r="AQ685" t="s">
        <v>2300</v>
      </c>
      <c r="AR685" s="31">
        <f t="shared" si="363"/>
        <v>0</v>
      </c>
      <c r="AS685" s="255">
        <f t="shared" si="364"/>
        <v>0</v>
      </c>
      <c r="AT685" s="31">
        <f t="shared" si="365"/>
        <v>0</v>
      </c>
      <c r="AU685" s="255">
        <f t="shared" si="366"/>
        <v>0</v>
      </c>
      <c r="AV685" s="31">
        <f t="shared" si="367"/>
        <v>0</v>
      </c>
      <c r="AW685" s="31">
        <f t="shared" si="368"/>
        <v>0</v>
      </c>
      <c r="AX685" s="31">
        <f t="shared" si="369"/>
        <v>0</v>
      </c>
      <c r="AY685" s="255">
        <f t="shared" si="370"/>
        <v>0</v>
      </c>
      <c r="AZ685" s="232">
        <f t="shared" si="371"/>
        <v>0</v>
      </c>
      <c r="BA685" s="255">
        <f t="shared" si="372"/>
        <v>0</v>
      </c>
      <c r="BB685" s="31">
        <f t="shared" si="373"/>
        <v>4.75</v>
      </c>
      <c r="BC685" s="255">
        <f t="shared" si="374"/>
        <v>4.0374999999999996</v>
      </c>
      <c r="BD685" s="31">
        <f t="shared" si="375"/>
        <v>0</v>
      </c>
      <c r="BE685" s="255">
        <f t="shared" si="376"/>
        <v>0</v>
      </c>
      <c r="BF685" s="31">
        <f t="shared" si="377"/>
        <v>0</v>
      </c>
      <c r="BG685" s="255">
        <f t="shared" si="378"/>
        <v>0</v>
      </c>
      <c r="BH685" s="31">
        <f t="shared" si="379"/>
        <v>0</v>
      </c>
      <c r="BI685" s="255">
        <f t="shared" si="380"/>
        <v>0</v>
      </c>
      <c r="BJ685" s="31">
        <f t="shared" si="381"/>
        <v>0</v>
      </c>
      <c r="BK685" s="31">
        <f t="shared" si="382"/>
        <v>0</v>
      </c>
      <c r="BL685" s="255">
        <f t="shared" si="383"/>
        <v>0</v>
      </c>
      <c r="BM685" s="31">
        <f t="shared" si="384"/>
        <v>0</v>
      </c>
      <c r="BN685" s="255">
        <f t="shared" si="385"/>
        <v>0</v>
      </c>
    </row>
    <row r="686" spans="1:66" x14ac:dyDescent="0.25">
      <c r="A686" t="s">
        <v>1484</v>
      </c>
      <c r="B686" s="186" t="str">
        <f>VLOOKUP(A686,kurspris!$A$1:$B$877,2,FALSE)</f>
        <v>Examensarbete för grundlärarexamen med inriktning mot grundskolans år 4-6</v>
      </c>
      <c r="C686"/>
      <c r="D686" t="s">
        <v>524</v>
      </c>
      <c r="E686" t="s">
        <v>1994</v>
      </c>
      <c r="F686" s="39" t="s">
        <v>1930</v>
      </c>
      <c r="G686" t="s">
        <v>1993</v>
      </c>
      <c r="H686" t="s">
        <v>1910</v>
      </c>
      <c r="I686"/>
      <c r="J686"/>
      <c r="K686"/>
      <c r="L686">
        <v>100</v>
      </c>
      <c r="M686" s="295">
        <v>22.5</v>
      </c>
      <c r="N686"/>
      <c r="O686"/>
      <c r="P686" s="31">
        <v>1</v>
      </c>
      <c r="Q686" s="232">
        <f t="shared" si="358"/>
        <v>0.375</v>
      </c>
      <c r="R686" s="40">
        <v>0.85</v>
      </c>
      <c r="S686" s="334">
        <f t="shared" si="359"/>
        <v>0.31874999999999998</v>
      </c>
      <c r="T686" s="31">
        <f>VLOOKUP(A686,'Ansvar kurs'!$A$1:$C$1010,2,FALSE)</f>
        <v>5740</v>
      </c>
      <c r="U686" s="31" t="str">
        <f>VLOOKUP(T686,Orgenheter!$A$1:$C$165,2,FALSE)</f>
        <v>NMD</v>
      </c>
      <c r="V686" s="31" t="str">
        <f>VLOOKUP(T686,Orgenheter!$A$1:$C$165,3,FALSE)</f>
        <v>TekNat</v>
      </c>
      <c r="W686" s="37" t="str">
        <f>VLOOKUP(D686,Program!$A$1:$B$34,2,FALSE)</f>
        <v>Grundlärarprogrammet - grundskolans åk 4-6</v>
      </c>
      <c r="X686" s="42">
        <f>VLOOKUP(A686,kurspris!$A$1:$Q$798,15,FALSE)</f>
        <v>19473</v>
      </c>
      <c r="Y686" s="42">
        <f>VLOOKUP(A686,kurspris!$A$1:$Q$798,16,FALSE)</f>
        <v>34806</v>
      </c>
      <c r="Z686" s="42">
        <f t="shared" si="360"/>
        <v>18396.787499999999</v>
      </c>
      <c r="AA686" s="42">
        <f>VLOOKUP(A686,kurspris!$A$1:$Q$798,17,FALSE)</f>
        <v>21800</v>
      </c>
      <c r="AB686" s="42">
        <f t="shared" si="361"/>
        <v>8175</v>
      </c>
      <c r="AC686" s="42">
        <f t="shared" si="362"/>
        <v>26571.787499999999</v>
      </c>
      <c r="AD686" s="31">
        <f>VLOOKUP($A686,kurspris!$A$1:$Q$835,3,FALSE)</f>
        <v>0</v>
      </c>
      <c r="AE686" s="31">
        <f>VLOOKUP($A686,kurspris!$A$1:$Q$835,4,FALSE)</f>
        <v>0</v>
      </c>
      <c r="AF686" s="31">
        <f>VLOOKUP($A686,kurspris!$A$1:$Q$835,5,FALSE)</f>
        <v>0</v>
      </c>
      <c r="AG686" s="31">
        <f>VLOOKUP($A686,kurspris!$A$1:$Q$835,6,FALSE)</f>
        <v>0</v>
      </c>
      <c r="AH686" s="31">
        <f>VLOOKUP($A686,kurspris!$A$1:$Q$835,7,FALSE)</f>
        <v>0</v>
      </c>
      <c r="AI686" s="31">
        <f>VLOOKUP($A686,kurspris!$A$1:$Q$835,8,FALSE)</f>
        <v>1</v>
      </c>
      <c r="AJ686" s="31">
        <f>VLOOKUP($A686,kurspris!$A$1:$Q$835,9,FALSE)</f>
        <v>0</v>
      </c>
      <c r="AK686" s="31">
        <f>VLOOKUP($A686,kurspris!$A$1:$Q$835,10,FALSE)</f>
        <v>0</v>
      </c>
      <c r="AL686" s="31">
        <f>VLOOKUP($A686,kurspris!$A$1:$Q$835,11,FALSE)</f>
        <v>0</v>
      </c>
      <c r="AM686" s="31">
        <f>VLOOKUP($A686,kurspris!$A$1:$Q$835,12,FALSE)</f>
        <v>0</v>
      </c>
      <c r="AN686" s="31">
        <f>VLOOKUP($A686,kurspris!$A$1:$Q$835,13,FALSE)</f>
        <v>0</v>
      </c>
      <c r="AO686" s="31">
        <f>VLOOKUP($A686,kurspris!$A$1:$Q$835,14,FALSE)</f>
        <v>0</v>
      </c>
      <c r="AP686" s="39" t="s">
        <v>2204</v>
      </c>
      <c r="AQ686" s="39" t="s">
        <v>2035</v>
      </c>
      <c r="AR686" s="31">
        <f t="shared" si="363"/>
        <v>0</v>
      </c>
      <c r="AS686" s="255">
        <f t="shared" si="364"/>
        <v>0</v>
      </c>
      <c r="AT686" s="31">
        <f t="shared" si="365"/>
        <v>0</v>
      </c>
      <c r="AU686" s="255">
        <f t="shared" si="366"/>
        <v>0</v>
      </c>
      <c r="AV686" s="31">
        <f t="shared" si="367"/>
        <v>0</v>
      </c>
      <c r="AW686" s="31">
        <f t="shared" si="368"/>
        <v>0</v>
      </c>
      <c r="AX686" s="31">
        <f t="shared" si="369"/>
        <v>0</v>
      </c>
      <c r="AY686" s="255">
        <f t="shared" si="370"/>
        <v>0</v>
      </c>
      <c r="AZ686" s="232">
        <f t="shared" si="371"/>
        <v>0</v>
      </c>
      <c r="BA686" s="255">
        <f t="shared" si="372"/>
        <v>0</v>
      </c>
      <c r="BB686" s="31">
        <f t="shared" si="373"/>
        <v>0.375</v>
      </c>
      <c r="BC686" s="255">
        <f t="shared" si="374"/>
        <v>0.31874999999999998</v>
      </c>
      <c r="BD686" s="31">
        <f t="shared" si="375"/>
        <v>0</v>
      </c>
      <c r="BE686" s="255">
        <f t="shared" si="376"/>
        <v>0</v>
      </c>
      <c r="BF686" s="31">
        <f t="shared" si="377"/>
        <v>0</v>
      </c>
      <c r="BG686" s="255">
        <f t="shared" si="378"/>
        <v>0</v>
      </c>
      <c r="BH686" s="31">
        <f t="shared" si="379"/>
        <v>0</v>
      </c>
      <c r="BI686" s="255">
        <f t="shared" si="380"/>
        <v>0</v>
      </c>
      <c r="BJ686" s="31">
        <f t="shared" si="381"/>
        <v>0</v>
      </c>
      <c r="BK686" s="31">
        <f t="shared" si="382"/>
        <v>0</v>
      </c>
      <c r="BL686" s="255">
        <f t="shared" si="383"/>
        <v>0</v>
      </c>
      <c r="BM686" s="31">
        <f t="shared" si="384"/>
        <v>0</v>
      </c>
      <c r="BN686" s="255">
        <f t="shared" si="385"/>
        <v>0</v>
      </c>
    </row>
    <row r="687" spans="1:66" x14ac:dyDescent="0.25">
      <c r="A687" t="s">
        <v>1484</v>
      </c>
      <c r="B687" s="186" t="str">
        <f>VLOOKUP(A687,kurspris!$A$1:$B$877,2,FALSE)</f>
        <v>Examensarbete för grundlärarexamen med inriktning mot grundskolans år 4-6</v>
      </c>
      <c r="C687"/>
      <c r="D687" t="s">
        <v>524</v>
      </c>
      <c r="E687" t="s">
        <v>1976</v>
      </c>
      <c r="F687" s="39" t="s">
        <v>1930</v>
      </c>
      <c r="G687" t="s">
        <v>1993</v>
      </c>
      <c r="H687" t="s">
        <v>1910</v>
      </c>
      <c r="I687"/>
      <c r="J687"/>
      <c r="K687"/>
      <c r="L687">
        <v>100</v>
      </c>
      <c r="M687" s="295">
        <v>22.5</v>
      </c>
      <c r="N687"/>
      <c r="O687"/>
      <c r="P687" s="31">
        <v>24</v>
      </c>
      <c r="Q687" s="232">
        <f t="shared" si="358"/>
        <v>9</v>
      </c>
      <c r="R687" s="40">
        <v>0.85</v>
      </c>
      <c r="S687" s="334">
        <f t="shared" si="359"/>
        <v>7.6499999999999995</v>
      </c>
      <c r="T687" s="31">
        <f>VLOOKUP(A687,'Ansvar kurs'!$A$1:$C$1010,2,FALSE)</f>
        <v>5740</v>
      </c>
      <c r="U687" s="31" t="str">
        <f>VLOOKUP(T687,Orgenheter!$A$1:$C$165,2,FALSE)</f>
        <v>NMD</v>
      </c>
      <c r="V687" s="31" t="str">
        <f>VLOOKUP(T687,Orgenheter!$A$1:$C$165,3,FALSE)</f>
        <v>TekNat</v>
      </c>
      <c r="W687" s="37" t="str">
        <f>VLOOKUP(D687,Program!$A$1:$B$34,2,FALSE)</f>
        <v>Grundlärarprogrammet - grundskolans åk 4-6</v>
      </c>
      <c r="X687" s="42">
        <f>VLOOKUP(A687,kurspris!$A$1:$Q$798,15,FALSE)</f>
        <v>19473</v>
      </c>
      <c r="Y687" s="42">
        <f>VLOOKUP(A687,kurspris!$A$1:$Q$798,16,FALSE)</f>
        <v>34806</v>
      </c>
      <c r="Z687" s="42">
        <f t="shared" si="360"/>
        <v>441522.89999999997</v>
      </c>
      <c r="AA687" s="42">
        <f>VLOOKUP(A687,kurspris!$A$1:$Q$798,17,FALSE)</f>
        <v>21800</v>
      </c>
      <c r="AB687" s="42">
        <f t="shared" si="361"/>
        <v>196200</v>
      </c>
      <c r="AC687" s="42">
        <f t="shared" si="362"/>
        <v>637722.89999999991</v>
      </c>
      <c r="AD687" s="31">
        <f>VLOOKUP($A687,kurspris!$A$1:$Q$835,3,FALSE)</f>
        <v>0</v>
      </c>
      <c r="AE687" s="31">
        <f>VLOOKUP($A687,kurspris!$A$1:$Q$835,4,FALSE)</f>
        <v>0</v>
      </c>
      <c r="AF687" s="31">
        <f>VLOOKUP($A687,kurspris!$A$1:$Q$835,5,FALSE)</f>
        <v>0</v>
      </c>
      <c r="AG687" s="31">
        <f>VLOOKUP($A687,kurspris!$A$1:$Q$835,6,FALSE)</f>
        <v>0</v>
      </c>
      <c r="AH687" s="31">
        <f>VLOOKUP($A687,kurspris!$A$1:$Q$835,7,FALSE)</f>
        <v>0</v>
      </c>
      <c r="AI687" s="31">
        <f>VLOOKUP($A687,kurspris!$A$1:$Q$835,8,FALSE)</f>
        <v>1</v>
      </c>
      <c r="AJ687" s="31">
        <f>VLOOKUP($A687,kurspris!$A$1:$Q$835,9,FALSE)</f>
        <v>0</v>
      </c>
      <c r="AK687" s="31">
        <f>VLOOKUP($A687,kurspris!$A$1:$Q$835,10,FALSE)</f>
        <v>0</v>
      </c>
      <c r="AL687" s="31">
        <f>VLOOKUP($A687,kurspris!$A$1:$Q$835,11,FALSE)</f>
        <v>0</v>
      </c>
      <c r="AM687" s="31">
        <f>VLOOKUP($A687,kurspris!$A$1:$Q$835,12,FALSE)</f>
        <v>0</v>
      </c>
      <c r="AN687" s="31">
        <f>VLOOKUP($A687,kurspris!$A$1:$Q$835,13,FALSE)</f>
        <v>0</v>
      </c>
      <c r="AO687" s="31">
        <f>VLOOKUP($A687,kurspris!$A$1:$Q$835,14,FALSE)</f>
        <v>0</v>
      </c>
      <c r="AP687" s="39" t="s">
        <v>2204</v>
      </c>
      <c r="AQ687" s="39" t="s">
        <v>2035</v>
      </c>
      <c r="AR687" s="31">
        <f t="shared" si="363"/>
        <v>0</v>
      </c>
      <c r="AS687" s="255">
        <f t="shared" si="364"/>
        <v>0</v>
      </c>
      <c r="AT687" s="31">
        <f t="shared" si="365"/>
        <v>0</v>
      </c>
      <c r="AU687" s="255">
        <f t="shared" si="366"/>
        <v>0</v>
      </c>
      <c r="AV687" s="31">
        <f t="shared" si="367"/>
        <v>0</v>
      </c>
      <c r="AW687" s="31">
        <f t="shared" si="368"/>
        <v>0</v>
      </c>
      <c r="AX687" s="31">
        <f t="shared" si="369"/>
        <v>0</v>
      </c>
      <c r="AY687" s="255">
        <f t="shared" si="370"/>
        <v>0</v>
      </c>
      <c r="AZ687" s="232">
        <f t="shared" si="371"/>
        <v>0</v>
      </c>
      <c r="BA687" s="255">
        <f t="shared" si="372"/>
        <v>0</v>
      </c>
      <c r="BB687" s="31">
        <f t="shared" si="373"/>
        <v>9</v>
      </c>
      <c r="BC687" s="255">
        <f t="shared" si="374"/>
        <v>7.6499999999999995</v>
      </c>
      <c r="BD687" s="31">
        <f t="shared" si="375"/>
        <v>0</v>
      </c>
      <c r="BE687" s="255">
        <f t="shared" si="376"/>
        <v>0</v>
      </c>
      <c r="BF687" s="31">
        <f t="shared" si="377"/>
        <v>0</v>
      </c>
      <c r="BG687" s="255">
        <f t="shared" si="378"/>
        <v>0</v>
      </c>
      <c r="BH687" s="31">
        <f t="shared" si="379"/>
        <v>0</v>
      </c>
      <c r="BI687" s="255">
        <f t="shared" si="380"/>
        <v>0</v>
      </c>
      <c r="BJ687" s="31">
        <f t="shared" si="381"/>
        <v>0</v>
      </c>
      <c r="BK687" s="31">
        <f t="shared" si="382"/>
        <v>0</v>
      </c>
      <c r="BL687" s="255">
        <f t="shared" si="383"/>
        <v>0</v>
      </c>
      <c r="BM687" s="31">
        <f t="shared" si="384"/>
        <v>0</v>
      </c>
      <c r="BN687" s="255">
        <f t="shared" si="385"/>
        <v>0</v>
      </c>
    </row>
    <row r="688" spans="1:66" x14ac:dyDescent="0.25">
      <c r="A688" t="s">
        <v>1484</v>
      </c>
      <c r="B688" s="186" t="str">
        <f>VLOOKUP(A688,kurspris!$A$1:$B$877,2,FALSE)</f>
        <v>Examensarbete för grundlärarexamen med inriktning mot grundskolans år 4-6</v>
      </c>
      <c r="C688"/>
      <c r="D688" t="s">
        <v>524</v>
      </c>
      <c r="E688" t="s">
        <v>1973</v>
      </c>
      <c r="F688" s="39" t="s">
        <v>1930</v>
      </c>
      <c r="G688" t="s">
        <v>1993</v>
      </c>
      <c r="H688" t="s">
        <v>1910</v>
      </c>
      <c r="I688"/>
      <c r="J688"/>
      <c r="K688"/>
      <c r="L688">
        <v>100</v>
      </c>
      <c r="M688" s="295">
        <v>22.5</v>
      </c>
      <c r="N688"/>
      <c r="O688"/>
      <c r="P688" s="31">
        <v>2</v>
      </c>
      <c r="Q688" s="232">
        <f t="shared" si="358"/>
        <v>0.75</v>
      </c>
      <c r="R688" s="40">
        <v>0.85</v>
      </c>
      <c r="S688" s="334">
        <f t="shared" si="359"/>
        <v>0.63749999999999996</v>
      </c>
      <c r="T688" s="31">
        <f>VLOOKUP(A688,'Ansvar kurs'!$A$1:$C$1010,2,FALSE)</f>
        <v>5740</v>
      </c>
      <c r="U688" s="31" t="str">
        <f>VLOOKUP(T688,Orgenheter!$A$1:$C$165,2,FALSE)</f>
        <v>NMD</v>
      </c>
      <c r="V688" s="31" t="str">
        <f>VLOOKUP(T688,Orgenheter!$A$1:$C$165,3,FALSE)</f>
        <v>TekNat</v>
      </c>
      <c r="W688" s="37" t="str">
        <f>VLOOKUP(D688,Program!$A$1:$B$34,2,FALSE)</f>
        <v>Grundlärarprogrammet - grundskolans åk 4-6</v>
      </c>
      <c r="X688" s="42">
        <f>VLOOKUP(A688,kurspris!$A$1:$Q$798,15,FALSE)</f>
        <v>19473</v>
      </c>
      <c r="Y688" s="42">
        <f>VLOOKUP(A688,kurspris!$A$1:$Q$798,16,FALSE)</f>
        <v>34806</v>
      </c>
      <c r="Z688" s="42">
        <f t="shared" si="360"/>
        <v>36793.574999999997</v>
      </c>
      <c r="AA688" s="42">
        <f>VLOOKUP(A688,kurspris!$A$1:$Q$798,17,FALSE)</f>
        <v>21800</v>
      </c>
      <c r="AB688" s="42">
        <f t="shared" si="361"/>
        <v>16350</v>
      </c>
      <c r="AC688" s="42">
        <f t="shared" si="362"/>
        <v>53143.574999999997</v>
      </c>
      <c r="AD688" s="31">
        <f>VLOOKUP($A688,kurspris!$A$1:$Q$835,3,FALSE)</f>
        <v>0</v>
      </c>
      <c r="AE688" s="31">
        <f>VLOOKUP($A688,kurspris!$A$1:$Q$835,4,FALSE)</f>
        <v>0</v>
      </c>
      <c r="AF688" s="31">
        <f>VLOOKUP($A688,kurspris!$A$1:$Q$835,5,FALSE)</f>
        <v>0</v>
      </c>
      <c r="AG688" s="31">
        <f>VLOOKUP($A688,kurspris!$A$1:$Q$835,6,FALSE)</f>
        <v>0</v>
      </c>
      <c r="AH688" s="31">
        <f>VLOOKUP($A688,kurspris!$A$1:$Q$835,7,FALSE)</f>
        <v>0</v>
      </c>
      <c r="AI688" s="31">
        <f>VLOOKUP($A688,kurspris!$A$1:$Q$835,8,FALSE)</f>
        <v>1</v>
      </c>
      <c r="AJ688" s="31">
        <f>VLOOKUP($A688,kurspris!$A$1:$Q$835,9,FALSE)</f>
        <v>0</v>
      </c>
      <c r="AK688" s="31">
        <f>VLOOKUP($A688,kurspris!$A$1:$Q$835,10,FALSE)</f>
        <v>0</v>
      </c>
      <c r="AL688" s="31">
        <f>VLOOKUP($A688,kurspris!$A$1:$Q$835,11,FALSE)</f>
        <v>0</v>
      </c>
      <c r="AM688" s="31">
        <f>VLOOKUP($A688,kurspris!$A$1:$Q$835,12,FALSE)</f>
        <v>0</v>
      </c>
      <c r="AN688" s="31">
        <f>VLOOKUP($A688,kurspris!$A$1:$Q$835,13,FALSE)</f>
        <v>0</v>
      </c>
      <c r="AO688" s="31">
        <f>VLOOKUP($A688,kurspris!$A$1:$Q$835,14,FALSE)</f>
        <v>0</v>
      </c>
      <c r="AP688" s="39" t="s">
        <v>2204</v>
      </c>
      <c r="AQ688" s="39" t="s">
        <v>2035</v>
      </c>
      <c r="AR688" s="31">
        <f t="shared" si="363"/>
        <v>0</v>
      </c>
      <c r="AS688" s="255">
        <f t="shared" si="364"/>
        <v>0</v>
      </c>
      <c r="AT688" s="31">
        <f t="shared" si="365"/>
        <v>0</v>
      </c>
      <c r="AU688" s="255">
        <f t="shared" si="366"/>
        <v>0</v>
      </c>
      <c r="AV688" s="31">
        <f t="shared" si="367"/>
        <v>0</v>
      </c>
      <c r="AW688" s="31">
        <f t="shared" si="368"/>
        <v>0</v>
      </c>
      <c r="AX688" s="31">
        <f t="shared" si="369"/>
        <v>0</v>
      </c>
      <c r="AY688" s="255">
        <f t="shared" si="370"/>
        <v>0</v>
      </c>
      <c r="AZ688" s="232">
        <f t="shared" si="371"/>
        <v>0</v>
      </c>
      <c r="BA688" s="255">
        <f t="shared" si="372"/>
        <v>0</v>
      </c>
      <c r="BB688" s="31">
        <f t="shared" si="373"/>
        <v>0.75</v>
      </c>
      <c r="BC688" s="255">
        <f t="shared" si="374"/>
        <v>0.63749999999999996</v>
      </c>
      <c r="BD688" s="31">
        <f t="shared" si="375"/>
        <v>0</v>
      </c>
      <c r="BE688" s="255">
        <f t="shared" si="376"/>
        <v>0</v>
      </c>
      <c r="BF688" s="31">
        <f t="shared" si="377"/>
        <v>0</v>
      </c>
      <c r="BG688" s="255">
        <f t="shared" si="378"/>
        <v>0</v>
      </c>
      <c r="BH688" s="31">
        <f t="shared" si="379"/>
        <v>0</v>
      </c>
      <c r="BI688" s="255">
        <f t="shared" si="380"/>
        <v>0</v>
      </c>
      <c r="BJ688" s="31">
        <f t="shared" si="381"/>
        <v>0</v>
      </c>
      <c r="BK688" s="31">
        <f t="shared" si="382"/>
        <v>0</v>
      </c>
      <c r="BL688" s="255">
        <f t="shared" si="383"/>
        <v>0</v>
      </c>
      <c r="BM688" s="31">
        <f t="shared" si="384"/>
        <v>0</v>
      </c>
      <c r="BN688" s="255">
        <f t="shared" si="385"/>
        <v>0</v>
      </c>
    </row>
    <row r="689" spans="1:66" x14ac:dyDescent="0.25">
      <c r="A689" s="18" t="s">
        <v>1484</v>
      </c>
      <c r="B689" s="186" t="str">
        <f>VLOOKUP(A689,kurspris!$A$1:$B$877,2,FALSE)</f>
        <v>Examensarbete för grundlärarexamen med inriktning mot grundskolans år 4-6</v>
      </c>
      <c r="C689" s="37"/>
      <c r="D689" s="31" t="s">
        <v>524</v>
      </c>
      <c r="E689" s="31" t="s">
        <v>1973</v>
      </c>
      <c r="F689" s="59" t="s">
        <v>1931</v>
      </c>
      <c r="G689" s="295" t="s">
        <v>2268</v>
      </c>
      <c r="L689" s="31">
        <v>100</v>
      </c>
      <c r="M689" s="31">
        <v>7.5</v>
      </c>
      <c r="P689" s="31">
        <v>23</v>
      </c>
      <c r="Q689" s="232">
        <f t="shared" si="358"/>
        <v>2.875</v>
      </c>
      <c r="R689" s="40">
        <v>0.85</v>
      </c>
      <c r="S689" s="334">
        <f t="shared" si="359"/>
        <v>2.4437500000000001</v>
      </c>
      <c r="T689" s="31">
        <f>VLOOKUP(A689,'Ansvar kurs'!$A$1:$C$1010,2,FALSE)</f>
        <v>5740</v>
      </c>
      <c r="U689" s="31" t="str">
        <f>VLOOKUP(T689,Orgenheter!$A$1:$C$165,2,FALSE)</f>
        <v>NMD</v>
      </c>
      <c r="V689" s="31" t="str">
        <f>VLOOKUP(T689,Orgenheter!$A$1:$C$165,3,FALSE)</f>
        <v>TekNat</v>
      </c>
      <c r="W689" s="37" t="str">
        <f>VLOOKUP(D689,Program!$A$1:$B$34,2,FALSE)</f>
        <v>Grundlärarprogrammet - grundskolans åk 4-6</v>
      </c>
      <c r="X689" s="42">
        <f>VLOOKUP(A689,kurspris!$A$1:$Q$798,15,FALSE)</f>
        <v>19473</v>
      </c>
      <c r="Y689" s="42">
        <f>VLOOKUP(A689,kurspris!$A$1:$Q$798,16,FALSE)</f>
        <v>34806</v>
      </c>
      <c r="Z689" s="42">
        <f t="shared" si="360"/>
        <v>141042.03750000001</v>
      </c>
      <c r="AA689" s="42">
        <f>VLOOKUP(A689,kurspris!$A$1:$Q$798,17,FALSE)</f>
        <v>21800</v>
      </c>
      <c r="AB689" s="42">
        <f t="shared" si="361"/>
        <v>62675</v>
      </c>
      <c r="AC689" s="42">
        <f t="shared" si="362"/>
        <v>203717.03750000001</v>
      </c>
      <c r="AD689" s="31">
        <f>VLOOKUP($A689,kurspris!$A$1:$Q$835,3,FALSE)</f>
        <v>0</v>
      </c>
      <c r="AE689" s="31">
        <f>VLOOKUP($A689,kurspris!$A$1:$Q$835,4,FALSE)</f>
        <v>0</v>
      </c>
      <c r="AF689" s="31">
        <f>VLOOKUP($A689,kurspris!$A$1:$Q$835,5,FALSE)</f>
        <v>0</v>
      </c>
      <c r="AG689" s="31">
        <f>VLOOKUP($A689,kurspris!$A$1:$Q$835,6,FALSE)</f>
        <v>0</v>
      </c>
      <c r="AH689" s="31">
        <f>VLOOKUP($A689,kurspris!$A$1:$Q$835,7,FALSE)</f>
        <v>0</v>
      </c>
      <c r="AI689" s="31">
        <f>VLOOKUP($A689,kurspris!$A$1:$Q$835,8,FALSE)</f>
        <v>1</v>
      </c>
      <c r="AJ689" s="31">
        <f>VLOOKUP($A689,kurspris!$A$1:$Q$835,9,FALSE)</f>
        <v>0</v>
      </c>
      <c r="AK689" s="31">
        <f>VLOOKUP($A689,kurspris!$A$1:$Q$835,10,FALSE)</f>
        <v>0</v>
      </c>
      <c r="AL689" s="31">
        <f>VLOOKUP($A689,kurspris!$A$1:$Q$835,11,FALSE)</f>
        <v>0</v>
      </c>
      <c r="AM689" s="31">
        <f>VLOOKUP($A689,kurspris!$A$1:$Q$835,12,FALSE)</f>
        <v>0</v>
      </c>
      <c r="AN689" s="31">
        <f>VLOOKUP($A689,kurspris!$A$1:$Q$835,13,FALSE)</f>
        <v>0</v>
      </c>
      <c r="AO689" s="31">
        <f>VLOOKUP($A689,kurspris!$A$1:$Q$835,14,FALSE)</f>
        <v>0</v>
      </c>
      <c r="AP689" s="39" t="s">
        <v>2326</v>
      </c>
      <c r="AQ689" t="s">
        <v>2300</v>
      </c>
      <c r="AR689" s="31">
        <f t="shared" si="363"/>
        <v>0</v>
      </c>
      <c r="AS689" s="255">
        <f t="shared" si="364"/>
        <v>0</v>
      </c>
      <c r="AT689" s="31">
        <f t="shared" si="365"/>
        <v>0</v>
      </c>
      <c r="AU689" s="255">
        <f t="shared" si="366"/>
        <v>0</v>
      </c>
      <c r="AV689" s="31">
        <f t="shared" si="367"/>
        <v>0</v>
      </c>
      <c r="AW689" s="31">
        <f t="shared" si="368"/>
        <v>0</v>
      </c>
      <c r="AX689" s="31">
        <f t="shared" si="369"/>
        <v>0</v>
      </c>
      <c r="AY689" s="255">
        <f t="shared" si="370"/>
        <v>0</v>
      </c>
      <c r="AZ689" s="232">
        <f t="shared" si="371"/>
        <v>0</v>
      </c>
      <c r="BA689" s="255">
        <f t="shared" si="372"/>
        <v>0</v>
      </c>
      <c r="BB689" s="31">
        <f t="shared" si="373"/>
        <v>2.875</v>
      </c>
      <c r="BC689" s="255">
        <f t="shared" si="374"/>
        <v>2.4437500000000001</v>
      </c>
      <c r="BD689" s="31">
        <f t="shared" si="375"/>
        <v>0</v>
      </c>
      <c r="BE689" s="255">
        <f t="shared" si="376"/>
        <v>0</v>
      </c>
      <c r="BF689" s="31">
        <f t="shared" si="377"/>
        <v>0</v>
      </c>
      <c r="BG689" s="255">
        <f t="shared" si="378"/>
        <v>0</v>
      </c>
      <c r="BH689" s="31">
        <f t="shared" si="379"/>
        <v>0</v>
      </c>
      <c r="BI689" s="255">
        <f t="shared" si="380"/>
        <v>0</v>
      </c>
      <c r="BJ689" s="31">
        <f t="shared" si="381"/>
        <v>0</v>
      </c>
      <c r="BK689" s="31">
        <f t="shared" si="382"/>
        <v>0</v>
      </c>
      <c r="BL689" s="255">
        <f t="shared" si="383"/>
        <v>0</v>
      </c>
      <c r="BM689" s="31">
        <f t="shared" si="384"/>
        <v>0</v>
      </c>
      <c r="BN689" s="255">
        <f t="shared" si="385"/>
        <v>0</v>
      </c>
    </row>
    <row r="690" spans="1:66" x14ac:dyDescent="0.25">
      <c r="A690" t="s">
        <v>1474</v>
      </c>
      <c r="B690" s="186" t="str">
        <f>VLOOKUP(A690,kurspris!$A$1:$B$877,2,FALSE)</f>
        <v>Undervisning och lärande - läroplansteori och didaktik inklusive VFU (UK och VFU)</v>
      </c>
      <c r="C690"/>
      <c r="D690" t="s">
        <v>1632</v>
      </c>
      <c r="E690" t="s">
        <v>1930</v>
      </c>
      <c r="F690" s="59" t="s">
        <v>1930</v>
      </c>
      <c r="G690" t="s">
        <v>1937</v>
      </c>
      <c r="H690" t="s">
        <v>1910</v>
      </c>
      <c r="I690"/>
      <c r="J690"/>
      <c r="K690"/>
      <c r="L690" s="423">
        <v>150</v>
      </c>
      <c r="M690">
        <v>9</v>
      </c>
      <c r="N690"/>
      <c r="O690"/>
      <c r="P690" s="31">
        <v>14</v>
      </c>
      <c r="Q690" s="232">
        <f t="shared" si="358"/>
        <v>2.1</v>
      </c>
      <c r="R690" s="40">
        <v>0.85</v>
      </c>
      <c r="S690" s="334">
        <f t="shared" si="359"/>
        <v>1.7849999999999999</v>
      </c>
      <c r="T690" s="31">
        <f>VLOOKUP(A690,'Ansvar kurs'!$A$1:$C$1010,2,FALSE)</f>
        <v>2180</v>
      </c>
      <c r="U690" s="31" t="str">
        <f>VLOOKUP(T690,Orgenheter!$A$1:$C$165,2,FALSE)</f>
        <v xml:space="preserve">Pedagogik                     </v>
      </c>
      <c r="V690" s="31" t="str">
        <f>VLOOKUP(T690,Orgenheter!$A$1:$C$165,3,FALSE)</f>
        <v>Sam</v>
      </c>
      <c r="W690" s="37" t="str">
        <f>VLOOKUP(D690,Program!$A$1:$B$34,2,FALSE)</f>
        <v>KPU - Förhöjd studietakt - utbildningsbidrag</v>
      </c>
      <c r="X690" s="42">
        <f>VLOOKUP(A690,kurspris!$A$1:$Q$798,15,FALSE)</f>
        <v>23299.809999999998</v>
      </c>
      <c r="Y690" s="42">
        <f>VLOOKUP(A690,kurspris!$A$1:$Q$798,16,FALSE)</f>
        <v>28479.999999999996</v>
      </c>
      <c r="Z690" s="42">
        <f t="shared" si="360"/>
        <v>99766.400999999983</v>
      </c>
      <c r="AA690" s="42">
        <f>VLOOKUP(A690,kurspris!$A$1:$Q$798,17,FALSE)</f>
        <v>5392</v>
      </c>
      <c r="AB690" s="42">
        <f t="shared" si="361"/>
        <v>11323.2</v>
      </c>
      <c r="AC690" s="42">
        <f t="shared" si="362"/>
        <v>111089.60099999998</v>
      </c>
      <c r="AD690" s="31">
        <f>VLOOKUP($A690,kurspris!$A$1:$Q$835,3,FALSE)</f>
        <v>0</v>
      </c>
      <c r="AE690" s="31">
        <f>VLOOKUP($A690,kurspris!$A$1:$Q$835,4,FALSE)</f>
        <v>0</v>
      </c>
      <c r="AF690" s="31">
        <f>VLOOKUP($A690,kurspris!$A$1:$Q$835,5,FALSE)</f>
        <v>0</v>
      </c>
      <c r="AG690" s="31">
        <f>VLOOKUP($A690,kurspris!$A$1:$Q$835,6,FALSE)</f>
        <v>0.83</v>
      </c>
      <c r="AH690" s="31">
        <f>VLOOKUP($A690,kurspris!$A$1:$Q$835,7,FALSE)</f>
        <v>0</v>
      </c>
      <c r="AI690" s="31">
        <f>VLOOKUP($A690,kurspris!$A$1:$Q$835,8,FALSE)</f>
        <v>0</v>
      </c>
      <c r="AJ690" s="31">
        <f>VLOOKUP($A690,kurspris!$A$1:$Q$835,9,FALSE)</f>
        <v>0</v>
      </c>
      <c r="AK690" s="31">
        <f>VLOOKUP($A690,kurspris!$A$1:$Q$835,10,FALSE)</f>
        <v>0</v>
      </c>
      <c r="AL690" s="31">
        <f>VLOOKUP($A690,kurspris!$A$1:$Q$835,11,FALSE)</f>
        <v>0.17</v>
      </c>
      <c r="AM690" s="31">
        <f>VLOOKUP($A690,kurspris!$A$1:$Q$835,12,FALSE)</f>
        <v>0</v>
      </c>
      <c r="AN690" s="31">
        <f>VLOOKUP($A690,kurspris!$A$1:$Q$835,13,FALSE)</f>
        <v>0</v>
      </c>
      <c r="AO690" s="31">
        <f>VLOOKUP($A690,kurspris!$A$1:$Q$835,14,FALSE)</f>
        <v>0</v>
      </c>
      <c r="AP690" s="39" t="s">
        <v>2204</v>
      </c>
      <c r="AQ690"/>
      <c r="AR690" s="31">
        <f t="shared" si="363"/>
        <v>0</v>
      </c>
      <c r="AS690" s="255">
        <f t="shared" si="364"/>
        <v>0</v>
      </c>
      <c r="AT690" s="31">
        <f t="shared" si="365"/>
        <v>0</v>
      </c>
      <c r="AU690" s="255">
        <f t="shared" si="366"/>
        <v>0</v>
      </c>
      <c r="AV690" s="31">
        <f t="shared" si="367"/>
        <v>0</v>
      </c>
      <c r="AW690" s="31">
        <f t="shared" si="368"/>
        <v>0</v>
      </c>
      <c r="AX690" s="31">
        <f t="shared" si="369"/>
        <v>1.7429999999999999</v>
      </c>
      <c r="AY690" s="255">
        <f t="shared" si="370"/>
        <v>1.4815499999999999</v>
      </c>
      <c r="AZ690" s="232">
        <f t="shared" si="371"/>
        <v>0</v>
      </c>
      <c r="BA690" s="255">
        <f t="shared" si="372"/>
        <v>0</v>
      </c>
      <c r="BB690" s="31">
        <f t="shared" si="373"/>
        <v>0</v>
      </c>
      <c r="BC690" s="255">
        <f t="shared" si="374"/>
        <v>0</v>
      </c>
      <c r="BD690" s="31">
        <f t="shared" si="375"/>
        <v>0</v>
      </c>
      <c r="BE690" s="255">
        <f t="shared" si="376"/>
        <v>0</v>
      </c>
      <c r="BF690" s="31">
        <f t="shared" si="377"/>
        <v>0</v>
      </c>
      <c r="BG690" s="255">
        <f t="shared" si="378"/>
        <v>0</v>
      </c>
      <c r="BH690" s="31">
        <f t="shared" si="379"/>
        <v>0.35700000000000004</v>
      </c>
      <c r="BI690" s="255">
        <f t="shared" si="380"/>
        <v>0.30345</v>
      </c>
      <c r="BJ690" s="31">
        <f t="shared" si="381"/>
        <v>0</v>
      </c>
      <c r="BK690" s="31">
        <f t="shared" si="382"/>
        <v>0</v>
      </c>
      <c r="BL690" s="255">
        <f t="shared" si="383"/>
        <v>0</v>
      </c>
      <c r="BM690" s="31">
        <f t="shared" si="384"/>
        <v>0</v>
      </c>
      <c r="BN690" s="255">
        <f t="shared" si="385"/>
        <v>0</v>
      </c>
    </row>
    <row r="691" spans="1:66" x14ac:dyDescent="0.25">
      <c r="A691" s="18" t="s">
        <v>1474</v>
      </c>
      <c r="B691" s="186" t="str">
        <f>VLOOKUP(A691,kurspris!$A$1:$B$877,2,FALSE)</f>
        <v>Undervisning och lärande - läroplansteori och didaktik inklusive VFU (UK och VFU)</v>
      </c>
      <c r="C691" s="37"/>
      <c r="D691" s="31" t="s">
        <v>629</v>
      </c>
      <c r="E691" s="31" t="s">
        <v>1931</v>
      </c>
      <c r="F691" s="59" t="s">
        <v>1931</v>
      </c>
      <c r="G691" s="31" t="s">
        <v>2291</v>
      </c>
      <c r="J691" t="s">
        <v>2304</v>
      </c>
      <c r="L691" s="295">
        <v>150</v>
      </c>
      <c r="M691" s="31">
        <v>9</v>
      </c>
      <c r="P691" s="31">
        <v>2</v>
      </c>
      <c r="Q691" s="232">
        <f t="shared" si="358"/>
        <v>0.3</v>
      </c>
      <c r="R691" s="40">
        <v>0.85</v>
      </c>
      <c r="S691" s="334">
        <f t="shared" si="359"/>
        <v>0.255</v>
      </c>
      <c r="T691" s="31">
        <f>VLOOKUP(A691,'Ansvar kurs'!$A$1:$C$1010,2,FALSE)</f>
        <v>2180</v>
      </c>
      <c r="U691" s="31" t="str">
        <f>VLOOKUP(T691,Orgenheter!$A$1:$C$165,2,FALSE)</f>
        <v xml:space="preserve">Pedagogik                     </v>
      </c>
      <c r="V691" s="31" t="str">
        <f>VLOOKUP(T691,Orgenheter!$A$1:$C$165,3,FALSE)</f>
        <v>Sam</v>
      </c>
      <c r="W691" s="37" t="str">
        <f>VLOOKUP(D691,Program!$A$1:$B$34,2,FALSE)</f>
        <v>KPU - åk 7-9</v>
      </c>
      <c r="X691" s="42">
        <f>VLOOKUP(A691,kurspris!$A$1:$Q$798,15,FALSE)</f>
        <v>23299.809999999998</v>
      </c>
      <c r="Y691" s="42">
        <f>VLOOKUP(A691,kurspris!$A$1:$Q$798,16,FALSE)</f>
        <v>28479.999999999996</v>
      </c>
      <c r="Z691" s="42">
        <f t="shared" si="360"/>
        <v>14252.342999999999</v>
      </c>
      <c r="AA691" s="42">
        <f>VLOOKUP(A691,kurspris!$A$1:$Q$798,17,FALSE)</f>
        <v>5392</v>
      </c>
      <c r="AB691" s="42">
        <f t="shared" si="361"/>
        <v>1617.6</v>
      </c>
      <c r="AC691" s="42">
        <f t="shared" si="362"/>
        <v>15869.942999999999</v>
      </c>
      <c r="AD691" s="31">
        <f>VLOOKUP($A691,kurspris!$A$1:$Q$835,3,FALSE)</f>
        <v>0</v>
      </c>
      <c r="AE691" s="31">
        <f>VLOOKUP($A691,kurspris!$A$1:$Q$835,4,FALSE)</f>
        <v>0</v>
      </c>
      <c r="AF691" s="31">
        <f>VLOOKUP($A691,kurspris!$A$1:$Q$835,5,FALSE)</f>
        <v>0</v>
      </c>
      <c r="AG691" s="31">
        <f>VLOOKUP($A691,kurspris!$A$1:$Q$835,6,FALSE)</f>
        <v>0.83</v>
      </c>
      <c r="AH691" s="31">
        <f>VLOOKUP($A691,kurspris!$A$1:$Q$835,7,FALSE)</f>
        <v>0</v>
      </c>
      <c r="AI691" s="31">
        <f>VLOOKUP($A691,kurspris!$A$1:$Q$835,8,FALSE)</f>
        <v>0</v>
      </c>
      <c r="AJ691" s="31">
        <f>VLOOKUP($A691,kurspris!$A$1:$Q$835,9,FALSE)</f>
        <v>0</v>
      </c>
      <c r="AK691" s="31">
        <f>VLOOKUP($A691,kurspris!$A$1:$Q$835,10,FALSE)</f>
        <v>0</v>
      </c>
      <c r="AL691" s="31">
        <f>VLOOKUP($A691,kurspris!$A$1:$Q$835,11,FALSE)</f>
        <v>0.17</v>
      </c>
      <c r="AM691" s="31">
        <f>VLOOKUP($A691,kurspris!$A$1:$Q$835,12,FALSE)</f>
        <v>0</v>
      </c>
      <c r="AN691" s="31">
        <f>VLOOKUP($A691,kurspris!$A$1:$Q$835,13,FALSE)</f>
        <v>0</v>
      </c>
      <c r="AO691" s="31">
        <f>VLOOKUP($A691,kurspris!$A$1:$Q$835,14,FALSE)</f>
        <v>0</v>
      </c>
      <c r="AP691" s="39" t="s">
        <v>2326</v>
      </c>
      <c r="AQ691"/>
      <c r="AR691" s="31">
        <f t="shared" si="363"/>
        <v>0</v>
      </c>
      <c r="AS691" s="255">
        <f t="shared" si="364"/>
        <v>0</v>
      </c>
      <c r="AT691" s="31">
        <f t="shared" si="365"/>
        <v>0</v>
      </c>
      <c r="AU691" s="255">
        <f t="shared" si="366"/>
        <v>0</v>
      </c>
      <c r="AV691" s="31">
        <f t="shared" si="367"/>
        <v>0</v>
      </c>
      <c r="AW691" s="31">
        <f t="shared" si="368"/>
        <v>0</v>
      </c>
      <c r="AX691" s="31">
        <f t="shared" si="369"/>
        <v>0.24899999999999997</v>
      </c>
      <c r="AY691" s="255">
        <f t="shared" si="370"/>
        <v>0.21165</v>
      </c>
      <c r="AZ691" s="232">
        <f t="shared" si="371"/>
        <v>0</v>
      </c>
      <c r="BA691" s="255">
        <f t="shared" si="372"/>
        <v>0</v>
      </c>
      <c r="BB691" s="31">
        <f t="shared" si="373"/>
        <v>0</v>
      </c>
      <c r="BC691" s="255">
        <f t="shared" si="374"/>
        <v>0</v>
      </c>
      <c r="BD691" s="31">
        <f t="shared" si="375"/>
        <v>0</v>
      </c>
      <c r="BE691" s="255">
        <f t="shared" si="376"/>
        <v>0</v>
      </c>
      <c r="BF691" s="31">
        <f t="shared" si="377"/>
        <v>0</v>
      </c>
      <c r="BG691" s="255">
        <f t="shared" si="378"/>
        <v>0</v>
      </c>
      <c r="BH691" s="31">
        <f t="shared" si="379"/>
        <v>5.1000000000000004E-2</v>
      </c>
      <c r="BI691" s="255">
        <f t="shared" si="380"/>
        <v>4.3350000000000007E-2</v>
      </c>
      <c r="BJ691" s="31">
        <f t="shared" si="381"/>
        <v>0</v>
      </c>
      <c r="BK691" s="31">
        <f t="shared" si="382"/>
        <v>0</v>
      </c>
      <c r="BL691" s="255">
        <f t="shared" si="383"/>
        <v>0</v>
      </c>
      <c r="BM691" s="31">
        <f t="shared" si="384"/>
        <v>0</v>
      </c>
      <c r="BN691" s="255">
        <f t="shared" si="385"/>
        <v>0</v>
      </c>
    </row>
    <row r="692" spans="1:66" x14ac:dyDescent="0.25">
      <c r="A692" s="59" t="s">
        <v>1474</v>
      </c>
      <c r="B692" s="186" t="str">
        <f>VLOOKUP(A692,kurspris!$A$1:$B$877,2,FALSE)</f>
        <v>Undervisning och lärande - läroplansteori och didaktik inklusive VFU (UK och VFU)</v>
      </c>
      <c r="C692" s="37"/>
      <c r="D692" s="59" t="s">
        <v>629</v>
      </c>
      <c r="E692" s="62" t="s">
        <v>1931</v>
      </c>
      <c r="F692" s="59" t="s">
        <v>1931</v>
      </c>
      <c r="G692" s="31" t="s">
        <v>2291</v>
      </c>
      <c r="J692" t="s">
        <v>2302</v>
      </c>
      <c r="L692" s="295">
        <v>150</v>
      </c>
      <c r="M692" s="376">
        <v>9</v>
      </c>
      <c r="P692" s="31">
        <v>11</v>
      </c>
      <c r="Q692" s="232">
        <f t="shared" si="358"/>
        <v>1.65</v>
      </c>
      <c r="R692" s="40">
        <v>0.85</v>
      </c>
      <c r="S692" s="334">
        <f t="shared" si="359"/>
        <v>1.4024999999999999</v>
      </c>
      <c r="T692" s="31">
        <f>VLOOKUP(A692,'Ansvar kurs'!$A$1:$C$1010,2,FALSE)</f>
        <v>2180</v>
      </c>
      <c r="U692" s="31" t="str">
        <f>VLOOKUP(T692,Orgenheter!$A$1:$C$165,2,FALSE)</f>
        <v xml:space="preserve">Pedagogik                     </v>
      </c>
      <c r="V692" s="31" t="str">
        <f>VLOOKUP(T692,Orgenheter!$A$1:$C$165,3,FALSE)</f>
        <v>Sam</v>
      </c>
      <c r="W692" s="37" t="str">
        <f>VLOOKUP(D692,Program!$A$1:$B$34,2,FALSE)</f>
        <v>KPU - åk 7-9</v>
      </c>
      <c r="X692" s="42">
        <f>VLOOKUP(A692,kurspris!$A$1:$Q$798,15,FALSE)</f>
        <v>23299.809999999998</v>
      </c>
      <c r="Y692" s="42">
        <f>VLOOKUP(A692,kurspris!$A$1:$Q$798,16,FALSE)</f>
        <v>28479.999999999996</v>
      </c>
      <c r="Z692" s="42">
        <f t="shared" si="360"/>
        <v>78387.886499999993</v>
      </c>
      <c r="AA692" s="42">
        <f>VLOOKUP(A692,kurspris!$A$1:$Q$798,17,FALSE)</f>
        <v>5392</v>
      </c>
      <c r="AB692" s="42">
        <f t="shared" si="361"/>
        <v>8896.7999999999993</v>
      </c>
      <c r="AC692" s="42">
        <f t="shared" si="362"/>
        <v>87284.686499999996</v>
      </c>
      <c r="AD692" s="31">
        <f>VLOOKUP($A692,kurspris!$A$1:$Q$835,3,FALSE)</f>
        <v>0</v>
      </c>
      <c r="AE692" s="31">
        <f>VLOOKUP($A692,kurspris!$A$1:$Q$835,4,FALSE)</f>
        <v>0</v>
      </c>
      <c r="AF692" s="31">
        <f>VLOOKUP($A692,kurspris!$A$1:$Q$835,5,FALSE)</f>
        <v>0</v>
      </c>
      <c r="AG692" s="31">
        <f>VLOOKUP($A692,kurspris!$A$1:$Q$835,6,FALSE)</f>
        <v>0.83</v>
      </c>
      <c r="AH692" s="31">
        <f>VLOOKUP($A692,kurspris!$A$1:$Q$835,7,FALSE)</f>
        <v>0</v>
      </c>
      <c r="AI692" s="31">
        <f>VLOOKUP($A692,kurspris!$A$1:$Q$835,8,FALSE)</f>
        <v>0</v>
      </c>
      <c r="AJ692" s="31">
        <f>VLOOKUP($A692,kurspris!$A$1:$Q$835,9,FALSE)</f>
        <v>0</v>
      </c>
      <c r="AK692" s="31">
        <f>VLOOKUP($A692,kurspris!$A$1:$Q$835,10,FALSE)</f>
        <v>0</v>
      </c>
      <c r="AL692" s="31">
        <f>VLOOKUP($A692,kurspris!$A$1:$Q$835,11,FALSE)</f>
        <v>0.17</v>
      </c>
      <c r="AM692" s="31">
        <f>VLOOKUP($A692,kurspris!$A$1:$Q$835,12,FALSE)</f>
        <v>0</v>
      </c>
      <c r="AN692" s="31">
        <f>VLOOKUP($A692,kurspris!$A$1:$Q$835,13,FALSE)</f>
        <v>0</v>
      </c>
      <c r="AO692" s="31">
        <f>VLOOKUP($A692,kurspris!$A$1:$Q$835,14,FALSE)</f>
        <v>0</v>
      </c>
      <c r="AP692" s="39" t="s">
        <v>2326</v>
      </c>
      <c r="AQ692"/>
      <c r="AR692" s="31">
        <f t="shared" si="363"/>
        <v>0</v>
      </c>
      <c r="AS692" s="255">
        <f t="shared" si="364"/>
        <v>0</v>
      </c>
      <c r="AT692" s="31">
        <f t="shared" si="365"/>
        <v>0</v>
      </c>
      <c r="AU692" s="255">
        <f t="shared" si="366"/>
        <v>0</v>
      </c>
      <c r="AV692" s="31">
        <f t="shared" si="367"/>
        <v>0</v>
      </c>
      <c r="AW692" s="31">
        <f t="shared" si="368"/>
        <v>0</v>
      </c>
      <c r="AX692" s="31">
        <f t="shared" si="369"/>
        <v>1.3694999999999999</v>
      </c>
      <c r="AY692" s="255">
        <f t="shared" si="370"/>
        <v>1.1640749999999997</v>
      </c>
      <c r="AZ692" s="232">
        <f t="shared" si="371"/>
        <v>0</v>
      </c>
      <c r="BA692" s="255">
        <f t="shared" si="372"/>
        <v>0</v>
      </c>
      <c r="BB692" s="31">
        <f t="shared" si="373"/>
        <v>0</v>
      </c>
      <c r="BC692" s="255">
        <f t="shared" si="374"/>
        <v>0</v>
      </c>
      <c r="BD692" s="31">
        <f t="shared" si="375"/>
        <v>0</v>
      </c>
      <c r="BE692" s="255">
        <f t="shared" si="376"/>
        <v>0</v>
      </c>
      <c r="BF692" s="31">
        <f t="shared" si="377"/>
        <v>0</v>
      </c>
      <c r="BG692" s="255">
        <f t="shared" si="378"/>
        <v>0</v>
      </c>
      <c r="BH692" s="31">
        <f t="shared" si="379"/>
        <v>0.28050000000000003</v>
      </c>
      <c r="BI692" s="255">
        <f t="shared" si="380"/>
        <v>0.238425</v>
      </c>
      <c r="BJ692" s="31">
        <f t="shared" si="381"/>
        <v>0</v>
      </c>
      <c r="BK692" s="31">
        <f t="shared" si="382"/>
        <v>0</v>
      </c>
      <c r="BL692" s="255">
        <f t="shared" si="383"/>
        <v>0</v>
      </c>
      <c r="BM692" s="31">
        <f t="shared" si="384"/>
        <v>0</v>
      </c>
      <c r="BN692" s="255">
        <f t="shared" si="385"/>
        <v>0</v>
      </c>
    </row>
    <row r="693" spans="1:66" x14ac:dyDescent="0.25">
      <c r="A693" s="59" t="s">
        <v>1474</v>
      </c>
      <c r="B693" s="186" t="str">
        <f>VLOOKUP(A693,kurspris!$A$1:$B$877,2,FALSE)</f>
        <v>Undervisning och lärande - läroplansteori och didaktik inklusive VFU (UK och VFU)</v>
      </c>
      <c r="C693" s="37"/>
      <c r="D693" s="59" t="s">
        <v>629</v>
      </c>
      <c r="E693" s="62" t="s">
        <v>1931</v>
      </c>
      <c r="F693" s="59" t="s">
        <v>1931</v>
      </c>
      <c r="G693" s="31" t="s">
        <v>2291</v>
      </c>
      <c r="J693" t="s">
        <v>2305</v>
      </c>
      <c r="L693" s="295">
        <v>150</v>
      </c>
      <c r="M693" s="376">
        <v>9</v>
      </c>
      <c r="N693" s="40"/>
      <c r="P693" s="377">
        <v>4</v>
      </c>
      <c r="Q693" s="232">
        <f t="shared" si="358"/>
        <v>0.6</v>
      </c>
      <c r="R693" s="40">
        <v>0.85</v>
      </c>
      <c r="S693" s="334">
        <f t="shared" si="359"/>
        <v>0.51</v>
      </c>
      <c r="T693" s="31">
        <f>VLOOKUP(A693,'Ansvar kurs'!$A$1:$C$1010,2,FALSE)</f>
        <v>2180</v>
      </c>
      <c r="U693" s="31" t="str">
        <f>VLOOKUP(T693,Orgenheter!$A$1:$C$165,2,FALSE)</f>
        <v xml:space="preserve">Pedagogik                     </v>
      </c>
      <c r="V693" s="31" t="str">
        <f>VLOOKUP(T693,Orgenheter!$A$1:$C$165,3,FALSE)</f>
        <v>Sam</v>
      </c>
      <c r="W693" s="37" t="str">
        <f>VLOOKUP(D693,Program!$A$1:$B$34,2,FALSE)</f>
        <v>KPU - åk 7-9</v>
      </c>
      <c r="X693" s="42">
        <f>VLOOKUP(A693,kurspris!$A$1:$Q$798,15,FALSE)</f>
        <v>23299.809999999998</v>
      </c>
      <c r="Y693" s="42">
        <f>VLOOKUP(A693,kurspris!$A$1:$Q$798,16,FALSE)</f>
        <v>28479.999999999996</v>
      </c>
      <c r="Z693" s="42">
        <f t="shared" si="360"/>
        <v>28504.685999999998</v>
      </c>
      <c r="AA693" s="42">
        <f>VLOOKUP(A693,kurspris!$A$1:$Q$798,17,FALSE)</f>
        <v>5392</v>
      </c>
      <c r="AB693" s="42">
        <f t="shared" si="361"/>
        <v>3235.2</v>
      </c>
      <c r="AC693" s="42">
        <f t="shared" si="362"/>
        <v>31739.885999999999</v>
      </c>
      <c r="AD693" s="31">
        <f>VLOOKUP($A693,kurspris!$A$1:$Q$835,3,FALSE)</f>
        <v>0</v>
      </c>
      <c r="AE693" s="31">
        <f>VLOOKUP($A693,kurspris!$A$1:$Q$835,4,FALSE)</f>
        <v>0</v>
      </c>
      <c r="AF693" s="31">
        <f>VLOOKUP($A693,kurspris!$A$1:$Q$835,5,FALSE)</f>
        <v>0</v>
      </c>
      <c r="AG693" s="31">
        <f>VLOOKUP($A693,kurspris!$A$1:$Q$835,6,FALSE)</f>
        <v>0.83</v>
      </c>
      <c r="AH693" s="31">
        <f>VLOOKUP($A693,kurspris!$A$1:$Q$835,7,FALSE)</f>
        <v>0</v>
      </c>
      <c r="AI693" s="31">
        <f>VLOOKUP($A693,kurspris!$A$1:$Q$835,8,FALSE)</f>
        <v>0</v>
      </c>
      <c r="AJ693" s="31">
        <f>VLOOKUP($A693,kurspris!$A$1:$Q$835,9,FALSE)</f>
        <v>0</v>
      </c>
      <c r="AK693" s="31">
        <f>VLOOKUP($A693,kurspris!$A$1:$Q$835,10,FALSE)</f>
        <v>0</v>
      </c>
      <c r="AL693" s="31">
        <f>VLOOKUP($A693,kurspris!$A$1:$Q$835,11,FALSE)</f>
        <v>0.17</v>
      </c>
      <c r="AM693" s="31">
        <f>VLOOKUP($A693,kurspris!$A$1:$Q$835,12,FALSE)</f>
        <v>0</v>
      </c>
      <c r="AN693" s="31">
        <f>VLOOKUP($A693,kurspris!$A$1:$Q$835,13,FALSE)</f>
        <v>0</v>
      </c>
      <c r="AO693" s="31">
        <f>VLOOKUP($A693,kurspris!$A$1:$Q$835,14,FALSE)</f>
        <v>0</v>
      </c>
      <c r="AP693" s="39" t="s">
        <v>2326</v>
      </c>
      <c r="AQ693"/>
      <c r="AR693" s="31">
        <f t="shared" si="363"/>
        <v>0</v>
      </c>
      <c r="AS693" s="255">
        <f t="shared" si="364"/>
        <v>0</v>
      </c>
      <c r="AT693" s="31">
        <f t="shared" si="365"/>
        <v>0</v>
      </c>
      <c r="AU693" s="255">
        <f t="shared" si="366"/>
        <v>0</v>
      </c>
      <c r="AV693" s="31">
        <f t="shared" si="367"/>
        <v>0</v>
      </c>
      <c r="AW693" s="31">
        <f t="shared" si="368"/>
        <v>0</v>
      </c>
      <c r="AX693" s="31">
        <f t="shared" si="369"/>
        <v>0.49799999999999994</v>
      </c>
      <c r="AY693" s="255">
        <f t="shared" si="370"/>
        <v>0.42330000000000001</v>
      </c>
      <c r="AZ693" s="232">
        <f t="shared" si="371"/>
        <v>0</v>
      </c>
      <c r="BA693" s="255">
        <f t="shared" si="372"/>
        <v>0</v>
      </c>
      <c r="BB693" s="31">
        <f t="shared" si="373"/>
        <v>0</v>
      </c>
      <c r="BC693" s="255">
        <f t="shared" si="374"/>
        <v>0</v>
      </c>
      <c r="BD693" s="31">
        <f t="shared" si="375"/>
        <v>0</v>
      </c>
      <c r="BE693" s="255">
        <f t="shared" si="376"/>
        <v>0</v>
      </c>
      <c r="BF693" s="31">
        <f t="shared" si="377"/>
        <v>0</v>
      </c>
      <c r="BG693" s="255">
        <f t="shared" si="378"/>
        <v>0</v>
      </c>
      <c r="BH693" s="31">
        <f t="shared" si="379"/>
        <v>0.10200000000000001</v>
      </c>
      <c r="BI693" s="255">
        <f t="shared" si="380"/>
        <v>8.6700000000000013E-2</v>
      </c>
      <c r="BJ693" s="31">
        <f t="shared" si="381"/>
        <v>0</v>
      </c>
      <c r="BK693" s="31">
        <f t="shared" si="382"/>
        <v>0</v>
      </c>
      <c r="BL693" s="255">
        <f t="shared" si="383"/>
        <v>0</v>
      </c>
      <c r="BM693" s="31">
        <f t="shared" si="384"/>
        <v>0</v>
      </c>
      <c r="BN693" s="255">
        <f t="shared" si="385"/>
        <v>0</v>
      </c>
    </row>
    <row r="694" spans="1:66" x14ac:dyDescent="0.25">
      <c r="A694" s="59" t="s">
        <v>1474</v>
      </c>
      <c r="B694" s="186" t="str">
        <f>VLOOKUP(A694,kurspris!$A$1:$B$877,2,FALSE)</f>
        <v>Undervisning och lärande - läroplansteori och didaktik inklusive VFU (UK och VFU)</v>
      </c>
      <c r="D694" s="59" t="s">
        <v>630</v>
      </c>
      <c r="E694" s="62" t="s">
        <v>2263</v>
      </c>
      <c r="F694" s="59" t="s">
        <v>1931</v>
      </c>
      <c r="G694" s="31" t="s">
        <v>2291</v>
      </c>
      <c r="I694" s="62"/>
      <c r="J694" t="s">
        <v>2302</v>
      </c>
      <c r="L694" s="295">
        <v>150</v>
      </c>
      <c r="M694" s="378">
        <v>9</v>
      </c>
      <c r="P694" s="377">
        <v>1</v>
      </c>
      <c r="Q694" s="232">
        <f t="shared" si="358"/>
        <v>0.15</v>
      </c>
      <c r="R694" s="40">
        <v>0.85</v>
      </c>
      <c r="S694" s="334">
        <f t="shared" si="359"/>
        <v>0.1275</v>
      </c>
      <c r="T694" s="31">
        <f>VLOOKUP(A694,'Ansvar kurs'!$A$1:$C$1010,2,FALSE)</f>
        <v>2180</v>
      </c>
      <c r="U694" s="31" t="str">
        <f>VLOOKUP(T694,Orgenheter!$A$1:$C$165,2,FALSE)</f>
        <v xml:space="preserve">Pedagogik                     </v>
      </c>
      <c r="V694" s="31" t="str">
        <f>VLOOKUP(T694,Orgenheter!$A$1:$C$165,3,FALSE)</f>
        <v>Sam</v>
      </c>
      <c r="W694" s="37" t="str">
        <f>VLOOKUP(D694,Program!$A$1:$B$34,2,FALSE)</f>
        <v>KPU - Gy</v>
      </c>
      <c r="X694" s="42">
        <f>VLOOKUP(A694,kurspris!$A$1:$Q$798,15,FALSE)</f>
        <v>23299.809999999998</v>
      </c>
      <c r="Y694" s="42">
        <f>VLOOKUP(A694,kurspris!$A$1:$Q$798,16,FALSE)</f>
        <v>28479.999999999996</v>
      </c>
      <c r="Z694" s="42">
        <f t="shared" si="360"/>
        <v>7126.1714999999995</v>
      </c>
      <c r="AA694" s="42">
        <f>VLOOKUP(A694,kurspris!$A$1:$Q$798,17,FALSE)</f>
        <v>5392</v>
      </c>
      <c r="AB694" s="42">
        <f t="shared" si="361"/>
        <v>808.8</v>
      </c>
      <c r="AC694" s="42">
        <f t="shared" si="362"/>
        <v>7934.9714999999997</v>
      </c>
      <c r="AD694" s="31">
        <f>VLOOKUP($A694,kurspris!$A$1:$Q$835,3,FALSE)</f>
        <v>0</v>
      </c>
      <c r="AE694" s="31">
        <f>VLOOKUP($A694,kurspris!$A$1:$Q$835,4,FALSE)</f>
        <v>0</v>
      </c>
      <c r="AF694" s="31">
        <f>VLOOKUP($A694,kurspris!$A$1:$Q$835,5,FALSE)</f>
        <v>0</v>
      </c>
      <c r="AG694" s="31">
        <f>VLOOKUP($A694,kurspris!$A$1:$Q$835,6,FALSE)</f>
        <v>0.83</v>
      </c>
      <c r="AH694" s="31">
        <f>VLOOKUP($A694,kurspris!$A$1:$Q$835,7,FALSE)</f>
        <v>0</v>
      </c>
      <c r="AI694" s="31">
        <f>VLOOKUP($A694,kurspris!$A$1:$Q$835,8,FALSE)</f>
        <v>0</v>
      </c>
      <c r="AJ694" s="31">
        <f>VLOOKUP($A694,kurspris!$A$1:$Q$835,9,FALSE)</f>
        <v>0</v>
      </c>
      <c r="AK694" s="31">
        <f>VLOOKUP($A694,kurspris!$A$1:$Q$835,10,FALSE)</f>
        <v>0</v>
      </c>
      <c r="AL694" s="31">
        <f>VLOOKUP($A694,kurspris!$A$1:$Q$835,11,FALSE)</f>
        <v>0.17</v>
      </c>
      <c r="AM694" s="31">
        <f>VLOOKUP($A694,kurspris!$A$1:$Q$835,12,FALSE)</f>
        <v>0</v>
      </c>
      <c r="AN694" s="31">
        <f>VLOOKUP($A694,kurspris!$A$1:$Q$835,13,FALSE)</f>
        <v>0</v>
      </c>
      <c r="AO694" s="31">
        <f>VLOOKUP($A694,kurspris!$A$1:$Q$835,14,FALSE)</f>
        <v>0</v>
      </c>
      <c r="AP694" s="39" t="s">
        <v>2326</v>
      </c>
      <c r="AQ694"/>
      <c r="AR694" s="31">
        <f t="shared" si="363"/>
        <v>0</v>
      </c>
      <c r="AS694" s="255">
        <f t="shared" si="364"/>
        <v>0</v>
      </c>
      <c r="AT694" s="31">
        <f t="shared" si="365"/>
        <v>0</v>
      </c>
      <c r="AU694" s="255">
        <f t="shared" si="366"/>
        <v>0</v>
      </c>
      <c r="AV694" s="31">
        <f t="shared" si="367"/>
        <v>0</v>
      </c>
      <c r="AW694" s="31">
        <f t="shared" si="368"/>
        <v>0</v>
      </c>
      <c r="AX694" s="31">
        <f t="shared" si="369"/>
        <v>0.12449999999999999</v>
      </c>
      <c r="AY694" s="255">
        <f t="shared" si="370"/>
        <v>0.105825</v>
      </c>
      <c r="AZ694" s="232">
        <f t="shared" si="371"/>
        <v>0</v>
      </c>
      <c r="BA694" s="255">
        <f t="shared" si="372"/>
        <v>0</v>
      </c>
      <c r="BB694" s="31">
        <f t="shared" si="373"/>
        <v>0</v>
      </c>
      <c r="BC694" s="255">
        <f t="shared" si="374"/>
        <v>0</v>
      </c>
      <c r="BD694" s="31">
        <f t="shared" si="375"/>
        <v>0</v>
      </c>
      <c r="BE694" s="255">
        <f t="shared" si="376"/>
        <v>0</v>
      </c>
      <c r="BF694" s="31">
        <f t="shared" si="377"/>
        <v>0</v>
      </c>
      <c r="BG694" s="255">
        <f t="shared" si="378"/>
        <v>0</v>
      </c>
      <c r="BH694" s="31">
        <f t="shared" si="379"/>
        <v>2.5500000000000002E-2</v>
      </c>
      <c r="BI694" s="255">
        <f t="shared" si="380"/>
        <v>2.1675000000000003E-2</v>
      </c>
      <c r="BJ694" s="31">
        <f t="shared" si="381"/>
        <v>0</v>
      </c>
      <c r="BK694" s="31">
        <f t="shared" si="382"/>
        <v>0</v>
      </c>
      <c r="BL694" s="255">
        <f t="shared" si="383"/>
        <v>0</v>
      </c>
      <c r="BM694" s="31">
        <f t="shared" si="384"/>
        <v>0</v>
      </c>
      <c r="BN694" s="255">
        <f t="shared" si="385"/>
        <v>0</v>
      </c>
    </row>
    <row r="695" spans="1:66" x14ac:dyDescent="0.25">
      <c r="A695" s="18" t="s">
        <v>1474</v>
      </c>
      <c r="B695" s="186" t="str">
        <f>VLOOKUP(A695,kurspris!$A$1:$B$877,2,FALSE)</f>
        <v>Undervisning och lärande - läroplansteori och didaktik inklusive VFU (UK och VFU)</v>
      </c>
      <c r="C695" s="37"/>
      <c r="D695" s="31" t="s">
        <v>630</v>
      </c>
      <c r="E695" s="31" t="s">
        <v>1931</v>
      </c>
      <c r="F695" s="59" t="s">
        <v>1931</v>
      </c>
      <c r="G695" s="31" t="s">
        <v>2291</v>
      </c>
      <c r="J695" t="s">
        <v>2308</v>
      </c>
      <c r="L695" s="295">
        <v>150</v>
      </c>
      <c r="M695" s="31">
        <v>9</v>
      </c>
      <c r="P695" s="31">
        <v>4</v>
      </c>
      <c r="Q695" s="232">
        <f t="shared" si="358"/>
        <v>0.6</v>
      </c>
      <c r="R695" s="40">
        <v>0.85</v>
      </c>
      <c r="S695" s="334">
        <f t="shared" si="359"/>
        <v>0.51</v>
      </c>
      <c r="T695" s="31">
        <f>VLOOKUP(A695,'Ansvar kurs'!$A$1:$C$1010,2,FALSE)</f>
        <v>2180</v>
      </c>
      <c r="U695" s="31" t="str">
        <f>VLOOKUP(T695,Orgenheter!$A$1:$C$165,2,FALSE)</f>
        <v xml:space="preserve">Pedagogik                     </v>
      </c>
      <c r="V695" s="31" t="str">
        <f>VLOOKUP(T695,Orgenheter!$A$1:$C$165,3,FALSE)</f>
        <v>Sam</v>
      </c>
      <c r="W695" s="37" t="str">
        <f>VLOOKUP(D695,Program!$A$1:$B$34,2,FALSE)</f>
        <v>KPU - Gy</v>
      </c>
      <c r="X695" s="42">
        <f>VLOOKUP(A695,kurspris!$A$1:$Q$798,15,FALSE)</f>
        <v>23299.809999999998</v>
      </c>
      <c r="Y695" s="42">
        <f>VLOOKUP(A695,kurspris!$A$1:$Q$798,16,FALSE)</f>
        <v>28479.999999999996</v>
      </c>
      <c r="Z695" s="42">
        <f t="shared" si="360"/>
        <v>28504.685999999998</v>
      </c>
      <c r="AA695" s="42">
        <f>VLOOKUP(A695,kurspris!$A$1:$Q$798,17,FALSE)</f>
        <v>5392</v>
      </c>
      <c r="AB695" s="42">
        <f t="shared" si="361"/>
        <v>3235.2</v>
      </c>
      <c r="AC695" s="42">
        <f t="shared" si="362"/>
        <v>31739.885999999999</v>
      </c>
      <c r="AD695" s="31">
        <f>VLOOKUP($A695,kurspris!$A$1:$Q$835,3,FALSE)</f>
        <v>0</v>
      </c>
      <c r="AE695" s="31">
        <f>VLOOKUP($A695,kurspris!$A$1:$Q$835,4,FALSE)</f>
        <v>0</v>
      </c>
      <c r="AF695" s="31">
        <f>VLOOKUP($A695,kurspris!$A$1:$Q$835,5,FALSE)</f>
        <v>0</v>
      </c>
      <c r="AG695" s="31">
        <f>VLOOKUP($A695,kurspris!$A$1:$Q$835,6,FALSE)</f>
        <v>0.83</v>
      </c>
      <c r="AH695" s="31">
        <f>VLOOKUP($A695,kurspris!$A$1:$Q$835,7,FALSE)</f>
        <v>0</v>
      </c>
      <c r="AI695" s="31">
        <f>VLOOKUP($A695,kurspris!$A$1:$Q$835,8,FALSE)</f>
        <v>0</v>
      </c>
      <c r="AJ695" s="31">
        <f>VLOOKUP($A695,kurspris!$A$1:$Q$835,9,FALSE)</f>
        <v>0</v>
      </c>
      <c r="AK695" s="31">
        <f>VLOOKUP($A695,kurspris!$A$1:$Q$835,10,FALSE)</f>
        <v>0</v>
      </c>
      <c r="AL695" s="31">
        <f>VLOOKUP($A695,kurspris!$A$1:$Q$835,11,FALSE)</f>
        <v>0.17</v>
      </c>
      <c r="AM695" s="31">
        <f>VLOOKUP($A695,kurspris!$A$1:$Q$835,12,FALSE)</f>
        <v>0</v>
      </c>
      <c r="AN695" s="31">
        <f>VLOOKUP($A695,kurspris!$A$1:$Q$835,13,FALSE)</f>
        <v>0</v>
      </c>
      <c r="AO695" s="31">
        <f>VLOOKUP($A695,kurspris!$A$1:$Q$835,14,FALSE)</f>
        <v>0</v>
      </c>
      <c r="AP695" s="39" t="s">
        <v>2326</v>
      </c>
      <c r="AQ695"/>
      <c r="AR695" s="31">
        <f t="shared" si="363"/>
        <v>0</v>
      </c>
      <c r="AS695" s="255">
        <f t="shared" si="364"/>
        <v>0</v>
      </c>
      <c r="AT695" s="31">
        <f t="shared" si="365"/>
        <v>0</v>
      </c>
      <c r="AU695" s="255">
        <f t="shared" si="366"/>
        <v>0</v>
      </c>
      <c r="AV695" s="31">
        <f t="shared" si="367"/>
        <v>0</v>
      </c>
      <c r="AW695" s="31">
        <f t="shared" si="368"/>
        <v>0</v>
      </c>
      <c r="AX695" s="31">
        <f t="shared" si="369"/>
        <v>0.49799999999999994</v>
      </c>
      <c r="AY695" s="255">
        <f t="shared" si="370"/>
        <v>0.42330000000000001</v>
      </c>
      <c r="AZ695" s="232">
        <f t="shared" si="371"/>
        <v>0</v>
      </c>
      <c r="BA695" s="255">
        <f t="shared" si="372"/>
        <v>0</v>
      </c>
      <c r="BB695" s="31">
        <f t="shared" si="373"/>
        <v>0</v>
      </c>
      <c r="BC695" s="255">
        <f t="shared" si="374"/>
        <v>0</v>
      </c>
      <c r="BD695" s="31">
        <f t="shared" si="375"/>
        <v>0</v>
      </c>
      <c r="BE695" s="255">
        <f t="shared" si="376"/>
        <v>0</v>
      </c>
      <c r="BF695" s="31">
        <f t="shared" si="377"/>
        <v>0</v>
      </c>
      <c r="BG695" s="255">
        <f t="shared" si="378"/>
        <v>0</v>
      </c>
      <c r="BH695" s="31">
        <f t="shared" si="379"/>
        <v>0.10200000000000001</v>
      </c>
      <c r="BI695" s="255">
        <f t="shared" si="380"/>
        <v>8.6700000000000013E-2</v>
      </c>
      <c r="BJ695" s="31">
        <f t="shared" si="381"/>
        <v>0</v>
      </c>
      <c r="BK695" s="31">
        <f t="shared" si="382"/>
        <v>0</v>
      </c>
      <c r="BL695" s="255">
        <f t="shared" si="383"/>
        <v>0</v>
      </c>
      <c r="BM695" s="31">
        <f t="shared" si="384"/>
        <v>0</v>
      </c>
      <c r="BN695" s="255">
        <f t="shared" si="385"/>
        <v>0</v>
      </c>
    </row>
    <row r="696" spans="1:66" x14ac:dyDescent="0.25">
      <c r="A696" s="18" t="s">
        <v>1474</v>
      </c>
      <c r="B696" s="186" t="str">
        <f>VLOOKUP(A696,kurspris!$A$1:$B$877,2,FALSE)</f>
        <v>Undervisning och lärande - läroplansteori och didaktik inklusive VFU (UK och VFU)</v>
      </c>
      <c r="C696" s="37"/>
      <c r="D696" s="31" t="s">
        <v>630</v>
      </c>
      <c r="E696" s="31" t="s">
        <v>1931</v>
      </c>
      <c r="F696" s="59" t="s">
        <v>1931</v>
      </c>
      <c r="G696" s="31" t="s">
        <v>2291</v>
      </c>
      <c r="J696" t="s">
        <v>2302</v>
      </c>
      <c r="L696" s="295">
        <v>150</v>
      </c>
      <c r="M696" s="31">
        <v>9</v>
      </c>
      <c r="P696" s="31">
        <v>18</v>
      </c>
      <c r="Q696" s="232">
        <f t="shared" si="358"/>
        <v>2.6999999999999997</v>
      </c>
      <c r="R696" s="40">
        <v>0.85</v>
      </c>
      <c r="S696" s="334">
        <f t="shared" si="359"/>
        <v>2.2949999999999999</v>
      </c>
      <c r="T696" s="31">
        <f>VLOOKUP(A696,'Ansvar kurs'!$A$1:$C$1010,2,FALSE)</f>
        <v>2180</v>
      </c>
      <c r="U696" s="31" t="str">
        <f>VLOOKUP(T696,Orgenheter!$A$1:$C$165,2,FALSE)</f>
        <v xml:space="preserve">Pedagogik                     </v>
      </c>
      <c r="V696" s="31" t="str">
        <f>VLOOKUP(T696,Orgenheter!$A$1:$C$165,3,FALSE)</f>
        <v>Sam</v>
      </c>
      <c r="W696" s="37" t="str">
        <f>VLOOKUP(D696,Program!$A$1:$B$34,2,FALSE)</f>
        <v>KPU - Gy</v>
      </c>
      <c r="X696" s="42">
        <f>VLOOKUP(A696,kurspris!$A$1:$Q$798,15,FALSE)</f>
        <v>23299.809999999998</v>
      </c>
      <c r="Y696" s="42">
        <f>VLOOKUP(A696,kurspris!$A$1:$Q$798,16,FALSE)</f>
        <v>28479.999999999996</v>
      </c>
      <c r="Z696" s="42">
        <f t="shared" si="360"/>
        <v>128271.08699999997</v>
      </c>
      <c r="AA696" s="42">
        <f>VLOOKUP(A696,kurspris!$A$1:$Q$798,17,FALSE)</f>
        <v>5392</v>
      </c>
      <c r="AB696" s="42">
        <f t="shared" si="361"/>
        <v>14558.399999999998</v>
      </c>
      <c r="AC696" s="42">
        <f t="shared" si="362"/>
        <v>142829.48699999996</v>
      </c>
      <c r="AD696" s="31">
        <f>VLOOKUP($A696,kurspris!$A$1:$Q$835,3,FALSE)</f>
        <v>0</v>
      </c>
      <c r="AE696" s="31">
        <f>VLOOKUP($A696,kurspris!$A$1:$Q$835,4,FALSE)</f>
        <v>0</v>
      </c>
      <c r="AF696" s="31">
        <f>VLOOKUP($A696,kurspris!$A$1:$Q$835,5,FALSE)</f>
        <v>0</v>
      </c>
      <c r="AG696" s="31">
        <f>VLOOKUP($A696,kurspris!$A$1:$Q$835,6,FALSE)</f>
        <v>0.83</v>
      </c>
      <c r="AH696" s="31">
        <f>VLOOKUP($A696,kurspris!$A$1:$Q$835,7,FALSE)</f>
        <v>0</v>
      </c>
      <c r="AI696" s="31">
        <f>VLOOKUP($A696,kurspris!$A$1:$Q$835,8,FALSE)</f>
        <v>0</v>
      </c>
      <c r="AJ696" s="31">
        <f>VLOOKUP($A696,kurspris!$A$1:$Q$835,9,FALSE)</f>
        <v>0</v>
      </c>
      <c r="AK696" s="31">
        <f>VLOOKUP($A696,kurspris!$A$1:$Q$835,10,FALSE)</f>
        <v>0</v>
      </c>
      <c r="AL696" s="31">
        <f>VLOOKUP($A696,kurspris!$A$1:$Q$835,11,FALSE)</f>
        <v>0.17</v>
      </c>
      <c r="AM696" s="31">
        <f>VLOOKUP($A696,kurspris!$A$1:$Q$835,12,FALSE)</f>
        <v>0</v>
      </c>
      <c r="AN696" s="31">
        <f>VLOOKUP($A696,kurspris!$A$1:$Q$835,13,FALSE)</f>
        <v>0</v>
      </c>
      <c r="AO696" s="31">
        <f>VLOOKUP($A696,kurspris!$A$1:$Q$835,14,FALSE)</f>
        <v>0</v>
      </c>
      <c r="AP696" s="39" t="s">
        <v>2326</v>
      </c>
      <c r="AQ696"/>
      <c r="AR696" s="31">
        <f t="shared" si="363"/>
        <v>0</v>
      </c>
      <c r="AS696" s="255">
        <f t="shared" si="364"/>
        <v>0</v>
      </c>
      <c r="AT696" s="31">
        <f t="shared" si="365"/>
        <v>0</v>
      </c>
      <c r="AU696" s="255">
        <f t="shared" si="366"/>
        <v>0</v>
      </c>
      <c r="AV696" s="31">
        <f t="shared" si="367"/>
        <v>0</v>
      </c>
      <c r="AW696" s="31">
        <f t="shared" si="368"/>
        <v>0</v>
      </c>
      <c r="AX696" s="31">
        <f t="shared" si="369"/>
        <v>2.2409999999999997</v>
      </c>
      <c r="AY696" s="255">
        <f t="shared" si="370"/>
        <v>1.9048499999999999</v>
      </c>
      <c r="AZ696" s="232">
        <f t="shared" si="371"/>
        <v>0</v>
      </c>
      <c r="BA696" s="255">
        <f t="shared" si="372"/>
        <v>0</v>
      </c>
      <c r="BB696" s="31">
        <f t="shared" si="373"/>
        <v>0</v>
      </c>
      <c r="BC696" s="255">
        <f t="shared" si="374"/>
        <v>0</v>
      </c>
      <c r="BD696" s="31">
        <f t="shared" si="375"/>
        <v>0</v>
      </c>
      <c r="BE696" s="255">
        <f t="shared" si="376"/>
        <v>0</v>
      </c>
      <c r="BF696" s="31">
        <f t="shared" si="377"/>
        <v>0</v>
      </c>
      <c r="BG696" s="255">
        <f t="shared" si="378"/>
        <v>0</v>
      </c>
      <c r="BH696" s="31">
        <f t="shared" si="379"/>
        <v>0.45899999999999996</v>
      </c>
      <c r="BI696" s="255">
        <f t="shared" si="380"/>
        <v>0.39015</v>
      </c>
      <c r="BJ696" s="31">
        <f t="shared" si="381"/>
        <v>0</v>
      </c>
      <c r="BK696" s="31">
        <f t="shared" si="382"/>
        <v>0</v>
      </c>
      <c r="BL696" s="255">
        <f t="shared" si="383"/>
        <v>0</v>
      </c>
      <c r="BM696" s="31">
        <f t="shared" si="384"/>
        <v>0</v>
      </c>
      <c r="BN696" s="255">
        <f t="shared" si="385"/>
        <v>0</v>
      </c>
    </row>
    <row r="697" spans="1:66" x14ac:dyDescent="0.25">
      <c r="A697" s="18" t="s">
        <v>1474</v>
      </c>
      <c r="B697" s="186" t="str">
        <f>VLOOKUP(A697,kurspris!$A$1:$B$877,2,FALSE)</f>
        <v>Undervisning och lärande - läroplansteori och didaktik inklusive VFU (UK och VFU)</v>
      </c>
      <c r="C697" s="37"/>
      <c r="D697" s="31" t="s">
        <v>630</v>
      </c>
      <c r="E697" s="31" t="s">
        <v>1931</v>
      </c>
      <c r="F697" s="59" t="s">
        <v>1931</v>
      </c>
      <c r="G697" s="31" t="s">
        <v>2291</v>
      </c>
      <c r="J697" t="s">
        <v>2309</v>
      </c>
      <c r="L697" s="295">
        <v>150</v>
      </c>
      <c r="M697" s="31">
        <v>9</v>
      </c>
      <c r="P697" s="31">
        <v>2</v>
      </c>
      <c r="Q697" s="232">
        <f t="shared" si="358"/>
        <v>0.3</v>
      </c>
      <c r="R697" s="40">
        <v>0.85</v>
      </c>
      <c r="S697" s="334">
        <f t="shared" si="359"/>
        <v>0.255</v>
      </c>
      <c r="T697" s="31">
        <f>VLOOKUP(A697,'Ansvar kurs'!$A$1:$C$1010,2,FALSE)</f>
        <v>2180</v>
      </c>
      <c r="U697" s="31" t="str">
        <f>VLOOKUP(T697,Orgenheter!$A$1:$C$165,2,FALSE)</f>
        <v xml:space="preserve">Pedagogik                     </v>
      </c>
      <c r="V697" s="31" t="str">
        <f>VLOOKUP(T697,Orgenheter!$A$1:$C$165,3,FALSE)</f>
        <v>Sam</v>
      </c>
      <c r="W697" s="37" t="str">
        <f>VLOOKUP(D697,Program!$A$1:$B$34,2,FALSE)</f>
        <v>KPU - Gy</v>
      </c>
      <c r="X697" s="42">
        <f>VLOOKUP(A697,kurspris!$A$1:$Q$798,15,FALSE)</f>
        <v>23299.809999999998</v>
      </c>
      <c r="Y697" s="42">
        <f>VLOOKUP(A697,kurspris!$A$1:$Q$798,16,FALSE)</f>
        <v>28479.999999999996</v>
      </c>
      <c r="Z697" s="42">
        <f t="shared" si="360"/>
        <v>14252.342999999999</v>
      </c>
      <c r="AA697" s="42">
        <f>VLOOKUP(A697,kurspris!$A$1:$Q$798,17,FALSE)</f>
        <v>5392</v>
      </c>
      <c r="AB697" s="42">
        <f t="shared" si="361"/>
        <v>1617.6</v>
      </c>
      <c r="AC697" s="42">
        <f t="shared" si="362"/>
        <v>15869.942999999999</v>
      </c>
      <c r="AD697" s="31">
        <f>VLOOKUP($A697,kurspris!$A$1:$Q$835,3,FALSE)</f>
        <v>0</v>
      </c>
      <c r="AE697" s="31">
        <f>VLOOKUP($A697,kurspris!$A$1:$Q$835,4,FALSE)</f>
        <v>0</v>
      </c>
      <c r="AF697" s="31">
        <f>VLOOKUP($A697,kurspris!$A$1:$Q$835,5,FALSE)</f>
        <v>0</v>
      </c>
      <c r="AG697" s="31">
        <f>VLOOKUP($A697,kurspris!$A$1:$Q$835,6,FALSE)</f>
        <v>0.83</v>
      </c>
      <c r="AH697" s="31">
        <f>VLOOKUP($A697,kurspris!$A$1:$Q$835,7,FALSE)</f>
        <v>0</v>
      </c>
      <c r="AI697" s="31">
        <f>VLOOKUP($A697,kurspris!$A$1:$Q$835,8,FALSE)</f>
        <v>0</v>
      </c>
      <c r="AJ697" s="31">
        <f>VLOOKUP($A697,kurspris!$A$1:$Q$835,9,FALSE)</f>
        <v>0</v>
      </c>
      <c r="AK697" s="31">
        <f>VLOOKUP($A697,kurspris!$A$1:$Q$835,10,FALSE)</f>
        <v>0</v>
      </c>
      <c r="AL697" s="31">
        <f>VLOOKUP($A697,kurspris!$A$1:$Q$835,11,FALSE)</f>
        <v>0.17</v>
      </c>
      <c r="AM697" s="31">
        <f>VLOOKUP($A697,kurspris!$A$1:$Q$835,12,FALSE)</f>
        <v>0</v>
      </c>
      <c r="AN697" s="31">
        <f>VLOOKUP($A697,kurspris!$A$1:$Q$835,13,FALSE)</f>
        <v>0</v>
      </c>
      <c r="AO697" s="31">
        <f>VLOOKUP($A697,kurspris!$A$1:$Q$835,14,FALSE)</f>
        <v>0</v>
      </c>
      <c r="AP697" s="39" t="s">
        <v>2326</v>
      </c>
      <c r="AQ697"/>
      <c r="AR697" s="31">
        <f t="shared" si="363"/>
        <v>0</v>
      </c>
      <c r="AS697" s="255">
        <f t="shared" si="364"/>
        <v>0</v>
      </c>
      <c r="AT697" s="31">
        <f t="shared" si="365"/>
        <v>0</v>
      </c>
      <c r="AU697" s="255">
        <f t="shared" si="366"/>
        <v>0</v>
      </c>
      <c r="AV697" s="31">
        <f t="shared" si="367"/>
        <v>0</v>
      </c>
      <c r="AW697" s="31">
        <f t="shared" si="368"/>
        <v>0</v>
      </c>
      <c r="AX697" s="31">
        <f t="shared" si="369"/>
        <v>0.24899999999999997</v>
      </c>
      <c r="AY697" s="255">
        <f t="shared" si="370"/>
        <v>0.21165</v>
      </c>
      <c r="AZ697" s="232">
        <f t="shared" si="371"/>
        <v>0</v>
      </c>
      <c r="BA697" s="255">
        <f t="shared" si="372"/>
        <v>0</v>
      </c>
      <c r="BB697" s="31">
        <f t="shared" si="373"/>
        <v>0</v>
      </c>
      <c r="BC697" s="255">
        <f t="shared" si="374"/>
        <v>0</v>
      </c>
      <c r="BD697" s="31">
        <f t="shared" si="375"/>
        <v>0</v>
      </c>
      <c r="BE697" s="255">
        <f t="shared" si="376"/>
        <v>0</v>
      </c>
      <c r="BF697" s="31">
        <f t="shared" si="377"/>
        <v>0</v>
      </c>
      <c r="BG697" s="255">
        <f t="shared" si="378"/>
        <v>0</v>
      </c>
      <c r="BH697" s="31">
        <f t="shared" si="379"/>
        <v>5.1000000000000004E-2</v>
      </c>
      <c r="BI697" s="255">
        <f t="shared" si="380"/>
        <v>4.3350000000000007E-2</v>
      </c>
      <c r="BJ697" s="31">
        <f t="shared" si="381"/>
        <v>0</v>
      </c>
      <c r="BK697" s="31">
        <f t="shared" si="382"/>
        <v>0</v>
      </c>
      <c r="BL697" s="255">
        <f t="shared" si="383"/>
        <v>0</v>
      </c>
      <c r="BM697" s="31">
        <f t="shared" si="384"/>
        <v>0</v>
      </c>
      <c r="BN697" s="255">
        <f t="shared" si="385"/>
        <v>0</v>
      </c>
    </row>
    <row r="698" spans="1:66" x14ac:dyDescent="0.25">
      <c r="A698" t="s">
        <v>1538</v>
      </c>
      <c r="B698" s="186" t="str">
        <f>VLOOKUP(A698,kurspris!$A$1:$B$877,2,FALSE)</f>
        <v>Bedömning (UK)</v>
      </c>
      <c r="C698"/>
      <c r="D698" t="s">
        <v>1632</v>
      </c>
      <c r="E698" t="s">
        <v>1930</v>
      </c>
      <c r="F698" s="59" t="s">
        <v>1930</v>
      </c>
      <c r="G698" t="s">
        <v>1938</v>
      </c>
      <c r="H698" t="s">
        <v>1910</v>
      </c>
      <c r="I698"/>
      <c r="J698"/>
      <c r="K698"/>
      <c r="L698" s="423">
        <v>100</v>
      </c>
      <c r="M698">
        <v>7.5</v>
      </c>
      <c r="N698"/>
      <c r="O698"/>
      <c r="P698" s="31">
        <v>14</v>
      </c>
      <c r="Q698" s="232">
        <f t="shared" si="358"/>
        <v>1.75</v>
      </c>
      <c r="R698" s="40">
        <v>0.85</v>
      </c>
      <c r="S698" s="334">
        <f t="shared" si="359"/>
        <v>1.4875</v>
      </c>
      <c r="T698" s="31">
        <f>VLOOKUP(A698,'Ansvar kurs'!$A$1:$C$1010,2,FALSE)</f>
        <v>5740</v>
      </c>
      <c r="U698" s="31" t="str">
        <f>VLOOKUP(T698,Orgenheter!$A$1:$C$165,2,FALSE)</f>
        <v>NMD</v>
      </c>
      <c r="V698" s="31" t="str">
        <f>VLOOKUP(T698,Orgenheter!$A$1:$C$165,3,FALSE)</f>
        <v>TekNat</v>
      </c>
      <c r="W698" s="37" t="str">
        <f>VLOOKUP(D698,Program!$A$1:$B$34,2,FALSE)</f>
        <v>KPU - Förhöjd studietakt - utbildningsbidrag</v>
      </c>
      <c r="X698" s="42">
        <f>VLOOKUP(A698,kurspris!$A$1:$Q$798,15,FALSE)</f>
        <v>23641</v>
      </c>
      <c r="Y698" s="42">
        <f>VLOOKUP(A698,kurspris!$A$1:$Q$798,16,FALSE)</f>
        <v>28786</v>
      </c>
      <c r="Z698" s="42">
        <f t="shared" si="360"/>
        <v>84190.925000000003</v>
      </c>
      <c r="AA698" s="42">
        <f>VLOOKUP(A698,kurspris!$A$1:$Q$798,17,FALSE)</f>
        <v>5800</v>
      </c>
      <c r="AB698" s="42">
        <f t="shared" si="361"/>
        <v>10150</v>
      </c>
      <c r="AC698" s="42">
        <f t="shared" si="362"/>
        <v>94340.925000000003</v>
      </c>
      <c r="AD698" s="31">
        <f>VLOOKUP($A698,kurspris!$A$1:$Q$835,3,FALSE)</f>
        <v>0</v>
      </c>
      <c r="AE698" s="31">
        <f>VLOOKUP($A698,kurspris!$A$1:$Q$835,4,FALSE)</f>
        <v>0</v>
      </c>
      <c r="AF698" s="31">
        <f>VLOOKUP($A698,kurspris!$A$1:$Q$835,5,FALSE)</f>
        <v>0</v>
      </c>
      <c r="AG698" s="31">
        <f>VLOOKUP($A698,kurspris!$A$1:$Q$835,6,FALSE)</f>
        <v>1</v>
      </c>
      <c r="AH698" s="31">
        <f>VLOOKUP($A698,kurspris!$A$1:$Q$835,7,FALSE)</f>
        <v>0</v>
      </c>
      <c r="AI698" s="31">
        <f>VLOOKUP($A698,kurspris!$A$1:$Q$835,8,FALSE)</f>
        <v>0</v>
      </c>
      <c r="AJ698" s="31">
        <f>VLOOKUP($A698,kurspris!$A$1:$Q$835,9,FALSE)</f>
        <v>0</v>
      </c>
      <c r="AK698" s="31">
        <f>VLOOKUP($A698,kurspris!$A$1:$Q$835,10,FALSE)</f>
        <v>0</v>
      </c>
      <c r="AL698" s="31">
        <f>VLOOKUP($A698,kurspris!$A$1:$Q$835,11,FALSE)</f>
        <v>0</v>
      </c>
      <c r="AM698" s="31">
        <f>VLOOKUP($A698,kurspris!$A$1:$Q$835,12,FALSE)</f>
        <v>0</v>
      </c>
      <c r="AN698" s="31">
        <f>VLOOKUP($A698,kurspris!$A$1:$Q$835,13,FALSE)</f>
        <v>0</v>
      </c>
      <c r="AO698" s="31">
        <f>VLOOKUP($A698,kurspris!$A$1:$Q$835,14,FALSE)</f>
        <v>0</v>
      </c>
      <c r="AP698" s="39" t="s">
        <v>2235</v>
      </c>
      <c r="AQ698"/>
      <c r="AR698" s="31">
        <f t="shared" si="363"/>
        <v>0</v>
      </c>
      <c r="AS698" s="255">
        <f t="shared" si="364"/>
        <v>0</v>
      </c>
      <c r="AT698" s="31">
        <f t="shared" si="365"/>
        <v>0</v>
      </c>
      <c r="AU698" s="255">
        <f t="shared" si="366"/>
        <v>0</v>
      </c>
      <c r="AV698" s="31">
        <f t="shared" si="367"/>
        <v>0</v>
      </c>
      <c r="AW698" s="31">
        <f t="shared" si="368"/>
        <v>0</v>
      </c>
      <c r="AX698" s="31">
        <f t="shared" si="369"/>
        <v>1.75</v>
      </c>
      <c r="AY698" s="255">
        <f t="shared" si="370"/>
        <v>1.4875</v>
      </c>
      <c r="AZ698" s="232">
        <f t="shared" si="371"/>
        <v>0</v>
      </c>
      <c r="BA698" s="255">
        <f t="shared" si="372"/>
        <v>0</v>
      </c>
      <c r="BB698" s="31">
        <f t="shared" si="373"/>
        <v>0</v>
      </c>
      <c r="BC698" s="255">
        <f t="shared" si="374"/>
        <v>0</v>
      </c>
      <c r="BD698" s="31">
        <f t="shared" si="375"/>
        <v>0</v>
      </c>
      <c r="BE698" s="255">
        <f t="shared" si="376"/>
        <v>0</v>
      </c>
      <c r="BF698" s="31">
        <f t="shared" si="377"/>
        <v>0</v>
      </c>
      <c r="BG698" s="255">
        <f t="shared" si="378"/>
        <v>0</v>
      </c>
      <c r="BH698" s="31">
        <f t="shared" si="379"/>
        <v>0</v>
      </c>
      <c r="BI698" s="255">
        <f t="shared" si="380"/>
        <v>0</v>
      </c>
      <c r="BJ698" s="31">
        <f t="shared" si="381"/>
        <v>0</v>
      </c>
      <c r="BK698" s="31">
        <f t="shared" si="382"/>
        <v>0</v>
      </c>
      <c r="BL698" s="255">
        <f t="shared" si="383"/>
        <v>0</v>
      </c>
      <c r="BM698" s="31">
        <f t="shared" si="384"/>
        <v>0</v>
      </c>
      <c r="BN698" s="255">
        <f t="shared" si="385"/>
        <v>0</v>
      </c>
    </row>
    <row r="699" spans="1:66" x14ac:dyDescent="0.25">
      <c r="A699" s="18" t="s">
        <v>1538</v>
      </c>
      <c r="B699" s="186" t="str">
        <f>VLOOKUP(A699,kurspris!$A$1:$B$877,2,FALSE)</f>
        <v>Bedömning (UK)</v>
      </c>
      <c r="C699" s="37"/>
      <c r="D699" s="31" t="s">
        <v>629</v>
      </c>
      <c r="E699" s="31" t="s">
        <v>1931</v>
      </c>
      <c r="F699" s="59" t="s">
        <v>1931</v>
      </c>
      <c r="G699" s="31" t="s">
        <v>2292</v>
      </c>
      <c r="J699" t="s">
        <v>2304</v>
      </c>
      <c r="L699" s="295">
        <v>150</v>
      </c>
      <c r="M699" s="31">
        <v>7.5</v>
      </c>
      <c r="P699" s="31">
        <v>2</v>
      </c>
      <c r="Q699" s="232">
        <f t="shared" si="358"/>
        <v>0.25</v>
      </c>
      <c r="R699" s="40">
        <v>0.85</v>
      </c>
      <c r="S699" s="334">
        <f t="shared" si="359"/>
        <v>0.21249999999999999</v>
      </c>
      <c r="T699" s="31">
        <f>VLOOKUP(A699,'Ansvar kurs'!$A$1:$C$1010,2,FALSE)</f>
        <v>5740</v>
      </c>
      <c r="U699" s="31" t="str">
        <f>VLOOKUP(T699,Orgenheter!$A$1:$C$165,2,FALSE)</f>
        <v>NMD</v>
      </c>
      <c r="V699" s="31" t="str">
        <f>VLOOKUP(T699,Orgenheter!$A$1:$C$165,3,FALSE)</f>
        <v>TekNat</v>
      </c>
      <c r="W699" s="37" t="str">
        <f>VLOOKUP(D699,Program!$A$1:$B$34,2,FALSE)</f>
        <v>KPU - åk 7-9</v>
      </c>
      <c r="X699" s="42">
        <f>VLOOKUP(A699,kurspris!$A$1:$Q$798,15,FALSE)</f>
        <v>23641</v>
      </c>
      <c r="Y699" s="42">
        <f>VLOOKUP(A699,kurspris!$A$1:$Q$798,16,FALSE)</f>
        <v>28786</v>
      </c>
      <c r="Z699" s="42">
        <f t="shared" si="360"/>
        <v>12027.275</v>
      </c>
      <c r="AA699" s="42">
        <f>VLOOKUP(A699,kurspris!$A$1:$Q$798,17,FALSE)</f>
        <v>5800</v>
      </c>
      <c r="AB699" s="42">
        <f t="shared" si="361"/>
        <v>1450</v>
      </c>
      <c r="AC699" s="42">
        <f t="shared" si="362"/>
        <v>13477.275</v>
      </c>
      <c r="AD699" s="31">
        <f>VLOOKUP($A699,kurspris!$A$1:$Q$835,3,FALSE)</f>
        <v>0</v>
      </c>
      <c r="AE699" s="31">
        <f>VLOOKUP($A699,kurspris!$A$1:$Q$835,4,FALSE)</f>
        <v>0</v>
      </c>
      <c r="AF699" s="31">
        <f>VLOOKUP($A699,kurspris!$A$1:$Q$835,5,FALSE)</f>
        <v>0</v>
      </c>
      <c r="AG699" s="31">
        <f>VLOOKUP($A699,kurspris!$A$1:$Q$835,6,FALSE)</f>
        <v>1</v>
      </c>
      <c r="AH699" s="31">
        <f>VLOOKUP($A699,kurspris!$A$1:$Q$835,7,FALSE)</f>
        <v>0</v>
      </c>
      <c r="AI699" s="31">
        <f>VLOOKUP($A699,kurspris!$A$1:$Q$835,8,FALSE)</f>
        <v>0</v>
      </c>
      <c r="AJ699" s="31">
        <f>VLOOKUP($A699,kurspris!$A$1:$Q$835,9,FALSE)</f>
        <v>0</v>
      </c>
      <c r="AK699" s="31">
        <f>VLOOKUP($A699,kurspris!$A$1:$Q$835,10,FALSE)</f>
        <v>0</v>
      </c>
      <c r="AL699" s="31">
        <f>VLOOKUP($A699,kurspris!$A$1:$Q$835,11,FALSE)</f>
        <v>0</v>
      </c>
      <c r="AM699" s="31">
        <f>VLOOKUP($A699,kurspris!$A$1:$Q$835,12,FALSE)</f>
        <v>0</v>
      </c>
      <c r="AN699" s="31">
        <f>VLOOKUP($A699,kurspris!$A$1:$Q$835,13,FALSE)</f>
        <v>0</v>
      </c>
      <c r="AO699" s="31">
        <f>VLOOKUP($A699,kurspris!$A$1:$Q$835,14,FALSE)</f>
        <v>0</v>
      </c>
      <c r="AP699" s="39" t="s">
        <v>2326</v>
      </c>
      <c r="AQ699"/>
      <c r="AR699" s="31">
        <f t="shared" si="363"/>
        <v>0</v>
      </c>
      <c r="AS699" s="255">
        <f t="shared" si="364"/>
        <v>0</v>
      </c>
      <c r="AT699" s="31">
        <f t="shared" si="365"/>
        <v>0</v>
      </c>
      <c r="AU699" s="255">
        <f t="shared" si="366"/>
        <v>0</v>
      </c>
      <c r="AV699" s="31">
        <f t="shared" si="367"/>
        <v>0</v>
      </c>
      <c r="AW699" s="31">
        <f t="shared" si="368"/>
        <v>0</v>
      </c>
      <c r="AX699" s="31">
        <f t="shared" si="369"/>
        <v>0.25</v>
      </c>
      <c r="AY699" s="255">
        <f t="shared" si="370"/>
        <v>0.21249999999999999</v>
      </c>
      <c r="AZ699" s="232">
        <f t="shared" si="371"/>
        <v>0</v>
      </c>
      <c r="BA699" s="255">
        <f t="shared" si="372"/>
        <v>0</v>
      </c>
      <c r="BB699" s="31">
        <f t="shared" si="373"/>
        <v>0</v>
      </c>
      <c r="BC699" s="255">
        <f t="shared" si="374"/>
        <v>0</v>
      </c>
      <c r="BD699" s="31">
        <f t="shared" si="375"/>
        <v>0</v>
      </c>
      <c r="BE699" s="255">
        <f t="shared" si="376"/>
        <v>0</v>
      </c>
      <c r="BF699" s="31">
        <f t="shared" si="377"/>
        <v>0</v>
      </c>
      <c r="BG699" s="255">
        <f t="shared" si="378"/>
        <v>0</v>
      </c>
      <c r="BH699" s="31">
        <f t="shared" si="379"/>
        <v>0</v>
      </c>
      <c r="BI699" s="255">
        <f t="shared" si="380"/>
        <v>0</v>
      </c>
      <c r="BJ699" s="31">
        <f t="shared" si="381"/>
        <v>0</v>
      </c>
      <c r="BK699" s="31">
        <f t="shared" si="382"/>
        <v>0</v>
      </c>
      <c r="BL699" s="255">
        <f t="shared" si="383"/>
        <v>0</v>
      </c>
      <c r="BM699" s="31">
        <f t="shared" si="384"/>
        <v>0</v>
      </c>
      <c r="BN699" s="255">
        <f t="shared" si="385"/>
        <v>0</v>
      </c>
    </row>
    <row r="700" spans="1:66" x14ac:dyDescent="0.25">
      <c r="A700" s="18" t="s">
        <v>1538</v>
      </c>
      <c r="B700" s="186" t="str">
        <f>VLOOKUP(A700,kurspris!$A$1:$B$877,2,FALSE)</f>
        <v>Bedömning (UK)</v>
      </c>
      <c r="C700" s="37"/>
      <c r="D700" s="31" t="s">
        <v>629</v>
      </c>
      <c r="E700" s="31" t="s">
        <v>1931</v>
      </c>
      <c r="F700" s="59" t="s">
        <v>1931</v>
      </c>
      <c r="G700" s="31" t="s">
        <v>2292</v>
      </c>
      <c r="J700" t="s">
        <v>2302</v>
      </c>
      <c r="L700" s="295">
        <v>150</v>
      </c>
      <c r="M700" s="31">
        <v>7.5</v>
      </c>
      <c r="P700" s="31">
        <v>12</v>
      </c>
      <c r="Q700" s="232">
        <f t="shared" si="358"/>
        <v>1.5</v>
      </c>
      <c r="R700" s="40">
        <v>0.85</v>
      </c>
      <c r="S700" s="334">
        <f t="shared" si="359"/>
        <v>1.2749999999999999</v>
      </c>
      <c r="T700" s="31">
        <f>VLOOKUP(A700,'Ansvar kurs'!$A$1:$C$1010,2,FALSE)</f>
        <v>5740</v>
      </c>
      <c r="U700" s="31" t="str">
        <f>VLOOKUP(T700,Orgenheter!$A$1:$C$165,2,FALSE)</f>
        <v>NMD</v>
      </c>
      <c r="V700" s="31" t="str">
        <f>VLOOKUP(T700,Orgenheter!$A$1:$C$165,3,FALSE)</f>
        <v>TekNat</v>
      </c>
      <c r="W700" s="37" t="str">
        <f>VLOOKUP(D700,Program!$A$1:$B$34,2,FALSE)</f>
        <v>KPU - åk 7-9</v>
      </c>
      <c r="X700" s="42">
        <f>VLOOKUP(A700,kurspris!$A$1:$Q$798,15,FALSE)</f>
        <v>23641</v>
      </c>
      <c r="Y700" s="42">
        <f>VLOOKUP(A700,kurspris!$A$1:$Q$798,16,FALSE)</f>
        <v>28786</v>
      </c>
      <c r="Z700" s="42">
        <f t="shared" si="360"/>
        <v>72163.649999999994</v>
      </c>
      <c r="AA700" s="42">
        <f>VLOOKUP(A700,kurspris!$A$1:$Q$798,17,FALSE)</f>
        <v>5800</v>
      </c>
      <c r="AB700" s="42">
        <f t="shared" si="361"/>
        <v>8700</v>
      </c>
      <c r="AC700" s="42">
        <f t="shared" si="362"/>
        <v>80863.649999999994</v>
      </c>
      <c r="AD700" s="31">
        <f>VLOOKUP($A700,kurspris!$A$1:$Q$835,3,FALSE)</f>
        <v>0</v>
      </c>
      <c r="AE700" s="31">
        <f>VLOOKUP($A700,kurspris!$A$1:$Q$835,4,FALSE)</f>
        <v>0</v>
      </c>
      <c r="AF700" s="31">
        <f>VLOOKUP($A700,kurspris!$A$1:$Q$835,5,FALSE)</f>
        <v>0</v>
      </c>
      <c r="AG700" s="31">
        <f>VLOOKUP($A700,kurspris!$A$1:$Q$835,6,FALSE)</f>
        <v>1</v>
      </c>
      <c r="AH700" s="31">
        <f>VLOOKUP($A700,kurspris!$A$1:$Q$835,7,FALSE)</f>
        <v>0</v>
      </c>
      <c r="AI700" s="31">
        <f>VLOOKUP($A700,kurspris!$A$1:$Q$835,8,FALSE)</f>
        <v>0</v>
      </c>
      <c r="AJ700" s="31">
        <f>VLOOKUP($A700,kurspris!$A$1:$Q$835,9,FALSE)</f>
        <v>0</v>
      </c>
      <c r="AK700" s="31">
        <f>VLOOKUP($A700,kurspris!$A$1:$Q$835,10,FALSE)</f>
        <v>0</v>
      </c>
      <c r="AL700" s="31">
        <f>VLOOKUP($A700,kurspris!$A$1:$Q$835,11,FALSE)</f>
        <v>0</v>
      </c>
      <c r="AM700" s="31">
        <f>VLOOKUP($A700,kurspris!$A$1:$Q$835,12,FALSE)</f>
        <v>0</v>
      </c>
      <c r="AN700" s="31">
        <f>VLOOKUP($A700,kurspris!$A$1:$Q$835,13,FALSE)</f>
        <v>0</v>
      </c>
      <c r="AO700" s="31">
        <f>VLOOKUP($A700,kurspris!$A$1:$Q$835,14,FALSE)</f>
        <v>0</v>
      </c>
      <c r="AP700" s="39" t="s">
        <v>2326</v>
      </c>
      <c r="AQ700"/>
      <c r="AR700" s="31">
        <f t="shared" si="363"/>
        <v>0</v>
      </c>
      <c r="AS700" s="255">
        <f t="shared" si="364"/>
        <v>0</v>
      </c>
      <c r="AT700" s="31">
        <f t="shared" si="365"/>
        <v>0</v>
      </c>
      <c r="AU700" s="255">
        <f t="shared" si="366"/>
        <v>0</v>
      </c>
      <c r="AV700" s="31">
        <f t="shared" si="367"/>
        <v>0</v>
      </c>
      <c r="AW700" s="31">
        <f t="shared" si="368"/>
        <v>0</v>
      </c>
      <c r="AX700" s="31">
        <f t="shared" si="369"/>
        <v>1.5</v>
      </c>
      <c r="AY700" s="255">
        <f t="shared" si="370"/>
        <v>1.2749999999999999</v>
      </c>
      <c r="AZ700" s="232">
        <f t="shared" si="371"/>
        <v>0</v>
      </c>
      <c r="BA700" s="255">
        <f t="shared" si="372"/>
        <v>0</v>
      </c>
      <c r="BB700" s="31">
        <f t="shared" si="373"/>
        <v>0</v>
      </c>
      <c r="BC700" s="255">
        <f t="shared" si="374"/>
        <v>0</v>
      </c>
      <c r="BD700" s="31">
        <f t="shared" si="375"/>
        <v>0</v>
      </c>
      <c r="BE700" s="255">
        <f t="shared" si="376"/>
        <v>0</v>
      </c>
      <c r="BF700" s="31">
        <f t="shared" si="377"/>
        <v>0</v>
      </c>
      <c r="BG700" s="255">
        <f t="shared" si="378"/>
        <v>0</v>
      </c>
      <c r="BH700" s="31">
        <f t="shared" si="379"/>
        <v>0</v>
      </c>
      <c r="BI700" s="255">
        <f t="shared" si="380"/>
        <v>0</v>
      </c>
      <c r="BJ700" s="31">
        <f t="shared" si="381"/>
        <v>0</v>
      </c>
      <c r="BK700" s="31">
        <f t="shared" si="382"/>
        <v>0</v>
      </c>
      <c r="BL700" s="255">
        <f t="shared" si="383"/>
        <v>0</v>
      </c>
      <c r="BM700" s="31">
        <f t="shared" si="384"/>
        <v>0</v>
      </c>
      <c r="BN700" s="255">
        <f t="shared" si="385"/>
        <v>0</v>
      </c>
    </row>
    <row r="701" spans="1:66" x14ac:dyDescent="0.25">
      <c r="A701" s="18" t="s">
        <v>1538</v>
      </c>
      <c r="B701" s="186" t="str">
        <f>VLOOKUP(A701,kurspris!$A$1:$B$877,2,FALSE)</f>
        <v>Bedömning (UK)</v>
      </c>
      <c r="C701" s="37"/>
      <c r="D701" s="31" t="s">
        <v>629</v>
      </c>
      <c r="E701" s="31" t="s">
        <v>1931</v>
      </c>
      <c r="F701" s="59" t="s">
        <v>1931</v>
      </c>
      <c r="G701" s="31" t="s">
        <v>2292</v>
      </c>
      <c r="J701" t="s">
        <v>2305</v>
      </c>
      <c r="L701" s="295">
        <v>150</v>
      </c>
      <c r="M701" s="31">
        <v>7.5</v>
      </c>
      <c r="P701" s="31">
        <v>4</v>
      </c>
      <c r="Q701" s="232">
        <f t="shared" si="358"/>
        <v>0.5</v>
      </c>
      <c r="R701" s="40">
        <v>0.85</v>
      </c>
      <c r="S701" s="334">
        <f t="shared" si="359"/>
        <v>0.42499999999999999</v>
      </c>
      <c r="T701" s="31">
        <f>VLOOKUP(A701,'Ansvar kurs'!$A$1:$C$1010,2,FALSE)</f>
        <v>5740</v>
      </c>
      <c r="U701" s="31" t="str">
        <f>VLOOKUP(T701,Orgenheter!$A$1:$C$165,2,FALSE)</f>
        <v>NMD</v>
      </c>
      <c r="V701" s="31" t="str">
        <f>VLOOKUP(T701,Orgenheter!$A$1:$C$165,3,FALSE)</f>
        <v>TekNat</v>
      </c>
      <c r="W701" s="37" t="str">
        <f>VLOOKUP(D701,Program!$A$1:$B$34,2,FALSE)</f>
        <v>KPU - åk 7-9</v>
      </c>
      <c r="X701" s="42">
        <f>VLOOKUP(A701,kurspris!$A$1:$Q$798,15,FALSE)</f>
        <v>23641</v>
      </c>
      <c r="Y701" s="42">
        <f>VLOOKUP(A701,kurspris!$A$1:$Q$798,16,FALSE)</f>
        <v>28786</v>
      </c>
      <c r="Z701" s="42">
        <f t="shared" si="360"/>
        <v>24054.55</v>
      </c>
      <c r="AA701" s="42">
        <f>VLOOKUP(A701,kurspris!$A$1:$Q$798,17,FALSE)</f>
        <v>5800</v>
      </c>
      <c r="AB701" s="42">
        <f t="shared" si="361"/>
        <v>2900</v>
      </c>
      <c r="AC701" s="42">
        <f t="shared" si="362"/>
        <v>26954.55</v>
      </c>
      <c r="AD701" s="31">
        <f>VLOOKUP($A701,kurspris!$A$1:$Q$835,3,FALSE)</f>
        <v>0</v>
      </c>
      <c r="AE701" s="31">
        <f>VLOOKUP($A701,kurspris!$A$1:$Q$835,4,FALSE)</f>
        <v>0</v>
      </c>
      <c r="AF701" s="31">
        <f>VLOOKUP($A701,kurspris!$A$1:$Q$835,5,FALSE)</f>
        <v>0</v>
      </c>
      <c r="AG701" s="31">
        <f>VLOOKUP($A701,kurspris!$A$1:$Q$835,6,FALSE)</f>
        <v>1</v>
      </c>
      <c r="AH701" s="31">
        <f>VLOOKUP($A701,kurspris!$A$1:$Q$835,7,FALSE)</f>
        <v>0</v>
      </c>
      <c r="AI701" s="31">
        <f>VLOOKUP($A701,kurspris!$A$1:$Q$835,8,FALSE)</f>
        <v>0</v>
      </c>
      <c r="AJ701" s="31">
        <f>VLOOKUP($A701,kurspris!$A$1:$Q$835,9,FALSE)</f>
        <v>0</v>
      </c>
      <c r="AK701" s="31">
        <f>VLOOKUP($A701,kurspris!$A$1:$Q$835,10,FALSE)</f>
        <v>0</v>
      </c>
      <c r="AL701" s="31">
        <f>VLOOKUP($A701,kurspris!$A$1:$Q$835,11,FALSE)</f>
        <v>0</v>
      </c>
      <c r="AM701" s="31">
        <f>VLOOKUP($A701,kurspris!$A$1:$Q$835,12,FALSE)</f>
        <v>0</v>
      </c>
      <c r="AN701" s="31">
        <f>VLOOKUP($A701,kurspris!$A$1:$Q$835,13,FALSE)</f>
        <v>0</v>
      </c>
      <c r="AO701" s="31">
        <f>VLOOKUP($A701,kurspris!$A$1:$Q$835,14,FALSE)</f>
        <v>0</v>
      </c>
      <c r="AP701" s="39" t="s">
        <v>2326</v>
      </c>
      <c r="AQ701"/>
      <c r="AR701" s="31">
        <f t="shared" si="363"/>
        <v>0</v>
      </c>
      <c r="AS701" s="255">
        <f t="shared" si="364"/>
        <v>0</v>
      </c>
      <c r="AT701" s="31">
        <f t="shared" si="365"/>
        <v>0</v>
      </c>
      <c r="AU701" s="255">
        <f t="shared" si="366"/>
        <v>0</v>
      </c>
      <c r="AV701" s="31">
        <f t="shared" si="367"/>
        <v>0</v>
      </c>
      <c r="AW701" s="31">
        <f t="shared" si="368"/>
        <v>0</v>
      </c>
      <c r="AX701" s="31">
        <f t="shared" si="369"/>
        <v>0.5</v>
      </c>
      <c r="AY701" s="255">
        <f t="shared" si="370"/>
        <v>0.42499999999999999</v>
      </c>
      <c r="AZ701" s="232">
        <f t="shared" si="371"/>
        <v>0</v>
      </c>
      <c r="BA701" s="255">
        <f t="shared" si="372"/>
        <v>0</v>
      </c>
      <c r="BB701" s="31">
        <f t="shared" si="373"/>
        <v>0</v>
      </c>
      <c r="BC701" s="255">
        <f t="shared" si="374"/>
        <v>0</v>
      </c>
      <c r="BD701" s="31">
        <f t="shared" si="375"/>
        <v>0</v>
      </c>
      <c r="BE701" s="255">
        <f t="shared" si="376"/>
        <v>0</v>
      </c>
      <c r="BF701" s="31">
        <f t="shared" si="377"/>
        <v>0</v>
      </c>
      <c r="BG701" s="255">
        <f t="shared" si="378"/>
        <v>0</v>
      </c>
      <c r="BH701" s="31">
        <f t="shared" si="379"/>
        <v>0</v>
      </c>
      <c r="BI701" s="255">
        <f t="shared" si="380"/>
        <v>0</v>
      </c>
      <c r="BJ701" s="31">
        <f t="shared" si="381"/>
        <v>0</v>
      </c>
      <c r="BK701" s="31">
        <f t="shared" si="382"/>
        <v>0</v>
      </c>
      <c r="BL701" s="255">
        <f t="shared" si="383"/>
        <v>0</v>
      </c>
      <c r="BM701" s="31">
        <f t="shared" si="384"/>
        <v>0</v>
      </c>
      <c r="BN701" s="255">
        <f t="shared" si="385"/>
        <v>0</v>
      </c>
    </row>
    <row r="702" spans="1:66" x14ac:dyDescent="0.25">
      <c r="A702" s="59" t="s">
        <v>1538</v>
      </c>
      <c r="B702" s="186" t="str">
        <f>VLOOKUP(A702,kurspris!$A$1:$B$877,2,FALSE)</f>
        <v>Bedömning (UK)</v>
      </c>
      <c r="D702" s="59" t="s">
        <v>630</v>
      </c>
      <c r="E702" s="62" t="s">
        <v>2263</v>
      </c>
      <c r="F702" s="59" t="s">
        <v>1931</v>
      </c>
      <c r="G702" s="31" t="s">
        <v>2292</v>
      </c>
      <c r="I702" s="62"/>
      <c r="J702" t="s">
        <v>2302</v>
      </c>
      <c r="L702" s="295">
        <v>150</v>
      </c>
      <c r="M702" s="378">
        <v>7.5</v>
      </c>
      <c r="P702" s="377">
        <v>1</v>
      </c>
      <c r="Q702" s="232">
        <f t="shared" si="358"/>
        <v>0.125</v>
      </c>
      <c r="R702" s="40">
        <v>0.85</v>
      </c>
      <c r="S702" s="334">
        <f t="shared" si="359"/>
        <v>0.10625</v>
      </c>
      <c r="T702" s="31">
        <f>VLOOKUP(A702,'Ansvar kurs'!$A$1:$C$1010,2,FALSE)</f>
        <v>5740</v>
      </c>
      <c r="U702" s="31" t="str">
        <f>VLOOKUP(T702,Orgenheter!$A$1:$C$165,2,FALSE)</f>
        <v>NMD</v>
      </c>
      <c r="V702" s="31" t="str">
        <f>VLOOKUP(T702,Orgenheter!$A$1:$C$165,3,FALSE)</f>
        <v>TekNat</v>
      </c>
      <c r="W702" s="37" t="str">
        <f>VLOOKUP(D702,Program!$A$1:$B$34,2,FALSE)</f>
        <v>KPU - Gy</v>
      </c>
      <c r="X702" s="42">
        <f>VLOOKUP(A702,kurspris!$A$1:$Q$798,15,FALSE)</f>
        <v>23641</v>
      </c>
      <c r="Y702" s="42">
        <f>VLOOKUP(A702,kurspris!$A$1:$Q$798,16,FALSE)</f>
        <v>28786</v>
      </c>
      <c r="Z702" s="42">
        <f t="shared" si="360"/>
        <v>6013.6374999999998</v>
      </c>
      <c r="AA702" s="42">
        <f>VLOOKUP(A702,kurspris!$A$1:$Q$798,17,FALSE)</f>
        <v>5800</v>
      </c>
      <c r="AB702" s="42">
        <f t="shared" si="361"/>
        <v>725</v>
      </c>
      <c r="AC702" s="42">
        <f t="shared" si="362"/>
        <v>6738.6374999999998</v>
      </c>
      <c r="AD702" s="31">
        <f>VLOOKUP($A702,kurspris!$A$1:$Q$835,3,FALSE)</f>
        <v>0</v>
      </c>
      <c r="AE702" s="31">
        <f>VLOOKUP($A702,kurspris!$A$1:$Q$835,4,FALSE)</f>
        <v>0</v>
      </c>
      <c r="AF702" s="31">
        <f>VLOOKUP($A702,kurspris!$A$1:$Q$835,5,FALSE)</f>
        <v>0</v>
      </c>
      <c r="AG702" s="31">
        <f>VLOOKUP($A702,kurspris!$A$1:$Q$835,6,FALSE)</f>
        <v>1</v>
      </c>
      <c r="AH702" s="31">
        <f>VLOOKUP($A702,kurspris!$A$1:$Q$835,7,FALSE)</f>
        <v>0</v>
      </c>
      <c r="AI702" s="31">
        <f>VLOOKUP($A702,kurspris!$A$1:$Q$835,8,FALSE)</f>
        <v>0</v>
      </c>
      <c r="AJ702" s="31">
        <f>VLOOKUP($A702,kurspris!$A$1:$Q$835,9,FALSE)</f>
        <v>0</v>
      </c>
      <c r="AK702" s="31">
        <f>VLOOKUP($A702,kurspris!$A$1:$Q$835,10,FALSE)</f>
        <v>0</v>
      </c>
      <c r="AL702" s="31">
        <f>VLOOKUP($A702,kurspris!$A$1:$Q$835,11,FALSE)</f>
        <v>0</v>
      </c>
      <c r="AM702" s="31">
        <f>VLOOKUP($A702,kurspris!$A$1:$Q$835,12,FALSE)</f>
        <v>0</v>
      </c>
      <c r="AN702" s="31">
        <f>VLOOKUP($A702,kurspris!$A$1:$Q$835,13,FALSE)</f>
        <v>0</v>
      </c>
      <c r="AO702" s="31">
        <f>VLOOKUP($A702,kurspris!$A$1:$Q$835,14,FALSE)</f>
        <v>0</v>
      </c>
      <c r="AP702" s="39" t="s">
        <v>2326</v>
      </c>
      <c r="AQ702"/>
      <c r="AR702" s="31">
        <f t="shared" si="363"/>
        <v>0</v>
      </c>
      <c r="AS702" s="255">
        <f t="shared" si="364"/>
        <v>0</v>
      </c>
      <c r="AT702" s="31">
        <f t="shared" si="365"/>
        <v>0</v>
      </c>
      <c r="AU702" s="255">
        <f t="shared" si="366"/>
        <v>0</v>
      </c>
      <c r="AV702" s="31">
        <f t="shared" si="367"/>
        <v>0</v>
      </c>
      <c r="AW702" s="31">
        <f t="shared" si="368"/>
        <v>0</v>
      </c>
      <c r="AX702" s="31">
        <f t="shared" si="369"/>
        <v>0.125</v>
      </c>
      <c r="AY702" s="255">
        <f t="shared" si="370"/>
        <v>0.10625</v>
      </c>
      <c r="AZ702" s="232">
        <f t="shared" si="371"/>
        <v>0</v>
      </c>
      <c r="BA702" s="255">
        <f t="shared" si="372"/>
        <v>0</v>
      </c>
      <c r="BB702" s="31">
        <f t="shared" si="373"/>
        <v>0</v>
      </c>
      <c r="BC702" s="255">
        <f t="shared" si="374"/>
        <v>0</v>
      </c>
      <c r="BD702" s="31">
        <f t="shared" si="375"/>
        <v>0</v>
      </c>
      <c r="BE702" s="255">
        <f t="shared" si="376"/>
        <v>0</v>
      </c>
      <c r="BF702" s="31">
        <f t="shared" si="377"/>
        <v>0</v>
      </c>
      <c r="BG702" s="255">
        <f t="shared" si="378"/>
        <v>0</v>
      </c>
      <c r="BH702" s="31">
        <f t="shared" si="379"/>
        <v>0</v>
      </c>
      <c r="BI702" s="255">
        <f t="shared" si="380"/>
        <v>0</v>
      </c>
      <c r="BJ702" s="31">
        <f t="shared" si="381"/>
        <v>0</v>
      </c>
      <c r="BK702" s="31">
        <f t="shared" si="382"/>
        <v>0</v>
      </c>
      <c r="BL702" s="255">
        <f t="shared" si="383"/>
        <v>0</v>
      </c>
      <c r="BM702" s="31">
        <f t="shared" si="384"/>
        <v>0</v>
      </c>
      <c r="BN702" s="255">
        <f t="shared" si="385"/>
        <v>0</v>
      </c>
    </row>
    <row r="703" spans="1:66" x14ac:dyDescent="0.25">
      <c r="A703" s="59" t="s">
        <v>1538</v>
      </c>
      <c r="B703" s="186" t="str">
        <f>VLOOKUP(A703,kurspris!$A$1:$B$877,2,FALSE)</f>
        <v>Bedömning (UK)</v>
      </c>
      <c r="C703" s="37"/>
      <c r="D703" s="59" t="s">
        <v>630</v>
      </c>
      <c r="E703" s="62" t="s">
        <v>1931</v>
      </c>
      <c r="F703" s="59" t="s">
        <v>1931</v>
      </c>
      <c r="G703" s="31" t="s">
        <v>2292</v>
      </c>
      <c r="I703" s="62"/>
      <c r="J703" t="s">
        <v>2308</v>
      </c>
      <c r="L703" s="295">
        <v>150</v>
      </c>
      <c r="M703" s="378">
        <v>7.5</v>
      </c>
      <c r="P703" s="31">
        <v>4</v>
      </c>
      <c r="Q703" s="232">
        <f t="shared" si="358"/>
        <v>0.5</v>
      </c>
      <c r="R703" s="40">
        <v>0.85</v>
      </c>
      <c r="S703" s="334">
        <f t="shared" si="359"/>
        <v>0.42499999999999999</v>
      </c>
      <c r="T703" s="31">
        <f>VLOOKUP(A703,'Ansvar kurs'!$A$1:$C$1010,2,FALSE)</f>
        <v>5740</v>
      </c>
      <c r="U703" s="31" t="str">
        <f>VLOOKUP(T703,Orgenheter!$A$1:$C$165,2,FALSE)</f>
        <v>NMD</v>
      </c>
      <c r="V703" s="31" t="str">
        <f>VLOOKUP(T703,Orgenheter!$A$1:$C$165,3,FALSE)</f>
        <v>TekNat</v>
      </c>
      <c r="W703" s="37" t="str">
        <f>VLOOKUP(D703,Program!$A$1:$B$34,2,FALSE)</f>
        <v>KPU - Gy</v>
      </c>
      <c r="X703" s="42">
        <f>VLOOKUP(A703,kurspris!$A$1:$Q$798,15,FALSE)</f>
        <v>23641</v>
      </c>
      <c r="Y703" s="42">
        <f>VLOOKUP(A703,kurspris!$A$1:$Q$798,16,FALSE)</f>
        <v>28786</v>
      </c>
      <c r="Z703" s="42">
        <f t="shared" si="360"/>
        <v>24054.55</v>
      </c>
      <c r="AA703" s="42">
        <f>VLOOKUP(A703,kurspris!$A$1:$Q$798,17,FALSE)</f>
        <v>5800</v>
      </c>
      <c r="AB703" s="42">
        <f t="shared" si="361"/>
        <v>2900</v>
      </c>
      <c r="AC703" s="42">
        <f t="shared" si="362"/>
        <v>26954.55</v>
      </c>
      <c r="AD703" s="31">
        <f>VLOOKUP($A703,kurspris!$A$1:$Q$835,3,FALSE)</f>
        <v>0</v>
      </c>
      <c r="AE703" s="31">
        <f>VLOOKUP($A703,kurspris!$A$1:$Q$835,4,FALSE)</f>
        <v>0</v>
      </c>
      <c r="AF703" s="31">
        <f>VLOOKUP($A703,kurspris!$A$1:$Q$835,5,FALSE)</f>
        <v>0</v>
      </c>
      <c r="AG703" s="31">
        <f>VLOOKUP($A703,kurspris!$A$1:$Q$835,6,FALSE)</f>
        <v>1</v>
      </c>
      <c r="AH703" s="31">
        <f>VLOOKUP($A703,kurspris!$A$1:$Q$835,7,FALSE)</f>
        <v>0</v>
      </c>
      <c r="AI703" s="31">
        <f>VLOOKUP($A703,kurspris!$A$1:$Q$835,8,FALSE)</f>
        <v>0</v>
      </c>
      <c r="AJ703" s="31">
        <f>VLOOKUP($A703,kurspris!$A$1:$Q$835,9,FALSE)</f>
        <v>0</v>
      </c>
      <c r="AK703" s="31">
        <f>VLOOKUP($A703,kurspris!$A$1:$Q$835,10,FALSE)</f>
        <v>0</v>
      </c>
      <c r="AL703" s="31">
        <f>VLOOKUP($A703,kurspris!$A$1:$Q$835,11,FALSE)</f>
        <v>0</v>
      </c>
      <c r="AM703" s="31">
        <f>VLOOKUP($A703,kurspris!$A$1:$Q$835,12,FALSE)</f>
        <v>0</v>
      </c>
      <c r="AN703" s="31">
        <f>VLOOKUP($A703,kurspris!$A$1:$Q$835,13,FALSE)</f>
        <v>0</v>
      </c>
      <c r="AO703" s="31">
        <f>VLOOKUP($A703,kurspris!$A$1:$Q$835,14,FALSE)</f>
        <v>0</v>
      </c>
      <c r="AP703" s="39" t="s">
        <v>2326</v>
      </c>
      <c r="AQ703"/>
      <c r="AR703" s="31">
        <f t="shared" si="363"/>
        <v>0</v>
      </c>
      <c r="AS703" s="255">
        <f t="shared" si="364"/>
        <v>0</v>
      </c>
      <c r="AT703" s="31">
        <f t="shared" si="365"/>
        <v>0</v>
      </c>
      <c r="AU703" s="255">
        <f t="shared" si="366"/>
        <v>0</v>
      </c>
      <c r="AV703" s="31">
        <f t="shared" si="367"/>
        <v>0</v>
      </c>
      <c r="AW703" s="31">
        <f t="shared" si="368"/>
        <v>0</v>
      </c>
      <c r="AX703" s="31">
        <f t="shared" si="369"/>
        <v>0.5</v>
      </c>
      <c r="AY703" s="255">
        <f t="shared" si="370"/>
        <v>0.42499999999999999</v>
      </c>
      <c r="AZ703" s="232">
        <f t="shared" si="371"/>
        <v>0</v>
      </c>
      <c r="BA703" s="255">
        <f t="shared" si="372"/>
        <v>0</v>
      </c>
      <c r="BB703" s="31">
        <f t="shared" si="373"/>
        <v>0</v>
      </c>
      <c r="BC703" s="255">
        <f t="shared" si="374"/>
        <v>0</v>
      </c>
      <c r="BD703" s="31">
        <f t="shared" si="375"/>
        <v>0</v>
      </c>
      <c r="BE703" s="255">
        <f t="shared" si="376"/>
        <v>0</v>
      </c>
      <c r="BF703" s="31">
        <f t="shared" si="377"/>
        <v>0</v>
      </c>
      <c r="BG703" s="255">
        <f t="shared" si="378"/>
        <v>0</v>
      </c>
      <c r="BH703" s="31">
        <f t="shared" si="379"/>
        <v>0</v>
      </c>
      <c r="BI703" s="255">
        <f t="shared" si="380"/>
        <v>0</v>
      </c>
      <c r="BJ703" s="31">
        <f t="shared" si="381"/>
        <v>0</v>
      </c>
      <c r="BK703" s="31">
        <f t="shared" si="382"/>
        <v>0</v>
      </c>
      <c r="BL703" s="255">
        <f t="shared" si="383"/>
        <v>0</v>
      </c>
      <c r="BM703" s="31">
        <f t="shared" si="384"/>
        <v>0</v>
      </c>
      <c r="BN703" s="255">
        <f t="shared" si="385"/>
        <v>0</v>
      </c>
    </row>
    <row r="704" spans="1:66" x14ac:dyDescent="0.25">
      <c r="A704" s="59" t="s">
        <v>1538</v>
      </c>
      <c r="B704" s="186" t="str">
        <f>VLOOKUP(A704,kurspris!$A$1:$B$877,2,FALSE)</f>
        <v>Bedömning (UK)</v>
      </c>
      <c r="C704" s="37"/>
      <c r="D704" s="59" t="s">
        <v>630</v>
      </c>
      <c r="E704" s="62" t="s">
        <v>1931</v>
      </c>
      <c r="F704" s="59" t="s">
        <v>1931</v>
      </c>
      <c r="G704" s="31" t="s">
        <v>2292</v>
      </c>
      <c r="I704" s="62"/>
      <c r="J704" t="s">
        <v>2302</v>
      </c>
      <c r="L704" s="295">
        <v>150</v>
      </c>
      <c r="M704" s="378">
        <v>7.5</v>
      </c>
      <c r="P704" s="31">
        <v>18</v>
      </c>
      <c r="Q704" s="232">
        <f t="shared" si="358"/>
        <v>2.25</v>
      </c>
      <c r="R704" s="40">
        <v>0.85</v>
      </c>
      <c r="S704" s="334">
        <f t="shared" si="359"/>
        <v>1.9124999999999999</v>
      </c>
      <c r="T704" s="31">
        <f>VLOOKUP(A704,'Ansvar kurs'!$A$1:$C$1010,2,FALSE)</f>
        <v>5740</v>
      </c>
      <c r="U704" s="31" t="str">
        <f>VLOOKUP(T704,Orgenheter!$A$1:$C$165,2,FALSE)</f>
        <v>NMD</v>
      </c>
      <c r="V704" s="31" t="str">
        <f>VLOOKUP(T704,Orgenheter!$A$1:$C$165,3,FALSE)</f>
        <v>TekNat</v>
      </c>
      <c r="W704" s="37" t="str">
        <f>VLOOKUP(D704,Program!$A$1:$B$34,2,FALSE)</f>
        <v>KPU - Gy</v>
      </c>
      <c r="X704" s="42">
        <f>VLOOKUP(A704,kurspris!$A$1:$Q$798,15,FALSE)</f>
        <v>23641</v>
      </c>
      <c r="Y704" s="42">
        <f>VLOOKUP(A704,kurspris!$A$1:$Q$798,16,FALSE)</f>
        <v>28786</v>
      </c>
      <c r="Z704" s="42">
        <f t="shared" si="360"/>
        <v>108245.47500000001</v>
      </c>
      <c r="AA704" s="42">
        <f>VLOOKUP(A704,kurspris!$A$1:$Q$798,17,FALSE)</f>
        <v>5800</v>
      </c>
      <c r="AB704" s="42">
        <f t="shared" si="361"/>
        <v>13050</v>
      </c>
      <c r="AC704" s="42">
        <f t="shared" si="362"/>
        <v>121295.47500000001</v>
      </c>
      <c r="AD704" s="31">
        <f>VLOOKUP($A704,kurspris!$A$1:$Q$835,3,FALSE)</f>
        <v>0</v>
      </c>
      <c r="AE704" s="31">
        <f>VLOOKUP($A704,kurspris!$A$1:$Q$835,4,FALSE)</f>
        <v>0</v>
      </c>
      <c r="AF704" s="31">
        <f>VLOOKUP($A704,kurspris!$A$1:$Q$835,5,FALSE)</f>
        <v>0</v>
      </c>
      <c r="AG704" s="31">
        <f>VLOOKUP($A704,kurspris!$A$1:$Q$835,6,FALSE)</f>
        <v>1</v>
      </c>
      <c r="AH704" s="31">
        <f>VLOOKUP($A704,kurspris!$A$1:$Q$835,7,FALSE)</f>
        <v>0</v>
      </c>
      <c r="AI704" s="31">
        <f>VLOOKUP($A704,kurspris!$A$1:$Q$835,8,FALSE)</f>
        <v>0</v>
      </c>
      <c r="AJ704" s="31">
        <f>VLOOKUP($A704,kurspris!$A$1:$Q$835,9,FALSE)</f>
        <v>0</v>
      </c>
      <c r="AK704" s="31">
        <f>VLOOKUP($A704,kurspris!$A$1:$Q$835,10,FALSE)</f>
        <v>0</v>
      </c>
      <c r="AL704" s="31">
        <f>VLOOKUP($A704,kurspris!$A$1:$Q$835,11,FALSE)</f>
        <v>0</v>
      </c>
      <c r="AM704" s="31">
        <f>VLOOKUP($A704,kurspris!$A$1:$Q$835,12,FALSE)</f>
        <v>0</v>
      </c>
      <c r="AN704" s="31">
        <f>VLOOKUP($A704,kurspris!$A$1:$Q$835,13,FALSE)</f>
        <v>0</v>
      </c>
      <c r="AO704" s="31">
        <f>VLOOKUP($A704,kurspris!$A$1:$Q$835,14,FALSE)</f>
        <v>0</v>
      </c>
      <c r="AP704" s="39" t="s">
        <v>2326</v>
      </c>
      <c r="AQ704"/>
      <c r="AR704" s="31">
        <f t="shared" si="363"/>
        <v>0</v>
      </c>
      <c r="AS704" s="255">
        <f t="shared" si="364"/>
        <v>0</v>
      </c>
      <c r="AT704" s="31">
        <f t="shared" si="365"/>
        <v>0</v>
      </c>
      <c r="AU704" s="255">
        <f t="shared" si="366"/>
        <v>0</v>
      </c>
      <c r="AV704" s="31">
        <f t="shared" si="367"/>
        <v>0</v>
      </c>
      <c r="AW704" s="31">
        <f t="shared" si="368"/>
        <v>0</v>
      </c>
      <c r="AX704" s="31">
        <f t="shared" si="369"/>
        <v>2.25</v>
      </c>
      <c r="AY704" s="255">
        <f t="shared" si="370"/>
        <v>1.9124999999999999</v>
      </c>
      <c r="AZ704" s="232">
        <f t="shared" si="371"/>
        <v>0</v>
      </c>
      <c r="BA704" s="255">
        <f t="shared" si="372"/>
        <v>0</v>
      </c>
      <c r="BB704" s="31">
        <f t="shared" si="373"/>
        <v>0</v>
      </c>
      <c r="BC704" s="255">
        <f t="shared" si="374"/>
        <v>0</v>
      </c>
      <c r="BD704" s="31">
        <f t="shared" si="375"/>
        <v>0</v>
      </c>
      <c r="BE704" s="255">
        <f t="shared" si="376"/>
        <v>0</v>
      </c>
      <c r="BF704" s="31">
        <f t="shared" si="377"/>
        <v>0</v>
      </c>
      <c r="BG704" s="255">
        <f t="shared" si="378"/>
        <v>0</v>
      </c>
      <c r="BH704" s="31">
        <f t="shared" si="379"/>
        <v>0</v>
      </c>
      <c r="BI704" s="255">
        <f t="shared" si="380"/>
        <v>0</v>
      </c>
      <c r="BJ704" s="31">
        <f t="shared" si="381"/>
        <v>0</v>
      </c>
      <c r="BK704" s="31">
        <f t="shared" si="382"/>
        <v>0</v>
      </c>
      <c r="BL704" s="255">
        <f t="shared" si="383"/>
        <v>0</v>
      </c>
      <c r="BM704" s="31">
        <f t="shared" si="384"/>
        <v>0</v>
      </c>
      <c r="BN704" s="255">
        <f t="shared" si="385"/>
        <v>0</v>
      </c>
    </row>
    <row r="705" spans="1:66" x14ac:dyDescent="0.25">
      <c r="A705" s="59" t="s">
        <v>1538</v>
      </c>
      <c r="B705" s="186" t="str">
        <f>VLOOKUP(A705,kurspris!$A$1:$B$877,2,FALSE)</f>
        <v>Bedömning (UK)</v>
      </c>
      <c r="C705" s="37"/>
      <c r="D705" s="59" t="s">
        <v>630</v>
      </c>
      <c r="E705" s="62" t="s">
        <v>1931</v>
      </c>
      <c r="F705" s="59" t="s">
        <v>1931</v>
      </c>
      <c r="G705" s="31" t="s">
        <v>2292</v>
      </c>
      <c r="I705" s="62"/>
      <c r="J705" t="s">
        <v>2309</v>
      </c>
      <c r="L705" s="295">
        <v>150</v>
      </c>
      <c r="M705" s="378">
        <v>7.5</v>
      </c>
      <c r="P705" s="31">
        <v>2</v>
      </c>
      <c r="Q705" s="232">
        <f t="shared" ref="Q705:Q764" si="386">(M705/60)*P705</f>
        <v>0.25</v>
      </c>
      <c r="R705" s="40">
        <v>0.85</v>
      </c>
      <c r="S705" s="334">
        <f t="shared" ref="S705:S764" si="387">Q705*R705</f>
        <v>0.21249999999999999</v>
      </c>
      <c r="T705" s="31">
        <f>VLOOKUP(A705,'Ansvar kurs'!$A$1:$C$1010,2,FALSE)</f>
        <v>5740</v>
      </c>
      <c r="U705" s="31" t="str">
        <f>VLOOKUP(T705,Orgenheter!$A$1:$C$165,2,FALSE)</f>
        <v>NMD</v>
      </c>
      <c r="V705" s="31" t="str">
        <f>VLOOKUP(T705,Orgenheter!$A$1:$C$165,3,FALSE)</f>
        <v>TekNat</v>
      </c>
      <c r="W705" s="37" t="str">
        <f>VLOOKUP(D705,Program!$A$1:$B$34,2,FALSE)</f>
        <v>KPU - Gy</v>
      </c>
      <c r="X705" s="42">
        <f>VLOOKUP(A705,kurspris!$A$1:$Q$798,15,FALSE)</f>
        <v>23641</v>
      </c>
      <c r="Y705" s="42">
        <f>VLOOKUP(A705,kurspris!$A$1:$Q$798,16,FALSE)</f>
        <v>28786</v>
      </c>
      <c r="Z705" s="42">
        <f t="shared" ref="Z705:Z764" si="388">X705*Q705+S705*Y705</f>
        <v>12027.275</v>
      </c>
      <c r="AA705" s="42">
        <f>VLOOKUP(A705,kurspris!$A$1:$Q$798,17,FALSE)</f>
        <v>5800</v>
      </c>
      <c r="AB705" s="42">
        <f t="shared" ref="AB705:AB764" si="389">AA705*Q705</f>
        <v>1450</v>
      </c>
      <c r="AC705" s="42">
        <f t="shared" ref="AC705:AC764" si="390">Z705+AB705</f>
        <v>13477.275</v>
      </c>
      <c r="AD705" s="31">
        <f>VLOOKUP($A705,kurspris!$A$1:$Q$835,3,FALSE)</f>
        <v>0</v>
      </c>
      <c r="AE705" s="31">
        <f>VLOOKUP($A705,kurspris!$A$1:$Q$835,4,FALSE)</f>
        <v>0</v>
      </c>
      <c r="AF705" s="31">
        <f>VLOOKUP($A705,kurspris!$A$1:$Q$835,5,FALSE)</f>
        <v>0</v>
      </c>
      <c r="AG705" s="31">
        <f>VLOOKUP($A705,kurspris!$A$1:$Q$835,6,FALSE)</f>
        <v>1</v>
      </c>
      <c r="AH705" s="31">
        <f>VLOOKUP($A705,kurspris!$A$1:$Q$835,7,FALSE)</f>
        <v>0</v>
      </c>
      <c r="AI705" s="31">
        <f>VLOOKUP($A705,kurspris!$A$1:$Q$835,8,FALSE)</f>
        <v>0</v>
      </c>
      <c r="AJ705" s="31">
        <f>VLOOKUP($A705,kurspris!$A$1:$Q$835,9,FALSE)</f>
        <v>0</v>
      </c>
      <c r="AK705" s="31">
        <f>VLOOKUP($A705,kurspris!$A$1:$Q$835,10,FALSE)</f>
        <v>0</v>
      </c>
      <c r="AL705" s="31">
        <f>VLOOKUP($A705,kurspris!$A$1:$Q$835,11,FALSE)</f>
        <v>0</v>
      </c>
      <c r="AM705" s="31">
        <f>VLOOKUP($A705,kurspris!$A$1:$Q$835,12,FALSE)</f>
        <v>0</v>
      </c>
      <c r="AN705" s="31">
        <f>VLOOKUP($A705,kurspris!$A$1:$Q$835,13,FALSE)</f>
        <v>0</v>
      </c>
      <c r="AO705" s="31">
        <f>VLOOKUP($A705,kurspris!$A$1:$Q$835,14,FALSE)</f>
        <v>0</v>
      </c>
      <c r="AP705" s="39" t="s">
        <v>2326</v>
      </c>
      <c r="AQ705"/>
      <c r="AR705" s="31">
        <f t="shared" ref="AR705:AR764" si="391">$Q705*AD705</f>
        <v>0</v>
      </c>
      <c r="AS705" s="255">
        <f t="shared" ref="AS705:AS764" si="392">$S705*AD705</f>
        <v>0</v>
      </c>
      <c r="AT705" s="31">
        <f t="shared" ref="AT705:AT764" si="393">$Q705*AE705</f>
        <v>0</v>
      </c>
      <c r="AU705" s="255">
        <f t="shared" ref="AU705:AU764" si="394">$S705*AE705</f>
        <v>0</v>
      </c>
      <c r="AV705" s="31">
        <f t="shared" ref="AV705:AV764" si="395">$Q705*AF705</f>
        <v>0</v>
      </c>
      <c r="AW705" s="31">
        <f t="shared" ref="AW705:AW764" si="396">$S705*AF705</f>
        <v>0</v>
      </c>
      <c r="AX705" s="31">
        <f t="shared" ref="AX705:AX764" si="397">$Q705*AG705</f>
        <v>0.25</v>
      </c>
      <c r="AY705" s="255">
        <f t="shared" ref="AY705:AY764" si="398">$S705*AG705</f>
        <v>0.21249999999999999</v>
      </c>
      <c r="AZ705" s="232">
        <f t="shared" ref="AZ705:AZ764" si="399">$Q705*AH705</f>
        <v>0</v>
      </c>
      <c r="BA705" s="255">
        <f t="shared" ref="BA705:BA764" si="400">$S705*AH705</f>
        <v>0</v>
      </c>
      <c r="BB705" s="31">
        <f t="shared" ref="BB705:BB764" si="401">$Q705*AI705</f>
        <v>0</v>
      </c>
      <c r="BC705" s="255">
        <f t="shared" ref="BC705:BC764" si="402">$S705*AI705</f>
        <v>0</v>
      </c>
      <c r="BD705" s="31">
        <f t="shared" ref="BD705:BD764" si="403">$Q705*AJ705</f>
        <v>0</v>
      </c>
      <c r="BE705" s="255">
        <f t="shared" ref="BE705:BE764" si="404">$S705*AJ705</f>
        <v>0</v>
      </c>
      <c r="BF705" s="31">
        <f t="shared" ref="BF705:BF764" si="405">$Q705*AK705</f>
        <v>0</v>
      </c>
      <c r="BG705" s="255">
        <f t="shared" ref="BG705:BG764" si="406">$S705*AK705</f>
        <v>0</v>
      </c>
      <c r="BH705" s="31">
        <f t="shared" ref="BH705:BH764" si="407">$Q705*AL705</f>
        <v>0</v>
      </c>
      <c r="BI705" s="255">
        <f t="shared" ref="BI705:BI764" si="408">$S705*AL705</f>
        <v>0</v>
      </c>
      <c r="BJ705" s="31">
        <f t="shared" ref="BJ705:BJ764" si="409">$Q705*AM705</f>
        <v>0</v>
      </c>
      <c r="BK705" s="31">
        <f t="shared" ref="BK705:BK764" si="410">$Q705*AN705</f>
        <v>0</v>
      </c>
      <c r="BL705" s="255">
        <f t="shared" ref="BL705:BL764" si="411">$S705*AN705</f>
        <v>0</v>
      </c>
      <c r="BM705" s="31">
        <f t="shared" ref="BM705:BM764" si="412">$Q705*AO705</f>
        <v>0</v>
      </c>
      <c r="BN705" s="255">
        <f t="shared" ref="BN705:BN764" si="413">$S705*AO705</f>
        <v>0</v>
      </c>
    </row>
    <row r="706" spans="1:66" x14ac:dyDescent="0.25">
      <c r="A706" t="s">
        <v>1621</v>
      </c>
      <c r="B706" s="186" t="str">
        <f>VLOOKUP(A706,kurspris!$A$1:$B$877,2,FALSE)</f>
        <v>Utbildningens villkor och samhälleliga funktion (UK)</v>
      </c>
      <c r="C706"/>
      <c r="D706" t="s">
        <v>1632</v>
      </c>
      <c r="E706" t="s">
        <v>1930</v>
      </c>
      <c r="F706" s="59" t="s">
        <v>1930</v>
      </c>
      <c r="G706" t="s">
        <v>1939</v>
      </c>
      <c r="H706" t="s">
        <v>1910</v>
      </c>
      <c r="I706"/>
      <c r="J706"/>
      <c r="K706"/>
      <c r="L706" s="423">
        <v>100</v>
      </c>
      <c r="M706">
        <v>7.5</v>
      </c>
      <c r="N706"/>
      <c r="O706"/>
      <c r="P706" s="31">
        <v>16</v>
      </c>
      <c r="Q706" s="232">
        <f t="shared" si="386"/>
        <v>2</v>
      </c>
      <c r="R706" s="40">
        <v>0.85</v>
      </c>
      <c r="S706" s="334">
        <f t="shared" si="387"/>
        <v>1.7</v>
      </c>
      <c r="T706" s="31">
        <f>VLOOKUP(A706,'Ansvar kurs'!$A$1:$C$1010,2,FALSE)</f>
        <v>2193</v>
      </c>
      <c r="U706" s="31" t="str">
        <f>VLOOKUP(T706,Orgenheter!$A$1:$C$165,2,FALSE)</f>
        <v xml:space="preserve">TUV </v>
      </c>
      <c r="V706" s="31" t="str">
        <f>VLOOKUP(T706,Orgenheter!$A$1:$C$165,3,FALSE)</f>
        <v>Sam</v>
      </c>
      <c r="W706" s="37" t="str">
        <f>VLOOKUP(D706,Program!$A$1:$B$34,2,FALSE)</f>
        <v>KPU - Förhöjd studietakt - utbildningsbidrag</v>
      </c>
      <c r="X706" s="42">
        <f>VLOOKUP(A706,kurspris!$A$1:$Q$798,15,FALSE)</f>
        <v>23641</v>
      </c>
      <c r="Y706" s="42">
        <f>VLOOKUP(A706,kurspris!$A$1:$Q$798,16,FALSE)</f>
        <v>28786</v>
      </c>
      <c r="Z706" s="42">
        <f t="shared" si="388"/>
        <v>96218.2</v>
      </c>
      <c r="AA706" s="42">
        <f>VLOOKUP(A706,kurspris!$A$1:$Q$798,17,FALSE)</f>
        <v>5800</v>
      </c>
      <c r="AB706" s="42">
        <f t="shared" si="389"/>
        <v>11600</v>
      </c>
      <c r="AC706" s="42">
        <f t="shared" si="390"/>
        <v>107818.2</v>
      </c>
      <c r="AD706" s="31">
        <f>VLOOKUP($A706,kurspris!$A$1:$Q$835,3,FALSE)</f>
        <v>0</v>
      </c>
      <c r="AE706" s="31">
        <f>VLOOKUP($A706,kurspris!$A$1:$Q$835,4,FALSE)</f>
        <v>0</v>
      </c>
      <c r="AF706" s="31">
        <f>VLOOKUP($A706,kurspris!$A$1:$Q$835,5,FALSE)</f>
        <v>0</v>
      </c>
      <c r="AG706" s="31">
        <f>VLOOKUP($A706,kurspris!$A$1:$Q$835,6,FALSE)</f>
        <v>1</v>
      </c>
      <c r="AH706" s="31">
        <f>VLOOKUP($A706,kurspris!$A$1:$Q$835,7,FALSE)</f>
        <v>0</v>
      </c>
      <c r="AI706" s="31">
        <f>VLOOKUP($A706,kurspris!$A$1:$Q$835,8,FALSE)</f>
        <v>0</v>
      </c>
      <c r="AJ706" s="31">
        <f>VLOOKUP($A706,kurspris!$A$1:$Q$835,9,FALSE)</f>
        <v>0</v>
      </c>
      <c r="AK706" s="31">
        <f>VLOOKUP($A706,kurspris!$A$1:$Q$835,10,FALSE)</f>
        <v>0</v>
      </c>
      <c r="AL706" s="31">
        <f>VLOOKUP($A706,kurspris!$A$1:$Q$835,11,FALSE)</f>
        <v>0</v>
      </c>
      <c r="AM706" s="31">
        <f>VLOOKUP($A706,kurspris!$A$1:$Q$835,12,FALSE)</f>
        <v>0</v>
      </c>
      <c r="AN706" s="31">
        <f>VLOOKUP($A706,kurspris!$A$1:$Q$835,13,FALSE)</f>
        <v>0</v>
      </c>
      <c r="AO706" s="31">
        <f>VLOOKUP($A706,kurspris!$A$1:$Q$835,14,FALSE)</f>
        <v>0</v>
      </c>
      <c r="AP706" s="39" t="s">
        <v>2204</v>
      </c>
      <c r="AQ706"/>
      <c r="AR706" s="31">
        <f t="shared" si="391"/>
        <v>0</v>
      </c>
      <c r="AS706" s="255">
        <f t="shared" si="392"/>
        <v>0</v>
      </c>
      <c r="AT706" s="31">
        <f t="shared" si="393"/>
        <v>0</v>
      </c>
      <c r="AU706" s="255">
        <f t="shared" si="394"/>
        <v>0</v>
      </c>
      <c r="AV706" s="31">
        <f t="shared" si="395"/>
        <v>0</v>
      </c>
      <c r="AW706" s="31">
        <f t="shared" si="396"/>
        <v>0</v>
      </c>
      <c r="AX706" s="31">
        <f t="shared" si="397"/>
        <v>2</v>
      </c>
      <c r="AY706" s="255">
        <f t="shared" si="398"/>
        <v>1.7</v>
      </c>
      <c r="AZ706" s="232">
        <f t="shared" si="399"/>
        <v>0</v>
      </c>
      <c r="BA706" s="255">
        <f t="shared" si="400"/>
        <v>0</v>
      </c>
      <c r="BB706" s="31">
        <f t="shared" si="401"/>
        <v>0</v>
      </c>
      <c r="BC706" s="255">
        <f t="shared" si="402"/>
        <v>0</v>
      </c>
      <c r="BD706" s="31">
        <f t="shared" si="403"/>
        <v>0</v>
      </c>
      <c r="BE706" s="255">
        <f t="shared" si="404"/>
        <v>0</v>
      </c>
      <c r="BF706" s="31">
        <f t="shared" si="405"/>
        <v>0</v>
      </c>
      <c r="BG706" s="255">
        <f t="shared" si="406"/>
        <v>0</v>
      </c>
      <c r="BH706" s="31">
        <f t="shared" si="407"/>
        <v>0</v>
      </c>
      <c r="BI706" s="255">
        <f t="shared" si="408"/>
        <v>0</v>
      </c>
      <c r="BJ706" s="31">
        <f t="shared" si="409"/>
        <v>0</v>
      </c>
      <c r="BK706" s="31">
        <f t="shared" si="410"/>
        <v>0</v>
      </c>
      <c r="BL706" s="255">
        <f t="shared" si="411"/>
        <v>0</v>
      </c>
      <c r="BM706" s="31">
        <f t="shared" si="412"/>
        <v>0</v>
      </c>
      <c r="BN706" s="255">
        <f t="shared" si="413"/>
        <v>0</v>
      </c>
    </row>
    <row r="707" spans="1:66" x14ac:dyDescent="0.25">
      <c r="A707" s="18" t="s">
        <v>1621</v>
      </c>
      <c r="B707" s="186" t="str">
        <f>VLOOKUP(A707,kurspris!$A$1:$B$877,2,FALSE)</f>
        <v>Utbildningens villkor och samhälleliga funktion (UK)</v>
      </c>
      <c r="C707" s="37"/>
      <c r="D707" s="31" t="s">
        <v>629</v>
      </c>
      <c r="E707" s="31" t="s">
        <v>1931</v>
      </c>
      <c r="F707" s="59" t="s">
        <v>1931</v>
      </c>
      <c r="G707" s="31" t="s">
        <v>2293</v>
      </c>
      <c r="J707" t="s">
        <v>2304</v>
      </c>
      <c r="L707" s="295">
        <v>150</v>
      </c>
      <c r="M707" s="31">
        <v>7.5</v>
      </c>
      <c r="P707" s="31">
        <v>2</v>
      </c>
      <c r="Q707" s="232">
        <f t="shared" si="386"/>
        <v>0.25</v>
      </c>
      <c r="R707" s="40">
        <v>0.85</v>
      </c>
      <c r="S707" s="334">
        <f t="shared" si="387"/>
        <v>0.21249999999999999</v>
      </c>
      <c r="T707" s="31">
        <f>VLOOKUP(A707,'Ansvar kurs'!$A$1:$C$1010,2,FALSE)</f>
        <v>2193</v>
      </c>
      <c r="U707" s="31" t="str">
        <f>VLOOKUP(T707,Orgenheter!$A$1:$C$165,2,FALSE)</f>
        <v xml:space="preserve">TUV </v>
      </c>
      <c r="V707" s="31" t="str">
        <f>VLOOKUP(T707,Orgenheter!$A$1:$C$165,3,FALSE)</f>
        <v>Sam</v>
      </c>
      <c r="W707" s="37" t="str">
        <f>VLOOKUP(D707,Program!$A$1:$B$34,2,FALSE)</f>
        <v>KPU - åk 7-9</v>
      </c>
      <c r="X707" s="42">
        <f>VLOOKUP(A707,kurspris!$A$1:$Q$798,15,FALSE)</f>
        <v>23641</v>
      </c>
      <c r="Y707" s="42">
        <f>VLOOKUP(A707,kurspris!$A$1:$Q$798,16,FALSE)</f>
        <v>28786</v>
      </c>
      <c r="Z707" s="42">
        <f t="shared" si="388"/>
        <v>12027.275</v>
      </c>
      <c r="AA707" s="42">
        <f>VLOOKUP(A707,kurspris!$A$1:$Q$798,17,FALSE)</f>
        <v>5800</v>
      </c>
      <c r="AB707" s="42">
        <f t="shared" si="389"/>
        <v>1450</v>
      </c>
      <c r="AC707" s="42">
        <f t="shared" si="390"/>
        <v>13477.275</v>
      </c>
      <c r="AD707" s="31">
        <f>VLOOKUP($A707,kurspris!$A$1:$Q$835,3,FALSE)</f>
        <v>0</v>
      </c>
      <c r="AE707" s="31">
        <f>VLOOKUP($A707,kurspris!$A$1:$Q$835,4,FALSE)</f>
        <v>0</v>
      </c>
      <c r="AF707" s="31">
        <f>VLOOKUP($A707,kurspris!$A$1:$Q$835,5,FALSE)</f>
        <v>0</v>
      </c>
      <c r="AG707" s="31">
        <f>VLOOKUP($A707,kurspris!$A$1:$Q$835,6,FALSE)</f>
        <v>1</v>
      </c>
      <c r="AH707" s="31">
        <f>VLOOKUP($A707,kurspris!$A$1:$Q$835,7,FALSE)</f>
        <v>0</v>
      </c>
      <c r="AI707" s="31">
        <f>VLOOKUP($A707,kurspris!$A$1:$Q$835,8,FALSE)</f>
        <v>0</v>
      </c>
      <c r="AJ707" s="31">
        <f>VLOOKUP($A707,kurspris!$A$1:$Q$835,9,FALSE)</f>
        <v>0</v>
      </c>
      <c r="AK707" s="31">
        <f>VLOOKUP($A707,kurspris!$A$1:$Q$835,10,FALSE)</f>
        <v>0</v>
      </c>
      <c r="AL707" s="31">
        <f>VLOOKUP($A707,kurspris!$A$1:$Q$835,11,FALSE)</f>
        <v>0</v>
      </c>
      <c r="AM707" s="31">
        <f>VLOOKUP($A707,kurspris!$A$1:$Q$835,12,FALSE)</f>
        <v>0</v>
      </c>
      <c r="AN707" s="31">
        <f>VLOOKUP($A707,kurspris!$A$1:$Q$835,13,FALSE)</f>
        <v>0</v>
      </c>
      <c r="AO707" s="31">
        <f>VLOOKUP($A707,kurspris!$A$1:$Q$835,14,FALSE)</f>
        <v>0</v>
      </c>
      <c r="AP707" s="39" t="s">
        <v>2326</v>
      </c>
      <c r="AQ707"/>
      <c r="AR707" s="31">
        <f t="shared" si="391"/>
        <v>0</v>
      </c>
      <c r="AS707" s="255">
        <f t="shared" si="392"/>
        <v>0</v>
      </c>
      <c r="AT707" s="31">
        <f t="shared" si="393"/>
        <v>0</v>
      </c>
      <c r="AU707" s="255">
        <f t="shared" si="394"/>
        <v>0</v>
      </c>
      <c r="AV707" s="31">
        <f t="shared" si="395"/>
        <v>0</v>
      </c>
      <c r="AW707" s="31">
        <f t="shared" si="396"/>
        <v>0</v>
      </c>
      <c r="AX707" s="31">
        <f t="shared" si="397"/>
        <v>0.25</v>
      </c>
      <c r="AY707" s="255">
        <f t="shared" si="398"/>
        <v>0.21249999999999999</v>
      </c>
      <c r="AZ707" s="232">
        <f t="shared" si="399"/>
        <v>0</v>
      </c>
      <c r="BA707" s="255">
        <f t="shared" si="400"/>
        <v>0</v>
      </c>
      <c r="BB707" s="31">
        <f t="shared" si="401"/>
        <v>0</v>
      </c>
      <c r="BC707" s="255">
        <f t="shared" si="402"/>
        <v>0</v>
      </c>
      <c r="BD707" s="31">
        <f t="shared" si="403"/>
        <v>0</v>
      </c>
      <c r="BE707" s="255">
        <f t="shared" si="404"/>
        <v>0</v>
      </c>
      <c r="BF707" s="31">
        <f t="shared" si="405"/>
        <v>0</v>
      </c>
      <c r="BG707" s="255">
        <f t="shared" si="406"/>
        <v>0</v>
      </c>
      <c r="BH707" s="31">
        <f t="shared" si="407"/>
        <v>0</v>
      </c>
      <c r="BI707" s="255">
        <f t="shared" si="408"/>
        <v>0</v>
      </c>
      <c r="BJ707" s="31">
        <f t="shared" si="409"/>
        <v>0</v>
      </c>
      <c r="BK707" s="31">
        <f t="shared" si="410"/>
        <v>0</v>
      </c>
      <c r="BL707" s="255">
        <f t="shared" si="411"/>
        <v>0</v>
      </c>
      <c r="BM707" s="31">
        <f t="shared" si="412"/>
        <v>0</v>
      </c>
      <c r="BN707" s="255">
        <f t="shared" si="413"/>
        <v>0</v>
      </c>
    </row>
    <row r="708" spans="1:66" x14ac:dyDescent="0.25">
      <c r="A708" t="s">
        <v>1621</v>
      </c>
      <c r="B708" s="186" t="str">
        <f>VLOOKUP(A708,kurspris!$A$1:$B$877,2,FALSE)</f>
        <v>Utbildningens villkor och samhälleliga funktion (UK)</v>
      </c>
      <c r="C708"/>
      <c r="D708" s="31" t="s">
        <v>629</v>
      </c>
      <c r="E708" s="59" t="s">
        <v>1931</v>
      </c>
      <c r="F708" s="59" t="s">
        <v>1931</v>
      </c>
      <c r="G708" s="31" t="s">
        <v>2293</v>
      </c>
      <c r="J708" t="s">
        <v>2302</v>
      </c>
      <c r="L708" s="295">
        <v>150</v>
      </c>
      <c r="M708" s="31">
        <v>7.5</v>
      </c>
      <c r="P708" s="31">
        <v>11</v>
      </c>
      <c r="Q708" s="232">
        <f t="shared" si="386"/>
        <v>1.375</v>
      </c>
      <c r="R708" s="40">
        <v>0.85</v>
      </c>
      <c r="S708" s="334">
        <f t="shared" si="387"/>
        <v>1.16875</v>
      </c>
      <c r="T708" s="31">
        <f>VLOOKUP(A708,'Ansvar kurs'!$A$1:$C$1010,2,FALSE)</f>
        <v>2193</v>
      </c>
      <c r="U708" s="31" t="str">
        <f>VLOOKUP(T708,Orgenheter!$A$1:$C$165,2,FALSE)</f>
        <v xml:space="preserve">TUV </v>
      </c>
      <c r="V708" s="31" t="str">
        <f>VLOOKUP(T708,Orgenheter!$A$1:$C$165,3,FALSE)</f>
        <v>Sam</v>
      </c>
      <c r="W708" s="37" t="str">
        <f>VLOOKUP(D708,Program!$A$1:$B$34,2,FALSE)</f>
        <v>KPU - åk 7-9</v>
      </c>
      <c r="X708" s="42">
        <f>VLOOKUP(A708,kurspris!$A$1:$Q$798,15,FALSE)</f>
        <v>23641</v>
      </c>
      <c r="Y708" s="42">
        <f>VLOOKUP(A708,kurspris!$A$1:$Q$798,16,FALSE)</f>
        <v>28786</v>
      </c>
      <c r="Z708" s="42">
        <f t="shared" si="388"/>
        <v>66150.012499999997</v>
      </c>
      <c r="AA708" s="42">
        <f>VLOOKUP(A708,kurspris!$A$1:$Q$798,17,FALSE)</f>
        <v>5800</v>
      </c>
      <c r="AB708" s="42">
        <f t="shared" si="389"/>
        <v>7975</v>
      </c>
      <c r="AC708" s="42">
        <f t="shared" si="390"/>
        <v>74125.012499999997</v>
      </c>
      <c r="AD708" s="31">
        <f>VLOOKUP($A708,kurspris!$A$1:$Q$835,3,FALSE)</f>
        <v>0</v>
      </c>
      <c r="AE708" s="31">
        <f>VLOOKUP($A708,kurspris!$A$1:$Q$835,4,FALSE)</f>
        <v>0</v>
      </c>
      <c r="AF708" s="31">
        <f>VLOOKUP($A708,kurspris!$A$1:$Q$835,5,FALSE)</f>
        <v>0</v>
      </c>
      <c r="AG708" s="31">
        <f>VLOOKUP($A708,kurspris!$A$1:$Q$835,6,FALSE)</f>
        <v>1</v>
      </c>
      <c r="AH708" s="31">
        <f>VLOOKUP($A708,kurspris!$A$1:$Q$835,7,FALSE)</f>
        <v>0</v>
      </c>
      <c r="AI708" s="31">
        <f>VLOOKUP($A708,kurspris!$A$1:$Q$835,8,FALSE)</f>
        <v>0</v>
      </c>
      <c r="AJ708" s="31">
        <f>VLOOKUP($A708,kurspris!$A$1:$Q$835,9,FALSE)</f>
        <v>0</v>
      </c>
      <c r="AK708" s="31">
        <f>VLOOKUP($A708,kurspris!$A$1:$Q$835,10,FALSE)</f>
        <v>0</v>
      </c>
      <c r="AL708" s="31">
        <f>VLOOKUP($A708,kurspris!$A$1:$Q$835,11,FALSE)</f>
        <v>0</v>
      </c>
      <c r="AM708" s="31">
        <f>VLOOKUP($A708,kurspris!$A$1:$Q$835,12,FALSE)</f>
        <v>0</v>
      </c>
      <c r="AN708" s="31">
        <f>VLOOKUP($A708,kurspris!$A$1:$Q$835,13,FALSE)</f>
        <v>0</v>
      </c>
      <c r="AO708" s="31">
        <f>VLOOKUP($A708,kurspris!$A$1:$Q$835,14,FALSE)</f>
        <v>0</v>
      </c>
      <c r="AP708" s="39" t="s">
        <v>2326</v>
      </c>
      <c r="AQ708" s="39"/>
      <c r="AR708" s="31">
        <f t="shared" si="391"/>
        <v>0</v>
      </c>
      <c r="AS708" s="255">
        <f t="shared" si="392"/>
        <v>0</v>
      </c>
      <c r="AT708" s="31">
        <f t="shared" si="393"/>
        <v>0</v>
      </c>
      <c r="AU708" s="255">
        <f t="shared" si="394"/>
        <v>0</v>
      </c>
      <c r="AV708" s="31">
        <f t="shared" si="395"/>
        <v>0</v>
      </c>
      <c r="AW708" s="31">
        <f t="shared" si="396"/>
        <v>0</v>
      </c>
      <c r="AX708" s="31">
        <f t="shared" si="397"/>
        <v>1.375</v>
      </c>
      <c r="AY708" s="255">
        <f t="shared" si="398"/>
        <v>1.16875</v>
      </c>
      <c r="AZ708" s="232">
        <f t="shared" si="399"/>
        <v>0</v>
      </c>
      <c r="BA708" s="255">
        <f t="shared" si="400"/>
        <v>0</v>
      </c>
      <c r="BB708" s="31">
        <f t="shared" si="401"/>
        <v>0</v>
      </c>
      <c r="BC708" s="255">
        <f t="shared" si="402"/>
        <v>0</v>
      </c>
      <c r="BD708" s="31">
        <f t="shared" si="403"/>
        <v>0</v>
      </c>
      <c r="BE708" s="255">
        <f t="shared" si="404"/>
        <v>0</v>
      </c>
      <c r="BF708" s="31">
        <f t="shared" si="405"/>
        <v>0</v>
      </c>
      <c r="BG708" s="255">
        <f t="shared" si="406"/>
        <v>0</v>
      </c>
      <c r="BH708" s="31">
        <f t="shared" si="407"/>
        <v>0</v>
      </c>
      <c r="BI708" s="255">
        <f t="shared" si="408"/>
        <v>0</v>
      </c>
      <c r="BJ708" s="31">
        <f t="shared" si="409"/>
        <v>0</v>
      </c>
      <c r="BK708" s="31">
        <f t="shared" si="410"/>
        <v>0</v>
      </c>
      <c r="BL708" s="255">
        <f t="shared" si="411"/>
        <v>0</v>
      </c>
      <c r="BM708" s="31">
        <f t="shared" si="412"/>
        <v>0</v>
      </c>
      <c r="BN708" s="255">
        <f t="shared" si="413"/>
        <v>0</v>
      </c>
    </row>
    <row r="709" spans="1:66" x14ac:dyDescent="0.25">
      <c r="A709" s="18" t="s">
        <v>1621</v>
      </c>
      <c r="B709" s="186" t="str">
        <f>VLOOKUP(A709,kurspris!$A$1:$B$877,2,FALSE)</f>
        <v>Utbildningens villkor och samhälleliga funktion (UK)</v>
      </c>
      <c r="C709" s="37"/>
      <c r="D709" s="31" t="s">
        <v>629</v>
      </c>
      <c r="E709" s="31" t="s">
        <v>1931</v>
      </c>
      <c r="F709" s="59" t="s">
        <v>1931</v>
      </c>
      <c r="G709" s="31" t="s">
        <v>2293</v>
      </c>
      <c r="J709" t="s">
        <v>2305</v>
      </c>
      <c r="L709" s="295">
        <v>150</v>
      </c>
      <c r="M709" s="31">
        <v>7.5</v>
      </c>
      <c r="P709" s="31">
        <v>4</v>
      </c>
      <c r="Q709" s="232">
        <f t="shared" si="386"/>
        <v>0.5</v>
      </c>
      <c r="R709" s="40">
        <v>0.85</v>
      </c>
      <c r="S709" s="334">
        <f t="shared" si="387"/>
        <v>0.42499999999999999</v>
      </c>
      <c r="T709" s="31">
        <f>VLOOKUP(A709,'Ansvar kurs'!$A$1:$C$1010,2,FALSE)</f>
        <v>2193</v>
      </c>
      <c r="U709" s="31" t="str">
        <f>VLOOKUP(T709,Orgenheter!$A$1:$C$165,2,FALSE)</f>
        <v xml:space="preserve">TUV </v>
      </c>
      <c r="V709" s="31" t="str">
        <f>VLOOKUP(T709,Orgenheter!$A$1:$C$165,3,FALSE)</f>
        <v>Sam</v>
      </c>
      <c r="W709" s="37" t="str">
        <f>VLOOKUP(D709,Program!$A$1:$B$34,2,FALSE)</f>
        <v>KPU - åk 7-9</v>
      </c>
      <c r="X709" s="42">
        <f>VLOOKUP(A709,kurspris!$A$1:$Q$798,15,FALSE)</f>
        <v>23641</v>
      </c>
      <c r="Y709" s="42">
        <f>VLOOKUP(A709,kurspris!$A$1:$Q$798,16,FALSE)</f>
        <v>28786</v>
      </c>
      <c r="Z709" s="42">
        <f t="shared" si="388"/>
        <v>24054.55</v>
      </c>
      <c r="AA709" s="42">
        <f>VLOOKUP(A709,kurspris!$A$1:$Q$798,17,FALSE)</f>
        <v>5800</v>
      </c>
      <c r="AB709" s="42">
        <f t="shared" si="389"/>
        <v>2900</v>
      </c>
      <c r="AC709" s="42">
        <f t="shared" si="390"/>
        <v>26954.55</v>
      </c>
      <c r="AD709" s="31">
        <f>VLOOKUP($A709,kurspris!$A$1:$Q$835,3,FALSE)</f>
        <v>0</v>
      </c>
      <c r="AE709" s="31">
        <f>VLOOKUP($A709,kurspris!$A$1:$Q$835,4,FALSE)</f>
        <v>0</v>
      </c>
      <c r="AF709" s="31">
        <f>VLOOKUP($A709,kurspris!$A$1:$Q$835,5,FALSE)</f>
        <v>0</v>
      </c>
      <c r="AG709" s="31">
        <f>VLOOKUP($A709,kurspris!$A$1:$Q$835,6,FALSE)</f>
        <v>1</v>
      </c>
      <c r="AH709" s="31">
        <f>VLOOKUP($A709,kurspris!$A$1:$Q$835,7,FALSE)</f>
        <v>0</v>
      </c>
      <c r="AI709" s="31">
        <f>VLOOKUP($A709,kurspris!$A$1:$Q$835,8,FALSE)</f>
        <v>0</v>
      </c>
      <c r="AJ709" s="31">
        <f>VLOOKUP($A709,kurspris!$A$1:$Q$835,9,FALSE)</f>
        <v>0</v>
      </c>
      <c r="AK709" s="31">
        <f>VLOOKUP($A709,kurspris!$A$1:$Q$835,10,FALSE)</f>
        <v>0</v>
      </c>
      <c r="AL709" s="31">
        <f>VLOOKUP($A709,kurspris!$A$1:$Q$835,11,FALSE)</f>
        <v>0</v>
      </c>
      <c r="AM709" s="31">
        <f>VLOOKUP($A709,kurspris!$A$1:$Q$835,12,FALSE)</f>
        <v>0</v>
      </c>
      <c r="AN709" s="31">
        <f>VLOOKUP($A709,kurspris!$A$1:$Q$835,13,FALSE)</f>
        <v>0</v>
      </c>
      <c r="AO709" s="31">
        <f>VLOOKUP($A709,kurspris!$A$1:$Q$835,14,FALSE)</f>
        <v>0</v>
      </c>
      <c r="AP709" s="39" t="s">
        <v>2326</v>
      </c>
      <c r="AQ709"/>
      <c r="AR709" s="31">
        <f t="shared" si="391"/>
        <v>0</v>
      </c>
      <c r="AS709" s="255">
        <f t="shared" si="392"/>
        <v>0</v>
      </c>
      <c r="AT709" s="31">
        <f t="shared" si="393"/>
        <v>0</v>
      </c>
      <c r="AU709" s="255">
        <f t="shared" si="394"/>
        <v>0</v>
      </c>
      <c r="AV709" s="31">
        <f t="shared" si="395"/>
        <v>0</v>
      </c>
      <c r="AW709" s="31">
        <f t="shared" si="396"/>
        <v>0</v>
      </c>
      <c r="AX709" s="31">
        <f t="shared" si="397"/>
        <v>0.5</v>
      </c>
      <c r="AY709" s="255">
        <f t="shared" si="398"/>
        <v>0.42499999999999999</v>
      </c>
      <c r="AZ709" s="232">
        <f t="shared" si="399"/>
        <v>0</v>
      </c>
      <c r="BA709" s="255">
        <f t="shared" si="400"/>
        <v>0</v>
      </c>
      <c r="BB709" s="31">
        <f t="shared" si="401"/>
        <v>0</v>
      </c>
      <c r="BC709" s="255">
        <f t="shared" si="402"/>
        <v>0</v>
      </c>
      <c r="BD709" s="31">
        <f t="shared" si="403"/>
        <v>0</v>
      </c>
      <c r="BE709" s="255">
        <f t="shared" si="404"/>
        <v>0</v>
      </c>
      <c r="BF709" s="31">
        <f t="shared" si="405"/>
        <v>0</v>
      </c>
      <c r="BG709" s="255">
        <f t="shared" si="406"/>
        <v>0</v>
      </c>
      <c r="BH709" s="31">
        <f t="shared" si="407"/>
        <v>0</v>
      </c>
      <c r="BI709" s="255">
        <f t="shared" si="408"/>
        <v>0</v>
      </c>
      <c r="BJ709" s="31">
        <f t="shared" si="409"/>
        <v>0</v>
      </c>
      <c r="BK709" s="31">
        <f t="shared" si="410"/>
        <v>0</v>
      </c>
      <c r="BL709" s="255">
        <f t="shared" si="411"/>
        <v>0</v>
      </c>
      <c r="BM709" s="31">
        <f t="shared" si="412"/>
        <v>0</v>
      </c>
      <c r="BN709" s="255">
        <f t="shared" si="413"/>
        <v>0</v>
      </c>
    </row>
    <row r="710" spans="1:66" x14ac:dyDescent="0.25">
      <c r="A710" s="59" t="s">
        <v>1621</v>
      </c>
      <c r="B710" s="186" t="str">
        <f>VLOOKUP(A710,kurspris!$A$1:$B$877,2,FALSE)</f>
        <v>Utbildningens villkor och samhälleliga funktion (UK)</v>
      </c>
      <c r="C710" s="37"/>
      <c r="D710" s="59" t="s">
        <v>630</v>
      </c>
      <c r="E710" s="62" t="s">
        <v>2263</v>
      </c>
      <c r="F710" s="59" t="s">
        <v>1931</v>
      </c>
      <c r="G710" s="31" t="s">
        <v>2293</v>
      </c>
      <c r="I710" s="62"/>
      <c r="J710" t="s">
        <v>2302</v>
      </c>
      <c r="L710" s="295">
        <v>150</v>
      </c>
      <c r="M710" s="378">
        <v>7.5</v>
      </c>
      <c r="N710" s="40"/>
      <c r="P710" s="377">
        <v>1</v>
      </c>
      <c r="Q710" s="232">
        <f t="shared" si="386"/>
        <v>0.125</v>
      </c>
      <c r="R710" s="40">
        <v>0.85</v>
      </c>
      <c r="S710" s="334">
        <f t="shared" si="387"/>
        <v>0.10625</v>
      </c>
      <c r="T710" s="31">
        <f>VLOOKUP(A710,'Ansvar kurs'!$A$1:$C$1010,2,FALSE)</f>
        <v>2193</v>
      </c>
      <c r="U710" s="31" t="str">
        <f>VLOOKUP(T710,Orgenheter!$A$1:$C$165,2,FALSE)</f>
        <v xml:space="preserve">TUV </v>
      </c>
      <c r="V710" s="31" t="str">
        <f>VLOOKUP(T710,Orgenheter!$A$1:$C$165,3,FALSE)</f>
        <v>Sam</v>
      </c>
      <c r="W710" s="37" t="str">
        <f>VLOOKUP(D710,Program!$A$1:$B$34,2,FALSE)</f>
        <v>KPU - Gy</v>
      </c>
      <c r="X710" s="42">
        <f>VLOOKUP(A710,kurspris!$A$1:$Q$798,15,FALSE)</f>
        <v>23641</v>
      </c>
      <c r="Y710" s="42">
        <f>VLOOKUP(A710,kurspris!$A$1:$Q$798,16,FALSE)</f>
        <v>28786</v>
      </c>
      <c r="Z710" s="42">
        <f t="shared" si="388"/>
        <v>6013.6374999999998</v>
      </c>
      <c r="AA710" s="42">
        <f>VLOOKUP(A710,kurspris!$A$1:$Q$798,17,FALSE)</f>
        <v>5800</v>
      </c>
      <c r="AB710" s="42">
        <f t="shared" si="389"/>
        <v>725</v>
      </c>
      <c r="AC710" s="42">
        <f t="shared" si="390"/>
        <v>6738.6374999999998</v>
      </c>
      <c r="AD710" s="31">
        <f>VLOOKUP($A710,kurspris!$A$1:$Q$835,3,FALSE)</f>
        <v>0</v>
      </c>
      <c r="AE710" s="31">
        <f>VLOOKUP($A710,kurspris!$A$1:$Q$835,4,FALSE)</f>
        <v>0</v>
      </c>
      <c r="AF710" s="31">
        <f>VLOOKUP($A710,kurspris!$A$1:$Q$835,5,FALSE)</f>
        <v>0</v>
      </c>
      <c r="AG710" s="31">
        <f>VLOOKUP($A710,kurspris!$A$1:$Q$835,6,FALSE)</f>
        <v>1</v>
      </c>
      <c r="AH710" s="31">
        <f>VLOOKUP($A710,kurspris!$A$1:$Q$835,7,FALSE)</f>
        <v>0</v>
      </c>
      <c r="AI710" s="31">
        <f>VLOOKUP($A710,kurspris!$A$1:$Q$835,8,FALSE)</f>
        <v>0</v>
      </c>
      <c r="AJ710" s="31">
        <f>VLOOKUP($A710,kurspris!$A$1:$Q$835,9,FALSE)</f>
        <v>0</v>
      </c>
      <c r="AK710" s="31">
        <f>VLOOKUP($A710,kurspris!$A$1:$Q$835,10,FALSE)</f>
        <v>0</v>
      </c>
      <c r="AL710" s="31">
        <f>VLOOKUP($A710,kurspris!$A$1:$Q$835,11,FALSE)</f>
        <v>0</v>
      </c>
      <c r="AM710" s="31">
        <f>VLOOKUP($A710,kurspris!$A$1:$Q$835,12,FALSE)</f>
        <v>0</v>
      </c>
      <c r="AN710" s="31">
        <f>VLOOKUP($A710,kurspris!$A$1:$Q$835,13,FALSE)</f>
        <v>0</v>
      </c>
      <c r="AO710" s="31">
        <f>VLOOKUP($A710,kurspris!$A$1:$Q$835,14,FALSE)</f>
        <v>0</v>
      </c>
      <c r="AP710" s="39" t="s">
        <v>2326</v>
      </c>
      <c r="AQ710"/>
      <c r="AR710" s="31">
        <f t="shared" si="391"/>
        <v>0</v>
      </c>
      <c r="AS710" s="255">
        <f t="shared" si="392"/>
        <v>0</v>
      </c>
      <c r="AT710" s="31">
        <f t="shared" si="393"/>
        <v>0</v>
      </c>
      <c r="AU710" s="255">
        <f t="shared" si="394"/>
        <v>0</v>
      </c>
      <c r="AV710" s="31">
        <f t="shared" si="395"/>
        <v>0</v>
      </c>
      <c r="AW710" s="31">
        <f t="shared" si="396"/>
        <v>0</v>
      </c>
      <c r="AX710" s="31">
        <f t="shared" si="397"/>
        <v>0.125</v>
      </c>
      <c r="AY710" s="255">
        <f t="shared" si="398"/>
        <v>0.10625</v>
      </c>
      <c r="AZ710" s="232">
        <f t="shared" si="399"/>
        <v>0</v>
      </c>
      <c r="BA710" s="255">
        <f t="shared" si="400"/>
        <v>0</v>
      </c>
      <c r="BB710" s="31">
        <f t="shared" si="401"/>
        <v>0</v>
      </c>
      <c r="BC710" s="255">
        <f t="shared" si="402"/>
        <v>0</v>
      </c>
      <c r="BD710" s="31">
        <f t="shared" si="403"/>
        <v>0</v>
      </c>
      <c r="BE710" s="255">
        <f t="shared" si="404"/>
        <v>0</v>
      </c>
      <c r="BF710" s="31">
        <f t="shared" si="405"/>
        <v>0</v>
      </c>
      <c r="BG710" s="255">
        <f t="shared" si="406"/>
        <v>0</v>
      </c>
      <c r="BH710" s="31">
        <f t="shared" si="407"/>
        <v>0</v>
      </c>
      <c r="BI710" s="255">
        <f t="shared" si="408"/>
        <v>0</v>
      </c>
      <c r="BJ710" s="31">
        <f t="shared" si="409"/>
        <v>0</v>
      </c>
      <c r="BK710" s="31">
        <f t="shared" si="410"/>
        <v>0</v>
      </c>
      <c r="BL710" s="255">
        <f t="shared" si="411"/>
        <v>0</v>
      </c>
      <c r="BM710" s="31">
        <f t="shared" si="412"/>
        <v>0</v>
      </c>
      <c r="BN710" s="255">
        <f t="shared" si="413"/>
        <v>0</v>
      </c>
    </row>
    <row r="711" spans="1:66" x14ac:dyDescent="0.25">
      <c r="A711" s="59" t="s">
        <v>1621</v>
      </c>
      <c r="B711" s="186" t="str">
        <f>VLOOKUP(A711,kurspris!$A$1:$B$877,2,FALSE)</f>
        <v>Utbildningens villkor och samhälleliga funktion (UK)</v>
      </c>
      <c r="C711" s="37"/>
      <c r="D711" s="59" t="s">
        <v>630</v>
      </c>
      <c r="E711" s="62" t="s">
        <v>1931</v>
      </c>
      <c r="F711" s="59" t="s">
        <v>1931</v>
      </c>
      <c r="G711" s="31" t="s">
        <v>2293</v>
      </c>
      <c r="I711" s="62"/>
      <c r="J711" t="s">
        <v>2308</v>
      </c>
      <c r="L711" s="295">
        <v>150</v>
      </c>
      <c r="M711" s="378">
        <v>7.5</v>
      </c>
      <c r="P711" s="31">
        <v>4</v>
      </c>
      <c r="Q711" s="232">
        <f t="shared" si="386"/>
        <v>0.5</v>
      </c>
      <c r="R711" s="40">
        <v>0.85</v>
      </c>
      <c r="S711" s="334">
        <f t="shared" si="387"/>
        <v>0.42499999999999999</v>
      </c>
      <c r="T711" s="31">
        <f>VLOOKUP(A711,'Ansvar kurs'!$A$1:$C$1010,2,FALSE)</f>
        <v>2193</v>
      </c>
      <c r="U711" s="31" t="str">
        <f>VLOOKUP(T711,Orgenheter!$A$1:$C$165,2,FALSE)</f>
        <v xml:space="preserve">TUV </v>
      </c>
      <c r="V711" s="31" t="str">
        <f>VLOOKUP(T711,Orgenheter!$A$1:$C$165,3,FALSE)</f>
        <v>Sam</v>
      </c>
      <c r="W711" s="37" t="str">
        <f>VLOOKUP(D711,Program!$A$1:$B$34,2,FALSE)</f>
        <v>KPU - Gy</v>
      </c>
      <c r="X711" s="42">
        <f>VLOOKUP(A711,kurspris!$A$1:$Q$798,15,FALSE)</f>
        <v>23641</v>
      </c>
      <c r="Y711" s="42">
        <f>VLOOKUP(A711,kurspris!$A$1:$Q$798,16,FALSE)</f>
        <v>28786</v>
      </c>
      <c r="Z711" s="42">
        <f t="shared" si="388"/>
        <v>24054.55</v>
      </c>
      <c r="AA711" s="42">
        <f>VLOOKUP(A711,kurspris!$A$1:$Q$798,17,FALSE)</f>
        <v>5800</v>
      </c>
      <c r="AB711" s="42">
        <f t="shared" si="389"/>
        <v>2900</v>
      </c>
      <c r="AC711" s="42">
        <f t="shared" si="390"/>
        <v>26954.55</v>
      </c>
      <c r="AD711" s="31">
        <f>VLOOKUP($A711,kurspris!$A$1:$Q$835,3,FALSE)</f>
        <v>0</v>
      </c>
      <c r="AE711" s="31">
        <f>VLOOKUP($A711,kurspris!$A$1:$Q$835,4,FALSE)</f>
        <v>0</v>
      </c>
      <c r="AF711" s="31">
        <f>VLOOKUP($A711,kurspris!$A$1:$Q$835,5,FALSE)</f>
        <v>0</v>
      </c>
      <c r="AG711" s="31">
        <f>VLOOKUP($A711,kurspris!$A$1:$Q$835,6,FALSE)</f>
        <v>1</v>
      </c>
      <c r="AH711" s="31">
        <f>VLOOKUP($A711,kurspris!$A$1:$Q$835,7,FALSE)</f>
        <v>0</v>
      </c>
      <c r="AI711" s="31">
        <f>VLOOKUP($A711,kurspris!$A$1:$Q$835,8,FALSE)</f>
        <v>0</v>
      </c>
      <c r="AJ711" s="31">
        <f>VLOOKUP($A711,kurspris!$A$1:$Q$835,9,FALSE)</f>
        <v>0</v>
      </c>
      <c r="AK711" s="31">
        <f>VLOOKUP($A711,kurspris!$A$1:$Q$835,10,FALSE)</f>
        <v>0</v>
      </c>
      <c r="AL711" s="31">
        <f>VLOOKUP($A711,kurspris!$A$1:$Q$835,11,FALSE)</f>
        <v>0</v>
      </c>
      <c r="AM711" s="31">
        <f>VLOOKUP($A711,kurspris!$A$1:$Q$835,12,FALSE)</f>
        <v>0</v>
      </c>
      <c r="AN711" s="31">
        <f>VLOOKUP($A711,kurspris!$A$1:$Q$835,13,FALSE)</f>
        <v>0</v>
      </c>
      <c r="AO711" s="31">
        <f>VLOOKUP($A711,kurspris!$A$1:$Q$835,14,FALSE)</f>
        <v>0</v>
      </c>
      <c r="AP711" s="39" t="s">
        <v>2326</v>
      </c>
      <c r="AQ711"/>
      <c r="AR711" s="31">
        <f t="shared" si="391"/>
        <v>0</v>
      </c>
      <c r="AS711" s="255">
        <f t="shared" si="392"/>
        <v>0</v>
      </c>
      <c r="AT711" s="31">
        <f t="shared" si="393"/>
        <v>0</v>
      </c>
      <c r="AU711" s="255">
        <f t="shared" si="394"/>
        <v>0</v>
      </c>
      <c r="AV711" s="31">
        <f t="shared" si="395"/>
        <v>0</v>
      </c>
      <c r="AW711" s="31">
        <f t="shared" si="396"/>
        <v>0</v>
      </c>
      <c r="AX711" s="31">
        <f t="shared" si="397"/>
        <v>0.5</v>
      </c>
      <c r="AY711" s="255">
        <f t="shared" si="398"/>
        <v>0.42499999999999999</v>
      </c>
      <c r="AZ711" s="232">
        <f t="shared" si="399"/>
        <v>0</v>
      </c>
      <c r="BA711" s="255">
        <f t="shared" si="400"/>
        <v>0</v>
      </c>
      <c r="BB711" s="31">
        <f t="shared" si="401"/>
        <v>0</v>
      </c>
      <c r="BC711" s="255">
        <f t="shared" si="402"/>
        <v>0</v>
      </c>
      <c r="BD711" s="31">
        <f t="shared" si="403"/>
        <v>0</v>
      </c>
      <c r="BE711" s="255">
        <f t="shared" si="404"/>
        <v>0</v>
      </c>
      <c r="BF711" s="31">
        <f t="shared" si="405"/>
        <v>0</v>
      </c>
      <c r="BG711" s="255">
        <f t="shared" si="406"/>
        <v>0</v>
      </c>
      <c r="BH711" s="31">
        <f t="shared" si="407"/>
        <v>0</v>
      </c>
      <c r="BI711" s="255">
        <f t="shared" si="408"/>
        <v>0</v>
      </c>
      <c r="BJ711" s="31">
        <f t="shared" si="409"/>
        <v>0</v>
      </c>
      <c r="BK711" s="31">
        <f t="shared" si="410"/>
        <v>0</v>
      </c>
      <c r="BL711" s="255">
        <f t="shared" si="411"/>
        <v>0</v>
      </c>
      <c r="BM711" s="31">
        <f t="shared" si="412"/>
        <v>0</v>
      </c>
      <c r="BN711" s="255">
        <f t="shared" si="413"/>
        <v>0</v>
      </c>
    </row>
    <row r="712" spans="1:66" x14ac:dyDescent="0.25">
      <c r="A712" s="59" t="s">
        <v>1621</v>
      </c>
      <c r="B712" s="186" t="str">
        <f>VLOOKUP(A712,kurspris!$A$1:$B$877,2,FALSE)</f>
        <v>Utbildningens villkor och samhälleliga funktion (UK)</v>
      </c>
      <c r="C712" s="37"/>
      <c r="D712" s="59" t="s">
        <v>630</v>
      </c>
      <c r="E712" s="62" t="s">
        <v>1931</v>
      </c>
      <c r="F712" s="59" t="s">
        <v>1931</v>
      </c>
      <c r="G712" s="31" t="s">
        <v>2293</v>
      </c>
      <c r="I712" s="62"/>
      <c r="J712" t="s">
        <v>2302</v>
      </c>
      <c r="L712" s="295">
        <v>150</v>
      </c>
      <c r="M712" s="378">
        <v>7.5</v>
      </c>
      <c r="N712" s="40"/>
      <c r="P712" s="377">
        <v>17</v>
      </c>
      <c r="Q712" s="232">
        <f t="shared" si="386"/>
        <v>2.125</v>
      </c>
      <c r="R712" s="40">
        <v>0.85</v>
      </c>
      <c r="S712" s="334">
        <f t="shared" si="387"/>
        <v>1.8062499999999999</v>
      </c>
      <c r="T712" s="31">
        <f>VLOOKUP(A712,'Ansvar kurs'!$A$1:$C$1010,2,FALSE)</f>
        <v>2193</v>
      </c>
      <c r="U712" s="31" t="str">
        <f>VLOOKUP(T712,Orgenheter!$A$1:$C$165,2,FALSE)</f>
        <v xml:space="preserve">TUV </v>
      </c>
      <c r="V712" s="31" t="str">
        <f>VLOOKUP(T712,Orgenheter!$A$1:$C$165,3,FALSE)</f>
        <v>Sam</v>
      </c>
      <c r="W712" s="37" t="str">
        <f>VLOOKUP(D712,Program!$A$1:$B$34,2,FALSE)</f>
        <v>KPU - Gy</v>
      </c>
      <c r="X712" s="42">
        <f>VLOOKUP(A712,kurspris!$A$1:$Q$798,15,FALSE)</f>
        <v>23641</v>
      </c>
      <c r="Y712" s="42">
        <f>VLOOKUP(A712,kurspris!$A$1:$Q$798,16,FALSE)</f>
        <v>28786</v>
      </c>
      <c r="Z712" s="42">
        <f t="shared" si="388"/>
        <v>102231.83749999999</v>
      </c>
      <c r="AA712" s="42">
        <f>VLOOKUP(A712,kurspris!$A$1:$Q$798,17,FALSE)</f>
        <v>5800</v>
      </c>
      <c r="AB712" s="42">
        <f t="shared" si="389"/>
        <v>12325</v>
      </c>
      <c r="AC712" s="42">
        <f t="shared" si="390"/>
        <v>114556.83749999999</v>
      </c>
      <c r="AD712" s="31">
        <f>VLOOKUP($A712,kurspris!$A$1:$Q$835,3,FALSE)</f>
        <v>0</v>
      </c>
      <c r="AE712" s="31">
        <f>VLOOKUP($A712,kurspris!$A$1:$Q$835,4,FALSE)</f>
        <v>0</v>
      </c>
      <c r="AF712" s="31">
        <f>VLOOKUP($A712,kurspris!$A$1:$Q$835,5,FALSE)</f>
        <v>0</v>
      </c>
      <c r="AG712" s="31">
        <f>VLOOKUP($A712,kurspris!$A$1:$Q$835,6,FALSE)</f>
        <v>1</v>
      </c>
      <c r="AH712" s="31">
        <f>VLOOKUP($A712,kurspris!$A$1:$Q$835,7,FALSE)</f>
        <v>0</v>
      </c>
      <c r="AI712" s="31">
        <f>VLOOKUP($A712,kurspris!$A$1:$Q$835,8,FALSE)</f>
        <v>0</v>
      </c>
      <c r="AJ712" s="31">
        <f>VLOOKUP($A712,kurspris!$A$1:$Q$835,9,FALSE)</f>
        <v>0</v>
      </c>
      <c r="AK712" s="31">
        <f>VLOOKUP($A712,kurspris!$A$1:$Q$835,10,FALSE)</f>
        <v>0</v>
      </c>
      <c r="AL712" s="31">
        <f>VLOOKUP($A712,kurspris!$A$1:$Q$835,11,FALSE)</f>
        <v>0</v>
      </c>
      <c r="AM712" s="31">
        <f>VLOOKUP($A712,kurspris!$A$1:$Q$835,12,FALSE)</f>
        <v>0</v>
      </c>
      <c r="AN712" s="31">
        <f>VLOOKUP($A712,kurspris!$A$1:$Q$835,13,FALSE)</f>
        <v>0</v>
      </c>
      <c r="AO712" s="31">
        <f>VLOOKUP($A712,kurspris!$A$1:$Q$835,14,FALSE)</f>
        <v>0</v>
      </c>
      <c r="AP712" s="39" t="s">
        <v>2326</v>
      </c>
      <c r="AQ712"/>
      <c r="AR712" s="31">
        <f t="shared" si="391"/>
        <v>0</v>
      </c>
      <c r="AS712" s="255">
        <f t="shared" si="392"/>
        <v>0</v>
      </c>
      <c r="AT712" s="31">
        <f t="shared" si="393"/>
        <v>0</v>
      </c>
      <c r="AU712" s="255">
        <f t="shared" si="394"/>
        <v>0</v>
      </c>
      <c r="AV712" s="31">
        <f t="shared" si="395"/>
        <v>0</v>
      </c>
      <c r="AW712" s="31">
        <f t="shared" si="396"/>
        <v>0</v>
      </c>
      <c r="AX712" s="31">
        <f t="shared" si="397"/>
        <v>2.125</v>
      </c>
      <c r="AY712" s="255">
        <f t="shared" si="398"/>
        <v>1.8062499999999999</v>
      </c>
      <c r="AZ712" s="232">
        <f t="shared" si="399"/>
        <v>0</v>
      </c>
      <c r="BA712" s="255">
        <f t="shared" si="400"/>
        <v>0</v>
      </c>
      <c r="BB712" s="31">
        <f t="shared" si="401"/>
        <v>0</v>
      </c>
      <c r="BC712" s="255">
        <f t="shared" si="402"/>
        <v>0</v>
      </c>
      <c r="BD712" s="31">
        <f t="shared" si="403"/>
        <v>0</v>
      </c>
      <c r="BE712" s="255">
        <f t="shared" si="404"/>
        <v>0</v>
      </c>
      <c r="BF712" s="31">
        <f t="shared" si="405"/>
        <v>0</v>
      </c>
      <c r="BG712" s="255">
        <f t="shared" si="406"/>
        <v>0</v>
      </c>
      <c r="BH712" s="31">
        <f t="shared" si="407"/>
        <v>0</v>
      </c>
      <c r="BI712" s="255">
        <f t="shared" si="408"/>
        <v>0</v>
      </c>
      <c r="BJ712" s="31">
        <f t="shared" si="409"/>
        <v>0</v>
      </c>
      <c r="BK712" s="31">
        <f t="shared" si="410"/>
        <v>0</v>
      </c>
      <c r="BL712" s="255">
        <f t="shared" si="411"/>
        <v>0</v>
      </c>
      <c r="BM712" s="31">
        <f t="shared" si="412"/>
        <v>0</v>
      </c>
      <c r="BN712" s="255">
        <f t="shared" si="413"/>
        <v>0</v>
      </c>
    </row>
    <row r="713" spans="1:66" x14ac:dyDescent="0.25">
      <c r="A713" s="59" t="s">
        <v>1621</v>
      </c>
      <c r="B713" s="186" t="str">
        <f>VLOOKUP(A713,kurspris!$A$1:$B$877,2,FALSE)</f>
        <v>Utbildningens villkor och samhälleliga funktion (UK)</v>
      </c>
      <c r="C713" s="37"/>
      <c r="D713" s="59" t="s">
        <v>630</v>
      </c>
      <c r="E713" s="62" t="s">
        <v>1931</v>
      </c>
      <c r="F713" s="59" t="s">
        <v>1931</v>
      </c>
      <c r="G713" s="31" t="s">
        <v>2293</v>
      </c>
      <c r="I713" s="62"/>
      <c r="J713" t="s">
        <v>2309</v>
      </c>
      <c r="L713" s="295">
        <v>150</v>
      </c>
      <c r="M713" s="378">
        <v>7.5</v>
      </c>
      <c r="N713" s="40"/>
      <c r="P713" s="377">
        <v>1</v>
      </c>
      <c r="Q713" s="232">
        <f t="shared" si="386"/>
        <v>0.125</v>
      </c>
      <c r="R713" s="40">
        <v>0.85</v>
      </c>
      <c r="S713" s="334">
        <f t="shared" si="387"/>
        <v>0.10625</v>
      </c>
      <c r="T713" s="31">
        <f>VLOOKUP(A713,'Ansvar kurs'!$A$1:$C$1010,2,FALSE)</f>
        <v>2193</v>
      </c>
      <c r="U713" s="31" t="str">
        <f>VLOOKUP(T713,Orgenheter!$A$1:$C$165,2,FALSE)</f>
        <v xml:space="preserve">TUV </v>
      </c>
      <c r="V713" s="31" t="str">
        <f>VLOOKUP(T713,Orgenheter!$A$1:$C$165,3,FALSE)</f>
        <v>Sam</v>
      </c>
      <c r="W713" s="37" t="str">
        <f>VLOOKUP(D713,Program!$A$1:$B$34,2,FALSE)</f>
        <v>KPU - Gy</v>
      </c>
      <c r="X713" s="42">
        <f>VLOOKUP(A713,kurspris!$A$1:$Q$798,15,FALSE)</f>
        <v>23641</v>
      </c>
      <c r="Y713" s="42">
        <f>VLOOKUP(A713,kurspris!$A$1:$Q$798,16,FALSE)</f>
        <v>28786</v>
      </c>
      <c r="Z713" s="42">
        <f t="shared" si="388"/>
        <v>6013.6374999999998</v>
      </c>
      <c r="AA713" s="42">
        <f>VLOOKUP(A713,kurspris!$A$1:$Q$798,17,FALSE)</f>
        <v>5800</v>
      </c>
      <c r="AB713" s="42">
        <f t="shared" si="389"/>
        <v>725</v>
      </c>
      <c r="AC713" s="42">
        <f t="shared" si="390"/>
        <v>6738.6374999999998</v>
      </c>
      <c r="AD713" s="31">
        <f>VLOOKUP($A713,kurspris!$A$1:$Q$835,3,FALSE)</f>
        <v>0</v>
      </c>
      <c r="AE713" s="31">
        <f>VLOOKUP($A713,kurspris!$A$1:$Q$835,4,FALSE)</f>
        <v>0</v>
      </c>
      <c r="AF713" s="31">
        <f>VLOOKUP($A713,kurspris!$A$1:$Q$835,5,FALSE)</f>
        <v>0</v>
      </c>
      <c r="AG713" s="31">
        <f>VLOOKUP($A713,kurspris!$A$1:$Q$835,6,FALSE)</f>
        <v>1</v>
      </c>
      <c r="AH713" s="31">
        <f>VLOOKUP($A713,kurspris!$A$1:$Q$835,7,FALSE)</f>
        <v>0</v>
      </c>
      <c r="AI713" s="31">
        <f>VLOOKUP($A713,kurspris!$A$1:$Q$835,8,FALSE)</f>
        <v>0</v>
      </c>
      <c r="AJ713" s="31">
        <f>VLOOKUP($A713,kurspris!$A$1:$Q$835,9,FALSE)</f>
        <v>0</v>
      </c>
      <c r="AK713" s="31">
        <f>VLOOKUP($A713,kurspris!$A$1:$Q$835,10,FALSE)</f>
        <v>0</v>
      </c>
      <c r="AL713" s="31">
        <f>VLOOKUP($A713,kurspris!$A$1:$Q$835,11,FALSE)</f>
        <v>0</v>
      </c>
      <c r="AM713" s="31">
        <f>VLOOKUP($A713,kurspris!$A$1:$Q$835,12,FALSE)</f>
        <v>0</v>
      </c>
      <c r="AN713" s="31">
        <f>VLOOKUP($A713,kurspris!$A$1:$Q$835,13,FALSE)</f>
        <v>0</v>
      </c>
      <c r="AO713" s="31">
        <f>VLOOKUP($A713,kurspris!$A$1:$Q$835,14,FALSE)</f>
        <v>0</v>
      </c>
      <c r="AP713" s="39" t="s">
        <v>2326</v>
      </c>
      <c r="AQ713"/>
      <c r="AR713" s="31">
        <f t="shared" si="391"/>
        <v>0</v>
      </c>
      <c r="AS713" s="255">
        <f t="shared" si="392"/>
        <v>0</v>
      </c>
      <c r="AT713" s="31">
        <f t="shared" si="393"/>
        <v>0</v>
      </c>
      <c r="AU713" s="255">
        <f t="shared" si="394"/>
        <v>0</v>
      </c>
      <c r="AV713" s="31">
        <f t="shared" si="395"/>
        <v>0</v>
      </c>
      <c r="AW713" s="31">
        <f t="shared" si="396"/>
        <v>0</v>
      </c>
      <c r="AX713" s="31">
        <f t="shared" si="397"/>
        <v>0.125</v>
      </c>
      <c r="AY713" s="255">
        <f t="shared" si="398"/>
        <v>0.10625</v>
      </c>
      <c r="AZ713" s="232">
        <f t="shared" si="399"/>
        <v>0</v>
      </c>
      <c r="BA713" s="255">
        <f t="shared" si="400"/>
        <v>0</v>
      </c>
      <c r="BB713" s="31">
        <f t="shared" si="401"/>
        <v>0</v>
      </c>
      <c r="BC713" s="255">
        <f t="shared" si="402"/>
        <v>0</v>
      </c>
      <c r="BD713" s="31">
        <f t="shared" si="403"/>
        <v>0</v>
      </c>
      <c r="BE713" s="255">
        <f t="shared" si="404"/>
        <v>0</v>
      </c>
      <c r="BF713" s="31">
        <f t="shared" si="405"/>
        <v>0</v>
      </c>
      <c r="BG713" s="255">
        <f t="shared" si="406"/>
        <v>0</v>
      </c>
      <c r="BH713" s="31">
        <f t="shared" si="407"/>
        <v>0</v>
      </c>
      <c r="BI713" s="255">
        <f t="shared" si="408"/>
        <v>0</v>
      </c>
      <c r="BJ713" s="31">
        <f t="shared" si="409"/>
        <v>0</v>
      </c>
      <c r="BK713" s="31">
        <f t="shared" si="410"/>
        <v>0</v>
      </c>
      <c r="BL713" s="255">
        <f t="shared" si="411"/>
        <v>0</v>
      </c>
      <c r="BM713" s="31">
        <f t="shared" si="412"/>
        <v>0</v>
      </c>
      <c r="BN713" s="255">
        <f t="shared" si="413"/>
        <v>0</v>
      </c>
    </row>
    <row r="714" spans="1:66" x14ac:dyDescent="0.25">
      <c r="A714" t="s">
        <v>1624</v>
      </c>
      <c r="B714" s="186" t="str">
        <f>VLOOKUP(A714,kurspris!$A$1:$B$877,2,FALSE)</f>
        <v>Den professionella läraren 1: Barns utveckling, specialpedagogik, sociala relationer och kommunikation (UK)</v>
      </c>
      <c r="C714"/>
      <c r="D714" t="s">
        <v>1632</v>
      </c>
      <c r="E714" t="s">
        <v>1930</v>
      </c>
      <c r="F714" s="59" t="s">
        <v>1930</v>
      </c>
      <c r="G714" t="s">
        <v>1940</v>
      </c>
      <c r="H714" t="s">
        <v>1910</v>
      </c>
      <c r="I714"/>
      <c r="J714"/>
      <c r="K714"/>
      <c r="L714" s="423">
        <v>100</v>
      </c>
      <c r="M714">
        <v>7.5</v>
      </c>
      <c r="N714"/>
      <c r="O714"/>
      <c r="P714" s="31">
        <v>14</v>
      </c>
      <c r="Q714" s="232">
        <f t="shared" si="386"/>
        <v>1.75</v>
      </c>
      <c r="R714" s="40">
        <v>0.85</v>
      </c>
      <c r="S714" s="334">
        <f t="shared" si="387"/>
        <v>1.4875</v>
      </c>
      <c r="T714" s="31">
        <f>VLOOKUP(A714,'Ansvar kurs'!$A$1:$C$1010,2,FALSE)</f>
        <v>2193</v>
      </c>
      <c r="U714" s="31" t="str">
        <f>VLOOKUP(T714,Orgenheter!$A$1:$C$165,2,FALSE)</f>
        <v xml:space="preserve">TUV </v>
      </c>
      <c r="V714" s="31" t="str">
        <f>VLOOKUP(T714,Orgenheter!$A$1:$C$165,3,FALSE)</f>
        <v>Sam</v>
      </c>
      <c r="W714" s="37" t="str">
        <f>VLOOKUP(D714,Program!$A$1:$B$34,2,FALSE)</f>
        <v>KPU - Förhöjd studietakt - utbildningsbidrag</v>
      </c>
      <c r="X714" s="42">
        <f>VLOOKUP(A714,kurspris!$A$1:$Q$798,15,FALSE)</f>
        <v>23641</v>
      </c>
      <c r="Y714" s="42">
        <f>VLOOKUP(A714,kurspris!$A$1:$Q$798,16,FALSE)</f>
        <v>28786</v>
      </c>
      <c r="Z714" s="42">
        <f t="shared" si="388"/>
        <v>84190.925000000003</v>
      </c>
      <c r="AA714" s="42">
        <f>VLOOKUP(A714,kurspris!$A$1:$Q$798,17,FALSE)</f>
        <v>5800</v>
      </c>
      <c r="AB714" s="42">
        <f t="shared" si="389"/>
        <v>10150</v>
      </c>
      <c r="AC714" s="42">
        <f t="shared" si="390"/>
        <v>94340.925000000003</v>
      </c>
      <c r="AD714" s="31">
        <f>VLOOKUP($A714,kurspris!$A$1:$Q$835,3,FALSE)</f>
        <v>0</v>
      </c>
      <c r="AE714" s="31">
        <f>VLOOKUP($A714,kurspris!$A$1:$Q$835,4,FALSE)</f>
        <v>0</v>
      </c>
      <c r="AF714" s="31">
        <f>VLOOKUP($A714,kurspris!$A$1:$Q$835,5,FALSE)</f>
        <v>0</v>
      </c>
      <c r="AG714" s="31">
        <f>VLOOKUP($A714,kurspris!$A$1:$Q$835,6,FALSE)</f>
        <v>1</v>
      </c>
      <c r="AH714" s="31">
        <f>VLOOKUP($A714,kurspris!$A$1:$Q$835,7,FALSE)</f>
        <v>0</v>
      </c>
      <c r="AI714" s="31">
        <f>VLOOKUP($A714,kurspris!$A$1:$Q$835,8,FALSE)</f>
        <v>0</v>
      </c>
      <c r="AJ714" s="31">
        <f>VLOOKUP($A714,kurspris!$A$1:$Q$835,9,FALSE)</f>
        <v>0</v>
      </c>
      <c r="AK714" s="31">
        <f>VLOOKUP($A714,kurspris!$A$1:$Q$835,10,FALSE)</f>
        <v>0</v>
      </c>
      <c r="AL714" s="31">
        <f>VLOOKUP($A714,kurspris!$A$1:$Q$835,11,FALSE)</f>
        <v>0</v>
      </c>
      <c r="AM714" s="31">
        <f>VLOOKUP($A714,kurspris!$A$1:$Q$835,12,FALSE)</f>
        <v>0</v>
      </c>
      <c r="AN714" s="31">
        <f>VLOOKUP($A714,kurspris!$A$1:$Q$835,13,FALSE)</f>
        <v>0</v>
      </c>
      <c r="AO714" s="31">
        <f>VLOOKUP($A714,kurspris!$A$1:$Q$835,14,FALSE)</f>
        <v>0</v>
      </c>
      <c r="AP714" s="39" t="s">
        <v>2204</v>
      </c>
      <c r="AQ714"/>
      <c r="AR714" s="31">
        <f t="shared" si="391"/>
        <v>0</v>
      </c>
      <c r="AS714" s="255">
        <f t="shared" si="392"/>
        <v>0</v>
      </c>
      <c r="AT714" s="31">
        <f t="shared" si="393"/>
        <v>0</v>
      </c>
      <c r="AU714" s="255">
        <f t="shared" si="394"/>
        <v>0</v>
      </c>
      <c r="AV714" s="31">
        <f t="shared" si="395"/>
        <v>0</v>
      </c>
      <c r="AW714" s="31">
        <f t="shared" si="396"/>
        <v>0</v>
      </c>
      <c r="AX714" s="31">
        <f t="shared" si="397"/>
        <v>1.75</v>
      </c>
      <c r="AY714" s="255">
        <f t="shared" si="398"/>
        <v>1.4875</v>
      </c>
      <c r="AZ714" s="232">
        <f t="shared" si="399"/>
        <v>0</v>
      </c>
      <c r="BA714" s="255">
        <f t="shared" si="400"/>
        <v>0</v>
      </c>
      <c r="BB714" s="31">
        <f t="shared" si="401"/>
        <v>0</v>
      </c>
      <c r="BC714" s="255">
        <f t="shared" si="402"/>
        <v>0</v>
      </c>
      <c r="BD714" s="31">
        <f t="shared" si="403"/>
        <v>0</v>
      </c>
      <c r="BE714" s="255">
        <f t="shared" si="404"/>
        <v>0</v>
      </c>
      <c r="BF714" s="31">
        <f t="shared" si="405"/>
        <v>0</v>
      </c>
      <c r="BG714" s="255">
        <f t="shared" si="406"/>
        <v>0</v>
      </c>
      <c r="BH714" s="31">
        <f t="shared" si="407"/>
        <v>0</v>
      </c>
      <c r="BI714" s="255">
        <f t="shared" si="408"/>
        <v>0</v>
      </c>
      <c r="BJ714" s="31">
        <f t="shared" si="409"/>
        <v>0</v>
      </c>
      <c r="BK714" s="31">
        <f t="shared" si="410"/>
        <v>0</v>
      </c>
      <c r="BL714" s="255">
        <f t="shared" si="411"/>
        <v>0</v>
      </c>
      <c r="BM714" s="31">
        <f t="shared" si="412"/>
        <v>0</v>
      </c>
      <c r="BN714" s="255">
        <f t="shared" si="413"/>
        <v>0</v>
      </c>
    </row>
    <row r="715" spans="1:66" x14ac:dyDescent="0.25">
      <c r="A715" s="18" t="s">
        <v>1624</v>
      </c>
      <c r="B715" s="186" t="str">
        <f>VLOOKUP(A715,kurspris!$A$1:$B$877,2,FALSE)</f>
        <v>Den professionella läraren 1: Barns utveckling, specialpedagogik, sociala relationer och kommunikation (UK)</v>
      </c>
      <c r="C715" s="37"/>
      <c r="D715" s="31" t="s">
        <v>629</v>
      </c>
      <c r="E715" s="31" t="s">
        <v>1931</v>
      </c>
      <c r="F715" s="59" t="s">
        <v>1931</v>
      </c>
      <c r="G715" s="31" t="s">
        <v>2294</v>
      </c>
      <c r="J715" t="s">
        <v>2304</v>
      </c>
      <c r="L715" s="295">
        <v>150</v>
      </c>
      <c r="M715" s="31">
        <v>7.5</v>
      </c>
      <c r="P715" s="31">
        <v>2</v>
      </c>
      <c r="Q715" s="232">
        <f t="shared" si="386"/>
        <v>0.25</v>
      </c>
      <c r="R715" s="40">
        <v>0.85</v>
      </c>
      <c r="S715" s="334">
        <f t="shared" si="387"/>
        <v>0.21249999999999999</v>
      </c>
      <c r="T715" s="31">
        <f>VLOOKUP(A715,'Ansvar kurs'!$A$1:$C$1010,2,FALSE)</f>
        <v>2193</v>
      </c>
      <c r="U715" s="31" t="str">
        <f>VLOOKUP(T715,Orgenheter!$A$1:$C$165,2,FALSE)</f>
        <v xml:space="preserve">TUV </v>
      </c>
      <c r="V715" s="31" t="str">
        <f>VLOOKUP(T715,Orgenheter!$A$1:$C$165,3,FALSE)</f>
        <v>Sam</v>
      </c>
      <c r="W715" s="37" t="str">
        <f>VLOOKUP(D715,Program!$A$1:$B$34,2,FALSE)</f>
        <v>KPU - åk 7-9</v>
      </c>
      <c r="X715" s="42">
        <f>VLOOKUP(A715,kurspris!$A$1:$Q$798,15,FALSE)</f>
        <v>23641</v>
      </c>
      <c r="Y715" s="42">
        <f>VLOOKUP(A715,kurspris!$A$1:$Q$798,16,FALSE)</f>
        <v>28786</v>
      </c>
      <c r="Z715" s="42">
        <f t="shared" si="388"/>
        <v>12027.275</v>
      </c>
      <c r="AA715" s="42">
        <f>VLOOKUP(A715,kurspris!$A$1:$Q$798,17,FALSE)</f>
        <v>5800</v>
      </c>
      <c r="AB715" s="42">
        <f t="shared" si="389"/>
        <v>1450</v>
      </c>
      <c r="AC715" s="42">
        <f t="shared" si="390"/>
        <v>13477.275</v>
      </c>
      <c r="AD715" s="31">
        <f>VLOOKUP($A715,kurspris!$A$1:$Q$835,3,FALSE)</f>
        <v>0</v>
      </c>
      <c r="AE715" s="31">
        <f>VLOOKUP($A715,kurspris!$A$1:$Q$835,4,FALSE)</f>
        <v>0</v>
      </c>
      <c r="AF715" s="31">
        <f>VLOOKUP($A715,kurspris!$A$1:$Q$835,5,FALSE)</f>
        <v>0</v>
      </c>
      <c r="AG715" s="31">
        <f>VLOOKUP($A715,kurspris!$A$1:$Q$835,6,FALSE)</f>
        <v>1</v>
      </c>
      <c r="AH715" s="31">
        <f>VLOOKUP($A715,kurspris!$A$1:$Q$835,7,FALSE)</f>
        <v>0</v>
      </c>
      <c r="AI715" s="31">
        <f>VLOOKUP($A715,kurspris!$A$1:$Q$835,8,FALSE)</f>
        <v>0</v>
      </c>
      <c r="AJ715" s="31">
        <f>VLOOKUP($A715,kurspris!$A$1:$Q$835,9,FALSE)</f>
        <v>0</v>
      </c>
      <c r="AK715" s="31">
        <f>VLOOKUP($A715,kurspris!$A$1:$Q$835,10,FALSE)</f>
        <v>0</v>
      </c>
      <c r="AL715" s="31">
        <f>VLOOKUP($A715,kurspris!$A$1:$Q$835,11,FALSE)</f>
        <v>0</v>
      </c>
      <c r="AM715" s="31">
        <f>VLOOKUP($A715,kurspris!$A$1:$Q$835,12,FALSE)</f>
        <v>0</v>
      </c>
      <c r="AN715" s="31">
        <f>VLOOKUP($A715,kurspris!$A$1:$Q$835,13,FALSE)</f>
        <v>0</v>
      </c>
      <c r="AO715" s="31">
        <f>VLOOKUP($A715,kurspris!$A$1:$Q$835,14,FALSE)</f>
        <v>0</v>
      </c>
      <c r="AP715" s="39" t="s">
        <v>2326</v>
      </c>
      <c r="AQ715"/>
      <c r="AR715" s="31">
        <f t="shared" si="391"/>
        <v>0</v>
      </c>
      <c r="AS715" s="255">
        <f t="shared" si="392"/>
        <v>0</v>
      </c>
      <c r="AT715" s="31">
        <f t="shared" si="393"/>
        <v>0</v>
      </c>
      <c r="AU715" s="255">
        <f t="shared" si="394"/>
        <v>0</v>
      </c>
      <c r="AV715" s="31">
        <f t="shared" si="395"/>
        <v>0</v>
      </c>
      <c r="AW715" s="31">
        <f t="shared" si="396"/>
        <v>0</v>
      </c>
      <c r="AX715" s="31">
        <f t="shared" si="397"/>
        <v>0.25</v>
      </c>
      <c r="AY715" s="255">
        <f t="shared" si="398"/>
        <v>0.21249999999999999</v>
      </c>
      <c r="AZ715" s="232">
        <f t="shared" si="399"/>
        <v>0</v>
      </c>
      <c r="BA715" s="255">
        <f t="shared" si="400"/>
        <v>0</v>
      </c>
      <c r="BB715" s="31">
        <f t="shared" si="401"/>
        <v>0</v>
      </c>
      <c r="BC715" s="255">
        <f t="shared" si="402"/>
        <v>0</v>
      </c>
      <c r="BD715" s="31">
        <f t="shared" si="403"/>
        <v>0</v>
      </c>
      <c r="BE715" s="255">
        <f t="shared" si="404"/>
        <v>0</v>
      </c>
      <c r="BF715" s="31">
        <f t="shared" si="405"/>
        <v>0</v>
      </c>
      <c r="BG715" s="255">
        <f t="shared" si="406"/>
        <v>0</v>
      </c>
      <c r="BH715" s="31">
        <f t="shared" si="407"/>
        <v>0</v>
      </c>
      <c r="BI715" s="255">
        <f t="shared" si="408"/>
        <v>0</v>
      </c>
      <c r="BJ715" s="31">
        <f t="shared" si="409"/>
        <v>0</v>
      </c>
      <c r="BK715" s="31">
        <f t="shared" si="410"/>
        <v>0</v>
      </c>
      <c r="BL715" s="255">
        <f t="shared" si="411"/>
        <v>0</v>
      </c>
      <c r="BM715" s="31">
        <f t="shared" si="412"/>
        <v>0</v>
      </c>
      <c r="BN715" s="255">
        <f t="shared" si="413"/>
        <v>0</v>
      </c>
    </row>
    <row r="716" spans="1:66" x14ac:dyDescent="0.25">
      <c r="A716" s="59" t="s">
        <v>1624</v>
      </c>
      <c r="B716" s="186" t="str">
        <f>VLOOKUP(A716,kurspris!$A$1:$B$877,2,FALSE)</f>
        <v>Den professionella läraren 1: Barns utveckling, specialpedagogik, sociala relationer och kommunikation (UK)</v>
      </c>
      <c r="C716" s="37"/>
      <c r="D716" s="59" t="s">
        <v>629</v>
      </c>
      <c r="E716" s="62" t="s">
        <v>1931</v>
      </c>
      <c r="F716" s="59" t="s">
        <v>1931</v>
      </c>
      <c r="G716" s="31" t="s">
        <v>2294</v>
      </c>
      <c r="I716" s="62"/>
      <c r="J716" t="s">
        <v>2302</v>
      </c>
      <c r="L716" s="295">
        <v>150</v>
      </c>
      <c r="M716" s="378">
        <v>7.5</v>
      </c>
      <c r="P716" s="31">
        <v>11</v>
      </c>
      <c r="Q716" s="232">
        <f t="shared" si="386"/>
        <v>1.375</v>
      </c>
      <c r="R716" s="40">
        <v>0.85</v>
      </c>
      <c r="S716" s="334">
        <f t="shared" si="387"/>
        <v>1.16875</v>
      </c>
      <c r="T716" s="31">
        <f>VLOOKUP(A716,'Ansvar kurs'!$A$1:$C$1010,2,FALSE)</f>
        <v>2193</v>
      </c>
      <c r="U716" s="31" t="str">
        <f>VLOOKUP(T716,Orgenheter!$A$1:$C$165,2,FALSE)</f>
        <v xml:space="preserve">TUV </v>
      </c>
      <c r="V716" s="31" t="str">
        <f>VLOOKUP(T716,Orgenheter!$A$1:$C$165,3,FALSE)</f>
        <v>Sam</v>
      </c>
      <c r="W716" s="37" t="str">
        <f>VLOOKUP(D716,Program!$A$1:$B$34,2,FALSE)</f>
        <v>KPU - åk 7-9</v>
      </c>
      <c r="X716" s="42">
        <f>VLOOKUP(A716,kurspris!$A$1:$Q$798,15,FALSE)</f>
        <v>23641</v>
      </c>
      <c r="Y716" s="42">
        <f>VLOOKUP(A716,kurspris!$A$1:$Q$798,16,FALSE)</f>
        <v>28786</v>
      </c>
      <c r="Z716" s="42">
        <f t="shared" si="388"/>
        <v>66150.012499999997</v>
      </c>
      <c r="AA716" s="42">
        <f>VLOOKUP(A716,kurspris!$A$1:$Q$798,17,FALSE)</f>
        <v>5800</v>
      </c>
      <c r="AB716" s="42">
        <f t="shared" si="389"/>
        <v>7975</v>
      </c>
      <c r="AC716" s="42">
        <f t="shared" si="390"/>
        <v>74125.012499999997</v>
      </c>
      <c r="AD716" s="31">
        <f>VLOOKUP($A716,kurspris!$A$1:$Q$835,3,FALSE)</f>
        <v>0</v>
      </c>
      <c r="AE716" s="31">
        <f>VLOOKUP($A716,kurspris!$A$1:$Q$835,4,FALSE)</f>
        <v>0</v>
      </c>
      <c r="AF716" s="31">
        <f>VLOOKUP($A716,kurspris!$A$1:$Q$835,5,FALSE)</f>
        <v>0</v>
      </c>
      <c r="AG716" s="31">
        <f>VLOOKUP($A716,kurspris!$A$1:$Q$835,6,FALSE)</f>
        <v>1</v>
      </c>
      <c r="AH716" s="31">
        <f>VLOOKUP($A716,kurspris!$A$1:$Q$835,7,FALSE)</f>
        <v>0</v>
      </c>
      <c r="AI716" s="31">
        <f>VLOOKUP($A716,kurspris!$A$1:$Q$835,8,FALSE)</f>
        <v>0</v>
      </c>
      <c r="AJ716" s="31">
        <f>VLOOKUP($A716,kurspris!$A$1:$Q$835,9,FALSE)</f>
        <v>0</v>
      </c>
      <c r="AK716" s="31">
        <f>VLOOKUP($A716,kurspris!$A$1:$Q$835,10,FALSE)</f>
        <v>0</v>
      </c>
      <c r="AL716" s="31">
        <f>VLOOKUP($A716,kurspris!$A$1:$Q$835,11,FALSE)</f>
        <v>0</v>
      </c>
      <c r="AM716" s="31">
        <f>VLOOKUP($A716,kurspris!$A$1:$Q$835,12,FALSE)</f>
        <v>0</v>
      </c>
      <c r="AN716" s="31">
        <f>VLOOKUP($A716,kurspris!$A$1:$Q$835,13,FALSE)</f>
        <v>0</v>
      </c>
      <c r="AO716" s="31">
        <f>VLOOKUP($A716,kurspris!$A$1:$Q$835,14,FALSE)</f>
        <v>0</v>
      </c>
      <c r="AP716" s="39" t="s">
        <v>2326</v>
      </c>
      <c r="AQ716"/>
      <c r="AR716" s="31">
        <f t="shared" si="391"/>
        <v>0</v>
      </c>
      <c r="AS716" s="255">
        <f t="shared" si="392"/>
        <v>0</v>
      </c>
      <c r="AT716" s="31">
        <f t="shared" si="393"/>
        <v>0</v>
      </c>
      <c r="AU716" s="255">
        <f t="shared" si="394"/>
        <v>0</v>
      </c>
      <c r="AV716" s="31">
        <f t="shared" si="395"/>
        <v>0</v>
      </c>
      <c r="AW716" s="31">
        <f t="shared" si="396"/>
        <v>0</v>
      </c>
      <c r="AX716" s="31">
        <f t="shared" si="397"/>
        <v>1.375</v>
      </c>
      <c r="AY716" s="255">
        <f t="shared" si="398"/>
        <v>1.16875</v>
      </c>
      <c r="AZ716" s="232">
        <f t="shared" si="399"/>
        <v>0</v>
      </c>
      <c r="BA716" s="255">
        <f t="shared" si="400"/>
        <v>0</v>
      </c>
      <c r="BB716" s="31">
        <f t="shared" si="401"/>
        <v>0</v>
      </c>
      <c r="BC716" s="255">
        <f t="shared" si="402"/>
        <v>0</v>
      </c>
      <c r="BD716" s="31">
        <f t="shared" si="403"/>
        <v>0</v>
      </c>
      <c r="BE716" s="255">
        <f t="shared" si="404"/>
        <v>0</v>
      </c>
      <c r="BF716" s="31">
        <f t="shared" si="405"/>
        <v>0</v>
      </c>
      <c r="BG716" s="255">
        <f t="shared" si="406"/>
        <v>0</v>
      </c>
      <c r="BH716" s="31">
        <f t="shared" si="407"/>
        <v>0</v>
      </c>
      <c r="BI716" s="255">
        <f t="shared" si="408"/>
        <v>0</v>
      </c>
      <c r="BJ716" s="31">
        <f t="shared" si="409"/>
        <v>0</v>
      </c>
      <c r="BK716" s="31">
        <f t="shared" si="410"/>
        <v>0</v>
      </c>
      <c r="BL716" s="255">
        <f t="shared" si="411"/>
        <v>0</v>
      </c>
      <c r="BM716" s="31">
        <f t="shared" si="412"/>
        <v>0</v>
      </c>
      <c r="BN716" s="255">
        <f t="shared" si="413"/>
        <v>0</v>
      </c>
    </row>
    <row r="717" spans="1:66" x14ac:dyDescent="0.25">
      <c r="A717" s="59" t="s">
        <v>1624</v>
      </c>
      <c r="B717" s="186" t="str">
        <f>VLOOKUP(A717,kurspris!$A$1:$B$877,2,FALSE)</f>
        <v>Den professionella läraren 1: Barns utveckling, specialpedagogik, sociala relationer och kommunikation (UK)</v>
      </c>
      <c r="C717" s="37"/>
      <c r="D717" s="59" t="s">
        <v>629</v>
      </c>
      <c r="E717" s="62" t="s">
        <v>1931</v>
      </c>
      <c r="F717" s="59" t="s">
        <v>1931</v>
      </c>
      <c r="G717" s="31" t="s">
        <v>2294</v>
      </c>
      <c r="I717" s="62"/>
      <c r="J717" t="s">
        <v>2305</v>
      </c>
      <c r="L717" s="295">
        <v>150</v>
      </c>
      <c r="M717" s="378">
        <v>7.5</v>
      </c>
      <c r="P717" s="31">
        <v>4</v>
      </c>
      <c r="Q717" s="232">
        <f t="shared" si="386"/>
        <v>0.5</v>
      </c>
      <c r="R717" s="40">
        <v>0.85</v>
      </c>
      <c r="S717" s="334">
        <f t="shared" si="387"/>
        <v>0.42499999999999999</v>
      </c>
      <c r="T717" s="31">
        <f>VLOOKUP(A717,'Ansvar kurs'!$A$1:$C$1010,2,FALSE)</f>
        <v>2193</v>
      </c>
      <c r="U717" s="31" t="str">
        <f>VLOOKUP(T717,Orgenheter!$A$1:$C$165,2,FALSE)</f>
        <v xml:space="preserve">TUV </v>
      </c>
      <c r="V717" s="31" t="str">
        <f>VLOOKUP(T717,Orgenheter!$A$1:$C$165,3,FALSE)</f>
        <v>Sam</v>
      </c>
      <c r="W717" s="37" t="str">
        <f>VLOOKUP(D717,Program!$A$1:$B$34,2,FALSE)</f>
        <v>KPU - åk 7-9</v>
      </c>
      <c r="X717" s="42">
        <f>VLOOKUP(A717,kurspris!$A$1:$Q$798,15,FALSE)</f>
        <v>23641</v>
      </c>
      <c r="Y717" s="42">
        <f>VLOOKUP(A717,kurspris!$A$1:$Q$798,16,FALSE)</f>
        <v>28786</v>
      </c>
      <c r="Z717" s="42">
        <f t="shared" si="388"/>
        <v>24054.55</v>
      </c>
      <c r="AA717" s="42">
        <f>VLOOKUP(A717,kurspris!$A$1:$Q$798,17,FALSE)</f>
        <v>5800</v>
      </c>
      <c r="AB717" s="42">
        <f t="shared" si="389"/>
        <v>2900</v>
      </c>
      <c r="AC717" s="42">
        <f t="shared" si="390"/>
        <v>26954.55</v>
      </c>
      <c r="AD717" s="31">
        <f>VLOOKUP($A717,kurspris!$A$1:$Q$835,3,FALSE)</f>
        <v>0</v>
      </c>
      <c r="AE717" s="31">
        <f>VLOOKUP($A717,kurspris!$A$1:$Q$835,4,FALSE)</f>
        <v>0</v>
      </c>
      <c r="AF717" s="31">
        <f>VLOOKUP($A717,kurspris!$A$1:$Q$835,5,FALSE)</f>
        <v>0</v>
      </c>
      <c r="AG717" s="31">
        <f>VLOOKUP($A717,kurspris!$A$1:$Q$835,6,FALSE)</f>
        <v>1</v>
      </c>
      <c r="AH717" s="31">
        <f>VLOOKUP($A717,kurspris!$A$1:$Q$835,7,FALSE)</f>
        <v>0</v>
      </c>
      <c r="AI717" s="31">
        <f>VLOOKUP($A717,kurspris!$A$1:$Q$835,8,FALSE)</f>
        <v>0</v>
      </c>
      <c r="AJ717" s="31">
        <f>VLOOKUP($A717,kurspris!$A$1:$Q$835,9,FALSE)</f>
        <v>0</v>
      </c>
      <c r="AK717" s="31">
        <f>VLOOKUP($A717,kurspris!$A$1:$Q$835,10,FALSE)</f>
        <v>0</v>
      </c>
      <c r="AL717" s="31">
        <f>VLOOKUP($A717,kurspris!$A$1:$Q$835,11,FALSE)</f>
        <v>0</v>
      </c>
      <c r="AM717" s="31">
        <f>VLOOKUP($A717,kurspris!$A$1:$Q$835,12,FALSE)</f>
        <v>0</v>
      </c>
      <c r="AN717" s="31">
        <f>VLOOKUP($A717,kurspris!$A$1:$Q$835,13,FALSE)</f>
        <v>0</v>
      </c>
      <c r="AO717" s="31">
        <f>VLOOKUP($A717,kurspris!$A$1:$Q$835,14,FALSE)</f>
        <v>0</v>
      </c>
      <c r="AP717" s="39" t="s">
        <v>2326</v>
      </c>
      <c r="AQ717"/>
      <c r="AR717" s="31">
        <f t="shared" si="391"/>
        <v>0</v>
      </c>
      <c r="AS717" s="255">
        <f t="shared" si="392"/>
        <v>0</v>
      </c>
      <c r="AT717" s="31">
        <f t="shared" si="393"/>
        <v>0</v>
      </c>
      <c r="AU717" s="255">
        <f t="shared" si="394"/>
        <v>0</v>
      </c>
      <c r="AV717" s="31">
        <f t="shared" si="395"/>
        <v>0</v>
      </c>
      <c r="AW717" s="31">
        <f t="shared" si="396"/>
        <v>0</v>
      </c>
      <c r="AX717" s="31">
        <f t="shared" si="397"/>
        <v>0.5</v>
      </c>
      <c r="AY717" s="255">
        <f t="shared" si="398"/>
        <v>0.42499999999999999</v>
      </c>
      <c r="AZ717" s="232">
        <f t="shared" si="399"/>
        <v>0</v>
      </c>
      <c r="BA717" s="255">
        <f t="shared" si="400"/>
        <v>0</v>
      </c>
      <c r="BB717" s="31">
        <f t="shared" si="401"/>
        <v>0</v>
      </c>
      <c r="BC717" s="255">
        <f t="shared" si="402"/>
        <v>0</v>
      </c>
      <c r="BD717" s="31">
        <f t="shared" si="403"/>
        <v>0</v>
      </c>
      <c r="BE717" s="255">
        <f t="shared" si="404"/>
        <v>0</v>
      </c>
      <c r="BF717" s="31">
        <f t="shared" si="405"/>
        <v>0</v>
      </c>
      <c r="BG717" s="255">
        <f t="shared" si="406"/>
        <v>0</v>
      </c>
      <c r="BH717" s="31">
        <f t="shared" si="407"/>
        <v>0</v>
      </c>
      <c r="BI717" s="255">
        <f t="shared" si="408"/>
        <v>0</v>
      </c>
      <c r="BJ717" s="31">
        <f t="shared" si="409"/>
        <v>0</v>
      </c>
      <c r="BK717" s="31">
        <f t="shared" si="410"/>
        <v>0</v>
      </c>
      <c r="BL717" s="255">
        <f t="shared" si="411"/>
        <v>0</v>
      </c>
      <c r="BM717" s="31">
        <f t="shared" si="412"/>
        <v>0</v>
      </c>
      <c r="BN717" s="255">
        <f t="shared" si="413"/>
        <v>0</v>
      </c>
    </row>
    <row r="718" spans="1:66" x14ac:dyDescent="0.25">
      <c r="A718" s="59" t="s">
        <v>1624</v>
      </c>
      <c r="B718" s="186" t="str">
        <f>VLOOKUP(A718,kurspris!$A$1:$B$877,2,FALSE)</f>
        <v>Den professionella läraren 1: Barns utveckling, specialpedagogik, sociala relationer och kommunikation (UK)</v>
      </c>
      <c r="C718" s="37"/>
      <c r="D718" s="59" t="s">
        <v>630</v>
      </c>
      <c r="E718" s="62" t="s">
        <v>2263</v>
      </c>
      <c r="F718" s="59" t="s">
        <v>1931</v>
      </c>
      <c r="G718" s="31" t="s">
        <v>2294</v>
      </c>
      <c r="I718" s="62"/>
      <c r="J718" t="s">
        <v>2302</v>
      </c>
      <c r="L718" s="295">
        <v>150</v>
      </c>
      <c r="M718" s="378">
        <v>7.5</v>
      </c>
      <c r="N718" s="40"/>
      <c r="P718" s="377">
        <v>1</v>
      </c>
      <c r="Q718" s="232">
        <f t="shared" si="386"/>
        <v>0.125</v>
      </c>
      <c r="R718" s="40">
        <v>0.85</v>
      </c>
      <c r="S718" s="334">
        <f t="shared" si="387"/>
        <v>0.10625</v>
      </c>
      <c r="T718" s="31">
        <f>VLOOKUP(A718,'Ansvar kurs'!$A$1:$C$1010,2,FALSE)</f>
        <v>2193</v>
      </c>
      <c r="U718" s="31" t="str">
        <f>VLOOKUP(T718,Orgenheter!$A$1:$C$165,2,FALSE)</f>
        <v xml:space="preserve">TUV </v>
      </c>
      <c r="V718" s="31" t="str">
        <f>VLOOKUP(T718,Orgenheter!$A$1:$C$165,3,FALSE)</f>
        <v>Sam</v>
      </c>
      <c r="W718" s="37" t="str">
        <f>VLOOKUP(D718,Program!$A$1:$B$34,2,FALSE)</f>
        <v>KPU - Gy</v>
      </c>
      <c r="X718" s="42">
        <f>VLOOKUP(A718,kurspris!$A$1:$Q$798,15,FALSE)</f>
        <v>23641</v>
      </c>
      <c r="Y718" s="42">
        <f>VLOOKUP(A718,kurspris!$A$1:$Q$798,16,FALSE)</f>
        <v>28786</v>
      </c>
      <c r="Z718" s="42">
        <f t="shared" si="388"/>
        <v>6013.6374999999998</v>
      </c>
      <c r="AA718" s="42">
        <f>VLOOKUP(A718,kurspris!$A$1:$Q$798,17,FALSE)</f>
        <v>5800</v>
      </c>
      <c r="AB718" s="42">
        <f t="shared" si="389"/>
        <v>725</v>
      </c>
      <c r="AC718" s="42">
        <f t="shared" si="390"/>
        <v>6738.6374999999998</v>
      </c>
      <c r="AD718" s="31">
        <f>VLOOKUP($A718,kurspris!$A$1:$Q$835,3,FALSE)</f>
        <v>0</v>
      </c>
      <c r="AE718" s="31">
        <f>VLOOKUP($A718,kurspris!$A$1:$Q$835,4,FALSE)</f>
        <v>0</v>
      </c>
      <c r="AF718" s="31">
        <f>VLOOKUP($A718,kurspris!$A$1:$Q$835,5,FALSE)</f>
        <v>0</v>
      </c>
      <c r="AG718" s="31">
        <f>VLOOKUP($A718,kurspris!$A$1:$Q$835,6,FALSE)</f>
        <v>1</v>
      </c>
      <c r="AH718" s="31">
        <f>VLOOKUP($A718,kurspris!$A$1:$Q$835,7,FALSE)</f>
        <v>0</v>
      </c>
      <c r="AI718" s="31">
        <f>VLOOKUP($A718,kurspris!$A$1:$Q$835,8,FALSE)</f>
        <v>0</v>
      </c>
      <c r="AJ718" s="31">
        <f>VLOOKUP($A718,kurspris!$A$1:$Q$835,9,FALSE)</f>
        <v>0</v>
      </c>
      <c r="AK718" s="31">
        <f>VLOOKUP($A718,kurspris!$A$1:$Q$835,10,FALSE)</f>
        <v>0</v>
      </c>
      <c r="AL718" s="31">
        <f>VLOOKUP($A718,kurspris!$A$1:$Q$835,11,FALSE)</f>
        <v>0</v>
      </c>
      <c r="AM718" s="31">
        <f>VLOOKUP($A718,kurspris!$A$1:$Q$835,12,FALSE)</f>
        <v>0</v>
      </c>
      <c r="AN718" s="31">
        <f>VLOOKUP($A718,kurspris!$A$1:$Q$835,13,FALSE)</f>
        <v>0</v>
      </c>
      <c r="AO718" s="31">
        <f>VLOOKUP($A718,kurspris!$A$1:$Q$835,14,FALSE)</f>
        <v>0</v>
      </c>
      <c r="AP718" s="39" t="s">
        <v>2326</v>
      </c>
      <c r="AQ718"/>
      <c r="AR718" s="31">
        <f t="shared" si="391"/>
        <v>0</v>
      </c>
      <c r="AS718" s="255">
        <f t="shared" si="392"/>
        <v>0</v>
      </c>
      <c r="AT718" s="31">
        <f t="shared" si="393"/>
        <v>0</v>
      </c>
      <c r="AU718" s="255">
        <f t="shared" si="394"/>
        <v>0</v>
      </c>
      <c r="AV718" s="31">
        <f t="shared" si="395"/>
        <v>0</v>
      </c>
      <c r="AW718" s="31">
        <f t="shared" si="396"/>
        <v>0</v>
      </c>
      <c r="AX718" s="31">
        <f t="shared" si="397"/>
        <v>0.125</v>
      </c>
      <c r="AY718" s="255">
        <f t="shared" si="398"/>
        <v>0.10625</v>
      </c>
      <c r="AZ718" s="232">
        <f t="shared" si="399"/>
        <v>0</v>
      </c>
      <c r="BA718" s="255">
        <f t="shared" si="400"/>
        <v>0</v>
      </c>
      <c r="BB718" s="31">
        <f t="shared" si="401"/>
        <v>0</v>
      </c>
      <c r="BC718" s="255">
        <f t="shared" si="402"/>
        <v>0</v>
      </c>
      <c r="BD718" s="31">
        <f t="shared" si="403"/>
        <v>0</v>
      </c>
      <c r="BE718" s="255">
        <f t="shared" si="404"/>
        <v>0</v>
      </c>
      <c r="BF718" s="31">
        <f t="shared" si="405"/>
        <v>0</v>
      </c>
      <c r="BG718" s="255">
        <f t="shared" si="406"/>
        <v>0</v>
      </c>
      <c r="BH718" s="31">
        <f t="shared" si="407"/>
        <v>0</v>
      </c>
      <c r="BI718" s="255">
        <f t="shared" si="408"/>
        <v>0</v>
      </c>
      <c r="BJ718" s="31">
        <f t="shared" si="409"/>
        <v>0</v>
      </c>
      <c r="BK718" s="31">
        <f t="shared" si="410"/>
        <v>0</v>
      </c>
      <c r="BL718" s="255">
        <f t="shared" si="411"/>
        <v>0</v>
      </c>
      <c r="BM718" s="31">
        <f t="shared" si="412"/>
        <v>0</v>
      </c>
      <c r="BN718" s="255">
        <f t="shared" si="413"/>
        <v>0</v>
      </c>
    </row>
    <row r="719" spans="1:66" x14ac:dyDescent="0.25">
      <c r="A719" s="59" t="s">
        <v>1624</v>
      </c>
      <c r="B719" s="186" t="str">
        <f>VLOOKUP(A719,kurspris!$A$1:$B$877,2,FALSE)</f>
        <v>Den professionella läraren 1: Barns utveckling, specialpedagogik, sociala relationer och kommunikation (UK)</v>
      </c>
      <c r="C719" s="37"/>
      <c r="D719" s="59" t="s">
        <v>630</v>
      </c>
      <c r="E719" s="62" t="s">
        <v>1931</v>
      </c>
      <c r="F719" s="59" t="s">
        <v>1931</v>
      </c>
      <c r="G719" s="31" t="s">
        <v>2294</v>
      </c>
      <c r="I719" s="62"/>
      <c r="J719" t="s">
        <v>2308</v>
      </c>
      <c r="L719" s="295">
        <v>150</v>
      </c>
      <c r="M719" s="378">
        <v>7.5</v>
      </c>
      <c r="N719" s="40"/>
      <c r="P719" s="377">
        <v>4</v>
      </c>
      <c r="Q719" s="232">
        <f t="shared" si="386"/>
        <v>0.5</v>
      </c>
      <c r="R719" s="40">
        <v>0.85</v>
      </c>
      <c r="S719" s="334">
        <f t="shared" si="387"/>
        <v>0.42499999999999999</v>
      </c>
      <c r="T719" s="31">
        <f>VLOOKUP(A719,'Ansvar kurs'!$A$1:$C$1010,2,FALSE)</f>
        <v>2193</v>
      </c>
      <c r="U719" s="31" t="str">
        <f>VLOOKUP(T719,Orgenheter!$A$1:$C$165,2,FALSE)</f>
        <v xml:space="preserve">TUV </v>
      </c>
      <c r="V719" s="31" t="str">
        <f>VLOOKUP(T719,Orgenheter!$A$1:$C$165,3,FALSE)</f>
        <v>Sam</v>
      </c>
      <c r="W719" s="37" t="str">
        <f>VLOOKUP(D719,Program!$A$1:$B$34,2,FALSE)</f>
        <v>KPU - Gy</v>
      </c>
      <c r="X719" s="42">
        <f>VLOOKUP(A719,kurspris!$A$1:$Q$798,15,FALSE)</f>
        <v>23641</v>
      </c>
      <c r="Y719" s="42">
        <f>VLOOKUP(A719,kurspris!$A$1:$Q$798,16,FALSE)</f>
        <v>28786</v>
      </c>
      <c r="Z719" s="42">
        <f t="shared" si="388"/>
        <v>24054.55</v>
      </c>
      <c r="AA719" s="42">
        <f>VLOOKUP(A719,kurspris!$A$1:$Q$798,17,FALSE)</f>
        <v>5800</v>
      </c>
      <c r="AB719" s="42">
        <f t="shared" si="389"/>
        <v>2900</v>
      </c>
      <c r="AC719" s="42">
        <f t="shared" si="390"/>
        <v>26954.55</v>
      </c>
      <c r="AD719" s="31">
        <f>VLOOKUP($A719,kurspris!$A$1:$Q$835,3,FALSE)</f>
        <v>0</v>
      </c>
      <c r="AE719" s="31">
        <f>VLOOKUP($A719,kurspris!$A$1:$Q$835,4,FALSE)</f>
        <v>0</v>
      </c>
      <c r="AF719" s="31">
        <f>VLOOKUP($A719,kurspris!$A$1:$Q$835,5,FALSE)</f>
        <v>0</v>
      </c>
      <c r="AG719" s="31">
        <f>VLOOKUP($A719,kurspris!$A$1:$Q$835,6,FALSE)</f>
        <v>1</v>
      </c>
      <c r="AH719" s="31">
        <f>VLOOKUP($A719,kurspris!$A$1:$Q$835,7,FALSE)</f>
        <v>0</v>
      </c>
      <c r="AI719" s="31">
        <f>VLOOKUP($A719,kurspris!$A$1:$Q$835,8,FALSE)</f>
        <v>0</v>
      </c>
      <c r="AJ719" s="31">
        <f>VLOOKUP($A719,kurspris!$A$1:$Q$835,9,FALSE)</f>
        <v>0</v>
      </c>
      <c r="AK719" s="31">
        <f>VLOOKUP($A719,kurspris!$A$1:$Q$835,10,FALSE)</f>
        <v>0</v>
      </c>
      <c r="AL719" s="31">
        <f>VLOOKUP($A719,kurspris!$A$1:$Q$835,11,FALSE)</f>
        <v>0</v>
      </c>
      <c r="AM719" s="31">
        <f>VLOOKUP($A719,kurspris!$A$1:$Q$835,12,FALSE)</f>
        <v>0</v>
      </c>
      <c r="AN719" s="31">
        <f>VLOOKUP($A719,kurspris!$A$1:$Q$835,13,FALSE)</f>
        <v>0</v>
      </c>
      <c r="AO719" s="31">
        <f>VLOOKUP($A719,kurspris!$A$1:$Q$835,14,FALSE)</f>
        <v>0</v>
      </c>
      <c r="AP719" s="39" t="s">
        <v>2326</v>
      </c>
      <c r="AQ719"/>
      <c r="AR719" s="31">
        <f t="shared" si="391"/>
        <v>0</v>
      </c>
      <c r="AS719" s="255">
        <f t="shared" si="392"/>
        <v>0</v>
      </c>
      <c r="AT719" s="31">
        <f t="shared" si="393"/>
        <v>0</v>
      </c>
      <c r="AU719" s="255">
        <f t="shared" si="394"/>
        <v>0</v>
      </c>
      <c r="AV719" s="31">
        <f t="shared" si="395"/>
        <v>0</v>
      </c>
      <c r="AW719" s="31">
        <f t="shared" si="396"/>
        <v>0</v>
      </c>
      <c r="AX719" s="31">
        <f t="shared" si="397"/>
        <v>0.5</v>
      </c>
      <c r="AY719" s="255">
        <f t="shared" si="398"/>
        <v>0.42499999999999999</v>
      </c>
      <c r="AZ719" s="232">
        <f t="shared" si="399"/>
        <v>0</v>
      </c>
      <c r="BA719" s="255">
        <f t="shared" si="400"/>
        <v>0</v>
      </c>
      <c r="BB719" s="31">
        <f t="shared" si="401"/>
        <v>0</v>
      </c>
      <c r="BC719" s="255">
        <f t="shared" si="402"/>
        <v>0</v>
      </c>
      <c r="BD719" s="31">
        <f t="shared" si="403"/>
        <v>0</v>
      </c>
      <c r="BE719" s="255">
        <f t="shared" si="404"/>
        <v>0</v>
      </c>
      <c r="BF719" s="31">
        <f t="shared" si="405"/>
        <v>0</v>
      </c>
      <c r="BG719" s="255">
        <f t="shared" si="406"/>
        <v>0</v>
      </c>
      <c r="BH719" s="31">
        <f t="shared" si="407"/>
        <v>0</v>
      </c>
      <c r="BI719" s="255">
        <f t="shared" si="408"/>
        <v>0</v>
      </c>
      <c r="BJ719" s="31">
        <f t="shared" si="409"/>
        <v>0</v>
      </c>
      <c r="BK719" s="31">
        <f t="shared" si="410"/>
        <v>0</v>
      </c>
      <c r="BL719" s="255">
        <f t="shared" si="411"/>
        <v>0</v>
      </c>
      <c r="BM719" s="31">
        <f t="shared" si="412"/>
        <v>0</v>
      </c>
      <c r="BN719" s="255">
        <f t="shared" si="413"/>
        <v>0</v>
      </c>
    </row>
    <row r="720" spans="1:66" x14ac:dyDescent="0.25">
      <c r="A720" s="59" t="s">
        <v>1624</v>
      </c>
      <c r="B720" s="186" t="str">
        <f>VLOOKUP(A720,kurspris!$A$1:$B$877,2,FALSE)</f>
        <v>Den professionella läraren 1: Barns utveckling, specialpedagogik, sociala relationer och kommunikation (UK)</v>
      </c>
      <c r="C720" s="37"/>
      <c r="D720" s="59" t="s">
        <v>630</v>
      </c>
      <c r="E720" s="62" t="s">
        <v>1931</v>
      </c>
      <c r="F720" s="59" t="s">
        <v>1931</v>
      </c>
      <c r="G720" s="31" t="s">
        <v>2294</v>
      </c>
      <c r="I720" s="62"/>
      <c r="J720" t="s">
        <v>2302</v>
      </c>
      <c r="L720" s="295">
        <v>150</v>
      </c>
      <c r="M720" s="378">
        <v>7.5</v>
      </c>
      <c r="N720" s="40"/>
      <c r="P720" s="377">
        <v>18</v>
      </c>
      <c r="Q720" s="232">
        <f t="shared" si="386"/>
        <v>2.25</v>
      </c>
      <c r="R720" s="40">
        <v>0.85</v>
      </c>
      <c r="S720" s="334">
        <f t="shared" si="387"/>
        <v>1.9124999999999999</v>
      </c>
      <c r="T720" s="31">
        <f>VLOOKUP(A720,'Ansvar kurs'!$A$1:$C$1010,2,FALSE)</f>
        <v>2193</v>
      </c>
      <c r="U720" s="31" t="str">
        <f>VLOOKUP(T720,Orgenheter!$A$1:$C$165,2,FALSE)</f>
        <v xml:space="preserve">TUV </v>
      </c>
      <c r="V720" s="31" t="str">
        <f>VLOOKUP(T720,Orgenheter!$A$1:$C$165,3,FALSE)</f>
        <v>Sam</v>
      </c>
      <c r="W720" s="37" t="str">
        <f>VLOOKUP(D720,Program!$A$1:$B$34,2,FALSE)</f>
        <v>KPU - Gy</v>
      </c>
      <c r="X720" s="42">
        <f>VLOOKUP(A720,kurspris!$A$1:$Q$798,15,FALSE)</f>
        <v>23641</v>
      </c>
      <c r="Y720" s="42">
        <f>VLOOKUP(A720,kurspris!$A$1:$Q$798,16,FALSE)</f>
        <v>28786</v>
      </c>
      <c r="Z720" s="42">
        <f t="shared" si="388"/>
        <v>108245.47500000001</v>
      </c>
      <c r="AA720" s="42">
        <f>VLOOKUP(A720,kurspris!$A$1:$Q$798,17,FALSE)</f>
        <v>5800</v>
      </c>
      <c r="AB720" s="42">
        <f t="shared" si="389"/>
        <v>13050</v>
      </c>
      <c r="AC720" s="42">
        <f t="shared" si="390"/>
        <v>121295.47500000001</v>
      </c>
      <c r="AD720" s="31">
        <f>VLOOKUP($A720,kurspris!$A$1:$Q$835,3,FALSE)</f>
        <v>0</v>
      </c>
      <c r="AE720" s="31">
        <f>VLOOKUP($A720,kurspris!$A$1:$Q$835,4,FALSE)</f>
        <v>0</v>
      </c>
      <c r="AF720" s="31">
        <f>VLOOKUP($A720,kurspris!$A$1:$Q$835,5,FALSE)</f>
        <v>0</v>
      </c>
      <c r="AG720" s="31">
        <f>VLOOKUP($A720,kurspris!$A$1:$Q$835,6,FALSE)</f>
        <v>1</v>
      </c>
      <c r="AH720" s="31">
        <f>VLOOKUP($A720,kurspris!$A$1:$Q$835,7,FALSE)</f>
        <v>0</v>
      </c>
      <c r="AI720" s="31">
        <f>VLOOKUP($A720,kurspris!$A$1:$Q$835,8,FALSE)</f>
        <v>0</v>
      </c>
      <c r="AJ720" s="31">
        <f>VLOOKUP($A720,kurspris!$A$1:$Q$835,9,FALSE)</f>
        <v>0</v>
      </c>
      <c r="AK720" s="31">
        <f>VLOOKUP($A720,kurspris!$A$1:$Q$835,10,FALSE)</f>
        <v>0</v>
      </c>
      <c r="AL720" s="31">
        <f>VLOOKUP($A720,kurspris!$A$1:$Q$835,11,FALSE)</f>
        <v>0</v>
      </c>
      <c r="AM720" s="31">
        <f>VLOOKUP($A720,kurspris!$A$1:$Q$835,12,FALSE)</f>
        <v>0</v>
      </c>
      <c r="AN720" s="31">
        <f>VLOOKUP($A720,kurspris!$A$1:$Q$835,13,FALSE)</f>
        <v>0</v>
      </c>
      <c r="AO720" s="31">
        <f>VLOOKUP($A720,kurspris!$A$1:$Q$835,14,FALSE)</f>
        <v>0</v>
      </c>
      <c r="AP720" s="39" t="s">
        <v>2326</v>
      </c>
      <c r="AQ720"/>
      <c r="AR720" s="31">
        <f t="shared" si="391"/>
        <v>0</v>
      </c>
      <c r="AS720" s="255">
        <f t="shared" si="392"/>
        <v>0</v>
      </c>
      <c r="AT720" s="31">
        <f t="shared" si="393"/>
        <v>0</v>
      </c>
      <c r="AU720" s="255">
        <f t="shared" si="394"/>
        <v>0</v>
      </c>
      <c r="AV720" s="31">
        <f t="shared" si="395"/>
        <v>0</v>
      </c>
      <c r="AW720" s="31">
        <f t="shared" si="396"/>
        <v>0</v>
      </c>
      <c r="AX720" s="31">
        <f t="shared" si="397"/>
        <v>2.25</v>
      </c>
      <c r="AY720" s="255">
        <f t="shared" si="398"/>
        <v>1.9124999999999999</v>
      </c>
      <c r="AZ720" s="232">
        <f t="shared" si="399"/>
        <v>0</v>
      </c>
      <c r="BA720" s="255">
        <f t="shared" si="400"/>
        <v>0</v>
      </c>
      <c r="BB720" s="31">
        <f t="shared" si="401"/>
        <v>0</v>
      </c>
      <c r="BC720" s="255">
        <f t="shared" si="402"/>
        <v>0</v>
      </c>
      <c r="BD720" s="31">
        <f t="shared" si="403"/>
        <v>0</v>
      </c>
      <c r="BE720" s="255">
        <f t="shared" si="404"/>
        <v>0</v>
      </c>
      <c r="BF720" s="31">
        <f t="shared" si="405"/>
        <v>0</v>
      </c>
      <c r="BG720" s="255">
        <f t="shared" si="406"/>
        <v>0</v>
      </c>
      <c r="BH720" s="31">
        <f t="shared" si="407"/>
        <v>0</v>
      </c>
      <c r="BI720" s="255">
        <f t="shared" si="408"/>
        <v>0</v>
      </c>
      <c r="BJ720" s="31">
        <f t="shared" si="409"/>
        <v>0</v>
      </c>
      <c r="BK720" s="31">
        <f t="shared" si="410"/>
        <v>0</v>
      </c>
      <c r="BL720" s="255">
        <f t="shared" si="411"/>
        <v>0</v>
      </c>
      <c r="BM720" s="31">
        <f t="shared" si="412"/>
        <v>0</v>
      </c>
      <c r="BN720" s="255">
        <f t="shared" si="413"/>
        <v>0</v>
      </c>
    </row>
    <row r="721" spans="1:66" x14ac:dyDescent="0.25">
      <c r="A721" s="18" t="s">
        <v>1624</v>
      </c>
      <c r="B721" s="186" t="str">
        <f>VLOOKUP(A721,kurspris!$A$1:$B$877,2,FALSE)</f>
        <v>Den professionella läraren 1: Barns utveckling, specialpedagogik, sociala relationer och kommunikation (UK)</v>
      </c>
      <c r="C721" s="37"/>
      <c r="D721" s="31" t="s">
        <v>630</v>
      </c>
      <c r="E721" s="31" t="s">
        <v>1931</v>
      </c>
      <c r="F721" s="59" t="s">
        <v>1931</v>
      </c>
      <c r="G721" s="31" t="s">
        <v>2294</v>
      </c>
      <c r="J721" t="s">
        <v>2309</v>
      </c>
      <c r="L721" s="295">
        <v>150</v>
      </c>
      <c r="M721" s="31">
        <v>7.5</v>
      </c>
      <c r="P721" s="31">
        <v>2</v>
      </c>
      <c r="Q721" s="232">
        <f t="shared" si="386"/>
        <v>0.25</v>
      </c>
      <c r="R721" s="40">
        <v>0.85</v>
      </c>
      <c r="S721" s="334">
        <f t="shared" si="387"/>
        <v>0.21249999999999999</v>
      </c>
      <c r="T721" s="31">
        <f>VLOOKUP(A721,'Ansvar kurs'!$A$1:$C$1010,2,FALSE)</f>
        <v>2193</v>
      </c>
      <c r="U721" s="31" t="str">
        <f>VLOOKUP(T721,Orgenheter!$A$1:$C$165,2,FALSE)</f>
        <v xml:space="preserve">TUV </v>
      </c>
      <c r="V721" s="31" t="str">
        <f>VLOOKUP(T721,Orgenheter!$A$1:$C$165,3,FALSE)</f>
        <v>Sam</v>
      </c>
      <c r="W721" s="37" t="str">
        <f>VLOOKUP(D721,Program!$A$1:$B$34,2,FALSE)</f>
        <v>KPU - Gy</v>
      </c>
      <c r="X721" s="42">
        <f>VLOOKUP(A721,kurspris!$A$1:$Q$798,15,FALSE)</f>
        <v>23641</v>
      </c>
      <c r="Y721" s="42">
        <f>VLOOKUP(A721,kurspris!$A$1:$Q$798,16,FALSE)</f>
        <v>28786</v>
      </c>
      <c r="Z721" s="42">
        <f t="shared" si="388"/>
        <v>12027.275</v>
      </c>
      <c r="AA721" s="42">
        <f>VLOOKUP(A721,kurspris!$A$1:$Q$798,17,FALSE)</f>
        <v>5800</v>
      </c>
      <c r="AB721" s="42">
        <f t="shared" si="389"/>
        <v>1450</v>
      </c>
      <c r="AC721" s="42">
        <f t="shared" si="390"/>
        <v>13477.275</v>
      </c>
      <c r="AD721" s="31">
        <f>VLOOKUP($A721,kurspris!$A$1:$Q$835,3,FALSE)</f>
        <v>0</v>
      </c>
      <c r="AE721" s="31">
        <f>VLOOKUP($A721,kurspris!$A$1:$Q$835,4,FALSE)</f>
        <v>0</v>
      </c>
      <c r="AF721" s="31">
        <f>VLOOKUP($A721,kurspris!$A$1:$Q$835,5,FALSE)</f>
        <v>0</v>
      </c>
      <c r="AG721" s="31">
        <f>VLOOKUP($A721,kurspris!$A$1:$Q$835,6,FALSE)</f>
        <v>1</v>
      </c>
      <c r="AH721" s="31">
        <f>VLOOKUP($A721,kurspris!$A$1:$Q$835,7,FALSE)</f>
        <v>0</v>
      </c>
      <c r="AI721" s="31">
        <f>VLOOKUP($A721,kurspris!$A$1:$Q$835,8,FALSE)</f>
        <v>0</v>
      </c>
      <c r="AJ721" s="31">
        <f>VLOOKUP($A721,kurspris!$A$1:$Q$835,9,FALSE)</f>
        <v>0</v>
      </c>
      <c r="AK721" s="31">
        <f>VLOOKUP($A721,kurspris!$A$1:$Q$835,10,FALSE)</f>
        <v>0</v>
      </c>
      <c r="AL721" s="31">
        <f>VLOOKUP($A721,kurspris!$A$1:$Q$835,11,FALSE)</f>
        <v>0</v>
      </c>
      <c r="AM721" s="31">
        <f>VLOOKUP($A721,kurspris!$A$1:$Q$835,12,FALSE)</f>
        <v>0</v>
      </c>
      <c r="AN721" s="31">
        <f>VLOOKUP($A721,kurspris!$A$1:$Q$835,13,FALSE)</f>
        <v>0</v>
      </c>
      <c r="AO721" s="31">
        <f>VLOOKUP($A721,kurspris!$A$1:$Q$835,14,FALSE)</f>
        <v>0</v>
      </c>
      <c r="AP721" s="39" t="s">
        <v>2326</v>
      </c>
      <c r="AQ721"/>
      <c r="AR721" s="31">
        <f t="shared" si="391"/>
        <v>0</v>
      </c>
      <c r="AS721" s="255">
        <f t="shared" si="392"/>
        <v>0</v>
      </c>
      <c r="AT721" s="31">
        <f t="shared" si="393"/>
        <v>0</v>
      </c>
      <c r="AU721" s="255">
        <f t="shared" si="394"/>
        <v>0</v>
      </c>
      <c r="AV721" s="31">
        <f t="shared" si="395"/>
        <v>0</v>
      </c>
      <c r="AW721" s="31">
        <f t="shared" si="396"/>
        <v>0</v>
      </c>
      <c r="AX721" s="31">
        <f t="shared" si="397"/>
        <v>0.25</v>
      </c>
      <c r="AY721" s="255">
        <f t="shared" si="398"/>
        <v>0.21249999999999999</v>
      </c>
      <c r="AZ721" s="232">
        <f t="shared" si="399"/>
        <v>0</v>
      </c>
      <c r="BA721" s="255">
        <f t="shared" si="400"/>
        <v>0</v>
      </c>
      <c r="BB721" s="31">
        <f t="shared" si="401"/>
        <v>0</v>
      </c>
      <c r="BC721" s="255">
        <f t="shared" si="402"/>
        <v>0</v>
      </c>
      <c r="BD721" s="31">
        <f t="shared" si="403"/>
        <v>0</v>
      </c>
      <c r="BE721" s="255">
        <f t="shared" si="404"/>
        <v>0</v>
      </c>
      <c r="BF721" s="31">
        <f t="shared" si="405"/>
        <v>0</v>
      </c>
      <c r="BG721" s="255">
        <f t="shared" si="406"/>
        <v>0</v>
      </c>
      <c r="BH721" s="31">
        <f t="shared" si="407"/>
        <v>0</v>
      </c>
      <c r="BI721" s="255">
        <f t="shared" si="408"/>
        <v>0</v>
      </c>
      <c r="BJ721" s="31">
        <f t="shared" si="409"/>
        <v>0</v>
      </c>
      <c r="BK721" s="31">
        <f t="shared" si="410"/>
        <v>0</v>
      </c>
      <c r="BL721" s="255">
        <f t="shared" si="411"/>
        <v>0</v>
      </c>
      <c r="BM721" s="31">
        <f t="shared" si="412"/>
        <v>0</v>
      </c>
      <c r="BN721" s="255">
        <f t="shared" si="413"/>
        <v>0</v>
      </c>
    </row>
    <row r="722" spans="1:66" x14ac:dyDescent="0.25">
      <c r="A722" t="s">
        <v>1570</v>
      </c>
      <c r="B722" s="186" t="str">
        <f>VLOOKUP(A722,kurspris!$A$1:$B$877,2,FALSE)</f>
        <v>Utbildningsvetenskap, undervisning och lärande för förskolan (UK)</v>
      </c>
      <c r="C722"/>
      <c r="D722" t="s">
        <v>484</v>
      </c>
      <c r="E722" t="s">
        <v>1973</v>
      </c>
      <c r="F722" s="39" t="s">
        <v>1930</v>
      </c>
      <c r="G722" t="s">
        <v>1981</v>
      </c>
      <c r="H722" t="s">
        <v>1910</v>
      </c>
      <c r="I722"/>
      <c r="J722"/>
      <c r="K722"/>
      <c r="L722">
        <v>100</v>
      </c>
      <c r="M722">
        <v>8</v>
      </c>
      <c r="N722"/>
      <c r="O722"/>
      <c r="P722" s="31">
        <v>1</v>
      </c>
      <c r="Q722" s="232">
        <f t="shared" si="386"/>
        <v>0.13333333333333333</v>
      </c>
      <c r="R722" s="40">
        <v>0.85</v>
      </c>
      <c r="S722" s="334">
        <f t="shared" si="387"/>
        <v>0.11333333333333333</v>
      </c>
      <c r="T722" s="31">
        <f>VLOOKUP(A722,'Ansvar kurs'!$A$1:$C$1010,2,FALSE)</f>
        <v>2193</v>
      </c>
      <c r="U722" s="31" t="str">
        <f>VLOOKUP(T722,Orgenheter!$A$1:$C$165,2,FALSE)</f>
        <v xml:space="preserve">TUV </v>
      </c>
      <c r="V722" s="31" t="str">
        <f>VLOOKUP(T722,Orgenheter!$A$1:$C$165,3,FALSE)</f>
        <v>Sam</v>
      </c>
      <c r="W722" s="37" t="str">
        <f>VLOOKUP(D722,Program!$A$1:$B$34,2,FALSE)</f>
        <v>Förskollärarprogrammet</v>
      </c>
      <c r="X722" s="42">
        <f>VLOOKUP(A722,kurspris!$A$1:$Q$798,15,FALSE)</f>
        <v>23641</v>
      </c>
      <c r="Y722" s="42">
        <f>VLOOKUP(A722,kurspris!$A$1:$Q$798,16,FALSE)</f>
        <v>28786</v>
      </c>
      <c r="Z722" s="42">
        <f t="shared" si="388"/>
        <v>6414.5466666666662</v>
      </c>
      <c r="AA722" s="42">
        <f>VLOOKUP(A722,kurspris!$A$1:$Q$798,17,FALSE)</f>
        <v>5800</v>
      </c>
      <c r="AB722" s="42">
        <f t="shared" si="389"/>
        <v>773.33333333333337</v>
      </c>
      <c r="AC722" s="42">
        <f t="shared" si="390"/>
        <v>7187.8799999999992</v>
      </c>
      <c r="AD722" s="31">
        <f>VLOOKUP($A722,kurspris!$A$1:$Q$835,3,FALSE)</f>
        <v>0</v>
      </c>
      <c r="AE722" s="31">
        <f>VLOOKUP($A722,kurspris!$A$1:$Q$835,4,FALSE)</f>
        <v>0</v>
      </c>
      <c r="AF722" s="31">
        <f>VLOOKUP($A722,kurspris!$A$1:$Q$835,5,FALSE)</f>
        <v>0</v>
      </c>
      <c r="AG722" s="31">
        <f>VLOOKUP($A722,kurspris!$A$1:$Q$835,6,FALSE)</f>
        <v>1</v>
      </c>
      <c r="AH722" s="31">
        <f>VLOOKUP($A722,kurspris!$A$1:$Q$835,7,FALSE)</f>
        <v>0</v>
      </c>
      <c r="AI722" s="31">
        <f>VLOOKUP($A722,kurspris!$A$1:$Q$835,8,FALSE)</f>
        <v>0</v>
      </c>
      <c r="AJ722" s="31">
        <f>VLOOKUP($A722,kurspris!$A$1:$Q$835,9,FALSE)</f>
        <v>0</v>
      </c>
      <c r="AK722" s="31">
        <f>VLOOKUP($A722,kurspris!$A$1:$Q$835,10,FALSE)</f>
        <v>0</v>
      </c>
      <c r="AL722" s="31">
        <f>VLOOKUP($A722,kurspris!$A$1:$Q$835,11,FALSE)</f>
        <v>0</v>
      </c>
      <c r="AM722" s="31">
        <f>VLOOKUP($A722,kurspris!$A$1:$Q$835,12,FALSE)</f>
        <v>0</v>
      </c>
      <c r="AN722" s="31">
        <f>VLOOKUP($A722,kurspris!$A$1:$Q$835,13,FALSE)</f>
        <v>0</v>
      </c>
      <c r="AO722" s="31">
        <f>VLOOKUP($A722,kurspris!$A$1:$Q$835,14,FALSE)</f>
        <v>0</v>
      </c>
      <c r="AP722" s="39" t="s">
        <v>2204</v>
      </c>
      <c r="AQ722"/>
      <c r="AR722" s="31">
        <f t="shared" si="391"/>
        <v>0</v>
      </c>
      <c r="AS722" s="255">
        <f t="shared" si="392"/>
        <v>0</v>
      </c>
      <c r="AT722" s="31">
        <f t="shared" si="393"/>
        <v>0</v>
      </c>
      <c r="AU722" s="255">
        <f t="shared" si="394"/>
        <v>0</v>
      </c>
      <c r="AV722" s="31">
        <f t="shared" si="395"/>
        <v>0</v>
      </c>
      <c r="AW722" s="31">
        <f t="shared" si="396"/>
        <v>0</v>
      </c>
      <c r="AX722" s="31">
        <f t="shared" si="397"/>
        <v>0.13333333333333333</v>
      </c>
      <c r="AY722" s="255">
        <f t="shared" si="398"/>
        <v>0.11333333333333333</v>
      </c>
      <c r="AZ722" s="232">
        <f t="shared" si="399"/>
        <v>0</v>
      </c>
      <c r="BA722" s="255">
        <f t="shared" si="400"/>
        <v>0</v>
      </c>
      <c r="BB722" s="31">
        <f t="shared" si="401"/>
        <v>0</v>
      </c>
      <c r="BC722" s="255">
        <f t="shared" si="402"/>
        <v>0</v>
      </c>
      <c r="BD722" s="31">
        <f t="shared" si="403"/>
        <v>0</v>
      </c>
      <c r="BE722" s="255">
        <f t="shared" si="404"/>
        <v>0</v>
      </c>
      <c r="BF722" s="31">
        <f t="shared" si="405"/>
        <v>0</v>
      </c>
      <c r="BG722" s="255">
        <f t="shared" si="406"/>
        <v>0</v>
      </c>
      <c r="BH722" s="31">
        <f t="shared" si="407"/>
        <v>0</v>
      </c>
      <c r="BI722" s="255">
        <f t="shared" si="408"/>
        <v>0</v>
      </c>
      <c r="BJ722" s="31">
        <f t="shared" si="409"/>
        <v>0</v>
      </c>
      <c r="BK722" s="31">
        <f t="shared" si="410"/>
        <v>0</v>
      </c>
      <c r="BL722" s="255">
        <f t="shared" si="411"/>
        <v>0</v>
      </c>
      <c r="BM722" s="31">
        <f t="shared" si="412"/>
        <v>0</v>
      </c>
      <c r="BN722" s="255">
        <f t="shared" si="413"/>
        <v>0</v>
      </c>
    </row>
    <row r="723" spans="1:66" x14ac:dyDescent="0.25">
      <c r="A723" t="s">
        <v>1570</v>
      </c>
      <c r="B723" s="186" t="str">
        <f>VLOOKUP(A723,kurspris!$A$1:$B$877,2,FALSE)</f>
        <v>Utbildningsvetenskap, undervisning och lärande för förskolan (UK)</v>
      </c>
      <c r="C723"/>
      <c r="D723" t="s">
        <v>484</v>
      </c>
      <c r="E723" t="s">
        <v>1609</v>
      </c>
      <c r="F723" s="39" t="s">
        <v>1930</v>
      </c>
      <c r="G723" t="s">
        <v>1981</v>
      </c>
      <c r="H723" t="s">
        <v>1910</v>
      </c>
      <c r="I723"/>
      <c r="J723"/>
      <c r="K723"/>
      <c r="L723">
        <v>100</v>
      </c>
      <c r="M723">
        <v>8</v>
      </c>
      <c r="N723"/>
      <c r="O723"/>
      <c r="P723" s="31">
        <v>31</v>
      </c>
      <c r="Q723" s="232">
        <f t="shared" si="386"/>
        <v>4.1333333333333329</v>
      </c>
      <c r="R723" s="40">
        <v>0.85</v>
      </c>
      <c r="S723" s="334">
        <f t="shared" si="387"/>
        <v>3.5133333333333328</v>
      </c>
      <c r="T723" s="31">
        <f>VLOOKUP(A723,'Ansvar kurs'!$A$1:$C$1010,2,FALSE)</f>
        <v>2193</v>
      </c>
      <c r="U723" s="31" t="str">
        <f>VLOOKUP(T723,Orgenheter!$A$1:$C$165,2,FALSE)</f>
        <v xml:space="preserve">TUV </v>
      </c>
      <c r="V723" s="31" t="str">
        <f>VLOOKUP(T723,Orgenheter!$A$1:$C$165,3,FALSE)</f>
        <v>Sam</v>
      </c>
      <c r="W723" s="37" t="str">
        <f>VLOOKUP(D723,Program!$A$1:$B$34,2,FALSE)</f>
        <v>Förskollärarprogrammet</v>
      </c>
      <c r="X723" s="42">
        <f>VLOOKUP(A723,kurspris!$A$1:$Q$798,15,FALSE)</f>
        <v>23641</v>
      </c>
      <c r="Y723" s="42">
        <f>VLOOKUP(A723,kurspris!$A$1:$Q$798,16,FALSE)</f>
        <v>28786</v>
      </c>
      <c r="Z723" s="42">
        <f t="shared" si="388"/>
        <v>198850.94666666663</v>
      </c>
      <c r="AA723" s="42">
        <f>VLOOKUP(A723,kurspris!$A$1:$Q$798,17,FALSE)</f>
        <v>5800</v>
      </c>
      <c r="AB723" s="42">
        <f t="shared" si="389"/>
        <v>23973.333333333332</v>
      </c>
      <c r="AC723" s="42">
        <f t="shared" si="390"/>
        <v>222824.27999999997</v>
      </c>
      <c r="AD723" s="31">
        <f>VLOOKUP($A723,kurspris!$A$1:$Q$835,3,FALSE)</f>
        <v>0</v>
      </c>
      <c r="AE723" s="31">
        <f>VLOOKUP($A723,kurspris!$A$1:$Q$835,4,FALSE)</f>
        <v>0</v>
      </c>
      <c r="AF723" s="31">
        <f>VLOOKUP($A723,kurspris!$A$1:$Q$835,5,FALSE)</f>
        <v>0</v>
      </c>
      <c r="AG723" s="31">
        <f>VLOOKUP($A723,kurspris!$A$1:$Q$835,6,FALSE)</f>
        <v>1</v>
      </c>
      <c r="AH723" s="31">
        <f>VLOOKUP($A723,kurspris!$A$1:$Q$835,7,FALSE)</f>
        <v>0</v>
      </c>
      <c r="AI723" s="31">
        <f>VLOOKUP($A723,kurspris!$A$1:$Q$835,8,FALSE)</f>
        <v>0</v>
      </c>
      <c r="AJ723" s="31">
        <f>VLOOKUP($A723,kurspris!$A$1:$Q$835,9,FALSE)</f>
        <v>0</v>
      </c>
      <c r="AK723" s="31">
        <f>VLOOKUP($A723,kurspris!$A$1:$Q$835,10,FALSE)</f>
        <v>0</v>
      </c>
      <c r="AL723" s="31">
        <f>VLOOKUP($A723,kurspris!$A$1:$Q$835,11,FALSE)</f>
        <v>0</v>
      </c>
      <c r="AM723" s="31">
        <f>VLOOKUP($A723,kurspris!$A$1:$Q$835,12,FALSE)</f>
        <v>0</v>
      </c>
      <c r="AN723" s="31">
        <f>VLOOKUP($A723,kurspris!$A$1:$Q$835,13,FALSE)</f>
        <v>0</v>
      </c>
      <c r="AO723" s="31">
        <f>VLOOKUP($A723,kurspris!$A$1:$Q$835,14,FALSE)</f>
        <v>0</v>
      </c>
      <c r="AP723" s="39" t="s">
        <v>2204</v>
      </c>
      <c r="AQ723"/>
      <c r="AR723" s="31">
        <f t="shared" si="391"/>
        <v>0</v>
      </c>
      <c r="AS723" s="255">
        <f t="shared" si="392"/>
        <v>0</v>
      </c>
      <c r="AT723" s="31">
        <f t="shared" si="393"/>
        <v>0</v>
      </c>
      <c r="AU723" s="255">
        <f t="shared" si="394"/>
        <v>0</v>
      </c>
      <c r="AV723" s="31">
        <f t="shared" si="395"/>
        <v>0</v>
      </c>
      <c r="AW723" s="31">
        <f t="shared" si="396"/>
        <v>0</v>
      </c>
      <c r="AX723" s="31">
        <f t="shared" si="397"/>
        <v>4.1333333333333329</v>
      </c>
      <c r="AY723" s="255">
        <f t="shared" si="398"/>
        <v>3.5133333333333328</v>
      </c>
      <c r="AZ723" s="232">
        <f t="shared" si="399"/>
        <v>0</v>
      </c>
      <c r="BA723" s="255">
        <f t="shared" si="400"/>
        <v>0</v>
      </c>
      <c r="BB723" s="31">
        <f t="shared" si="401"/>
        <v>0</v>
      </c>
      <c r="BC723" s="255">
        <f t="shared" si="402"/>
        <v>0</v>
      </c>
      <c r="BD723" s="31">
        <f t="shared" si="403"/>
        <v>0</v>
      </c>
      <c r="BE723" s="255">
        <f t="shared" si="404"/>
        <v>0</v>
      </c>
      <c r="BF723" s="31">
        <f t="shared" si="405"/>
        <v>0</v>
      </c>
      <c r="BG723" s="255">
        <f t="shared" si="406"/>
        <v>0</v>
      </c>
      <c r="BH723" s="31">
        <f t="shared" si="407"/>
        <v>0</v>
      </c>
      <c r="BI723" s="255">
        <f t="shared" si="408"/>
        <v>0</v>
      </c>
      <c r="BJ723" s="31">
        <f t="shared" si="409"/>
        <v>0</v>
      </c>
      <c r="BK723" s="31">
        <f t="shared" si="410"/>
        <v>0</v>
      </c>
      <c r="BL723" s="255">
        <f t="shared" si="411"/>
        <v>0</v>
      </c>
      <c r="BM723" s="31">
        <f t="shared" si="412"/>
        <v>0</v>
      </c>
      <c r="BN723" s="255">
        <f t="shared" si="413"/>
        <v>0</v>
      </c>
    </row>
    <row r="724" spans="1:66" x14ac:dyDescent="0.25">
      <c r="A724" s="18" t="s">
        <v>1570</v>
      </c>
      <c r="B724" s="186" t="str">
        <f>VLOOKUP(A724,kurspris!$A$1:$B$877,2,FALSE)</f>
        <v>Utbildningsvetenskap, undervisning och lärande för förskolan (UK)</v>
      </c>
      <c r="C724" s="37"/>
      <c r="D724" s="31" t="s">
        <v>484</v>
      </c>
      <c r="E724" s="31" t="s">
        <v>1609</v>
      </c>
      <c r="F724" s="59" t="s">
        <v>1931</v>
      </c>
      <c r="G724" s="31" t="s">
        <v>2282</v>
      </c>
      <c r="L724" s="31">
        <v>100</v>
      </c>
      <c r="M724" s="31">
        <v>8</v>
      </c>
      <c r="P724" s="31">
        <v>4</v>
      </c>
      <c r="Q724" s="232">
        <f t="shared" si="386"/>
        <v>0.53333333333333333</v>
      </c>
      <c r="R724" s="40">
        <v>0.85</v>
      </c>
      <c r="S724" s="334">
        <f t="shared" si="387"/>
        <v>0.45333333333333331</v>
      </c>
      <c r="T724" s="31">
        <f>VLOOKUP(A724,'Ansvar kurs'!$A$1:$C$1010,2,FALSE)</f>
        <v>2193</v>
      </c>
      <c r="U724" s="31" t="str">
        <f>VLOOKUP(T724,Orgenheter!$A$1:$C$165,2,FALSE)</f>
        <v xml:space="preserve">TUV </v>
      </c>
      <c r="V724" s="31" t="str">
        <f>VLOOKUP(T724,Orgenheter!$A$1:$C$165,3,FALSE)</f>
        <v>Sam</v>
      </c>
      <c r="W724" s="37" t="str">
        <f>VLOOKUP(D724,Program!$A$1:$B$34,2,FALSE)</f>
        <v>Förskollärarprogrammet</v>
      </c>
      <c r="X724" s="42">
        <f>VLOOKUP(A724,kurspris!$A$1:$Q$798,15,FALSE)</f>
        <v>23641</v>
      </c>
      <c r="Y724" s="42">
        <f>VLOOKUP(A724,kurspris!$A$1:$Q$798,16,FALSE)</f>
        <v>28786</v>
      </c>
      <c r="Z724" s="42">
        <f t="shared" si="388"/>
        <v>25658.186666666665</v>
      </c>
      <c r="AA724" s="42">
        <f>VLOOKUP(A724,kurspris!$A$1:$Q$798,17,FALSE)</f>
        <v>5800</v>
      </c>
      <c r="AB724" s="42">
        <f t="shared" si="389"/>
        <v>3093.3333333333335</v>
      </c>
      <c r="AC724" s="42">
        <f t="shared" si="390"/>
        <v>28751.519999999997</v>
      </c>
      <c r="AD724" s="31">
        <f>VLOOKUP($A724,kurspris!$A$1:$Q$835,3,FALSE)</f>
        <v>0</v>
      </c>
      <c r="AE724" s="31">
        <f>VLOOKUP($A724,kurspris!$A$1:$Q$835,4,FALSE)</f>
        <v>0</v>
      </c>
      <c r="AF724" s="31">
        <f>VLOOKUP($A724,kurspris!$A$1:$Q$835,5,FALSE)</f>
        <v>0</v>
      </c>
      <c r="AG724" s="31">
        <f>VLOOKUP($A724,kurspris!$A$1:$Q$835,6,FALSE)</f>
        <v>1</v>
      </c>
      <c r="AH724" s="31">
        <f>VLOOKUP($A724,kurspris!$A$1:$Q$835,7,FALSE)</f>
        <v>0</v>
      </c>
      <c r="AI724" s="31">
        <f>VLOOKUP($A724,kurspris!$A$1:$Q$835,8,FALSE)</f>
        <v>0</v>
      </c>
      <c r="AJ724" s="31">
        <f>VLOOKUP($A724,kurspris!$A$1:$Q$835,9,FALSE)</f>
        <v>0</v>
      </c>
      <c r="AK724" s="31">
        <f>VLOOKUP($A724,kurspris!$A$1:$Q$835,10,FALSE)</f>
        <v>0</v>
      </c>
      <c r="AL724" s="31">
        <f>VLOOKUP($A724,kurspris!$A$1:$Q$835,11,FALSE)</f>
        <v>0</v>
      </c>
      <c r="AM724" s="31">
        <f>VLOOKUP($A724,kurspris!$A$1:$Q$835,12,FALSE)</f>
        <v>0</v>
      </c>
      <c r="AN724" s="31">
        <f>VLOOKUP($A724,kurspris!$A$1:$Q$835,13,FALSE)</f>
        <v>0</v>
      </c>
      <c r="AO724" s="31">
        <f>VLOOKUP($A724,kurspris!$A$1:$Q$835,14,FALSE)</f>
        <v>0</v>
      </c>
      <c r="AP724" s="39" t="s">
        <v>2326</v>
      </c>
      <c r="AQ724"/>
      <c r="AR724" s="31">
        <f t="shared" si="391"/>
        <v>0</v>
      </c>
      <c r="AS724" s="255">
        <f t="shared" si="392"/>
        <v>0</v>
      </c>
      <c r="AT724" s="31">
        <f t="shared" si="393"/>
        <v>0</v>
      </c>
      <c r="AU724" s="255">
        <f t="shared" si="394"/>
        <v>0</v>
      </c>
      <c r="AV724" s="31">
        <f t="shared" si="395"/>
        <v>0</v>
      </c>
      <c r="AW724" s="31">
        <f t="shared" si="396"/>
        <v>0</v>
      </c>
      <c r="AX724" s="31">
        <f t="shared" si="397"/>
        <v>0.53333333333333333</v>
      </c>
      <c r="AY724" s="255">
        <f t="shared" si="398"/>
        <v>0.45333333333333331</v>
      </c>
      <c r="AZ724" s="232">
        <f t="shared" si="399"/>
        <v>0</v>
      </c>
      <c r="BA724" s="255">
        <f t="shared" si="400"/>
        <v>0</v>
      </c>
      <c r="BB724" s="31">
        <f t="shared" si="401"/>
        <v>0</v>
      </c>
      <c r="BC724" s="255">
        <f t="shared" si="402"/>
        <v>0</v>
      </c>
      <c r="BD724" s="31">
        <f t="shared" si="403"/>
        <v>0</v>
      </c>
      <c r="BE724" s="255">
        <f t="shared" si="404"/>
        <v>0</v>
      </c>
      <c r="BF724" s="31">
        <f t="shared" si="405"/>
        <v>0</v>
      </c>
      <c r="BG724" s="255">
        <f t="shared" si="406"/>
        <v>0</v>
      </c>
      <c r="BH724" s="31">
        <f t="shared" si="407"/>
        <v>0</v>
      </c>
      <c r="BI724" s="255">
        <f t="shared" si="408"/>
        <v>0</v>
      </c>
      <c r="BJ724" s="31">
        <f t="shared" si="409"/>
        <v>0</v>
      </c>
      <c r="BK724" s="31">
        <f t="shared" si="410"/>
        <v>0</v>
      </c>
      <c r="BL724" s="255">
        <f t="shared" si="411"/>
        <v>0</v>
      </c>
      <c r="BM724" s="31">
        <f t="shared" si="412"/>
        <v>0</v>
      </c>
      <c r="BN724" s="255">
        <f t="shared" si="413"/>
        <v>0</v>
      </c>
    </row>
    <row r="725" spans="1:66" x14ac:dyDescent="0.25">
      <c r="A725" t="s">
        <v>1570</v>
      </c>
      <c r="B725" s="186" t="str">
        <f>VLOOKUP(A725,kurspris!$A$1:$B$877,2,FALSE)</f>
        <v>Utbildningsvetenskap, undervisning och lärande för förskolan (UK)</v>
      </c>
      <c r="C725"/>
      <c r="D725" t="s">
        <v>484</v>
      </c>
      <c r="E725" t="s">
        <v>1608</v>
      </c>
      <c r="F725" s="39" t="s">
        <v>1930</v>
      </c>
      <c r="G725" t="s">
        <v>1981</v>
      </c>
      <c r="H725" t="s">
        <v>1910</v>
      </c>
      <c r="I725"/>
      <c r="J725"/>
      <c r="K725"/>
      <c r="L725">
        <v>100</v>
      </c>
      <c r="M725">
        <v>8</v>
      </c>
      <c r="N725"/>
      <c r="O725"/>
      <c r="P725" s="31">
        <v>3</v>
      </c>
      <c r="Q725" s="232">
        <f t="shared" si="386"/>
        <v>0.4</v>
      </c>
      <c r="R725" s="40">
        <v>0.85</v>
      </c>
      <c r="S725" s="334">
        <f t="shared" si="387"/>
        <v>0.34</v>
      </c>
      <c r="T725" s="31">
        <f>VLOOKUP(A725,'Ansvar kurs'!$A$1:$C$1010,2,FALSE)</f>
        <v>2193</v>
      </c>
      <c r="U725" s="31" t="str">
        <f>VLOOKUP(T725,Orgenheter!$A$1:$C$165,2,FALSE)</f>
        <v xml:space="preserve">TUV </v>
      </c>
      <c r="V725" s="31" t="str">
        <f>VLOOKUP(T725,Orgenheter!$A$1:$C$165,3,FALSE)</f>
        <v>Sam</v>
      </c>
      <c r="W725" s="37" t="str">
        <f>VLOOKUP(D725,Program!$A$1:$B$34,2,FALSE)</f>
        <v>Förskollärarprogrammet</v>
      </c>
      <c r="X725" s="42">
        <f>VLOOKUP(A725,kurspris!$A$1:$Q$798,15,FALSE)</f>
        <v>23641</v>
      </c>
      <c r="Y725" s="42">
        <f>VLOOKUP(A725,kurspris!$A$1:$Q$798,16,FALSE)</f>
        <v>28786</v>
      </c>
      <c r="Z725" s="42">
        <f t="shared" si="388"/>
        <v>19243.64</v>
      </c>
      <c r="AA725" s="42">
        <f>VLOOKUP(A725,kurspris!$A$1:$Q$798,17,FALSE)</f>
        <v>5800</v>
      </c>
      <c r="AB725" s="42">
        <f t="shared" si="389"/>
        <v>2320</v>
      </c>
      <c r="AC725" s="42">
        <f t="shared" si="390"/>
        <v>21563.64</v>
      </c>
      <c r="AD725" s="31">
        <f>VLOOKUP($A725,kurspris!$A$1:$Q$835,3,FALSE)</f>
        <v>0</v>
      </c>
      <c r="AE725" s="31">
        <f>VLOOKUP($A725,kurspris!$A$1:$Q$835,4,FALSE)</f>
        <v>0</v>
      </c>
      <c r="AF725" s="31">
        <f>VLOOKUP($A725,kurspris!$A$1:$Q$835,5,FALSE)</f>
        <v>0</v>
      </c>
      <c r="AG725" s="31">
        <f>VLOOKUP($A725,kurspris!$A$1:$Q$835,6,FALSE)</f>
        <v>1</v>
      </c>
      <c r="AH725" s="31">
        <f>VLOOKUP($A725,kurspris!$A$1:$Q$835,7,FALSE)</f>
        <v>0</v>
      </c>
      <c r="AI725" s="31">
        <f>VLOOKUP($A725,kurspris!$A$1:$Q$835,8,FALSE)</f>
        <v>0</v>
      </c>
      <c r="AJ725" s="31">
        <f>VLOOKUP($A725,kurspris!$A$1:$Q$835,9,FALSE)</f>
        <v>0</v>
      </c>
      <c r="AK725" s="31">
        <f>VLOOKUP($A725,kurspris!$A$1:$Q$835,10,FALSE)</f>
        <v>0</v>
      </c>
      <c r="AL725" s="31">
        <f>VLOOKUP($A725,kurspris!$A$1:$Q$835,11,FALSE)</f>
        <v>0</v>
      </c>
      <c r="AM725" s="31">
        <f>VLOOKUP($A725,kurspris!$A$1:$Q$835,12,FALSE)</f>
        <v>0</v>
      </c>
      <c r="AN725" s="31">
        <f>VLOOKUP($A725,kurspris!$A$1:$Q$835,13,FALSE)</f>
        <v>0</v>
      </c>
      <c r="AO725" s="31">
        <f>VLOOKUP($A725,kurspris!$A$1:$Q$835,14,FALSE)</f>
        <v>0</v>
      </c>
      <c r="AP725" s="39" t="s">
        <v>2204</v>
      </c>
      <c r="AQ725"/>
      <c r="AR725" s="31">
        <f t="shared" si="391"/>
        <v>0</v>
      </c>
      <c r="AS725" s="255">
        <f t="shared" si="392"/>
        <v>0</v>
      </c>
      <c r="AT725" s="31">
        <f t="shared" si="393"/>
        <v>0</v>
      </c>
      <c r="AU725" s="255">
        <f t="shared" si="394"/>
        <v>0</v>
      </c>
      <c r="AV725" s="31">
        <f t="shared" si="395"/>
        <v>0</v>
      </c>
      <c r="AW725" s="31">
        <f t="shared" si="396"/>
        <v>0</v>
      </c>
      <c r="AX725" s="31">
        <f t="shared" si="397"/>
        <v>0.4</v>
      </c>
      <c r="AY725" s="255">
        <f t="shared" si="398"/>
        <v>0.34</v>
      </c>
      <c r="AZ725" s="232">
        <f t="shared" si="399"/>
        <v>0</v>
      </c>
      <c r="BA725" s="255">
        <f t="shared" si="400"/>
        <v>0</v>
      </c>
      <c r="BB725" s="31">
        <f t="shared" si="401"/>
        <v>0</v>
      </c>
      <c r="BC725" s="255">
        <f t="shared" si="402"/>
        <v>0</v>
      </c>
      <c r="BD725" s="31">
        <f t="shared" si="403"/>
        <v>0</v>
      </c>
      <c r="BE725" s="255">
        <f t="shared" si="404"/>
        <v>0</v>
      </c>
      <c r="BF725" s="31">
        <f t="shared" si="405"/>
        <v>0</v>
      </c>
      <c r="BG725" s="255">
        <f t="shared" si="406"/>
        <v>0</v>
      </c>
      <c r="BH725" s="31">
        <f t="shared" si="407"/>
        <v>0</v>
      </c>
      <c r="BI725" s="255">
        <f t="shared" si="408"/>
        <v>0</v>
      </c>
      <c r="BJ725" s="31">
        <f t="shared" si="409"/>
        <v>0</v>
      </c>
      <c r="BK725" s="31">
        <f t="shared" si="410"/>
        <v>0</v>
      </c>
      <c r="BL725" s="255">
        <f t="shared" si="411"/>
        <v>0</v>
      </c>
      <c r="BM725" s="31">
        <f t="shared" si="412"/>
        <v>0</v>
      </c>
      <c r="BN725" s="255">
        <f t="shared" si="413"/>
        <v>0</v>
      </c>
    </row>
    <row r="726" spans="1:66" x14ac:dyDescent="0.25">
      <c r="A726" s="18" t="s">
        <v>1570</v>
      </c>
      <c r="B726" s="186" t="str">
        <f>VLOOKUP(A726,kurspris!$A$1:$B$877,2,FALSE)</f>
        <v>Utbildningsvetenskap, undervisning och lärande för förskolan (UK)</v>
      </c>
      <c r="C726" s="37"/>
      <c r="D726" s="31" t="s">
        <v>484</v>
      </c>
      <c r="E726" s="31" t="s">
        <v>1787</v>
      </c>
      <c r="F726" s="59" t="s">
        <v>1931</v>
      </c>
      <c r="G726" s="31" t="s">
        <v>2282</v>
      </c>
      <c r="H726" s="31" t="s">
        <v>1910</v>
      </c>
      <c r="L726" s="31">
        <v>100</v>
      </c>
      <c r="M726" s="31">
        <v>8</v>
      </c>
      <c r="P726" s="31">
        <v>23</v>
      </c>
      <c r="Q726" s="232">
        <f t="shared" si="386"/>
        <v>3.0666666666666664</v>
      </c>
      <c r="R726" s="40">
        <v>0.85</v>
      </c>
      <c r="S726" s="334">
        <f t="shared" si="387"/>
        <v>2.6066666666666665</v>
      </c>
      <c r="T726" s="31">
        <f>VLOOKUP(A726,'Ansvar kurs'!$A$1:$C$1010,2,FALSE)</f>
        <v>2193</v>
      </c>
      <c r="U726" s="31" t="str">
        <f>VLOOKUP(T726,Orgenheter!$A$1:$C$165,2,FALSE)</f>
        <v xml:space="preserve">TUV </v>
      </c>
      <c r="V726" s="31" t="str">
        <f>VLOOKUP(T726,Orgenheter!$A$1:$C$165,3,FALSE)</f>
        <v>Sam</v>
      </c>
      <c r="W726" s="37" t="str">
        <f>VLOOKUP(D726,Program!$A$1:$B$34,2,FALSE)</f>
        <v>Förskollärarprogrammet</v>
      </c>
      <c r="X726" s="42">
        <f>VLOOKUP(A726,kurspris!$A$1:$Q$798,15,FALSE)</f>
        <v>23641</v>
      </c>
      <c r="Y726" s="42">
        <f>VLOOKUP(A726,kurspris!$A$1:$Q$798,16,FALSE)</f>
        <v>28786</v>
      </c>
      <c r="Z726" s="42">
        <f t="shared" si="388"/>
        <v>147534.57333333333</v>
      </c>
      <c r="AA726" s="42">
        <f>VLOOKUP(A726,kurspris!$A$1:$Q$798,17,FALSE)</f>
        <v>5800</v>
      </c>
      <c r="AB726" s="42">
        <f t="shared" si="389"/>
        <v>17786.666666666664</v>
      </c>
      <c r="AC726" s="42">
        <f t="shared" si="390"/>
        <v>165321.24</v>
      </c>
      <c r="AD726" s="31">
        <f>VLOOKUP($A726,kurspris!$A$1:$Q$835,3,FALSE)</f>
        <v>0</v>
      </c>
      <c r="AE726" s="31">
        <f>VLOOKUP($A726,kurspris!$A$1:$Q$835,4,FALSE)</f>
        <v>0</v>
      </c>
      <c r="AF726" s="31">
        <f>VLOOKUP($A726,kurspris!$A$1:$Q$835,5,FALSE)</f>
        <v>0</v>
      </c>
      <c r="AG726" s="31">
        <f>VLOOKUP($A726,kurspris!$A$1:$Q$835,6,FALSE)</f>
        <v>1</v>
      </c>
      <c r="AH726" s="31">
        <f>VLOOKUP($A726,kurspris!$A$1:$Q$835,7,FALSE)</f>
        <v>0</v>
      </c>
      <c r="AI726" s="31">
        <f>VLOOKUP($A726,kurspris!$A$1:$Q$835,8,FALSE)</f>
        <v>0</v>
      </c>
      <c r="AJ726" s="31">
        <f>VLOOKUP($A726,kurspris!$A$1:$Q$835,9,FALSE)</f>
        <v>0</v>
      </c>
      <c r="AK726" s="31">
        <f>VLOOKUP($A726,kurspris!$A$1:$Q$835,10,FALSE)</f>
        <v>0</v>
      </c>
      <c r="AL726" s="31">
        <f>VLOOKUP($A726,kurspris!$A$1:$Q$835,11,FALSE)</f>
        <v>0</v>
      </c>
      <c r="AM726" s="31">
        <f>VLOOKUP($A726,kurspris!$A$1:$Q$835,12,FALSE)</f>
        <v>0</v>
      </c>
      <c r="AN726" s="31">
        <f>VLOOKUP($A726,kurspris!$A$1:$Q$835,13,FALSE)</f>
        <v>0</v>
      </c>
      <c r="AO726" s="31">
        <f>VLOOKUP($A726,kurspris!$A$1:$Q$835,14,FALSE)</f>
        <v>0</v>
      </c>
      <c r="AP726" s="39" t="s">
        <v>2326</v>
      </c>
      <c r="AQ726"/>
      <c r="AR726" s="31">
        <f t="shared" si="391"/>
        <v>0</v>
      </c>
      <c r="AS726" s="255">
        <f t="shared" si="392"/>
        <v>0</v>
      </c>
      <c r="AT726" s="31">
        <f t="shared" si="393"/>
        <v>0</v>
      </c>
      <c r="AU726" s="255">
        <f t="shared" si="394"/>
        <v>0</v>
      </c>
      <c r="AV726" s="31">
        <f t="shared" si="395"/>
        <v>0</v>
      </c>
      <c r="AW726" s="31">
        <f t="shared" si="396"/>
        <v>0</v>
      </c>
      <c r="AX726" s="31">
        <f t="shared" si="397"/>
        <v>3.0666666666666664</v>
      </c>
      <c r="AY726" s="255">
        <f t="shared" si="398"/>
        <v>2.6066666666666665</v>
      </c>
      <c r="AZ726" s="232">
        <f t="shared" si="399"/>
        <v>0</v>
      </c>
      <c r="BA726" s="255">
        <f t="shared" si="400"/>
        <v>0</v>
      </c>
      <c r="BB726" s="31">
        <f t="shared" si="401"/>
        <v>0</v>
      </c>
      <c r="BC726" s="255">
        <f t="shared" si="402"/>
        <v>0</v>
      </c>
      <c r="BD726" s="31">
        <f t="shared" si="403"/>
        <v>0</v>
      </c>
      <c r="BE726" s="255">
        <f t="shared" si="404"/>
        <v>0</v>
      </c>
      <c r="BF726" s="31">
        <f t="shared" si="405"/>
        <v>0</v>
      </c>
      <c r="BG726" s="255">
        <f t="shared" si="406"/>
        <v>0</v>
      </c>
      <c r="BH726" s="31">
        <f t="shared" si="407"/>
        <v>0</v>
      </c>
      <c r="BI726" s="255">
        <f t="shared" si="408"/>
        <v>0</v>
      </c>
      <c r="BJ726" s="31">
        <f t="shared" si="409"/>
        <v>0</v>
      </c>
      <c r="BK726" s="31">
        <f t="shared" si="410"/>
        <v>0</v>
      </c>
      <c r="BL726" s="255">
        <f t="shared" si="411"/>
        <v>0</v>
      </c>
      <c r="BM726" s="31">
        <f t="shared" si="412"/>
        <v>0</v>
      </c>
      <c r="BN726" s="255">
        <f t="shared" si="413"/>
        <v>0</v>
      </c>
    </row>
    <row r="727" spans="1:66" x14ac:dyDescent="0.25">
      <c r="A727" s="18" t="s">
        <v>1570</v>
      </c>
      <c r="B727" s="186" t="str">
        <f>VLOOKUP(A727,kurspris!$A$1:$B$877,2,FALSE)</f>
        <v>Utbildningsvetenskap, undervisning och lärande för förskolan (UK)</v>
      </c>
      <c r="C727" s="37"/>
      <c r="D727" s="31" t="s">
        <v>484</v>
      </c>
      <c r="E727" s="31" t="s">
        <v>1787</v>
      </c>
      <c r="F727" s="59" t="s">
        <v>1931</v>
      </c>
      <c r="G727" s="31" t="s">
        <v>2282</v>
      </c>
      <c r="H727" s="31" t="s">
        <v>2327</v>
      </c>
      <c r="L727" s="31">
        <v>100</v>
      </c>
      <c r="M727" s="31">
        <v>8</v>
      </c>
      <c r="P727" s="31">
        <v>16</v>
      </c>
      <c r="Q727" s="232">
        <f t="shared" si="386"/>
        <v>2.1333333333333333</v>
      </c>
      <c r="R727" s="40">
        <v>0.85</v>
      </c>
      <c r="S727" s="334">
        <f t="shared" si="387"/>
        <v>1.8133333333333332</v>
      </c>
      <c r="T727" s="31">
        <f>VLOOKUP(A727,'Ansvar kurs'!$A$1:$C$1010,2,FALSE)</f>
        <v>2193</v>
      </c>
      <c r="U727" s="31" t="str">
        <f>VLOOKUP(T727,Orgenheter!$A$1:$C$165,2,FALSE)</f>
        <v xml:space="preserve">TUV </v>
      </c>
      <c r="V727" s="31" t="str">
        <f>VLOOKUP(T727,Orgenheter!$A$1:$C$165,3,FALSE)</f>
        <v>Sam</v>
      </c>
      <c r="W727" s="37" t="str">
        <f>VLOOKUP(D727,Program!$A$1:$B$34,2,FALSE)</f>
        <v>Förskollärarprogrammet</v>
      </c>
      <c r="X727" s="42">
        <f>VLOOKUP(A727,kurspris!$A$1:$Q$798,15,FALSE)</f>
        <v>23641</v>
      </c>
      <c r="Y727" s="42">
        <f>VLOOKUP(A727,kurspris!$A$1:$Q$798,16,FALSE)</f>
        <v>28786</v>
      </c>
      <c r="Z727" s="42">
        <f t="shared" si="388"/>
        <v>102632.74666666666</v>
      </c>
      <c r="AA727" s="42">
        <f>VLOOKUP(A727,kurspris!$A$1:$Q$798,17,FALSE)</f>
        <v>5800</v>
      </c>
      <c r="AB727" s="42">
        <f t="shared" si="389"/>
        <v>12373.333333333334</v>
      </c>
      <c r="AC727" s="42">
        <f t="shared" si="390"/>
        <v>115006.07999999999</v>
      </c>
      <c r="AD727" s="31">
        <f>VLOOKUP($A727,kurspris!$A$1:$Q$835,3,FALSE)</f>
        <v>0</v>
      </c>
      <c r="AE727" s="31">
        <f>VLOOKUP($A727,kurspris!$A$1:$Q$835,4,FALSE)</f>
        <v>0</v>
      </c>
      <c r="AF727" s="31">
        <f>VLOOKUP($A727,kurspris!$A$1:$Q$835,5,FALSE)</f>
        <v>0</v>
      </c>
      <c r="AG727" s="31">
        <f>VLOOKUP($A727,kurspris!$A$1:$Q$835,6,FALSE)</f>
        <v>1</v>
      </c>
      <c r="AH727" s="31">
        <f>VLOOKUP($A727,kurspris!$A$1:$Q$835,7,FALSE)</f>
        <v>0</v>
      </c>
      <c r="AI727" s="31">
        <f>VLOOKUP($A727,kurspris!$A$1:$Q$835,8,FALSE)</f>
        <v>0</v>
      </c>
      <c r="AJ727" s="31">
        <f>VLOOKUP($A727,kurspris!$A$1:$Q$835,9,FALSE)</f>
        <v>0</v>
      </c>
      <c r="AK727" s="31">
        <f>VLOOKUP($A727,kurspris!$A$1:$Q$835,10,FALSE)</f>
        <v>0</v>
      </c>
      <c r="AL727" s="31">
        <f>VLOOKUP($A727,kurspris!$A$1:$Q$835,11,FALSE)</f>
        <v>0</v>
      </c>
      <c r="AM727" s="31">
        <f>VLOOKUP($A727,kurspris!$A$1:$Q$835,12,FALSE)</f>
        <v>0</v>
      </c>
      <c r="AN727" s="31">
        <f>VLOOKUP($A727,kurspris!$A$1:$Q$835,13,FALSE)</f>
        <v>0</v>
      </c>
      <c r="AO727" s="31">
        <f>VLOOKUP($A727,kurspris!$A$1:$Q$835,14,FALSE)</f>
        <v>0</v>
      </c>
      <c r="AP727" s="39" t="s">
        <v>2326</v>
      </c>
      <c r="AQ727"/>
      <c r="AR727" s="31">
        <f t="shared" si="391"/>
        <v>0</v>
      </c>
      <c r="AS727" s="255">
        <f t="shared" si="392"/>
        <v>0</v>
      </c>
      <c r="AT727" s="31">
        <f t="shared" si="393"/>
        <v>0</v>
      </c>
      <c r="AU727" s="255">
        <f t="shared" si="394"/>
        <v>0</v>
      </c>
      <c r="AV727" s="31">
        <f t="shared" si="395"/>
        <v>0</v>
      </c>
      <c r="AW727" s="31">
        <f t="shared" si="396"/>
        <v>0</v>
      </c>
      <c r="AX727" s="31">
        <f t="shared" si="397"/>
        <v>2.1333333333333333</v>
      </c>
      <c r="AY727" s="255">
        <f t="shared" si="398"/>
        <v>1.8133333333333332</v>
      </c>
      <c r="AZ727" s="232">
        <f t="shared" si="399"/>
        <v>0</v>
      </c>
      <c r="BA727" s="255">
        <f t="shared" si="400"/>
        <v>0</v>
      </c>
      <c r="BB727" s="31">
        <f t="shared" si="401"/>
        <v>0</v>
      </c>
      <c r="BC727" s="255">
        <f t="shared" si="402"/>
        <v>0</v>
      </c>
      <c r="BD727" s="31">
        <f t="shared" si="403"/>
        <v>0</v>
      </c>
      <c r="BE727" s="255">
        <f t="shared" si="404"/>
        <v>0</v>
      </c>
      <c r="BF727" s="31">
        <f t="shared" si="405"/>
        <v>0</v>
      </c>
      <c r="BG727" s="255">
        <f t="shared" si="406"/>
        <v>0</v>
      </c>
      <c r="BH727" s="31">
        <f t="shared" si="407"/>
        <v>0</v>
      </c>
      <c r="BI727" s="255">
        <f t="shared" si="408"/>
        <v>0</v>
      </c>
      <c r="BJ727" s="31">
        <f t="shared" si="409"/>
        <v>0</v>
      </c>
      <c r="BK727" s="31">
        <f t="shared" si="410"/>
        <v>0</v>
      </c>
      <c r="BL727" s="255">
        <f t="shared" si="411"/>
        <v>0</v>
      </c>
      <c r="BM727" s="31">
        <f t="shared" si="412"/>
        <v>0</v>
      </c>
      <c r="BN727" s="255">
        <f t="shared" si="413"/>
        <v>0</v>
      </c>
    </row>
    <row r="728" spans="1:66" x14ac:dyDescent="0.25">
      <c r="A728" t="s">
        <v>1567</v>
      </c>
      <c r="B728" s="186" t="str">
        <f>VLOOKUP(A728,kurspris!$A$1:$B$877,2,FALSE)</f>
        <v>Specialpedagogik för förskolan (UK)</v>
      </c>
      <c r="C728"/>
      <c r="D728" t="s">
        <v>484</v>
      </c>
      <c r="E728" t="s">
        <v>1973</v>
      </c>
      <c r="F728" s="39" t="s">
        <v>1930</v>
      </c>
      <c r="G728" t="s">
        <v>1982</v>
      </c>
      <c r="H728" t="s">
        <v>1910</v>
      </c>
      <c r="I728"/>
      <c r="J728"/>
      <c r="K728"/>
      <c r="L728">
        <v>100</v>
      </c>
      <c r="M728">
        <v>6</v>
      </c>
      <c r="N728"/>
      <c r="O728"/>
      <c r="P728" s="31">
        <v>1</v>
      </c>
      <c r="Q728" s="232">
        <f t="shared" si="386"/>
        <v>0.1</v>
      </c>
      <c r="R728" s="40">
        <v>0.85</v>
      </c>
      <c r="S728" s="334">
        <f t="shared" si="387"/>
        <v>8.5000000000000006E-2</v>
      </c>
      <c r="T728" s="31">
        <f>VLOOKUP(A728,'Ansvar kurs'!$A$1:$C$1010,2,FALSE)</f>
        <v>2193</v>
      </c>
      <c r="U728" s="31" t="str">
        <f>VLOOKUP(T728,Orgenheter!$A$1:$C$165,2,FALSE)</f>
        <v xml:space="preserve">TUV </v>
      </c>
      <c r="V728" s="31" t="str">
        <f>VLOOKUP(T728,Orgenheter!$A$1:$C$165,3,FALSE)</f>
        <v>Sam</v>
      </c>
      <c r="W728" s="37" t="str">
        <f>VLOOKUP(D728,Program!$A$1:$B$34,2,FALSE)</f>
        <v>Förskollärarprogrammet</v>
      </c>
      <c r="X728" s="42">
        <f>VLOOKUP(A728,kurspris!$A$1:$Q$798,15,FALSE)</f>
        <v>23641</v>
      </c>
      <c r="Y728" s="42">
        <f>VLOOKUP(A728,kurspris!$A$1:$Q$798,16,FALSE)</f>
        <v>28786</v>
      </c>
      <c r="Z728" s="42">
        <f t="shared" si="388"/>
        <v>4810.91</v>
      </c>
      <c r="AA728" s="42">
        <f>VLOOKUP(A728,kurspris!$A$1:$Q$798,17,FALSE)</f>
        <v>5800</v>
      </c>
      <c r="AB728" s="42">
        <f t="shared" si="389"/>
        <v>580</v>
      </c>
      <c r="AC728" s="42">
        <f t="shared" si="390"/>
        <v>5390.91</v>
      </c>
      <c r="AD728" s="31">
        <f>VLOOKUP($A728,kurspris!$A$1:$Q$835,3,FALSE)</f>
        <v>0</v>
      </c>
      <c r="AE728" s="31">
        <f>VLOOKUP($A728,kurspris!$A$1:$Q$835,4,FALSE)</f>
        <v>0</v>
      </c>
      <c r="AF728" s="31">
        <f>VLOOKUP($A728,kurspris!$A$1:$Q$835,5,FALSE)</f>
        <v>0</v>
      </c>
      <c r="AG728" s="31">
        <f>VLOOKUP($A728,kurspris!$A$1:$Q$835,6,FALSE)</f>
        <v>1</v>
      </c>
      <c r="AH728" s="31">
        <f>VLOOKUP($A728,kurspris!$A$1:$Q$835,7,FALSE)</f>
        <v>0</v>
      </c>
      <c r="AI728" s="31">
        <f>VLOOKUP($A728,kurspris!$A$1:$Q$835,8,FALSE)</f>
        <v>0</v>
      </c>
      <c r="AJ728" s="31">
        <f>VLOOKUP($A728,kurspris!$A$1:$Q$835,9,FALSE)</f>
        <v>0</v>
      </c>
      <c r="AK728" s="31">
        <f>VLOOKUP($A728,kurspris!$A$1:$Q$835,10,FALSE)</f>
        <v>0</v>
      </c>
      <c r="AL728" s="31">
        <f>VLOOKUP($A728,kurspris!$A$1:$Q$835,11,FALSE)</f>
        <v>0</v>
      </c>
      <c r="AM728" s="31">
        <f>VLOOKUP($A728,kurspris!$A$1:$Q$835,12,FALSE)</f>
        <v>0</v>
      </c>
      <c r="AN728" s="31">
        <f>VLOOKUP($A728,kurspris!$A$1:$Q$835,13,FALSE)</f>
        <v>0</v>
      </c>
      <c r="AO728" s="31">
        <f>VLOOKUP($A728,kurspris!$A$1:$Q$835,14,FALSE)</f>
        <v>0</v>
      </c>
      <c r="AP728" s="39" t="s">
        <v>2235</v>
      </c>
      <c r="AQ728"/>
      <c r="AR728" s="31">
        <f t="shared" si="391"/>
        <v>0</v>
      </c>
      <c r="AS728" s="255">
        <f t="shared" si="392"/>
        <v>0</v>
      </c>
      <c r="AT728" s="31">
        <f t="shared" si="393"/>
        <v>0</v>
      </c>
      <c r="AU728" s="255">
        <f t="shared" si="394"/>
        <v>0</v>
      </c>
      <c r="AV728" s="31">
        <f t="shared" si="395"/>
        <v>0</v>
      </c>
      <c r="AW728" s="31">
        <f t="shared" si="396"/>
        <v>0</v>
      </c>
      <c r="AX728" s="31">
        <f t="shared" si="397"/>
        <v>0.1</v>
      </c>
      <c r="AY728" s="255">
        <f t="shared" si="398"/>
        <v>8.5000000000000006E-2</v>
      </c>
      <c r="AZ728" s="232">
        <f t="shared" si="399"/>
        <v>0</v>
      </c>
      <c r="BA728" s="255">
        <f t="shared" si="400"/>
        <v>0</v>
      </c>
      <c r="BB728" s="31">
        <f t="shared" si="401"/>
        <v>0</v>
      </c>
      <c r="BC728" s="255">
        <f t="shared" si="402"/>
        <v>0</v>
      </c>
      <c r="BD728" s="31">
        <f t="shared" si="403"/>
        <v>0</v>
      </c>
      <c r="BE728" s="255">
        <f t="shared" si="404"/>
        <v>0</v>
      </c>
      <c r="BF728" s="31">
        <f t="shared" si="405"/>
        <v>0</v>
      </c>
      <c r="BG728" s="255">
        <f t="shared" si="406"/>
        <v>0</v>
      </c>
      <c r="BH728" s="31">
        <f t="shared" si="407"/>
        <v>0</v>
      </c>
      <c r="BI728" s="255">
        <f t="shared" si="408"/>
        <v>0</v>
      </c>
      <c r="BJ728" s="31">
        <f t="shared" si="409"/>
        <v>0</v>
      </c>
      <c r="BK728" s="31">
        <f t="shared" si="410"/>
        <v>0</v>
      </c>
      <c r="BL728" s="255">
        <f t="shared" si="411"/>
        <v>0</v>
      </c>
      <c r="BM728" s="31">
        <f t="shared" si="412"/>
        <v>0</v>
      </c>
      <c r="BN728" s="255">
        <f t="shared" si="413"/>
        <v>0</v>
      </c>
    </row>
    <row r="729" spans="1:66" x14ac:dyDescent="0.25">
      <c r="A729" t="s">
        <v>1567</v>
      </c>
      <c r="B729" s="186" t="str">
        <f>VLOOKUP(A729,kurspris!$A$1:$B$877,2,FALSE)</f>
        <v>Specialpedagogik för förskolan (UK)</v>
      </c>
      <c r="C729"/>
      <c r="D729" t="s">
        <v>484</v>
      </c>
      <c r="E729" t="s">
        <v>1609</v>
      </c>
      <c r="F729" s="39" t="s">
        <v>1930</v>
      </c>
      <c r="G729" t="s">
        <v>1982</v>
      </c>
      <c r="H729" t="s">
        <v>1910</v>
      </c>
      <c r="I729"/>
      <c r="J729"/>
      <c r="K729"/>
      <c r="L729">
        <v>100</v>
      </c>
      <c r="M729">
        <v>6</v>
      </c>
      <c r="N729"/>
      <c r="O729"/>
      <c r="P729" s="31">
        <v>34</v>
      </c>
      <c r="Q729" s="232">
        <f t="shared" si="386"/>
        <v>3.4000000000000004</v>
      </c>
      <c r="R729" s="40">
        <v>0.85</v>
      </c>
      <c r="S729" s="334">
        <f t="shared" si="387"/>
        <v>2.89</v>
      </c>
      <c r="T729" s="31">
        <f>VLOOKUP(A729,'Ansvar kurs'!$A$1:$C$1010,2,FALSE)</f>
        <v>2193</v>
      </c>
      <c r="U729" s="31" t="str">
        <f>VLOOKUP(T729,Orgenheter!$A$1:$C$165,2,FALSE)</f>
        <v xml:space="preserve">TUV </v>
      </c>
      <c r="V729" s="31" t="str">
        <f>VLOOKUP(T729,Orgenheter!$A$1:$C$165,3,FALSE)</f>
        <v>Sam</v>
      </c>
      <c r="W729" s="37" t="str">
        <f>VLOOKUP(D729,Program!$A$1:$B$34,2,FALSE)</f>
        <v>Förskollärarprogrammet</v>
      </c>
      <c r="X729" s="42">
        <f>VLOOKUP(A729,kurspris!$A$1:$Q$798,15,FALSE)</f>
        <v>23641</v>
      </c>
      <c r="Y729" s="42">
        <f>VLOOKUP(A729,kurspris!$A$1:$Q$798,16,FALSE)</f>
        <v>28786</v>
      </c>
      <c r="Z729" s="42">
        <f t="shared" si="388"/>
        <v>163570.94</v>
      </c>
      <c r="AA729" s="42">
        <f>VLOOKUP(A729,kurspris!$A$1:$Q$798,17,FALSE)</f>
        <v>5800</v>
      </c>
      <c r="AB729" s="42">
        <f t="shared" si="389"/>
        <v>19720.000000000004</v>
      </c>
      <c r="AC729" s="42">
        <f t="shared" si="390"/>
        <v>183290.94</v>
      </c>
      <c r="AD729" s="31">
        <f>VLOOKUP($A729,kurspris!$A$1:$Q$835,3,FALSE)</f>
        <v>0</v>
      </c>
      <c r="AE729" s="31">
        <f>VLOOKUP($A729,kurspris!$A$1:$Q$835,4,FALSE)</f>
        <v>0</v>
      </c>
      <c r="AF729" s="31">
        <f>VLOOKUP($A729,kurspris!$A$1:$Q$835,5,FALSE)</f>
        <v>0</v>
      </c>
      <c r="AG729" s="31">
        <f>VLOOKUP($A729,kurspris!$A$1:$Q$835,6,FALSE)</f>
        <v>1</v>
      </c>
      <c r="AH729" s="31">
        <f>VLOOKUP($A729,kurspris!$A$1:$Q$835,7,FALSE)</f>
        <v>0</v>
      </c>
      <c r="AI729" s="31">
        <f>VLOOKUP($A729,kurspris!$A$1:$Q$835,8,FALSE)</f>
        <v>0</v>
      </c>
      <c r="AJ729" s="31">
        <f>VLOOKUP($A729,kurspris!$A$1:$Q$835,9,FALSE)</f>
        <v>0</v>
      </c>
      <c r="AK729" s="31">
        <f>VLOOKUP($A729,kurspris!$A$1:$Q$835,10,FALSE)</f>
        <v>0</v>
      </c>
      <c r="AL729" s="31">
        <f>VLOOKUP($A729,kurspris!$A$1:$Q$835,11,FALSE)</f>
        <v>0</v>
      </c>
      <c r="AM729" s="31">
        <f>VLOOKUP($A729,kurspris!$A$1:$Q$835,12,FALSE)</f>
        <v>0</v>
      </c>
      <c r="AN729" s="31">
        <f>VLOOKUP($A729,kurspris!$A$1:$Q$835,13,FALSE)</f>
        <v>0</v>
      </c>
      <c r="AO729" s="31">
        <f>VLOOKUP($A729,kurspris!$A$1:$Q$835,14,FALSE)</f>
        <v>0</v>
      </c>
      <c r="AP729" s="39" t="s">
        <v>2235</v>
      </c>
      <c r="AQ729"/>
      <c r="AR729" s="31">
        <f t="shared" si="391"/>
        <v>0</v>
      </c>
      <c r="AS729" s="255">
        <f t="shared" si="392"/>
        <v>0</v>
      </c>
      <c r="AT729" s="31">
        <f t="shared" si="393"/>
        <v>0</v>
      </c>
      <c r="AU729" s="255">
        <f t="shared" si="394"/>
        <v>0</v>
      </c>
      <c r="AV729" s="31">
        <f t="shared" si="395"/>
        <v>0</v>
      </c>
      <c r="AW729" s="31">
        <f t="shared" si="396"/>
        <v>0</v>
      </c>
      <c r="AX729" s="31">
        <f t="shared" si="397"/>
        <v>3.4000000000000004</v>
      </c>
      <c r="AY729" s="255">
        <f t="shared" si="398"/>
        <v>2.89</v>
      </c>
      <c r="AZ729" s="232">
        <f t="shared" si="399"/>
        <v>0</v>
      </c>
      <c r="BA729" s="255">
        <f t="shared" si="400"/>
        <v>0</v>
      </c>
      <c r="BB729" s="31">
        <f t="shared" si="401"/>
        <v>0</v>
      </c>
      <c r="BC729" s="255">
        <f t="shared" si="402"/>
        <v>0</v>
      </c>
      <c r="BD729" s="31">
        <f t="shared" si="403"/>
        <v>0</v>
      </c>
      <c r="BE729" s="255">
        <f t="shared" si="404"/>
        <v>0</v>
      </c>
      <c r="BF729" s="31">
        <f t="shared" si="405"/>
        <v>0</v>
      </c>
      <c r="BG729" s="255">
        <f t="shared" si="406"/>
        <v>0</v>
      </c>
      <c r="BH729" s="31">
        <f t="shared" si="407"/>
        <v>0</v>
      </c>
      <c r="BI729" s="255">
        <f t="shared" si="408"/>
        <v>0</v>
      </c>
      <c r="BJ729" s="31">
        <f t="shared" si="409"/>
        <v>0</v>
      </c>
      <c r="BK729" s="31">
        <f t="shared" si="410"/>
        <v>0</v>
      </c>
      <c r="BL729" s="255">
        <f t="shared" si="411"/>
        <v>0</v>
      </c>
      <c r="BM729" s="31">
        <f t="shared" si="412"/>
        <v>0</v>
      </c>
      <c r="BN729" s="255">
        <f t="shared" si="413"/>
        <v>0</v>
      </c>
    </row>
    <row r="730" spans="1:66" x14ac:dyDescent="0.25">
      <c r="A730" s="18" t="s">
        <v>1567</v>
      </c>
      <c r="B730" s="186" t="str">
        <f>VLOOKUP(A730,kurspris!$A$1:$B$877,2,FALSE)</f>
        <v>Specialpedagogik för förskolan (UK)</v>
      </c>
      <c r="C730" s="37"/>
      <c r="D730" s="31" t="s">
        <v>484</v>
      </c>
      <c r="E730" s="31" t="s">
        <v>1609</v>
      </c>
      <c r="F730" s="59" t="s">
        <v>1931</v>
      </c>
      <c r="G730" s="31" t="s">
        <v>2272</v>
      </c>
      <c r="L730" s="31">
        <v>100</v>
      </c>
      <c r="M730" s="31">
        <v>6</v>
      </c>
      <c r="P730" s="31">
        <v>4</v>
      </c>
      <c r="Q730" s="232">
        <f t="shared" si="386"/>
        <v>0.4</v>
      </c>
      <c r="R730" s="40">
        <v>0.85</v>
      </c>
      <c r="S730" s="334">
        <f t="shared" si="387"/>
        <v>0.34</v>
      </c>
      <c r="T730" s="31">
        <f>VLOOKUP(A730,'Ansvar kurs'!$A$1:$C$1010,2,FALSE)</f>
        <v>2193</v>
      </c>
      <c r="U730" s="31" t="str">
        <f>VLOOKUP(T730,Orgenheter!$A$1:$C$165,2,FALSE)</f>
        <v xml:space="preserve">TUV </v>
      </c>
      <c r="V730" s="31" t="str">
        <f>VLOOKUP(T730,Orgenheter!$A$1:$C$165,3,FALSE)</f>
        <v>Sam</v>
      </c>
      <c r="W730" s="37" t="str">
        <f>VLOOKUP(D730,Program!$A$1:$B$34,2,FALSE)</f>
        <v>Förskollärarprogrammet</v>
      </c>
      <c r="X730" s="42">
        <f>VLOOKUP(A730,kurspris!$A$1:$Q$798,15,FALSE)</f>
        <v>23641</v>
      </c>
      <c r="Y730" s="42">
        <f>VLOOKUP(A730,kurspris!$A$1:$Q$798,16,FALSE)</f>
        <v>28786</v>
      </c>
      <c r="Z730" s="42">
        <f t="shared" si="388"/>
        <v>19243.64</v>
      </c>
      <c r="AA730" s="42">
        <f>VLOOKUP(A730,kurspris!$A$1:$Q$798,17,FALSE)</f>
        <v>5800</v>
      </c>
      <c r="AB730" s="42">
        <f t="shared" si="389"/>
        <v>2320</v>
      </c>
      <c r="AC730" s="42">
        <f t="shared" si="390"/>
        <v>21563.64</v>
      </c>
      <c r="AD730" s="31">
        <f>VLOOKUP($A730,kurspris!$A$1:$Q$835,3,FALSE)</f>
        <v>0</v>
      </c>
      <c r="AE730" s="31">
        <f>VLOOKUP($A730,kurspris!$A$1:$Q$835,4,FALSE)</f>
        <v>0</v>
      </c>
      <c r="AF730" s="31">
        <f>VLOOKUP($A730,kurspris!$A$1:$Q$835,5,FALSE)</f>
        <v>0</v>
      </c>
      <c r="AG730" s="31">
        <f>VLOOKUP($A730,kurspris!$A$1:$Q$835,6,FALSE)</f>
        <v>1</v>
      </c>
      <c r="AH730" s="31">
        <f>VLOOKUP($A730,kurspris!$A$1:$Q$835,7,FALSE)</f>
        <v>0</v>
      </c>
      <c r="AI730" s="31">
        <f>VLOOKUP($A730,kurspris!$A$1:$Q$835,8,FALSE)</f>
        <v>0</v>
      </c>
      <c r="AJ730" s="31">
        <f>VLOOKUP($A730,kurspris!$A$1:$Q$835,9,FALSE)</f>
        <v>0</v>
      </c>
      <c r="AK730" s="31">
        <f>VLOOKUP($A730,kurspris!$A$1:$Q$835,10,FALSE)</f>
        <v>0</v>
      </c>
      <c r="AL730" s="31">
        <f>VLOOKUP($A730,kurspris!$A$1:$Q$835,11,FALSE)</f>
        <v>0</v>
      </c>
      <c r="AM730" s="31">
        <f>VLOOKUP($A730,kurspris!$A$1:$Q$835,12,FALSE)</f>
        <v>0</v>
      </c>
      <c r="AN730" s="31">
        <f>VLOOKUP($A730,kurspris!$A$1:$Q$835,13,FALSE)</f>
        <v>0</v>
      </c>
      <c r="AO730" s="31">
        <f>VLOOKUP($A730,kurspris!$A$1:$Q$835,14,FALSE)</f>
        <v>0</v>
      </c>
      <c r="AP730" s="39" t="s">
        <v>2326</v>
      </c>
      <c r="AQ730"/>
      <c r="AR730" s="31">
        <f t="shared" si="391"/>
        <v>0</v>
      </c>
      <c r="AS730" s="255">
        <f t="shared" si="392"/>
        <v>0</v>
      </c>
      <c r="AT730" s="31">
        <f t="shared" si="393"/>
        <v>0</v>
      </c>
      <c r="AU730" s="255">
        <f t="shared" si="394"/>
        <v>0</v>
      </c>
      <c r="AV730" s="31">
        <f t="shared" si="395"/>
        <v>0</v>
      </c>
      <c r="AW730" s="31">
        <f t="shared" si="396"/>
        <v>0</v>
      </c>
      <c r="AX730" s="31">
        <f t="shared" si="397"/>
        <v>0.4</v>
      </c>
      <c r="AY730" s="255">
        <f t="shared" si="398"/>
        <v>0.34</v>
      </c>
      <c r="AZ730" s="232">
        <f t="shared" si="399"/>
        <v>0</v>
      </c>
      <c r="BA730" s="255">
        <f t="shared" si="400"/>
        <v>0</v>
      </c>
      <c r="BB730" s="31">
        <f t="shared" si="401"/>
        <v>0</v>
      </c>
      <c r="BC730" s="255">
        <f t="shared" si="402"/>
        <v>0</v>
      </c>
      <c r="BD730" s="31">
        <f t="shared" si="403"/>
        <v>0</v>
      </c>
      <c r="BE730" s="255">
        <f t="shared" si="404"/>
        <v>0</v>
      </c>
      <c r="BF730" s="31">
        <f t="shared" si="405"/>
        <v>0</v>
      </c>
      <c r="BG730" s="255">
        <f t="shared" si="406"/>
        <v>0</v>
      </c>
      <c r="BH730" s="31">
        <f t="shared" si="407"/>
        <v>0</v>
      </c>
      <c r="BI730" s="255">
        <f t="shared" si="408"/>
        <v>0</v>
      </c>
      <c r="BJ730" s="31">
        <f t="shared" si="409"/>
        <v>0</v>
      </c>
      <c r="BK730" s="31">
        <f t="shared" si="410"/>
        <v>0</v>
      </c>
      <c r="BL730" s="255">
        <f t="shared" si="411"/>
        <v>0</v>
      </c>
      <c r="BM730" s="31">
        <f t="shared" si="412"/>
        <v>0</v>
      </c>
      <c r="BN730" s="255">
        <f t="shared" si="413"/>
        <v>0</v>
      </c>
    </row>
    <row r="731" spans="1:66" x14ac:dyDescent="0.25">
      <c r="A731" s="18" t="s">
        <v>1567</v>
      </c>
      <c r="B731" s="186" t="str">
        <f>VLOOKUP(A731,kurspris!$A$1:$B$877,2,FALSE)</f>
        <v>Specialpedagogik för förskolan (UK)</v>
      </c>
      <c r="C731" s="37"/>
      <c r="D731" s="31" t="s">
        <v>484</v>
      </c>
      <c r="E731" s="31" t="s">
        <v>1787</v>
      </c>
      <c r="F731" s="59" t="s">
        <v>1931</v>
      </c>
      <c r="G731" s="31" t="s">
        <v>2272</v>
      </c>
      <c r="H731" s="31" t="s">
        <v>1910</v>
      </c>
      <c r="L731" s="31">
        <v>100</v>
      </c>
      <c r="M731" s="31">
        <v>6</v>
      </c>
      <c r="P731" s="31">
        <v>23</v>
      </c>
      <c r="Q731" s="232">
        <f t="shared" si="386"/>
        <v>2.3000000000000003</v>
      </c>
      <c r="R731" s="40">
        <v>0.85</v>
      </c>
      <c r="S731" s="334">
        <f t="shared" si="387"/>
        <v>1.9550000000000001</v>
      </c>
      <c r="T731" s="31">
        <f>VLOOKUP(A731,'Ansvar kurs'!$A$1:$C$1010,2,FALSE)</f>
        <v>2193</v>
      </c>
      <c r="U731" s="31" t="str">
        <f>VLOOKUP(T731,Orgenheter!$A$1:$C$165,2,FALSE)</f>
        <v xml:space="preserve">TUV </v>
      </c>
      <c r="V731" s="31" t="str">
        <f>VLOOKUP(T731,Orgenheter!$A$1:$C$165,3,FALSE)</f>
        <v>Sam</v>
      </c>
      <c r="W731" s="37" t="str">
        <f>VLOOKUP(D731,Program!$A$1:$B$34,2,FALSE)</f>
        <v>Förskollärarprogrammet</v>
      </c>
      <c r="X731" s="42">
        <f>VLOOKUP(A731,kurspris!$A$1:$Q$798,15,FALSE)</f>
        <v>23641</v>
      </c>
      <c r="Y731" s="42">
        <f>VLOOKUP(A731,kurspris!$A$1:$Q$798,16,FALSE)</f>
        <v>28786</v>
      </c>
      <c r="Z731" s="42">
        <f t="shared" si="388"/>
        <v>110650.93000000001</v>
      </c>
      <c r="AA731" s="42">
        <f>VLOOKUP(A731,kurspris!$A$1:$Q$798,17,FALSE)</f>
        <v>5800</v>
      </c>
      <c r="AB731" s="42">
        <f t="shared" si="389"/>
        <v>13340.000000000002</v>
      </c>
      <c r="AC731" s="42">
        <f t="shared" si="390"/>
        <v>123990.93000000001</v>
      </c>
      <c r="AD731" s="31">
        <f>VLOOKUP($A731,kurspris!$A$1:$Q$835,3,FALSE)</f>
        <v>0</v>
      </c>
      <c r="AE731" s="31">
        <f>VLOOKUP($A731,kurspris!$A$1:$Q$835,4,FALSE)</f>
        <v>0</v>
      </c>
      <c r="AF731" s="31">
        <f>VLOOKUP($A731,kurspris!$A$1:$Q$835,5,FALSE)</f>
        <v>0</v>
      </c>
      <c r="AG731" s="31">
        <f>VLOOKUP($A731,kurspris!$A$1:$Q$835,6,FALSE)</f>
        <v>1</v>
      </c>
      <c r="AH731" s="31">
        <f>VLOOKUP($A731,kurspris!$A$1:$Q$835,7,FALSE)</f>
        <v>0</v>
      </c>
      <c r="AI731" s="31">
        <f>VLOOKUP($A731,kurspris!$A$1:$Q$835,8,FALSE)</f>
        <v>0</v>
      </c>
      <c r="AJ731" s="31">
        <f>VLOOKUP($A731,kurspris!$A$1:$Q$835,9,FALSE)</f>
        <v>0</v>
      </c>
      <c r="AK731" s="31">
        <f>VLOOKUP($A731,kurspris!$A$1:$Q$835,10,FALSE)</f>
        <v>0</v>
      </c>
      <c r="AL731" s="31">
        <f>VLOOKUP($A731,kurspris!$A$1:$Q$835,11,FALSE)</f>
        <v>0</v>
      </c>
      <c r="AM731" s="31">
        <f>VLOOKUP($A731,kurspris!$A$1:$Q$835,12,FALSE)</f>
        <v>0</v>
      </c>
      <c r="AN731" s="31">
        <f>VLOOKUP($A731,kurspris!$A$1:$Q$835,13,FALSE)</f>
        <v>0</v>
      </c>
      <c r="AO731" s="31">
        <f>VLOOKUP($A731,kurspris!$A$1:$Q$835,14,FALSE)</f>
        <v>0</v>
      </c>
      <c r="AP731" s="39" t="s">
        <v>2326</v>
      </c>
      <c r="AQ731"/>
      <c r="AR731" s="31">
        <f t="shared" si="391"/>
        <v>0</v>
      </c>
      <c r="AS731" s="255">
        <f t="shared" si="392"/>
        <v>0</v>
      </c>
      <c r="AT731" s="31">
        <f t="shared" si="393"/>
        <v>0</v>
      </c>
      <c r="AU731" s="255">
        <f t="shared" si="394"/>
        <v>0</v>
      </c>
      <c r="AV731" s="31">
        <f t="shared" si="395"/>
        <v>0</v>
      </c>
      <c r="AW731" s="31">
        <f t="shared" si="396"/>
        <v>0</v>
      </c>
      <c r="AX731" s="31">
        <f t="shared" si="397"/>
        <v>2.3000000000000003</v>
      </c>
      <c r="AY731" s="255">
        <f t="shared" si="398"/>
        <v>1.9550000000000001</v>
      </c>
      <c r="AZ731" s="232">
        <f t="shared" si="399"/>
        <v>0</v>
      </c>
      <c r="BA731" s="255">
        <f t="shared" si="400"/>
        <v>0</v>
      </c>
      <c r="BB731" s="31">
        <f t="shared" si="401"/>
        <v>0</v>
      </c>
      <c r="BC731" s="255">
        <f t="shared" si="402"/>
        <v>0</v>
      </c>
      <c r="BD731" s="31">
        <f t="shared" si="403"/>
        <v>0</v>
      </c>
      <c r="BE731" s="255">
        <f t="shared" si="404"/>
        <v>0</v>
      </c>
      <c r="BF731" s="31">
        <f t="shared" si="405"/>
        <v>0</v>
      </c>
      <c r="BG731" s="255">
        <f t="shared" si="406"/>
        <v>0</v>
      </c>
      <c r="BH731" s="31">
        <f t="shared" si="407"/>
        <v>0</v>
      </c>
      <c r="BI731" s="255">
        <f t="shared" si="408"/>
        <v>0</v>
      </c>
      <c r="BJ731" s="31">
        <f t="shared" si="409"/>
        <v>0</v>
      </c>
      <c r="BK731" s="31">
        <f t="shared" si="410"/>
        <v>0</v>
      </c>
      <c r="BL731" s="255">
        <f t="shared" si="411"/>
        <v>0</v>
      </c>
      <c r="BM731" s="31">
        <f t="shared" si="412"/>
        <v>0</v>
      </c>
      <c r="BN731" s="255">
        <f t="shared" si="413"/>
        <v>0</v>
      </c>
    </row>
    <row r="732" spans="1:66" x14ac:dyDescent="0.25">
      <c r="A732" s="18" t="s">
        <v>1567</v>
      </c>
      <c r="B732" s="186" t="str">
        <f>VLOOKUP(A732,kurspris!$A$1:$B$877,2,FALSE)</f>
        <v>Specialpedagogik för förskolan (UK)</v>
      </c>
      <c r="C732" s="37"/>
      <c r="D732" s="31" t="s">
        <v>484</v>
      </c>
      <c r="E732" s="31" t="s">
        <v>1787</v>
      </c>
      <c r="F732" s="59" t="s">
        <v>1931</v>
      </c>
      <c r="G732" s="31" t="s">
        <v>2272</v>
      </c>
      <c r="H732" s="31" t="s">
        <v>2327</v>
      </c>
      <c r="L732" s="31">
        <v>100</v>
      </c>
      <c r="M732" s="31">
        <v>6</v>
      </c>
      <c r="P732" s="31">
        <v>16</v>
      </c>
      <c r="Q732" s="232">
        <f t="shared" si="386"/>
        <v>1.6</v>
      </c>
      <c r="R732" s="40">
        <v>0.85</v>
      </c>
      <c r="S732" s="334">
        <f t="shared" si="387"/>
        <v>1.36</v>
      </c>
      <c r="T732" s="31">
        <f>VLOOKUP(A732,'Ansvar kurs'!$A$1:$C$1010,2,FALSE)</f>
        <v>2193</v>
      </c>
      <c r="U732" s="31" t="str">
        <f>VLOOKUP(T732,Orgenheter!$A$1:$C$165,2,FALSE)</f>
        <v xml:space="preserve">TUV </v>
      </c>
      <c r="V732" s="31" t="str">
        <f>VLOOKUP(T732,Orgenheter!$A$1:$C$165,3,FALSE)</f>
        <v>Sam</v>
      </c>
      <c r="W732" s="37" t="str">
        <f>VLOOKUP(D732,Program!$A$1:$B$34,2,FALSE)</f>
        <v>Förskollärarprogrammet</v>
      </c>
      <c r="X732" s="42">
        <f>VLOOKUP(A732,kurspris!$A$1:$Q$798,15,FALSE)</f>
        <v>23641</v>
      </c>
      <c r="Y732" s="42">
        <f>VLOOKUP(A732,kurspris!$A$1:$Q$798,16,FALSE)</f>
        <v>28786</v>
      </c>
      <c r="Z732" s="42">
        <f t="shared" si="388"/>
        <v>76974.559999999998</v>
      </c>
      <c r="AA732" s="42">
        <f>VLOOKUP(A732,kurspris!$A$1:$Q$798,17,FALSE)</f>
        <v>5800</v>
      </c>
      <c r="AB732" s="42">
        <f t="shared" si="389"/>
        <v>9280</v>
      </c>
      <c r="AC732" s="42">
        <f t="shared" si="390"/>
        <v>86254.56</v>
      </c>
      <c r="AD732" s="31">
        <f>VLOOKUP($A732,kurspris!$A$1:$Q$835,3,FALSE)</f>
        <v>0</v>
      </c>
      <c r="AE732" s="31">
        <f>VLOOKUP($A732,kurspris!$A$1:$Q$835,4,FALSE)</f>
        <v>0</v>
      </c>
      <c r="AF732" s="31">
        <f>VLOOKUP($A732,kurspris!$A$1:$Q$835,5,FALSE)</f>
        <v>0</v>
      </c>
      <c r="AG732" s="31">
        <f>VLOOKUP($A732,kurspris!$A$1:$Q$835,6,FALSE)</f>
        <v>1</v>
      </c>
      <c r="AH732" s="31">
        <f>VLOOKUP($A732,kurspris!$A$1:$Q$835,7,FALSE)</f>
        <v>0</v>
      </c>
      <c r="AI732" s="31">
        <f>VLOOKUP($A732,kurspris!$A$1:$Q$835,8,FALSE)</f>
        <v>0</v>
      </c>
      <c r="AJ732" s="31">
        <f>VLOOKUP($A732,kurspris!$A$1:$Q$835,9,FALSE)</f>
        <v>0</v>
      </c>
      <c r="AK732" s="31">
        <f>VLOOKUP($A732,kurspris!$A$1:$Q$835,10,FALSE)</f>
        <v>0</v>
      </c>
      <c r="AL732" s="31">
        <f>VLOOKUP($A732,kurspris!$A$1:$Q$835,11,FALSE)</f>
        <v>0</v>
      </c>
      <c r="AM732" s="31">
        <f>VLOOKUP($A732,kurspris!$A$1:$Q$835,12,FALSE)</f>
        <v>0</v>
      </c>
      <c r="AN732" s="31">
        <f>VLOOKUP($A732,kurspris!$A$1:$Q$835,13,FALSE)</f>
        <v>0</v>
      </c>
      <c r="AO732" s="31">
        <f>VLOOKUP($A732,kurspris!$A$1:$Q$835,14,FALSE)</f>
        <v>0</v>
      </c>
      <c r="AP732" s="39" t="s">
        <v>2326</v>
      </c>
      <c r="AQ732"/>
      <c r="AR732" s="31">
        <f t="shared" si="391"/>
        <v>0</v>
      </c>
      <c r="AS732" s="255">
        <f t="shared" si="392"/>
        <v>0</v>
      </c>
      <c r="AT732" s="31">
        <f t="shared" si="393"/>
        <v>0</v>
      </c>
      <c r="AU732" s="255">
        <f t="shared" si="394"/>
        <v>0</v>
      </c>
      <c r="AV732" s="31">
        <f t="shared" si="395"/>
        <v>0</v>
      </c>
      <c r="AW732" s="31">
        <f t="shared" si="396"/>
        <v>0</v>
      </c>
      <c r="AX732" s="31">
        <f t="shared" si="397"/>
        <v>1.6</v>
      </c>
      <c r="AY732" s="255">
        <f t="shared" si="398"/>
        <v>1.36</v>
      </c>
      <c r="AZ732" s="232">
        <f t="shared" si="399"/>
        <v>0</v>
      </c>
      <c r="BA732" s="255">
        <f t="shared" si="400"/>
        <v>0</v>
      </c>
      <c r="BB732" s="31">
        <f t="shared" si="401"/>
        <v>0</v>
      </c>
      <c r="BC732" s="255">
        <f t="shared" si="402"/>
        <v>0</v>
      </c>
      <c r="BD732" s="31">
        <f t="shared" si="403"/>
        <v>0</v>
      </c>
      <c r="BE732" s="255">
        <f t="shared" si="404"/>
        <v>0</v>
      </c>
      <c r="BF732" s="31">
        <f t="shared" si="405"/>
        <v>0</v>
      </c>
      <c r="BG732" s="255">
        <f t="shared" si="406"/>
        <v>0</v>
      </c>
      <c r="BH732" s="31">
        <f t="shared" si="407"/>
        <v>0</v>
      </c>
      <c r="BI732" s="255">
        <f t="shared" si="408"/>
        <v>0</v>
      </c>
      <c r="BJ732" s="31">
        <f t="shared" si="409"/>
        <v>0</v>
      </c>
      <c r="BK732" s="31">
        <f t="shared" si="410"/>
        <v>0</v>
      </c>
      <c r="BL732" s="255">
        <f t="shared" si="411"/>
        <v>0</v>
      </c>
      <c r="BM732" s="31">
        <f t="shared" si="412"/>
        <v>0</v>
      </c>
      <c r="BN732" s="255">
        <f t="shared" si="413"/>
        <v>0</v>
      </c>
    </row>
    <row r="733" spans="1:66" x14ac:dyDescent="0.25">
      <c r="A733" s="18" t="s">
        <v>1559</v>
      </c>
      <c r="B733" s="186" t="str">
        <f>VLOOKUP(A733,kurspris!$A$1:$B$877,2,FALSE)</f>
        <v>Specialpedagogik för grundskolan (UK)</v>
      </c>
      <c r="C733" s="37"/>
      <c r="D733" t="s">
        <v>117</v>
      </c>
      <c r="E733"/>
      <c r="F733" s="59" t="s">
        <v>1930</v>
      </c>
      <c r="G733"/>
      <c r="H733"/>
      <c r="I733" t="s">
        <v>1634</v>
      </c>
      <c r="L733">
        <v>100</v>
      </c>
      <c r="M733">
        <v>5</v>
      </c>
      <c r="P733" s="31">
        <v>3</v>
      </c>
      <c r="Q733" s="232">
        <f t="shared" si="386"/>
        <v>0.25</v>
      </c>
      <c r="R733" s="40">
        <v>0.8</v>
      </c>
      <c r="S733" s="334">
        <f t="shared" si="387"/>
        <v>0.2</v>
      </c>
      <c r="T733" s="31">
        <f>VLOOKUP(A733,'Ansvar kurs'!$A$1:$C$1010,2,FALSE)</f>
        <v>2180</v>
      </c>
      <c r="U733" s="31" t="str">
        <f>VLOOKUP(T733,Orgenheter!$A$1:$C$165,2,FALSE)</f>
        <v xml:space="preserve">Pedagogik                     </v>
      </c>
      <c r="V733" s="31" t="str">
        <f>VLOOKUP(T733,Orgenheter!$A$1:$C$165,3,FALSE)</f>
        <v>Sam</v>
      </c>
      <c r="W733" s="37" t="str">
        <f>VLOOKUP(D733,Program!$A$1:$B$34,2,FALSE)</f>
        <v>Fristående och övriga kurser</v>
      </c>
      <c r="X733" s="42">
        <f>VLOOKUP(A733,kurspris!$A$1:$Q$798,15,FALSE)</f>
        <v>23641</v>
      </c>
      <c r="Y733" s="42">
        <f>VLOOKUP(A733,kurspris!$A$1:$Q$798,16,FALSE)</f>
        <v>28786</v>
      </c>
      <c r="Z733" s="42">
        <f t="shared" si="388"/>
        <v>11667.45</v>
      </c>
      <c r="AA733" s="42">
        <f>VLOOKUP(A733,kurspris!$A$1:$Q$798,17,FALSE)</f>
        <v>5800</v>
      </c>
      <c r="AB733" s="42">
        <f t="shared" si="389"/>
        <v>1450</v>
      </c>
      <c r="AC733" s="42">
        <f t="shared" si="390"/>
        <v>13117.45</v>
      </c>
      <c r="AD733" s="31">
        <f>VLOOKUP($A733,kurspris!$A$1:$Q$835,3,FALSE)</f>
        <v>0</v>
      </c>
      <c r="AE733" s="31">
        <f>VLOOKUP($A733,kurspris!$A$1:$Q$835,4,FALSE)</f>
        <v>0</v>
      </c>
      <c r="AF733" s="31">
        <f>VLOOKUP($A733,kurspris!$A$1:$Q$835,5,FALSE)</f>
        <v>0</v>
      </c>
      <c r="AG733" s="31">
        <f>VLOOKUP($A733,kurspris!$A$1:$Q$835,6,FALSE)</f>
        <v>1</v>
      </c>
      <c r="AH733" s="31">
        <f>VLOOKUP($A733,kurspris!$A$1:$Q$835,7,FALSE)</f>
        <v>0</v>
      </c>
      <c r="AI733" s="31">
        <f>VLOOKUP($A733,kurspris!$A$1:$Q$835,8,FALSE)</f>
        <v>0</v>
      </c>
      <c r="AJ733" s="31">
        <f>VLOOKUP($A733,kurspris!$A$1:$Q$835,9,FALSE)</f>
        <v>0</v>
      </c>
      <c r="AK733" s="31">
        <f>VLOOKUP($A733,kurspris!$A$1:$Q$835,10,FALSE)</f>
        <v>0</v>
      </c>
      <c r="AL733" s="31">
        <f>VLOOKUP($A733,kurspris!$A$1:$Q$835,11,FALSE)</f>
        <v>0</v>
      </c>
      <c r="AM733" s="31">
        <f>VLOOKUP($A733,kurspris!$A$1:$Q$835,12,FALSE)</f>
        <v>0</v>
      </c>
      <c r="AN733" s="31">
        <f>VLOOKUP($A733,kurspris!$A$1:$Q$835,13,FALSE)</f>
        <v>0</v>
      </c>
      <c r="AO733" s="31">
        <f>VLOOKUP($A733,kurspris!$A$1:$Q$835,14,FALSE)</f>
        <v>0</v>
      </c>
      <c r="AP733" s="39" t="s">
        <v>2232</v>
      </c>
      <c r="AQ733" s="39" t="s">
        <v>2095</v>
      </c>
      <c r="AR733" s="31">
        <f t="shared" si="391"/>
        <v>0</v>
      </c>
      <c r="AS733" s="255">
        <f t="shared" si="392"/>
        <v>0</v>
      </c>
      <c r="AT733" s="31">
        <f t="shared" si="393"/>
        <v>0</v>
      </c>
      <c r="AU733" s="255">
        <f t="shared" si="394"/>
        <v>0</v>
      </c>
      <c r="AV733" s="31">
        <f t="shared" si="395"/>
        <v>0</v>
      </c>
      <c r="AW733" s="31">
        <f t="shared" si="396"/>
        <v>0</v>
      </c>
      <c r="AX733" s="31">
        <f t="shared" si="397"/>
        <v>0.25</v>
      </c>
      <c r="AY733" s="255">
        <f t="shared" si="398"/>
        <v>0.2</v>
      </c>
      <c r="AZ733" s="232">
        <f t="shared" si="399"/>
        <v>0</v>
      </c>
      <c r="BA733" s="255">
        <f t="shared" si="400"/>
        <v>0</v>
      </c>
      <c r="BB733" s="31">
        <f t="shared" si="401"/>
        <v>0</v>
      </c>
      <c r="BC733" s="255">
        <f t="shared" si="402"/>
        <v>0</v>
      </c>
      <c r="BD733" s="31">
        <f t="shared" si="403"/>
        <v>0</v>
      </c>
      <c r="BE733" s="255">
        <f t="shared" si="404"/>
        <v>0</v>
      </c>
      <c r="BF733" s="31">
        <f t="shared" si="405"/>
        <v>0</v>
      </c>
      <c r="BG733" s="255">
        <f t="shared" si="406"/>
        <v>0</v>
      </c>
      <c r="BH733" s="31">
        <f t="shared" si="407"/>
        <v>0</v>
      </c>
      <c r="BI733" s="255">
        <f t="shared" si="408"/>
        <v>0</v>
      </c>
      <c r="BJ733" s="31">
        <f t="shared" si="409"/>
        <v>0</v>
      </c>
      <c r="BK733" s="31">
        <f t="shared" si="410"/>
        <v>0</v>
      </c>
      <c r="BL733" s="255">
        <f t="shared" si="411"/>
        <v>0</v>
      </c>
      <c r="BM733" s="31">
        <f t="shared" si="412"/>
        <v>0</v>
      </c>
      <c r="BN733" s="255">
        <f t="shared" si="413"/>
        <v>0</v>
      </c>
    </row>
    <row r="734" spans="1:66" x14ac:dyDescent="0.25">
      <c r="A734" s="18" t="s">
        <v>1559</v>
      </c>
      <c r="B734" s="186" t="str">
        <f>VLOOKUP(A734,kurspris!$A$1:$B$877,2,FALSE)</f>
        <v>Specialpedagogik för grundskolan (UK)</v>
      </c>
      <c r="C734" s="37"/>
      <c r="D734" s="31" t="s">
        <v>485</v>
      </c>
      <c r="E734" s="31" t="s">
        <v>1609</v>
      </c>
      <c r="F734" s="59" t="s">
        <v>1931</v>
      </c>
      <c r="G734" s="31" t="s">
        <v>2289</v>
      </c>
      <c r="L734" s="31">
        <v>100</v>
      </c>
      <c r="M734" s="31">
        <v>5</v>
      </c>
      <c r="P734" s="31">
        <v>14</v>
      </c>
      <c r="Q734" s="232">
        <f t="shared" si="386"/>
        <v>1.1666666666666665</v>
      </c>
      <c r="R734" s="40">
        <v>0.85</v>
      </c>
      <c r="S734" s="334">
        <f t="shared" si="387"/>
        <v>0.99166666666666647</v>
      </c>
      <c r="T734" s="31">
        <f>VLOOKUP(A734,'Ansvar kurs'!$A$1:$C$1010,2,FALSE)</f>
        <v>2180</v>
      </c>
      <c r="U734" s="31" t="str">
        <f>VLOOKUP(T734,Orgenheter!$A$1:$C$165,2,FALSE)</f>
        <v xml:space="preserve">Pedagogik                     </v>
      </c>
      <c r="V734" s="31" t="str">
        <f>VLOOKUP(T734,Orgenheter!$A$1:$C$165,3,FALSE)</f>
        <v>Sam</v>
      </c>
      <c r="W734" s="37" t="str">
        <f>VLOOKUP(D734,Program!$A$1:$B$34,2,FALSE)</f>
        <v>Grundlärarprogrammet - fritidshem</v>
      </c>
      <c r="X734" s="42">
        <f>VLOOKUP(A734,kurspris!$A$1:$Q$798,15,FALSE)</f>
        <v>23641</v>
      </c>
      <c r="Y734" s="42">
        <f>VLOOKUP(A734,kurspris!$A$1:$Q$798,16,FALSE)</f>
        <v>28786</v>
      </c>
      <c r="Z734" s="42">
        <f t="shared" si="388"/>
        <v>56127.283333333326</v>
      </c>
      <c r="AA734" s="42">
        <f>VLOOKUP(A734,kurspris!$A$1:$Q$798,17,FALSE)</f>
        <v>5800</v>
      </c>
      <c r="AB734" s="42">
        <f t="shared" si="389"/>
        <v>6766.6666666666661</v>
      </c>
      <c r="AC734" s="42">
        <f t="shared" si="390"/>
        <v>62893.94999999999</v>
      </c>
      <c r="AD734" s="31">
        <f>VLOOKUP($A734,kurspris!$A$1:$Q$835,3,FALSE)</f>
        <v>0</v>
      </c>
      <c r="AE734" s="31">
        <f>VLOOKUP($A734,kurspris!$A$1:$Q$835,4,FALSE)</f>
        <v>0</v>
      </c>
      <c r="AF734" s="31">
        <f>VLOOKUP($A734,kurspris!$A$1:$Q$835,5,FALSE)</f>
        <v>0</v>
      </c>
      <c r="AG734" s="31">
        <f>VLOOKUP($A734,kurspris!$A$1:$Q$835,6,FALSE)</f>
        <v>1</v>
      </c>
      <c r="AH734" s="31">
        <f>VLOOKUP($A734,kurspris!$A$1:$Q$835,7,FALSE)</f>
        <v>0</v>
      </c>
      <c r="AI734" s="31">
        <f>VLOOKUP($A734,kurspris!$A$1:$Q$835,8,FALSE)</f>
        <v>0</v>
      </c>
      <c r="AJ734" s="31">
        <f>VLOOKUP($A734,kurspris!$A$1:$Q$835,9,FALSE)</f>
        <v>0</v>
      </c>
      <c r="AK734" s="31">
        <f>VLOOKUP($A734,kurspris!$A$1:$Q$835,10,FALSE)</f>
        <v>0</v>
      </c>
      <c r="AL734" s="31">
        <f>VLOOKUP($A734,kurspris!$A$1:$Q$835,11,FALSE)</f>
        <v>0</v>
      </c>
      <c r="AM734" s="31">
        <f>VLOOKUP($A734,kurspris!$A$1:$Q$835,12,FALSE)</f>
        <v>0</v>
      </c>
      <c r="AN734" s="31">
        <f>VLOOKUP($A734,kurspris!$A$1:$Q$835,13,FALSE)</f>
        <v>0</v>
      </c>
      <c r="AO734" s="31">
        <f>VLOOKUP($A734,kurspris!$A$1:$Q$835,14,FALSE)</f>
        <v>0</v>
      </c>
      <c r="AP734" s="39" t="s">
        <v>2326</v>
      </c>
      <c r="AQ734"/>
      <c r="AR734" s="31">
        <f t="shared" si="391"/>
        <v>0</v>
      </c>
      <c r="AS734" s="255">
        <f t="shared" si="392"/>
        <v>0</v>
      </c>
      <c r="AT734" s="31">
        <f t="shared" si="393"/>
        <v>0</v>
      </c>
      <c r="AU734" s="255">
        <f t="shared" si="394"/>
        <v>0</v>
      </c>
      <c r="AV734" s="31">
        <f t="shared" si="395"/>
        <v>0</v>
      </c>
      <c r="AW734" s="31">
        <f t="shared" si="396"/>
        <v>0</v>
      </c>
      <c r="AX734" s="31">
        <f t="shared" si="397"/>
        <v>1.1666666666666665</v>
      </c>
      <c r="AY734" s="255">
        <f t="shared" si="398"/>
        <v>0.99166666666666647</v>
      </c>
      <c r="AZ734" s="232">
        <f t="shared" si="399"/>
        <v>0</v>
      </c>
      <c r="BA734" s="255">
        <f t="shared" si="400"/>
        <v>0</v>
      </c>
      <c r="BB734" s="31">
        <f t="shared" si="401"/>
        <v>0</v>
      </c>
      <c r="BC734" s="255">
        <f t="shared" si="402"/>
        <v>0</v>
      </c>
      <c r="BD734" s="31">
        <f t="shared" si="403"/>
        <v>0</v>
      </c>
      <c r="BE734" s="255">
        <f t="shared" si="404"/>
        <v>0</v>
      </c>
      <c r="BF734" s="31">
        <f t="shared" si="405"/>
        <v>0</v>
      </c>
      <c r="BG734" s="255">
        <f t="shared" si="406"/>
        <v>0</v>
      </c>
      <c r="BH734" s="31">
        <f t="shared" si="407"/>
        <v>0</v>
      </c>
      <c r="BI734" s="255">
        <f t="shared" si="408"/>
        <v>0</v>
      </c>
      <c r="BJ734" s="31">
        <f t="shared" si="409"/>
        <v>0</v>
      </c>
      <c r="BK734" s="31">
        <f t="shared" si="410"/>
        <v>0</v>
      </c>
      <c r="BL734" s="255">
        <f t="shared" si="411"/>
        <v>0</v>
      </c>
      <c r="BM734" s="31">
        <f t="shared" si="412"/>
        <v>0</v>
      </c>
      <c r="BN734" s="255">
        <f t="shared" si="413"/>
        <v>0</v>
      </c>
    </row>
    <row r="735" spans="1:66" x14ac:dyDescent="0.25">
      <c r="A735" t="s">
        <v>1559</v>
      </c>
      <c r="B735" s="186" t="str">
        <f>VLOOKUP(A735,kurspris!$A$1:$B$877,2,FALSE)</f>
        <v>Specialpedagogik för grundskolan (UK)</v>
      </c>
      <c r="C735"/>
      <c r="D735" t="s">
        <v>486</v>
      </c>
      <c r="E735" t="s">
        <v>1609</v>
      </c>
      <c r="F735" s="59" t="s">
        <v>1930</v>
      </c>
      <c r="G735" t="s">
        <v>1943</v>
      </c>
      <c r="H735" t="s">
        <v>1910</v>
      </c>
      <c r="I735"/>
      <c r="J735"/>
      <c r="K735"/>
      <c r="L735">
        <v>100</v>
      </c>
      <c r="M735">
        <v>5</v>
      </c>
      <c r="N735"/>
      <c r="O735"/>
      <c r="P735" s="31">
        <v>1</v>
      </c>
      <c r="Q735" s="232">
        <f t="shared" si="386"/>
        <v>8.3333333333333329E-2</v>
      </c>
      <c r="R735" s="40">
        <v>0.85</v>
      </c>
      <c r="S735" s="334">
        <f t="shared" si="387"/>
        <v>7.0833333333333331E-2</v>
      </c>
      <c r="T735" s="31">
        <f>VLOOKUP(A735,'Ansvar kurs'!$A$1:$C$1010,2,FALSE)</f>
        <v>2180</v>
      </c>
      <c r="U735" s="31" t="str">
        <f>VLOOKUP(T735,Orgenheter!$A$1:$C$165,2,FALSE)</f>
        <v xml:space="preserve">Pedagogik                     </v>
      </c>
      <c r="V735" s="31" t="str">
        <f>VLOOKUP(T735,Orgenheter!$A$1:$C$165,3,FALSE)</f>
        <v>Sam</v>
      </c>
      <c r="W735" s="37" t="str">
        <f>VLOOKUP(D735,Program!$A$1:$B$34,2,FALSE)</f>
        <v>Grundlärarprogrammet - förskoleklass och åk 1-3</v>
      </c>
      <c r="X735" s="42">
        <f>VLOOKUP(A735,kurspris!$A$1:$Q$798,15,FALSE)</f>
        <v>23641</v>
      </c>
      <c r="Y735" s="42">
        <f>VLOOKUP(A735,kurspris!$A$1:$Q$798,16,FALSE)</f>
        <v>28786</v>
      </c>
      <c r="Z735" s="42">
        <f t="shared" si="388"/>
        <v>4009.0916666666662</v>
      </c>
      <c r="AA735" s="42">
        <f>VLOOKUP(A735,kurspris!$A$1:$Q$798,17,FALSE)</f>
        <v>5800</v>
      </c>
      <c r="AB735" s="42">
        <f t="shared" si="389"/>
        <v>483.33333333333331</v>
      </c>
      <c r="AC735" s="42">
        <f t="shared" si="390"/>
        <v>4492.4249999999993</v>
      </c>
      <c r="AD735" s="31">
        <f>VLOOKUP($A735,kurspris!$A$1:$Q$835,3,FALSE)</f>
        <v>0</v>
      </c>
      <c r="AE735" s="31">
        <f>VLOOKUP($A735,kurspris!$A$1:$Q$835,4,FALSE)</f>
        <v>0</v>
      </c>
      <c r="AF735" s="31">
        <f>VLOOKUP($A735,kurspris!$A$1:$Q$835,5,FALSE)</f>
        <v>0</v>
      </c>
      <c r="AG735" s="31">
        <f>VLOOKUP($A735,kurspris!$A$1:$Q$835,6,FALSE)</f>
        <v>1</v>
      </c>
      <c r="AH735" s="31">
        <f>VLOOKUP($A735,kurspris!$A$1:$Q$835,7,FALSE)</f>
        <v>0</v>
      </c>
      <c r="AI735" s="31">
        <f>VLOOKUP($A735,kurspris!$A$1:$Q$835,8,FALSE)</f>
        <v>0</v>
      </c>
      <c r="AJ735" s="31">
        <f>VLOOKUP($A735,kurspris!$A$1:$Q$835,9,FALSE)</f>
        <v>0</v>
      </c>
      <c r="AK735" s="31">
        <f>VLOOKUP($A735,kurspris!$A$1:$Q$835,10,FALSE)</f>
        <v>0</v>
      </c>
      <c r="AL735" s="31">
        <f>VLOOKUP($A735,kurspris!$A$1:$Q$835,11,FALSE)</f>
        <v>0</v>
      </c>
      <c r="AM735" s="31">
        <f>VLOOKUP($A735,kurspris!$A$1:$Q$835,12,FALSE)</f>
        <v>0</v>
      </c>
      <c r="AN735" s="31">
        <f>VLOOKUP($A735,kurspris!$A$1:$Q$835,13,FALSE)</f>
        <v>0</v>
      </c>
      <c r="AO735" s="31">
        <f>VLOOKUP($A735,kurspris!$A$1:$Q$835,14,FALSE)</f>
        <v>0</v>
      </c>
      <c r="AP735" s="39" t="s">
        <v>2235</v>
      </c>
      <c r="AQ735"/>
      <c r="AR735" s="31">
        <f t="shared" si="391"/>
        <v>0</v>
      </c>
      <c r="AS735" s="255">
        <f t="shared" si="392"/>
        <v>0</v>
      </c>
      <c r="AT735" s="31">
        <f t="shared" si="393"/>
        <v>0</v>
      </c>
      <c r="AU735" s="255">
        <f t="shared" si="394"/>
        <v>0</v>
      </c>
      <c r="AV735" s="31">
        <f t="shared" si="395"/>
        <v>0</v>
      </c>
      <c r="AW735" s="31">
        <f t="shared" si="396"/>
        <v>0</v>
      </c>
      <c r="AX735" s="31">
        <f t="shared" si="397"/>
        <v>8.3333333333333329E-2</v>
      </c>
      <c r="AY735" s="255">
        <f t="shared" si="398"/>
        <v>7.0833333333333331E-2</v>
      </c>
      <c r="AZ735" s="232">
        <f t="shared" si="399"/>
        <v>0</v>
      </c>
      <c r="BA735" s="255">
        <f t="shared" si="400"/>
        <v>0</v>
      </c>
      <c r="BB735" s="31">
        <f t="shared" si="401"/>
        <v>0</v>
      </c>
      <c r="BC735" s="255">
        <f t="shared" si="402"/>
        <v>0</v>
      </c>
      <c r="BD735" s="31">
        <f t="shared" si="403"/>
        <v>0</v>
      </c>
      <c r="BE735" s="255">
        <f t="shared" si="404"/>
        <v>0</v>
      </c>
      <c r="BF735" s="31">
        <f t="shared" si="405"/>
        <v>0</v>
      </c>
      <c r="BG735" s="255">
        <f t="shared" si="406"/>
        <v>0</v>
      </c>
      <c r="BH735" s="31">
        <f t="shared" si="407"/>
        <v>0</v>
      </c>
      <c r="BI735" s="255">
        <f t="shared" si="408"/>
        <v>0</v>
      </c>
      <c r="BJ735" s="31">
        <f t="shared" si="409"/>
        <v>0</v>
      </c>
      <c r="BK735" s="31">
        <f t="shared" si="410"/>
        <v>0</v>
      </c>
      <c r="BL735" s="255">
        <f t="shared" si="411"/>
        <v>0</v>
      </c>
      <c r="BM735" s="31">
        <f t="shared" si="412"/>
        <v>0</v>
      </c>
      <c r="BN735" s="255">
        <f t="shared" si="413"/>
        <v>0</v>
      </c>
    </row>
    <row r="736" spans="1:66" x14ac:dyDescent="0.25">
      <c r="A736" t="s">
        <v>1559</v>
      </c>
      <c r="B736" s="186" t="str">
        <f>VLOOKUP(A736,kurspris!$A$1:$B$877,2,FALSE)</f>
        <v>Specialpedagogik för grundskolan (UK)</v>
      </c>
      <c r="C736"/>
      <c r="D736" t="s">
        <v>486</v>
      </c>
      <c r="E736" t="s">
        <v>1609</v>
      </c>
      <c r="F736" s="59" t="s">
        <v>1930</v>
      </c>
      <c r="G736" t="s">
        <v>1943</v>
      </c>
      <c r="H736" t="s">
        <v>1910</v>
      </c>
      <c r="I736"/>
      <c r="J736"/>
      <c r="K736"/>
      <c r="L736">
        <v>100</v>
      </c>
      <c r="M736">
        <v>5</v>
      </c>
      <c r="N736"/>
      <c r="O736"/>
      <c r="P736" s="31">
        <v>33</v>
      </c>
      <c r="Q736" s="232">
        <f t="shared" si="386"/>
        <v>2.75</v>
      </c>
      <c r="R736" s="40">
        <v>0.85</v>
      </c>
      <c r="S736" s="334">
        <f t="shared" si="387"/>
        <v>2.3374999999999999</v>
      </c>
      <c r="T736" s="31">
        <f>VLOOKUP(A736,'Ansvar kurs'!$A$1:$C$1010,2,FALSE)</f>
        <v>2180</v>
      </c>
      <c r="U736" s="31" t="str">
        <f>VLOOKUP(T736,Orgenheter!$A$1:$C$165,2,FALSE)</f>
        <v xml:space="preserve">Pedagogik                     </v>
      </c>
      <c r="V736" s="31" t="str">
        <f>VLOOKUP(T736,Orgenheter!$A$1:$C$165,3,FALSE)</f>
        <v>Sam</v>
      </c>
      <c r="W736" s="37" t="str">
        <f>VLOOKUP(D736,Program!$A$1:$B$34,2,FALSE)</f>
        <v>Grundlärarprogrammet - förskoleklass och åk 1-3</v>
      </c>
      <c r="X736" s="42">
        <f>VLOOKUP(A736,kurspris!$A$1:$Q$798,15,FALSE)</f>
        <v>23641</v>
      </c>
      <c r="Y736" s="42">
        <f>VLOOKUP(A736,kurspris!$A$1:$Q$798,16,FALSE)</f>
        <v>28786</v>
      </c>
      <c r="Z736" s="42">
        <f t="shared" si="388"/>
        <v>132300.02499999999</v>
      </c>
      <c r="AA736" s="42">
        <f>VLOOKUP(A736,kurspris!$A$1:$Q$798,17,FALSE)</f>
        <v>5800</v>
      </c>
      <c r="AB736" s="42">
        <f t="shared" si="389"/>
        <v>15950</v>
      </c>
      <c r="AC736" s="42">
        <f t="shared" si="390"/>
        <v>148250.02499999999</v>
      </c>
      <c r="AD736" s="31">
        <f>VLOOKUP($A736,kurspris!$A$1:$Q$835,3,FALSE)</f>
        <v>0</v>
      </c>
      <c r="AE736" s="31">
        <f>VLOOKUP($A736,kurspris!$A$1:$Q$835,4,FALSE)</f>
        <v>0</v>
      </c>
      <c r="AF736" s="31">
        <f>VLOOKUP($A736,kurspris!$A$1:$Q$835,5,FALSE)</f>
        <v>0</v>
      </c>
      <c r="AG736" s="31">
        <f>VLOOKUP($A736,kurspris!$A$1:$Q$835,6,FALSE)</f>
        <v>1</v>
      </c>
      <c r="AH736" s="31">
        <f>VLOOKUP($A736,kurspris!$A$1:$Q$835,7,FALSE)</f>
        <v>0</v>
      </c>
      <c r="AI736" s="31">
        <f>VLOOKUP($A736,kurspris!$A$1:$Q$835,8,FALSE)</f>
        <v>0</v>
      </c>
      <c r="AJ736" s="31">
        <f>VLOOKUP($A736,kurspris!$A$1:$Q$835,9,FALSE)</f>
        <v>0</v>
      </c>
      <c r="AK736" s="31">
        <f>VLOOKUP($A736,kurspris!$A$1:$Q$835,10,FALSE)</f>
        <v>0</v>
      </c>
      <c r="AL736" s="31">
        <f>VLOOKUP($A736,kurspris!$A$1:$Q$835,11,FALSE)</f>
        <v>0</v>
      </c>
      <c r="AM736" s="31">
        <f>VLOOKUP($A736,kurspris!$A$1:$Q$835,12,FALSE)</f>
        <v>0</v>
      </c>
      <c r="AN736" s="31">
        <f>VLOOKUP($A736,kurspris!$A$1:$Q$835,13,FALSE)</f>
        <v>0</v>
      </c>
      <c r="AO736" s="31">
        <f>VLOOKUP($A736,kurspris!$A$1:$Q$835,14,FALSE)</f>
        <v>0</v>
      </c>
      <c r="AP736" s="39" t="s">
        <v>2235</v>
      </c>
      <c r="AQ736"/>
      <c r="AR736" s="31">
        <f t="shared" si="391"/>
        <v>0</v>
      </c>
      <c r="AS736" s="255">
        <f t="shared" si="392"/>
        <v>0</v>
      </c>
      <c r="AT736" s="31">
        <f t="shared" si="393"/>
        <v>0</v>
      </c>
      <c r="AU736" s="255">
        <f t="shared" si="394"/>
        <v>0</v>
      </c>
      <c r="AV736" s="31">
        <f t="shared" si="395"/>
        <v>0</v>
      </c>
      <c r="AW736" s="31">
        <f t="shared" si="396"/>
        <v>0</v>
      </c>
      <c r="AX736" s="31">
        <f t="shared" si="397"/>
        <v>2.75</v>
      </c>
      <c r="AY736" s="255">
        <f t="shared" si="398"/>
        <v>2.3374999999999999</v>
      </c>
      <c r="AZ736" s="232">
        <f t="shared" si="399"/>
        <v>0</v>
      </c>
      <c r="BA736" s="255">
        <f t="shared" si="400"/>
        <v>0</v>
      </c>
      <c r="BB736" s="31">
        <f t="shared" si="401"/>
        <v>0</v>
      </c>
      <c r="BC736" s="255">
        <f t="shared" si="402"/>
        <v>0</v>
      </c>
      <c r="BD736" s="31">
        <f t="shared" si="403"/>
        <v>0</v>
      </c>
      <c r="BE736" s="255">
        <f t="shared" si="404"/>
        <v>0</v>
      </c>
      <c r="BF736" s="31">
        <f t="shared" si="405"/>
        <v>0</v>
      </c>
      <c r="BG736" s="255">
        <f t="shared" si="406"/>
        <v>0</v>
      </c>
      <c r="BH736" s="31">
        <f t="shared" si="407"/>
        <v>0</v>
      </c>
      <c r="BI736" s="255">
        <f t="shared" si="408"/>
        <v>0</v>
      </c>
      <c r="BJ736" s="31">
        <f t="shared" si="409"/>
        <v>0</v>
      </c>
      <c r="BK736" s="31">
        <f t="shared" si="410"/>
        <v>0</v>
      </c>
      <c r="BL736" s="255">
        <f t="shared" si="411"/>
        <v>0</v>
      </c>
      <c r="BM736" s="31">
        <f t="shared" si="412"/>
        <v>0</v>
      </c>
      <c r="BN736" s="255">
        <f t="shared" si="413"/>
        <v>0</v>
      </c>
    </row>
    <row r="737" spans="1:66" x14ac:dyDescent="0.25">
      <c r="A737" t="s">
        <v>1559</v>
      </c>
      <c r="B737" s="186" t="str">
        <f>VLOOKUP(A737,kurspris!$A$1:$B$877,2,FALSE)</f>
        <v>Specialpedagogik för grundskolan (UK)</v>
      </c>
      <c r="C737"/>
      <c r="D737" t="s">
        <v>524</v>
      </c>
      <c r="E737" t="s">
        <v>1994</v>
      </c>
      <c r="F737" s="39" t="s">
        <v>1930</v>
      </c>
      <c r="G737" t="s">
        <v>1943</v>
      </c>
      <c r="H737" t="s">
        <v>1910</v>
      </c>
      <c r="I737"/>
      <c r="J737"/>
      <c r="K737"/>
      <c r="L737">
        <v>100</v>
      </c>
      <c r="M737">
        <v>5</v>
      </c>
      <c r="N737"/>
      <c r="O737"/>
      <c r="P737" s="31">
        <v>1</v>
      </c>
      <c r="Q737" s="232">
        <f t="shared" si="386"/>
        <v>8.3333333333333329E-2</v>
      </c>
      <c r="R737" s="40">
        <v>0.85</v>
      </c>
      <c r="S737" s="334">
        <f t="shared" si="387"/>
        <v>7.0833333333333331E-2</v>
      </c>
      <c r="T737" s="31">
        <f>VLOOKUP(A737,'Ansvar kurs'!$A$1:$C$1010,2,FALSE)</f>
        <v>2180</v>
      </c>
      <c r="U737" s="31" t="str">
        <f>VLOOKUP(T737,Orgenheter!$A$1:$C$165,2,FALSE)</f>
        <v xml:space="preserve">Pedagogik                     </v>
      </c>
      <c r="V737" s="31" t="str">
        <f>VLOOKUP(T737,Orgenheter!$A$1:$C$165,3,FALSE)</f>
        <v>Sam</v>
      </c>
      <c r="W737" s="37" t="str">
        <f>VLOOKUP(D737,Program!$A$1:$B$34,2,FALSE)</f>
        <v>Grundlärarprogrammet - grundskolans åk 4-6</v>
      </c>
      <c r="X737" s="42">
        <f>VLOOKUP(A737,kurspris!$A$1:$Q$798,15,FALSE)</f>
        <v>23641</v>
      </c>
      <c r="Y737" s="42">
        <f>VLOOKUP(A737,kurspris!$A$1:$Q$798,16,FALSE)</f>
        <v>28786</v>
      </c>
      <c r="Z737" s="42">
        <f t="shared" si="388"/>
        <v>4009.0916666666662</v>
      </c>
      <c r="AA737" s="42">
        <f>VLOOKUP(A737,kurspris!$A$1:$Q$798,17,FALSE)</f>
        <v>5800</v>
      </c>
      <c r="AB737" s="42">
        <f t="shared" si="389"/>
        <v>483.33333333333331</v>
      </c>
      <c r="AC737" s="42">
        <f t="shared" si="390"/>
        <v>4492.4249999999993</v>
      </c>
      <c r="AD737" s="31">
        <f>VLOOKUP($A737,kurspris!$A$1:$Q$835,3,FALSE)</f>
        <v>0</v>
      </c>
      <c r="AE737" s="31">
        <f>VLOOKUP($A737,kurspris!$A$1:$Q$835,4,FALSE)</f>
        <v>0</v>
      </c>
      <c r="AF737" s="31">
        <f>VLOOKUP($A737,kurspris!$A$1:$Q$835,5,FALSE)</f>
        <v>0</v>
      </c>
      <c r="AG737" s="31">
        <f>VLOOKUP($A737,kurspris!$A$1:$Q$835,6,FALSE)</f>
        <v>1</v>
      </c>
      <c r="AH737" s="31">
        <f>VLOOKUP($A737,kurspris!$A$1:$Q$835,7,FALSE)</f>
        <v>0</v>
      </c>
      <c r="AI737" s="31">
        <f>VLOOKUP($A737,kurspris!$A$1:$Q$835,8,FALSE)</f>
        <v>0</v>
      </c>
      <c r="AJ737" s="31">
        <f>VLOOKUP($A737,kurspris!$A$1:$Q$835,9,FALSE)</f>
        <v>0</v>
      </c>
      <c r="AK737" s="31">
        <f>VLOOKUP($A737,kurspris!$A$1:$Q$835,10,FALSE)</f>
        <v>0</v>
      </c>
      <c r="AL737" s="31">
        <f>VLOOKUP($A737,kurspris!$A$1:$Q$835,11,FALSE)</f>
        <v>0</v>
      </c>
      <c r="AM737" s="31">
        <f>VLOOKUP($A737,kurspris!$A$1:$Q$835,12,FALSE)</f>
        <v>0</v>
      </c>
      <c r="AN737" s="31">
        <f>VLOOKUP($A737,kurspris!$A$1:$Q$835,13,FALSE)</f>
        <v>0</v>
      </c>
      <c r="AO737" s="31">
        <f>VLOOKUP($A737,kurspris!$A$1:$Q$835,14,FALSE)</f>
        <v>0</v>
      </c>
      <c r="AP737" s="39" t="s">
        <v>2235</v>
      </c>
      <c r="AQ737"/>
      <c r="AR737" s="31">
        <f t="shared" si="391"/>
        <v>0</v>
      </c>
      <c r="AS737" s="255">
        <f t="shared" si="392"/>
        <v>0</v>
      </c>
      <c r="AT737" s="31">
        <f t="shared" si="393"/>
        <v>0</v>
      </c>
      <c r="AU737" s="255">
        <f t="shared" si="394"/>
        <v>0</v>
      </c>
      <c r="AV737" s="31">
        <f t="shared" si="395"/>
        <v>0</v>
      </c>
      <c r="AW737" s="31">
        <f t="shared" si="396"/>
        <v>0</v>
      </c>
      <c r="AX737" s="31">
        <f t="shared" si="397"/>
        <v>8.3333333333333329E-2</v>
      </c>
      <c r="AY737" s="255">
        <f t="shared" si="398"/>
        <v>7.0833333333333331E-2</v>
      </c>
      <c r="AZ737" s="232">
        <f t="shared" si="399"/>
        <v>0</v>
      </c>
      <c r="BA737" s="255">
        <f t="shared" si="400"/>
        <v>0</v>
      </c>
      <c r="BB737" s="31">
        <f t="shared" si="401"/>
        <v>0</v>
      </c>
      <c r="BC737" s="255">
        <f t="shared" si="402"/>
        <v>0</v>
      </c>
      <c r="BD737" s="31">
        <f t="shared" si="403"/>
        <v>0</v>
      </c>
      <c r="BE737" s="255">
        <f t="shared" si="404"/>
        <v>0</v>
      </c>
      <c r="BF737" s="31">
        <f t="shared" si="405"/>
        <v>0</v>
      </c>
      <c r="BG737" s="255">
        <f t="shared" si="406"/>
        <v>0</v>
      </c>
      <c r="BH737" s="31">
        <f t="shared" si="407"/>
        <v>0</v>
      </c>
      <c r="BI737" s="255">
        <f t="shared" si="408"/>
        <v>0</v>
      </c>
      <c r="BJ737" s="31">
        <f t="shared" si="409"/>
        <v>0</v>
      </c>
      <c r="BK737" s="31">
        <f t="shared" si="410"/>
        <v>0</v>
      </c>
      <c r="BL737" s="255">
        <f t="shared" si="411"/>
        <v>0</v>
      </c>
      <c r="BM737" s="31">
        <f t="shared" si="412"/>
        <v>0</v>
      </c>
      <c r="BN737" s="255">
        <f t="shared" si="413"/>
        <v>0</v>
      </c>
    </row>
    <row r="738" spans="1:66" x14ac:dyDescent="0.25">
      <c r="A738" t="s">
        <v>1559</v>
      </c>
      <c r="B738" s="186" t="str">
        <f>VLOOKUP(A738,kurspris!$A$1:$B$877,2,FALSE)</f>
        <v>Specialpedagogik för grundskolan (UK)</v>
      </c>
      <c r="C738"/>
      <c r="D738" t="s">
        <v>524</v>
      </c>
      <c r="E738" t="s">
        <v>1973</v>
      </c>
      <c r="F738" s="39" t="s">
        <v>1930</v>
      </c>
      <c r="G738" t="s">
        <v>1943</v>
      </c>
      <c r="H738" t="s">
        <v>1910</v>
      </c>
      <c r="I738"/>
      <c r="J738"/>
      <c r="K738"/>
      <c r="L738">
        <v>100</v>
      </c>
      <c r="M738">
        <v>5</v>
      </c>
      <c r="N738"/>
      <c r="O738"/>
      <c r="P738" s="31">
        <v>1</v>
      </c>
      <c r="Q738" s="232">
        <f t="shared" si="386"/>
        <v>8.3333333333333329E-2</v>
      </c>
      <c r="R738" s="40">
        <v>0.85</v>
      </c>
      <c r="S738" s="334">
        <f t="shared" si="387"/>
        <v>7.0833333333333331E-2</v>
      </c>
      <c r="T738" s="31">
        <f>VLOOKUP(A738,'Ansvar kurs'!$A$1:$C$1010,2,FALSE)</f>
        <v>2180</v>
      </c>
      <c r="U738" s="31" t="str">
        <f>VLOOKUP(T738,Orgenheter!$A$1:$C$165,2,FALSE)</f>
        <v xml:space="preserve">Pedagogik                     </v>
      </c>
      <c r="V738" s="31" t="str">
        <f>VLOOKUP(T738,Orgenheter!$A$1:$C$165,3,FALSE)</f>
        <v>Sam</v>
      </c>
      <c r="W738" s="37" t="str">
        <f>VLOOKUP(D738,Program!$A$1:$B$34,2,FALSE)</f>
        <v>Grundlärarprogrammet - grundskolans åk 4-6</v>
      </c>
      <c r="X738" s="42">
        <f>VLOOKUP(A738,kurspris!$A$1:$Q$798,15,FALSE)</f>
        <v>23641</v>
      </c>
      <c r="Y738" s="42">
        <f>VLOOKUP(A738,kurspris!$A$1:$Q$798,16,FALSE)</f>
        <v>28786</v>
      </c>
      <c r="Z738" s="42">
        <f t="shared" si="388"/>
        <v>4009.0916666666662</v>
      </c>
      <c r="AA738" s="42">
        <f>VLOOKUP(A738,kurspris!$A$1:$Q$798,17,FALSE)</f>
        <v>5800</v>
      </c>
      <c r="AB738" s="42">
        <f t="shared" si="389"/>
        <v>483.33333333333331</v>
      </c>
      <c r="AC738" s="42">
        <f t="shared" si="390"/>
        <v>4492.4249999999993</v>
      </c>
      <c r="AD738" s="31">
        <f>VLOOKUP($A738,kurspris!$A$1:$Q$835,3,FALSE)</f>
        <v>0</v>
      </c>
      <c r="AE738" s="31">
        <f>VLOOKUP($A738,kurspris!$A$1:$Q$835,4,FALSE)</f>
        <v>0</v>
      </c>
      <c r="AF738" s="31">
        <f>VLOOKUP($A738,kurspris!$A$1:$Q$835,5,FALSE)</f>
        <v>0</v>
      </c>
      <c r="AG738" s="31">
        <f>VLOOKUP($A738,kurspris!$A$1:$Q$835,6,FALSE)</f>
        <v>1</v>
      </c>
      <c r="AH738" s="31">
        <f>VLOOKUP($A738,kurspris!$A$1:$Q$835,7,FALSE)</f>
        <v>0</v>
      </c>
      <c r="AI738" s="31">
        <f>VLOOKUP($A738,kurspris!$A$1:$Q$835,8,FALSE)</f>
        <v>0</v>
      </c>
      <c r="AJ738" s="31">
        <f>VLOOKUP($A738,kurspris!$A$1:$Q$835,9,FALSE)</f>
        <v>0</v>
      </c>
      <c r="AK738" s="31">
        <f>VLOOKUP($A738,kurspris!$A$1:$Q$835,10,FALSE)</f>
        <v>0</v>
      </c>
      <c r="AL738" s="31">
        <f>VLOOKUP($A738,kurspris!$A$1:$Q$835,11,FALSE)</f>
        <v>0</v>
      </c>
      <c r="AM738" s="31">
        <f>VLOOKUP($A738,kurspris!$A$1:$Q$835,12,FALSE)</f>
        <v>0</v>
      </c>
      <c r="AN738" s="31">
        <f>VLOOKUP($A738,kurspris!$A$1:$Q$835,13,FALSE)</f>
        <v>0</v>
      </c>
      <c r="AO738" s="31">
        <f>VLOOKUP($A738,kurspris!$A$1:$Q$835,14,FALSE)</f>
        <v>0</v>
      </c>
      <c r="AP738" s="39" t="s">
        <v>2235</v>
      </c>
      <c r="AQ738"/>
      <c r="AR738" s="31">
        <f t="shared" si="391"/>
        <v>0</v>
      </c>
      <c r="AS738" s="255">
        <f t="shared" si="392"/>
        <v>0</v>
      </c>
      <c r="AT738" s="31">
        <f t="shared" si="393"/>
        <v>0</v>
      </c>
      <c r="AU738" s="255">
        <f t="shared" si="394"/>
        <v>0</v>
      </c>
      <c r="AV738" s="31">
        <f t="shared" si="395"/>
        <v>0</v>
      </c>
      <c r="AW738" s="31">
        <f t="shared" si="396"/>
        <v>0</v>
      </c>
      <c r="AX738" s="31">
        <f t="shared" si="397"/>
        <v>8.3333333333333329E-2</v>
      </c>
      <c r="AY738" s="255">
        <f t="shared" si="398"/>
        <v>7.0833333333333331E-2</v>
      </c>
      <c r="AZ738" s="232">
        <f t="shared" si="399"/>
        <v>0</v>
      </c>
      <c r="BA738" s="255">
        <f t="shared" si="400"/>
        <v>0</v>
      </c>
      <c r="BB738" s="31">
        <f t="shared" si="401"/>
        <v>0</v>
      </c>
      <c r="BC738" s="255">
        <f t="shared" si="402"/>
        <v>0</v>
      </c>
      <c r="BD738" s="31">
        <f t="shared" si="403"/>
        <v>0</v>
      </c>
      <c r="BE738" s="255">
        <f t="shared" si="404"/>
        <v>0</v>
      </c>
      <c r="BF738" s="31">
        <f t="shared" si="405"/>
        <v>0</v>
      </c>
      <c r="BG738" s="255">
        <f t="shared" si="406"/>
        <v>0</v>
      </c>
      <c r="BH738" s="31">
        <f t="shared" si="407"/>
        <v>0</v>
      </c>
      <c r="BI738" s="255">
        <f t="shared" si="408"/>
        <v>0</v>
      </c>
      <c r="BJ738" s="31">
        <f t="shared" si="409"/>
        <v>0</v>
      </c>
      <c r="BK738" s="31">
        <f t="shared" si="410"/>
        <v>0</v>
      </c>
      <c r="BL738" s="255">
        <f t="shared" si="411"/>
        <v>0</v>
      </c>
      <c r="BM738" s="31">
        <f t="shared" si="412"/>
        <v>0</v>
      </c>
      <c r="BN738" s="255">
        <f t="shared" si="413"/>
        <v>0</v>
      </c>
    </row>
    <row r="739" spans="1:66" x14ac:dyDescent="0.25">
      <c r="A739" t="s">
        <v>1559</v>
      </c>
      <c r="B739" s="186" t="str">
        <f>VLOOKUP(A739,kurspris!$A$1:$B$877,2,FALSE)</f>
        <v>Specialpedagogik för grundskolan (UK)</v>
      </c>
      <c r="C739"/>
      <c r="D739" t="s">
        <v>524</v>
      </c>
      <c r="E739" t="s">
        <v>1609</v>
      </c>
      <c r="F739" s="39" t="s">
        <v>1930</v>
      </c>
      <c r="G739" t="s">
        <v>1943</v>
      </c>
      <c r="H739" t="s">
        <v>1910</v>
      </c>
      <c r="I739"/>
      <c r="J739"/>
      <c r="K739"/>
      <c r="L739">
        <v>100</v>
      </c>
      <c r="M739">
        <v>5</v>
      </c>
      <c r="N739"/>
      <c r="O739"/>
      <c r="P739" s="31">
        <v>32</v>
      </c>
      <c r="Q739" s="232">
        <f t="shared" si="386"/>
        <v>2.6666666666666665</v>
      </c>
      <c r="R739" s="40">
        <v>0.85</v>
      </c>
      <c r="S739" s="334">
        <f t="shared" si="387"/>
        <v>2.2666666666666666</v>
      </c>
      <c r="T739" s="31">
        <f>VLOOKUP(A739,'Ansvar kurs'!$A$1:$C$1010,2,FALSE)</f>
        <v>2180</v>
      </c>
      <c r="U739" s="31" t="str">
        <f>VLOOKUP(T739,Orgenheter!$A$1:$C$165,2,FALSE)</f>
        <v xml:space="preserve">Pedagogik                     </v>
      </c>
      <c r="V739" s="31" t="str">
        <f>VLOOKUP(T739,Orgenheter!$A$1:$C$165,3,FALSE)</f>
        <v>Sam</v>
      </c>
      <c r="W739" s="37" t="str">
        <f>VLOOKUP(D739,Program!$A$1:$B$34,2,FALSE)</f>
        <v>Grundlärarprogrammet - grundskolans åk 4-6</v>
      </c>
      <c r="X739" s="42">
        <f>VLOOKUP(A739,kurspris!$A$1:$Q$798,15,FALSE)</f>
        <v>23641</v>
      </c>
      <c r="Y739" s="42">
        <f>VLOOKUP(A739,kurspris!$A$1:$Q$798,16,FALSE)</f>
        <v>28786</v>
      </c>
      <c r="Z739" s="42">
        <f t="shared" si="388"/>
        <v>128290.93333333332</v>
      </c>
      <c r="AA739" s="42">
        <f>VLOOKUP(A739,kurspris!$A$1:$Q$798,17,FALSE)</f>
        <v>5800</v>
      </c>
      <c r="AB739" s="42">
        <f t="shared" si="389"/>
        <v>15466.666666666666</v>
      </c>
      <c r="AC739" s="42">
        <f t="shared" si="390"/>
        <v>143757.59999999998</v>
      </c>
      <c r="AD739" s="31">
        <f>VLOOKUP($A739,kurspris!$A$1:$Q$835,3,FALSE)</f>
        <v>0</v>
      </c>
      <c r="AE739" s="31">
        <f>VLOOKUP($A739,kurspris!$A$1:$Q$835,4,FALSE)</f>
        <v>0</v>
      </c>
      <c r="AF739" s="31">
        <f>VLOOKUP($A739,kurspris!$A$1:$Q$835,5,FALSE)</f>
        <v>0</v>
      </c>
      <c r="AG739" s="31">
        <f>VLOOKUP($A739,kurspris!$A$1:$Q$835,6,FALSE)</f>
        <v>1</v>
      </c>
      <c r="AH739" s="31">
        <f>VLOOKUP($A739,kurspris!$A$1:$Q$835,7,FALSE)</f>
        <v>0</v>
      </c>
      <c r="AI739" s="31">
        <f>VLOOKUP($A739,kurspris!$A$1:$Q$835,8,FALSE)</f>
        <v>0</v>
      </c>
      <c r="AJ739" s="31">
        <f>VLOOKUP($A739,kurspris!$A$1:$Q$835,9,FALSE)</f>
        <v>0</v>
      </c>
      <c r="AK739" s="31">
        <f>VLOOKUP($A739,kurspris!$A$1:$Q$835,10,FALSE)</f>
        <v>0</v>
      </c>
      <c r="AL739" s="31">
        <f>VLOOKUP($A739,kurspris!$A$1:$Q$835,11,FALSE)</f>
        <v>0</v>
      </c>
      <c r="AM739" s="31">
        <f>VLOOKUP($A739,kurspris!$A$1:$Q$835,12,FALSE)</f>
        <v>0</v>
      </c>
      <c r="AN739" s="31">
        <f>VLOOKUP($A739,kurspris!$A$1:$Q$835,13,FALSE)</f>
        <v>0</v>
      </c>
      <c r="AO739" s="31">
        <f>VLOOKUP($A739,kurspris!$A$1:$Q$835,14,FALSE)</f>
        <v>0</v>
      </c>
      <c r="AP739" s="39" t="s">
        <v>2235</v>
      </c>
      <c r="AQ739"/>
      <c r="AR739" s="31">
        <f t="shared" si="391"/>
        <v>0</v>
      </c>
      <c r="AS739" s="255">
        <f t="shared" si="392"/>
        <v>0</v>
      </c>
      <c r="AT739" s="31">
        <f t="shared" si="393"/>
        <v>0</v>
      </c>
      <c r="AU739" s="255">
        <f t="shared" si="394"/>
        <v>0</v>
      </c>
      <c r="AV739" s="31">
        <f t="shared" si="395"/>
        <v>0</v>
      </c>
      <c r="AW739" s="31">
        <f t="shared" si="396"/>
        <v>0</v>
      </c>
      <c r="AX739" s="31">
        <f t="shared" si="397"/>
        <v>2.6666666666666665</v>
      </c>
      <c r="AY739" s="255">
        <f t="shared" si="398"/>
        <v>2.2666666666666666</v>
      </c>
      <c r="AZ739" s="232">
        <f t="shared" si="399"/>
        <v>0</v>
      </c>
      <c r="BA739" s="255">
        <f t="shared" si="400"/>
        <v>0</v>
      </c>
      <c r="BB739" s="31">
        <f t="shared" si="401"/>
        <v>0</v>
      </c>
      <c r="BC739" s="255">
        <f t="shared" si="402"/>
        <v>0</v>
      </c>
      <c r="BD739" s="31">
        <f t="shared" si="403"/>
        <v>0</v>
      </c>
      <c r="BE739" s="255">
        <f t="shared" si="404"/>
        <v>0</v>
      </c>
      <c r="BF739" s="31">
        <f t="shared" si="405"/>
        <v>0</v>
      </c>
      <c r="BG739" s="255">
        <f t="shared" si="406"/>
        <v>0</v>
      </c>
      <c r="BH739" s="31">
        <f t="shared" si="407"/>
        <v>0</v>
      </c>
      <c r="BI739" s="255">
        <f t="shared" si="408"/>
        <v>0</v>
      </c>
      <c r="BJ739" s="31">
        <f t="shared" si="409"/>
        <v>0</v>
      </c>
      <c r="BK739" s="31">
        <f t="shared" si="410"/>
        <v>0</v>
      </c>
      <c r="BL739" s="255">
        <f t="shared" si="411"/>
        <v>0</v>
      </c>
      <c r="BM739" s="31">
        <f t="shared" si="412"/>
        <v>0</v>
      </c>
      <c r="BN739" s="255">
        <f t="shared" si="413"/>
        <v>0</v>
      </c>
    </row>
    <row r="740" spans="1:66" x14ac:dyDescent="0.25">
      <c r="A740" s="18" t="s">
        <v>1657</v>
      </c>
      <c r="B740" s="186" t="str">
        <f>VLOOKUP(A740,kurspris!$A$1:$B$877,2,FALSE)</f>
        <v>Specialpedagogik - åk 7-9 och gymnasieskolan (UK)</v>
      </c>
      <c r="C740" s="37"/>
      <c r="D740" t="s">
        <v>117</v>
      </c>
      <c r="E740"/>
      <c r="F740" s="59" t="s">
        <v>1931</v>
      </c>
      <c r="G740"/>
      <c r="H740"/>
      <c r="I740" t="s">
        <v>1634</v>
      </c>
      <c r="L740">
        <v>100</v>
      </c>
      <c r="M740">
        <v>5</v>
      </c>
      <c r="P740">
        <v>5</v>
      </c>
      <c r="Q740" s="232">
        <f t="shared" si="386"/>
        <v>0.41666666666666663</v>
      </c>
      <c r="R740" s="40">
        <v>0.8</v>
      </c>
      <c r="S740" s="334">
        <f t="shared" si="387"/>
        <v>0.33333333333333331</v>
      </c>
      <c r="T740" s="31">
        <f>VLOOKUP(A740,'Ansvar kurs'!$A$1:$C$1010,2,FALSE)</f>
        <v>2180</v>
      </c>
      <c r="U740" s="31" t="str">
        <f>VLOOKUP(T740,Orgenheter!$A$1:$C$165,2,FALSE)</f>
        <v xml:space="preserve">Pedagogik                     </v>
      </c>
      <c r="V740" s="31" t="str">
        <f>VLOOKUP(T740,Orgenheter!$A$1:$C$165,3,FALSE)</f>
        <v>Sam</v>
      </c>
      <c r="W740" s="37" t="str">
        <f>VLOOKUP(D740,Program!$A$1:$B$34,2,FALSE)</f>
        <v>Fristående och övriga kurser</v>
      </c>
      <c r="X740" s="42">
        <f>VLOOKUP(A740,kurspris!$A$1:$Q$798,15,FALSE)</f>
        <v>23641</v>
      </c>
      <c r="Y740" s="42">
        <f>VLOOKUP(A740,kurspris!$A$1:$Q$798,16,FALSE)</f>
        <v>28786</v>
      </c>
      <c r="Z740" s="42">
        <f t="shared" si="388"/>
        <v>19445.75</v>
      </c>
      <c r="AA740" s="42">
        <f>VLOOKUP(A740,kurspris!$A$1:$Q$798,17,FALSE)</f>
        <v>5800</v>
      </c>
      <c r="AB740" s="42">
        <f t="shared" si="389"/>
        <v>2416.6666666666665</v>
      </c>
      <c r="AC740" s="42">
        <f t="shared" si="390"/>
        <v>21862.416666666668</v>
      </c>
      <c r="AD740" s="31">
        <f>VLOOKUP($A740,kurspris!$A$1:$Q$835,3,FALSE)</f>
        <v>0</v>
      </c>
      <c r="AE740" s="31">
        <f>VLOOKUP($A740,kurspris!$A$1:$Q$835,4,FALSE)</f>
        <v>0</v>
      </c>
      <c r="AF740" s="31">
        <f>VLOOKUP($A740,kurspris!$A$1:$Q$835,5,FALSE)</f>
        <v>0</v>
      </c>
      <c r="AG740" s="31">
        <f>VLOOKUP($A740,kurspris!$A$1:$Q$835,6,FALSE)</f>
        <v>1</v>
      </c>
      <c r="AH740" s="31">
        <f>VLOOKUP($A740,kurspris!$A$1:$Q$835,7,FALSE)</f>
        <v>0</v>
      </c>
      <c r="AI740" s="31">
        <f>VLOOKUP($A740,kurspris!$A$1:$Q$835,8,FALSE)</f>
        <v>0</v>
      </c>
      <c r="AJ740" s="31">
        <f>VLOOKUP($A740,kurspris!$A$1:$Q$835,9,FALSE)</f>
        <v>0</v>
      </c>
      <c r="AK740" s="31">
        <f>VLOOKUP($A740,kurspris!$A$1:$Q$835,10,FALSE)</f>
        <v>0</v>
      </c>
      <c r="AL740" s="31">
        <f>VLOOKUP($A740,kurspris!$A$1:$Q$835,11,FALSE)</f>
        <v>0</v>
      </c>
      <c r="AM740" s="31">
        <f>VLOOKUP($A740,kurspris!$A$1:$Q$835,12,FALSE)</f>
        <v>0</v>
      </c>
      <c r="AN740" s="31">
        <f>VLOOKUP($A740,kurspris!$A$1:$Q$835,13,FALSE)</f>
        <v>0</v>
      </c>
      <c r="AO740" s="31">
        <f>VLOOKUP($A740,kurspris!$A$1:$Q$835,14,FALSE)</f>
        <v>0</v>
      </c>
      <c r="AP740" s="39" t="s">
        <v>2095</v>
      </c>
      <c r="AQ740"/>
      <c r="AR740" s="31">
        <f t="shared" si="391"/>
        <v>0</v>
      </c>
      <c r="AS740" s="255">
        <f t="shared" si="392"/>
        <v>0</v>
      </c>
      <c r="AT740" s="31">
        <f t="shared" si="393"/>
        <v>0</v>
      </c>
      <c r="AU740" s="255">
        <f t="shared" si="394"/>
        <v>0</v>
      </c>
      <c r="AV740" s="31">
        <f t="shared" si="395"/>
        <v>0</v>
      </c>
      <c r="AW740" s="31">
        <f t="shared" si="396"/>
        <v>0</v>
      </c>
      <c r="AX740" s="31">
        <f t="shared" si="397"/>
        <v>0.41666666666666663</v>
      </c>
      <c r="AY740" s="255">
        <f t="shared" si="398"/>
        <v>0.33333333333333331</v>
      </c>
      <c r="AZ740" s="232">
        <f t="shared" si="399"/>
        <v>0</v>
      </c>
      <c r="BA740" s="255">
        <f t="shared" si="400"/>
        <v>0</v>
      </c>
      <c r="BB740" s="31">
        <f t="shared" si="401"/>
        <v>0</v>
      </c>
      <c r="BC740" s="255">
        <f t="shared" si="402"/>
        <v>0</v>
      </c>
      <c r="BD740" s="31">
        <f t="shared" si="403"/>
        <v>0</v>
      </c>
      <c r="BE740" s="255">
        <f t="shared" si="404"/>
        <v>0</v>
      </c>
      <c r="BF740" s="31">
        <f t="shared" si="405"/>
        <v>0</v>
      </c>
      <c r="BG740" s="255">
        <f t="shared" si="406"/>
        <v>0</v>
      </c>
      <c r="BH740" s="31">
        <f t="shared" si="407"/>
        <v>0</v>
      </c>
      <c r="BI740" s="255">
        <f t="shared" si="408"/>
        <v>0</v>
      </c>
      <c r="BJ740" s="31">
        <f t="shared" si="409"/>
        <v>0</v>
      </c>
      <c r="BK740" s="31">
        <f t="shared" si="410"/>
        <v>0</v>
      </c>
      <c r="BL740" s="255">
        <f t="shared" si="411"/>
        <v>0</v>
      </c>
      <c r="BM740" s="31">
        <f t="shared" si="412"/>
        <v>0</v>
      </c>
      <c r="BN740" s="255">
        <f t="shared" si="413"/>
        <v>0</v>
      </c>
    </row>
    <row r="741" spans="1:66" x14ac:dyDescent="0.25">
      <c r="A741" s="18" t="s">
        <v>1657</v>
      </c>
      <c r="B741" s="186" t="str">
        <f>VLOOKUP(A741,kurspris!$A$1:$B$877,2,FALSE)</f>
        <v>Specialpedagogik - åk 7-9 och gymnasieskolan (UK)</v>
      </c>
      <c r="C741" s="37"/>
      <c r="D741" s="31" t="s">
        <v>482</v>
      </c>
      <c r="E741" s="31" t="s">
        <v>1609</v>
      </c>
      <c r="F741" s="59" t="s">
        <v>1931</v>
      </c>
      <c r="G741" s="31" t="s">
        <v>2273</v>
      </c>
      <c r="J741" s="31" t="s">
        <v>1595</v>
      </c>
      <c r="L741" s="31">
        <v>100</v>
      </c>
      <c r="M741" s="31">
        <v>5</v>
      </c>
      <c r="P741" s="31">
        <v>4</v>
      </c>
      <c r="Q741" s="232">
        <f t="shared" si="386"/>
        <v>0.33333333333333331</v>
      </c>
      <c r="R741" s="40">
        <v>0.85</v>
      </c>
      <c r="S741" s="334">
        <f t="shared" si="387"/>
        <v>0.28333333333333333</v>
      </c>
      <c r="T741" s="31">
        <f>VLOOKUP(A741,'Ansvar kurs'!$A$1:$C$1010,2,FALSE)</f>
        <v>2180</v>
      </c>
      <c r="U741" s="31" t="str">
        <f>VLOOKUP(T741,Orgenheter!$A$1:$C$165,2,FALSE)</f>
        <v xml:space="preserve">Pedagogik                     </v>
      </c>
      <c r="V741" s="31" t="str">
        <f>VLOOKUP(T741,Orgenheter!$A$1:$C$165,3,FALSE)</f>
        <v>Sam</v>
      </c>
      <c r="W741" s="37" t="str">
        <f>VLOOKUP(D741,Program!$A$1:$B$34,2,FALSE)</f>
        <v>Ämneslärarprogrammet - åk 7-9</v>
      </c>
      <c r="X741" s="42">
        <f>VLOOKUP(A741,kurspris!$A$1:$Q$798,15,FALSE)</f>
        <v>23641</v>
      </c>
      <c r="Y741" s="42">
        <f>VLOOKUP(A741,kurspris!$A$1:$Q$798,16,FALSE)</f>
        <v>28786</v>
      </c>
      <c r="Z741" s="42">
        <f t="shared" si="388"/>
        <v>16036.366666666665</v>
      </c>
      <c r="AA741" s="42">
        <f>VLOOKUP(A741,kurspris!$A$1:$Q$798,17,FALSE)</f>
        <v>5800</v>
      </c>
      <c r="AB741" s="42">
        <f t="shared" si="389"/>
        <v>1933.3333333333333</v>
      </c>
      <c r="AC741" s="42">
        <f t="shared" si="390"/>
        <v>17969.699999999997</v>
      </c>
      <c r="AD741" s="31">
        <f>VLOOKUP($A741,kurspris!$A$1:$Q$835,3,FALSE)</f>
        <v>0</v>
      </c>
      <c r="AE741" s="31">
        <f>VLOOKUP($A741,kurspris!$A$1:$Q$835,4,FALSE)</f>
        <v>0</v>
      </c>
      <c r="AF741" s="31">
        <f>VLOOKUP($A741,kurspris!$A$1:$Q$835,5,FALSE)</f>
        <v>0</v>
      </c>
      <c r="AG741" s="31">
        <f>VLOOKUP($A741,kurspris!$A$1:$Q$835,6,FALSE)</f>
        <v>1</v>
      </c>
      <c r="AH741" s="31">
        <f>VLOOKUP($A741,kurspris!$A$1:$Q$835,7,FALSE)</f>
        <v>0</v>
      </c>
      <c r="AI741" s="31">
        <f>VLOOKUP($A741,kurspris!$A$1:$Q$835,8,FALSE)</f>
        <v>0</v>
      </c>
      <c r="AJ741" s="31">
        <f>VLOOKUP($A741,kurspris!$A$1:$Q$835,9,FALSE)</f>
        <v>0</v>
      </c>
      <c r="AK741" s="31">
        <f>VLOOKUP($A741,kurspris!$A$1:$Q$835,10,FALSE)</f>
        <v>0</v>
      </c>
      <c r="AL741" s="31">
        <f>VLOOKUP($A741,kurspris!$A$1:$Q$835,11,FALSE)</f>
        <v>0</v>
      </c>
      <c r="AM741" s="31">
        <f>VLOOKUP($A741,kurspris!$A$1:$Q$835,12,FALSE)</f>
        <v>0</v>
      </c>
      <c r="AN741" s="31">
        <f>VLOOKUP($A741,kurspris!$A$1:$Q$835,13,FALSE)</f>
        <v>0</v>
      </c>
      <c r="AO741" s="31">
        <f>VLOOKUP($A741,kurspris!$A$1:$Q$835,14,FALSE)</f>
        <v>0</v>
      </c>
      <c r="AP741" s="39" t="s">
        <v>2326</v>
      </c>
      <c r="AQ741"/>
      <c r="AR741" s="31">
        <f t="shared" si="391"/>
        <v>0</v>
      </c>
      <c r="AS741" s="255">
        <f t="shared" si="392"/>
        <v>0</v>
      </c>
      <c r="AT741" s="31">
        <f t="shared" si="393"/>
        <v>0</v>
      </c>
      <c r="AU741" s="255">
        <f t="shared" si="394"/>
        <v>0</v>
      </c>
      <c r="AV741" s="31">
        <f t="shared" si="395"/>
        <v>0</v>
      </c>
      <c r="AW741" s="31">
        <f t="shared" si="396"/>
        <v>0</v>
      </c>
      <c r="AX741" s="31">
        <f t="shared" si="397"/>
        <v>0.33333333333333331</v>
      </c>
      <c r="AY741" s="255">
        <f t="shared" si="398"/>
        <v>0.28333333333333333</v>
      </c>
      <c r="AZ741" s="232">
        <f t="shared" si="399"/>
        <v>0</v>
      </c>
      <c r="BA741" s="255">
        <f t="shared" si="400"/>
        <v>0</v>
      </c>
      <c r="BB741" s="31">
        <f t="shared" si="401"/>
        <v>0</v>
      </c>
      <c r="BC741" s="255">
        <f t="shared" si="402"/>
        <v>0</v>
      </c>
      <c r="BD741" s="31">
        <f t="shared" si="403"/>
        <v>0</v>
      </c>
      <c r="BE741" s="255">
        <f t="shared" si="404"/>
        <v>0</v>
      </c>
      <c r="BF741" s="31">
        <f t="shared" si="405"/>
        <v>0</v>
      </c>
      <c r="BG741" s="255">
        <f t="shared" si="406"/>
        <v>0</v>
      </c>
      <c r="BH741" s="31">
        <f t="shared" si="407"/>
        <v>0</v>
      </c>
      <c r="BI741" s="255">
        <f t="shared" si="408"/>
        <v>0</v>
      </c>
      <c r="BJ741" s="31">
        <f t="shared" si="409"/>
        <v>0</v>
      </c>
      <c r="BK741" s="31">
        <f t="shared" si="410"/>
        <v>0</v>
      </c>
      <c r="BL741" s="255">
        <f t="shared" si="411"/>
        <v>0</v>
      </c>
      <c r="BM741" s="31">
        <f t="shared" si="412"/>
        <v>0</v>
      </c>
      <c r="BN741" s="255">
        <f t="shared" si="413"/>
        <v>0</v>
      </c>
    </row>
    <row r="742" spans="1:66" x14ac:dyDescent="0.25">
      <c r="A742" s="18" t="s">
        <v>1657</v>
      </c>
      <c r="B742" s="186" t="str">
        <f>VLOOKUP(A742,kurspris!$A$1:$B$877,2,FALSE)</f>
        <v>Specialpedagogik - åk 7-9 och gymnasieskolan (UK)</v>
      </c>
      <c r="C742" s="37"/>
      <c r="D742" s="31" t="s">
        <v>483</v>
      </c>
      <c r="E742" s="31" t="s">
        <v>1976</v>
      </c>
      <c r="F742" s="59" t="s">
        <v>1931</v>
      </c>
      <c r="G742" s="31" t="s">
        <v>2273</v>
      </c>
      <c r="J742" t="s">
        <v>771</v>
      </c>
      <c r="L742" s="31">
        <v>100</v>
      </c>
      <c r="M742" s="31">
        <v>5</v>
      </c>
      <c r="P742" s="31">
        <v>1</v>
      </c>
      <c r="Q742" s="232">
        <f t="shared" si="386"/>
        <v>8.3333333333333329E-2</v>
      </c>
      <c r="R742" s="40">
        <v>0.85</v>
      </c>
      <c r="S742" s="334">
        <f t="shared" si="387"/>
        <v>7.0833333333333331E-2</v>
      </c>
      <c r="T742" s="31">
        <f>VLOOKUP(A742,'Ansvar kurs'!$A$1:$C$1010,2,FALSE)</f>
        <v>2180</v>
      </c>
      <c r="U742" s="31" t="str">
        <f>VLOOKUP(T742,Orgenheter!$A$1:$C$165,2,FALSE)</f>
        <v xml:space="preserve">Pedagogik                     </v>
      </c>
      <c r="V742" s="31" t="str">
        <f>VLOOKUP(T742,Orgenheter!$A$1:$C$165,3,FALSE)</f>
        <v>Sam</v>
      </c>
      <c r="W742" s="37" t="str">
        <f>VLOOKUP(D742,Program!$A$1:$B$34,2,FALSE)</f>
        <v>Ämneslärarprogrammet - Gy</v>
      </c>
      <c r="X742" s="42">
        <f>VLOOKUP(A742,kurspris!$A$1:$Q$798,15,FALSE)</f>
        <v>23641</v>
      </c>
      <c r="Y742" s="42">
        <f>VLOOKUP(A742,kurspris!$A$1:$Q$798,16,FALSE)</f>
        <v>28786</v>
      </c>
      <c r="Z742" s="42">
        <f t="shared" si="388"/>
        <v>4009.0916666666662</v>
      </c>
      <c r="AA742" s="42">
        <f>VLOOKUP(A742,kurspris!$A$1:$Q$798,17,FALSE)</f>
        <v>5800</v>
      </c>
      <c r="AB742" s="42">
        <f t="shared" si="389"/>
        <v>483.33333333333331</v>
      </c>
      <c r="AC742" s="42">
        <f t="shared" si="390"/>
        <v>4492.4249999999993</v>
      </c>
      <c r="AD742" s="31">
        <f>VLOOKUP($A742,kurspris!$A$1:$Q$835,3,FALSE)</f>
        <v>0</v>
      </c>
      <c r="AE742" s="31">
        <f>VLOOKUP($A742,kurspris!$A$1:$Q$835,4,FALSE)</f>
        <v>0</v>
      </c>
      <c r="AF742" s="31">
        <f>VLOOKUP($A742,kurspris!$A$1:$Q$835,5,FALSE)</f>
        <v>0</v>
      </c>
      <c r="AG742" s="31">
        <f>VLOOKUP($A742,kurspris!$A$1:$Q$835,6,FALSE)</f>
        <v>1</v>
      </c>
      <c r="AH742" s="31">
        <f>VLOOKUP($A742,kurspris!$A$1:$Q$835,7,FALSE)</f>
        <v>0</v>
      </c>
      <c r="AI742" s="31">
        <f>VLOOKUP($A742,kurspris!$A$1:$Q$835,8,FALSE)</f>
        <v>0</v>
      </c>
      <c r="AJ742" s="31">
        <f>VLOOKUP($A742,kurspris!$A$1:$Q$835,9,FALSE)</f>
        <v>0</v>
      </c>
      <c r="AK742" s="31">
        <f>VLOOKUP($A742,kurspris!$A$1:$Q$835,10,FALSE)</f>
        <v>0</v>
      </c>
      <c r="AL742" s="31">
        <f>VLOOKUP($A742,kurspris!$A$1:$Q$835,11,FALSE)</f>
        <v>0</v>
      </c>
      <c r="AM742" s="31">
        <f>VLOOKUP($A742,kurspris!$A$1:$Q$835,12,FALSE)</f>
        <v>0</v>
      </c>
      <c r="AN742" s="31">
        <f>VLOOKUP($A742,kurspris!$A$1:$Q$835,13,FALSE)</f>
        <v>0</v>
      </c>
      <c r="AO742" s="31">
        <f>VLOOKUP($A742,kurspris!$A$1:$Q$835,14,FALSE)</f>
        <v>0</v>
      </c>
      <c r="AP742" s="39" t="s">
        <v>2326</v>
      </c>
      <c r="AQ742"/>
      <c r="AR742" s="31">
        <f t="shared" si="391"/>
        <v>0</v>
      </c>
      <c r="AS742" s="255">
        <f t="shared" si="392"/>
        <v>0</v>
      </c>
      <c r="AT742" s="31">
        <f t="shared" si="393"/>
        <v>0</v>
      </c>
      <c r="AU742" s="255">
        <f t="shared" si="394"/>
        <v>0</v>
      </c>
      <c r="AV742" s="31">
        <f t="shared" si="395"/>
        <v>0</v>
      </c>
      <c r="AW742" s="31">
        <f t="shared" si="396"/>
        <v>0</v>
      </c>
      <c r="AX742" s="31">
        <f t="shared" si="397"/>
        <v>8.3333333333333329E-2</v>
      </c>
      <c r="AY742" s="255">
        <f t="shared" si="398"/>
        <v>7.0833333333333331E-2</v>
      </c>
      <c r="AZ742" s="232">
        <f t="shared" si="399"/>
        <v>0</v>
      </c>
      <c r="BA742" s="255">
        <f t="shared" si="400"/>
        <v>0</v>
      </c>
      <c r="BB742" s="31">
        <f t="shared" si="401"/>
        <v>0</v>
      </c>
      <c r="BC742" s="255">
        <f t="shared" si="402"/>
        <v>0</v>
      </c>
      <c r="BD742" s="31">
        <f t="shared" si="403"/>
        <v>0</v>
      </c>
      <c r="BE742" s="255">
        <f t="shared" si="404"/>
        <v>0</v>
      </c>
      <c r="BF742" s="31">
        <f t="shared" si="405"/>
        <v>0</v>
      </c>
      <c r="BG742" s="255">
        <f t="shared" si="406"/>
        <v>0</v>
      </c>
      <c r="BH742" s="31">
        <f t="shared" si="407"/>
        <v>0</v>
      </c>
      <c r="BI742" s="255">
        <f t="shared" si="408"/>
        <v>0</v>
      </c>
      <c r="BJ742" s="31">
        <f t="shared" si="409"/>
        <v>0</v>
      </c>
      <c r="BK742" s="31">
        <f t="shared" si="410"/>
        <v>0</v>
      </c>
      <c r="BL742" s="255">
        <f t="shared" si="411"/>
        <v>0</v>
      </c>
      <c r="BM742" s="31">
        <f t="shared" si="412"/>
        <v>0</v>
      </c>
      <c r="BN742" s="255">
        <f t="shared" si="413"/>
        <v>0</v>
      </c>
    </row>
    <row r="743" spans="1:66" x14ac:dyDescent="0.25">
      <c r="A743" s="18" t="s">
        <v>1657</v>
      </c>
      <c r="B743" s="186" t="str">
        <f>VLOOKUP(A743,kurspris!$A$1:$B$877,2,FALSE)</f>
        <v>Specialpedagogik - åk 7-9 och gymnasieskolan (UK)</v>
      </c>
      <c r="C743" s="37"/>
      <c r="D743" s="31" t="s">
        <v>483</v>
      </c>
      <c r="E743" s="31" t="s">
        <v>1976</v>
      </c>
      <c r="F743" s="59" t="s">
        <v>1931</v>
      </c>
      <c r="G743" s="31" t="s">
        <v>2273</v>
      </c>
      <c r="J743" t="s">
        <v>774</v>
      </c>
      <c r="L743" s="31">
        <v>100</v>
      </c>
      <c r="M743" s="31">
        <v>5</v>
      </c>
      <c r="P743" s="31">
        <v>2</v>
      </c>
      <c r="Q743" s="232">
        <f t="shared" si="386"/>
        <v>0.16666666666666666</v>
      </c>
      <c r="R743" s="40">
        <v>0.85</v>
      </c>
      <c r="S743" s="334">
        <f t="shared" si="387"/>
        <v>0.14166666666666666</v>
      </c>
      <c r="T743" s="31">
        <f>VLOOKUP(A743,'Ansvar kurs'!$A$1:$C$1010,2,FALSE)</f>
        <v>2180</v>
      </c>
      <c r="U743" s="31" t="str">
        <f>VLOOKUP(T743,Orgenheter!$A$1:$C$165,2,FALSE)</f>
        <v xml:space="preserve">Pedagogik                     </v>
      </c>
      <c r="V743" s="31" t="str">
        <f>VLOOKUP(T743,Orgenheter!$A$1:$C$165,3,FALSE)</f>
        <v>Sam</v>
      </c>
      <c r="W743" s="37" t="str">
        <f>VLOOKUP(D743,Program!$A$1:$B$34,2,FALSE)</f>
        <v>Ämneslärarprogrammet - Gy</v>
      </c>
      <c r="X743" s="42">
        <f>VLOOKUP(A743,kurspris!$A$1:$Q$798,15,FALSE)</f>
        <v>23641</v>
      </c>
      <c r="Y743" s="42">
        <f>VLOOKUP(A743,kurspris!$A$1:$Q$798,16,FALSE)</f>
        <v>28786</v>
      </c>
      <c r="Z743" s="42">
        <f t="shared" si="388"/>
        <v>8018.1833333333325</v>
      </c>
      <c r="AA743" s="42">
        <f>VLOOKUP(A743,kurspris!$A$1:$Q$798,17,FALSE)</f>
        <v>5800</v>
      </c>
      <c r="AB743" s="42">
        <f t="shared" si="389"/>
        <v>966.66666666666663</v>
      </c>
      <c r="AC743" s="42">
        <f t="shared" si="390"/>
        <v>8984.8499999999985</v>
      </c>
      <c r="AD743" s="31">
        <f>VLOOKUP($A743,kurspris!$A$1:$Q$835,3,FALSE)</f>
        <v>0</v>
      </c>
      <c r="AE743" s="31">
        <f>VLOOKUP($A743,kurspris!$A$1:$Q$835,4,FALSE)</f>
        <v>0</v>
      </c>
      <c r="AF743" s="31">
        <f>VLOOKUP($A743,kurspris!$A$1:$Q$835,5,FALSE)</f>
        <v>0</v>
      </c>
      <c r="AG743" s="31">
        <f>VLOOKUP($A743,kurspris!$A$1:$Q$835,6,FALSE)</f>
        <v>1</v>
      </c>
      <c r="AH743" s="31">
        <f>VLOOKUP($A743,kurspris!$A$1:$Q$835,7,FALSE)</f>
        <v>0</v>
      </c>
      <c r="AI743" s="31">
        <f>VLOOKUP($A743,kurspris!$A$1:$Q$835,8,FALSE)</f>
        <v>0</v>
      </c>
      <c r="AJ743" s="31">
        <f>VLOOKUP($A743,kurspris!$A$1:$Q$835,9,FALSE)</f>
        <v>0</v>
      </c>
      <c r="AK743" s="31">
        <f>VLOOKUP($A743,kurspris!$A$1:$Q$835,10,FALSE)</f>
        <v>0</v>
      </c>
      <c r="AL743" s="31">
        <f>VLOOKUP($A743,kurspris!$A$1:$Q$835,11,FALSE)</f>
        <v>0</v>
      </c>
      <c r="AM743" s="31">
        <f>VLOOKUP($A743,kurspris!$A$1:$Q$835,12,FALSE)</f>
        <v>0</v>
      </c>
      <c r="AN743" s="31">
        <f>VLOOKUP($A743,kurspris!$A$1:$Q$835,13,FALSE)</f>
        <v>0</v>
      </c>
      <c r="AO743" s="31">
        <f>VLOOKUP($A743,kurspris!$A$1:$Q$835,14,FALSE)</f>
        <v>0</v>
      </c>
      <c r="AP743" s="39" t="s">
        <v>2326</v>
      </c>
      <c r="AQ743"/>
      <c r="AR743" s="31">
        <f t="shared" si="391"/>
        <v>0</v>
      </c>
      <c r="AS743" s="255">
        <f t="shared" si="392"/>
        <v>0</v>
      </c>
      <c r="AT743" s="31">
        <f t="shared" si="393"/>
        <v>0</v>
      </c>
      <c r="AU743" s="255">
        <f t="shared" si="394"/>
        <v>0</v>
      </c>
      <c r="AV743" s="31">
        <f t="shared" si="395"/>
        <v>0</v>
      </c>
      <c r="AW743" s="31">
        <f t="shared" si="396"/>
        <v>0</v>
      </c>
      <c r="AX743" s="31">
        <f t="shared" si="397"/>
        <v>0.16666666666666666</v>
      </c>
      <c r="AY743" s="255">
        <f t="shared" si="398"/>
        <v>0.14166666666666666</v>
      </c>
      <c r="AZ743" s="232">
        <f t="shared" si="399"/>
        <v>0</v>
      </c>
      <c r="BA743" s="255">
        <f t="shared" si="400"/>
        <v>0</v>
      </c>
      <c r="BB743" s="31">
        <f t="shared" si="401"/>
        <v>0</v>
      </c>
      <c r="BC743" s="255">
        <f t="shared" si="402"/>
        <v>0</v>
      </c>
      <c r="BD743" s="31">
        <f t="shared" si="403"/>
        <v>0</v>
      </c>
      <c r="BE743" s="255">
        <f t="shared" si="404"/>
        <v>0</v>
      </c>
      <c r="BF743" s="31">
        <f t="shared" si="405"/>
        <v>0</v>
      </c>
      <c r="BG743" s="255">
        <f t="shared" si="406"/>
        <v>0</v>
      </c>
      <c r="BH743" s="31">
        <f t="shared" si="407"/>
        <v>0</v>
      </c>
      <c r="BI743" s="255">
        <f t="shared" si="408"/>
        <v>0</v>
      </c>
      <c r="BJ743" s="31">
        <f t="shared" si="409"/>
        <v>0</v>
      </c>
      <c r="BK743" s="31">
        <f t="shared" si="410"/>
        <v>0</v>
      </c>
      <c r="BL743" s="255">
        <f t="shared" si="411"/>
        <v>0</v>
      </c>
      <c r="BM743" s="31">
        <f t="shared" si="412"/>
        <v>0</v>
      </c>
      <c r="BN743" s="255">
        <f t="shared" si="413"/>
        <v>0</v>
      </c>
    </row>
    <row r="744" spans="1:66" x14ac:dyDescent="0.25">
      <c r="A744" s="18" t="s">
        <v>1657</v>
      </c>
      <c r="B744" s="186" t="str">
        <f>VLOOKUP(A744,kurspris!$A$1:$B$877,2,FALSE)</f>
        <v>Specialpedagogik - åk 7-9 och gymnasieskolan (UK)</v>
      </c>
      <c r="C744" s="37"/>
      <c r="D744" s="31" t="s">
        <v>483</v>
      </c>
      <c r="E744" s="31" t="s">
        <v>1973</v>
      </c>
      <c r="F744" s="59" t="s">
        <v>1931</v>
      </c>
      <c r="G744" s="31" t="s">
        <v>2273</v>
      </c>
      <c r="J744" t="s">
        <v>774</v>
      </c>
      <c r="L744" s="31">
        <v>100</v>
      </c>
      <c r="M744" s="31">
        <v>5</v>
      </c>
      <c r="P744" s="31">
        <v>3</v>
      </c>
      <c r="Q744" s="232">
        <f t="shared" si="386"/>
        <v>0.25</v>
      </c>
      <c r="R744" s="40">
        <v>0.85</v>
      </c>
      <c r="S744" s="334">
        <f t="shared" si="387"/>
        <v>0.21249999999999999</v>
      </c>
      <c r="T744" s="31">
        <f>VLOOKUP(A744,'Ansvar kurs'!$A$1:$C$1010,2,FALSE)</f>
        <v>2180</v>
      </c>
      <c r="U744" s="31" t="str">
        <f>VLOOKUP(T744,Orgenheter!$A$1:$C$165,2,FALSE)</f>
        <v xml:space="preserve">Pedagogik                     </v>
      </c>
      <c r="V744" s="31" t="str">
        <f>VLOOKUP(T744,Orgenheter!$A$1:$C$165,3,FALSE)</f>
        <v>Sam</v>
      </c>
      <c r="W744" s="37" t="str">
        <f>VLOOKUP(D744,Program!$A$1:$B$34,2,FALSE)</f>
        <v>Ämneslärarprogrammet - Gy</v>
      </c>
      <c r="X744" s="42">
        <f>VLOOKUP(A744,kurspris!$A$1:$Q$798,15,FALSE)</f>
        <v>23641</v>
      </c>
      <c r="Y744" s="42">
        <f>VLOOKUP(A744,kurspris!$A$1:$Q$798,16,FALSE)</f>
        <v>28786</v>
      </c>
      <c r="Z744" s="42">
        <f t="shared" si="388"/>
        <v>12027.275</v>
      </c>
      <c r="AA744" s="42">
        <f>VLOOKUP(A744,kurspris!$A$1:$Q$798,17,FALSE)</f>
        <v>5800</v>
      </c>
      <c r="AB744" s="42">
        <f t="shared" si="389"/>
        <v>1450</v>
      </c>
      <c r="AC744" s="42">
        <f t="shared" si="390"/>
        <v>13477.275</v>
      </c>
      <c r="AD744" s="31">
        <f>VLOOKUP($A744,kurspris!$A$1:$Q$835,3,FALSE)</f>
        <v>0</v>
      </c>
      <c r="AE744" s="31">
        <f>VLOOKUP($A744,kurspris!$A$1:$Q$835,4,FALSE)</f>
        <v>0</v>
      </c>
      <c r="AF744" s="31">
        <f>VLOOKUP($A744,kurspris!$A$1:$Q$835,5,FALSE)</f>
        <v>0</v>
      </c>
      <c r="AG744" s="31">
        <f>VLOOKUP($A744,kurspris!$A$1:$Q$835,6,FALSE)</f>
        <v>1</v>
      </c>
      <c r="AH744" s="31">
        <f>VLOOKUP($A744,kurspris!$A$1:$Q$835,7,FALSE)</f>
        <v>0</v>
      </c>
      <c r="AI744" s="31">
        <f>VLOOKUP($A744,kurspris!$A$1:$Q$835,8,FALSE)</f>
        <v>0</v>
      </c>
      <c r="AJ744" s="31">
        <f>VLOOKUP($A744,kurspris!$A$1:$Q$835,9,FALSE)</f>
        <v>0</v>
      </c>
      <c r="AK744" s="31">
        <f>VLOOKUP($A744,kurspris!$A$1:$Q$835,10,FALSE)</f>
        <v>0</v>
      </c>
      <c r="AL744" s="31">
        <f>VLOOKUP($A744,kurspris!$A$1:$Q$835,11,FALSE)</f>
        <v>0</v>
      </c>
      <c r="AM744" s="31">
        <f>VLOOKUP($A744,kurspris!$A$1:$Q$835,12,FALSE)</f>
        <v>0</v>
      </c>
      <c r="AN744" s="31">
        <f>VLOOKUP($A744,kurspris!$A$1:$Q$835,13,FALSE)</f>
        <v>0</v>
      </c>
      <c r="AO744" s="31">
        <f>VLOOKUP($A744,kurspris!$A$1:$Q$835,14,FALSE)</f>
        <v>0</v>
      </c>
      <c r="AP744" s="39" t="s">
        <v>2326</v>
      </c>
      <c r="AQ744"/>
      <c r="AR744" s="31">
        <f t="shared" si="391"/>
        <v>0</v>
      </c>
      <c r="AS744" s="255">
        <f t="shared" si="392"/>
        <v>0</v>
      </c>
      <c r="AT744" s="31">
        <f t="shared" si="393"/>
        <v>0</v>
      </c>
      <c r="AU744" s="255">
        <f t="shared" si="394"/>
        <v>0</v>
      </c>
      <c r="AV744" s="31">
        <f t="shared" si="395"/>
        <v>0</v>
      </c>
      <c r="AW744" s="31">
        <f t="shared" si="396"/>
        <v>0</v>
      </c>
      <c r="AX744" s="31">
        <f t="shared" si="397"/>
        <v>0.25</v>
      </c>
      <c r="AY744" s="255">
        <f t="shared" si="398"/>
        <v>0.21249999999999999</v>
      </c>
      <c r="AZ744" s="232">
        <f t="shared" si="399"/>
        <v>0</v>
      </c>
      <c r="BA744" s="255">
        <f t="shared" si="400"/>
        <v>0</v>
      </c>
      <c r="BB744" s="31">
        <f t="shared" si="401"/>
        <v>0</v>
      </c>
      <c r="BC744" s="255">
        <f t="shared" si="402"/>
        <v>0</v>
      </c>
      <c r="BD744" s="31">
        <f t="shared" si="403"/>
        <v>0</v>
      </c>
      <c r="BE744" s="255">
        <f t="shared" si="404"/>
        <v>0</v>
      </c>
      <c r="BF744" s="31">
        <f t="shared" si="405"/>
        <v>0</v>
      </c>
      <c r="BG744" s="255">
        <f t="shared" si="406"/>
        <v>0</v>
      </c>
      <c r="BH744" s="31">
        <f t="shared" si="407"/>
        <v>0</v>
      </c>
      <c r="BI744" s="255">
        <f t="shared" si="408"/>
        <v>0</v>
      </c>
      <c r="BJ744" s="31">
        <f t="shared" si="409"/>
        <v>0</v>
      </c>
      <c r="BK744" s="31">
        <f t="shared" si="410"/>
        <v>0</v>
      </c>
      <c r="BL744" s="255">
        <f t="shared" si="411"/>
        <v>0</v>
      </c>
      <c r="BM744" s="31">
        <f t="shared" si="412"/>
        <v>0</v>
      </c>
      <c r="BN744" s="255">
        <f t="shared" si="413"/>
        <v>0</v>
      </c>
    </row>
    <row r="745" spans="1:66" x14ac:dyDescent="0.25">
      <c r="A745" s="18" t="s">
        <v>1657</v>
      </c>
      <c r="B745" s="186" t="str">
        <f>VLOOKUP(A745,kurspris!$A$1:$B$877,2,FALSE)</f>
        <v>Specialpedagogik - åk 7-9 och gymnasieskolan (UK)</v>
      </c>
      <c r="C745" s="37"/>
      <c r="D745" s="31" t="s">
        <v>483</v>
      </c>
      <c r="E745" s="31" t="s">
        <v>1973</v>
      </c>
      <c r="F745" s="59" t="s">
        <v>1931</v>
      </c>
      <c r="G745" s="31" t="s">
        <v>2273</v>
      </c>
      <c r="J745" t="s">
        <v>775</v>
      </c>
      <c r="L745" s="31">
        <v>100</v>
      </c>
      <c r="M745" s="31">
        <v>5</v>
      </c>
      <c r="P745" s="31">
        <v>1</v>
      </c>
      <c r="Q745" s="232">
        <f t="shared" si="386"/>
        <v>8.3333333333333329E-2</v>
      </c>
      <c r="R745" s="40">
        <v>0.85</v>
      </c>
      <c r="S745" s="334">
        <f t="shared" si="387"/>
        <v>7.0833333333333331E-2</v>
      </c>
      <c r="T745" s="31">
        <f>VLOOKUP(A745,'Ansvar kurs'!$A$1:$C$1010,2,FALSE)</f>
        <v>2180</v>
      </c>
      <c r="U745" s="31" t="str">
        <f>VLOOKUP(T745,Orgenheter!$A$1:$C$165,2,FALSE)</f>
        <v xml:space="preserve">Pedagogik                     </v>
      </c>
      <c r="V745" s="31" t="str">
        <f>VLOOKUP(T745,Orgenheter!$A$1:$C$165,3,FALSE)</f>
        <v>Sam</v>
      </c>
      <c r="W745" s="37" t="str">
        <f>VLOOKUP(D745,Program!$A$1:$B$34,2,FALSE)</f>
        <v>Ämneslärarprogrammet - Gy</v>
      </c>
      <c r="X745" s="42">
        <f>VLOOKUP(A745,kurspris!$A$1:$Q$798,15,FALSE)</f>
        <v>23641</v>
      </c>
      <c r="Y745" s="42">
        <f>VLOOKUP(A745,kurspris!$A$1:$Q$798,16,FALSE)</f>
        <v>28786</v>
      </c>
      <c r="Z745" s="42">
        <f t="shared" si="388"/>
        <v>4009.0916666666662</v>
      </c>
      <c r="AA745" s="42">
        <f>VLOOKUP(A745,kurspris!$A$1:$Q$798,17,FALSE)</f>
        <v>5800</v>
      </c>
      <c r="AB745" s="42">
        <f t="shared" si="389"/>
        <v>483.33333333333331</v>
      </c>
      <c r="AC745" s="42">
        <f t="shared" si="390"/>
        <v>4492.4249999999993</v>
      </c>
      <c r="AD745" s="31">
        <f>VLOOKUP($A745,kurspris!$A$1:$Q$835,3,FALSE)</f>
        <v>0</v>
      </c>
      <c r="AE745" s="31">
        <f>VLOOKUP($A745,kurspris!$A$1:$Q$835,4,FALSE)</f>
        <v>0</v>
      </c>
      <c r="AF745" s="31">
        <f>VLOOKUP($A745,kurspris!$A$1:$Q$835,5,FALSE)</f>
        <v>0</v>
      </c>
      <c r="AG745" s="31">
        <f>VLOOKUP($A745,kurspris!$A$1:$Q$835,6,FALSE)</f>
        <v>1</v>
      </c>
      <c r="AH745" s="31">
        <f>VLOOKUP($A745,kurspris!$A$1:$Q$835,7,FALSE)</f>
        <v>0</v>
      </c>
      <c r="AI745" s="31">
        <f>VLOOKUP($A745,kurspris!$A$1:$Q$835,8,FALSE)</f>
        <v>0</v>
      </c>
      <c r="AJ745" s="31">
        <f>VLOOKUP($A745,kurspris!$A$1:$Q$835,9,FALSE)</f>
        <v>0</v>
      </c>
      <c r="AK745" s="31">
        <f>VLOOKUP($A745,kurspris!$A$1:$Q$835,10,FALSE)</f>
        <v>0</v>
      </c>
      <c r="AL745" s="31">
        <f>VLOOKUP($A745,kurspris!$A$1:$Q$835,11,FALSE)</f>
        <v>0</v>
      </c>
      <c r="AM745" s="31">
        <f>VLOOKUP($A745,kurspris!$A$1:$Q$835,12,FALSE)</f>
        <v>0</v>
      </c>
      <c r="AN745" s="31">
        <f>VLOOKUP($A745,kurspris!$A$1:$Q$835,13,FALSE)</f>
        <v>0</v>
      </c>
      <c r="AO745" s="31">
        <f>VLOOKUP($A745,kurspris!$A$1:$Q$835,14,FALSE)</f>
        <v>0</v>
      </c>
      <c r="AP745" s="39" t="s">
        <v>2326</v>
      </c>
      <c r="AQ745"/>
      <c r="AR745" s="31">
        <f t="shared" si="391"/>
        <v>0</v>
      </c>
      <c r="AS745" s="255">
        <f t="shared" si="392"/>
        <v>0</v>
      </c>
      <c r="AT745" s="31">
        <f t="shared" si="393"/>
        <v>0</v>
      </c>
      <c r="AU745" s="255">
        <f t="shared" si="394"/>
        <v>0</v>
      </c>
      <c r="AV745" s="31">
        <f t="shared" si="395"/>
        <v>0</v>
      </c>
      <c r="AW745" s="31">
        <f t="shared" si="396"/>
        <v>0</v>
      </c>
      <c r="AX745" s="31">
        <f t="shared" si="397"/>
        <v>8.3333333333333329E-2</v>
      </c>
      <c r="AY745" s="255">
        <f t="shared" si="398"/>
        <v>7.0833333333333331E-2</v>
      </c>
      <c r="AZ745" s="232">
        <f t="shared" si="399"/>
        <v>0</v>
      </c>
      <c r="BA745" s="255">
        <f t="shared" si="400"/>
        <v>0</v>
      </c>
      <c r="BB745" s="31">
        <f t="shared" si="401"/>
        <v>0</v>
      </c>
      <c r="BC745" s="255">
        <f t="shared" si="402"/>
        <v>0</v>
      </c>
      <c r="BD745" s="31">
        <f t="shared" si="403"/>
        <v>0</v>
      </c>
      <c r="BE745" s="255">
        <f t="shared" si="404"/>
        <v>0</v>
      </c>
      <c r="BF745" s="31">
        <f t="shared" si="405"/>
        <v>0</v>
      </c>
      <c r="BG745" s="255">
        <f t="shared" si="406"/>
        <v>0</v>
      </c>
      <c r="BH745" s="31">
        <f t="shared" si="407"/>
        <v>0</v>
      </c>
      <c r="BI745" s="255">
        <f t="shared" si="408"/>
        <v>0</v>
      </c>
      <c r="BJ745" s="31">
        <f t="shared" si="409"/>
        <v>0</v>
      </c>
      <c r="BK745" s="31">
        <f t="shared" si="410"/>
        <v>0</v>
      </c>
      <c r="BL745" s="255">
        <f t="shared" si="411"/>
        <v>0</v>
      </c>
      <c r="BM745" s="31">
        <f t="shared" si="412"/>
        <v>0</v>
      </c>
      <c r="BN745" s="255">
        <f t="shared" si="413"/>
        <v>0</v>
      </c>
    </row>
    <row r="746" spans="1:66" x14ac:dyDescent="0.25">
      <c r="A746" s="18" t="s">
        <v>1657</v>
      </c>
      <c r="B746" s="186" t="str">
        <f>VLOOKUP(A746,kurspris!$A$1:$B$877,2,FALSE)</f>
        <v>Specialpedagogik - åk 7-9 och gymnasieskolan (UK)</v>
      </c>
      <c r="C746" s="37"/>
      <c r="D746" s="31" t="s">
        <v>483</v>
      </c>
      <c r="E746" s="31" t="s">
        <v>1973</v>
      </c>
      <c r="F746" s="59" t="s">
        <v>1931</v>
      </c>
      <c r="G746" s="31" t="s">
        <v>2273</v>
      </c>
      <c r="J746" t="s">
        <v>776</v>
      </c>
      <c r="L746" s="31">
        <v>100</v>
      </c>
      <c r="M746" s="31">
        <v>5</v>
      </c>
      <c r="P746" s="31">
        <v>1</v>
      </c>
      <c r="Q746" s="232">
        <f t="shared" si="386"/>
        <v>8.3333333333333329E-2</v>
      </c>
      <c r="R746" s="40">
        <v>0.85</v>
      </c>
      <c r="S746" s="334">
        <f t="shared" si="387"/>
        <v>7.0833333333333331E-2</v>
      </c>
      <c r="T746" s="31">
        <f>VLOOKUP(A746,'Ansvar kurs'!$A$1:$C$1010,2,FALSE)</f>
        <v>2180</v>
      </c>
      <c r="U746" s="31" t="str">
        <f>VLOOKUP(T746,Orgenheter!$A$1:$C$165,2,FALSE)</f>
        <v xml:space="preserve">Pedagogik                     </v>
      </c>
      <c r="V746" s="31" t="str">
        <f>VLOOKUP(T746,Orgenheter!$A$1:$C$165,3,FALSE)</f>
        <v>Sam</v>
      </c>
      <c r="W746" s="37" t="str">
        <f>VLOOKUP(D746,Program!$A$1:$B$34,2,FALSE)</f>
        <v>Ämneslärarprogrammet - Gy</v>
      </c>
      <c r="X746" s="42">
        <f>VLOOKUP(A746,kurspris!$A$1:$Q$798,15,FALSE)</f>
        <v>23641</v>
      </c>
      <c r="Y746" s="42">
        <f>VLOOKUP(A746,kurspris!$A$1:$Q$798,16,FALSE)</f>
        <v>28786</v>
      </c>
      <c r="Z746" s="42">
        <f t="shared" si="388"/>
        <v>4009.0916666666662</v>
      </c>
      <c r="AA746" s="42">
        <f>VLOOKUP(A746,kurspris!$A$1:$Q$798,17,FALSE)</f>
        <v>5800</v>
      </c>
      <c r="AB746" s="42">
        <f t="shared" si="389"/>
        <v>483.33333333333331</v>
      </c>
      <c r="AC746" s="42">
        <f t="shared" si="390"/>
        <v>4492.4249999999993</v>
      </c>
      <c r="AD746" s="31">
        <f>VLOOKUP($A746,kurspris!$A$1:$Q$835,3,FALSE)</f>
        <v>0</v>
      </c>
      <c r="AE746" s="31">
        <f>VLOOKUP($A746,kurspris!$A$1:$Q$835,4,FALSE)</f>
        <v>0</v>
      </c>
      <c r="AF746" s="31">
        <f>VLOOKUP($A746,kurspris!$A$1:$Q$835,5,FALSE)</f>
        <v>0</v>
      </c>
      <c r="AG746" s="31">
        <f>VLOOKUP($A746,kurspris!$A$1:$Q$835,6,FALSE)</f>
        <v>1</v>
      </c>
      <c r="AH746" s="31">
        <f>VLOOKUP($A746,kurspris!$A$1:$Q$835,7,FALSE)</f>
        <v>0</v>
      </c>
      <c r="AI746" s="31">
        <f>VLOOKUP($A746,kurspris!$A$1:$Q$835,8,FALSE)</f>
        <v>0</v>
      </c>
      <c r="AJ746" s="31">
        <f>VLOOKUP($A746,kurspris!$A$1:$Q$835,9,FALSE)</f>
        <v>0</v>
      </c>
      <c r="AK746" s="31">
        <f>VLOOKUP($A746,kurspris!$A$1:$Q$835,10,FALSE)</f>
        <v>0</v>
      </c>
      <c r="AL746" s="31">
        <f>VLOOKUP($A746,kurspris!$A$1:$Q$835,11,FALSE)</f>
        <v>0</v>
      </c>
      <c r="AM746" s="31">
        <f>VLOOKUP($A746,kurspris!$A$1:$Q$835,12,FALSE)</f>
        <v>0</v>
      </c>
      <c r="AN746" s="31">
        <f>VLOOKUP($A746,kurspris!$A$1:$Q$835,13,FALSE)</f>
        <v>0</v>
      </c>
      <c r="AO746" s="31">
        <f>VLOOKUP($A746,kurspris!$A$1:$Q$835,14,FALSE)</f>
        <v>0</v>
      </c>
      <c r="AP746" s="39" t="s">
        <v>2326</v>
      </c>
      <c r="AQ746"/>
      <c r="AR746" s="31">
        <f t="shared" si="391"/>
        <v>0</v>
      </c>
      <c r="AS746" s="255">
        <f t="shared" si="392"/>
        <v>0</v>
      </c>
      <c r="AT746" s="31">
        <f t="shared" si="393"/>
        <v>0</v>
      </c>
      <c r="AU746" s="255">
        <f t="shared" si="394"/>
        <v>0</v>
      </c>
      <c r="AV746" s="31">
        <f t="shared" si="395"/>
        <v>0</v>
      </c>
      <c r="AW746" s="31">
        <f t="shared" si="396"/>
        <v>0</v>
      </c>
      <c r="AX746" s="31">
        <f t="shared" si="397"/>
        <v>8.3333333333333329E-2</v>
      </c>
      <c r="AY746" s="255">
        <f t="shared" si="398"/>
        <v>7.0833333333333331E-2</v>
      </c>
      <c r="AZ746" s="232">
        <f t="shared" si="399"/>
        <v>0</v>
      </c>
      <c r="BA746" s="255">
        <f t="shared" si="400"/>
        <v>0</v>
      </c>
      <c r="BB746" s="31">
        <f t="shared" si="401"/>
        <v>0</v>
      </c>
      <c r="BC746" s="255">
        <f t="shared" si="402"/>
        <v>0</v>
      </c>
      <c r="BD746" s="31">
        <f t="shared" si="403"/>
        <v>0</v>
      </c>
      <c r="BE746" s="255">
        <f t="shared" si="404"/>
        <v>0</v>
      </c>
      <c r="BF746" s="31">
        <f t="shared" si="405"/>
        <v>0</v>
      </c>
      <c r="BG746" s="255">
        <f t="shared" si="406"/>
        <v>0</v>
      </c>
      <c r="BH746" s="31">
        <f t="shared" si="407"/>
        <v>0</v>
      </c>
      <c r="BI746" s="255">
        <f t="shared" si="408"/>
        <v>0</v>
      </c>
      <c r="BJ746" s="31">
        <f t="shared" si="409"/>
        <v>0</v>
      </c>
      <c r="BK746" s="31">
        <f t="shared" si="410"/>
        <v>0</v>
      </c>
      <c r="BL746" s="255">
        <f t="shared" si="411"/>
        <v>0</v>
      </c>
      <c r="BM746" s="31">
        <f t="shared" si="412"/>
        <v>0</v>
      </c>
      <c r="BN746" s="255">
        <f t="shared" si="413"/>
        <v>0</v>
      </c>
    </row>
    <row r="747" spans="1:66" x14ac:dyDescent="0.25">
      <c r="A747" s="18" t="s">
        <v>1657</v>
      </c>
      <c r="B747" s="186" t="str">
        <f>VLOOKUP(A747,kurspris!$A$1:$B$877,2,FALSE)</f>
        <v>Specialpedagogik - åk 7-9 och gymnasieskolan (UK)</v>
      </c>
      <c r="C747" s="37"/>
      <c r="D747" s="31" t="s">
        <v>483</v>
      </c>
      <c r="E747" s="31" t="s">
        <v>1973</v>
      </c>
      <c r="F747" s="59" t="s">
        <v>1931</v>
      </c>
      <c r="G747" s="31" t="s">
        <v>2273</v>
      </c>
      <c r="J747" t="s">
        <v>777</v>
      </c>
      <c r="L747" s="31">
        <v>100</v>
      </c>
      <c r="M747" s="31">
        <v>5</v>
      </c>
      <c r="P747" s="31">
        <v>1</v>
      </c>
      <c r="Q747" s="232">
        <f t="shared" si="386"/>
        <v>8.3333333333333329E-2</v>
      </c>
      <c r="R747" s="40">
        <v>0.85</v>
      </c>
      <c r="S747" s="334">
        <f t="shared" si="387"/>
        <v>7.0833333333333331E-2</v>
      </c>
      <c r="T747" s="31">
        <f>VLOOKUP(A747,'Ansvar kurs'!$A$1:$C$1010,2,FALSE)</f>
        <v>2180</v>
      </c>
      <c r="U747" s="31" t="str">
        <f>VLOOKUP(T747,Orgenheter!$A$1:$C$165,2,FALSE)</f>
        <v xml:space="preserve">Pedagogik                     </v>
      </c>
      <c r="V747" s="31" t="str">
        <f>VLOOKUP(T747,Orgenheter!$A$1:$C$165,3,FALSE)</f>
        <v>Sam</v>
      </c>
      <c r="W747" s="37" t="str">
        <f>VLOOKUP(D747,Program!$A$1:$B$34,2,FALSE)</f>
        <v>Ämneslärarprogrammet - Gy</v>
      </c>
      <c r="X747" s="42">
        <f>VLOOKUP(A747,kurspris!$A$1:$Q$798,15,FALSE)</f>
        <v>23641</v>
      </c>
      <c r="Y747" s="42">
        <f>VLOOKUP(A747,kurspris!$A$1:$Q$798,16,FALSE)</f>
        <v>28786</v>
      </c>
      <c r="Z747" s="42">
        <f t="shared" si="388"/>
        <v>4009.0916666666662</v>
      </c>
      <c r="AA747" s="42">
        <f>VLOOKUP(A747,kurspris!$A$1:$Q$798,17,FALSE)</f>
        <v>5800</v>
      </c>
      <c r="AB747" s="42">
        <f t="shared" si="389"/>
        <v>483.33333333333331</v>
      </c>
      <c r="AC747" s="42">
        <f t="shared" si="390"/>
        <v>4492.4249999999993</v>
      </c>
      <c r="AD747" s="31">
        <f>VLOOKUP($A747,kurspris!$A$1:$Q$835,3,FALSE)</f>
        <v>0</v>
      </c>
      <c r="AE747" s="31">
        <f>VLOOKUP($A747,kurspris!$A$1:$Q$835,4,FALSE)</f>
        <v>0</v>
      </c>
      <c r="AF747" s="31">
        <f>VLOOKUP($A747,kurspris!$A$1:$Q$835,5,FALSE)</f>
        <v>0</v>
      </c>
      <c r="AG747" s="31">
        <f>VLOOKUP($A747,kurspris!$A$1:$Q$835,6,FALSE)</f>
        <v>1</v>
      </c>
      <c r="AH747" s="31">
        <f>VLOOKUP($A747,kurspris!$A$1:$Q$835,7,FALSE)</f>
        <v>0</v>
      </c>
      <c r="AI747" s="31">
        <f>VLOOKUP($A747,kurspris!$A$1:$Q$835,8,FALSE)</f>
        <v>0</v>
      </c>
      <c r="AJ747" s="31">
        <f>VLOOKUP($A747,kurspris!$A$1:$Q$835,9,FALSE)</f>
        <v>0</v>
      </c>
      <c r="AK747" s="31">
        <f>VLOOKUP($A747,kurspris!$A$1:$Q$835,10,FALSE)</f>
        <v>0</v>
      </c>
      <c r="AL747" s="31">
        <f>VLOOKUP($A747,kurspris!$A$1:$Q$835,11,FALSE)</f>
        <v>0</v>
      </c>
      <c r="AM747" s="31">
        <f>VLOOKUP($A747,kurspris!$A$1:$Q$835,12,FALSE)</f>
        <v>0</v>
      </c>
      <c r="AN747" s="31">
        <f>VLOOKUP($A747,kurspris!$A$1:$Q$835,13,FALSE)</f>
        <v>0</v>
      </c>
      <c r="AO747" s="31">
        <f>VLOOKUP($A747,kurspris!$A$1:$Q$835,14,FALSE)</f>
        <v>0</v>
      </c>
      <c r="AP747" s="39" t="s">
        <v>2326</v>
      </c>
      <c r="AQ747"/>
      <c r="AR747" s="31">
        <f t="shared" si="391"/>
        <v>0</v>
      </c>
      <c r="AS747" s="255">
        <f t="shared" si="392"/>
        <v>0</v>
      </c>
      <c r="AT747" s="31">
        <f t="shared" si="393"/>
        <v>0</v>
      </c>
      <c r="AU747" s="255">
        <f t="shared" si="394"/>
        <v>0</v>
      </c>
      <c r="AV747" s="31">
        <f t="shared" si="395"/>
        <v>0</v>
      </c>
      <c r="AW747" s="31">
        <f t="shared" si="396"/>
        <v>0</v>
      </c>
      <c r="AX747" s="31">
        <f t="shared" si="397"/>
        <v>8.3333333333333329E-2</v>
      </c>
      <c r="AY747" s="255">
        <f t="shared" si="398"/>
        <v>7.0833333333333331E-2</v>
      </c>
      <c r="AZ747" s="232">
        <f t="shared" si="399"/>
        <v>0</v>
      </c>
      <c r="BA747" s="255">
        <f t="shared" si="400"/>
        <v>0</v>
      </c>
      <c r="BB747" s="31">
        <f t="shared" si="401"/>
        <v>0</v>
      </c>
      <c r="BC747" s="255">
        <f t="shared" si="402"/>
        <v>0</v>
      </c>
      <c r="BD747" s="31">
        <f t="shared" si="403"/>
        <v>0</v>
      </c>
      <c r="BE747" s="255">
        <f t="shared" si="404"/>
        <v>0</v>
      </c>
      <c r="BF747" s="31">
        <f t="shared" si="405"/>
        <v>0</v>
      </c>
      <c r="BG747" s="255">
        <f t="shared" si="406"/>
        <v>0</v>
      </c>
      <c r="BH747" s="31">
        <f t="shared" si="407"/>
        <v>0</v>
      </c>
      <c r="BI747" s="255">
        <f t="shared" si="408"/>
        <v>0</v>
      </c>
      <c r="BJ747" s="31">
        <f t="shared" si="409"/>
        <v>0</v>
      </c>
      <c r="BK747" s="31">
        <f t="shared" si="410"/>
        <v>0</v>
      </c>
      <c r="BL747" s="255">
        <f t="shared" si="411"/>
        <v>0</v>
      </c>
      <c r="BM747" s="31">
        <f t="shared" si="412"/>
        <v>0</v>
      </c>
      <c r="BN747" s="255">
        <f t="shared" si="413"/>
        <v>0</v>
      </c>
    </row>
    <row r="748" spans="1:66" x14ac:dyDescent="0.25">
      <c r="A748" s="18" t="s">
        <v>1657</v>
      </c>
      <c r="B748" s="186" t="str">
        <f>VLOOKUP(A748,kurspris!$A$1:$B$877,2,FALSE)</f>
        <v>Specialpedagogik - åk 7-9 och gymnasieskolan (UK)</v>
      </c>
      <c r="C748" s="37"/>
      <c r="D748" s="31" t="s">
        <v>483</v>
      </c>
      <c r="E748" s="31" t="s">
        <v>1609</v>
      </c>
      <c r="F748" s="59" t="s">
        <v>1931</v>
      </c>
      <c r="G748" s="31" t="s">
        <v>2273</v>
      </c>
      <c r="J748" t="s">
        <v>1591</v>
      </c>
      <c r="L748" s="31">
        <v>100</v>
      </c>
      <c r="M748" s="31">
        <v>5</v>
      </c>
      <c r="P748" s="31">
        <v>1</v>
      </c>
      <c r="Q748" s="232">
        <f t="shared" si="386"/>
        <v>8.3333333333333329E-2</v>
      </c>
      <c r="R748" s="40">
        <v>0.85</v>
      </c>
      <c r="S748" s="334">
        <f t="shared" si="387"/>
        <v>7.0833333333333331E-2</v>
      </c>
      <c r="T748" s="31">
        <f>VLOOKUP(A748,'Ansvar kurs'!$A$1:$C$1010,2,FALSE)</f>
        <v>2180</v>
      </c>
      <c r="U748" s="31" t="str">
        <f>VLOOKUP(T748,Orgenheter!$A$1:$C$165,2,FALSE)</f>
        <v xml:space="preserve">Pedagogik                     </v>
      </c>
      <c r="V748" s="31" t="str">
        <f>VLOOKUP(T748,Orgenheter!$A$1:$C$165,3,FALSE)</f>
        <v>Sam</v>
      </c>
      <c r="W748" s="37" t="str">
        <f>VLOOKUP(D748,Program!$A$1:$B$34,2,FALSE)</f>
        <v>Ämneslärarprogrammet - Gy</v>
      </c>
      <c r="X748" s="42">
        <f>VLOOKUP(A748,kurspris!$A$1:$Q$798,15,FALSE)</f>
        <v>23641</v>
      </c>
      <c r="Y748" s="42">
        <f>VLOOKUP(A748,kurspris!$A$1:$Q$798,16,FALSE)</f>
        <v>28786</v>
      </c>
      <c r="Z748" s="42">
        <f t="shared" si="388"/>
        <v>4009.0916666666662</v>
      </c>
      <c r="AA748" s="42">
        <f>VLOOKUP(A748,kurspris!$A$1:$Q$798,17,FALSE)</f>
        <v>5800</v>
      </c>
      <c r="AB748" s="42">
        <f t="shared" si="389"/>
        <v>483.33333333333331</v>
      </c>
      <c r="AC748" s="42">
        <f t="shared" si="390"/>
        <v>4492.4249999999993</v>
      </c>
      <c r="AD748" s="31">
        <f>VLOOKUP($A748,kurspris!$A$1:$Q$835,3,FALSE)</f>
        <v>0</v>
      </c>
      <c r="AE748" s="31">
        <f>VLOOKUP($A748,kurspris!$A$1:$Q$835,4,FALSE)</f>
        <v>0</v>
      </c>
      <c r="AF748" s="31">
        <f>VLOOKUP($A748,kurspris!$A$1:$Q$835,5,FALSE)</f>
        <v>0</v>
      </c>
      <c r="AG748" s="31">
        <f>VLOOKUP($A748,kurspris!$A$1:$Q$835,6,FALSE)</f>
        <v>1</v>
      </c>
      <c r="AH748" s="31">
        <f>VLOOKUP($A748,kurspris!$A$1:$Q$835,7,FALSE)</f>
        <v>0</v>
      </c>
      <c r="AI748" s="31">
        <f>VLOOKUP($A748,kurspris!$A$1:$Q$835,8,FALSE)</f>
        <v>0</v>
      </c>
      <c r="AJ748" s="31">
        <f>VLOOKUP($A748,kurspris!$A$1:$Q$835,9,FALSE)</f>
        <v>0</v>
      </c>
      <c r="AK748" s="31">
        <f>VLOOKUP($A748,kurspris!$A$1:$Q$835,10,FALSE)</f>
        <v>0</v>
      </c>
      <c r="AL748" s="31">
        <f>VLOOKUP($A748,kurspris!$A$1:$Q$835,11,FALSE)</f>
        <v>0</v>
      </c>
      <c r="AM748" s="31">
        <f>VLOOKUP($A748,kurspris!$A$1:$Q$835,12,FALSE)</f>
        <v>0</v>
      </c>
      <c r="AN748" s="31">
        <f>VLOOKUP($A748,kurspris!$A$1:$Q$835,13,FALSE)</f>
        <v>0</v>
      </c>
      <c r="AO748" s="31">
        <f>VLOOKUP($A748,kurspris!$A$1:$Q$835,14,FALSE)</f>
        <v>0</v>
      </c>
      <c r="AP748" s="39" t="s">
        <v>2326</v>
      </c>
      <c r="AQ748"/>
      <c r="AR748" s="31">
        <f t="shared" si="391"/>
        <v>0</v>
      </c>
      <c r="AS748" s="255">
        <f t="shared" si="392"/>
        <v>0</v>
      </c>
      <c r="AT748" s="31">
        <f t="shared" si="393"/>
        <v>0</v>
      </c>
      <c r="AU748" s="255">
        <f t="shared" si="394"/>
        <v>0</v>
      </c>
      <c r="AV748" s="31">
        <f t="shared" si="395"/>
        <v>0</v>
      </c>
      <c r="AW748" s="31">
        <f t="shared" si="396"/>
        <v>0</v>
      </c>
      <c r="AX748" s="31">
        <f t="shared" si="397"/>
        <v>8.3333333333333329E-2</v>
      </c>
      <c r="AY748" s="255">
        <f t="shared" si="398"/>
        <v>7.0833333333333331E-2</v>
      </c>
      <c r="AZ748" s="232">
        <f t="shared" si="399"/>
        <v>0</v>
      </c>
      <c r="BA748" s="255">
        <f t="shared" si="400"/>
        <v>0</v>
      </c>
      <c r="BB748" s="31">
        <f t="shared" si="401"/>
        <v>0</v>
      </c>
      <c r="BC748" s="255">
        <f t="shared" si="402"/>
        <v>0</v>
      </c>
      <c r="BD748" s="31">
        <f t="shared" si="403"/>
        <v>0</v>
      </c>
      <c r="BE748" s="255">
        <f t="shared" si="404"/>
        <v>0</v>
      </c>
      <c r="BF748" s="31">
        <f t="shared" si="405"/>
        <v>0</v>
      </c>
      <c r="BG748" s="255">
        <f t="shared" si="406"/>
        <v>0</v>
      </c>
      <c r="BH748" s="31">
        <f t="shared" si="407"/>
        <v>0</v>
      </c>
      <c r="BI748" s="255">
        <f t="shared" si="408"/>
        <v>0</v>
      </c>
      <c r="BJ748" s="31">
        <f t="shared" si="409"/>
        <v>0</v>
      </c>
      <c r="BK748" s="31">
        <f t="shared" si="410"/>
        <v>0</v>
      </c>
      <c r="BL748" s="255">
        <f t="shared" si="411"/>
        <v>0</v>
      </c>
      <c r="BM748" s="31">
        <f t="shared" si="412"/>
        <v>0</v>
      </c>
      <c r="BN748" s="255">
        <f t="shared" si="413"/>
        <v>0</v>
      </c>
    </row>
    <row r="749" spans="1:66" x14ac:dyDescent="0.25">
      <c r="A749" s="18" t="s">
        <v>1657</v>
      </c>
      <c r="B749" s="186" t="str">
        <f>VLOOKUP(A749,kurspris!$A$1:$B$877,2,FALSE)</f>
        <v>Specialpedagogik - åk 7-9 och gymnasieskolan (UK)</v>
      </c>
      <c r="C749" s="37"/>
      <c r="D749" s="31" t="s">
        <v>483</v>
      </c>
      <c r="E749" s="31" t="s">
        <v>1609</v>
      </c>
      <c r="F749" s="59" t="s">
        <v>1931</v>
      </c>
      <c r="G749" s="31" t="s">
        <v>2273</v>
      </c>
      <c r="J749" t="s">
        <v>771</v>
      </c>
      <c r="L749" s="31">
        <v>100</v>
      </c>
      <c r="M749" s="31">
        <v>5</v>
      </c>
      <c r="P749" s="31">
        <v>16</v>
      </c>
      <c r="Q749" s="232">
        <f t="shared" si="386"/>
        <v>1.3333333333333333</v>
      </c>
      <c r="R749" s="40">
        <v>0.85</v>
      </c>
      <c r="S749" s="334">
        <f t="shared" si="387"/>
        <v>1.1333333333333333</v>
      </c>
      <c r="T749" s="31">
        <f>VLOOKUP(A749,'Ansvar kurs'!$A$1:$C$1010,2,FALSE)</f>
        <v>2180</v>
      </c>
      <c r="U749" s="31" t="str">
        <f>VLOOKUP(T749,Orgenheter!$A$1:$C$165,2,FALSE)</f>
        <v xml:space="preserve">Pedagogik                     </v>
      </c>
      <c r="V749" s="31" t="str">
        <f>VLOOKUP(T749,Orgenheter!$A$1:$C$165,3,FALSE)</f>
        <v>Sam</v>
      </c>
      <c r="W749" s="37" t="str">
        <f>VLOOKUP(D749,Program!$A$1:$B$34,2,FALSE)</f>
        <v>Ämneslärarprogrammet - Gy</v>
      </c>
      <c r="X749" s="42">
        <f>VLOOKUP(A749,kurspris!$A$1:$Q$798,15,FALSE)</f>
        <v>23641</v>
      </c>
      <c r="Y749" s="42">
        <f>VLOOKUP(A749,kurspris!$A$1:$Q$798,16,FALSE)</f>
        <v>28786</v>
      </c>
      <c r="Z749" s="42">
        <f t="shared" si="388"/>
        <v>64145.46666666666</v>
      </c>
      <c r="AA749" s="42">
        <f>VLOOKUP(A749,kurspris!$A$1:$Q$798,17,FALSE)</f>
        <v>5800</v>
      </c>
      <c r="AB749" s="42">
        <f t="shared" si="389"/>
        <v>7733.333333333333</v>
      </c>
      <c r="AC749" s="42">
        <f t="shared" si="390"/>
        <v>71878.799999999988</v>
      </c>
      <c r="AD749" s="31">
        <f>VLOOKUP($A749,kurspris!$A$1:$Q$835,3,FALSE)</f>
        <v>0</v>
      </c>
      <c r="AE749" s="31">
        <f>VLOOKUP($A749,kurspris!$A$1:$Q$835,4,FALSE)</f>
        <v>0</v>
      </c>
      <c r="AF749" s="31">
        <f>VLOOKUP($A749,kurspris!$A$1:$Q$835,5,FALSE)</f>
        <v>0</v>
      </c>
      <c r="AG749" s="31">
        <f>VLOOKUP($A749,kurspris!$A$1:$Q$835,6,FALSE)</f>
        <v>1</v>
      </c>
      <c r="AH749" s="31">
        <f>VLOOKUP($A749,kurspris!$A$1:$Q$835,7,FALSE)</f>
        <v>0</v>
      </c>
      <c r="AI749" s="31">
        <f>VLOOKUP($A749,kurspris!$A$1:$Q$835,8,FALSE)</f>
        <v>0</v>
      </c>
      <c r="AJ749" s="31">
        <f>VLOOKUP($A749,kurspris!$A$1:$Q$835,9,FALSE)</f>
        <v>0</v>
      </c>
      <c r="AK749" s="31">
        <f>VLOOKUP($A749,kurspris!$A$1:$Q$835,10,FALSE)</f>
        <v>0</v>
      </c>
      <c r="AL749" s="31">
        <f>VLOOKUP($A749,kurspris!$A$1:$Q$835,11,FALSE)</f>
        <v>0</v>
      </c>
      <c r="AM749" s="31">
        <f>VLOOKUP($A749,kurspris!$A$1:$Q$835,12,FALSE)</f>
        <v>0</v>
      </c>
      <c r="AN749" s="31">
        <f>VLOOKUP($A749,kurspris!$A$1:$Q$835,13,FALSE)</f>
        <v>0</v>
      </c>
      <c r="AO749" s="31">
        <f>VLOOKUP($A749,kurspris!$A$1:$Q$835,14,FALSE)</f>
        <v>0</v>
      </c>
      <c r="AP749" s="39" t="s">
        <v>2326</v>
      </c>
      <c r="AQ749"/>
      <c r="AR749" s="31">
        <f t="shared" si="391"/>
        <v>0</v>
      </c>
      <c r="AS749" s="255">
        <f t="shared" si="392"/>
        <v>0</v>
      </c>
      <c r="AT749" s="31">
        <f t="shared" si="393"/>
        <v>0</v>
      </c>
      <c r="AU749" s="255">
        <f t="shared" si="394"/>
        <v>0</v>
      </c>
      <c r="AV749" s="31">
        <f t="shared" si="395"/>
        <v>0</v>
      </c>
      <c r="AW749" s="31">
        <f t="shared" si="396"/>
        <v>0</v>
      </c>
      <c r="AX749" s="31">
        <f t="shared" si="397"/>
        <v>1.3333333333333333</v>
      </c>
      <c r="AY749" s="255">
        <f t="shared" si="398"/>
        <v>1.1333333333333333</v>
      </c>
      <c r="AZ749" s="232">
        <f t="shared" si="399"/>
        <v>0</v>
      </c>
      <c r="BA749" s="255">
        <f t="shared" si="400"/>
        <v>0</v>
      </c>
      <c r="BB749" s="31">
        <f t="shared" si="401"/>
        <v>0</v>
      </c>
      <c r="BC749" s="255">
        <f t="shared" si="402"/>
        <v>0</v>
      </c>
      <c r="BD749" s="31">
        <f t="shared" si="403"/>
        <v>0</v>
      </c>
      <c r="BE749" s="255">
        <f t="shared" si="404"/>
        <v>0</v>
      </c>
      <c r="BF749" s="31">
        <f t="shared" si="405"/>
        <v>0</v>
      </c>
      <c r="BG749" s="255">
        <f t="shared" si="406"/>
        <v>0</v>
      </c>
      <c r="BH749" s="31">
        <f t="shared" si="407"/>
        <v>0</v>
      </c>
      <c r="BI749" s="255">
        <f t="shared" si="408"/>
        <v>0</v>
      </c>
      <c r="BJ749" s="31">
        <f t="shared" si="409"/>
        <v>0</v>
      </c>
      <c r="BK749" s="31">
        <f t="shared" si="410"/>
        <v>0</v>
      </c>
      <c r="BL749" s="255">
        <f t="shared" si="411"/>
        <v>0</v>
      </c>
      <c r="BM749" s="31">
        <f t="shared" si="412"/>
        <v>0</v>
      </c>
      <c r="BN749" s="255">
        <f t="shared" si="413"/>
        <v>0</v>
      </c>
    </row>
    <row r="750" spans="1:66" x14ac:dyDescent="0.25">
      <c r="A750" s="18" t="s">
        <v>1657</v>
      </c>
      <c r="B750" s="186" t="str">
        <f>VLOOKUP(A750,kurspris!$A$1:$B$877,2,FALSE)</f>
        <v>Specialpedagogik - åk 7-9 och gymnasieskolan (UK)</v>
      </c>
      <c r="C750" s="37"/>
      <c r="D750" s="31" t="s">
        <v>483</v>
      </c>
      <c r="E750" s="31" t="s">
        <v>1609</v>
      </c>
      <c r="F750" s="59" t="s">
        <v>1931</v>
      </c>
      <c r="G750" s="31" t="s">
        <v>2273</v>
      </c>
      <c r="J750" t="s">
        <v>772</v>
      </c>
      <c r="L750" s="31">
        <v>100</v>
      </c>
      <c r="M750" s="31">
        <v>5</v>
      </c>
      <c r="P750" s="31">
        <v>14</v>
      </c>
      <c r="Q750" s="232">
        <f t="shared" si="386"/>
        <v>1.1666666666666665</v>
      </c>
      <c r="R750" s="40">
        <v>0.85</v>
      </c>
      <c r="S750" s="334">
        <f t="shared" si="387"/>
        <v>0.99166666666666647</v>
      </c>
      <c r="T750" s="31">
        <f>VLOOKUP(A750,'Ansvar kurs'!$A$1:$C$1010,2,FALSE)</f>
        <v>2180</v>
      </c>
      <c r="U750" s="31" t="str">
        <f>VLOOKUP(T750,Orgenheter!$A$1:$C$165,2,FALSE)</f>
        <v xml:space="preserve">Pedagogik                     </v>
      </c>
      <c r="V750" s="31" t="str">
        <f>VLOOKUP(T750,Orgenheter!$A$1:$C$165,3,FALSE)</f>
        <v>Sam</v>
      </c>
      <c r="W750" s="37" t="str">
        <f>VLOOKUP(D750,Program!$A$1:$B$34,2,FALSE)</f>
        <v>Ämneslärarprogrammet - Gy</v>
      </c>
      <c r="X750" s="42">
        <f>VLOOKUP(A750,kurspris!$A$1:$Q$798,15,FALSE)</f>
        <v>23641</v>
      </c>
      <c r="Y750" s="42">
        <f>VLOOKUP(A750,kurspris!$A$1:$Q$798,16,FALSE)</f>
        <v>28786</v>
      </c>
      <c r="Z750" s="42">
        <f t="shared" si="388"/>
        <v>56127.283333333326</v>
      </c>
      <c r="AA750" s="42">
        <f>VLOOKUP(A750,kurspris!$A$1:$Q$798,17,FALSE)</f>
        <v>5800</v>
      </c>
      <c r="AB750" s="42">
        <f t="shared" si="389"/>
        <v>6766.6666666666661</v>
      </c>
      <c r="AC750" s="42">
        <f t="shared" si="390"/>
        <v>62893.94999999999</v>
      </c>
      <c r="AD750" s="31">
        <f>VLOOKUP($A750,kurspris!$A$1:$Q$835,3,FALSE)</f>
        <v>0</v>
      </c>
      <c r="AE750" s="31">
        <f>VLOOKUP($A750,kurspris!$A$1:$Q$835,4,FALSE)</f>
        <v>0</v>
      </c>
      <c r="AF750" s="31">
        <f>VLOOKUP($A750,kurspris!$A$1:$Q$835,5,FALSE)</f>
        <v>0</v>
      </c>
      <c r="AG750" s="31">
        <f>VLOOKUP($A750,kurspris!$A$1:$Q$835,6,FALSE)</f>
        <v>1</v>
      </c>
      <c r="AH750" s="31">
        <f>VLOOKUP($A750,kurspris!$A$1:$Q$835,7,FALSE)</f>
        <v>0</v>
      </c>
      <c r="AI750" s="31">
        <f>VLOOKUP($A750,kurspris!$A$1:$Q$835,8,FALSE)</f>
        <v>0</v>
      </c>
      <c r="AJ750" s="31">
        <f>VLOOKUP($A750,kurspris!$A$1:$Q$835,9,FALSE)</f>
        <v>0</v>
      </c>
      <c r="AK750" s="31">
        <f>VLOOKUP($A750,kurspris!$A$1:$Q$835,10,FALSE)</f>
        <v>0</v>
      </c>
      <c r="AL750" s="31">
        <f>VLOOKUP($A750,kurspris!$A$1:$Q$835,11,FALSE)</f>
        <v>0</v>
      </c>
      <c r="AM750" s="31">
        <f>VLOOKUP($A750,kurspris!$A$1:$Q$835,12,FALSE)</f>
        <v>0</v>
      </c>
      <c r="AN750" s="31">
        <f>VLOOKUP($A750,kurspris!$A$1:$Q$835,13,FALSE)</f>
        <v>0</v>
      </c>
      <c r="AO750" s="31">
        <f>VLOOKUP($A750,kurspris!$A$1:$Q$835,14,FALSE)</f>
        <v>0</v>
      </c>
      <c r="AP750" s="39" t="s">
        <v>2326</v>
      </c>
      <c r="AQ750"/>
      <c r="AR750" s="31">
        <f t="shared" si="391"/>
        <v>0</v>
      </c>
      <c r="AS750" s="255">
        <f t="shared" si="392"/>
        <v>0</v>
      </c>
      <c r="AT750" s="31">
        <f t="shared" si="393"/>
        <v>0</v>
      </c>
      <c r="AU750" s="255">
        <f t="shared" si="394"/>
        <v>0</v>
      </c>
      <c r="AV750" s="31">
        <f t="shared" si="395"/>
        <v>0</v>
      </c>
      <c r="AW750" s="31">
        <f t="shared" si="396"/>
        <v>0</v>
      </c>
      <c r="AX750" s="31">
        <f t="shared" si="397"/>
        <v>1.1666666666666665</v>
      </c>
      <c r="AY750" s="255">
        <f t="shared" si="398"/>
        <v>0.99166666666666647</v>
      </c>
      <c r="AZ750" s="232">
        <f t="shared" si="399"/>
        <v>0</v>
      </c>
      <c r="BA750" s="255">
        <f t="shared" si="400"/>
        <v>0</v>
      </c>
      <c r="BB750" s="31">
        <f t="shared" si="401"/>
        <v>0</v>
      </c>
      <c r="BC750" s="255">
        <f t="shared" si="402"/>
        <v>0</v>
      </c>
      <c r="BD750" s="31">
        <f t="shared" si="403"/>
        <v>0</v>
      </c>
      <c r="BE750" s="255">
        <f t="shared" si="404"/>
        <v>0</v>
      </c>
      <c r="BF750" s="31">
        <f t="shared" si="405"/>
        <v>0</v>
      </c>
      <c r="BG750" s="255">
        <f t="shared" si="406"/>
        <v>0</v>
      </c>
      <c r="BH750" s="31">
        <f t="shared" si="407"/>
        <v>0</v>
      </c>
      <c r="BI750" s="255">
        <f t="shared" si="408"/>
        <v>0</v>
      </c>
      <c r="BJ750" s="31">
        <f t="shared" si="409"/>
        <v>0</v>
      </c>
      <c r="BK750" s="31">
        <f t="shared" si="410"/>
        <v>0</v>
      </c>
      <c r="BL750" s="255">
        <f t="shared" si="411"/>
        <v>0</v>
      </c>
      <c r="BM750" s="31">
        <f t="shared" si="412"/>
        <v>0</v>
      </c>
      <c r="BN750" s="255">
        <f t="shared" si="413"/>
        <v>0</v>
      </c>
    </row>
    <row r="751" spans="1:66" x14ac:dyDescent="0.25">
      <c r="A751" s="18" t="s">
        <v>1657</v>
      </c>
      <c r="B751" s="186" t="str">
        <f>VLOOKUP(A751,kurspris!$A$1:$B$877,2,FALSE)</f>
        <v>Specialpedagogik - åk 7-9 och gymnasieskolan (UK)</v>
      </c>
      <c r="C751" s="37"/>
      <c r="D751" s="31" t="s">
        <v>483</v>
      </c>
      <c r="E751" s="31" t="s">
        <v>1609</v>
      </c>
      <c r="F751" s="59" t="s">
        <v>1931</v>
      </c>
      <c r="G751" s="31" t="s">
        <v>2273</v>
      </c>
      <c r="J751" t="s">
        <v>773</v>
      </c>
      <c r="L751" s="31">
        <v>100</v>
      </c>
      <c r="M751" s="31">
        <v>5</v>
      </c>
      <c r="P751" s="31">
        <v>15</v>
      </c>
      <c r="Q751" s="232">
        <f t="shared" si="386"/>
        <v>1.25</v>
      </c>
      <c r="R751" s="40">
        <v>0.85</v>
      </c>
      <c r="S751" s="334">
        <f t="shared" si="387"/>
        <v>1.0625</v>
      </c>
      <c r="T751" s="31">
        <f>VLOOKUP(A751,'Ansvar kurs'!$A$1:$C$1010,2,FALSE)</f>
        <v>2180</v>
      </c>
      <c r="U751" s="31" t="str">
        <f>VLOOKUP(T751,Orgenheter!$A$1:$C$165,2,FALSE)</f>
        <v xml:space="preserve">Pedagogik                     </v>
      </c>
      <c r="V751" s="31" t="str">
        <f>VLOOKUP(T751,Orgenheter!$A$1:$C$165,3,FALSE)</f>
        <v>Sam</v>
      </c>
      <c r="W751" s="37" t="str">
        <f>VLOOKUP(D751,Program!$A$1:$B$34,2,FALSE)</f>
        <v>Ämneslärarprogrammet - Gy</v>
      </c>
      <c r="X751" s="42">
        <f>VLOOKUP(A751,kurspris!$A$1:$Q$798,15,FALSE)</f>
        <v>23641</v>
      </c>
      <c r="Y751" s="42">
        <f>VLOOKUP(A751,kurspris!$A$1:$Q$798,16,FALSE)</f>
        <v>28786</v>
      </c>
      <c r="Z751" s="42">
        <f t="shared" si="388"/>
        <v>60136.375</v>
      </c>
      <c r="AA751" s="42">
        <f>VLOOKUP(A751,kurspris!$A$1:$Q$798,17,FALSE)</f>
        <v>5800</v>
      </c>
      <c r="AB751" s="42">
        <f t="shared" si="389"/>
        <v>7250</v>
      </c>
      <c r="AC751" s="42">
        <f t="shared" si="390"/>
        <v>67386.375</v>
      </c>
      <c r="AD751" s="31">
        <f>VLOOKUP($A751,kurspris!$A$1:$Q$835,3,FALSE)</f>
        <v>0</v>
      </c>
      <c r="AE751" s="31">
        <f>VLOOKUP($A751,kurspris!$A$1:$Q$835,4,FALSE)</f>
        <v>0</v>
      </c>
      <c r="AF751" s="31">
        <f>VLOOKUP($A751,kurspris!$A$1:$Q$835,5,FALSE)</f>
        <v>0</v>
      </c>
      <c r="AG751" s="31">
        <f>VLOOKUP($A751,kurspris!$A$1:$Q$835,6,FALSE)</f>
        <v>1</v>
      </c>
      <c r="AH751" s="31">
        <f>VLOOKUP($A751,kurspris!$A$1:$Q$835,7,FALSE)</f>
        <v>0</v>
      </c>
      <c r="AI751" s="31">
        <f>VLOOKUP($A751,kurspris!$A$1:$Q$835,8,FALSE)</f>
        <v>0</v>
      </c>
      <c r="AJ751" s="31">
        <f>VLOOKUP($A751,kurspris!$A$1:$Q$835,9,FALSE)</f>
        <v>0</v>
      </c>
      <c r="AK751" s="31">
        <f>VLOOKUP($A751,kurspris!$A$1:$Q$835,10,FALSE)</f>
        <v>0</v>
      </c>
      <c r="AL751" s="31">
        <f>VLOOKUP($A751,kurspris!$A$1:$Q$835,11,FALSE)</f>
        <v>0</v>
      </c>
      <c r="AM751" s="31">
        <f>VLOOKUP($A751,kurspris!$A$1:$Q$835,12,FALSE)</f>
        <v>0</v>
      </c>
      <c r="AN751" s="31">
        <f>VLOOKUP($A751,kurspris!$A$1:$Q$835,13,FALSE)</f>
        <v>0</v>
      </c>
      <c r="AO751" s="31">
        <f>VLOOKUP($A751,kurspris!$A$1:$Q$835,14,FALSE)</f>
        <v>0</v>
      </c>
      <c r="AP751" s="39" t="s">
        <v>2326</v>
      </c>
      <c r="AQ751"/>
      <c r="AR751" s="31">
        <f t="shared" si="391"/>
        <v>0</v>
      </c>
      <c r="AS751" s="255">
        <f t="shared" si="392"/>
        <v>0</v>
      </c>
      <c r="AT751" s="31">
        <f t="shared" si="393"/>
        <v>0</v>
      </c>
      <c r="AU751" s="255">
        <f t="shared" si="394"/>
        <v>0</v>
      </c>
      <c r="AV751" s="31">
        <f t="shared" si="395"/>
        <v>0</v>
      </c>
      <c r="AW751" s="31">
        <f t="shared" si="396"/>
        <v>0</v>
      </c>
      <c r="AX751" s="31">
        <f t="shared" si="397"/>
        <v>1.25</v>
      </c>
      <c r="AY751" s="255">
        <f t="shared" si="398"/>
        <v>1.0625</v>
      </c>
      <c r="AZ751" s="232">
        <f t="shared" si="399"/>
        <v>0</v>
      </c>
      <c r="BA751" s="255">
        <f t="shared" si="400"/>
        <v>0</v>
      </c>
      <c r="BB751" s="31">
        <f t="shared" si="401"/>
        <v>0</v>
      </c>
      <c r="BC751" s="255">
        <f t="shared" si="402"/>
        <v>0</v>
      </c>
      <c r="BD751" s="31">
        <f t="shared" si="403"/>
        <v>0</v>
      </c>
      <c r="BE751" s="255">
        <f t="shared" si="404"/>
        <v>0</v>
      </c>
      <c r="BF751" s="31">
        <f t="shared" si="405"/>
        <v>0</v>
      </c>
      <c r="BG751" s="255">
        <f t="shared" si="406"/>
        <v>0</v>
      </c>
      <c r="BH751" s="31">
        <f t="shared" si="407"/>
        <v>0</v>
      </c>
      <c r="BI751" s="255">
        <f t="shared" si="408"/>
        <v>0</v>
      </c>
      <c r="BJ751" s="31">
        <f t="shared" si="409"/>
        <v>0</v>
      </c>
      <c r="BK751" s="31">
        <f t="shared" si="410"/>
        <v>0</v>
      </c>
      <c r="BL751" s="255">
        <f t="shared" si="411"/>
        <v>0</v>
      </c>
      <c r="BM751" s="31">
        <f t="shared" si="412"/>
        <v>0</v>
      </c>
      <c r="BN751" s="255">
        <f t="shared" si="413"/>
        <v>0</v>
      </c>
    </row>
    <row r="752" spans="1:66" x14ac:dyDescent="0.25">
      <c r="A752" s="18" t="s">
        <v>1657</v>
      </c>
      <c r="B752" s="186" t="str">
        <f>VLOOKUP(A752,kurspris!$A$1:$B$877,2,FALSE)</f>
        <v>Specialpedagogik - åk 7-9 och gymnasieskolan (UK)</v>
      </c>
      <c r="C752" s="37"/>
      <c r="D752" s="31" t="s">
        <v>483</v>
      </c>
      <c r="E752" s="31" t="s">
        <v>1609</v>
      </c>
      <c r="F752" s="59" t="s">
        <v>1931</v>
      </c>
      <c r="G752" s="31" t="s">
        <v>2273</v>
      </c>
      <c r="J752" t="s">
        <v>774</v>
      </c>
      <c r="L752" s="31">
        <v>100</v>
      </c>
      <c r="M752" s="31">
        <v>5</v>
      </c>
      <c r="P752" s="31">
        <v>12</v>
      </c>
      <c r="Q752" s="232">
        <f t="shared" si="386"/>
        <v>1</v>
      </c>
      <c r="R752" s="40">
        <v>0.85</v>
      </c>
      <c r="S752" s="334">
        <f t="shared" si="387"/>
        <v>0.85</v>
      </c>
      <c r="T752" s="31">
        <f>VLOOKUP(A752,'Ansvar kurs'!$A$1:$C$1010,2,FALSE)</f>
        <v>2180</v>
      </c>
      <c r="U752" s="31" t="str">
        <f>VLOOKUP(T752,Orgenheter!$A$1:$C$165,2,FALSE)</f>
        <v xml:space="preserve">Pedagogik                     </v>
      </c>
      <c r="V752" s="31" t="str">
        <f>VLOOKUP(T752,Orgenheter!$A$1:$C$165,3,FALSE)</f>
        <v>Sam</v>
      </c>
      <c r="W752" s="37" t="str">
        <f>VLOOKUP(D752,Program!$A$1:$B$34,2,FALSE)</f>
        <v>Ämneslärarprogrammet - Gy</v>
      </c>
      <c r="X752" s="42">
        <f>VLOOKUP(A752,kurspris!$A$1:$Q$798,15,FALSE)</f>
        <v>23641</v>
      </c>
      <c r="Y752" s="42">
        <f>VLOOKUP(A752,kurspris!$A$1:$Q$798,16,FALSE)</f>
        <v>28786</v>
      </c>
      <c r="Z752" s="42">
        <f t="shared" si="388"/>
        <v>48109.1</v>
      </c>
      <c r="AA752" s="42">
        <f>VLOOKUP(A752,kurspris!$A$1:$Q$798,17,FALSE)</f>
        <v>5800</v>
      </c>
      <c r="AB752" s="42">
        <f t="shared" si="389"/>
        <v>5800</v>
      </c>
      <c r="AC752" s="42">
        <f t="shared" si="390"/>
        <v>53909.1</v>
      </c>
      <c r="AD752" s="31">
        <f>VLOOKUP($A752,kurspris!$A$1:$Q$835,3,FALSE)</f>
        <v>0</v>
      </c>
      <c r="AE752" s="31">
        <f>VLOOKUP($A752,kurspris!$A$1:$Q$835,4,FALSE)</f>
        <v>0</v>
      </c>
      <c r="AF752" s="31">
        <f>VLOOKUP($A752,kurspris!$A$1:$Q$835,5,FALSE)</f>
        <v>0</v>
      </c>
      <c r="AG752" s="31">
        <f>VLOOKUP($A752,kurspris!$A$1:$Q$835,6,FALSE)</f>
        <v>1</v>
      </c>
      <c r="AH752" s="31">
        <f>VLOOKUP($A752,kurspris!$A$1:$Q$835,7,FALSE)</f>
        <v>0</v>
      </c>
      <c r="AI752" s="31">
        <f>VLOOKUP($A752,kurspris!$A$1:$Q$835,8,FALSE)</f>
        <v>0</v>
      </c>
      <c r="AJ752" s="31">
        <f>VLOOKUP($A752,kurspris!$A$1:$Q$835,9,FALSE)</f>
        <v>0</v>
      </c>
      <c r="AK752" s="31">
        <f>VLOOKUP($A752,kurspris!$A$1:$Q$835,10,FALSE)</f>
        <v>0</v>
      </c>
      <c r="AL752" s="31">
        <f>VLOOKUP($A752,kurspris!$A$1:$Q$835,11,FALSE)</f>
        <v>0</v>
      </c>
      <c r="AM752" s="31">
        <f>VLOOKUP($A752,kurspris!$A$1:$Q$835,12,FALSE)</f>
        <v>0</v>
      </c>
      <c r="AN752" s="31">
        <f>VLOOKUP($A752,kurspris!$A$1:$Q$835,13,FALSE)</f>
        <v>0</v>
      </c>
      <c r="AO752" s="31">
        <f>VLOOKUP($A752,kurspris!$A$1:$Q$835,14,FALSE)</f>
        <v>0</v>
      </c>
      <c r="AP752" s="39" t="s">
        <v>2326</v>
      </c>
      <c r="AQ752"/>
      <c r="AR752" s="31">
        <f t="shared" si="391"/>
        <v>0</v>
      </c>
      <c r="AS752" s="255">
        <f t="shared" si="392"/>
        <v>0</v>
      </c>
      <c r="AT752" s="31">
        <f t="shared" si="393"/>
        <v>0</v>
      </c>
      <c r="AU752" s="255">
        <f t="shared" si="394"/>
        <v>0</v>
      </c>
      <c r="AV752" s="31">
        <f t="shared" si="395"/>
        <v>0</v>
      </c>
      <c r="AW752" s="31">
        <f t="shared" si="396"/>
        <v>0</v>
      </c>
      <c r="AX752" s="31">
        <f t="shared" si="397"/>
        <v>1</v>
      </c>
      <c r="AY752" s="255">
        <f t="shared" si="398"/>
        <v>0.85</v>
      </c>
      <c r="AZ752" s="232">
        <f t="shared" si="399"/>
        <v>0</v>
      </c>
      <c r="BA752" s="255">
        <f t="shared" si="400"/>
        <v>0</v>
      </c>
      <c r="BB752" s="31">
        <f t="shared" si="401"/>
        <v>0</v>
      </c>
      <c r="BC752" s="255">
        <f t="shared" si="402"/>
        <v>0</v>
      </c>
      <c r="BD752" s="31">
        <f t="shared" si="403"/>
        <v>0</v>
      </c>
      <c r="BE752" s="255">
        <f t="shared" si="404"/>
        <v>0</v>
      </c>
      <c r="BF752" s="31">
        <f t="shared" si="405"/>
        <v>0</v>
      </c>
      <c r="BG752" s="255">
        <f t="shared" si="406"/>
        <v>0</v>
      </c>
      <c r="BH752" s="31">
        <f t="shared" si="407"/>
        <v>0</v>
      </c>
      <c r="BI752" s="255">
        <f t="shared" si="408"/>
        <v>0</v>
      </c>
      <c r="BJ752" s="31">
        <f t="shared" si="409"/>
        <v>0</v>
      </c>
      <c r="BK752" s="31">
        <f t="shared" si="410"/>
        <v>0</v>
      </c>
      <c r="BL752" s="255">
        <f t="shared" si="411"/>
        <v>0</v>
      </c>
      <c r="BM752" s="31">
        <f t="shared" si="412"/>
        <v>0</v>
      </c>
      <c r="BN752" s="255">
        <f t="shared" si="413"/>
        <v>0</v>
      </c>
    </row>
    <row r="753" spans="1:66" x14ac:dyDescent="0.25">
      <c r="A753" s="18" t="s">
        <v>1657</v>
      </c>
      <c r="B753" s="186" t="str">
        <f>VLOOKUP(A753,kurspris!$A$1:$B$877,2,FALSE)</f>
        <v>Specialpedagogik - åk 7-9 och gymnasieskolan (UK)</v>
      </c>
      <c r="C753" s="37"/>
      <c r="D753" s="31" t="s">
        <v>483</v>
      </c>
      <c r="E753" s="31" t="s">
        <v>1609</v>
      </c>
      <c r="F753" s="59" t="s">
        <v>1931</v>
      </c>
      <c r="G753" s="31" t="s">
        <v>2273</v>
      </c>
      <c r="J753" t="s">
        <v>775</v>
      </c>
      <c r="L753" s="31">
        <v>100</v>
      </c>
      <c r="M753" s="31">
        <v>5</v>
      </c>
      <c r="P753" s="31">
        <v>2</v>
      </c>
      <c r="Q753" s="232">
        <f t="shared" si="386"/>
        <v>0.16666666666666666</v>
      </c>
      <c r="R753" s="40">
        <v>0.85</v>
      </c>
      <c r="S753" s="334">
        <f t="shared" si="387"/>
        <v>0.14166666666666666</v>
      </c>
      <c r="T753" s="31">
        <f>VLOOKUP(A753,'Ansvar kurs'!$A$1:$C$1010,2,FALSE)</f>
        <v>2180</v>
      </c>
      <c r="U753" s="31" t="str">
        <f>VLOOKUP(T753,Orgenheter!$A$1:$C$165,2,FALSE)</f>
        <v xml:space="preserve">Pedagogik                     </v>
      </c>
      <c r="V753" s="31" t="str">
        <f>VLOOKUP(T753,Orgenheter!$A$1:$C$165,3,FALSE)</f>
        <v>Sam</v>
      </c>
      <c r="W753" s="37" t="str">
        <f>VLOOKUP(D753,Program!$A$1:$B$34,2,FALSE)</f>
        <v>Ämneslärarprogrammet - Gy</v>
      </c>
      <c r="X753" s="42">
        <f>VLOOKUP(A753,kurspris!$A$1:$Q$798,15,FALSE)</f>
        <v>23641</v>
      </c>
      <c r="Y753" s="42">
        <f>VLOOKUP(A753,kurspris!$A$1:$Q$798,16,FALSE)</f>
        <v>28786</v>
      </c>
      <c r="Z753" s="42">
        <f t="shared" si="388"/>
        <v>8018.1833333333325</v>
      </c>
      <c r="AA753" s="42">
        <f>VLOOKUP(A753,kurspris!$A$1:$Q$798,17,FALSE)</f>
        <v>5800</v>
      </c>
      <c r="AB753" s="42">
        <f t="shared" si="389"/>
        <v>966.66666666666663</v>
      </c>
      <c r="AC753" s="42">
        <f t="shared" si="390"/>
        <v>8984.8499999999985</v>
      </c>
      <c r="AD753" s="31">
        <f>VLOOKUP($A753,kurspris!$A$1:$Q$835,3,FALSE)</f>
        <v>0</v>
      </c>
      <c r="AE753" s="31">
        <f>VLOOKUP($A753,kurspris!$A$1:$Q$835,4,FALSE)</f>
        <v>0</v>
      </c>
      <c r="AF753" s="31">
        <f>VLOOKUP($A753,kurspris!$A$1:$Q$835,5,FALSE)</f>
        <v>0</v>
      </c>
      <c r="AG753" s="31">
        <f>VLOOKUP($A753,kurspris!$A$1:$Q$835,6,FALSE)</f>
        <v>1</v>
      </c>
      <c r="AH753" s="31">
        <f>VLOOKUP($A753,kurspris!$A$1:$Q$835,7,FALSE)</f>
        <v>0</v>
      </c>
      <c r="AI753" s="31">
        <f>VLOOKUP($A753,kurspris!$A$1:$Q$835,8,FALSE)</f>
        <v>0</v>
      </c>
      <c r="AJ753" s="31">
        <f>VLOOKUP($A753,kurspris!$A$1:$Q$835,9,FALSE)</f>
        <v>0</v>
      </c>
      <c r="AK753" s="31">
        <f>VLOOKUP($A753,kurspris!$A$1:$Q$835,10,FALSE)</f>
        <v>0</v>
      </c>
      <c r="AL753" s="31">
        <f>VLOOKUP($A753,kurspris!$A$1:$Q$835,11,FALSE)</f>
        <v>0</v>
      </c>
      <c r="AM753" s="31">
        <f>VLOOKUP($A753,kurspris!$A$1:$Q$835,12,FALSE)</f>
        <v>0</v>
      </c>
      <c r="AN753" s="31">
        <f>VLOOKUP($A753,kurspris!$A$1:$Q$835,13,FALSE)</f>
        <v>0</v>
      </c>
      <c r="AO753" s="31">
        <f>VLOOKUP($A753,kurspris!$A$1:$Q$835,14,FALSE)</f>
        <v>0</v>
      </c>
      <c r="AP753" s="39" t="s">
        <v>2326</v>
      </c>
      <c r="AQ753"/>
      <c r="AR753" s="31">
        <f t="shared" si="391"/>
        <v>0</v>
      </c>
      <c r="AS753" s="255">
        <f t="shared" si="392"/>
        <v>0</v>
      </c>
      <c r="AT753" s="31">
        <f t="shared" si="393"/>
        <v>0</v>
      </c>
      <c r="AU753" s="255">
        <f t="shared" si="394"/>
        <v>0</v>
      </c>
      <c r="AV753" s="31">
        <f t="shared" si="395"/>
        <v>0</v>
      </c>
      <c r="AW753" s="31">
        <f t="shared" si="396"/>
        <v>0</v>
      </c>
      <c r="AX753" s="31">
        <f t="shared" si="397"/>
        <v>0.16666666666666666</v>
      </c>
      <c r="AY753" s="255">
        <f t="shared" si="398"/>
        <v>0.14166666666666666</v>
      </c>
      <c r="AZ753" s="232">
        <f t="shared" si="399"/>
        <v>0</v>
      </c>
      <c r="BA753" s="255">
        <f t="shared" si="400"/>
        <v>0</v>
      </c>
      <c r="BB753" s="31">
        <f t="shared" si="401"/>
        <v>0</v>
      </c>
      <c r="BC753" s="255">
        <f t="shared" si="402"/>
        <v>0</v>
      </c>
      <c r="BD753" s="31">
        <f t="shared" si="403"/>
        <v>0</v>
      </c>
      <c r="BE753" s="255">
        <f t="shared" si="404"/>
        <v>0</v>
      </c>
      <c r="BF753" s="31">
        <f t="shared" si="405"/>
        <v>0</v>
      </c>
      <c r="BG753" s="255">
        <f t="shared" si="406"/>
        <v>0</v>
      </c>
      <c r="BH753" s="31">
        <f t="shared" si="407"/>
        <v>0</v>
      </c>
      <c r="BI753" s="255">
        <f t="shared" si="408"/>
        <v>0</v>
      </c>
      <c r="BJ753" s="31">
        <f t="shared" si="409"/>
        <v>0</v>
      </c>
      <c r="BK753" s="31">
        <f t="shared" si="410"/>
        <v>0</v>
      </c>
      <c r="BL753" s="255">
        <f t="shared" si="411"/>
        <v>0</v>
      </c>
      <c r="BM753" s="31">
        <f t="shared" si="412"/>
        <v>0</v>
      </c>
      <c r="BN753" s="255">
        <f t="shared" si="413"/>
        <v>0</v>
      </c>
    </row>
    <row r="754" spans="1:66" x14ac:dyDescent="0.25">
      <c r="A754" s="18" t="s">
        <v>1657</v>
      </c>
      <c r="B754" s="186" t="str">
        <f>VLOOKUP(A754,kurspris!$A$1:$B$877,2,FALSE)</f>
        <v>Specialpedagogik - åk 7-9 och gymnasieskolan (UK)</v>
      </c>
      <c r="C754" s="37"/>
      <c r="D754" s="31" t="s">
        <v>483</v>
      </c>
      <c r="E754" s="31" t="s">
        <v>1609</v>
      </c>
      <c r="F754" s="59" t="s">
        <v>1931</v>
      </c>
      <c r="G754" s="31" t="s">
        <v>2273</v>
      </c>
      <c r="J754" t="s">
        <v>776</v>
      </c>
      <c r="L754" s="31">
        <v>100</v>
      </c>
      <c r="M754" s="31">
        <v>5</v>
      </c>
      <c r="P754" s="31">
        <v>4</v>
      </c>
      <c r="Q754" s="232">
        <f t="shared" si="386"/>
        <v>0.33333333333333331</v>
      </c>
      <c r="R754" s="40">
        <v>0.85</v>
      </c>
      <c r="S754" s="334">
        <f t="shared" si="387"/>
        <v>0.28333333333333333</v>
      </c>
      <c r="T754" s="31">
        <f>VLOOKUP(A754,'Ansvar kurs'!$A$1:$C$1010,2,FALSE)</f>
        <v>2180</v>
      </c>
      <c r="U754" s="31" t="str">
        <f>VLOOKUP(T754,Orgenheter!$A$1:$C$165,2,FALSE)</f>
        <v xml:space="preserve">Pedagogik                     </v>
      </c>
      <c r="V754" s="31" t="str">
        <f>VLOOKUP(T754,Orgenheter!$A$1:$C$165,3,FALSE)</f>
        <v>Sam</v>
      </c>
      <c r="W754" s="37" t="str">
        <f>VLOOKUP(D754,Program!$A$1:$B$34,2,FALSE)</f>
        <v>Ämneslärarprogrammet - Gy</v>
      </c>
      <c r="X754" s="42">
        <f>VLOOKUP(A754,kurspris!$A$1:$Q$798,15,FALSE)</f>
        <v>23641</v>
      </c>
      <c r="Y754" s="42">
        <f>VLOOKUP(A754,kurspris!$A$1:$Q$798,16,FALSE)</f>
        <v>28786</v>
      </c>
      <c r="Z754" s="42">
        <f t="shared" si="388"/>
        <v>16036.366666666665</v>
      </c>
      <c r="AA754" s="42">
        <f>VLOOKUP(A754,kurspris!$A$1:$Q$798,17,FALSE)</f>
        <v>5800</v>
      </c>
      <c r="AB754" s="42">
        <f t="shared" si="389"/>
        <v>1933.3333333333333</v>
      </c>
      <c r="AC754" s="42">
        <f t="shared" si="390"/>
        <v>17969.699999999997</v>
      </c>
      <c r="AD754" s="31">
        <f>VLOOKUP($A754,kurspris!$A$1:$Q$835,3,FALSE)</f>
        <v>0</v>
      </c>
      <c r="AE754" s="31">
        <f>VLOOKUP($A754,kurspris!$A$1:$Q$835,4,FALSE)</f>
        <v>0</v>
      </c>
      <c r="AF754" s="31">
        <f>VLOOKUP($A754,kurspris!$A$1:$Q$835,5,FALSE)</f>
        <v>0</v>
      </c>
      <c r="AG754" s="31">
        <f>VLOOKUP($A754,kurspris!$A$1:$Q$835,6,FALSE)</f>
        <v>1</v>
      </c>
      <c r="AH754" s="31">
        <f>VLOOKUP($A754,kurspris!$A$1:$Q$835,7,FALSE)</f>
        <v>0</v>
      </c>
      <c r="AI754" s="31">
        <f>VLOOKUP($A754,kurspris!$A$1:$Q$835,8,FALSE)</f>
        <v>0</v>
      </c>
      <c r="AJ754" s="31">
        <f>VLOOKUP($A754,kurspris!$A$1:$Q$835,9,FALSE)</f>
        <v>0</v>
      </c>
      <c r="AK754" s="31">
        <f>VLOOKUP($A754,kurspris!$A$1:$Q$835,10,FALSE)</f>
        <v>0</v>
      </c>
      <c r="AL754" s="31">
        <f>VLOOKUP($A754,kurspris!$A$1:$Q$835,11,FALSE)</f>
        <v>0</v>
      </c>
      <c r="AM754" s="31">
        <f>VLOOKUP($A754,kurspris!$A$1:$Q$835,12,FALSE)</f>
        <v>0</v>
      </c>
      <c r="AN754" s="31">
        <f>VLOOKUP($A754,kurspris!$A$1:$Q$835,13,FALSE)</f>
        <v>0</v>
      </c>
      <c r="AO754" s="31">
        <f>VLOOKUP($A754,kurspris!$A$1:$Q$835,14,FALSE)</f>
        <v>0</v>
      </c>
      <c r="AP754" s="39" t="s">
        <v>2326</v>
      </c>
      <c r="AQ754"/>
      <c r="AR754" s="31">
        <f t="shared" si="391"/>
        <v>0</v>
      </c>
      <c r="AS754" s="255">
        <f t="shared" si="392"/>
        <v>0</v>
      </c>
      <c r="AT754" s="31">
        <f t="shared" si="393"/>
        <v>0</v>
      </c>
      <c r="AU754" s="255">
        <f t="shared" si="394"/>
        <v>0</v>
      </c>
      <c r="AV754" s="31">
        <f t="shared" si="395"/>
        <v>0</v>
      </c>
      <c r="AW754" s="31">
        <f t="shared" si="396"/>
        <v>0</v>
      </c>
      <c r="AX754" s="31">
        <f t="shared" si="397"/>
        <v>0.33333333333333331</v>
      </c>
      <c r="AY754" s="255">
        <f t="shared" si="398"/>
        <v>0.28333333333333333</v>
      </c>
      <c r="AZ754" s="232">
        <f t="shared" si="399"/>
        <v>0</v>
      </c>
      <c r="BA754" s="255">
        <f t="shared" si="400"/>
        <v>0</v>
      </c>
      <c r="BB754" s="31">
        <f t="shared" si="401"/>
        <v>0</v>
      </c>
      <c r="BC754" s="255">
        <f t="shared" si="402"/>
        <v>0</v>
      </c>
      <c r="BD754" s="31">
        <f t="shared" si="403"/>
        <v>0</v>
      </c>
      <c r="BE754" s="255">
        <f t="shared" si="404"/>
        <v>0</v>
      </c>
      <c r="BF754" s="31">
        <f t="shared" si="405"/>
        <v>0</v>
      </c>
      <c r="BG754" s="255">
        <f t="shared" si="406"/>
        <v>0</v>
      </c>
      <c r="BH754" s="31">
        <f t="shared" si="407"/>
        <v>0</v>
      </c>
      <c r="BI754" s="255">
        <f t="shared" si="408"/>
        <v>0</v>
      </c>
      <c r="BJ754" s="31">
        <f t="shared" si="409"/>
        <v>0</v>
      </c>
      <c r="BK754" s="31">
        <f t="shared" si="410"/>
        <v>0</v>
      </c>
      <c r="BL754" s="255">
        <f t="shared" si="411"/>
        <v>0</v>
      </c>
      <c r="BM754" s="31">
        <f t="shared" si="412"/>
        <v>0</v>
      </c>
      <c r="BN754" s="255">
        <f t="shared" si="413"/>
        <v>0</v>
      </c>
    </row>
    <row r="755" spans="1:66" x14ac:dyDescent="0.25">
      <c r="A755" s="18" t="s">
        <v>1657</v>
      </c>
      <c r="B755" s="186" t="str">
        <f>VLOOKUP(A755,kurspris!$A$1:$B$877,2,FALSE)</f>
        <v>Specialpedagogik - åk 7-9 och gymnasieskolan (UK)</v>
      </c>
      <c r="C755" s="37"/>
      <c r="D755" s="31" t="s">
        <v>483</v>
      </c>
      <c r="E755" s="31" t="s">
        <v>1609</v>
      </c>
      <c r="F755" s="59" t="s">
        <v>1931</v>
      </c>
      <c r="G755" s="31" t="s">
        <v>2273</v>
      </c>
      <c r="J755" t="s">
        <v>777</v>
      </c>
      <c r="L755" s="31">
        <v>100</v>
      </c>
      <c r="M755" s="31">
        <v>5</v>
      </c>
      <c r="P755" s="31">
        <v>6</v>
      </c>
      <c r="Q755" s="232">
        <f t="shared" si="386"/>
        <v>0.5</v>
      </c>
      <c r="R755" s="40">
        <v>0.85</v>
      </c>
      <c r="S755" s="334">
        <f t="shared" si="387"/>
        <v>0.42499999999999999</v>
      </c>
      <c r="T755" s="31">
        <f>VLOOKUP(A755,'Ansvar kurs'!$A$1:$C$1010,2,FALSE)</f>
        <v>2180</v>
      </c>
      <c r="U755" s="31" t="str">
        <f>VLOOKUP(T755,Orgenheter!$A$1:$C$165,2,FALSE)</f>
        <v xml:space="preserve">Pedagogik                     </v>
      </c>
      <c r="V755" s="31" t="str">
        <f>VLOOKUP(T755,Orgenheter!$A$1:$C$165,3,FALSE)</f>
        <v>Sam</v>
      </c>
      <c r="W755" s="37" t="str">
        <f>VLOOKUP(D755,Program!$A$1:$B$34,2,FALSE)</f>
        <v>Ämneslärarprogrammet - Gy</v>
      </c>
      <c r="X755" s="42">
        <f>VLOOKUP(A755,kurspris!$A$1:$Q$798,15,FALSE)</f>
        <v>23641</v>
      </c>
      <c r="Y755" s="42">
        <f>VLOOKUP(A755,kurspris!$A$1:$Q$798,16,FALSE)</f>
        <v>28786</v>
      </c>
      <c r="Z755" s="42">
        <f t="shared" si="388"/>
        <v>24054.55</v>
      </c>
      <c r="AA755" s="42">
        <f>VLOOKUP(A755,kurspris!$A$1:$Q$798,17,FALSE)</f>
        <v>5800</v>
      </c>
      <c r="AB755" s="42">
        <f t="shared" si="389"/>
        <v>2900</v>
      </c>
      <c r="AC755" s="42">
        <f t="shared" si="390"/>
        <v>26954.55</v>
      </c>
      <c r="AD755" s="31">
        <f>VLOOKUP($A755,kurspris!$A$1:$Q$835,3,FALSE)</f>
        <v>0</v>
      </c>
      <c r="AE755" s="31">
        <f>VLOOKUP($A755,kurspris!$A$1:$Q$835,4,FALSE)</f>
        <v>0</v>
      </c>
      <c r="AF755" s="31">
        <f>VLOOKUP($A755,kurspris!$A$1:$Q$835,5,FALSE)</f>
        <v>0</v>
      </c>
      <c r="AG755" s="31">
        <f>VLOOKUP($A755,kurspris!$A$1:$Q$835,6,FALSE)</f>
        <v>1</v>
      </c>
      <c r="AH755" s="31">
        <f>VLOOKUP($A755,kurspris!$A$1:$Q$835,7,FALSE)</f>
        <v>0</v>
      </c>
      <c r="AI755" s="31">
        <f>VLOOKUP($A755,kurspris!$A$1:$Q$835,8,FALSE)</f>
        <v>0</v>
      </c>
      <c r="AJ755" s="31">
        <f>VLOOKUP($A755,kurspris!$A$1:$Q$835,9,FALSE)</f>
        <v>0</v>
      </c>
      <c r="AK755" s="31">
        <f>VLOOKUP($A755,kurspris!$A$1:$Q$835,10,FALSE)</f>
        <v>0</v>
      </c>
      <c r="AL755" s="31">
        <f>VLOOKUP($A755,kurspris!$A$1:$Q$835,11,FALSE)</f>
        <v>0</v>
      </c>
      <c r="AM755" s="31">
        <f>VLOOKUP($A755,kurspris!$A$1:$Q$835,12,FALSE)</f>
        <v>0</v>
      </c>
      <c r="AN755" s="31">
        <f>VLOOKUP($A755,kurspris!$A$1:$Q$835,13,FALSE)</f>
        <v>0</v>
      </c>
      <c r="AO755" s="31">
        <f>VLOOKUP($A755,kurspris!$A$1:$Q$835,14,FALSE)</f>
        <v>0</v>
      </c>
      <c r="AP755" s="39" t="s">
        <v>2326</v>
      </c>
      <c r="AQ755"/>
      <c r="AR755" s="31">
        <f t="shared" si="391"/>
        <v>0</v>
      </c>
      <c r="AS755" s="255">
        <f t="shared" si="392"/>
        <v>0</v>
      </c>
      <c r="AT755" s="31">
        <f t="shared" si="393"/>
        <v>0</v>
      </c>
      <c r="AU755" s="255">
        <f t="shared" si="394"/>
        <v>0</v>
      </c>
      <c r="AV755" s="31">
        <f t="shared" si="395"/>
        <v>0</v>
      </c>
      <c r="AW755" s="31">
        <f t="shared" si="396"/>
        <v>0</v>
      </c>
      <c r="AX755" s="31">
        <f t="shared" si="397"/>
        <v>0.5</v>
      </c>
      <c r="AY755" s="255">
        <f t="shared" si="398"/>
        <v>0.42499999999999999</v>
      </c>
      <c r="AZ755" s="232">
        <f t="shared" si="399"/>
        <v>0</v>
      </c>
      <c r="BA755" s="255">
        <f t="shared" si="400"/>
        <v>0</v>
      </c>
      <c r="BB755" s="31">
        <f t="shared" si="401"/>
        <v>0</v>
      </c>
      <c r="BC755" s="255">
        <f t="shared" si="402"/>
        <v>0</v>
      </c>
      <c r="BD755" s="31">
        <f t="shared" si="403"/>
        <v>0</v>
      </c>
      <c r="BE755" s="255">
        <f t="shared" si="404"/>
        <v>0</v>
      </c>
      <c r="BF755" s="31">
        <f t="shared" si="405"/>
        <v>0</v>
      </c>
      <c r="BG755" s="255">
        <f t="shared" si="406"/>
        <v>0</v>
      </c>
      <c r="BH755" s="31">
        <f t="shared" si="407"/>
        <v>0</v>
      </c>
      <c r="BI755" s="255">
        <f t="shared" si="408"/>
        <v>0</v>
      </c>
      <c r="BJ755" s="31">
        <f t="shared" si="409"/>
        <v>0</v>
      </c>
      <c r="BK755" s="31">
        <f t="shared" si="410"/>
        <v>0</v>
      </c>
      <c r="BL755" s="255">
        <f t="shared" si="411"/>
        <v>0</v>
      </c>
      <c r="BM755" s="31">
        <f t="shared" si="412"/>
        <v>0</v>
      </c>
      <c r="BN755" s="255">
        <f t="shared" si="413"/>
        <v>0</v>
      </c>
    </row>
    <row r="756" spans="1:66" x14ac:dyDescent="0.25">
      <c r="A756" s="18" t="s">
        <v>1657</v>
      </c>
      <c r="B756" s="186" t="str">
        <f>VLOOKUP(A756,kurspris!$A$1:$B$877,2,FALSE)</f>
        <v>Specialpedagogik - åk 7-9 och gymnasieskolan (UK)</v>
      </c>
      <c r="C756" s="37"/>
      <c r="D756" s="31" t="s">
        <v>483</v>
      </c>
      <c r="E756" s="31" t="s">
        <v>1609</v>
      </c>
      <c r="F756" s="59" t="s">
        <v>1931</v>
      </c>
      <c r="G756" s="31" t="s">
        <v>2273</v>
      </c>
      <c r="J756" t="s">
        <v>1803</v>
      </c>
      <c r="L756" s="31">
        <v>100</v>
      </c>
      <c r="M756" s="31">
        <v>5</v>
      </c>
      <c r="P756" s="31">
        <v>2</v>
      </c>
      <c r="Q756" s="232">
        <f t="shared" si="386"/>
        <v>0.16666666666666666</v>
      </c>
      <c r="R756" s="40">
        <v>0.85</v>
      </c>
      <c r="S756" s="334">
        <f t="shared" si="387"/>
        <v>0.14166666666666666</v>
      </c>
      <c r="T756" s="31">
        <f>VLOOKUP(A756,'Ansvar kurs'!$A$1:$C$1010,2,FALSE)</f>
        <v>2180</v>
      </c>
      <c r="U756" s="31" t="str">
        <f>VLOOKUP(T756,Orgenheter!$A$1:$C$165,2,FALSE)</f>
        <v xml:space="preserve">Pedagogik                     </v>
      </c>
      <c r="V756" s="31" t="str">
        <f>VLOOKUP(T756,Orgenheter!$A$1:$C$165,3,FALSE)</f>
        <v>Sam</v>
      </c>
      <c r="W756" s="37" t="str">
        <f>VLOOKUP(D756,Program!$A$1:$B$34,2,FALSE)</f>
        <v>Ämneslärarprogrammet - Gy</v>
      </c>
      <c r="X756" s="42">
        <f>VLOOKUP(A756,kurspris!$A$1:$Q$798,15,FALSE)</f>
        <v>23641</v>
      </c>
      <c r="Y756" s="42">
        <f>VLOOKUP(A756,kurspris!$A$1:$Q$798,16,FALSE)</f>
        <v>28786</v>
      </c>
      <c r="Z756" s="42">
        <f t="shared" si="388"/>
        <v>8018.1833333333325</v>
      </c>
      <c r="AA756" s="42">
        <f>VLOOKUP(A756,kurspris!$A$1:$Q$798,17,FALSE)</f>
        <v>5800</v>
      </c>
      <c r="AB756" s="42">
        <f t="shared" si="389"/>
        <v>966.66666666666663</v>
      </c>
      <c r="AC756" s="42">
        <f t="shared" si="390"/>
        <v>8984.8499999999985</v>
      </c>
      <c r="AD756" s="31">
        <f>VLOOKUP($A756,kurspris!$A$1:$Q$835,3,FALSE)</f>
        <v>0</v>
      </c>
      <c r="AE756" s="31">
        <f>VLOOKUP($A756,kurspris!$A$1:$Q$835,4,FALSE)</f>
        <v>0</v>
      </c>
      <c r="AF756" s="31">
        <f>VLOOKUP($A756,kurspris!$A$1:$Q$835,5,FALSE)</f>
        <v>0</v>
      </c>
      <c r="AG756" s="31">
        <f>VLOOKUP($A756,kurspris!$A$1:$Q$835,6,FALSE)</f>
        <v>1</v>
      </c>
      <c r="AH756" s="31">
        <f>VLOOKUP($A756,kurspris!$A$1:$Q$835,7,FALSE)</f>
        <v>0</v>
      </c>
      <c r="AI756" s="31">
        <f>VLOOKUP($A756,kurspris!$A$1:$Q$835,8,FALSE)</f>
        <v>0</v>
      </c>
      <c r="AJ756" s="31">
        <f>VLOOKUP($A756,kurspris!$A$1:$Q$835,9,FALSE)</f>
        <v>0</v>
      </c>
      <c r="AK756" s="31">
        <f>VLOOKUP($A756,kurspris!$A$1:$Q$835,10,FALSE)</f>
        <v>0</v>
      </c>
      <c r="AL756" s="31">
        <f>VLOOKUP($A756,kurspris!$A$1:$Q$835,11,FALSE)</f>
        <v>0</v>
      </c>
      <c r="AM756" s="31">
        <f>VLOOKUP($A756,kurspris!$A$1:$Q$835,12,FALSE)</f>
        <v>0</v>
      </c>
      <c r="AN756" s="31">
        <f>VLOOKUP($A756,kurspris!$A$1:$Q$835,13,FALSE)</f>
        <v>0</v>
      </c>
      <c r="AO756" s="31">
        <f>VLOOKUP($A756,kurspris!$A$1:$Q$835,14,FALSE)</f>
        <v>0</v>
      </c>
      <c r="AP756" s="39" t="s">
        <v>2326</v>
      </c>
      <c r="AQ756"/>
      <c r="AR756" s="31">
        <f t="shared" si="391"/>
        <v>0</v>
      </c>
      <c r="AS756" s="255">
        <f t="shared" si="392"/>
        <v>0</v>
      </c>
      <c r="AT756" s="31">
        <f t="shared" si="393"/>
        <v>0</v>
      </c>
      <c r="AU756" s="255">
        <f t="shared" si="394"/>
        <v>0</v>
      </c>
      <c r="AV756" s="31">
        <f t="shared" si="395"/>
        <v>0</v>
      </c>
      <c r="AW756" s="31">
        <f t="shared" si="396"/>
        <v>0</v>
      </c>
      <c r="AX756" s="31">
        <f t="shared" si="397"/>
        <v>0.16666666666666666</v>
      </c>
      <c r="AY756" s="255">
        <f t="shared" si="398"/>
        <v>0.14166666666666666</v>
      </c>
      <c r="AZ756" s="232">
        <f t="shared" si="399"/>
        <v>0</v>
      </c>
      <c r="BA756" s="255">
        <f t="shared" si="400"/>
        <v>0</v>
      </c>
      <c r="BB756" s="31">
        <f t="shared" si="401"/>
        <v>0</v>
      </c>
      <c r="BC756" s="255">
        <f t="shared" si="402"/>
        <v>0</v>
      </c>
      <c r="BD756" s="31">
        <f t="shared" si="403"/>
        <v>0</v>
      </c>
      <c r="BE756" s="255">
        <f t="shared" si="404"/>
        <v>0</v>
      </c>
      <c r="BF756" s="31">
        <f t="shared" si="405"/>
        <v>0</v>
      </c>
      <c r="BG756" s="255">
        <f t="shared" si="406"/>
        <v>0</v>
      </c>
      <c r="BH756" s="31">
        <f t="shared" si="407"/>
        <v>0</v>
      </c>
      <c r="BI756" s="255">
        <f t="shared" si="408"/>
        <v>0</v>
      </c>
      <c r="BJ756" s="31">
        <f t="shared" si="409"/>
        <v>0</v>
      </c>
      <c r="BK756" s="31">
        <f t="shared" si="410"/>
        <v>0</v>
      </c>
      <c r="BL756" s="255">
        <f t="shared" si="411"/>
        <v>0</v>
      </c>
      <c r="BM756" s="31">
        <f t="shared" si="412"/>
        <v>0</v>
      </c>
      <c r="BN756" s="255">
        <f t="shared" si="413"/>
        <v>0</v>
      </c>
    </row>
    <row r="757" spans="1:66" x14ac:dyDescent="0.25">
      <c r="A757" s="18" t="s">
        <v>1657</v>
      </c>
      <c r="B757" s="186" t="str">
        <f>VLOOKUP(A757,kurspris!$A$1:$B$877,2,FALSE)</f>
        <v>Specialpedagogik - åk 7-9 och gymnasieskolan (UK)</v>
      </c>
      <c r="C757" s="37"/>
      <c r="D757" s="31" t="s">
        <v>483</v>
      </c>
      <c r="E757" s="31" t="s">
        <v>1609</v>
      </c>
      <c r="F757" s="59" t="s">
        <v>1931</v>
      </c>
      <c r="G757" s="31" t="s">
        <v>2273</v>
      </c>
      <c r="J757" t="s">
        <v>778</v>
      </c>
      <c r="L757" s="31">
        <v>100</v>
      </c>
      <c r="M757" s="31">
        <v>5</v>
      </c>
      <c r="P757" s="31">
        <v>11</v>
      </c>
      <c r="Q757" s="232">
        <f t="shared" si="386"/>
        <v>0.91666666666666663</v>
      </c>
      <c r="R757" s="40">
        <v>0.85</v>
      </c>
      <c r="S757" s="334">
        <f t="shared" si="387"/>
        <v>0.77916666666666656</v>
      </c>
      <c r="T757" s="31">
        <f>VLOOKUP(A757,'Ansvar kurs'!$A$1:$C$1010,2,FALSE)</f>
        <v>2180</v>
      </c>
      <c r="U757" s="31" t="str">
        <f>VLOOKUP(T757,Orgenheter!$A$1:$C$165,2,FALSE)</f>
        <v xml:space="preserve">Pedagogik                     </v>
      </c>
      <c r="V757" s="31" t="str">
        <f>VLOOKUP(T757,Orgenheter!$A$1:$C$165,3,FALSE)</f>
        <v>Sam</v>
      </c>
      <c r="W757" s="37" t="str">
        <f>VLOOKUP(D757,Program!$A$1:$B$34,2,FALSE)</f>
        <v>Ämneslärarprogrammet - Gy</v>
      </c>
      <c r="X757" s="42">
        <f>VLOOKUP(A757,kurspris!$A$1:$Q$798,15,FALSE)</f>
        <v>23641</v>
      </c>
      <c r="Y757" s="42">
        <f>VLOOKUP(A757,kurspris!$A$1:$Q$798,16,FALSE)</f>
        <v>28786</v>
      </c>
      <c r="Z757" s="42">
        <f t="shared" si="388"/>
        <v>44100.008333333331</v>
      </c>
      <c r="AA757" s="42">
        <f>VLOOKUP(A757,kurspris!$A$1:$Q$798,17,FALSE)</f>
        <v>5800</v>
      </c>
      <c r="AB757" s="42">
        <f t="shared" si="389"/>
        <v>5316.6666666666661</v>
      </c>
      <c r="AC757" s="42">
        <f t="shared" si="390"/>
        <v>49416.674999999996</v>
      </c>
      <c r="AD757" s="31">
        <f>VLOOKUP($A757,kurspris!$A$1:$Q$835,3,FALSE)</f>
        <v>0</v>
      </c>
      <c r="AE757" s="31">
        <f>VLOOKUP($A757,kurspris!$A$1:$Q$835,4,FALSE)</f>
        <v>0</v>
      </c>
      <c r="AF757" s="31">
        <f>VLOOKUP($A757,kurspris!$A$1:$Q$835,5,FALSE)</f>
        <v>0</v>
      </c>
      <c r="AG757" s="31">
        <f>VLOOKUP($A757,kurspris!$A$1:$Q$835,6,FALSE)</f>
        <v>1</v>
      </c>
      <c r="AH757" s="31">
        <f>VLOOKUP($A757,kurspris!$A$1:$Q$835,7,FALSE)</f>
        <v>0</v>
      </c>
      <c r="AI757" s="31">
        <f>VLOOKUP($A757,kurspris!$A$1:$Q$835,8,FALSE)</f>
        <v>0</v>
      </c>
      <c r="AJ757" s="31">
        <f>VLOOKUP($A757,kurspris!$A$1:$Q$835,9,FALSE)</f>
        <v>0</v>
      </c>
      <c r="AK757" s="31">
        <f>VLOOKUP($A757,kurspris!$A$1:$Q$835,10,FALSE)</f>
        <v>0</v>
      </c>
      <c r="AL757" s="31">
        <f>VLOOKUP($A757,kurspris!$A$1:$Q$835,11,FALSE)</f>
        <v>0</v>
      </c>
      <c r="AM757" s="31">
        <f>VLOOKUP($A757,kurspris!$A$1:$Q$835,12,FALSE)</f>
        <v>0</v>
      </c>
      <c r="AN757" s="31">
        <f>VLOOKUP($A757,kurspris!$A$1:$Q$835,13,FALSE)</f>
        <v>0</v>
      </c>
      <c r="AO757" s="31">
        <f>VLOOKUP($A757,kurspris!$A$1:$Q$835,14,FALSE)</f>
        <v>0</v>
      </c>
      <c r="AP757" s="39" t="s">
        <v>2326</v>
      </c>
      <c r="AQ757"/>
      <c r="AR757" s="31">
        <f t="shared" si="391"/>
        <v>0</v>
      </c>
      <c r="AS757" s="255">
        <f t="shared" si="392"/>
        <v>0</v>
      </c>
      <c r="AT757" s="31">
        <f t="shared" si="393"/>
        <v>0</v>
      </c>
      <c r="AU757" s="255">
        <f t="shared" si="394"/>
        <v>0</v>
      </c>
      <c r="AV757" s="31">
        <f t="shared" si="395"/>
        <v>0</v>
      </c>
      <c r="AW757" s="31">
        <f t="shared" si="396"/>
        <v>0</v>
      </c>
      <c r="AX757" s="31">
        <f t="shared" si="397"/>
        <v>0.91666666666666663</v>
      </c>
      <c r="AY757" s="255">
        <f t="shared" si="398"/>
        <v>0.77916666666666656</v>
      </c>
      <c r="AZ757" s="232">
        <f t="shared" si="399"/>
        <v>0</v>
      </c>
      <c r="BA757" s="255">
        <f t="shared" si="400"/>
        <v>0</v>
      </c>
      <c r="BB757" s="31">
        <f t="shared" si="401"/>
        <v>0</v>
      </c>
      <c r="BC757" s="255">
        <f t="shared" si="402"/>
        <v>0</v>
      </c>
      <c r="BD757" s="31">
        <f t="shared" si="403"/>
        <v>0</v>
      </c>
      <c r="BE757" s="255">
        <f t="shared" si="404"/>
        <v>0</v>
      </c>
      <c r="BF757" s="31">
        <f t="shared" si="405"/>
        <v>0</v>
      </c>
      <c r="BG757" s="255">
        <f t="shared" si="406"/>
        <v>0</v>
      </c>
      <c r="BH757" s="31">
        <f t="shared" si="407"/>
        <v>0</v>
      </c>
      <c r="BI757" s="255">
        <f t="shared" si="408"/>
        <v>0</v>
      </c>
      <c r="BJ757" s="31">
        <f t="shared" si="409"/>
        <v>0</v>
      </c>
      <c r="BK757" s="31">
        <f t="shared" si="410"/>
        <v>0</v>
      </c>
      <c r="BL757" s="255">
        <f t="shared" si="411"/>
        <v>0</v>
      </c>
      <c r="BM757" s="31">
        <f t="shared" si="412"/>
        <v>0</v>
      </c>
      <c r="BN757" s="255">
        <f t="shared" si="413"/>
        <v>0</v>
      </c>
    </row>
    <row r="758" spans="1:66" x14ac:dyDescent="0.25">
      <c r="A758" s="18" t="s">
        <v>1657</v>
      </c>
      <c r="B758" s="186" t="str">
        <f>VLOOKUP(A758,kurspris!$A$1:$B$877,2,FALSE)</f>
        <v>Specialpedagogik - åk 7-9 och gymnasieskolan (UK)</v>
      </c>
      <c r="C758" s="37"/>
      <c r="D758" s="31" t="s">
        <v>483</v>
      </c>
      <c r="E758" s="31" t="s">
        <v>1609</v>
      </c>
      <c r="F758" s="59" t="s">
        <v>1931</v>
      </c>
      <c r="G758" s="31" t="s">
        <v>2273</v>
      </c>
      <c r="J758" t="s">
        <v>1593</v>
      </c>
      <c r="L758" s="31">
        <v>100</v>
      </c>
      <c r="M758" s="31">
        <v>5</v>
      </c>
      <c r="P758" s="31">
        <v>1</v>
      </c>
      <c r="Q758" s="232">
        <f t="shared" si="386"/>
        <v>8.3333333333333329E-2</v>
      </c>
      <c r="R758" s="40">
        <v>0.85</v>
      </c>
      <c r="S758" s="334">
        <f t="shared" si="387"/>
        <v>7.0833333333333331E-2</v>
      </c>
      <c r="T758" s="31">
        <f>VLOOKUP(A758,'Ansvar kurs'!$A$1:$C$1010,2,FALSE)</f>
        <v>2180</v>
      </c>
      <c r="U758" s="31" t="str">
        <f>VLOOKUP(T758,Orgenheter!$A$1:$C$165,2,FALSE)</f>
        <v xml:space="preserve">Pedagogik                     </v>
      </c>
      <c r="V758" s="31" t="str">
        <f>VLOOKUP(T758,Orgenheter!$A$1:$C$165,3,FALSE)</f>
        <v>Sam</v>
      </c>
      <c r="W758" s="37" t="str">
        <f>VLOOKUP(D758,Program!$A$1:$B$34,2,FALSE)</f>
        <v>Ämneslärarprogrammet - Gy</v>
      </c>
      <c r="X758" s="42">
        <f>VLOOKUP(A758,kurspris!$A$1:$Q$798,15,FALSE)</f>
        <v>23641</v>
      </c>
      <c r="Y758" s="42">
        <f>VLOOKUP(A758,kurspris!$A$1:$Q$798,16,FALSE)</f>
        <v>28786</v>
      </c>
      <c r="Z758" s="42">
        <f t="shared" si="388"/>
        <v>4009.0916666666662</v>
      </c>
      <c r="AA758" s="42">
        <f>VLOOKUP(A758,kurspris!$A$1:$Q$798,17,FALSE)</f>
        <v>5800</v>
      </c>
      <c r="AB758" s="42">
        <f t="shared" si="389"/>
        <v>483.33333333333331</v>
      </c>
      <c r="AC758" s="42">
        <f t="shared" si="390"/>
        <v>4492.4249999999993</v>
      </c>
      <c r="AD758" s="31">
        <f>VLOOKUP($A758,kurspris!$A$1:$Q$835,3,FALSE)</f>
        <v>0</v>
      </c>
      <c r="AE758" s="31">
        <f>VLOOKUP($A758,kurspris!$A$1:$Q$835,4,FALSE)</f>
        <v>0</v>
      </c>
      <c r="AF758" s="31">
        <f>VLOOKUP($A758,kurspris!$A$1:$Q$835,5,FALSE)</f>
        <v>0</v>
      </c>
      <c r="AG758" s="31">
        <f>VLOOKUP($A758,kurspris!$A$1:$Q$835,6,FALSE)</f>
        <v>1</v>
      </c>
      <c r="AH758" s="31">
        <f>VLOOKUP($A758,kurspris!$A$1:$Q$835,7,FALSE)</f>
        <v>0</v>
      </c>
      <c r="AI758" s="31">
        <f>VLOOKUP($A758,kurspris!$A$1:$Q$835,8,FALSE)</f>
        <v>0</v>
      </c>
      <c r="AJ758" s="31">
        <f>VLOOKUP($A758,kurspris!$A$1:$Q$835,9,FALSE)</f>
        <v>0</v>
      </c>
      <c r="AK758" s="31">
        <f>VLOOKUP($A758,kurspris!$A$1:$Q$835,10,FALSE)</f>
        <v>0</v>
      </c>
      <c r="AL758" s="31">
        <f>VLOOKUP($A758,kurspris!$A$1:$Q$835,11,FALSE)</f>
        <v>0</v>
      </c>
      <c r="AM758" s="31">
        <f>VLOOKUP($A758,kurspris!$A$1:$Q$835,12,FALSE)</f>
        <v>0</v>
      </c>
      <c r="AN758" s="31">
        <f>VLOOKUP($A758,kurspris!$A$1:$Q$835,13,FALSE)</f>
        <v>0</v>
      </c>
      <c r="AO758" s="31">
        <f>VLOOKUP($A758,kurspris!$A$1:$Q$835,14,FALSE)</f>
        <v>0</v>
      </c>
      <c r="AP758" s="39" t="s">
        <v>2326</v>
      </c>
      <c r="AQ758"/>
      <c r="AR758" s="31">
        <f t="shared" si="391"/>
        <v>0</v>
      </c>
      <c r="AS758" s="255">
        <f t="shared" si="392"/>
        <v>0</v>
      </c>
      <c r="AT758" s="31">
        <f t="shared" si="393"/>
        <v>0</v>
      </c>
      <c r="AU758" s="255">
        <f t="shared" si="394"/>
        <v>0</v>
      </c>
      <c r="AV758" s="31">
        <f t="shared" si="395"/>
        <v>0</v>
      </c>
      <c r="AW758" s="31">
        <f t="shared" si="396"/>
        <v>0</v>
      </c>
      <c r="AX758" s="31">
        <f t="shared" si="397"/>
        <v>8.3333333333333329E-2</v>
      </c>
      <c r="AY758" s="255">
        <f t="shared" si="398"/>
        <v>7.0833333333333331E-2</v>
      </c>
      <c r="AZ758" s="232">
        <f t="shared" si="399"/>
        <v>0</v>
      </c>
      <c r="BA758" s="255">
        <f t="shared" si="400"/>
        <v>0</v>
      </c>
      <c r="BB758" s="31">
        <f t="shared" si="401"/>
        <v>0</v>
      </c>
      <c r="BC758" s="255">
        <f t="shared" si="402"/>
        <v>0</v>
      </c>
      <c r="BD758" s="31">
        <f t="shared" si="403"/>
        <v>0</v>
      </c>
      <c r="BE758" s="255">
        <f t="shared" si="404"/>
        <v>0</v>
      </c>
      <c r="BF758" s="31">
        <f t="shared" si="405"/>
        <v>0</v>
      </c>
      <c r="BG758" s="255">
        <f t="shared" si="406"/>
        <v>0</v>
      </c>
      <c r="BH758" s="31">
        <f t="shared" si="407"/>
        <v>0</v>
      </c>
      <c r="BI758" s="255">
        <f t="shared" si="408"/>
        <v>0</v>
      </c>
      <c r="BJ758" s="31">
        <f t="shared" si="409"/>
        <v>0</v>
      </c>
      <c r="BK758" s="31">
        <f t="shared" si="410"/>
        <v>0</v>
      </c>
      <c r="BL758" s="255">
        <f t="shared" si="411"/>
        <v>0</v>
      </c>
      <c r="BM758" s="31">
        <f t="shared" si="412"/>
        <v>0</v>
      </c>
      <c r="BN758" s="255">
        <f t="shared" si="413"/>
        <v>0</v>
      </c>
    </row>
    <row r="759" spans="1:66" x14ac:dyDescent="0.25">
      <c r="A759" s="18" t="s">
        <v>1657</v>
      </c>
      <c r="B759" s="186" t="str">
        <f>VLOOKUP(A759,kurspris!$A$1:$B$877,2,FALSE)</f>
        <v>Specialpedagogik - åk 7-9 och gymnasieskolan (UK)</v>
      </c>
      <c r="C759" s="37"/>
      <c r="D759" s="31" t="s">
        <v>483</v>
      </c>
      <c r="E759" s="31" t="s">
        <v>1788</v>
      </c>
      <c r="F759" s="59" t="s">
        <v>1931</v>
      </c>
      <c r="G759" s="31" t="s">
        <v>2273</v>
      </c>
      <c r="J759" t="s">
        <v>1591</v>
      </c>
      <c r="L759" s="31">
        <v>100</v>
      </c>
      <c r="M759" s="31">
        <v>5</v>
      </c>
      <c r="P759" s="31">
        <v>3</v>
      </c>
      <c r="Q759" s="232">
        <f t="shared" si="386"/>
        <v>0.25</v>
      </c>
      <c r="R759" s="40">
        <v>0.85</v>
      </c>
      <c r="S759" s="334">
        <f t="shared" si="387"/>
        <v>0.21249999999999999</v>
      </c>
      <c r="T759" s="31">
        <f>VLOOKUP(A759,'Ansvar kurs'!$A$1:$C$1010,2,FALSE)</f>
        <v>2180</v>
      </c>
      <c r="U759" s="31" t="str">
        <f>VLOOKUP(T759,Orgenheter!$A$1:$C$165,2,FALSE)</f>
        <v xml:space="preserve">Pedagogik                     </v>
      </c>
      <c r="V759" s="31" t="str">
        <f>VLOOKUP(T759,Orgenheter!$A$1:$C$165,3,FALSE)</f>
        <v>Sam</v>
      </c>
      <c r="W759" s="37" t="str">
        <f>VLOOKUP(D759,Program!$A$1:$B$34,2,FALSE)</f>
        <v>Ämneslärarprogrammet - Gy</v>
      </c>
      <c r="X759" s="42">
        <f>VLOOKUP(A759,kurspris!$A$1:$Q$798,15,FALSE)</f>
        <v>23641</v>
      </c>
      <c r="Y759" s="42">
        <f>VLOOKUP(A759,kurspris!$A$1:$Q$798,16,FALSE)</f>
        <v>28786</v>
      </c>
      <c r="Z759" s="42">
        <f t="shared" si="388"/>
        <v>12027.275</v>
      </c>
      <c r="AA759" s="42">
        <f>VLOOKUP(A759,kurspris!$A$1:$Q$798,17,FALSE)</f>
        <v>5800</v>
      </c>
      <c r="AB759" s="42">
        <f t="shared" si="389"/>
        <v>1450</v>
      </c>
      <c r="AC759" s="42">
        <f t="shared" si="390"/>
        <v>13477.275</v>
      </c>
      <c r="AD759" s="31">
        <f>VLOOKUP($A759,kurspris!$A$1:$Q$835,3,FALSE)</f>
        <v>0</v>
      </c>
      <c r="AE759" s="31">
        <f>VLOOKUP($A759,kurspris!$A$1:$Q$835,4,FALSE)</f>
        <v>0</v>
      </c>
      <c r="AF759" s="31">
        <f>VLOOKUP($A759,kurspris!$A$1:$Q$835,5,FALSE)</f>
        <v>0</v>
      </c>
      <c r="AG759" s="31">
        <f>VLOOKUP($A759,kurspris!$A$1:$Q$835,6,FALSE)</f>
        <v>1</v>
      </c>
      <c r="AH759" s="31">
        <f>VLOOKUP($A759,kurspris!$A$1:$Q$835,7,FALSE)</f>
        <v>0</v>
      </c>
      <c r="AI759" s="31">
        <f>VLOOKUP($A759,kurspris!$A$1:$Q$835,8,FALSE)</f>
        <v>0</v>
      </c>
      <c r="AJ759" s="31">
        <f>VLOOKUP($A759,kurspris!$A$1:$Q$835,9,FALSE)</f>
        <v>0</v>
      </c>
      <c r="AK759" s="31">
        <f>VLOOKUP($A759,kurspris!$A$1:$Q$835,10,FALSE)</f>
        <v>0</v>
      </c>
      <c r="AL759" s="31">
        <f>VLOOKUP($A759,kurspris!$A$1:$Q$835,11,FALSE)</f>
        <v>0</v>
      </c>
      <c r="AM759" s="31">
        <f>VLOOKUP($A759,kurspris!$A$1:$Q$835,12,FALSE)</f>
        <v>0</v>
      </c>
      <c r="AN759" s="31">
        <f>VLOOKUP($A759,kurspris!$A$1:$Q$835,13,FALSE)</f>
        <v>0</v>
      </c>
      <c r="AO759" s="31">
        <f>VLOOKUP($A759,kurspris!$A$1:$Q$835,14,FALSE)</f>
        <v>0</v>
      </c>
      <c r="AP759" s="39" t="s">
        <v>2326</v>
      </c>
      <c r="AQ759"/>
      <c r="AR759" s="31">
        <f t="shared" si="391"/>
        <v>0</v>
      </c>
      <c r="AS759" s="255">
        <f t="shared" si="392"/>
        <v>0</v>
      </c>
      <c r="AT759" s="31">
        <f t="shared" si="393"/>
        <v>0</v>
      </c>
      <c r="AU759" s="255">
        <f t="shared" si="394"/>
        <v>0</v>
      </c>
      <c r="AV759" s="31">
        <f t="shared" si="395"/>
        <v>0</v>
      </c>
      <c r="AW759" s="31">
        <f t="shared" si="396"/>
        <v>0</v>
      </c>
      <c r="AX759" s="31">
        <f t="shared" si="397"/>
        <v>0.25</v>
      </c>
      <c r="AY759" s="255">
        <f t="shared" si="398"/>
        <v>0.21249999999999999</v>
      </c>
      <c r="AZ759" s="232">
        <f t="shared" si="399"/>
        <v>0</v>
      </c>
      <c r="BA759" s="255">
        <f t="shared" si="400"/>
        <v>0</v>
      </c>
      <c r="BB759" s="31">
        <f t="shared" si="401"/>
        <v>0</v>
      </c>
      <c r="BC759" s="255">
        <f t="shared" si="402"/>
        <v>0</v>
      </c>
      <c r="BD759" s="31">
        <f t="shared" si="403"/>
        <v>0</v>
      </c>
      <c r="BE759" s="255">
        <f t="shared" si="404"/>
        <v>0</v>
      </c>
      <c r="BF759" s="31">
        <f t="shared" si="405"/>
        <v>0</v>
      </c>
      <c r="BG759" s="255">
        <f t="shared" si="406"/>
        <v>0</v>
      </c>
      <c r="BH759" s="31">
        <f t="shared" si="407"/>
        <v>0</v>
      </c>
      <c r="BI759" s="255">
        <f t="shared" si="408"/>
        <v>0</v>
      </c>
      <c r="BJ759" s="31">
        <f t="shared" si="409"/>
        <v>0</v>
      </c>
      <c r="BK759" s="31">
        <f t="shared" si="410"/>
        <v>0</v>
      </c>
      <c r="BL759" s="255">
        <f t="shared" si="411"/>
        <v>0</v>
      </c>
      <c r="BM759" s="31">
        <f t="shared" si="412"/>
        <v>0</v>
      </c>
      <c r="BN759" s="255">
        <f t="shared" si="413"/>
        <v>0</v>
      </c>
    </row>
    <row r="760" spans="1:66" x14ac:dyDescent="0.25">
      <c r="A760" s="18" t="s">
        <v>1657</v>
      </c>
      <c r="B760" s="186" t="str">
        <f>VLOOKUP(A760,kurspris!$A$1:$B$877,2,FALSE)</f>
        <v>Specialpedagogik - åk 7-9 och gymnasieskolan (UK)</v>
      </c>
      <c r="C760" s="37"/>
      <c r="D760" s="31" t="s">
        <v>483</v>
      </c>
      <c r="E760" s="31" t="s">
        <v>1788</v>
      </c>
      <c r="F760" s="59" t="s">
        <v>1931</v>
      </c>
      <c r="G760" s="31" t="s">
        <v>2273</v>
      </c>
      <c r="J760" t="s">
        <v>772</v>
      </c>
      <c r="L760" s="31">
        <v>100</v>
      </c>
      <c r="M760" s="31">
        <v>5</v>
      </c>
      <c r="P760" s="31">
        <v>1</v>
      </c>
      <c r="Q760" s="232">
        <f t="shared" si="386"/>
        <v>8.3333333333333329E-2</v>
      </c>
      <c r="R760" s="40">
        <v>0.85</v>
      </c>
      <c r="S760" s="334">
        <f t="shared" si="387"/>
        <v>7.0833333333333331E-2</v>
      </c>
      <c r="T760" s="31">
        <f>VLOOKUP(A760,'Ansvar kurs'!$A$1:$C$1010,2,FALSE)</f>
        <v>2180</v>
      </c>
      <c r="U760" s="31" t="str">
        <f>VLOOKUP(T760,Orgenheter!$A$1:$C$165,2,FALSE)</f>
        <v xml:space="preserve">Pedagogik                     </v>
      </c>
      <c r="V760" s="31" t="str">
        <f>VLOOKUP(T760,Orgenheter!$A$1:$C$165,3,FALSE)</f>
        <v>Sam</v>
      </c>
      <c r="W760" s="37" t="str">
        <f>VLOOKUP(D760,Program!$A$1:$B$34,2,FALSE)</f>
        <v>Ämneslärarprogrammet - Gy</v>
      </c>
      <c r="X760" s="42">
        <f>VLOOKUP(A760,kurspris!$A$1:$Q$798,15,FALSE)</f>
        <v>23641</v>
      </c>
      <c r="Y760" s="42">
        <f>VLOOKUP(A760,kurspris!$A$1:$Q$798,16,FALSE)</f>
        <v>28786</v>
      </c>
      <c r="Z760" s="42">
        <f t="shared" si="388"/>
        <v>4009.0916666666662</v>
      </c>
      <c r="AA760" s="42">
        <f>VLOOKUP(A760,kurspris!$A$1:$Q$798,17,FALSE)</f>
        <v>5800</v>
      </c>
      <c r="AB760" s="42">
        <f t="shared" si="389"/>
        <v>483.33333333333331</v>
      </c>
      <c r="AC760" s="42">
        <f t="shared" si="390"/>
        <v>4492.4249999999993</v>
      </c>
      <c r="AD760" s="31">
        <f>VLOOKUP($A760,kurspris!$A$1:$Q$835,3,FALSE)</f>
        <v>0</v>
      </c>
      <c r="AE760" s="31">
        <f>VLOOKUP($A760,kurspris!$A$1:$Q$835,4,FALSE)</f>
        <v>0</v>
      </c>
      <c r="AF760" s="31">
        <f>VLOOKUP($A760,kurspris!$A$1:$Q$835,5,FALSE)</f>
        <v>0</v>
      </c>
      <c r="AG760" s="31">
        <f>VLOOKUP($A760,kurspris!$A$1:$Q$835,6,FALSE)</f>
        <v>1</v>
      </c>
      <c r="AH760" s="31">
        <f>VLOOKUP($A760,kurspris!$A$1:$Q$835,7,FALSE)</f>
        <v>0</v>
      </c>
      <c r="AI760" s="31">
        <f>VLOOKUP($A760,kurspris!$A$1:$Q$835,8,FALSE)</f>
        <v>0</v>
      </c>
      <c r="AJ760" s="31">
        <f>VLOOKUP($A760,kurspris!$A$1:$Q$835,9,FALSE)</f>
        <v>0</v>
      </c>
      <c r="AK760" s="31">
        <f>VLOOKUP($A760,kurspris!$A$1:$Q$835,10,FALSE)</f>
        <v>0</v>
      </c>
      <c r="AL760" s="31">
        <f>VLOOKUP($A760,kurspris!$A$1:$Q$835,11,FALSE)</f>
        <v>0</v>
      </c>
      <c r="AM760" s="31">
        <f>VLOOKUP($A760,kurspris!$A$1:$Q$835,12,FALSE)</f>
        <v>0</v>
      </c>
      <c r="AN760" s="31">
        <f>VLOOKUP($A760,kurspris!$A$1:$Q$835,13,FALSE)</f>
        <v>0</v>
      </c>
      <c r="AO760" s="31">
        <f>VLOOKUP($A760,kurspris!$A$1:$Q$835,14,FALSE)</f>
        <v>0</v>
      </c>
      <c r="AP760" s="39" t="s">
        <v>2326</v>
      </c>
      <c r="AQ760"/>
      <c r="AR760" s="31">
        <f t="shared" si="391"/>
        <v>0</v>
      </c>
      <c r="AS760" s="255">
        <f t="shared" si="392"/>
        <v>0</v>
      </c>
      <c r="AT760" s="31">
        <f t="shared" si="393"/>
        <v>0</v>
      </c>
      <c r="AU760" s="255">
        <f t="shared" si="394"/>
        <v>0</v>
      </c>
      <c r="AV760" s="31">
        <f t="shared" si="395"/>
        <v>0</v>
      </c>
      <c r="AW760" s="31">
        <f t="shared" si="396"/>
        <v>0</v>
      </c>
      <c r="AX760" s="31">
        <f t="shared" si="397"/>
        <v>8.3333333333333329E-2</v>
      </c>
      <c r="AY760" s="255">
        <f t="shared" si="398"/>
        <v>7.0833333333333331E-2</v>
      </c>
      <c r="AZ760" s="232">
        <f t="shared" si="399"/>
        <v>0</v>
      </c>
      <c r="BA760" s="255">
        <f t="shared" si="400"/>
        <v>0</v>
      </c>
      <c r="BB760" s="31">
        <f t="shared" si="401"/>
        <v>0</v>
      </c>
      <c r="BC760" s="255">
        <f t="shared" si="402"/>
        <v>0</v>
      </c>
      <c r="BD760" s="31">
        <f t="shared" si="403"/>
        <v>0</v>
      </c>
      <c r="BE760" s="255">
        <f t="shared" si="404"/>
        <v>0</v>
      </c>
      <c r="BF760" s="31">
        <f t="shared" si="405"/>
        <v>0</v>
      </c>
      <c r="BG760" s="255">
        <f t="shared" si="406"/>
        <v>0</v>
      </c>
      <c r="BH760" s="31">
        <f t="shared" si="407"/>
        <v>0</v>
      </c>
      <c r="BI760" s="255">
        <f t="shared" si="408"/>
        <v>0</v>
      </c>
      <c r="BJ760" s="31">
        <f t="shared" si="409"/>
        <v>0</v>
      </c>
      <c r="BK760" s="31">
        <f t="shared" si="410"/>
        <v>0</v>
      </c>
      <c r="BL760" s="255">
        <f t="shared" si="411"/>
        <v>0</v>
      </c>
      <c r="BM760" s="31">
        <f t="shared" si="412"/>
        <v>0</v>
      </c>
      <c r="BN760" s="255">
        <f t="shared" si="413"/>
        <v>0</v>
      </c>
    </row>
    <row r="761" spans="1:66" x14ac:dyDescent="0.25">
      <c r="A761" s="18" t="s">
        <v>1657</v>
      </c>
      <c r="B761" s="186" t="str">
        <f>VLOOKUP(A761,kurspris!$A$1:$B$877,2,FALSE)</f>
        <v>Specialpedagogik - åk 7-9 och gymnasieskolan (UK)</v>
      </c>
      <c r="C761" s="37"/>
      <c r="D761" s="31" t="s">
        <v>483</v>
      </c>
      <c r="E761" s="31" t="s">
        <v>1788</v>
      </c>
      <c r="F761" s="59" t="s">
        <v>1931</v>
      </c>
      <c r="G761" s="31" t="s">
        <v>2273</v>
      </c>
      <c r="J761" t="s">
        <v>774</v>
      </c>
      <c r="L761" s="31">
        <v>100</v>
      </c>
      <c r="M761" s="31">
        <v>5</v>
      </c>
      <c r="P761" s="31">
        <v>1</v>
      </c>
      <c r="Q761" s="232">
        <f t="shared" si="386"/>
        <v>8.3333333333333329E-2</v>
      </c>
      <c r="R761" s="40">
        <v>0.85</v>
      </c>
      <c r="S761" s="334">
        <f t="shared" si="387"/>
        <v>7.0833333333333331E-2</v>
      </c>
      <c r="T761" s="31">
        <f>VLOOKUP(A761,'Ansvar kurs'!$A$1:$C$1010,2,FALSE)</f>
        <v>2180</v>
      </c>
      <c r="U761" s="31" t="str">
        <f>VLOOKUP(T761,Orgenheter!$A$1:$C$165,2,FALSE)</f>
        <v xml:space="preserve">Pedagogik                     </v>
      </c>
      <c r="V761" s="31" t="str">
        <f>VLOOKUP(T761,Orgenheter!$A$1:$C$165,3,FALSE)</f>
        <v>Sam</v>
      </c>
      <c r="W761" s="37" t="str">
        <f>VLOOKUP(D761,Program!$A$1:$B$34,2,FALSE)</f>
        <v>Ämneslärarprogrammet - Gy</v>
      </c>
      <c r="X761" s="42">
        <f>VLOOKUP(A761,kurspris!$A$1:$Q$798,15,FALSE)</f>
        <v>23641</v>
      </c>
      <c r="Y761" s="42">
        <f>VLOOKUP(A761,kurspris!$A$1:$Q$798,16,FALSE)</f>
        <v>28786</v>
      </c>
      <c r="Z761" s="42">
        <f t="shared" si="388"/>
        <v>4009.0916666666662</v>
      </c>
      <c r="AA761" s="42">
        <f>VLOOKUP(A761,kurspris!$A$1:$Q$798,17,FALSE)</f>
        <v>5800</v>
      </c>
      <c r="AB761" s="42">
        <f t="shared" si="389"/>
        <v>483.33333333333331</v>
      </c>
      <c r="AC761" s="42">
        <f t="shared" si="390"/>
        <v>4492.4249999999993</v>
      </c>
      <c r="AD761" s="31">
        <f>VLOOKUP($A761,kurspris!$A$1:$Q$835,3,FALSE)</f>
        <v>0</v>
      </c>
      <c r="AE761" s="31">
        <f>VLOOKUP($A761,kurspris!$A$1:$Q$835,4,FALSE)</f>
        <v>0</v>
      </c>
      <c r="AF761" s="31">
        <f>VLOOKUP($A761,kurspris!$A$1:$Q$835,5,FALSE)</f>
        <v>0</v>
      </c>
      <c r="AG761" s="31">
        <f>VLOOKUP($A761,kurspris!$A$1:$Q$835,6,FALSE)</f>
        <v>1</v>
      </c>
      <c r="AH761" s="31">
        <f>VLOOKUP($A761,kurspris!$A$1:$Q$835,7,FALSE)</f>
        <v>0</v>
      </c>
      <c r="AI761" s="31">
        <f>VLOOKUP($A761,kurspris!$A$1:$Q$835,8,FALSE)</f>
        <v>0</v>
      </c>
      <c r="AJ761" s="31">
        <f>VLOOKUP($A761,kurspris!$A$1:$Q$835,9,FALSE)</f>
        <v>0</v>
      </c>
      <c r="AK761" s="31">
        <f>VLOOKUP($A761,kurspris!$A$1:$Q$835,10,FALSE)</f>
        <v>0</v>
      </c>
      <c r="AL761" s="31">
        <f>VLOOKUP($A761,kurspris!$A$1:$Q$835,11,FALSE)</f>
        <v>0</v>
      </c>
      <c r="AM761" s="31">
        <f>VLOOKUP($A761,kurspris!$A$1:$Q$835,12,FALSE)</f>
        <v>0</v>
      </c>
      <c r="AN761" s="31">
        <f>VLOOKUP($A761,kurspris!$A$1:$Q$835,13,FALSE)</f>
        <v>0</v>
      </c>
      <c r="AO761" s="31">
        <f>VLOOKUP($A761,kurspris!$A$1:$Q$835,14,FALSE)</f>
        <v>0</v>
      </c>
      <c r="AP761" s="39" t="s">
        <v>2326</v>
      </c>
      <c r="AQ761"/>
      <c r="AR761" s="31">
        <f t="shared" si="391"/>
        <v>0</v>
      </c>
      <c r="AS761" s="255">
        <f t="shared" si="392"/>
        <v>0</v>
      </c>
      <c r="AT761" s="31">
        <f t="shared" si="393"/>
        <v>0</v>
      </c>
      <c r="AU761" s="255">
        <f t="shared" si="394"/>
        <v>0</v>
      </c>
      <c r="AV761" s="31">
        <f t="shared" si="395"/>
        <v>0</v>
      </c>
      <c r="AW761" s="31">
        <f t="shared" si="396"/>
        <v>0</v>
      </c>
      <c r="AX761" s="31">
        <f t="shared" si="397"/>
        <v>8.3333333333333329E-2</v>
      </c>
      <c r="AY761" s="255">
        <f t="shared" si="398"/>
        <v>7.0833333333333331E-2</v>
      </c>
      <c r="AZ761" s="232">
        <f t="shared" si="399"/>
        <v>0</v>
      </c>
      <c r="BA761" s="255">
        <f t="shared" si="400"/>
        <v>0</v>
      </c>
      <c r="BB761" s="31">
        <f t="shared" si="401"/>
        <v>0</v>
      </c>
      <c r="BC761" s="255">
        <f t="shared" si="402"/>
        <v>0</v>
      </c>
      <c r="BD761" s="31">
        <f t="shared" si="403"/>
        <v>0</v>
      </c>
      <c r="BE761" s="255">
        <f t="shared" si="404"/>
        <v>0</v>
      </c>
      <c r="BF761" s="31">
        <f t="shared" si="405"/>
        <v>0</v>
      </c>
      <c r="BG761" s="255">
        <f t="shared" si="406"/>
        <v>0</v>
      </c>
      <c r="BH761" s="31">
        <f t="shared" si="407"/>
        <v>0</v>
      </c>
      <c r="BI761" s="255">
        <f t="shared" si="408"/>
        <v>0</v>
      </c>
      <c r="BJ761" s="31">
        <f t="shared" si="409"/>
        <v>0</v>
      </c>
      <c r="BK761" s="31">
        <f t="shared" si="410"/>
        <v>0</v>
      </c>
      <c r="BL761" s="255">
        <f t="shared" si="411"/>
        <v>0</v>
      </c>
      <c r="BM761" s="31">
        <f t="shared" si="412"/>
        <v>0</v>
      </c>
      <c r="BN761" s="255">
        <f t="shared" si="413"/>
        <v>0</v>
      </c>
    </row>
    <row r="762" spans="1:66" x14ac:dyDescent="0.25">
      <c r="A762" s="18" t="s">
        <v>1657</v>
      </c>
      <c r="B762" s="186" t="str">
        <f>VLOOKUP(A762,kurspris!$A$1:$B$877,2,FALSE)</f>
        <v>Specialpedagogik - åk 7-9 och gymnasieskolan (UK)</v>
      </c>
      <c r="C762" s="37"/>
      <c r="D762" s="31" t="s">
        <v>483</v>
      </c>
      <c r="E762" s="31" t="s">
        <v>1788</v>
      </c>
      <c r="F762" s="59" t="s">
        <v>1931</v>
      </c>
      <c r="G762" s="31" t="s">
        <v>2273</v>
      </c>
      <c r="J762" t="s">
        <v>1592</v>
      </c>
      <c r="L762" s="31">
        <v>100</v>
      </c>
      <c r="M762" s="31">
        <v>5</v>
      </c>
      <c r="P762" s="31">
        <v>1</v>
      </c>
      <c r="Q762" s="232">
        <f t="shared" si="386"/>
        <v>8.3333333333333329E-2</v>
      </c>
      <c r="R762" s="40">
        <v>0.85</v>
      </c>
      <c r="S762" s="334">
        <f t="shared" si="387"/>
        <v>7.0833333333333331E-2</v>
      </c>
      <c r="T762" s="31">
        <f>VLOOKUP(A762,'Ansvar kurs'!$A$1:$C$1010,2,FALSE)</f>
        <v>2180</v>
      </c>
      <c r="U762" s="31" t="str">
        <f>VLOOKUP(T762,Orgenheter!$A$1:$C$165,2,FALSE)</f>
        <v xml:space="preserve">Pedagogik                     </v>
      </c>
      <c r="V762" s="31" t="str">
        <f>VLOOKUP(T762,Orgenheter!$A$1:$C$165,3,FALSE)</f>
        <v>Sam</v>
      </c>
      <c r="W762" s="37" t="str">
        <f>VLOOKUP(D762,Program!$A$1:$B$34,2,FALSE)</f>
        <v>Ämneslärarprogrammet - Gy</v>
      </c>
      <c r="X762" s="42">
        <f>VLOOKUP(A762,kurspris!$A$1:$Q$798,15,FALSE)</f>
        <v>23641</v>
      </c>
      <c r="Y762" s="42">
        <f>VLOOKUP(A762,kurspris!$A$1:$Q$798,16,FALSE)</f>
        <v>28786</v>
      </c>
      <c r="Z762" s="42">
        <f t="shared" si="388"/>
        <v>4009.0916666666662</v>
      </c>
      <c r="AA762" s="42">
        <f>VLOOKUP(A762,kurspris!$A$1:$Q$798,17,FALSE)</f>
        <v>5800</v>
      </c>
      <c r="AB762" s="42">
        <f t="shared" si="389"/>
        <v>483.33333333333331</v>
      </c>
      <c r="AC762" s="42">
        <f t="shared" si="390"/>
        <v>4492.4249999999993</v>
      </c>
      <c r="AD762" s="31">
        <f>VLOOKUP($A762,kurspris!$A$1:$Q$835,3,FALSE)</f>
        <v>0</v>
      </c>
      <c r="AE762" s="31">
        <f>VLOOKUP($A762,kurspris!$A$1:$Q$835,4,FALSE)</f>
        <v>0</v>
      </c>
      <c r="AF762" s="31">
        <f>VLOOKUP($A762,kurspris!$A$1:$Q$835,5,FALSE)</f>
        <v>0</v>
      </c>
      <c r="AG762" s="31">
        <f>VLOOKUP($A762,kurspris!$A$1:$Q$835,6,FALSE)</f>
        <v>1</v>
      </c>
      <c r="AH762" s="31">
        <f>VLOOKUP($A762,kurspris!$A$1:$Q$835,7,FALSE)</f>
        <v>0</v>
      </c>
      <c r="AI762" s="31">
        <f>VLOOKUP($A762,kurspris!$A$1:$Q$835,8,FALSE)</f>
        <v>0</v>
      </c>
      <c r="AJ762" s="31">
        <f>VLOOKUP($A762,kurspris!$A$1:$Q$835,9,FALSE)</f>
        <v>0</v>
      </c>
      <c r="AK762" s="31">
        <f>VLOOKUP($A762,kurspris!$A$1:$Q$835,10,FALSE)</f>
        <v>0</v>
      </c>
      <c r="AL762" s="31">
        <f>VLOOKUP($A762,kurspris!$A$1:$Q$835,11,FALSE)</f>
        <v>0</v>
      </c>
      <c r="AM762" s="31">
        <f>VLOOKUP($A762,kurspris!$A$1:$Q$835,12,FALSE)</f>
        <v>0</v>
      </c>
      <c r="AN762" s="31">
        <f>VLOOKUP($A762,kurspris!$A$1:$Q$835,13,FALSE)</f>
        <v>0</v>
      </c>
      <c r="AO762" s="31">
        <f>VLOOKUP($A762,kurspris!$A$1:$Q$835,14,FALSE)</f>
        <v>0</v>
      </c>
      <c r="AP762" s="39" t="s">
        <v>2326</v>
      </c>
      <c r="AQ762"/>
      <c r="AR762" s="31">
        <f t="shared" si="391"/>
        <v>0</v>
      </c>
      <c r="AS762" s="255">
        <f t="shared" si="392"/>
        <v>0</v>
      </c>
      <c r="AT762" s="31">
        <f t="shared" si="393"/>
        <v>0</v>
      </c>
      <c r="AU762" s="255">
        <f t="shared" si="394"/>
        <v>0</v>
      </c>
      <c r="AV762" s="31">
        <f t="shared" si="395"/>
        <v>0</v>
      </c>
      <c r="AW762" s="31">
        <f t="shared" si="396"/>
        <v>0</v>
      </c>
      <c r="AX762" s="31">
        <f t="shared" si="397"/>
        <v>8.3333333333333329E-2</v>
      </c>
      <c r="AY762" s="255">
        <f t="shared" si="398"/>
        <v>7.0833333333333331E-2</v>
      </c>
      <c r="AZ762" s="232">
        <f t="shared" si="399"/>
        <v>0</v>
      </c>
      <c r="BA762" s="255">
        <f t="shared" si="400"/>
        <v>0</v>
      </c>
      <c r="BB762" s="31">
        <f t="shared" si="401"/>
        <v>0</v>
      </c>
      <c r="BC762" s="255">
        <f t="shared" si="402"/>
        <v>0</v>
      </c>
      <c r="BD762" s="31">
        <f t="shared" si="403"/>
        <v>0</v>
      </c>
      <c r="BE762" s="255">
        <f t="shared" si="404"/>
        <v>0</v>
      </c>
      <c r="BF762" s="31">
        <f t="shared" si="405"/>
        <v>0</v>
      </c>
      <c r="BG762" s="255">
        <f t="shared" si="406"/>
        <v>0</v>
      </c>
      <c r="BH762" s="31">
        <f t="shared" si="407"/>
        <v>0</v>
      </c>
      <c r="BI762" s="255">
        <f t="shared" si="408"/>
        <v>0</v>
      </c>
      <c r="BJ762" s="31">
        <f t="shared" si="409"/>
        <v>0</v>
      </c>
      <c r="BK762" s="31">
        <f t="shared" si="410"/>
        <v>0</v>
      </c>
      <c r="BL762" s="255">
        <f t="shared" si="411"/>
        <v>0</v>
      </c>
      <c r="BM762" s="31">
        <f t="shared" si="412"/>
        <v>0</v>
      </c>
      <c r="BN762" s="255">
        <f t="shared" si="413"/>
        <v>0</v>
      </c>
    </row>
    <row r="763" spans="1:66" x14ac:dyDescent="0.25">
      <c r="A763" s="18" t="s">
        <v>1657</v>
      </c>
      <c r="B763" s="186" t="str">
        <f>VLOOKUP(A763,kurspris!$A$1:$B$877,2,FALSE)</f>
        <v>Specialpedagogik - åk 7-9 och gymnasieskolan (UK)</v>
      </c>
      <c r="C763" s="37"/>
      <c r="D763" s="31" t="s">
        <v>483</v>
      </c>
      <c r="E763" s="31" t="s">
        <v>1931</v>
      </c>
      <c r="F763" s="59" t="s">
        <v>1931</v>
      </c>
      <c r="G763" s="31" t="s">
        <v>2273</v>
      </c>
      <c r="J763" t="s">
        <v>774</v>
      </c>
      <c r="L763" s="31">
        <v>100</v>
      </c>
      <c r="M763" s="31">
        <v>5</v>
      </c>
      <c r="P763" s="31">
        <v>1</v>
      </c>
      <c r="Q763" s="232">
        <f t="shared" si="386"/>
        <v>8.3333333333333329E-2</v>
      </c>
      <c r="R763" s="40">
        <v>0.85</v>
      </c>
      <c r="S763" s="334">
        <f t="shared" si="387"/>
        <v>7.0833333333333331E-2</v>
      </c>
      <c r="T763" s="31">
        <f>VLOOKUP(A763,'Ansvar kurs'!$A$1:$C$1010,2,FALSE)</f>
        <v>2180</v>
      </c>
      <c r="U763" s="31" t="str">
        <f>VLOOKUP(T763,Orgenheter!$A$1:$C$165,2,FALSE)</f>
        <v xml:space="preserve">Pedagogik                     </v>
      </c>
      <c r="V763" s="31" t="str">
        <f>VLOOKUP(T763,Orgenheter!$A$1:$C$165,3,FALSE)</f>
        <v>Sam</v>
      </c>
      <c r="W763" s="37" t="str">
        <f>VLOOKUP(D763,Program!$A$1:$B$34,2,FALSE)</f>
        <v>Ämneslärarprogrammet - Gy</v>
      </c>
      <c r="X763" s="42">
        <f>VLOOKUP(A763,kurspris!$A$1:$Q$798,15,FALSE)</f>
        <v>23641</v>
      </c>
      <c r="Y763" s="42">
        <f>VLOOKUP(A763,kurspris!$A$1:$Q$798,16,FALSE)</f>
        <v>28786</v>
      </c>
      <c r="Z763" s="42">
        <f t="shared" ref="Z763" si="414">X763*Q763+S763*Y763</f>
        <v>4009.0916666666662</v>
      </c>
      <c r="AA763" s="42">
        <f>VLOOKUP(A763,kurspris!$A$1:$Q$798,17,FALSE)</f>
        <v>5800</v>
      </c>
      <c r="AB763" s="42">
        <f t="shared" ref="AB763" si="415">AA763*Q763</f>
        <v>483.33333333333331</v>
      </c>
      <c r="AC763" s="42">
        <f t="shared" ref="AC763" si="416">Z763+AB763</f>
        <v>4492.4249999999993</v>
      </c>
      <c r="AD763" s="31">
        <f>VLOOKUP($A763,kurspris!$A$1:$Q$835,3,FALSE)</f>
        <v>0</v>
      </c>
      <c r="AE763" s="31">
        <f>VLOOKUP($A763,kurspris!$A$1:$Q$835,4,FALSE)</f>
        <v>0</v>
      </c>
      <c r="AF763" s="31">
        <f>VLOOKUP($A763,kurspris!$A$1:$Q$835,5,FALSE)</f>
        <v>0</v>
      </c>
      <c r="AG763" s="31">
        <f>VLOOKUP($A763,kurspris!$A$1:$Q$835,6,FALSE)</f>
        <v>1</v>
      </c>
      <c r="AH763" s="31">
        <f>VLOOKUP($A763,kurspris!$A$1:$Q$835,7,FALSE)</f>
        <v>0</v>
      </c>
      <c r="AI763" s="31">
        <f>VLOOKUP($A763,kurspris!$A$1:$Q$835,8,FALSE)</f>
        <v>0</v>
      </c>
      <c r="AJ763" s="31">
        <f>VLOOKUP($A763,kurspris!$A$1:$Q$835,9,FALSE)</f>
        <v>0</v>
      </c>
      <c r="AK763" s="31">
        <f>VLOOKUP($A763,kurspris!$A$1:$Q$835,10,FALSE)</f>
        <v>0</v>
      </c>
      <c r="AL763" s="31">
        <f>VLOOKUP($A763,kurspris!$A$1:$Q$835,11,FALSE)</f>
        <v>0</v>
      </c>
      <c r="AM763" s="31">
        <f>VLOOKUP($A763,kurspris!$A$1:$Q$835,12,FALSE)</f>
        <v>0</v>
      </c>
      <c r="AN763" s="31">
        <f>VLOOKUP($A763,kurspris!$A$1:$Q$835,13,FALSE)</f>
        <v>0</v>
      </c>
      <c r="AO763" s="31">
        <f>VLOOKUP($A763,kurspris!$A$1:$Q$835,14,FALSE)</f>
        <v>0</v>
      </c>
      <c r="AP763" s="39" t="s">
        <v>2326</v>
      </c>
      <c r="AQ763"/>
      <c r="AR763" s="31">
        <f t="shared" ref="AR763" si="417">$Q763*AD763</f>
        <v>0</v>
      </c>
      <c r="AS763" s="255">
        <f t="shared" ref="AS763" si="418">$S763*AD763</f>
        <v>0</v>
      </c>
      <c r="AT763" s="31">
        <f t="shared" ref="AT763" si="419">$Q763*AE763</f>
        <v>0</v>
      </c>
      <c r="AU763" s="255">
        <f t="shared" ref="AU763" si="420">$S763*AE763</f>
        <v>0</v>
      </c>
      <c r="AV763" s="31">
        <f t="shared" ref="AV763" si="421">$Q763*AF763</f>
        <v>0</v>
      </c>
      <c r="AW763" s="31">
        <f t="shared" ref="AW763" si="422">$S763*AF763</f>
        <v>0</v>
      </c>
      <c r="AX763" s="31">
        <f t="shared" ref="AX763" si="423">$Q763*AG763</f>
        <v>8.3333333333333329E-2</v>
      </c>
      <c r="AY763" s="255">
        <f t="shared" ref="AY763" si="424">$S763*AG763</f>
        <v>7.0833333333333331E-2</v>
      </c>
      <c r="AZ763" s="232">
        <f t="shared" ref="AZ763" si="425">$Q763*AH763</f>
        <v>0</v>
      </c>
      <c r="BA763" s="255">
        <f t="shared" ref="BA763" si="426">$S763*AH763</f>
        <v>0</v>
      </c>
      <c r="BB763" s="31">
        <f t="shared" ref="BB763" si="427">$Q763*AI763</f>
        <v>0</v>
      </c>
      <c r="BC763" s="255">
        <f t="shared" ref="BC763" si="428">$S763*AI763</f>
        <v>0</v>
      </c>
      <c r="BD763" s="31">
        <f t="shared" ref="BD763" si="429">$Q763*AJ763</f>
        <v>0</v>
      </c>
      <c r="BE763" s="255">
        <f t="shared" ref="BE763" si="430">$S763*AJ763</f>
        <v>0</v>
      </c>
      <c r="BF763" s="31">
        <f t="shared" ref="BF763" si="431">$Q763*AK763</f>
        <v>0</v>
      </c>
      <c r="BG763" s="255">
        <f t="shared" ref="BG763" si="432">$S763*AK763</f>
        <v>0</v>
      </c>
      <c r="BH763" s="31">
        <f t="shared" ref="BH763" si="433">$Q763*AL763</f>
        <v>0</v>
      </c>
      <c r="BI763" s="255">
        <f t="shared" ref="BI763" si="434">$S763*AL763</f>
        <v>0</v>
      </c>
      <c r="BJ763" s="31">
        <f t="shared" ref="BJ763" si="435">$Q763*AM763</f>
        <v>0</v>
      </c>
      <c r="BK763" s="31">
        <f t="shared" ref="BK763" si="436">$Q763*AN763</f>
        <v>0</v>
      </c>
      <c r="BL763" s="255">
        <f t="shared" ref="BL763" si="437">$S763*AN763</f>
        <v>0</v>
      </c>
      <c r="BM763" s="31">
        <f t="shared" ref="BM763" si="438">$Q763*AO763</f>
        <v>0</v>
      </c>
      <c r="BN763" s="255">
        <f t="shared" ref="BN763" si="439">$S763*AO763</f>
        <v>0</v>
      </c>
    </row>
    <row r="764" spans="1:66" x14ac:dyDescent="0.25">
      <c r="A764" t="s">
        <v>1576</v>
      </c>
      <c r="B764" s="186" t="str">
        <f>VLOOKUP(A764,kurspris!$A$1:$B$877,2,FALSE)</f>
        <v>Utbildningsvetenskap, undervisning och lärande för grundskolan - fritidshem (UK)</v>
      </c>
      <c r="C764"/>
      <c r="D764" t="s">
        <v>485</v>
      </c>
      <c r="E764" t="s">
        <v>1609</v>
      </c>
      <c r="F764" s="59" t="s">
        <v>1930</v>
      </c>
      <c r="G764" t="s">
        <v>1983</v>
      </c>
      <c r="H764" t="s">
        <v>1910</v>
      </c>
      <c r="I764"/>
      <c r="J764"/>
      <c r="K764"/>
      <c r="L764">
        <v>100</v>
      </c>
      <c r="M764">
        <v>8</v>
      </c>
      <c r="N764"/>
      <c r="O764"/>
      <c r="P764" s="31">
        <v>15</v>
      </c>
      <c r="Q764" s="232">
        <f t="shared" si="386"/>
        <v>2</v>
      </c>
      <c r="R764" s="40">
        <v>0.85</v>
      </c>
      <c r="S764" s="334">
        <f t="shared" si="387"/>
        <v>1.7</v>
      </c>
      <c r="T764" s="31">
        <f>VLOOKUP(A764,'Ansvar kurs'!$A$1:$C$1010,2,FALSE)</f>
        <v>2180</v>
      </c>
      <c r="U764" s="31" t="str">
        <f>VLOOKUP(T764,Orgenheter!$A$1:$C$165,2,FALSE)</f>
        <v xml:space="preserve">Pedagogik                     </v>
      </c>
      <c r="V764" s="31" t="str">
        <f>VLOOKUP(T764,Orgenheter!$A$1:$C$165,3,FALSE)</f>
        <v>Sam</v>
      </c>
      <c r="W764" s="37" t="str">
        <f>VLOOKUP(D764,Program!$A$1:$B$34,2,FALSE)</f>
        <v>Grundlärarprogrammet - fritidshem</v>
      </c>
      <c r="X764" s="42">
        <f>VLOOKUP(A764,kurspris!$A$1:$Q$798,15,FALSE)</f>
        <v>23641</v>
      </c>
      <c r="Y764" s="42">
        <f>VLOOKUP(A764,kurspris!$A$1:$Q$798,16,FALSE)</f>
        <v>28786</v>
      </c>
      <c r="Z764" s="42">
        <f t="shared" si="388"/>
        <v>96218.2</v>
      </c>
      <c r="AA764" s="42">
        <f>VLOOKUP(A764,kurspris!$A$1:$Q$798,17,FALSE)</f>
        <v>5800</v>
      </c>
      <c r="AB764" s="42">
        <f t="shared" si="389"/>
        <v>11600</v>
      </c>
      <c r="AC764" s="42">
        <f t="shared" si="390"/>
        <v>107818.2</v>
      </c>
      <c r="AD764" s="31">
        <f>VLOOKUP($A764,kurspris!$A$1:$Q$835,3,FALSE)</f>
        <v>0</v>
      </c>
      <c r="AE764" s="31">
        <f>VLOOKUP($A764,kurspris!$A$1:$Q$835,4,FALSE)</f>
        <v>0</v>
      </c>
      <c r="AF764" s="31">
        <f>VLOOKUP($A764,kurspris!$A$1:$Q$835,5,FALSE)</f>
        <v>0</v>
      </c>
      <c r="AG764" s="31">
        <f>VLOOKUP($A764,kurspris!$A$1:$Q$835,6,FALSE)</f>
        <v>1</v>
      </c>
      <c r="AH764" s="31">
        <f>VLOOKUP($A764,kurspris!$A$1:$Q$835,7,FALSE)</f>
        <v>0</v>
      </c>
      <c r="AI764" s="31">
        <f>VLOOKUP($A764,kurspris!$A$1:$Q$835,8,FALSE)</f>
        <v>0</v>
      </c>
      <c r="AJ764" s="31">
        <f>VLOOKUP($A764,kurspris!$A$1:$Q$835,9,FALSE)</f>
        <v>0</v>
      </c>
      <c r="AK764" s="31">
        <f>VLOOKUP($A764,kurspris!$A$1:$Q$835,10,FALSE)</f>
        <v>0</v>
      </c>
      <c r="AL764" s="31">
        <f>VLOOKUP($A764,kurspris!$A$1:$Q$835,11,FALSE)</f>
        <v>0</v>
      </c>
      <c r="AM764" s="31">
        <f>VLOOKUP($A764,kurspris!$A$1:$Q$835,12,FALSE)</f>
        <v>0</v>
      </c>
      <c r="AN764" s="31">
        <f>VLOOKUP($A764,kurspris!$A$1:$Q$835,13,FALSE)</f>
        <v>0</v>
      </c>
      <c r="AO764" s="31">
        <f>VLOOKUP($A764,kurspris!$A$1:$Q$835,14,FALSE)</f>
        <v>0</v>
      </c>
      <c r="AP764" s="39" t="s">
        <v>2204</v>
      </c>
      <c r="AQ764"/>
      <c r="AR764" s="31">
        <f t="shared" si="391"/>
        <v>0</v>
      </c>
      <c r="AS764" s="255">
        <f t="shared" si="392"/>
        <v>0</v>
      </c>
      <c r="AT764" s="31">
        <f t="shared" si="393"/>
        <v>0</v>
      </c>
      <c r="AU764" s="255">
        <f t="shared" si="394"/>
        <v>0</v>
      </c>
      <c r="AV764" s="31">
        <f t="shared" si="395"/>
        <v>0</v>
      </c>
      <c r="AW764" s="31">
        <f t="shared" si="396"/>
        <v>0</v>
      </c>
      <c r="AX764" s="31">
        <f t="shared" si="397"/>
        <v>2</v>
      </c>
      <c r="AY764" s="255">
        <f t="shared" si="398"/>
        <v>1.7</v>
      </c>
      <c r="AZ764" s="232">
        <f t="shared" si="399"/>
        <v>0</v>
      </c>
      <c r="BA764" s="255">
        <f t="shared" si="400"/>
        <v>0</v>
      </c>
      <c r="BB764" s="31">
        <f t="shared" si="401"/>
        <v>0</v>
      </c>
      <c r="BC764" s="255">
        <f t="shared" si="402"/>
        <v>0</v>
      </c>
      <c r="BD764" s="31">
        <f t="shared" si="403"/>
        <v>0</v>
      </c>
      <c r="BE764" s="255">
        <f t="shared" si="404"/>
        <v>0</v>
      </c>
      <c r="BF764" s="31">
        <f t="shared" si="405"/>
        <v>0</v>
      </c>
      <c r="BG764" s="255">
        <f t="shared" si="406"/>
        <v>0</v>
      </c>
      <c r="BH764" s="31">
        <f t="shared" si="407"/>
        <v>0</v>
      </c>
      <c r="BI764" s="255">
        <f t="shared" si="408"/>
        <v>0</v>
      </c>
      <c r="BJ764" s="31">
        <f t="shared" si="409"/>
        <v>0</v>
      </c>
      <c r="BK764" s="31">
        <f t="shared" si="410"/>
        <v>0</v>
      </c>
      <c r="BL764" s="255">
        <f t="shared" si="411"/>
        <v>0</v>
      </c>
      <c r="BM764" s="31">
        <f t="shared" si="412"/>
        <v>0</v>
      </c>
      <c r="BN764" s="255">
        <f t="shared" si="413"/>
        <v>0</v>
      </c>
    </row>
    <row r="765" spans="1:66" x14ac:dyDescent="0.25">
      <c r="A765" t="s">
        <v>1577</v>
      </c>
      <c r="B765" s="186" t="str">
        <f>VLOOKUP(A765,kurspris!$A$1:$B$877,2,FALSE)</f>
        <v>Utbildningsvetenskap, undervisning och lärande för grundskolan (UK)</v>
      </c>
      <c r="C765"/>
      <c r="D765" t="s">
        <v>486</v>
      </c>
      <c r="E765" t="s">
        <v>1609</v>
      </c>
      <c r="F765" s="59" t="s">
        <v>1930</v>
      </c>
      <c r="G765" t="s">
        <v>1983</v>
      </c>
      <c r="H765" t="s">
        <v>1910</v>
      </c>
      <c r="I765"/>
      <c r="J765"/>
      <c r="K765"/>
      <c r="L765">
        <v>100</v>
      </c>
      <c r="M765">
        <v>8</v>
      </c>
      <c r="N765"/>
      <c r="O765"/>
      <c r="P765" s="31">
        <v>1</v>
      </c>
      <c r="Q765" s="232">
        <f t="shared" ref="Q765:Q824" si="440">(M765/60)*P765</f>
        <v>0.13333333333333333</v>
      </c>
      <c r="R765" s="40">
        <v>0.85</v>
      </c>
      <c r="S765" s="334">
        <f t="shared" ref="S765:S824" si="441">Q765*R765</f>
        <v>0.11333333333333333</v>
      </c>
      <c r="T765" s="31">
        <f>VLOOKUP(A765,'Ansvar kurs'!$A$1:$C$1010,2,FALSE)</f>
        <v>2180</v>
      </c>
      <c r="U765" s="31" t="str">
        <f>VLOOKUP(T765,Orgenheter!$A$1:$C$165,2,FALSE)</f>
        <v xml:space="preserve">Pedagogik                     </v>
      </c>
      <c r="V765" s="31" t="str">
        <f>VLOOKUP(T765,Orgenheter!$A$1:$C$165,3,FALSE)</f>
        <v>Sam</v>
      </c>
      <c r="W765" s="37" t="str">
        <f>VLOOKUP(D765,Program!$A$1:$B$34,2,FALSE)</f>
        <v>Grundlärarprogrammet - förskoleklass och åk 1-3</v>
      </c>
      <c r="X765" s="42">
        <f>VLOOKUP(A765,kurspris!$A$1:$Q$798,15,FALSE)</f>
        <v>23641</v>
      </c>
      <c r="Y765" s="42">
        <f>VLOOKUP(A765,kurspris!$A$1:$Q$798,16,FALSE)</f>
        <v>28786</v>
      </c>
      <c r="Z765" s="42">
        <f t="shared" ref="Z765:Z824" si="442">X765*Q765+S765*Y765</f>
        <v>6414.5466666666662</v>
      </c>
      <c r="AA765" s="42">
        <f>VLOOKUP(A765,kurspris!$A$1:$Q$798,17,FALSE)</f>
        <v>5800</v>
      </c>
      <c r="AB765" s="42">
        <f t="shared" ref="AB765:AB824" si="443">AA765*Q765</f>
        <v>773.33333333333337</v>
      </c>
      <c r="AC765" s="42">
        <f t="shared" ref="AC765:AC824" si="444">Z765+AB765</f>
        <v>7187.8799999999992</v>
      </c>
      <c r="AD765" s="31">
        <f>VLOOKUP($A765,kurspris!$A$1:$Q$835,3,FALSE)</f>
        <v>0</v>
      </c>
      <c r="AE765" s="31">
        <f>VLOOKUP($A765,kurspris!$A$1:$Q$835,4,FALSE)</f>
        <v>0</v>
      </c>
      <c r="AF765" s="31">
        <f>VLOOKUP($A765,kurspris!$A$1:$Q$835,5,FALSE)</f>
        <v>0</v>
      </c>
      <c r="AG765" s="31">
        <f>VLOOKUP($A765,kurspris!$A$1:$Q$835,6,FALSE)</f>
        <v>1</v>
      </c>
      <c r="AH765" s="31">
        <f>VLOOKUP($A765,kurspris!$A$1:$Q$835,7,FALSE)</f>
        <v>0</v>
      </c>
      <c r="AI765" s="31">
        <f>VLOOKUP($A765,kurspris!$A$1:$Q$835,8,FALSE)</f>
        <v>0</v>
      </c>
      <c r="AJ765" s="31">
        <f>VLOOKUP($A765,kurspris!$A$1:$Q$835,9,FALSE)</f>
        <v>0</v>
      </c>
      <c r="AK765" s="31">
        <f>VLOOKUP($A765,kurspris!$A$1:$Q$835,10,FALSE)</f>
        <v>0</v>
      </c>
      <c r="AL765" s="31">
        <f>VLOOKUP($A765,kurspris!$A$1:$Q$835,11,FALSE)</f>
        <v>0</v>
      </c>
      <c r="AM765" s="31">
        <f>VLOOKUP($A765,kurspris!$A$1:$Q$835,12,FALSE)</f>
        <v>0</v>
      </c>
      <c r="AN765" s="31">
        <f>VLOOKUP($A765,kurspris!$A$1:$Q$835,13,FALSE)</f>
        <v>0</v>
      </c>
      <c r="AO765" s="31">
        <f>VLOOKUP($A765,kurspris!$A$1:$Q$835,14,FALSE)</f>
        <v>0</v>
      </c>
      <c r="AP765" s="39" t="s">
        <v>2204</v>
      </c>
      <c r="AQ765"/>
      <c r="AR765" s="31">
        <f t="shared" ref="AR765:AR824" si="445">$Q765*AD765</f>
        <v>0</v>
      </c>
      <c r="AS765" s="255">
        <f t="shared" ref="AS765:AS824" si="446">$S765*AD765</f>
        <v>0</v>
      </c>
      <c r="AT765" s="31">
        <f t="shared" ref="AT765:AT824" si="447">$Q765*AE765</f>
        <v>0</v>
      </c>
      <c r="AU765" s="255">
        <f t="shared" ref="AU765:AU824" si="448">$S765*AE765</f>
        <v>0</v>
      </c>
      <c r="AV765" s="31">
        <f t="shared" ref="AV765:AV824" si="449">$Q765*AF765</f>
        <v>0</v>
      </c>
      <c r="AW765" s="31">
        <f t="shared" ref="AW765:AW824" si="450">$S765*AF765</f>
        <v>0</v>
      </c>
      <c r="AX765" s="31">
        <f t="shared" ref="AX765:AX824" si="451">$Q765*AG765</f>
        <v>0.13333333333333333</v>
      </c>
      <c r="AY765" s="255">
        <f t="shared" ref="AY765:AY824" si="452">$S765*AG765</f>
        <v>0.11333333333333333</v>
      </c>
      <c r="AZ765" s="232">
        <f t="shared" ref="AZ765:AZ824" si="453">$Q765*AH765</f>
        <v>0</v>
      </c>
      <c r="BA765" s="255">
        <f t="shared" ref="BA765:BA824" si="454">$S765*AH765</f>
        <v>0</v>
      </c>
      <c r="BB765" s="31">
        <f t="shared" ref="BB765:BB824" si="455">$Q765*AI765</f>
        <v>0</v>
      </c>
      <c r="BC765" s="255">
        <f t="shared" ref="BC765:BC824" si="456">$S765*AI765</f>
        <v>0</v>
      </c>
      <c r="BD765" s="31">
        <f t="shared" ref="BD765:BD824" si="457">$Q765*AJ765</f>
        <v>0</v>
      </c>
      <c r="BE765" s="255">
        <f t="shared" ref="BE765:BE824" si="458">$S765*AJ765</f>
        <v>0</v>
      </c>
      <c r="BF765" s="31">
        <f t="shared" ref="BF765:BF824" si="459">$Q765*AK765</f>
        <v>0</v>
      </c>
      <c r="BG765" s="255">
        <f t="shared" ref="BG765:BG824" si="460">$S765*AK765</f>
        <v>0</v>
      </c>
      <c r="BH765" s="31">
        <f t="shared" ref="BH765:BH824" si="461">$Q765*AL765</f>
        <v>0</v>
      </c>
      <c r="BI765" s="255">
        <f t="shared" ref="BI765:BI824" si="462">$S765*AL765</f>
        <v>0</v>
      </c>
      <c r="BJ765" s="31">
        <f t="shared" ref="BJ765:BJ824" si="463">$Q765*AM765</f>
        <v>0</v>
      </c>
      <c r="BK765" s="31">
        <f t="shared" ref="BK765:BK824" si="464">$Q765*AN765</f>
        <v>0</v>
      </c>
      <c r="BL765" s="255">
        <f t="shared" ref="BL765:BL824" si="465">$S765*AN765</f>
        <v>0</v>
      </c>
      <c r="BM765" s="31">
        <f t="shared" ref="BM765:BM824" si="466">$Q765*AO765</f>
        <v>0</v>
      </c>
      <c r="BN765" s="255">
        <f t="shared" ref="BN765:BN824" si="467">$S765*AO765</f>
        <v>0</v>
      </c>
    </row>
    <row r="766" spans="1:66" x14ac:dyDescent="0.25">
      <c r="A766" t="s">
        <v>1577</v>
      </c>
      <c r="B766" s="186" t="str">
        <f>VLOOKUP(A766,kurspris!$A$1:$B$877,2,FALSE)</f>
        <v>Utbildningsvetenskap, undervisning och lärande för grundskolan (UK)</v>
      </c>
      <c r="C766"/>
      <c r="D766" t="s">
        <v>486</v>
      </c>
      <c r="E766" t="s">
        <v>1609</v>
      </c>
      <c r="F766" s="59" t="s">
        <v>1930</v>
      </c>
      <c r="G766" t="s">
        <v>1983</v>
      </c>
      <c r="H766" t="s">
        <v>1910</v>
      </c>
      <c r="I766"/>
      <c r="J766"/>
      <c r="K766"/>
      <c r="L766">
        <v>100</v>
      </c>
      <c r="M766">
        <v>8</v>
      </c>
      <c r="N766"/>
      <c r="O766"/>
      <c r="P766" s="31">
        <v>36</v>
      </c>
      <c r="Q766" s="232">
        <f t="shared" si="440"/>
        <v>4.8</v>
      </c>
      <c r="R766" s="40">
        <v>0.85</v>
      </c>
      <c r="S766" s="334">
        <f t="shared" si="441"/>
        <v>4.08</v>
      </c>
      <c r="T766" s="31">
        <f>VLOOKUP(A766,'Ansvar kurs'!$A$1:$C$1010,2,FALSE)</f>
        <v>2180</v>
      </c>
      <c r="U766" s="31" t="str">
        <f>VLOOKUP(T766,Orgenheter!$A$1:$C$165,2,FALSE)</f>
        <v xml:space="preserve">Pedagogik                     </v>
      </c>
      <c r="V766" s="31" t="str">
        <f>VLOOKUP(T766,Orgenheter!$A$1:$C$165,3,FALSE)</f>
        <v>Sam</v>
      </c>
      <c r="W766" s="37" t="str">
        <f>VLOOKUP(D766,Program!$A$1:$B$34,2,FALSE)</f>
        <v>Grundlärarprogrammet - förskoleklass och åk 1-3</v>
      </c>
      <c r="X766" s="42">
        <f>VLOOKUP(A766,kurspris!$A$1:$Q$798,15,FALSE)</f>
        <v>23641</v>
      </c>
      <c r="Y766" s="42">
        <f>VLOOKUP(A766,kurspris!$A$1:$Q$798,16,FALSE)</f>
        <v>28786</v>
      </c>
      <c r="Z766" s="42">
        <f t="shared" si="442"/>
        <v>230923.68</v>
      </c>
      <c r="AA766" s="42">
        <f>VLOOKUP(A766,kurspris!$A$1:$Q$798,17,FALSE)</f>
        <v>5800</v>
      </c>
      <c r="AB766" s="42">
        <f t="shared" si="443"/>
        <v>27840</v>
      </c>
      <c r="AC766" s="42">
        <f t="shared" si="444"/>
        <v>258763.68</v>
      </c>
      <c r="AD766" s="31">
        <f>VLOOKUP($A766,kurspris!$A$1:$Q$835,3,FALSE)</f>
        <v>0</v>
      </c>
      <c r="AE766" s="31">
        <f>VLOOKUP($A766,kurspris!$A$1:$Q$835,4,FALSE)</f>
        <v>0</v>
      </c>
      <c r="AF766" s="31">
        <f>VLOOKUP($A766,kurspris!$A$1:$Q$835,5,FALSE)</f>
        <v>0</v>
      </c>
      <c r="AG766" s="31">
        <f>VLOOKUP($A766,kurspris!$A$1:$Q$835,6,FALSE)</f>
        <v>1</v>
      </c>
      <c r="AH766" s="31">
        <f>VLOOKUP($A766,kurspris!$A$1:$Q$835,7,FALSE)</f>
        <v>0</v>
      </c>
      <c r="AI766" s="31">
        <f>VLOOKUP($A766,kurspris!$A$1:$Q$835,8,FALSE)</f>
        <v>0</v>
      </c>
      <c r="AJ766" s="31">
        <f>VLOOKUP($A766,kurspris!$A$1:$Q$835,9,FALSE)</f>
        <v>0</v>
      </c>
      <c r="AK766" s="31">
        <f>VLOOKUP($A766,kurspris!$A$1:$Q$835,10,FALSE)</f>
        <v>0</v>
      </c>
      <c r="AL766" s="31">
        <f>VLOOKUP($A766,kurspris!$A$1:$Q$835,11,FALSE)</f>
        <v>0</v>
      </c>
      <c r="AM766" s="31">
        <f>VLOOKUP($A766,kurspris!$A$1:$Q$835,12,FALSE)</f>
        <v>0</v>
      </c>
      <c r="AN766" s="31">
        <f>VLOOKUP($A766,kurspris!$A$1:$Q$835,13,FALSE)</f>
        <v>0</v>
      </c>
      <c r="AO766" s="31">
        <f>VLOOKUP($A766,kurspris!$A$1:$Q$835,14,FALSE)</f>
        <v>0</v>
      </c>
      <c r="AP766" s="39" t="s">
        <v>2204</v>
      </c>
      <c r="AQ766"/>
      <c r="AR766" s="31">
        <f t="shared" si="445"/>
        <v>0</v>
      </c>
      <c r="AS766" s="255">
        <f t="shared" si="446"/>
        <v>0</v>
      </c>
      <c r="AT766" s="31">
        <f t="shared" si="447"/>
        <v>0</v>
      </c>
      <c r="AU766" s="255">
        <f t="shared" si="448"/>
        <v>0</v>
      </c>
      <c r="AV766" s="31">
        <f t="shared" si="449"/>
        <v>0</v>
      </c>
      <c r="AW766" s="31">
        <f t="shared" si="450"/>
        <v>0</v>
      </c>
      <c r="AX766" s="31">
        <f t="shared" si="451"/>
        <v>4.8</v>
      </c>
      <c r="AY766" s="255">
        <f t="shared" si="452"/>
        <v>4.08</v>
      </c>
      <c r="AZ766" s="232">
        <f t="shared" si="453"/>
        <v>0</v>
      </c>
      <c r="BA766" s="255">
        <f t="shared" si="454"/>
        <v>0</v>
      </c>
      <c r="BB766" s="31">
        <f t="shared" si="455"/>
        <v>0</v>
      </c>
      <c r="BC766" s="255">
        <f t="shared" si="456"/>
        <v>0</v>
      </c>
      <c r="BD766" s="31">
        <f t="shared" si="457"/>
        <v>0</v>
      </c>
      <c r="BE766" s="255">
        <f t="shared" si="458"/>
        <v>0</v>
      </c>
      <c r="BF766" s="31">
        <f t="shared" si="459"/>
        <v>0</v>
      </c>
      <c r="BG766" s="255">
        <f t="shared" si="460"/>
        <v>0</v>
      </c>
      <c r="BH766" s="31">
        <f t="shared" si="461"/>
        <v>0</v>
      </c>
      <c r="BI766" s="255">
        <f t="shared" si="462"/>
        <v>0</v>
      </c>
      <c r="BJ766" s="31">
        <f t="shared" si="463"/>
        <v>0</v>
      </c>
      <c r="BK766" s="31">
        <f t="shared" si="464"/>
        <v>0</v>
      </c>
      <c r="BL766" s="255">
        <f t="shared" si="465"/>
        <v>0</v>
      </c>
      <c r="BM766" s="31">
        <f t="shared" si="466"/>
        <v>0</v>
      </c>
      <c r="BN766" s="255">
        <f t="shared" si="467"/>
        <v>0</v>
      </c>
    </row>
    <row r="767" spans="1:66" x14ac:dyDescent="0.25">
      <c r="A767" t="s">
        <v>1577</v>
      </c>
      <c r="B767" s="186" t="str">
        <f>VLOOKUP(A767,kurspris!$A$1:$B$877,2,FALSE)</f>
        <v>Utbildningsvetenskap, undervisning och lärande för grundskolan (UK)</v>
      </c>
      <c r="C767"/>
      <c r="D767" t="s">
        <v>524</v>
      </c>
      <c r="E767" t="s">
        <v>1994</v>
      </c>
      <c r="F767" s="39" t="s">
        <v>1930</v>
      </c>
      <c r="G767" t="s">
        <v>1983</v>
      </c>
      <c r="H767" t="s">
        <v>1910</v>
      </c>
      <c r="I767"/>
      <c r="J767"/>
      <c r="K767"/>
      <c r="L767">
        <v>100</v>
      </c>
      <c r="M767">
        <v>8</v>
      </c>
      <c r="N767"/>
      <c r="O767"/>
      <c r="P767" s="31">
        <v>1</v>
      </c>
      <c r="Q767" s="232">
        <f t="shared" si="440"/>
        <v>0.13333333333333333</v>
      </c>
      <c r="R767" s="40">
        <v>0.85</v>
      </c>
      <c r="S767" s="334">
        <f t="shared" si="441"/>
        <v>0.11333333333333333</v>
      </c>
      <c r="T767" s="31">
        <f>VLOOKUP(A767,'Ansvar kurs'!$A$1:$C$1010,2,FALSE)</f>
        <v>2180</v>
      </c>
      <c r="U767" s="31" t="str">
        <f>VLOOKUP(T767,Orgenheter!$A$1:$C$165,2,FALSE)</f>
        <v xml:space="preserve">Pedagogik                     </v>
      </c>
      <c r="V767" s="31" t="str">
        <f>VLOOKUP(T767,Orgenheter!$A$1:$C$165,3,FALSE)</f>
        <v>Sam</v>
      </c>
      <c r="W767" s="37" t="str">
        <f>VLOOKUP(D767,Program!$A$1:$B$34,2,FALSE)</f>
        <v>Grundlärarprogrammet - grundskolans åk 4-6</v>
      </c>
      <c r="X767" s="42">
        <f>VLOOKUP(A767,kurspris!$A$1:$Q$798,15,FALSE)</f>
        <v>23641</v>
      </c>
      <c r="Y767" s="42">
        <f>VLOOKUP(A767,kurspris!$A$1:$Q$798,16,FALSE)</f>
        <v>28786</v>
      </c>
      <c r="Z767" s="42">
        <f t="shared" si="442"/>
        <v>6414.5466666666662</v>
      </c>
      <c r="AA767" s="42">
        <f>VLOOKUP(A767,kurspris!$A$1:$Q$798,17,FALSE)</f>
        <v>5800</v>
      </c>
      <c r="AB767" s="42">
        <f t="shared" si="443"/>
        <v>773.33333333333337</v>
      </c>
      <c r="AC767" s="42">
        <f t="shared" si="444"/>
        <v>7187.8799999999992</v>
      </c>
      <c r="AD767" s="31">
        <f>VLOOKUP($A767,kurspris!$A$1:$Q$835,3,FALSE)</f>
        <v>0</v>
      </c>
      <c r="AE767" s="31">
        <f>VLOOKUP($A767,kurspris!$A$1:$Q$835,4,FALSE)</f>
        <v>0</v>
      </c>
      <c r="AF767" s="31">
        <f>VLOOKUP($A767,kurspris!$A$1:$Q$835,5,FALSE)</f>
        <v>0</v>
      </c>
      <c r="AG767" s="31">
        <f>VLOOKUP($A767,kurspris!$A$1:$Q$835,6,FALSE)</f>
        <v>1</v>
      </c>
      <c r="AH767" s="31">
        <f>VLOOKUP($A767,kurspris!$A$1:$Q$835,7,FALSE)</f>
        <v>0</v>
      </c>
      <c r="AI767" s="31">
        <f>VLOOKUP($A767,kurspris!$A$1:$Q$835,8,FALSE)</f>
        <v>0</v>
      </c>
      <c r="AJ767" s="31">
        <f>VLOOKUP($A767,kurspris!$A$1:$Q$835,9,FALSE)</f>
        <v>0</v>
      </c>
      <c r="AK767" s="31">
        <f>VLOOKUP($A767,kurspris!$A$1:$Q$835,10,FALSE)</f>
        <v>0</v>
      </c>
      <c r="AL767" s="31">
        <f>VLOOKUP($A767,kurspris!$A$1:$Q$835,11,FALSE)</f>
        <v>0</v>
      </c>
      <c r="AM767" s="31">
        <f>VLOOKUP($A767,kurspris!$A$1:$Q$835,12,FALSE)</f>
        <v>0</v>
      </c>
      <c r="AN767" s="31">
        <f>VLOOKUP($A767,kurspris!$A$1:$Q$835,13,FALSE)</f>
        <v>0</v>
      </c>
      <c r="AO767" s="31">
        <f>VLOOKUP($A767,kurspris!$A$1:$Q$835,14,FALSE)</f>
        <v>0</v>
      </c>
      <c r="AP767" s="39" t="s">
        <v>2204</v>
      </c>
      <c r="AQ767"/>
      <c r="AR767" s="31">
        <f t="shared" si="445"/>
        <v>0</v>
      </c>
      <c r="AS767" s="255">
        <f t="shared" si="446"/>
        <v>0</v>
      </c>
      <c r="AT767" s="31">
        <f t="shared" si="447"/>
        <v>0</v>
      </c>
      <c r="AU767" s="255">
        <f t="shared" si="448"/>
        <v>0</v>
      </c>
      <c r="AV767" s="31">
        <f t="shared" si="449"/>
        <v>0</v>
      </c>
      <c r="AW767" s="31">
        <f t="shared" si="450"/>
        <v>0</v>
      </c>
      <c r="AX767" s="31">
        <f t="shared" si="451"/>
        <v>0.13333333333333333</v>
      </c>
      <c r="AY767" s="255">
        <f t="shared" si="452"/>
        <v>0.11333333333333333</v>
      </c>
      <c r="AZ767" s="232">
        <f t="shared" si="453"/>
        <v>0</v>
      </c>
      <c r="BA767" s="255">
        <f t="shared" si="454"/>
        <v>0</v>
      </c>
      <c r="BB767" s="31">
        <f t="shared" si="455"/>
        <v>0</v>
      </c>
      <c r="BC767" s="255">
        <f t="shared" si="456"/>
        <v>0</v>
      </c>
      <c r="BD767" s="31">
        <f t="shared" si="457"/>
        <v>0</v>
      </c>
      <c r="BE767" s="255">
        <f t="shared" si="458"/>
        <v>0</v>
      </c>
      <c r="BF767" s="31">
        <f t="shared" si="459"/>
        <v>0</v>
      </c>
      <c r="BG767" s="255">
        <f t="shared" si="460"/>
        <v>0</v>
      </c>
      <c r="BH767" s="31">
        <f t="shared" si="461"/>
        <v>0</v>
      </c>
      <c r="BI767" s="255">
        <f t="shared" si="462"/>
        <v>0</v>
      </c>
      <c r="BJ767" s="31">
        <f t="shared" si="463"/>
        <v>0</v>
      </c>
      <c r="BK767" s="31">
        <f t="shared" si="464"/>
        <v>0</v>
      </c>
      <c r="BL767" s="255">
        <f t="shared" si="465"/>
        <v>0</v>
      </c>
      <c r="BM767" s="31">
        <f t="shared" si="466"/>
        <v>0</v>
      </c>
      <c r="BN767" s="255">
        <f t="shared" si="467"/>
        <v>0</v>
      </c>
    </row>
    <row r="768" spans="1:66" x14ac:dyDescent="0.25">
      <c r="A768" t="s">
        <v>1577</v>
      </c>
      <c r="B768" s="186" t="str">
        <f>VLOOKUP(A768,kurspris!$A$1:$B$877,2,FALSE)</f>
        <v>Utbildningsvetenskap, undervisning och lärande för grundskolan (UK)</v>
      </c>
      <c r="C768"/>
      <c r="D768" t="s">
        <v>524</v>
      </c>
      <c r="E768" t="s">
        <v>1973</v>
      </c>
      <c r="F768" s="39" t="s">
        <v>1930</v>
      </c>
      <c r="G768" t="s">
        <v>1983</v>
      </c>
      <c r="H768" t="s">
        <v>1910</v>
      </c>
      <c r="I768"/>
      <c r="J768"/>
      <c r="K768"/>
      <c r="L768">
        <v>100</v>
      </c>
      <c r="M768">
        <v>8</v>
      </c>
      <c r="N768"/>
      <c r="O768"/>
      <c r="P768" s="31">
        <v>1</v>
      </c>
      <c r="Q768" s="232">
        <f t="shared" si="440"/>
        <v>0.13333333333333333</v>
      </c>
      <c r="R768" s="40">
        <v>0.85</v>
      </c>
      <c r="S768" s="334">
        <f t="shared" si="441"/>
        <v>0.11333333333333333</v>
      </c>
      <c r="T768" s="31">
        <f>VLOOKUP(A768,'Ansvar kurs'!$A$1:$C$1010,2,FALSE)</f>
        <v>2180</v>
      </c>
      <c r="U768" s="31" t="str">
        <f>VLOOKUP(T768,Orgenheter!$A$1:$C$165,2,FALSE)</f>
        <v xml:space="preserve">Pedagogik                     </v>
      </c>
      <c r="V768" s="31" t="str">
        <f>VLOOKUP(T768,Orgenheter!$A$1:$C$165,3,FALSE)</f>
        <v>Sam</v>
      </c>
      <c r="W768" s="37" t="str">
        <f>VLOOKUP(D768,Program!$A$1:$B$34,2,FALSE)</f>
        <v>Grundlärarprogrammet - grundskolans åk 4-6</v>
      </c>
      <c r="X768" s="42">
        <f>VLOOKUP(A768,kurspris!$A$1:$Q$798,15,FALSE)</f>
        <v>23641</v>
      </c>
      <c r="Y768" s="42">
        <f>VLOOKUP(A768,kurspris!$A$1:$Q$798,16,FALSE)</f>
        <v>28786</v>
      </c>
      <c r="Z768" s="42">
        <f t="shared" si="442"/>
        <v>6414.5466666666662</v>
      </c>
      <c r="AA768" s="42">
        <f>VLOOKUP(A768,kurspris!$A$1:$Q$798,17,FALSE)</f>
        <v>5800</v>
      </c>
      <c r="AB768" s="42">
        <f t="shared" si="443"/>
        <v>773.33333333333337</v>
      </c>
      <c r="AC768" s="42">
        <f t="shared" si="444"/>
        <v>7187.8799999999992</v>
      </c>
      <c r="AD768" s="31">
        <f>VLOOKUP($A768,kurspris!$A$1:$Q$835,3,FALSE)</f>
        <v>0</v>
      </c>
      <c r="AE768" s="31">
        <f>VLOOKUP($A768,kurspris!$A$1:$Q$835,4,FALSE)</f>
        <v>0</v>
      </c>
      <c r="AF768" s="31">
        <f>VLOOKUP($A768,kurspris!$A$1:$Q$835,5,FALSE)</f>
        <v>0</v>
      </c>
      <c r="AG768" s="31">
        <f>VLOOKUP($A768,kurspris!$A$1:$Q$835,6,FALSE)</f>
        <v>1</v>
      </c>
      <c r="AH768" s="31">
        <f>VLOOKUP($A768,kurspris!$A$1:$Q$835,7,FALSE)</f>
        <v>0</v>
      </c>
      <c r="AI768" s="31">
        <f>VLOOKUP($A768,kurspris!$A$1:$Q$835,8,FALSE)</f>
        <v>0</v>
      </c>
      <c r="AJ768" s="31">
        <f>VLOOKUP($A768,kurspris!$A$1:$Q$835,9,FALSE)</f>
        <v>0</v>
      </c>
      <c r="AK768" s="31">
        <f>VLOOKUP($A768,kurspris!$A$1:$Q$835,10,FALSE)</f>
        <v>0</v>
      </c>
      <c r="AL768" s="31">
        <f>VLOOKUP($A768,kurspris!$A$1:$Q$835,11,FALSE)</f>
        <v>0</v>
      </c>
      <c r="AM768" s="31">
        <f>VLOOKUP($A768,kurspris!$A$1:$Q$835,12,FALSE)</f>
        <v>0</v>
      </c>
      <c r="AN768" s="31">
        <f>VLOOKUP($A768,kurspris!$A$1:$Q$835,13,FALSE)</f>
        <v>0</v>
      </c>
      <c r="AO768" s="31">
        <f>VLOOKUP($A768,kurspris!$A$1:$Q$835,14,FALSE)</f>
        <v>0</v>
      </c>
      <c r="AP768" s="39" t="s">
        <v>2204</v>
      </c>
      <c r="AQ768"/>
      <c r="AR768" s="31">
        <f t="shared" si="445"/>
        <v>0</v>
      </c>
      <c r="AS768" s="255">
        <f t="shared" si="446"/>
        <v>0</v>
      </c>
      <c r="AT768" s="31">
        <f t="shared" si="447"/>
        <v>0</v>
      </c>
      <c r="AU768" s="255">
        <f t="shared" si="448"/>
        <v>0</v>
      </c>
      <c r="AV768" s="31">
        <f t="shared" si="449"/>
        <v>0</v>
      </c>
      <c r="AW768" s="31">
        <f t="shared" si="450"/>
        <v>0</v>
      </c>
      <c r="AX768" s="31">
        <f t="shared" si="451"/>
        <v>0.13333333333333333</v>
      </c>
      <c r="AY768" s="255">
        <f t="shared" si="452"/>
        <v>0.11333333333333333</v>
      </c>
      <c r="AZ768" s="232">
        <f t="shared" si="453"/>
        <v>0</v>
      </c>
      <c r="BA768" s="255">
        <f t="shared" si="454"/>
        <v>0</v>
      </c>
      <c r="BB768" s="31">
        <f t="shared" si="455"/>
        <v>0</v>
      </c>
      <c r="BC768" s="255">
        <f t="shared" si="456"/>
        <v>0</v>
      </c>
      <c r="BD768" s="31">
        <f t="shared" si="457"/>
        <v>0</v>
      </c>
      <c r="BE768" s="255">
        <f t="shared" si="458"/>
        <v>0</v>
      </c>
      <c r="BF768" s="31">
        <f t="shared" si="459"/>
        <v>0</v>
      </c>
      <c r="BG768" s="255">
        <f t="shared" si="460"/>
        <v>0</v>
      </c>
      <c r="BH768" s="31">
        <f t="shared" si="461"/>
        <v>0</v>
      </c>
      <c r="BI768" s="255">
        <f t="shared" si="462"/>
        <v>0</v>
      </c>
      <c r="BJ768" s="31">
        <f t="shared" si="463"/>
        <v>0</v>
      </c>
      <c r="BK768" s="31">
        <f t="shared" si="464"/>
        <v>0</v>
      </c>
      <c r="BL768" s="255">
        <f t="shared" si="465"/>
        <v>0</v>
      </c>
      <c r="BM768" s="31">
        <f t="shared" si="466"/>
        <v>0</v>
      </c>
      <c r="BN768" s="255">
        <f t="shared" si="467"/>
        <v>0</v>
      </c>
    </row>
    <row r="769" spans="1:66" x14ac:dyDescent="0.25">
      <c r="A769" t="s">
        <v>1577</v>
      </c>
      <c r="B769" s="186" t="str">
        <f>VLOOKUP(A769,kurspris!$A$1:$B$877,2,FALSE)</f>
        <v>Utbildningsvetenskap, undervisning och lärande för grundskolan (UK)</v>
      </c>
      <c r="C769"/>
      <c r="D769" t="s">
        <v>524</v>
      </c>
      <c r="E769" t="s">
        <v>1609</v>
      </c>
      <c r="F769" s="39" t="s">
        <v>1930</v>
      </c>
      <c r="G769" t="s">
        <v>1983</v>
      </c>
      <c r="H769" t="s">
        <v>1910</v>
      </c>
      <c r="I769"/>
      <c r="J769"/>
      <c r="K769"/>
      <c r="L769">
        <v>100</v>
      </c>
      <c r="M769">
        <v>8</v>
      </c>
      <c r="N769"/>
      <c r="O769"/>
      <c r="P769" s="31">
        <v>32</v>
      </c>
      <c r="Q769" s="232">
        <f t="shared" si="440"/>
        <v>4.2666666666666666</v>
      </c>
      <c r="R769" s="40">
        <v>0.85</v>
      </c>
      <c r="S769" s="334">
        <f t="shared" si="441"/>
        <v>3.6266666666666665</v>
      </c>
      <c r="T769" s="31">
        <f>VLOOKUP(A769,'Ansvar kurs'!$A$1:$C$1010,2,FALSE)</f>
        <v>2180</v>
      </c>
      <c r="U769" s="31" t="str">
        <f>VLOOKUP(T769,Orgenheter!$A$1:$C$165,2,FALSE)</f>
        <v xml:space="preserve">Pedagogik                     </v>
      </c>
      <c r="V769" s="31" t="str">
        <f>VLOOKUP(T769,Orgenheter!$A$1:$C$165,3,FALSE)</f>
        <v>Sam</v>
      </c>
      <c r="W769" s="37" t="str">
        <f>VLOOKUP(D769,Program!$A$1:$B$34,2,FALSE)</f>
        <v>Grundlärarprogrammet - grundskolans åk 4-6</v>
      </c>
      <c r="X769" s="42">
        <f>VLOOKUP(A769,kurspris!$A$1:$Q$798,15,FALSE)</f>
        <v>23641</v>
      </c>
      <c r="Y769" s="42">
        <f>VLOOKUP(A769,kurspris!$A$1:$Q$798,16,FALSE)</f>
        <v>28786</v>
      </c>
      <c r="Z769" s="42">
        <f t="shared" si="442"/>
        <v>205265.49333333332</v>
      </c>
      <c r="AA769" s="42">
        <f>VLOOKUP(A769,kurspris!$A$1:$Q$798,17,FALSE)</f>
        <v>5800</v>
      </c>
      <c r="AB769" s="42">
        <f t="shared" si="443"/>
        <v>24746.666666666668</v>
      </c>
      <c r="AC769" s="42">
        <f t="shared" si="444"/>
        <v>230012.15999999997</v>
      </c>
      <c r="AD769" s="31">
        <f>VLOOKUP($A769,kurspris!$A$1:$Q$835,3,FALSE)</f>
        <v>0</v>
      </c>
      <c r="AE769" s="31">
        <f>VLOOKUP($A769,kurspris!$A$1:$Q$835,4,FALSE)</f>
        <v>0</v>
      </c>
      <c r="AF769" s="31">
        <f>VLOOKUP($A769,kurspris!$A$1:$Q$835,5,FALSE)</f>
        <v>0</v>
      </c>
      <c r="AG769" s="31">
        <f>VLOOKUP($A769,kurspris!$A$1:$Q$835,6,FALSE)</f>
        <v>1</v>
      </c>
      <c r="AH769" s="31">
        <f>VLOOKUP($A769,kurspris!$A$1:$Q$835,7,FALSE)</f>
        <v>0</v>
      </c>
      <c r="AI769" s="31">
        <f>VLOOKUP($A769,kurspris!$A$1:$Q$835,8,FALSE)</f>
        <v>0</v>
      </c>
      <c r="AJ769" s="31">
        <f>VLOOKUP($A769,kurspris!$A$1:$Q$835,9,FALSE)</f>
        <v>0</v>
      </c>
      <c r="AK769" s="31">
        <f>VLOOKUP($A769,kurspris!$A$1:$Q$835,10,FALSE)</f>
        <v>0</v>
      </c>
      <c r="AL769" s="31">
        <f>VLOOKUP($A769,kurspris!$A$1:$Q$835,11,FALSE)</f>
        <v>0</v>
      </c>
      <c r="AM769" s="31">
        <f>VLOOKUP($A769,kurspris!$A$1:$Q$835,12,FALSE)</f>
        <v>0</v>
      </c>
      <c r="AN769" s="31">
        <f>VLOOKUP($A769,kurspris!$A$1:$Q$835,13,FALSE)</f>
        <v>0</v>
      </c>
      <c r="AO769" s="31">
        <f>VLOOKUP($A769,kurspris!$A$1:$Q$835,14,FALSE)</f>
        <v>0</v>
      </c>
      <c r="AP769" s="39" t="s">
        <v>2204</v>
      </c>
      <c r="AQ769"/>
      <c r="AR769" s="31">
        <f t="shared" si="445"/>
        <v>0</v>
      </c>
      <c r="AS769" s="255">
        <f t="shared" si="446"/>
        <v>0</v>
      </c>
      <c r="AT769" s="31">
        <f t="shared" si="447"/>
        <v>0</v>
      </c>
      <c r="AU769" s="255">
        <f t="shared" si="448"/>
        <v>0</v>
      </c>
      <c r="AV769" s="31">
        <f t="shared" si="449"/>
        <v>0</v>
      </c>
      <c r="AW769" s="31">
        <f t="shared" si="450"/>
        <v>0</v>
      </c>
      <c r="AX769" s="31">
        <f t="shared" si="451"/>
        <v>4.2666666666666666</v>
      </c>
      <c r="AY769" s="255">
        <f t="shared" si="452"/>
        <v>3.6266666666666665</v>
      </c>
      <c r="AZ769" s="232">
        <f t="shared" si="453"/>
        <v>0</v>
      </c>
      <c r="BA769" s="255">
        <f t="shared" si="454"/>
        <v>0</v>
      </c>
      <c r="BB769" s="31">
        <f t="shared" si="455"/>
        <v>0</v>
      </c>
      <c r="BC769" s="255">
        <f t="shared" si="456"/>
        <v>0</v>
      </c>
      <c r="BD769" s="31">
        <f t="shared" si="457"/>
        <v>0</v>
      </c>
      <c r="BE769" s="255">
        <f t="shared" si="458"/>
        <v>0</v>
      </c>
      <c r="BF769" s="31">
        <f t="shared" si="459"/>
        <v>0</v>
      </c>
      <c r="BG769" s="255">
        <f t="shared" si="460"/>
        <v>0</v>
      </c>
      <c r="BH769" s="31">
        <f t="shared" si="461"/>
        <v>0</v>
      </c>
      <c r="BI769" s="255">
        <f t="shared" si="462"/>
        <v>0</v>
      </c>
      <c r="BJ769" s="31">
        <f t="shared" si="463"/>
        <v>0</v>
      </c>
      <c r="BK769" s="31">
        <f t="shared" si="464"/>
        <v>0</v>
      </c>
      <c r="BL769" s="255">
        <f t="shared" si="465"/>
        <v>0</v>
      </c>
      <c r="BM769" s="31">
        <f t="shared" si="466"/>
        <v>0</v>
      </c>
      <c r="BN769" s="255">
        <f t="shared" si="467"/>
        <v>0</v>
      </c>
    </row>
    <row r="770" spans="1:66" x14ac:dyDescent="0.25">
      <c r="A770" s="18" t="s">
        <v>1689</v>
      </c>
      <c r="B770" s="186" t="str">
        <f>VLOOKUP(A770,kurspris!$A$1:$B$877,2,FALSE)</f>
        <v>Utbildningsvetenskap, undervisning och lärande - Ämneslärarprogrammet (UK)</v>
      </c>
      <c r="C770" s="37"/>
      <c r="D770" s="31" t="s">
        <v>482</v>
      </c>
      <c r="E770" s="31" t="s">
        <v>1609</v>
      </c>
      <c r="F770" s="59" t="s">
        <v>1931</v>
      </c>
      <c r="G770" s="31" t="s">
        <v>2274</v>
      </c>
      <c r="J770" s="31" t="s">
        <v>1595</v>
      </c>
      <c r="L770" s="31">
        <v>100</v>
      </c>
      <c r="M770" s="31">
        <v>8</v>
      </c>
      <c r="P770" s="31">
        <v>4</v>
      </c>
      <c r="Q770" s="232">
        <f t="shared" si="440"/>
        <v>0.53333333333333333</v>
      </c>
      <c r="R770" s="40">
        <v>0.85</v>
      </c>
      <c r="S770" s="334">
        <f t="shared" si="441"/>
        <v>0.45333333333333331</v>
      </c>
      <c r="T770" s="31">
        <f>VLOOKUP(A770,'Ansvar kurs'!$A$1:$C$1010,2,FALSE)</f>
        <v>2180</v>
      </c>
      <c r="U770" s="31" t="str">
        <f>VLOOKUP(T770,Orgenheter!$A$1:$C$165,2,FALSE)</f>
        <v xml:space="preserve">Pedagogik                     </v>
      </c>
      <c r="V770" s="31" t="str">
        <f>VLOOKUP(T770,Orgenheter!$A$1:$C$165,3,FALSE)</f>
        <v>Sam</v>
      </c>
      <c r="W770" s="37" t="str">
        <f>VLOOKUP(D770,Program!$A$1:$B$34,2,FALSE)</f>
        <v>Ämneslärarprogrammet - åk 7-9</v>
      </c>
      <c r="X770" s="42">
        <f>VLOOKUP(A770,kurspris!$A$1:$Q$798,15,FALSE)</f>
        <v>23641</v>
      </c>
      <c r="Y770" s="42">
        <f>VLOOKUP(A770,kurspris!$A$1:$Q$798,16,FALSE)</f>
        <v>28786</v>
      </c>
      <c r="Z770" s="42">
        <f t="shared" si="442"/>
        <v>25658.186666666665</v>
      </c>
      <c r="AA770" s="42">
        <f>VLOOKUP(A770,kurspris!$A$1:$Q$798,17,FALSE)</f>
        <v>5800</v>
      </c>
      <c r="AB770" s="42">
        <f t="shared" si="443"/>
        <v>3093.3333333333335</v>
      </c>
      <c r="AC770" s="42">
        <f t="shared" si="444"/>
        <v>28751.519999999997</v>
      </c>
      <c r="AD770" s="31">
        <f>VLOOKUP($A770,kurspris!$A$1:$Q$835,3,FALSE)</f>
        <v>0</v>
      </c>
      <c r="AE770" s="31">
        <f>VLOOKUP($A770,kurspris!$A$1:$Q$835,4,FALSE)</f>
        <v>0</v>
      </c>
      <c r="AF770" s="31">
        <f>VLOOKUP($A770,kurspris!$A$1:$Q$835,5,FALSE)</f>
        <v>0</v>
      </c>
      <c r="AG770" s="31">
        <f>VLOOKUP($A770,kurspris!$A$1:$Q$835,6,FALSE)</f>
        <v>1</v>
      </c>
      <c r="AH770" s="31">
        <f>VLOOKUP($A770,kurspris!$A$1:$Q$835,7,FALSE)</f>
        <v>0</v>
      </c>
      <c r="AI770" s="31">
        <f>VLOOKUP($A770,kurspris!$A$1:$Q$835,8,FALSE)</f>
        <v>0</v>
      </c>
      <c r="AJ770" s="31">
        <f>VLOOKUP($A770,kurspris!$A$1:$Q$835,9,FALSE)</f>
        <v>0</v>
      </c>
      <c r="AK770" s="31">
        <f>VLOOKUP($A770,kurspris!$A$1:$Q$835,10,FALSE)</f>
        <v>0</v>
      </c>
      <c r="AL770" s="31">
        <f>VLOOKUP($A770,kurspris!$A$1:$Q$835,11,FALSE)</f>
        <v>0</v>
      </c>
      <c r="AM770" s="31">
        <f>VLOOKUP($A770,kurspris!$A$1:$Q$835,12,FALSE)</f>
        <v>0</v>
      </c>
      <c r="AN770" s="31">
        <f>VLOOKUP($A770,kurspris!$A$1:$Q$835,13,FALSE)</f>
        <v>0</v>
      </c>
      <c r="AO770" s="31">
        <f>VLOOKUP($A770,kurspris!$A$1:$Q$835,14,FALSE)</f>
        <v>0</v>
      </c>
      <c r="AP770" s="39" t="s">
        <v>2326</v>
      </c>
      <c r="AQ770"/>
      <c r="AR770" s="31">
        <f t="shared" si="445"/>
        <v>0</v>
      </c>
      <c r="AS770" s="255">
        <f t="shared" si="446"/>
        <v>0</v>
      </c>
      <c r="AT770" s="31">
        <f t="shared" si="447"/>
        <v>0</v>
      </c>
      <c r="AU770" s="255">
        <f t="shared" si="448"/>
        <v>0</v>
      </c>
      <c r="AV770" s="31">
        <f t="shared" si="449"/>
        <v>0</v>
      </c>
      <c r="AW770" s="31">
        <f t="shared" si="450"/>
        <v>0</v>
      </c>
      <c r="AX770" s="31">
        <f t="shared" si="451"/>
        <v>0.53333333333333333</v>
      </c>
      <c r="AY770" s="255">
        <f t="shared" si="452"/>
        <v>0.45333333333333331</v>
      </c>
      <c r="AZ770" s="232">
        <f t="shared" si="453"/>
        <v>0</v>
      </c>
      <c r="BA770" s="255">
        <f t="shared" si="454"/>
        <v>0</v>
      </c>
      <c r="BB770" s="31">
        <f t="shared" si="455"/>
        <v>0</v>
      </c>
      <c r="BC770" s="255">
        <f t="shared" si="456"/>
        <v>0</v>
      </c>
      <c r="BD770" s="31">
        <f t="shared" si="457"/>
        <v>0</v>
      </c>
      <c r="BE770" s="255">
        <f t="shared" si="458"/>
        <v>0</v>
      </c>
      <c r="BF770" s="31">
        <f t="shared" si="459"/>
        <v>0</v>
      </c>
      <c r="BG770" s="255">
        <f t="shared" si="460"/>
        <v>0</v>
      </c>
      <c r="BH770" s="31">
        <f t="shared" si="461"/>
        <v>0</v>
      </c>
      <c r="BI770" s="255">
        <f t="shared" si="462"/>
        <v>0</v>
      </c>
      <c r="BJ770" s="31">
        <f t="shared" si="463"/>
        <v>0</v>
      </c>
      <c r="BK770" s="31">
        <f t="shared" si="464"/>
        <v>0</v>
      </c>
      <c r="BL770" s="255">
        <f t="shared" si="465"/>
        <v>0</v>
      </c>
      <c r="BM770" s="31">
        <f t="shared" si="466"/>
        <v>0</v>
      </c>
      <c r="BN770" s="255">
        <f t="shared" si="467"/>
        <v>0</v>
      </c>
    </row>
    <row r="771" spans="1:66" x14ac:dyDescent="0.25">
      <c r="A771" s="18" t="s">
        <v>1689</v>
      </c>
      <c r="B771" s="186" t="str">
        <f>VLOOKUP(A771,kurspris!$A$1:$B$877,2,FALSE)</f>
        <v>Utbildningsvetenskap, undervisning och lärande - Ämneslärarprogrammet (UK)</v>
      </c>
      <c r="C771" s="37"/>
      <c r="D771" s="31" t="s">
        <v>483</v>
      </c>
      <c r="E771" s="31" t="s">
        <v>1976</v>
      </c>
      <c r="F771" s="59" t="s">
        <v>1931</v>
      </c>
      <c r="G771" s="31" t="s">
        <v>2274</v>
      </c>
      <c r="J771" t="s">
        <v>771</v>
      </c>
      <c r="L771" s="31">
        <v>100</v>
      </c>
      <c r="M771" s="31">
        <v>8</v>
      </c>
      <c r="P771" s="31">
        <v>1</v>
      </c>
      <c r="Q771" s="232">
        <f t="shared" si="440"/>
        <v>0.13333333333333333</v>
      </c>
      <c r="R771" s="40">
        <v>0.85</v>
      </c>
      <c r="S771" s="334">
        <f t="shared" si="441"/>
        <v>0.11333333333333333</v>
      </c>
      <c r="T771" s="31">
        <f>VLOOKUP(A771,'Ansvar kurs'!$A$1:$C$1010,2,FALSE)</f>
        <v>2180</v>
      </c>
      <c r="U771" s="31" t="str">
        <f>VLOOKUP(T771,Orgenheter!$A$1:$C$165,2,FALSE)</f>
        <v xml:space="preserve">Pedagogik                     </v>
      </c>
      <c r="V771" s="31" t="str">
        <f>VLOOKUP(T771,Orgenheter!$A$1:$C$165,3,FALSE)</f>
        <v>Sam</v>
      </c>
      <c r="W771" s="37" t="str">
        <f>VLOOKUP(D771,Program!$A$1:$B$34,2,FALSE)</f>
        <v>Ämneslärarprogrammet - Gy</v>
      </c>
      <c r="X771" s="42">
        <f>VLOOKUP(A771,kurspris!$A$1:$Q$798,15,FALSE)</f>
        <v>23641</v>
      </c>
      <c r="Y771" s="42">
        <f>VLOOKUP(A771,kurspris!$A$1:$Q$798,16,FALSE)</f>
        <v>28786</v>
      </c>
      <c r="Z771" s="42">
        <f t="shared" si="442"/>
        <v>6414.5466666666662</v>
      </c>
      <c r="AA771" s="42">
        <f>VLOOKUP(A771,kurspris!$A$1:$Q$798,17,FALSE)</f>
        <v>5800</v>
      </c>
      <c r="AB771" s="42">
        <f t="shared" si="443"/>
        <v>773.33333333333337</v>
      </c>
      <c r="AC771" s="42">
        <f t="shared" si="444"/>
        <v>7187.8799999999992</v>
      </c>
      <c r="AD771" s="31">
        <f>VLOOKUP($A771,kurspris!$A$1:$Q$835,3,FALSE)</f>
        <v>0</v>
      </c>
      <c r="AE771" s="31">
        <f>VLOOKUP($A771,kurspris!$A$1:$Q$835,4,FALSE)</f>
        <v>0</v>
      </c>
      <c r="AF771" s="31">
        <f>VLOOKUP($A771,kurspris!$A$1:$Q$835,5,FALSE)</f>
        <v>0</v>
      </c>
      <c r="AG771" s="31">
        <f>VLOOKUP($A771,kurspris!$A$1:$Q$835,6,FALSE)</f>
        <v>1</v>
      </c>
      <c r="AH771" s="31">
        <f>VLOOKUP($A771,kurspris!$A$1:$Q$835,7,FALSE)</f>
        <v>0</v>
      </c>
      <c r="AI771" s="31">
        <f>VLOOKUP($A771,kurspris!$A$1:$Q$835,8,FALSE)</f>
        <v>0</v>
      </c>
      <c r="AJ771" s="31">
        <f>VLOOKUP($A771,kurspris!$A$1:$Q$835,9,FALSE)</f>
        <v>0</v>
      </c>
      <c r="AK771" s="31">
        <f>VLOOKUP($A771,kurspris!$A$1:$Q$835,10,FALSE)</f>
        <v>0</v>
      </c>
      <c r="AL771" s="31">
        <f>VLOOKUP($A771,kurspris!$A$1:$Q$835,11,FALSE)</f>
        <v>0</v>
      </c>
      <c r="AM771" s="31">
        <f>VLOOKUP($A771,kurspris!$A$1:$Q$835,12,FALSE)</f>
        <v>0</v>
      </c>
      <c r="AN771" s="31">
        <f>VLOOKUP($A771,kurspris!$A$1:$Q$835,13,FALSE)</f>
        <v>0</v>
      </c>
      <c r="AO771" s="31">
        <f>VLOOKUP($A771,kurspris!$A$1:$Q$835,14,FALSE)</f>
        <v>0</v>
      </c>
      <c r="AP771" s="39" t="s">
        <v>2326</v>
      </c>
      <c r="AQ771"/>
      <c r="AR771" s="31">
        <f t="shared" si="445"/>
        <v>0</v>
      </c>
      <c r="AS771" s="255">
        <f t="shared" si="446"/>
        <v>0</v>
      </c>
      <c r="AT771" s="31">
        <f t="shared" si="447"/>
        <v>0</v>
      </c>
      <c r="AU771" s="255">
        <f t="shared" si="448"/>
        <v>0</v>
      </c>
      <c r="AV771" s="31">
        <f t="shared" si="449"/>
        <v>0</v>
      </c>
      <c r="AW771" s="31">
        <f t="shared" si="450"/>
        <v>0</v>
      </c>
      <c r="AX771" s="31">
        <f t="shared" si="451"/>
        <v>0.13333333333333333</v>
      </c>
      <c r="AY771" s="255">
        <f t="shared" si="452"/>
        <v>0.11333333333333333</v>
      </c>
      <c r="AZ771" s="232">
        <f t="shared" si="453"/>
        <v>0</v>
      </c>
      <c r="BA771" s="255">
        <f t="shared" si="454"/>
        <v>0</v>
      </c>
      <c r="BB771" s="31">
        <f t="shared" si="455"/>
        <v>0</v>
      </c>
      <c r="BC771" s="255">
        <f t="shared" si="456"/>
        <v>0</v>
      </c>
      <c r="BD771" s="31">
        <f t="shared" si="457"/>
        <v>0</v>
      </c>
      <c r="BE771" s="255">
        <f t="shared" si="458"/>
        <v>0</v>
      </c>
      <c r="BF771" s="31">
        <f t="shared" si="459"/>
        <v>0</v>
      </c>
      <c r="BG771" s="255">
        <f t="shared" si="460"/>
        <v>0</v>
      </c>
      <c r="BH771" s="31">
        <f t="shared" si="461"/>
        <v>0</v>
      </c>
      <c r="BI771" s="255">
        <f t="shared" si="462"/>
        <v>0</v>
      </c>
      <c r="BJ771" s="31">
        <f t="shared" si="463"/>
        <v>0</v>
      </c>
      <c r="BK771" s="31">
        <f t="shared" si="464"/>
        <v>0</v>
      </c>
      <c r="BL771" s="255">
        <f t="shared" si="465"/>
        <v>0</v>
      </c>
      <c r="BM771" s="31">
        <f t="shared" si="466"/>
        <v>0</v>
      </c>
      <c r="BN771" s="255">
        <f t="shared" si="467"/>
        <v>0</v>
      </c>
    </row>
    <row r="772" spans="1:66" x14ac:dyDescent="0.25">
      <c r="A772" s="18" t="s">
        <v>1689</v>
      </c>
      <c r="B772" s="186" t="str">
        <f>VLOOKUP(A772,kurspris!$A$1:$B$877,2,FALSE)</f>
        <v>Utbildningsvetenskap, undervisning och lärande - Ämneslärarprogrammet (UK)</v>
      </c>
      <c r="C772" s="37"/>
      <c r="D772" s="31" t="s">
        <v>483</v>
      </c>
      <c r="E772" s="31" t="s">
        <v>1976</v>
      </c>
      <c r="F772" s="59" t="s">
        <v>1931</v>
      </c>
      <c r="G772" s="31" t="s">
        <v>2274</v>
      </c>
      <c r="J772" t="s">
        <v>774</v>
      </c>
      <c r="L772" s="31">
        <v>100</v>
      </c>
      <c r="M772" s="31">
        <v>8</v>
      </c>
      <c r="P772" s="31">
        <v>2</v>
      </c>
      <c r="Q772" s="232">
        <f t="shared" si="440"/>
        <v>0.26666666666666666</v>
      </c>
      <c r="R772" s="40">
        <v>0.85</v>
      </c>
      <c r="S772" s="334">
        <f t="shared" si="441"/>
        <v>0.22666666666666666</v>
      </c>
      <c r="T772" s="31">
        <f>VLOOKUP(A772,'Ansvar kurs'!$A$1:$C$1010,2,FALSE)</f>
        <v>2180</v>
      </c>
      <c r="U772" s="31" t="str">
        <f>VLOOKUP(T772,Orgenheter!$A$1:$C$165,2,FALSE)</f>
        <v xml:space="preserve">Pedagogik                     </v>
      </c>
      <c r="V772" s="31" t="str">
        <f>VLOOKUP(T772,Orgenheter!$A$1:$C$165,3,FALSE)</f>
        <v>Sam</v>
      </c>
      <c r="W772" s="37" t="str">
        <f>VLOOKUP(D772,Program!$A$1:$B$34,2,FALSE)</f>
        <v>Ämneslärarprogrammet - Gy</v>
      </c>
      <c r="X772" s="42">
        <f>VLOOKUP(A772,kurspris!$A$1:$Q$798,15,FALSE)</f>
        <v>23641</v>
      </c>
      <c r="Y772" s="42">
        <f>VLOOKUP(A772,kurspris!$A$1:$Q$798,16,FALSE)</f>
        <v>28786</v>
      </c>
      <c r="Z772" s="42">
        <f t="shared" si="442"/>
        <v>12829.093333333332</v>
      </c>
      <c r="AA772" s="42">
        <f>VLOOKUP(A772,kurspris!$A$1:$Q$798,17,FALSE)</f>
        <v>5800</v>
      </c>
      <c r="AB772" s="42">
        <f t="shared" si="443"/>
        <v>1546.6666666666667</v>
      </c>
      <c r="AC772" s="42">
        <f t="shared" si="444"/>
        <v>14375.759999999998</v>
      </c>
      <c r="AD772" s="31">
        <f>VLOOKUP($A772,kurspris!$A$1:$Q$835,3,FALSE)</f>
        <v>0</v>
      </c>
      <c r="AE772" s="31">
        <f>VLOOKUP($A772,kurspris!$A$1:$Q$835,4,FALSE)</f>
        <v>0</v>
      </c>
      <c r="AF772" s="31">
        <f>VLOOKUP($A772,kurspris!$A$1:$Q$835,5,FALSE)</f>
        <v>0</v>
      </c>
      <c r="AG772" s="31">
        <f>VLOOKUP($A772,kurspris!$A$1:$Q$835,6,FALSE)</f>
        <v>1</v>
      </c>
      <c r="AH772" s="31">
        <f>VLOOKUP($A772,kurspris!$A$1:$Q$835,7,FALSE)</f>
        <v>0</v>
      </c>
      <c r="AI772" s="31">
        <f>VLOOKUP($A772,kurspris!$A$1:$Q$835,8,FALSE)</f>
        <v>0</v>
      </c>
      <c r="AJ772" s="31">
        <f>VLOOKUP($A772,kurspris!$A$1:$Q$835,9,FALSE)</f>
        <v>0</v>
      </c>
      <c r="AK772" s="31">
        <f>VLOOKUP($A772,kurspris!$A$1:$Q$835,10,FALSE)</f>
        <v>0</v>
      </c>
      <c r="AL772" s="31">
        <f>VLOOKUP($A772,kurspris!$A$1:$Q$835,11,FALSE)</f>
        <v>0</v>
      </c>
      <c r="AM772" s="31">
        <f>VLOOKUP($A772,kurspris!$A$1:$Q$835,12,FALSE)</f>
        <v>0</v>
      </c>
      <c r="AN772" s="31">
        <f>VLOOKUP($A772,kurspris!$A$1:$Q$835,13,FALSE)</f>
        <v>0</v>
      </c>
      <c r="AO772" s="31">
        <f>VLOOKUP($A772,kurspris!$A$1:$Q$835,14,FALSE)</f>
        <v>0</v>
      </c>
      <c r="AP772" s="39" t="s">
        <v>2326</v>
      </c>
      <c r="AQ772"/>
      <c r="AR772" s="31">
        <f t="shared" si="445"/>
        <v>0</v>
      </c>
      <c r="AS772" s="255">
        <f t="shared" si="446"/>
        <v>0</v>
      </c>
      <c r="AT772" s="31">
        <f t="shared" si="447"/>
        <v>0</v>
      </c>
      <c r="AU772" s="255">
        <f t="shared" si="448"/>
        <v>0</v>
      </c>
      <c r="AV772" s="31">
        <f t="shared" si="449"/>
        <v>0</v>
      </c>
      <c r="AW772" s="31">
        <f t="shared" si="450"/>
        <v>0</v>
      </c>
      <c r="AX772" s="31">
        <f t="shared" si="451"/>
        <v>0.26666666666666666</v>
      </c>
      <c r="AY772" s="255">
        <f t="shared" si="452"/>
        <v>0.22666666666666666</v>
      </c>
      <c r="AZ772" s="232">
        <f t="shared" si="453"/>
        <v>0</v>
      </c>
      <c r="BA772" s="255">
        <f t="shared" si="454"/>
        <v>0</v>
      </c>
      <c r="BB772" s="31">
        <f t="shared" si="455"/>
        <v>0</v>
      </c>
      <c r="BC772" s="255">
        <f t="shared" si="456"/>
        <v>0</v>
      </c>
      <c r="BD772" s="31">
        <f t="shared" si="457"/>
        <v>0</v>
      </c>
      <c r="BE772" s="255">
        <f t="shared" si="458"/>
        <v>0</v>
      </c>
      <c r="BF772" s="31">
        <f t="shared" si="459"/>
        <v>0</v>
      </c>
      <c r="BG772" s="255">
        <f t="shared" si="460"/>
        <v>0</v>
      </c>
      <c r="BH772" s="31">
        <f t="shared" si="461"/>
        <v>0</v>
      </c>
      <c r="BI772" s="255">
        <f t="shared" si="462"/>
        <v>0</v>
      </c>
      <c r="BJ772" s="31">
        <f t="shared" si="463"/>
        <v>0</v>
      </c>
      <c r="BK772" s="31">
        <f t="shared" si="464"/>
        <v>0</v>
      </c>
      <c r="BL772" s="255">
        <f t="shared" si="465"/>
        <v>0</v>
      </c>
      <c r="BM772" s="31">
        <f t="shared" si="466"/>
        <v>0</v>
      </c>
      <c r="BN772" s="255">
        <f t="shared" si="467"/>
        <v>0</v>
      </c>
    </row>
    <row r="773" spans="1:66" x14ac:dyDescent="0.25">
      <c r="A773" s="18" t="s">
        <v>1689</v>
      </c>
      <c r="B773" s="186" t="str">
        <f>VLOOKUP(A773,kurspris!$A$1:$B$877,2,FALSE)</f>
        <v>Utbildningsvetenskap, undervisning och lärande - Ämneslärarprogrammet (UK)</v>
      </c>
      <c r="C773" s="37"/>
      <c r="D773" s="31" t="s">
        <v>483</v>
      </c>
      <c r="E773" s="31" t="s">
        <v>1973</v>
      </c>
      <c r="F773" s="59" t="s">
        <v>1931</v>
      </c>
      <c r="G773" s="31" t="s">
        <v>2274</v>
      </c>
      <c r="J773" t="s">
        <v>774</v>
      </c>
      <c r="L773" s="31">
        <v>100</v>
      </c>
      <c r="M773" s="31">
        <v>8</v>
      </c>
      <c r="P773" s="31">
        <v>3</v>
      </c>
      <c r="Q773" s="232">
        <f t="shared" si="440"/>
        <v>0.4</v>
      </c>
      <c r="R773" s="40">
        <v>0.85</v>
      </c>
      <c r="S773" s="334">
        <f t="shared" si="441"/>
        <v>0.34</v>
      </c>
      <c r="T773" s="31">
        <f>VLOOKUP(A773,'Ansvar kurs'!$A$1:$C$1010,2,FALSE)</f>
        <v>2180</v>
      </c>
      <c r="U773" s="31" t="str">
        <f>VLOOKUP(T773,Orgenheter!$A$1:$C$165,2,FALSE)</f>
        <v xml:space="preserve">Pedagogik                     </v>
      </c>
      <c r="V773" s="31" t="str">
        <f>VLOOKUP(T773,Orgenheter!$A$1:$C$165,3,FALSE)</f>
        <v>Sam</v>
      </c>
      <c r="W773" s="37" t="str">
        <f>VLOOKUP(D773,Program!$A$1:$B$34,2,FALSE)</f>
        <v>Ämneslärarprogrammet - Gy</v>
      </c>
      <c r="X773" s="42">
        <f>VLOOKUP(A773,kurspris!$A$1:$Q$798,15,FALSE)</f>
        <v>23641</v>
      </c>
      <c r="Y773" s="42">
        <f>VLOOKUP(A773,kurspris!$A$1:$Q$798,16,FALSE)</f>
        <v>28786</v>
      </c>
      <c r="Z773" s="42">
        <f t="shared" si="442"/>
        <v>19243.64</v>
      </c>
      <c r="AA773" s="42">
        <f>VLOOKUP(A773,kurspris!$A$1:$Q$798,17,FALSE)</f>
        <v>5800</v>
      </c>
      <c r="AB773" s="42">
        <f t="shared" si="443"/>
        <v>2320</v>
      </c>
      <c r="AC773" s="42">
        <f t="shared" si="444"/>
        <v>21563.64</v>
      </c>
      <c r="AD773" s="31">
        <f>VLOOKUP($A773,kurspris!$A$1:$Q$835,3,FALSE)</f>
        <v>0</v>
      </c>
      <c r="AE773" s="31">
        <f>VLOOKUP($A773,kurspris!$A$1:$Q$835,4,FALSE)</f>
        <v>0</v>
      </c>
      <c r="AF773" s="31">
        <f>VLOOKUP($A773,kurspris!$A$1:$Q$835,5,FALSE)</f>
        <v>0</v>
      </c>
      <c r="AG773" s="31">
        <f>VLOOKUP($A773,kurspris!$A$1:$Q$835,6,FALSE)</f>
        <v>1</v>
      </c>
      <c r="AH773" s="31">
        <f>VLOOKUP($A773,kurspris!$A$1:$Q$835,7,FALSE)</f>
        <v>0</v>
      </c>
      <c r="AI773" s="31">
        <f>VLOOKUP($A773,kurspris!$A$1:$Q$835,8,FALSE)</f>
        <v>0</v>
      </c>
      <c r="AJ773" s="31">
        <f>VLOOKUP($A773,kurspris!$A$1:$Q$835,9,FALSE)</f>
        <v>0</v>
      </c>
      <c r="AK773" s="31">
        <f>VLOOKUP($A773,kurspris!$A$1:$Q$835,10,FALSE)</f>
        <v>0</v>
      </c>
      <c r="AL773" s="31">
        <f>VLOOKUP($A773,kurspris!$A$1:$Q$835,11,FALSE)</f>
        <v>0</v>
      </c>
      <c r="AM773" s="31">
        <f>VLOOKUP($A773,kurspris!$A$1:$Q$835,12,FALSE)</f>
        <v>0</v>
      </c>
      <c r="AN773" s="31">
        <f>VLOOKUP($A773,kurspris!$A$1:$Q$835,13,FALSE)</f>
        <v>0</v>
      </c>
      <c r="AO773" s="31">
        <f>VLOOKUP($A773,kurspris!$A$1:$Q$835,14,FALSE)</f>
        <v>0</v>
      </c>
      <c r="AP773" s="39" t="s">
        <v>2326</v>
      </c>
      <c r="AQ773"/>
      <c r="AR773" s="31">
        <f t="shared" si="445"/>
        <v>0</v>
      </c>
      <c r="AS773" s="255">
        <f t="shared" si="446"/>
        <v>0</v>
      </c>
      <c r="AT773" s="31">
        <f t="shared" si="447"/>
        <v>0</v>
      </c>
      <c r="AU773" s="255">
        <f t="shared" si="448"/>
        <v>0</v>
      </c>
      <c r="AV773" s="31">
        <f t="shared" si="449"/>
        <v>0</v>
      </c>
      <c r="AW773" s="31">
        <f t="shared" si="450"/>
        <v>0</v>
      </c>
      <c r="AX773" s="31">
        <f t="shared" si="451"/>
        <v>0.4</v>
      </c>
      <c r="AY773" s="255">
        <f t="shared" si="452"/>
        <v>0.34</v>
      </c>
      <c r="AZ773" s="232">
        <f t="shared" si="453"/>
        <v>0</v>
      </c>
      <c r="BA773" s="255">
        <f t="shared" si="454"/>
        <v>0</v>
      </c>
      <c r="BB773" s="31">
        <f t="shared" si="455"/>
        <v>0</v>
      </c>
      <c r="BC773" s="255">
        <f t="shared" si="456"/>
        <v>0</v>
      </c>
      <c r="BD773" s="31">
        <f t="shared" si="457"/>
        <v>0</v>
      </c>
      <c r="BE773" s="255">
        <f t="shared" si="458"/>
        <v>0</v>
      </c>
      <c r="BF773" s="31">
        <f t="shared" si="459"/>
        <v>0</v>
      </c>
      <c r="BG773" s="255">
        <f t="shared" si="460"/>
        <v>0</v>
      </c>
      <c r="BH773" s="31">
        <f t="shared" si="461"/>
        <v>0</v>
      </c>
      <c r="BI773" s="255">
        <f t="shared" si="462"/>
        <v>0</v>
      </c>
      <c r="BJ773" s="31">
        <f t="shared" si="463"/>
        <v>0</v>
      </c>
      <c r="BK773" s="31">
        <f t="shared" si="464"/>
        <v>0</v>
      </c>
      <c r="BL773" s="255">
        <f t="shared" si="465"/>
        <v>0</v>
      </c>
      <c r="BM773" s="31">
        <f t="shared" si="466"/>
        <v>0</v>
      </c>
      <c r="BN773" s="255">
        <f t="shared" si="467"/>
        <v>0</v>
      </c>
    </row>
    <row r="774" spans="1:66" x14ac:dyDescent="0.25">
      <c r="A774" s="18" t="s">
        <v>1689</v>
      </c>
      <c r="B774" s="186" t="str">
        <f>VLOOKUP(A774,kurspris!$A$1:$B$877,2,FALSE)</f>
        <v>Utbildningsvetenskap, undervisning och lärande - Ämneslärarprogrammet (UK)</v>
      </c>
      <c r="C774" s="37"/>
      <c r="D774" s="31" t="s">
        <v>483</v>
      </c>
      <c r="E774" s="31" t="s">
        <v>1973</v>
      </c>
      <c r="F774" s="59" t="s">
        <v>1931</v>
      </c>
      <c r="G774" s="31" t="s">
        <v>2274</v>
      </c>
      <c r="J774" t="s">
        <v>775</v>
      </c>
      <c r="L774" s="31">
        <v>100</v>
      </c>
      <c r="M774" s="31">
        <v>8</v>
      </c>
      <c r="P774" s="31">
        <v>1</v>
      </c>
      <c r="Q774" s="232">
        <f t="shared" si="440"/>
        <v>0.13333333333333333</v>
      </c>
      <c r="R774" s="40">
        <v>0.85</v>
      </c>
      <c r="S774" s="334">
        <f t="shared" si="441"/>
        <v>0.11333333333333333</v>
      </c>
      <c r="T774" s="31">
        <f>VLOOKUP(A774,'Ansvar kurs'!$A$1:$C$1010,2,FALSE)</f>
        <v>2180</v>
      </c>
      <c r="U774" s="31" t="str">
        <f>VLOOKUP(T774,Orgenheter!$A$1:$C$165,2,FALSE)</f>
        <v xml:space="preserve">Pedagogik                     </v>
      </c>
      <c r="V774" s="31" t="str">
        <f>VLOOKUP(T774,Orgenheter!$A$1:$C$165,3,FALSE)</f>
        <v>Sam</v>
      </c>
      <c r="W774" s="37" t="str">
        <f>VLOOKUP(D774,Program!$A$1:$B$34,2,FALSE)</f>
        <v>Ämneslärarprogrammet - Gy</v>
      </c>
      <c r="X774" s="42">
        <f>VLOOKUP(A774,kurspris!$A$1:$Q$798,15,FALSE)</f>
        <v>23641</v>
      </c>
      <c r="Y774" s="42">
        <f>VLOOKUP(A774,kurspris!$A$1:$Q$798,16,FALSE)</f>
        <v>28786</v>
      </c>
      <c r="Z774" s="42">
        <f t="shared" si="442"/>
        <v>6414.5466666666662</v>
      </c>
      <c r="AA774" s="42">
        <f>VLOOKUP(A774,kurspris!$A$1:$Q$798,17,FALSE)</f>
        <v>5800</v>
      </c>
      <c r="AB774" s="42">
        <f t="shared" si="443"/>
        <v>773.33333333333337</v>
      </c>
      <c r="AC774" s="42">
        <f t="shared" si="444"/>
        <v>7187.8799999999992</v>
      </c>
      <c r="AD774" s="31">
        <f>VLOOKUP($A774,kurspris!$A$1:$Q$835,3,FALSE)</f>
        <v>0</v>
      </c>
      <c r="AE774" s="31">
        <f>VLOOKUP($A774,kurspris!$A$1:$Q$835,4,FALSE)</f>
        <v>0</v>
      </c>
      <c r="AF774" s="31">
        <f>VLOOKUP($A774,kurspris!$A$1:$Q$835,5,FALSE)</f>
        <v>0</v>
      </c>
      <c r="AG774" s="31">
        <f>VLOOKUP($A774,kurspris!$A$1:$Q$835,6,FALSE)</f>
        <v>1</v>
      </c>
      <c r="AH774" s="31">
        <f>VLOOKUP($A774,kurspris!$A$1:$Q$835,7,FALSE)</f>
        <v>0</v>
      </c>
      <c r="AI774" s="31">
        <f>VLOOKUP($A774,kurspris!$A$1:$Q$835,8,FALSE)</f>
        <v>0</v>
      </c>
      <c r="AJ774" s="31">
        <f>VLOOKUP($A774,kurspris!$A$1:$Q$835,9,FALSE)</f>
        <v>0</v>
      </c>
      <c r="AK774" s="31">
        <f>VLOOKUP($A774,kurspris!$A$1:$Q$835,10,FALSE)</f>
        <v>0</v>
      </c>
      <c r="AL774" s="31">
        <f>VLOOKUP($A774,kurspris!$A$1:$Q$835,11,FALSE)</f>
        <v>0</v>
      </c>
      <c r="AM774" s="31">
        <f>VLOOKUP($A774,kurspris!$A$1:$Q$835,12,FALSE)</f>
        <v>0</v>
      </c>
      <c r="AN774" s="31">
        <f>VLOOKUP($A774,kurspris!$A$1:$Q$835,13,FALSE)</f>
        <v>0</v>
      </c>
      <c r="AO774" s="31">
        <f>VLOOKUP($A774,kurspris!$A$1:$Q$835,14,FALSE)</f>
        <v>0</v>
      </c>
      <c r="AP774" s="39" t="s">
        <v>2326</v>
      </c>
      <c r="AQ774"/>
      <c r="AR774" s="31">
        <f t="shared" si="445"/>
        <v>0</v>
      </c>
      <c r="AS774" s="255">
        <f t="shared" si="446"/>
        <v>0</v>
      </c>
      <c r="AT774" s="31">
        <f t="shared" si="447"/>
        <v>0</v>
      </c>
      <c r="AU774" s="255">
        <f t="shared" si="448"/>
        <v>0</v>
      </c>
      <c r="AV774" s="31">
        <f t="shared" si="449"/>
        <v>0</v>
      </c>
      <c r="AW774" s="31">
        <f t="shared" si="450"/>
        <v>0</v>
      </c>
      <c r="AX774" s="31">
        <f t="shared" si="451"/>
        <v>0.13333333333333333</v>
      </c>
      <c r="AY774" s="255">
        <f t="shared" si="452"/>
        <v>0.11333333333333333</v>
      </c>
      <c r="AZ774" s="232">
        <f t="shared" si="453"/>
        <v>0</v>
      </c>
      <c r="BA774" s="255">
        <f t="shared" si="454"/>
        <v>0</v>
      </c>
      <c r="BB774" s="31">
        <f t="shared" si="455"/>
        <v>0</v>
      </c>
      <c r="BC774" s="255">
        <f t="shared" si="456"/>
        <v>0</v>
      </c>
      <c r="BD774" s="31">
        <f t="shared" si="457"/>
        <v>0</v>
      </c>
      <c r="BE774" s="255">
        <f t="shared" si="458"/>
        <v>0</v>
      </c>
      <c r="BF774" s="31">
        <f t="shared" si="459"/>
        <v>0</v>
      </c>
      <c r="BG774" s="255">
        <f t="shared" si="460"/>
        <v>0</v>
      </c>
      <c r="BH774" s="31">
        <f t="shared" si="461"/>
        <v>0</v>
      </c>
      <c r="BI774" s="255">
        <f t="shared" si="462"/>
        <v>0</v>
      </c>
      <c r="BJ774" s="31">
        <f t="shared" si="463"/>
        <v>0</v>
      </c>
      <c r="BK774" s="31">
        <f t="shared" si="464"/>
        <v>0</v>
      </c>
      <c r="BL774" s="255">
        <f t="shared" si="465"/>
        <v>0</v>
      </c>
      <c r="BM774" s="31">
        <f t="shared" si="466"/>
        <v>0</v>
      </c>
      <c r="BN774" s="255">
        <f t="shared" si="467"/>
        <v>0</v>
      </c>
    </row>
    <row r="775" spans="1:66" x14ac:dyDescent="0.25">
      <c r="A775" s="18" t="s">
        <v>1689</v>
      </c>
      <c r="B775" s="186" t="str">
        <f>VLOOKUP(A775,kurspris!$A$1:$B$877,2,FALSE)</f>
        <v>Utbildningsvetenskap, undervisning och lärande - Ämneslärarprogrammet (UK)</v>
      </c>
      <c r="C775" s="37"/>
      <c r="D775" s="31" t="s">
        <v>483</v>
      </c>
      <c r="E775" s="31" t="s">
        <v>1973</v>
      </c>
      <c r="F775" s="59" t="s">
        <v>1931</v>
      </c>
      <c r="G775" s="31" t="s">
        <v>2274</v>
      </c>
      <c r="J775" t="s">
        <v>776</v>
      </c>
      <c r="L775" s="31">
        <v>100</v>
      </c>
      <c r="M775" s="31">
        <v>8</v>
      </c>
      <c r="P775" s="31">
        <v>1</v>
      </c>
      <c r="Q775" s="232">
        <f t="shared" si="440"/>
        <v>0.13333333333333333</v>
      </c>
      <c r="R775" s="40">
        <v>0.85</v>
      </c>
      <c r="S775" s="334">
        <f t="shared" si="441"/>
        <v>0.11333333333333333</v>
      </c>
      <c r="T775" s="31">
        <f>VLOOKUP(A775,'Ansvar kurs'!$A$1:$C$1010,2,FALSE)</f>
        <v>2180</v>
      </c>
      <c r="U775" s="31" t="str">
        <f>VLOOKUP(T775,Orgenheter!$A$1:$C$165,2,FALSE)</f>
        <v xml:space="preserve">Pedagogik                     </v>
      </c>
      <c r="V775" s="31" t="str">
        <f>VLOOKUP(T775,Orgenheter!$A$1:$C$165,3,FALSE)</f>
        <v>Sam</v>
      </c>
      <c r="W775" s="37" t="str">
        <f>VLOOKUP(D775,Program!$A$1:$B$34,2,FALSE)</f>
        <v>Ämneslärarprogrammet - Gy</v>
      </c>
      <c r="X775" s="42">
        <f>VLOOKUP(A775,kurspris!$A$1:$Q$798,15,FALSE)</f>
        <v>23641</v>
      </c>
      <c r="Y775" s="42">
        <f>VLOOKUP(A775,kurspris!$A$1:$Q$798,16,FALSE)</f>
        <v>28786</v>
      </c>
      <c r="Z775" s="42">
        <f t="shared" si="442"/>
        <v>6414.5466666666662</v>
      </c>
      <c r="AA775" s="42">
        <f>VLOOKUP(A775,kurspris!$A$1:$Q$798,17,FALSE)</f>
        <v>5800</v>
      </c>
      <c r="AB775" s="42">
        <f t="shared" si="443"/>
        <v>773.33333333333337</v>
      </c>
      <c r="AC775" s="42">
        <f t="shared" si="444"/>
        <v>7187.8799999999992</v>
      </c>
      <c r="AD775" s="31">
        <f>VLOOKUP($A775,kurspris!$A$1:$Q$835,3,FALSE)</f>
        <v>0</v>
      </c>
      <c r="AE775" s="31">
        <f>VLOOKUP($A775,kurspris!$A$1:$Q$835,4,FALSE)</f>
        <v>0</v>
      </c>
      <c r="AF775" s="31">
        <f>VLOOKUP($A775,kurspris!$A$1:$Q$835,5,FALSE)</f>
        <v>0</v>
      </c>
      <c r="AG775" s="31">
        <f>VLOOKUP($A775,kurspris!$A$1:$Q$835,6,FALSE)</f>
        <v>1</v>
      </c>
      <c r="AH775" s="31">
        <f>VLOOKUP($A775,kurspris!$A$1:$Q$835,7,FALSE)</f>
        <v>0</v>
      </c>
      <c r="AI775" s="31">
        <f>VLOOKUP($A775,kurspris!$A$1:$Q$835,8,FALSE)</f>
        <v>0</v>
      </c>
      <c r="AJ775" s="31">
        <f>VLOOKUP($A775,kurspris!$A$1:$Q$835,9,FALSE)</f>
        <v>0</v>
      </c>
      <c r="AK775" s="31">
        <f>VLOOKUP($A775,kurspris!$A$1:$Q$835,10,FALSE)</f>
        <v>0</v>
      </c>
      <c r="AL775" s="31">
        <f>VLOOKUP($A775,kurspris!$A$1:$Q$835,11,FALSE)</f>
        <v>0</v>
      </c>
      <c r="AM775" s="31">
        <f>VLOOKUP($A775,kurspris!$A$1:$Q$835,12,FALSE)</f>
        <v>0</v>
      </c>
      <c r="AN775" s="31">
        <f>VLOOKUP($A775,kurspris!$A$1:$Q$835,13,FALSE)</f>
        <v>0</v>
      </c>
      <c r="AO775" s="31">
        <f>VLOOKUP($A775,kurspris!$A$1:$Q$835,14,FALSE)</f>
        <v>0</v>
      </c>
      <c r="AP775" s="39" t="s">
        <v>2326</v>
      </c>
      <c r="AQ775"/>
      <c r="AR775" s="31">
        <f t="shared" si="445"/>
        <v>0</v>
      </c>
      <c r="AS775" s="255">
        <f t="shared" si="446"/>
        <v>0</v>
      </c>
      <c r="AT775" s="31">
        <f t="shared" si="447"/>
        <v>0</v>
      </c>
      <c r="AU775" s="255">
        <f t="shared" si="448"/>
        <v>0</v>
      </c>
      <c r="AV775" s="31">
        <f t="shared" si="449"/>
        <v>0</v>
      </c>
      <c r="AW775" s="31">
        <f t="shared" si="450"/>
        <v>0</v>
      </c>
      <c r="AX775" s="31">
        <f t="shared" si="451"/>
        <v>0.13333333333333333</v>
      </c>
      <c r="AY775" s="255">
        <f t="shared" si="452"/>
        <v>0.11333333333333333</v>
      </c>
      <c r="AZ775" s="232">
        <f t="shared" si="453"/>
        <v>0</v>
      </c>
      <c r="BA775" s="255">
        <f t="shared" si="454"/>
        <v>0</v>
      </c>
      <c r="BB775" s="31">
        <f t="shared" si="455"/>
        <v>0</v>
      </c>
      <c r="BC775" s="255">
        <f t="shared" si="456"/>
        <v>0</v>
      </c>
      <c r="BD775" s="31">
        <f t="shared" si="457"/>
        <v>0</v>
      </c>
      <c r="BE775" s="255">
        <f t="shared" si="458"/>
        <v>0</v>
      </c>
      <c r="BF775" s="31">
        <f t="shared" si="459"/>
        <v>0</v>
      </c>
      <c r="BG775" s="255">
        <f t="shared" si="460"/>
        <v>0</v>
      </c>
      <c r="BH775" s="31">
        <f t="shared" si="461"/>
        <v>0</v>
      </c>
      <c r="BI775" s="255">
        <f t="shared" si="462"/>
        <v>0</v>
      </c>
      <c r="BJ775" s="31">
        <f t="shared" si="463"/>
        <v>0</v>
      </c>
      <c r="BK775" s="31">
        <f t="shared" si="464"/>
        <v>0</v>
      </c>
      <c r="BL775" s="255">
        <f t="shared" si="465"/>
        <v>0</v>
      </c>
      <c r="BM775" s="31">
        <f t="shared" si="466"/>
        <v>0</v>
      </c>
      <c r="BN775" s="255">
        <f t="shared" si="467"/>
        <v>0</v>
      </c>
    </row>
    <row r="776" spans="1:66" x14ac:dyDescent="0.25">
      <c r="A776" s="18" t="s">
        <v>1689</v>
      </c>
      <c r="B776" s="186" t="str">
        <f>VLOOKUP(A776,kurspris!$A$1:$B$877,2,FALSE)</f>
        <v>Utbildningsvetenskap, undervisning och lärande - Ämneslärarprogrammet (UK)</v>
      </c>
      <c r="C776" s="37"/>
      <c r="D776" s="31" t="s">
        <v>483</v>
      </c>
      <c r="E776" s="31" t="s">
        <v>1973</v>
      </c>
      <c r="F776" s="59" t="s">
        <v>1931</v>
      </c>
      <c r="G776" s="31" t="s">
        <v>2274</v>
      </c>
      <c r="J776" t="s">
        <v>777</v>
      </c>
      <c r="L776" s="31">
        <v>100</v>
      </c>
      <c r="M776" s="31">
        <v>8</v>
      </c>
      <c r="P776" s="31">
        <v>1</v>
      </c>
      <c r="Q776" s="232">
        <f t="shared" si="440"/>
        <v>0.13333333333333333</v>
      </c>
      <c r="R776" s="40">
        <v>0.85</v>
      </c>
      <c r="S776" s="334">
        <f t="shared" si="441"/>
        <v>0.11333333333333333</v>
      </c>
      <c r="T776" s="31">
        <f>VLOOKUP(A776,'Ansvar kurs'!$A$1:$C$1010,2,FALSE)</f>
        <v>2180</v>
      </c>
      <c r="U776" s="31" t="str">
        <f>VLOOKUP(T776,Orgenheter!$A$1:$C$165,2,FALSE)</f>
        <v xml:space="preserve">Pedagogik                     </v>
      </c>
      <c r="V776" s="31" t="str">
        <f>VLOOKUP(T776,Orgenheter!$A$1:$C$165,3,FALSE)</f>
        <v>Sam</v>
      </c>
      <c r="W776" s="37" t="str">
        <f>VLOOKUP(D776,Program!$A$1:$B$34,2,FALSE)</f>
        <v>Ämneslärarprogrammet - Gy</v>
      </c>
      <c r="X776" s="42">
        <f>VLOOKUP(A776,kurspris!$A$1:$Q$798,15,FALSE)</f>
        <v>23641</v>
      </c>
      <c r="Y776" s="42">
        <f>VLOOKUP(A776,kurspris!$A$1:$Q$798,16,FALSE)</f>
        <v>28786</v>
      </c>
      <c r="Z776" s="42">
        <f t="shared" si="442"/>
        <v>6414.5466666666662</v>
      </c>
      <c r="AA776" s="42">
        <f>VLOOKUP(A776,kurspris!$A$1:$Q$798,17,FALSE)</f>
        <v>5800</v>
      </c>
      <c r="AB776" s="42">
        <f t="shared" si="443"/>
        <v>773.33333333333337</v>
      </c>
      <c r="AC776" s="42">
        <f t="shared" si="444"/>
        <v>7187.8799999999992</v>
      </c>
      <c r="AD776" s="31">
        <f>VLOOKUP($A776,kurspris!$A$1:$Q$835,3,FALSE)</f>
        <v>0</v>
      </c>
      <c r="AE776" s="31">
        <f>VLOOKUP($A776,kurspris!$A$1:$Q$835,4,FALSE)</f>
        <v>0</v>
      </c>
      <c r="AF776" s="31">
        <f>VLOOKUP($A776,kurspris!$A$1:$Q$835,5,FALSE)</f>
        <v>0</v>
      </c>
      <c r="AG776" s="31">
        <f>VLOOKUP($A776,kurspris!$A$1:$Q$835,6,FALSE)</f>
        <v>1</v>
      </c>
      <c r="AH776" s="31">
        <f>VLOOKUP($A776,kurspris!$A$1:$Q$835,7,FALSE)</f>
        <v>0</v>
      </c>
      <c r="AI776" s="31">
        <f>VLOOKUP($A776,kurspris!$A$1:$Q$835,8,FALSE)</f>
        <v>0</v>
      </c>
      <c r="AJ776" s="31">
        <f>VLOOKUP($A776,kurspris!$A$1:$Q$835,9,FALSE)</f>
        <v>0</v>
      </c>
      <c r="AK776" s="31">
        <f>VLOOKUP($A776,kurspris!$A$1:$Q$835,10,FALSE)</f>
        <v>0</v>
      </c>
      <c r="AL776" s="31">
        <f>VLOOKUP($A776,kurspris!$A$1:$Q$835,11,FALSE)</f>
        <v>0</v>
      </c>
      <c r="AM776" s="31">
        <f>VLOOKUP($A776,kurspris!$A$1:$Q$835,12,FALSE)</f>
        <v>0</v>
      </c>
      <c r="AN776" s="31">
        <f>VLOOKUP($A776,kurspris!$A$1:$Q$835,13,FALSE)</f>
        <v>0</v>
      </c>
      <c r="AO776" s="31">
        <f>VLOOKUP($A776,kurspris!$A$1:$Q$835,14,FALSE)</f>
        <v>0</v>
      </c>
      <c r="AP776" s="39" t="s">
        <v>2326</v>
      </c>
      <c r="AQ776"/>
      <c r="AR776" s="31">
        <f t="shared" si="445"/>
        <v>0</v>
      </c>
      <c r="AS776" s="255">
        <f t="shared" si="446"/>
        <v>0</v>
      </c>
      <c r="AT776" s="31">
        <f t="shared" si="447"/>
        <v>0</v>
      </c>
      <c r="AU776" s="255">
        <f t="shared" si="448"/>
        <v>0</v>
      </c>
      <c r="AV776" s="31">
        <f t="shared" si="449"/>
        <v>0</v>
      </c>
      <c r="AW776" s="31">
        <f t="shared" si="450"/>
        <v>0</v>
      </c>
      <c r="AX776" s="31">
        <f t="shared" si="451"/>
        <v>0.13333333333333333</v>
      </c>
      <c r="AY776" s="255">
        <f t="shared" si="452"/>
        <v>0.11333333333333333</v>
      </c>
      <c r="AZ776" s="232">
        <f t="shared" si="453"/>
        <v>0</v>
      </c>
      <c r="BA776" s="255">
        <f t="shared" si="454"/>
        <v>0</v>
      </c>
      <c r="BB776" s="31">
        <f t="shared" si="455"/>
        <v>0</v>
      </c>
      <c r="BC776" s="255">
        <f t="shared" si="456"/>
        <v>0</v>
      </c>
      <c r="BD776" s="31">
        <f t="shared" si="457"/>
        <v>0</v>
      </c>
      <c r="BE776" s="255">
        <f t="shared" si="458"/>
        <v>0</v>
      </c>
      <c r="BF776" s="31">
        <f t="shared" si="459"/>
        <v>0</v>
      </c>
      <c r="BG776" s="255">
        <f t="shared" si="460"/>
        <v>0</v>
      </c>
      <c r="BH776" s="31">
        <f t="shared" si="461"/>
        <v>0</v>
      </c>
      <c r="BI776" s="255">
        <f t="shared" si="462"/>
        <v>0</v>
      </c>
      <c r="BJ776" s="31">
        <f t="shared" si="463"/>
        <v>0</v>
      </c>
      <c r="BK776" s="31">
        <f t="shared" si="464"/>
        <v>0</v>
      </c>
      <c r="BL776" s="255">
        <f t="shared" si="465"/>
        <v>0</v>
      </c>
      <c r="BM776" s="31">
        <f t="shared" si="466"/>
        <v>0</v>
      </c>
      <c r="BN776" s="255">
        <f t="shared" si="467"/>
        <v>0</v>
      </c>
    </row>
    <row r="777" spans="1:66" x14ac:dyDescent="0.25">
      <c r="A777" s="18" t="s">
        <v>1689</v>
      </c>
      <c r="B777" s="186" t="str">
        <f>VLOOKUP(A777,kurspris!$A$1:$B$877,2,FALSE)</f>
        <v>Utbildningsvetenskap, undervisning och lärande - Ämneslärarprogrammet (UK)</v>
      </c>
      <c r="C777" s="37"/>
      <c r="D777" s="31" t="s">
        <v>483</v>
      </c>
      <c r="E777" s="31" t="s">
        <v>1609</v>
      </c>
      <c r="F777" s="59" t="s">
        <v>1931</v>
      </c>
      <c r="G777" s="31" t="s">
        <v>2274</v>
      </c>
      <c r="J777" t="s">
        <v>1591</v>
      </c>
      <c r="L777" s="31">
        <v>100</v>
      </c>
      <c r="M777" s="31">
        <v>8</v>
      </c>
      <c r="P777" s="31">
        <v>1</v>
      </c>
      <c r="Q777" s="232">
        <f t="shared" si="440"/>
        <v>0.13333333333333333</v>
      </c>
      <c r="R777" s="40">
        <v>0.85</v>
      </c>
      <c r="S777" s="334">
        <f t="shared" si="441"/>
        <v>0.11333333333333333</v>
      </c>
      <c r="T777" s="31">
        <f>VLOOKUP(A777,'Ansvar kurs'!$A$1:$C$1010,2,FALSE)</f>
        <v>2180</v>
      </c>
      <c r="U777" s="31" t="str">
        <f>VLOOKUP(T777,Orgenheter!$A$1:$C$165,2,FALSE)</f>
        <v xml:space="preserve">Pedagogik                     </v>
      </c>
      <c r="V777" s="31" t="str">
        <f>VLOOKUP(T777,Orgenheter!$A$1:$C$165,3,FALSE)</f>
        <v>Sam</v>
      </c>
      <c r="W777" s="37" t="str">
        <f>VLOOKUP(D777,Program!$A$1:$B$34,2,FALSE)</f>
        <v>Ämneslärarprogrammet - Gy</v>
      </c>
      <c r="X777" s="42">
        <f>VLOOKUP(A777,kurspris!$A$1:$Q$798,15,FALSE)</f>
        <v>23641</v>
      </c>
      <c r="Y777" s="42">
        <f>VLOOKUP(A777,kurspris!$A$1:$Q$798,16,FALSE)</f>
        <v>28786</v>
      </c>
      <c r="Z777" s="42">
        <f t="shared" si="442"/>
        <v>6414.5466666666662</v>
      </c>
      <c r="AA777" s="42">
        <f>VLOOKUP(A777,kurspris!$A$1:$Q$798,17,FALSE)</f>
        <v>5800</v>
      </c>
      <c r="AB777" s="42">
        <f t="shared" si="443"/>
        <v>773.33333333333337</v>
      </c>
      <c r="AC777" s="42">
        <f t="shared" si="444"/>
        <v>7187.8799999999992</v>
      </c>
      <c r="AD777" s="31">
        <f>VLOOKUP($A777,kurspris!$A$1:$Q$835,3,FALSE)</f>
        <v>0</v>
      </c>
      <c r="AE777" s="31">
        <f>VLOOKUP($A777,kurspris!$A$1:$Q$835,4,FALSE)</f>
        <v>0</v>
      </c>
      <c r="AF777" s="31">
        <f>VLOOKUP($A777,kurspris!$A$1:$Q$835,5,FALSE)</f>
        <v>0</v>
      </c>
      <c r="AG777" s="31">
        <f>VLOOKUP($A777,kurspris!$A$1:$Q$835,6,FALSE)</f>
        <v>1</v>
      </c>
      <c r="AH777" s="31">
        <f>VLOOKUP($A777,kurspris!$A$1:$Q$835,7,FALSE)</f>
        <v>0</v>
      </c>
      <c r="AI777" s="31">
        <f>VLOOKUP($A777,kurspris!$A$1:$Q$835,8,FALSE)</f>
        <v>0</v>
      </c>
      <c r="AJ777" s="31">
        <f>VLOOKUP($A777,kurspris!$A$1:$Q$835,9,FALSE)</f>
        <v>0</v>
      </c>
      <c r="AK777" s="31">
        <f>VLOOKUP($A777,kurspris!$A$1:$Q$835,10,FALSE)</f>
        <v>0</v>
      </c>
      <c r="AL777" s="31">
        <f>VLOOKUP($A777,kurspris!$A$1:$Q$835,11,FALSE)</f>
        <v>0</v>
      </c>
      <c r="AM777" s="31">
        <f>VLOOKUP($A777,kurspris!$A$1:$Q$835,12,FALSE)</f>
        <v>0</v>
      </c>
      <c r="AN777" s="31">
        <f>VLOOKUP($A777,kurspris!$A$1:$Q$835,13,FALSE)</f>
        <v>0</v>
      </c>
      <c r="AO777" s="31">
        <f>VLOOKUP($A777,kurspris!$A$1:$Q$835,14,FALSE)</f>
        <v>0</v>
      </c>
      <c r="AP777" s="39" t="s">
        <v>2326</v>
      </c>
      <c r="AQ777"/>
      <c r="AR777" s="31">
        <f t="shared" si="445"/>
        <v>0</v>
      </c>
      <c r="AS777" s="255">
        <f t="shared" si="446"/>
        <v>0</v>
      </c>
      <c r="AT777" s="31">
        <f t="shared" si="447"/>
        <v>0</v>
      </c>
      <c r="AU777" s="255">
        <f t="shared" si="448"/>
        <v>0</v>
      </c>
      <c r="AV777" s="31">
        <f t="shared" si="449"/>
        <v>0</v>
      </c>
      <c r="AW777" s="31">
        <f t="shared" si="450"/>
        <v>0</v>
      </c>
      <c r="AX777" s="31">
        <f t="shared" si="451"/>
        <v>0.13333333333333333</v>
      </c>
      <c r="AY777" s="255">
        <f t="shared" si="452"/>
        <v>0.11333333333333333</v>
      </c>
      <c r="AZ777" s="232">
        <f t="shared" si="453"/>
        <v>0</v>
      </c>
      <c r="BA777" s="255">
        <f t="shared" si="454"/>
        <v>0</v>
      </c>
      <c r="BB777" s="31">
        <f t="shared" si="455"/>
        <v>0</v>
      </c>
      <c r="BC777" s="255">
        <f t="shared" si="456"/>
        <v>0</v>
      </c>
      <c r="BD777" s="31">
        <f t="shared" si="457"/>
        <v>0</v>
      </c>
      <c r="BE777" s="255">
        <f t="shared" si="458"/>
        <v>0</v>
      </c>
      <c r="BF777" s="31">
        <f t="shared" si="459"/>
        <v>0</v>
      </c>
      <c r="BG777" s="255">
        <f t="shared" si="460"/>
        <v>0</v>
      </c>
      <c r="BH777" s="31">
        <f t="shared" si="461"/>
        <v>0</v>
      </c>
      <c r="BI777" s="255">
        <f t="shared" si="462"/>
        <v>0</v>
      </c>
      <c r="BJ777" s="31">
        <f t="shared" si="463"/>
        <v>0</v>
      </c>
      <c r="BK777" s="31">
        <f t="shared" si="464"/>
        <v>0</v>
      </c>
      <c r="BL777" s="255">
        <f t="shared" si="465"/>
        <v>0</v>
      </c>
      <c r="BM777" s="31">
        <f t="shared" si="466"/>
        <v>0</v>
      </c>
      <c r="BN777" s="255">
        <f t="shared" si="467"/>
        <v>0</v>
      </c>
    </row>
    <row r="778" spans="1:66" x14ac:dyDescent="0.25">
      <c r="A778" s="18" t="s">
        <v>1689</v>
      </c>
      <c r="B778" s="186" t="str">
        <f>VLOOKUP(A778,kurspris!$A$1:$B$877,2,FALSE)</f>
        <v>Utbildningsvetenskap, undervisning och lärande - Ämneslärarprogrammet (UK)</v>
      </c>
      <c r="C778" s="37"/>
      <c r="D778" s="31" t="s">
        <v>483</v>
      </c>
      <c r="E778" s="31" t="s">
        <v>1609</v>
      </c>
      <c r="F778" s="59" t="s">
        <v>1931</v>
      </c>
      <c r="G778" s="31" t="s">
        <v>2274</v>
      </c>
      <c r="J778" t="s">
        <v>771</v>
      </c>
      <c r="L778" s="31">
        <v>100</v>
      </c>
      <c r="M778" s="31">
        <v>8</v>
      </c>
      <c r="P778" s="31">
        <v>15</v>
      </c>
      <c r="Q778" s="232">
        <f t="shared" si="440"/>
        <v>2</v>
      </c>
      <c r="R778" s="40">
        <v>0.85</v>
      </c>
      <c r="S778" s="334">
        <f t="shared" si="441"/>
        <v>1.7</v>
      </c>
      <c r="T778" s="31">
        <f>VLOOKUP(A778,'Ansvar kurs'!$A$1:$C$1010,2,FALSE)</f>
        <v>2180</v>
      </c>
      <c r="U778" s="31" t="str">
        <f>VLOOKUP(T778,Orgenheter!$A$1:$C$165,2,FALSE)</f>
        <v xml:space="preserve">Pedagogik                     </v>
      </c>
      <c r="V778" s="31" t="str">
        <f>VLOOKUP(T778,Orgenheter!$A$1:$C$165,3,FALSE)</f>
        <v>Sam</v>
      </c>
      <c r="W778" s="37" t="str">
        <f>VLOOKUP(D778,Program!$A$1:$B$34,2,FALSE)</f>
        <v>Ämneslärarprogrammet - Gy</v>
      </c>
      <c r="X778" s="42">
        <f>VLOOKUP(A778,kurspris!$A$1:$Q$798,15,FALSE)</f>
        <v>23641</v>
      </c>
      <c r="Y778" s="42">
        <f>VLOOKUP(A778,kurspris!$A$1:$Q$798,16,FALSE)</f>
        <v>28786</v>
      </c>
      <c r="Z778" s="42">
        <f t="shared" si="442"/>
        <v>96218.2</v>
      </c>
      <c r="AA778" s="42">
        <f>VLOOKUP(A778,kurspris!$A$1:$Q$798,17,FALSE)</f>
        <v>5800</v>
      </c>
      <c r="AB778" s="42">
        <f t="shared" si="443"/>
        <v>11600</v>
      </c>
      <c r="AC778" s="42">
        <f t="shared" si="444"/>
        <v>107818.2</v>
      </c>
      <c r="AD778" s="31">
        <f>VLOOKUP($A778,kurspris!$A$1:$Q$835,3,FALSE)</f>
        <v>0</v>
      </c>
      <c r="AE778" s="31">
        <f>VLOOKUP($A778,kurspris!$A$1:$Q$835,4,FALSE)</f>
        <v>0</v>
      </c>
      <c r="AF778" s="31">
        <f>VLOOKUP($A778,kurspris!$A$1:$Q$835,5,FALSE)</f>
        <v>0</v>
      </c>
      <c r="AG778" s="31">
        <f>VLOOKUP($A778,kurspris!$A$1:$Q$835,6,FALSE)</f>
        <v>1</v>
      </c>
      <c r="AH778" s="31">
        <f>VLOOKUP($A778,kurspris!$A$1:$Q$835,7,FALSE)</f>
        <v>0</v>
      </c>
      <c r="AI778" s="31">
        <f>VLOOKUP($A778,kurspris!$A$1:$Q$835,8,FALSE)</f>
        <v>0</v>
      </c>
      <c r="AJ778" s="31">
        <f>VLOOKUP($A778,kurspris!$A$1:$Q$835,9,FALSE)</f>
        <v>0</v>
      </c>
      <c r="AK778" s="31">
        <f>VLOOKUP($A778,kurspris!$A$1:$Q$835,10,FALSE)</f>
        <v>0</v>
      </c>
      <c r="AL778" s="31">
        <f>VLOOKUP($A778,kurspris!$A$1:$Q$835,11,FALSE)</f>
        <v>0</v>
      </c>
      <c r="AM778" s="31">
        <f>VLOOKUP($A778,kurspris!$A$1:$Q$835,12,FALSE)</f>
        <v>0</v>
      </c>
      <c r="AN778" s="31">
        <f>VLOOKUP($A778,kurspris!$A$1:$Q$835,13,FALSE)</f>
        <v>0</v>
      </c>
      <c r="AO778" s="31">
        <f>VLOOKUP($A778,kurspris!$A$1:$Q$835,14,FALSE)</f>
        <v>0</v>
      </c>
      <c r="AP778" s="39" t="s">
        <v>2326</v>
      </c>
      <c r="AQ778"/>
      <c r="AR778" s="31">
        <f t="shared" si="445"/>
        <v>0</v>
      </c>
      <c r="AS778" s="255">
        <f t="shared" si="446"/>
        <v>0</v>
      </c>
      <c r="AT778" s="31">
        <f t="shared" si="447"/>
        <v>0</v>
      </c>
      <c r="AU778" s="255">
        <f t="shared" si="448"/>
        <v>0</v>
      </c>
      <c r="AV778" s="31">
        <f t="shared" si="449"/>
        <v>0</v>
      </c>
      <c r="AW778" s="31">
        <f t="shared" si="450"/>
        <v>0</v>
      </c>
      <c r="AX778" s="31">
        <f t="shared" si="451"/>
        <v>2</v>
      </c>
      <c r="AY778" s="255">
        <f t="shared" si="452"/>
        <v>1.7</v>
      </c>
      <c r="AZ778" s="232">
        <f t="shared" si="453"/>
        <v>0</v>
      </c>
      <c r="BA778" s="255">
        <f t="shared" si="454"/>
        <v>0</v>
      </c>
      <c r="BB778" s="31">
        <f t="shared" si="455"/>
        <v>0</v>
      </c>
      <c r="BC778" s="255">
        <f t="shared" si="456"/>
        <v>0</v>
      </c>
      <c r="BD778" s="31">
        <f t="shared" si="457"/>
        <v>0</v>
      </c>
      <c r="BE778" s="255">
        <f t="shared" si="458"/>
        <v>0</v>
      </c>
      <c r="BF778" s="31">
        <f t="shared" si="459"/>
        <v>0</v>
      </c>
      <c r="BG778" s="255">
        <f t="shared" si="460"/>
        <v>0</v>
      </c>
      <c r="BH778" s="31">
        <f t="shared" si="461"/>
        <v>0</v>
      </c>
      <c r="BI778" s="255">
        <f t="shared" si="462"/>
        <v>0</v>
      </c>
      <c r="BJ778" s="31">
        <f t="shared" si="463"/>
        <v>0</v>
      </c>
      <c r="BK778" s="31">
        <f t="shared" si="464"/>
        <v>0</v>
      </c>
      <c r="BL778" s="255">
        <f t="shared" si="465"/>
        <v>0</v>
      </c>
      <c r="BM778" s="31">
        <f t="shared" si="466"/>
        <v>0</v>
      </c>
      <c r="BN778" s="255">
        <f t="shared" si="467"/>
        <v>0</v>
      </c>
    </row>
    <row r="779" spans="1:66" x14ac:dyDescent="0.25">
      <c r="A779" s="18" t="s">
        <v>1689</v>
      </c>
      <c r="B779" s="186" t="str">
        <f>VLOOKUP(A779,kurspris!$A$1:$B$877,2,FALSE)</f>
        <v>Utbildningsvetenskap, undervisning och lärande - Ämneslärarprogrammet (UK)</v>
      </c>
      <c r="C779" s="37"/>
      <c r="D779" s="31" t="s">
        <v>483</v>
      </c>
      <c r="E779" s="31" t="s">
        <v>1609</v>
      </c>
      <c r="F779" s="59" t="s">
        <v>1931</v>
      </c>
      <c r="G779" s="31" t="s">
        <v>2274</v>
      </c>
      <c r="J779" t="s">
        <v>772</v>
      </c>
      <c r="L779" s="31">
        <v>100</v>
      </c>
      <c r="M779" s="31">
        <v>8</v>
      </c>
      <c r="P779" s="31">
        <v>14</v>
      </c>
      <c r="Q779" s="232">
        <f t="shared" si="440"/>
        <v>1.8666666666666667</v>
      </c>
      <c r="R779" s="40">
        <v>0.85</v>
      </c>
      <c r="S779" s="334">
        <f t="shared" si="441"/>
        <v>1.5866666666666667</v>
      </c>
      <c r="T779" s="31">
        <f>VLOOKUP(A779,'Ansvar kurs'!$A$1:$C$1010,2,FALSE)</f>
        <v>2180</v>
      </c>
      <c r="U779" s="31" t="str">
        <f>VLOOKUP(T779,Orgenheter!$A$1:$C$165,2,FALSE)</f>
        <v xml:space="preserve">Pedagogik                     </v>
      </c>
      <c r="V779" s="31" t="str">
        <f>VLOOKUP(T779,Orgenheter!$A$1:$C$165,3,FALSE)</f>
        <v>Sam</v>
      </c>
      <c r="W779" s="37" t="str">
        <f>VLOOKUP(D779,Program!$A$1:$B$34,2,FALSE)</f>
        <v>Ämneslärarprogrammet - Gy</v>
      </c>
      <c r="X779" s="42">
        <f>VLOOKUP(A779,kurspris!$A$1:$Q$798,15,FALSE)</f>
        <v>23641</v>
      </c>
      <c r="Y779" s="42">
        <f>VLOOKUP(A779,kurspris!$A$1:$Q$798,16,FALSE)</f>
        <v>28786</v>
      </c>
      <c r="Z779" s="42">
        <f t="shared" si="442"/>
        <v>89803.653333333335</v>
      </c>
      <c r="AA779" s="42">
        <f>VLOOKUP(A779,kurspris!$A$1:$Q$798,17,FALSE)</f>
        <v>5800</v>
      </c>
      <c r="AB779" s="42">
        <f t="shared" si="443"/>
        <v>10826.666666666666</v>
      </c>
      <c r="AC779" s="42">
        <f t="shared" si="444"/>
        <v>100630.32</v>
      </c>
      <c r="AD779" s="31">
        <f>VLOOKUP($A779,kurspris!$A$1:$Q$835,3,FALSE)</f>
        <v>0</v>
      </c>
      <c r="AE779" s="31">
        <f>VLOOKUP($A779,kurspris!$A$1:$Q$835,4,FALSE)</f>
        <v>0</v>
      </c>
      <c r="AF779" s="31">
        <f>VLOOKUP($A779,kurspris!$A$1:$Q$835,5,FALSE)</f>
        <v>0</v>
      </c>
      <c r="AG779" s="31">
        <f>VLOOKUP($A779,kurspris!$A$1:$Q$835,6,FALSE)</f>
        <v>1</v>
      </c>
      <c r="AH779" s="31">
        <f>VLOOKUP($A779,kurspris!$A$1:$Q$835,7,FALSE)</f>
        <v>0</v>
      </c>
      <c r="AI779" s="31">
        <f>VLOOKUP($A779,kurspris!$A$1:$Q$835,8,FALSE)</f>
        <v>0</v>
      </c>
      <c r="AJ779" s="31">
        <f>VLOOKUP($A779,kurspris!$A$1:$Q$835,9,FALSE)</f>
        <v>0</v>
      </c>
      <c r="AK779" s="31">
        <f>VLOOKUP($A779,kurspris!$A$1:$Q$835,10,FALSE)</f>
        <v>0</v>
      </c>
      <c r="AL779" s="31">
        <f>VLOOKUP($A779,kurspris!$A$1:$Q$835,11,FALSE)</f>
        <v>0</v>
      </c>
      <c r="AM779" s="31">
        <f>VLOOKUP($A779,kurspris!$A$1:$Q$835,12,FALSE)</f>
        <v>0</v>
      </c>
      <c r="AN779" s="31">
        <f>VLOOKUP($A779,kurspris!$A$1:$Q$835,13,FALSE)</f>
        <v>0</v>
      </c>
      <c r="AO779" s="31">
        <f>VLOOKUP($A779,kurspris!$A$1:$Q$835,14,FALSE)</f>
        <v>0</v>
      </c>
      <c r="AP779" s="39" t="s">
        <v>2326</v>
      </c>
      <c r="AQ779"/>
      <c r="AR779" s="31">
        <f t="shared" si="445"/>
        <v>0</v>
      </c>
      <c r="AS779" s="255">
        <f t="shared" si="446"/>
        <v>0</v>
      </c>
      <c r="AT779" s="31">
        <f t="shared" si="447"/>
        <v>0</v>
      </c>
      <c r="AU779" s="255">
        <f t="shared" si="448"/>
        <v>0</v>
      </c>
      <c r="AV779" s="31">
        <f t="shared" si="449"/>
        <v>0</v>
      </c>
      <c r="AW779" s="31">
        <f t="shared" si="450"/>
        <v>0</v>
      </c>
      <c r="AX779" s="31">
        <f t="shared" si="451"/>
        <v>1.8666666666666667</v>
      </c>
      <c r="AY779" s="255">
        <f t="shared" si="452"/>
        <v>1.5866666666666667</v>
      </c>
      <c r="AZ779" s="232">
        <f t="shared" si="453"/>
        <v>0</v>
      </c>
      <c r="BA779" s="255">
        <f t="shared" si="454"/>
        <v>0</v>
      </c>
      <c r="BB779" s="31">
        <f t="shared" si="455"/>
        <v>0</v>
      </c>
      <c r="BC779" s="255">
        <f t="shared" si="456"/>
        <v>0</v>
      </c>
      <c r="BD779" s="31">
        <f t="shared" si="457"/>
        <v>0</v>
      </c>
      <c r="BE779" s="255">
        <f t="shared" si="458"/>
        <v>0</v>
      </c>
      <c r="BF779" s="31">
        <f t="shared" si="459"/>
        <v>0</v>
      </c>
      <c r="BG779" s="255">
        <f t="shared" si="460"/>
        <v>0</v>
      </c>
      <c r="BH779" s="31">
        <f t="shared" si="461"/>
        <v>0</v>
      </c>
      <c r="BI779" s="255">
        <f t="shared" si="462"/>
        <v>0</v>
      </c>
      <c r="BJ779" s="31">
        <f t="shared" si="463"/>
        <v>0</v>
      </c>
      <c r="BK779" s="31">
        <f t="shared" si="464"/>
        <v>0</v>
      </c>
      <c r="BL779" s="255">
        <f t="shared" si="465"/>
        <v>0</v>
      </c>
      <c r="BM779" s="31">
        <f t="shared" si="466"/>
        <v>0</v>
      </c>
      <c r="BN779" s="255">
        <f t="shared" si="467"/>
        <v>0</v>
      </c>
    </row>
    <row r="780" spans="1:66" x14ac:dyDescent="0.25">
      <c r="A780" s="59" t="s">
        <v>1689</v>
      </c>
      <c r="B780" s="186" t="str">
        <f>VLOOKUP(A780,kurspris!$A$1:$B$877,2,FALSE)</f>
        <v>Utbildningsvetenskap, undervisning och lärande - Ämneslärarprogrammet (UK)</v>
      </c>
      <c r="C780" s="37"/>
      <c r="D780" s="59" t="s">
        <v>483</v>
      </c>
      <c r="E780" s="62" t="s">
        <v>1609</v>
      </c>
      <c r="F780" s="62" t="s">
        <v>1931</v>
      </c>
      <c r="G780" s="31" t="s">
        <v>2274</v>
      </c>
      <c r="J780" t="s">
        <v>773</v>
      </c>
      <c r="L780" s="31">
        <v>100</v>
      </c>
      <c r="M780" s="378">
        <v>8</v>
      </c>
      <c r="P780" s="31">
        <v>15</v>
      </c>
      <c r="Q780" s="232">
        <f t="shared" si="440"/>
        <v>2</v>
      </c>
      <c r="R780" s="40">
        <v>0.85</v>
      </c>
      <c r="S780" s="334">
        <f t="shared" si="441"/>
        <v>1.7</v>
      </c>
      <c r="T780" s="31">
        <f>VLOOKUP(A780,'Ansvar kurs'!$A$1:$C$1010,2,FALSE)</f>
        <v>2180</v>
      </c>
      <c r="U780" s="31" t="str">
        <f>VLOOKUP(T780,Orgenheter!$A$1:$C$165,2,FALSE)</f>
        <v xml:space="preserve">Pedagogik                     </v>
      </c>
      <c r="V780" s="31" t="str">
        <f>VLOOKUP(T780,Orgenheter!$A$1:$C$165,3,FALSE)</f>
        <v>Sam</v>
      </c>
      <c r="W780" s="37" t="str">
        <f>VLOOKUP(D780,Program!$A$1:$B$34,2,FALSE)</f>
        <v>Ämneslärarprogrammet - Gy</v>
      </c>
      <c r="X780" s="42">
        <f>VLOOKUP(A780,kurspris!$A$1:$Q$798,15,FALSE)</f>
        <v>23641</v>
      </c>
      <c r="Y780" s="42">
        <f>VLOOKUP(A780,kurspris!$A$1:$Q$798,16,FALSE)</f>
        <v>28786</v>
      </c>
      <c r="Z780" s="42">
        <f t="shared" si="442"/>
        <v>96218.2</v>
      </c>
      <c r="AA780" s="42">
        <f>VLOOKUP(A780,kurspris!$A$1:$Q$798,17,FALSE)</f>
        <v>5800</v>
      </c>
      <c r="AB780" s="42">
        <f t="shared" si="443"/>
        <v>11600</v>
      </c>
      <c r="AC780" s="42">
        <f t="shared" si="444"/>
        <v>107818.2</v>
      </c>
      <c r="AD780" s="31">
        <f>VLOOKUP($A780,kurspris!$A$1:$Q$835,3,FALSE)</f>
        <v>0</v>
      </c>
      <c r="AE780" s="31">
        <f>VLOOKUP($A780,kurspris!$A$1:$Q$835,4,FALSE)</f>
        <v>0</v>
      </c>
      <c r="AF780" s="31">
        <f>VLOOKUP($A780,kurspris!$A$1:$Q$835,5,FALSE)</f>
        <v>0</v>
      </c>
      <c r="AG780" s="31">
        <f>VLOOKUP($A780,kurspris!$A$1:$Q$835,6,FALSE)</f>
        <v>1</v>
      </c>
      <c r="AH780" s="31">
        <f>VLOOKUP($A780,kurspris!$A$1:$Q$835,7,FALSE)</f>
        <v>0</v>
      </c>
      <c r="AI780" s="31">
        <f>VLOOKUP($A780,kurspris!$A$1:$Q$835,8,FALSE)</f>
        <v>0</v>
      </c>
      <c r="AJ780" s="31">
        <f>VLOOKUP($A780,kurspris!$A$1:$Q$835,9,FALSE)</f>
        <v>0</v>
      </c>
      <c r="AK780" s="31">
        <f>VLOOKUP($A780,kurspris!$A$1:$Q$835,10,FALSE)</f>
        <v>0</v>
      </c>
      <c r="AL780" s="31">
        <f>VLOOKUP($A780,kurspris!$A$1:$Q$835,11,FALSE)</f>
        <v>0</v>
      </c>
      <c r="AM780" s="31">
        <f>VLOOKUP($A780,kurspris!$A$1:$Q$835,12,FALSE)</f>
        <v>0</v>
      </c>
      <c r="AN780" s="31">
        <f>VLOOKUP($A780,kurspris!$A$1:$Q$835,13,FALSE)</f>
        <v>0</v>
      </c>
      <c r="AO780" s="31">
        <f>VLOOKUP($A780,kurspris!$A$1:$Q$835,14,FALSE)</f>
        <v>0</v>
      </c>
      <c r="AP780" s="39" t="s">
        <v>2326</v>
      </c>
      <c r="AQ780" s="39"/>
      <c r="AR780" s="31">
        <f t="shared" si="445"/>
        <v>0</v>
      </c>
      <c r="AS780" s="255">
        <f t="shared" si="446"/>
        <v>0</v>
      </c>
      <c r="AT780" s="31">
        <f t="shared" si="447"/>
        <v>0</v>
      </c>
      <c r="AU780" s="255">
        <f t="shared" si="448"/>
        <v>0</v>
      </c>
      <c r="AV780" s="31">
        <f t="shared" si="449"/>
        <v>0</v>
      </c>
      <c r="AW780" s="31">
        <f t="shared" si="450"/>
        <v>0</v>
      </c>
      <c r="AX780" s="31">
        <f t="shared" si="451"/>
        <v>2</v>
      </c>
      <c r="AY780" s="255">
        <f t="shared" si="452"/>
        <v>1.7</v>
      </c>
      <c r="AZ780" s="232">
        <f t="shared" si="453"/>
        <v>0</v>
      </c>
      <c r="BA780" s="255">
        <f t="shared" si="454"/>
        <v>0</v>
      </c>
      <c r="BB780" s="31">
        <f t="shared" si="455"/>
        <v>0</v>
      </c>
      <c r="BC780" s="255">
        <f t="shared" si="456"/>
        <v>0</v>
      </c>
      <c r="BD780" s="31">
        <f t="shared" si="457"/>
        <v>0</v>
      </c>
      <c r="BE780" s="255">
        <f t="shared" si="458"/>
        <v>0</v>
      </c>
      <c r="BF780" s="31">
        <f t="shared" si="459"/>
        <v>0</v>
      </c>
      <c r="BG780" s="255">
        <f t="shared" si="460"/>
        <v>0</v>
      </c>
      <c r="BH780" s="31">
        <f t="shared" si="461"/>
        <v>0</v>
      </c>
      <c r="BI780" s="255">
        <f t="shared" si="462"/>
        <v>0</v>
      </c>
      <c r="BJ780" s="31">
        <f t="shared" si="463"/>
        <v>0</v>
      </c>
      <c r="BK780" s="31">
        <f t="shared" si="464"/>
        <v>0</v>
      </c>
      <c r="BL780" s="255">
        <f t="shared" si="465"/>
        <v>0</v>
      </c>
      <c r="BM780" s="31">
        <f t="shared" si="466"/>
        <v>0</v>
      </c>
      <c r="BN780" s="255">
        <f t="shared" si="467"/>
        <v>0</v>
      </c>
    </row>
    <row r="781" spans="1:66" x14ac:dyDescent="0.25">
      <c r="A781" s="59" t="s">
        <v>1689</v>
      </c>
      <c r="B781" s="186" t="str">
        <f>VLOOKUP(A781,kurspris!$A$1:$B$877,2,FALSE)</f>
        <v>Utbildningsvetenskap, undervisning och lärande - Ämneslärarprogrammet (UK)</v>
      </c>
      <c r="C781" s="37"/>
      <c r="D781" s="59" t="s">
        <v>483</v>
      </c>
      <c r="E781" s="62" t="s">
        <v>1609</v>
      </c>
      <c r="F781" s="62" t="s">
        <v>1931</v>
      </c>
      <c r="G781" s="31" t="s">
        <v>2274</v>
      </c>
      <c r="J781" t="s">
        <v>774</v>
      </c>
      <c r="L781" s="31">
        <v>100</v>
      </c>
      <c r="M781" s="378">
        <v>8</v>
      </c>
      <c r="N781" s="40"/>
      <c r="P781" s="377">
        <v>12</v>
      </c>
      <c r="Q781" s="232">
        <f t="shared" si="440"/>
        <v>1.6</v>
      </c>
      <c r="R781" s="40">
        <v>0.85</v>
      </c>
      <c r="S781" s="334">
        <f t="shared" si="441"/>
        <v>1.36</v>
      </c>
      <c r="T781" s="31">
        <f>VLOOKUP(A781,'Ansvar kurs'!$A$1:$C$1010,2,FALSE)</f>
        <v>2180</v>
      </c>
      <c r="U781" s="31" t="str">
        <f>VLOOKUP(T781,Orgenheter!$A$1:$C$165,2,FALSE)</f>
        <v xml:space="preserve">Pedagogik                     </v>
      </c>
      <c r="V781" s="31" t="str">
        <f>VLOOKUP(T781,Orgenheter!$A$1:$C$165,3,FALSE)</f>
        <v>Sam</v>
      </c>
      <c r="W781" s="37" t="str">
        <f>VLOOKUP(D781,Program!$A$1:$B$34,2,FALSE)</f>
        <v>Ämneslärarprogrammet - Gy</v>
      </c>
      <c r="X781" s="42">
        <f>VLOOKUP(A781,kurspris!$A$1:$Q$798,15,FALSE)</f>
        <v>23641</v>
      </c>
      <c r="Y781" s="42">
        <f>VLOOKUP(A781,kurspris!$A$1:$Q$798,16,FALSE)</f>
        <v>28786</v>
      </c>
      <c r="Z781" s="42">
        <f t="shared" si="442"/>
        <v>76974.559999999998</v>
      </c>
      <c r="AA781" s="42">
        <f>VLOOKUP(A781,kurspris!$A$1:$Q$798,17,FALSE)</f>
        <v>5800</v>
      </c>
      <c r="AB781" s="42">
        <f t="shared" si="443"/>
        <v>9280</v>
      </c>
      <c r="AC781" s="42">
        <f t="shared" si="444"/>
        <v>86254.56</v>
      </c>
      <c r="AD781" s="31">
        <f>VLOOKUP($A781,kurspris!$A$1:$Q$835,3,FALSE)</f>
        <v>0</v>
      </c>
      <c r="AE781" s="31">
        <f>VLOOKUP($A781,kurspris!$A$1:$Q$835,4,FALSE)</f>
        <v>0</v>
      </c>
      <c r="AF781" s="31">
        <f>VLOOKUP($A781,kurspris!$A$1:$Q$835,5,FALSE)</f>
        <v>0</v>
      </c>
      <c r="AG781" s="31">
        <f>VLOOKUP($A781,kurspris!$A$1:$Q$835,6,FALSE)</f>
        <v>1</v>
      </c>
      <c r="AH781" s="31">
        <f>VLOOKUP($A781,kurspris!$A$1:$Q$835,7,FALSE)</f>
        <v>0</v>
      </c>
      <c r="AI781" s="31">
        <f>VLOOKUP($A781,kurspris!$A$1:$Q$835,8,FALSE)</f>
        <v>0</v>
      </c>
      <c r="AJ781" s="31">
        <f>VLOOKUP($A781,kurspris!$A$1:$Q$835,9,FALSE)</f>
        <v>0</v>
      </c>
      <c r="AK781" s="31">
        <f>VLOOKUP($A781,kurspris!$A$1:$Q$835,10,FALSE)</f>
        <v>0</v>
      </c>
      <c r="AL781" s="31">
        <f>VLOOKUP($A781,kurspris!$A$1:$Q$835,11,FALSE)</f>
        <v>0</v>
      </c>
      <c r="AM781" s="31">
        <f>VLOOKUP($A781,kurspris!$A$1:$Q$835,12,FALSE)</f>
        <v>0</v>
      </c>
      <c r="AN781" s="31">
        <f>VLOOKUP($A781,kurspris!$A$1:$Q$835,13,FALSE)</f>
        <v>0</v>
      </c>
      <c r="AO781" s="31">
        <f>VLOOKUP($A781,kurspris!$A$1:$Q$835,14,FALSE)</f>
        <v>0</v>
      </c>
      <c r="AP781" s="39" t="s">
        <v>2326</v>
      </c>
      <c r="AQ781"/>
      <c r="AR781" s="31">
        <f t="shared" si="445"/>
        <v>0</v>
      </c>
      <c r="AS781" s="255">
        <f t="shared" si="446"/>
        <v>0</v>
      </c>
      <c r="AT781" s="31">
        <f t="shared" si="447"/>
        <v>0</v>
      </c>
      <c r="AU781" s="255">
        <f t="shared" si="448"/>
        <v>0</v>
      </c>
      <c r="AV781" s="31">
        <f t="shared" si="449"/>
        <v>0</v>
      </c>
      <c r="AW781" s="31">
        <f t="shared" si="450"/>
        <v>0</v>
      </c>
      <c r="AX781" s="31">
        <f t="shared" si="451"/>
        <v>1.6</v>
      </c>
      <c r="AY781" s="255">
        <f t="shared" si="452"/>
        <v>1.36</v>
      </c>
      <c r="AZ781" s="232">
        <f t="shared" si="453"/>
        <v>0</v>
      </c>
      <c r="BA781" s="255">
        <f t="shared" si="454"/>
        <v>0</v>
      </c>
      <c r="BB781" s="31">
        <f t="shared" si="455"/>
        <v>0</v>
      </c>
      <c r="BC781" s="255">
        <f t="shared" si="456"/>
        <v>0</v>
      </c>
      <c r="BD781" s="31">
        <f t="shared" si="457"/>
        <v>0</v>
      </c>
      <c r="BE781" s="255">
        <f t="shared" si="458"/>
        <v>0</v>
      </c>
      <c r="BF781" s="31">
        <f t="shared" si="459"/>
        <v>0</v>
      </c>
      <c r="BG781" s="255">
        <f t="shared" si="460"/>
        <v>0</v>
      </c>
      <c r="BH781" s="31">
        <f t="shared" si="461"/>
        <v>0</v>
      </c>
      <c r="BI781" s="255">
        <f t="shared" si="462"/>
        <v>0</v>
      </c>
      <c r="BJ781" s="31">
        <f t="shared" si="463"/>
        <v>0</v>
      </c>
      <c r="BK781" s="31">
        <f t="shared" si="464"/>
        <v>0</v>
      </c>
      <c r="BL781" s="255">
        <f t="shared" si="465"/>
        <v>0</v>
      </c>
      <c r="BM781" s="31">
        <f t="shared" si="466"/>
        <v>0</v>
      </c>
      <c r="BN781" s="255">
        <f t="shared" si="467"/>
        <v>0</v>
      </c>
    </row>
    <row r="782" spans="1:66" x14ac:dyDescent="0.25">
      <c r="A782" s="59" t="s">
        <v>1689</v>
      </c>
      <c r="B782" s="186" t="str">
        <f>VLOOKUP(A782,kurspris!$A$1:$B$877,2,FALSE)</f>
        <v>Utbildningsvetenskap, undervisning och lärande - Ämneslärarprogrammet (UK)</v>
      </c>
      <c r="C782" s="37"/>
      <c r="D782" s="59" t="s">
        <v>483</v>
      </c>
      <c r="E782" s="62" t="s">
        <v>1609</v>
      </c>
      <c r="F782" s="62" t="s">
        <v>1931</v>
      </c>
      <c r="G782" s="31" t="s">
        <v>2274</v>
      </c>
      <c r="J782" t="s">
        <v>775</v>
      </c>
      <c r="L782" s="31">
        <v>100</v>
      </c>
      <c r="M782" s="378">
        <v>8</v>
      </c>
      <c r="N782" s="40"/>
      <c r="P782" s="377">
        <v>2</v>
      </c>
      <c r="Q782" s="232">
        <f t="shared" si="440"/>
        <v>0.26666666666666666</v>
      </c>
      <c r="R782" s="40">
        <v>0.85</v>
      </c>
      <c r="S782" s="334">
        <f t="shared" si="441"/>
        <v>0.22666666666666666</v>
      </c>
      <c r="T782" s="31">
        <f>VLOOKUP(A782,'Ansvar kurs'!$A$1:$C$1010,2,FALSE)</f>
        <v>2180</v>
      </c>
      <c r="U782" s="31" t="str">
        <f>VLOOKUP(T782,Orgenheter!$A$1:$C$165,2,FALSE)</f>
        <v xml:space="preserve">Pedagogik                     </v>
      </c>
      <c r="V782" s="31" t="str">
        <f>VLOOKUP(T782,Orgenheter!$A$1:$C$165,3,FALSE)</f>
        <v>Sam</v>
      </c>
      <c r="W782" s="37" t="str">
        <f>VLOOKUP(D782,Program!$A$1:$B$34,2,FALSE)</f>
        <v>Ämneslärarprogrammet - Gy</v>
      </c>
      <c r="X782" s="42">
        <f>VLOOKUP(A782,kurspris!$A$1:$Q$798,15,FALSE)</f>
        <v>23641</v>
      </c>
      <c r="Y782" s="42">
        <f>VLOOKUP(A782,kurspris!$A$1:$Q$798,16,FALSE)</f>
        <v>28786</v>
      </c>
      <c r="Z782" s="42">
        <f t="shared" si="442"/>
        <v>12829.093333333332</v>
      </c>
      <c r="AA782" s="42">
        <f>VLOOKUP(A782,kurspris!$A$1:$Q$798,17,FALSE)</f>
        <v>5800</v>
      </c>
      <c r="AB782" s="42">
        <f t="shared" si="443"/>
        <v>1546.6666666666667</v>
      </c>
      <c r="AC782" s="42">
        <f t="shared" si="444"/>
        <v>14375.759999999998</v>
      </c>
      <c r="AD782" s="31">
        <f>VLOOKUP($A782,kurspris!$A$1:$Q$835,3,FALSE)</f>
        <v>0</v>
      </c>
      <c r="AE782" s="31">
        <f>VLOOKUP($A782,kurspris!$A$1:$Q$835,4,FALSE)</f>
        <v>0</v>
      </c>
      <c r="AF782" s="31">
        <f>VLOOKUP($A782,kurspris!$A$1:$Q$835,5,FALSE)</f>
        <v>0</v>
      </c>
      <c r="AG782" s="31">
        <f>VLOOKUP($A782,kurspris!$A$1:$Q$835,6,FALSE)</f>
        <v>1</v>
      </c>
      <c r="AH782" s="31">
        <f>VLOOKUP($A782,kurspris!$A$1:$Q$835,7,FALSE)</f>
        <v>0</v>
      </c>
      <c r="AI782" s="31">
        <f>VLOOKUP($A782,kurspris!$A$1:$Q$835,8,FALSE)</f>
        <v>0</v>
      </c>
      <c r="AJ782" s="31">
        <f>VLOOKUP($A782,kurspris!$A$1:$Q$835,9,FALSE)</f>
        <v>0</v>
      </c>
      <c r="AK782" s="31">
        <f>VLOOKUP($A782,kurspris!$A$1:$Q$835,10,FALSE)</f>
        <v>0</v>
      </c>
      <c r="AL782" s="31">
        <f>VLOOKUP($A782,kurspris!$A$1:$Q$835,11,FALSE)</f>
        <v>0</v>
      </c>
      <c r="AM782" s="31">
        <f>VLOOKUP($A782,kurspris!$A$1:$Q$835,12,FALSE)</f>
        <v>0</v>
      </c>
      <c r="AN782" s="31">
        <f>VLOOKUP($A782,kurspris!$A$1:$Q$835,13,FALSE)</f>
        <v>0</v>
      </c>
      <c r="AO782" s="31">
        <f>VLOOKUP($A782,kurspris!$A$1:$Q$835,14,FALSE)</f>
        <v>0</v>
      </c>
      <c r="AP782" s="39" t="s">
        <v>2326</v>
      </c>
      <c r="AQ782"/>
      <c r="AR782" s="31">
        <f t="shared" si="445"/>
        <v>0</v>
      </c>
      <c r="AS782" s="255">
        <f t="shared" si="446"/>
        <v>0</v>
      </c>
      <c r="AT782" s="31">
        <f t="shared" si="447"/>
        <v>0</v>
      </c>
      <c r="AU782" s="255">
        <f t="shared" si="448"/>
        <v>0</v>
      </c>
      <c r="AV782" s="31">
        <f t="shared" si="449"/>
        <v>0</v>
      </c>
      <c r="AW782" s="31">
        <f t="shared" si="450"/>
        <v>0</v>
      </c>
      <c r="AX782" s="31">
        <f t="shared" si="451"/>
        <v>0.26666666666666666</v>
      </c>
      <c r="AY782" s="255">
        <f t="shared" si="452"/>
        <v>0.22666666666666666</v>
      </c>
      <c r="AZ782" s="232">
        <f t="shared" si="453"/>
        <v>0</v>
      </c>
      <c r="BA782" s="255">
        <f t="shared" si="454"/>
        <v>0</v>
      </c>
      <c r="BB782" s="31">
        <f t="shared" si="455"/>
        <v>0</v>
      </c>
      <c r="BC782" s="255">
        <f t="shared" si="456"/>
        <v>0</v>
      </c>
      <c r="BD782" s="31">
        <f t="shared" si="457"/>
        <v>0</v>
      </c>
      <c r="BE782" s="255">
        <f t="shared" si="458"/>
        <v>0</v>
      </c>
      <c r="BF782" s="31">
        <f t="shared" si="459"/>
        <v>0</v>
      </c>
      <c r="BG782" s="255">
        <f t="shared" si="460"/>
        <v>0</v>
      </c>
      <c r="BH782" s="31">
        <f t="shared" si="461"/>
        <v>0</v>
      </c>
      <c r="BI782" s="255">
        <f t="shared" si="462"/>
        <v>0</v>
      </c>
      <c r="BJ782" s="31">
        <f t="shared" si="463"/>
        <v>0</v>
      </c>
      <c r="BK782" s="31">
        <f t="shared" si="464"/>
        <v>0</v>
      </c>
      <c r="BL782" s="255">
        <f t="shared" si="465"/>
        <v>0</v>
      </c>
      <c r="BM782" s="31">
        <f t="shared" si="466"/>
        <v>0</v>
      </c>
      <c r="BN782" s="255">
        <f t="shared" si="467"/>
        <v>0</v>
      </c>
    </row>
    <row r="783" spans="1:66" x14ac:dyDescent="0.25">
      <c r="A783" s="18" t="s">
        <v>1689</v>
      </c>
      <c r="B783" s="186" t="str">
        <f>VLOOKUP(A783,kurspris!$A$1:$B$877,2,FALSE)</f>
        <v>Utbildningsvetenskap, undervisning och lärande - Ämneslärarprogrammet (UK)</v>
      </c>
      <c r="C783" s="37"/>
      <c r="D783" s="31" t="s">
        <v>483</v>
      </c>
      <c r="E783" s="31" t="s">
        <v>1609</v>
      </c>
      <c r="F783" s="59" t="s">
        <v>1931</v>
      </c>
      <c r="G783" s="31" t="s">
        <v>2274</v>
      </c>
      <c r="J783" t="s">
        <v>776</v>
      </c>
      <c r="L783" s="31">
        <v>100</v>
      </c>
      <c r="M783" s="31">
        <v>8</v>
      </c>
      <c r="P783" s="31">
        <v>4</v>
      </c>
      <c r="Q783" s="232">
        <f t="shared" si="440"/>
        <v>0.53333333333333333</v>
      </c>
      <c r="R783" s="40">
        <v>0.85</v>
      </c>
      <c r="S783" s="334">
        <f t="shared" si="441"/>
        <v>0.45333333333333331</v>
      </c>
      <c r="T783" s="31">
        <f>VLOOKUP(A783,'Ansvar kurs'!$A$1:$C$1010,2,FALSE)</f>
        <v>2180</v>
      </c>
      <c r="U783" s="31" t="str">
        <f>VLOOKUP(T783,Orgenheter!$A$1:$C$165,2,FALSE)</f>
        <v xml:space="preserve">Pedagogik                     </v>
      </c>
      <c r="V783" s="31" t="str">
        <f>VLOOKUP(T783,Orgenheter!$A$1:$C$165,3,FALSE)</f>
        <v>Sam</v>
      </c>
      <c r="W783" s="37" t="str">
        <f>VLOOKUP(D783,Program!$A$1:$B$34,2,FALSE)</f>
        <v>Ämneslärarprogrammet - Gy</v>
      </c>
      <c r="X783" s="42">
        <f>VLOOKUP(A783,kurspris!$A$1:$Q$798,15,FALSE)</f>
        <v>23641</v>
      </c>
      <c r="Y783" s="42">
        <f>VLOOKUP(A783,kurspris!$A$1:$Q$798,16,FALSE)</f>
        <v>28786</v>
      </c>
      <c r="Z783" s="42">
        <f t="shared" si="442"/>
        <v>25658.186666666665</v>
      </c>
      <c r="AA783" s="42">
        <f>VLOOKUP(A783,kurspris!$A$1:$Q$798,17,FALSE)</f>
        <v>5800</v>
      </c>
      <c r="AB783" s="42">
        <f t="shared" si="443"/>
        <v>3093.3333333333335</v>
      </c>
      <c r="AC783" s="42">
        <f t="shared" si="444"/>
        <v>28751.519999999997</v>
      </c>
      <c r="AD783" s="31">
        <f>VLOOKUP($A783,kurspris!$A$1:$Q$835,3,FALSE)</f>
        <v>0</v>
      </c>
      <c r="AE783" s="31">
        <f>VLOOKUP($A783,kurspris!$A$1:$Q$835,4,FALSE)</f>
        <v>0</v>
      </c>
      <c r="AF783" s="31">
        <f>VLOOKUP($A783,kurspris!$A$1:$Q$835,5,FALSE)</f>
        <v>0</v>
      </c>
      <c r="AG783" s="31">
        <f>VLOOKUP($A783,kurspris!$A$1:$Q$835,6,FALSE)</f>
        <v>1</v>
      </c>
      <c r="AH783" s="31">
        <f>VLOOKUP($A783,kurspris!$A$1:$Q$835,7,FALSE)</f>
        <v>0</v>
      </c>
      <c r="AI783" s="31">
        <f>VLOOKUP($A783,kurspris!$A$1:$Q$835,8,FALSE)</f>
        <v>0</v>
      </c>
      <c r="AJ783" s="31">
        <f>VLOOKUP($A783,kurspris!$A$1:$Q$835,9,FALSE)</f>
        <v>0</v>
      </c>
      <c r="AK783" s="31">
        <f>VLOOKUP($A783,kurspris!$A$1:$Q$835,10,FALSE)</f>
        <v>0</v>
      </c>
      <c r="AL783" s="31">
        <f>VLOOKUP($A783,kurspris!$A$1:$Q$835,11,FALSE)</f>
        <v>0</v>
      </c>
      <c r="AM783" s="31">
        <f>VLOOKUP($A783,kurspris!$A$1:$Q$835,12,FALSE)</f>
        <v>0</v>
      </c>
      <c r="AN783" s="31">
        <f>VLOOKUP($A783,kurspris!$A$1:$Q$835,13,FALSE)</f>
        <v>0</v>
      </c>
      <c r="AO783" s="31">
        <f>VLOOKUP($A783,kurspris!$A$1:$Q$835,14,FALSE)</f>
        <v>0</v>
      </c>
      <c r="AP783" s="39" t="s">
        <v>2326</v>
      </c>
      <c r="AQ783"/>
      <c r="AR783" s="31">
        <f t="shared" si="445"/>
        <v>0</v>
      </c>
      <c r="AS783" s="255">
        <f t="shared" si="446"/>
        <v>0</v>
      </c>
      <c r="AT783" s="31">
        <f t="shared" si="447"/>
        <v>0</v>
      </c>
      <c r="AU783" s="255">
        <f t="shared" si="448"/>
        <v>0</v>
      </c>
      <c r="AV783" s="31">
        <f t="shared" si="449"/>
        <v>0</v>
      </c>
      <c r="AW783" s="31">
        <f t="shared" si="450"/>
        <v>0</v>
      </c>
      <c r="AX783" s="31">
        <f t="shared" si="451"/>
        <v>0.53333333333333333</v>
      </c>
      <c r="AY783" s="255">
        <f t="shared" si="452"/>
        <v>0.45333333333333331</v>
      </c>
      <c r="AZ783" s="232">
        <f t="shared" si="453"/>
        <v>0</v>
      </c>
      <c r="BA783" s="255">
        <f t="shared" si="454"/>
        <v>0</v>
      </c>
      <c r="BB783" s="31">
        <f t="shared" si="455"/>
        <v>0</v>
      </c>
      <c r="BC783" s="255">
        <f t="shared" si="456"/>
        <v>0</v>
      </c>
      <c r="BD783" s="31">
        <f t="shared" si="457"/>
        <v>0</v>
      </c>
      <c r="BE783" s="255">
        <f t="shared" si="458"/>
        <v>0</v>
      </c>
      <c r="BF783" s="31">
        <f t="shared" si="459"/>
        <v>0</v>
      </c>
      <c r="BG783" s="255">
        <f t="shared" si="460"/>
        <v>0</v>
      </c>
      <c r="BH783" s="31">
        <f t="shared" si="461"/>
        <v>0</v>
      </c>
      <c r="BI783" s="255">
        <f t="shared" si="462"/>
        <v>0</v>
      </c>
      <c r="BJ783" s="31">
        <f t="shared" si="463"/>
        <v>0</v>
      </c>
      <c r="BK783" s="31">
        <f t="shared" si="464"/>
        <v>0</v>
      </c>
      <c r="BL783" s="255">
        <f t="shared" si="465"/>
        <v>0</v>
      </c>
      <c r="BM783" s="31">
        <f t="shared" si="466"/>
        <v>0</v>
      </c>
      <c r="BN783" s="255">
        <f t="shared" si="467"/>
        <v>0</v>
      </c>
    </row>
    <row r="784" spans="1:66" x14ac:dyDescent="0.25">
      <c r="A784" s="18" t="s">
        <v>1689</v>
      </c>
      <c r="B784" s="186" t="str">
        <f>VLOOKUP(A784,kurspris!$A$1:$B$877,2,FALSE)</f>
        <v>Utbildningsvetenskap, undervisning och lärande - Ämneslärarprogrammet (UK)</v>
      </c>
      <c r="C784" s="37"/>
      <c r="D784" s="31" t="s">
        <v>483</v>
      </c>
      <c r="E784" s="31" t="s">
        <v>1609</v>
      </c>
      <c r="F784" s="59" t="s">
        <v>1931</v>
      </c>
      <c r="G784" s="31" t="s">
        <v>2274</v>
      </c>
      <c r="J784" t="s">
        <v>777</v>
      </c>
      <c r="L784" s="31">
        <v>100</v>
      </c>
      <c r="M784" s="31">
        <v>8</v>
      </c>
      <c r="P784" s="31">
        <v>6</v>
      </c>
      <c r="Q784" s="232">
        <f t="shared" si="440"/>
        <v>0.8</v>
      </c>
      <c r="R784" s="40">
        <v>0.85</v>
      </c>
      <c r="S784" s="334">
        <f t="shared" si="441"/>
        <v>0.68</v>
      </c>
      <c r="T784" s="31">
        <f>VLOOKUP(A784,'Ansvar kurs'!$A$1:$C$1010,2,FALSE)</f>
        <v>2180</v>
      </c>
      <c r="U784" s="31" t="str">
        <f>VLOOKUP(T784,Orgenheter!$A$1:$C$165,2,FALSE)</f>
        <v xml:space="preserve">Pedagogik                     </v>
      </c>
      <c r="V784" s="31" t="str">
        <f>VLOOKUP(T784,Orgenheter!$A$1:$C$165,3,FALSE)</f>
        <v>Sam</v>
      </c>
      <c r="W784" s="37" t="str">
        <f>VLOOKUP(D784,Program!$A$1:$B$34,2,FALSE)</f>
        <v>Ämneslärarprogrammet - Gy</v>
      </c>
      <c r="X784" s="42">
        <f>VLOOKUP(A784,kurspris!$A$1:$Q$798,15,FALSE)</f>
        <v>23641</v>
      </c>
      <c r="Y784" s="42">
        <f>VLOOKUP(A784,kurspris!$A$1:$Q$798,16,FALSE)</f>
        <v>28786</v>
      </c>
      <c r="Z784" s="42">
        <f t="shared" si="442"/>
        <v>38487.279999999999</v>
      </c>
      <c r="AA784" s="42">
        <f>VLOOKUP(A784,kurspris!$A$1:$Q$798,17,FALSE)</f>
        <v>5800</v>
      </c>
      <c r="AB784" s="42">
        <f t="shared" si="443"/>
        <v>4640</v>
      </c>
      <c r="AC784" s="42">
        <f t="shared" si="444"/>
        <v>43127.28</v>
      </c>
      <c r="AD784" s="31">
        <f>VLOOKUP($A784,kurspris!$A$1:$Q$835,3,FALSE)</f>
        <v>0</v>
      </c>
      <c r="AE784" s="31">
        <f>VLOOKUP($A784,kurspris!$A$1:$Q$835,4,FALSE)</f>
        <v>0</v>
      </c>
      <c r="AF784" s="31">
        <f>VLOOKUP($A784,kurspris!$A$1:$Q$835,5,FALSE)</f>
        <v>0</v>
      </c>
      <c r="AG784" s="31">
        <f>VLOOKUP($A784,kurspris!$A$1:$Q$835,6,FALSE)</f>
        <v>1</v>
      </c>
      <c r="AH784" s="31">
        <f>VLOOKUP($A784,kurspris!$A$1:$Q$835,7,FALSE)</f>
        <v>0</v>
      </c>
      <c r="AI784" s="31">
        <f>VLOOKUP($A784,kurspris!$A$1:$Q$835,8,FALSE)</f>
        <v>0</v>
      </c>
      <c r="AJ784" s="31">
        <f>VLOOKUP($A784,kurspris!$A$1:$Q$835,9,FALSE)</f>
        <v>0</v>
      </c>
      <c r="AK784" s="31">
        <f>VLOOKUP($A784,kurspris!$A$1:$Q$835,10,FALSE)</f>
        <v>0</v>
      </c>
      <c r="AL784" s="31">
        <f>VLOOKUP($A784,kurspris!$A$1:$Q$835,11,FALSE)</f>
        <v>0</v>
      </c>
      <c r="AM784" s="31">
        <f>VLOOKUP($A784,kurspris!$A$1:$Q$835,12,FALSE)</f>
        <v>0</v>
      </c>
      <c r="AN784" s="31">
        <f>VLOOKUP($A784,kurspris!$A$1:$Q$835,13,FALSE)</f>
        <v>0</v>
      </c>
      <c r="AO784" s="31">
        <f>VLOOKUP($A784,kurspris!$A$1:$Q$835,14,FALSE)</f>
        <v>0</v>
      </c>
      <c r="AP784" s="39" t="s">
        <v>2326</v>
      </c>
      <c r="AQ784"/>
      <c r="AR784" s="31">
        <f t="shared" si="445"/>
        <v>0</v>
      </c>
      <c r="AS784" s="255">
        <f t="shared" si="446"/>
        <v>0</v>
      </c>
      <c r="AT784" s="31">
        <f t="shared" si="447"/>
        <v>0</v>
      </c>
      <c r="AU784" s="255">
        <f t="shared" si="448"/>
        <v>0</v>
      </c>
      <c r="AV784" s="31">
        <f t="shared" si="449"/>
        <v>0</v>
      </c>
      <c r="AW784" s="31">
        <f t="shared" si="450"/>
        <v>0</v>
      </c>
      <c r="AX784" s="31">
        <f t="shared" si="451"/>
        <v>0.8</v>
      </c>
      <c r="AY784" s="255">
        <f t="shared" si="452"/>
        <v>0.68</v>
      </c>
      <c r="AZ784" s="232">
        <f t="shared" si="453"/>
        <v>0</v>
      </c>
      <c r="BA784" s="255">
        <f t="shared" si="454"/>
        <v>0</v>
      </c>
      <c r="BB784" s="31">
        <f t="shared" si="455"/>
        <v>0</v>
      </c>
      <c r="BC784" s="255">
        <f t="shared" si="456"/>
        <v>0</v>
      </c>
      <c r="BD784" s="31">
        <f t="shared" si="457"/>
        <v>0</v>
      </c>
      <c r="BE784" s="255">
        <f t="shared" si="458"/>
        <v>0</v>
      </c>
      <c r="BF784" s="31">
        <f t="shared" si="459"/>
        <v>0</v>
      </c>
      <c r="BG784" s="255">
        <f t="shared" si="460"/>
        <v>0</v>
      </c>
      <c r="BH784" s="31">
        <f t="shared" si="461"/>
        <v>0</v>
      </c>
      <c r="BI784" s="255">
        <f t="shared" si="462"/>
        <v>0</v>
      </c>
      <c r="BJ784" s="31">
        <f t="shared" si="463"/>
        <v>0</v>
      </c>
      <c r="BK784" s="31">
        <f t="shared" si="464"/>
        <v>0</v>
      </c>
      <c r="BL784" s="255">
        <f t="shared" si="465"/>
        <v>0</v>
      </c>
      <c r="BM784" s="31">
        <f t="shared" si="466"/>
        <v>0</v>
      </c>
      <c r="BN784" s="255">
        <f t="shared" si="467"/>
        <v>0</v>
      </c>
    </row>
    <row r="785" spans="1:66" x14ac:dyDescent="0.25">
      <c r="A785" s="18" t="s">
        <v>1689</v>
      </c>
      <c r="B785" s="186" t="str">
        <f>VLOOKUP(A785,kurspris!$A$1:$B$877,2,FALSE)</f>
        <v>Utbildningsvetenskap, undervisning och lärande - Ämneslärarprogrammet (UK)</v>
      </c>
      <c r="C785" s="37"/>
      <c r="D785" s="31" t="s">
        <v>483</v>
      </c>
      <c r="E785" s="31" t="s">
        <v>1609</v>
      </c>
      <c r="F785" s="59" t="s">
        <v>1931</v>
      </c>
      <c r="G785" s="31" t="s">
        <v>2274</v>
      </c>
      <c r="J785" t="s">
        <v>1803</v>
      </c>
      <c r="L785" s="31">
        <v>100</v>
      </c>
      <c r="M785" s="31">
        <v>8</v>
      </c>
      <c r="P785" s="31">
        <v>2</v>
      </c>
      <c r="Q785" s="232">
        <f t="shared" si="440"/>
        <v>0.26666666666666666</v>
      </c>
      <c r="R785" s="40">
        <v>0.85</v>
      </c>
      <c r="S785" s="334">
        <f t="shared" si="441"/>
        <v>0.22666666666666666</v>
      </c>
      <c r="T785" s="31">
        <f>VLOOKUP(A785,'Ansvar kurs'!$A$1:$C$1010,2,FALSE)</f>
        <v>2180</v>
      </c>
      <c r="U785" s="31" t="str">
        <f>VLOOKUP(T785,Orgenheter!$A$1:$C$165,2,FALSE)</f>
        <v xml:space="preserve">Pedagogik                     </v>
      </c>
      <c r="V785" s="31" t="str">
        <f>VLOOKUP(T785,Orgenheter!$A$1:$C$165,3,FALSE)</f>
        <v>Sam</v>
      </c>
      <c r="W785" s="37" t="str">
        <f>VLOOKUP(D785,Program!$A$1:$B$34,2,FALSE)</f>
        <v>Ämneslärarprogrammet - Gy</v>
      </c>
      <c r="X785" s="42">
        <f>VLOOKUP(A785,kurspris!$A$1:$Q$798,15,FALSE)</f>
        <v>23641</v>
      </c>
      <c r="Y785" s="42">
        <f>VLOOKUP(A785,kurspris!$A$1:$Q$798,16,FALSE)</f>
        <v>28786</v>
      </c>
      <c r="Z785" s="42">
        <f t="shared" si="442"/>
        <v>12829.093333333332</v>
      </c>
      <c r="AA785" s="42">
        <f>VLOOKUP(A785,kurspris!$A$1:$Q$798,17,FALSE)</f>
        <v>5800</v>
      </c>
      <c r="AB785" s="42">
        <f t="shared" si="443"/>
        <v>1546.6666666666667</v>
      </c>
      <c r="AC785" s="42">
        <f t="shared" si="444"/>
        <v>14375.759999999998</v>
      </c>
      <c r="AD785" s="31">
        <f>VLOOKUP($A785,kurspris!$A$1:$Q$835,3,FALSE)</f>
        <v>0</v>
      </c>
      <c r="AE785" s="31">
        <f>VLOOKUP($A785,kurspris!$A$1:$Q$835,4,FALSE)</f>
        <v>0</v>
      </c>
      <c r="AF785" s="31">
        <f>VLOOKUP($A785,kurspris!$A$1:$Q$835,5,FALSE)</f>
        <v>0</v>
      </c>
      <c r="AG785" s="31">
        <f>VLOOKUP($A785,kurspris!$A$1:$Q$835,6,FALSE)</f>
        <v>1</v>
      </c>
      <c r="AH785" s="31">
        <f>VLOOKUP($A785,kurspris!$A$1:$Q$835,7,FALSE)</f>
        <v>0</v>
      </c>
      <c r="AI785" s="31">
        <f>VLOOKUP($A785,kurspris!$A$1:$Q$835,8,FALSE)</f>
        <v>0</v>
      </c>
      <c r="AJ785" s="31">
        <f>VLOOKUP($A785,kurspris!$A$1:$Q$835,9,FALSE)</f>
        <v>0</v>
      </c>
      <c r="AK785" s="31">
        <f>VLOOKUP($A785,kurspris!$A$1:$Q$835,10,FALSE)</f>
        <v>0</v>
      </c>
      <c r="AL785" s="31">
        <f>VLOOKUP($A785,kurspris!$A$1:$Q$835,11,FALSE)</f>
        <v>0</v>
      </c>
      <c r="AM785" s="31">
        <f>VLOOKUP($A785,kurspris!$A$1:$Q$835,12,FALSE)</f>
        <v>0</v>
      </c>
      <c r="AN785" s="31">
        <f>VLOOKUP($A785,kurspris!$A$1:$Q$835,13,FALSE)</f>
        <v>0</v>
      </c>
      <c r="AO785" s="31">
        <f>VLOOKUP($A785,kurspris!$A$1:$Q$835,14,FALSE)</f>
        <v>0</v>
      </c>
      <c r="AP785" s="39" t="s">
        <v>2326</v>
      </c>
      <c r="AQ785"/>
      <c r="AR785" s="31">
        <f t="shared" si="445"/>
        <v>0</v>
      </c>
      <c r="AS785" s="255">
        <f t="shared" si="446"/>
        <v>0</v>
      </c>
      <c r="AT785" s="31">
        <f t="shared" si="447"/>
        <v>0</v>
      </c>
      <c r="AU785" s="255">
        <f t="shared" si="448"/>
        <v>0</v>
      </c>
      <c r="AV785" s="31">
        <f t="shared" si="449"/>
        <v>0</v>
      </c>
      <c r="AW785" s="31">
        <f t="shared" si="450"/>
        <v>0</v>
      </c>
      <c r="AX785" s="31">
        <f t="shared" si="451"/>
        <v>0.26666666666666666</v>
      </c>
      <c r="AY785" s="255">
        <f t="shared" si="452"/>
        <v>0.22666666666666666</v>
      </c>
      <c r="AZ785" s="232">
        <f t="shared" si="453"/>
        <v>0</v>
      </c>
      <c r="BA785" s="255">
        <f t="shared" si="454"/>
        <v>0</v>
      </c>
      <c r="BB785" s="31">
        <f t="shared" si="455"/>
        <v>0</v>
      </c>
      <c r="BC785" s="255">
        <f t="shared" si="456"/>
        <v>0</v>
      </c>
      <c r="BD785" s="31">
        <f t="shared" si="457"/>
        <v>0</v>
      </c>
      <c r="BE785" s="255">
        <f t="shared" si="458"/>
        <v>0</v>
      </c>
      <c r="BF785" s="31">
        <f t="shared" si="459"/>
        <v>0</v>
      </c>
      <c r="BG785" s="255">
        <f t="shared" si="460"/>
        <v>0</v>
      </c>
      <c r="BH785" s="31">
        <f t="shared" si="461"/>
        <v>0</v>
      </c>
      <c r="BI785" s="255">
        <f t="shared" si="462"/>
        <v>0</v>
      </c>
      <c r="BJ785" s="31">
        <f t="shared" si="463"/>
        <v>0</v>
      </c>
      <c r="BK785" s="31">
        <f t="shared" si="464"/>
        <v>0</v>
      </c>
      <c r="BL785" s="255">
        <f t="shared" si="465"/>
        <v>0</v>
      </c>
      <c r="BM785" s="31">
        <f t="shared" si="466"/>
        <v>0</v>
      </c>
      <c r="BN785" s="255">
        <f t="shared" si="467"/>
        <v>0</v>
      </c>
    </row>
    <row r="786" spans="1:66" x14ac:dyDescent="0.25">
      <c r="A786" s="18" t="s">
        <v>1689</v>
      </c>
      <c r="B786" s="186" t="str">
        <f>VLOOKUP(A786,kurspris!$A$1:$B$877,2,FALSE)</f>
        <v>Utbildningsvetenskap, undervisning och lärande - Ämneslärarprogrammet (UK)</v>
      </c>
      <c r="C786" s="37"/>
      <c r="D786" s="31" t="s">
        <v>483</v>
      </c>
      <c r="E786" s="31" t="s">
        <v>1609</v>
      </c>
      <c r="F786" s="59" t="s">
        <v>1931</v>
      </c>
      <c r="G786" s="31" t="s">
        <v>2274</v>
      </c>
      <c r="J786" t="s">
        <v>778</v>
      </c>
      <c r="L786" s="31">
        <v>100</v>
      </c>
      <c r="M786" s="31">
        <v>8</v>
      </c>
      <c r="P786" s="31">
        <v>11</v>
      </c>
      <c r="Q786" s="232">
        <f t="shared" si="440"/>
        <v>1.4666666666666666</v>
      </c>
      <c r="R786" s="40">
        <v>0.85</v>
      </c>
      <c r="S786" s="334">
        <f t="shared" si="441"/>
        <v>1.2466666666666666</v>
      </c>
      <c r="T786" s="31">
        <f>VLOOKUP(A786,'Ansvar kurs'!$A$1:$C$1010,2,FALSE)</f>
        <v>2180</v>
      </c>
      <c r="U786" s="31" t="str">
        <f>VLOOKUP(T786,Orgenheter!$A$1:$C$165,2,FALSE)</f>
        <v xml:space="preserve">Pedagogik                     </v>
      </c>
      <c r="V786" s="31" t="str">
        <f>VLOOKUP(T786,Orgenheter!$A$1:$C$165,3,FALSE)</f>
        <v>Sam</v>
      </c>
      <c r="W786" s="37" t="str">
        <f>VLOOKUP(D786,Program!$A$1:$B$34,2,FALSE)</f>
        <v>Ämneslärarprogrammet - Gy</v>
      </c>
      <c r="X786" s="42">
        <f>VLOOKUP(A786,kurspris!$A$1:$Q$798,15,FALSE)</f>
        <v>23641</v>
      </c>
      <c r="Y786" s="42">
        <f>VLOOKUP(A786,kurspris!$A$1:$Q$798,16,FALSE)</f>
        <v>28786</v>
      </c>
      <c r="Z786" s="42">
        <f t="shared" si="442"/>
        <v>70560.013333333336</v>
      </c>
      <c r="AA786" s="42">
        <f>VLOOKUP(A786,kurspris!$A$1:$Q$798,17,FALSE)</f>
        <v>5800</v>
      </c>
      <c r="AB786" s="42">
        <f t="shared" si="443"/>
        <v>8506.6666666666661</v>
      </c>
      <c r="AC786" s="42">
        <f t="shared" si="444"/>
        <v>79066.680000000008</v>
      </c>
      <c r="AD786" s="31">
        <f>VLOOKUP($A786,kurspris!$A$1:$Q$835,3,FALSE)</f>
        <v>0</v>
      </c>
      <c r="AE786" s="31">
        <f>VLOOKUP($A786,kurspris!$A$1:$Q$835,4,FALSE)</f>
        <v>0</v>
      </c>
      <c r="AF786" s="31">
        <f>VLOOKUP($A786,kurspris!$A$1:$Q$835,5,FALSE)</f>
        <v>0</v>
      </c>
      <c r="AG786" s="31">
        <f>VLOOKUP($A786,kurspris!$A$1:$Q$835,6,FALSE)</f>
        <v>1</v>
      </c>
      <c r="AH786" s="31">
        <f>VLOOKUP($A786,kurspris!$A$1:$Q$835,7,FALSE)</f>
        <v>0</v>
      </c>
      <c r="AI786" s="31">
        <f>VLOOKUP($A786,kurspris!$A$1:$Q$835,8,FALSE)</f>
        <v>0</v>
      </c>
      <c r="AJ786" s="31">
        <f>VLOOKUP($A786,kurspris!$A$1:$Q$835,9,FALSE)</f>
        <v>0</v>
      </c>
      <c r="AK786" s="31">
        <f>VLOOKUP($A786,kurspris!$A$1:$Q$835,10,FALSE)</f>
        <v>0</v>
      </c>
      <c r="AL786" s="31">
        <f>VLOOKUP($A786,kurspris!$A$1:$Q$835,11,FALSE)</f>
        <v>0</v>
      </c>
      <c r="AM786" s="31">
        <f>VLOOKUP($A786,kurspris!$A$1:$Q$835,12,FALSE)</f>
        <v>0</v>
      </c>
      <c r="AN786" s="31">
        <f>VLOOKUP($A786,kurspris!$A$1:$Q$835,13,FALSE)</f>
        <v>0</v>
      </c>
      <c r="AO786" s="31">
        <f>VLOOKUP($A786,kurspris!$A$1:$Q$835,14,FALSE)</f>
        <v>0</v>
      </c>
      <c r="AP786" s="39" t="s">
        <v>2326</v>
      </c>
      <c r="AQ786"/>
      <c r="AR786" s="31">
        <f t="shared" si="445"/>
        <v>0</v>
      </c>
      <c r="AS786" s="255">
        <f t="shared" si="446"/>
        <v>0</v>
      </c>
      <c r="AT786" s="31">
        <f t="shared" si="447"/>
        <v>0</v>
      </c>
      <c r="AU786" s="255">
        <f t="shared" si="448"/>
        <v>0</v>
      </c>
      <c r="AV786" s="31">
        <f t="shared" si="449"/>
        <v>0</v>
      </c>
      <c r="AW786" s="31">
        <f t="shared" si="450"/>
        <v>0</v>
      </c>
      <c r="AX786" s="31">
        <f t="shared" si="451"/>
        <v>1.4666666666666666</v>
      </c>
      <c r="AY786" s="255">
        <f t="shared" si="452"/>
        <v>1.2466666666666666</v>
      </c>
      <c r="AZ786" s="232">
        <f t="shared" si="453"/>
        <v>0</v>
      </c>
      <c r="BA786" s="255">
        <f t="shared" si="454"/>
        <v>0</v>
      </c>
      <c r="BB786" s="31">
        <f t="shared" si="455"/>
        <v>0</v>
      </c>
      <c r="BC786" s="255">
        <f t="shared" si="456"/>
        <v>0</v>
      </c>
      <c r="BD786" s="31">
        <f t="shared" si="457"/>
        <v>0</v>
      </c>
      <c r="BE786" s="255">
        <f t="shared" si="458"/>
        <v>0</v>
      </c>
      <c r="BF786" s="31">
        <f t="shared" si="459"/>
        <v>0</v>
      </c>
      <c r="BG786" s="255">
        <f t="shared" si="460"/>
        <v>0</v>
      </c>
      <c r="BH786" s="31">
        <f t="shared" si="461"/>
        <v>0</v>
      </c>
      <c r="BI786" s="255">
        <f t="shared" si="462"/>
        <v>0</v>
      </c>
      <c r="BJ786" s="31">
        <f t="shared" si="463"/>
        <v>0</v>
      </c>
      <c r="BK786" s="31">
        <f t="shared" si="464"/>
        <v>0</v>
      </c>
      <c r="BL786" s="255">
        <f t="shared" si="465"/>
        <v>0</v>
      </c>
      <c r="BM786" s="31">
        <f t="shared" si="466"/>
        <v>0</v>
      </c>
      <c r="BN786" s="255">
        <f t="shared" si="467"/>
        <v>0</v>
      </c>
    </row>
    <row r="787" spans="1:66" x14ac:dyDescent="0.25">
      <c r="A787" s="18" t="s">
        <v>1689</v>
      </c>
      <c r="B787" s="186" t="str">
        <f>VLOOKUP(A787,kurspris!$A$1:$B$877,2,FALSE)</f>
        <v>Utbildningsvetenskap, undervisning och lärande - Ämneslärarprogrammet (UK)</v>
      </c>
      <c r="C787" s="37"/>
      <c r="D787" s="31" t="s">
        <v>483</v>
      </c>
      <c r="E787" s="31" t="s">
        <v>1609</v>
      </c>
      <c r="F787" s="59" t="s">
        <v>1931</v>
      </c>
      <c r="G787" s="31" t="s">
        <v>2274</v>
      </c>
      <c r="J787" t="s">
        <v>1593</v>
      </c>
      <c r="L787" s="31">
        <v>100</v>
      </c>
      <c r="M787" s="31">
        <v>8</v>
      </c>
      <c r="P787" s="31">
        <v>1</v>
      </c>
      <c r="Q787" s="232">
        <f t="shared" si="440"/>
        <v>0.13333333333333333</v>
      </c>
      <c r="R787" s="40">
        <v>0.85</v>
      </c>
      <c r="S787" s="334">
        <f t="shared" si="441"/>
        <v>0.11333333333333333</v>
      </c>
      <c r="T787" s="31">
        <f>VLOOKUP(A787,'Ansvar kurs'!$A$1:$C$1010,2,FALSE)</f>
        <v>2180</v>
      </c>
      <c r="U787" s="31" t="str">
        <f>VLOOKUP(T787,Orgenheter!$A$1:$C$165,2,FALSE)</f>
        <v xml:space="preserve">Pedagogik                     </v>
      </c>
      <c r="V787" s="31" t="str">
        <f>VLOOKUP(T787,Orgenheter!$A$1:$C$165,3,FALSE)</f>
        <v>Sam</v>
      </c>
      <c r="W787" s="37" t="str">
        <f>VLOOKUP(D787,Program!$A$1:$B$34,2,FALSE)</f>
        <v>Ämneslärarprogrammet - Gy</v>
      </c>
      <c r="X787" s="42">
        <f>VLOOKUP(A787,kurspris!$A$1:$Q$798,15,FALSE)</f>
        <v>23641</v>
      </c>
      <c r="Y787" s="42">
        <f>VLOOKUP(A787,kurspris!$A$1:$Q$798,16,FALSE)</f>
        <v>28786</v>
      </c>
      <c r="Z787" s="42">
        <f t="shared" si="442"/>
        <v>6414.5466666666662</v>
      </c>
      <c r="AA787" s="42">
        <f>VLOOKUP(A787,kurspris!$A$1:$Q$798,17,FALSE)</f>
        <v>5800</v>
      </c>
      <c r="AB787" s="42">
        <f t="shared" si="443"/>
        <v>773.33333333333337</v>
      </c>
      <c r="AC787" s="42">
        <f t="shared" si="444"/>
        <v>7187.8799999999992</v>
      </c>
      <c r="AD787" s="31">
        <f>VLOOKUP($A787,kurspris!$A$1:$Q$835,3,FALSE)</f>
        <v>0</v>
      </c>
      <c r="AE787" s="31">
        <f>VLOOKUP($A787,kurspris!$A$1:$Q$835,4,FALSE)</f>
        <v>0</v>
      </c>
      <c r="AF787" s="31">
        <f>VLOOKUP($A787,kurspris!$A$1:$Q$835,5,FALSE)</f>
        <v>0</v>
      </c>
      <c r="AG787" s="31">
        <f>VLOOKUP($A787,kurspris!$A$1:$Q$835,6,FALSE)</f>
        <v>1</v>
      </c>
      <c r="AH787" s="31">
        <f>VLOOKUP($A787,kurspris!$A$1:$Q$835,7,FALSE)</f>
        <v>0</v>
      </c>
      <c r="AI787" s="31">
        <f>VLOOKUP($A787,kurspris!$A$1:$Q$835,8,FALSE)</f>
        <v>0</v>
      </c>
      <c r="AJ787" s="31">
        <f>VLOOKUP($A787,kurspris!$A$1:$Q$835,9,FALSE)</f>
        <v>0</v>
      </c>
      <c r="AK787" s="31">
        <f>VLOOKUP($A787,kurspris!$A$1:$Q$835,10,FALSE)</f>
        <v>0</v>
      </c>
      <c r="AL787" s="31">
        <f>VLOOKUP($A787,kurspris!$A$1:$Q$835,11,FALSE)</f>
        <v>0</v>
      </c>
      <c r="AM787" s="31">
        <f>VLOOKUP($A787,kurspris!$A$1:$Q$835,12,FALSE)</f>
        <v>0</v>
      </c>
      <c r="AN787" s="31">
        <f>VLOOKUP($A787,kurspris!$A$1:$Q$835,13,FALSE)</f>
        <v>0</v>
      </c>
      <c r="AO787" s="31">
        <f>VLOOKUP($A787,kurspris!$A$1:$Q$835,14,FALSE)</f>
        <v>0</v>
      </c>
      <c r="AP787" s="39" t="s">
        <v>2326</v>
      </c>
      <c r="AQ787"/>
      <c r="AR787" s="31">
        <f t="shared" si="445"/>
        <v>0</v>
      </c>
      <c r="AS787" s="255">
        <f t="shared" si="446"/>
        <v>0</v>
      </c>
      <c r="AT787" s="31">
        <f t="shared" si="447"/>
        <v>0</v>
      </c>
      <c r="AU787" s="255">
        <f t="shared" si="448"/>
        <v>0</v>
      </c>
      <c r="AV787" s="31">
        <f t="shared" si="449"/>
        <v>0</v>
      </c>
      <c r="AW787" s="31">
        <f t="shared" si="450"/>
        <v>0</v>
      </c>
      <c r="AX787" s="31">
        <f t="shared" si="451"/>
        <v>0.13333333333333333</v>
      </c>
      <c r="AY787" s="255">
        <f t="shared" si="452"/>
        <v>0.11333333333333333</v>
      </c>
      <c r="AZ787" s="232">
        <f t="shared" si="453"/>
        <v>0</v>
      </c>
      <c r="BA787" s="255">
        <f t="shared" si="454"/>
        <v>0</v>
      </c>
      <c r="BB787" s="31">
        <f t="shared" si="455"/>
        <v>0</v>
      </c>
      <c r="BC787" s="255">
        <f t="shared" si="456"/>
        <v>0</v>
      </c>
      <c r="BD787" s="31">
        <f t="shared" si="457"/>
        <v>0</v>
      </c>
      <c r="BE787" s="255">
        <f t="shared" si="458"/>
        <v>0</v>
      </c>
      <c r="BF787" s="31">
        <f t="shared" si="459"/>
        <v>0</v>
      </c>
      <c r="BG787" s="255">
        <f t="shared" si="460"/>
        <v>0</v>
      </c>
      <c r="BH787" s="31">
        <f t="shared" si="461"/>
        <v>0</v>
      </c>
      <c r="BI787" s="255">
        <f t="shared" si="462"/>
        <v>0</v>
      </c>
      <c r="BJ787" s="31">
        <f t="shared" si="463"/>
        <v>0</v>
      </c>
      <c r="BK787" s="31">
        <f t="shared" si="464"/>
        <v>0</v>
      </c>
      <c r="BL787" s="255">
        <f t="shared" si="465"/>
        <v>0</v>
      </c>
      <c r="BM787" s="31">
        <f t="shared" si="466"/>
        <v>0</v>
      </c>
      <c r="BN787" s="255">
        <f t="shared" si="467"/>
        <v>0</v>
      </c>
    </row>
    <row r="788" spans="1:66" x14ac:dyDescent="0.25">
      <c r="A788" s="18" t="s">
        <v>1689</v>
      </c>
      <c r="B788" s="186" t="str">
        <f>VLOOKUP(A788,kurspris!$A$1:$B$877,2,FALSE)</f>
        <v>Utbildningsvetenskap, undervisning och lärande - Ämneslärarprogrammet (UK)</v>
      </c>
      <c r="C788" s="37"/>
      <c r="D788" s="31" t="s">
        <v>483</v>
      </c>
      <c r="E788" s="31" t="s">
        <v>1788</v>
      </c>
      <c r="F788" s="59" t="s">
        <v>1931</v>
      </c>
      <c r="G788" s="31" t="s">
        <v>2274</v>
      </c>
      <c r="J788" t="s">
        <v>1591</v>
      </c>
      <c r="L788" s="31">
        <v>100</v>
      </c>
      <c r="M788" s="31">
        <v>8</v>
      </c>
      <c r="P788" s="31">
        <v>3</v>
      </c>
      <c r="Q788" s="232">
        <f t="shared" si="440"/>
        <v>0.4</v>
      </c>
      <c r="R788" s="40">
        <v>0.85</v>
      </c>
      <c r="S788" s="334">
        <f t="shared" si="441"/>
        <v>0.34</v>
      </c>
      <c r="T788" s="31">
        <f>VLOOKUP(A788,'Ansvar kurs'!$A$1:$C$1010,2,FALSE)</f>
        <v>2180</v>
      </c>
      <c r="U788" s="31" t="str">
        <f>VLOOKUP(T788,Orgenheter!$A$1:$C$165,2,FALSE)</f>
        <v xml:space="preserve">Pedagogik                     </v>
      </c>
      <c r="V788" s="31" t="str">
        <f>VLOOKUP(T788,Orgenheter!$A$1:$C$165,3,FALSE)</f>
        <v>Sam</v>
      </c>
      <c r="W788" s="37" t="str">
        <f>VLOOKUP(D788,Program!$A$1:$B$34,2,FALSE)</f>
        <v>Ämneslärarprogrammet - Gy</v>
      </c>
      <c r="X788" s="42">
        <f>VLOOKUP(A788,kurspris!$A$1:$Q$798,15,FALSE)</f>
        <v>23641</v>
      </c>
      <c r="Y788" s="42">
        <f>VLOOKUP(A788,kurspris!$A$1:$Q$798,16,FALSE)</f>
        <v>28786</v>
      </c>
      <c r="Z788" s="42">
        <f t="shared" si="442"/>
        <v>19243.64</v>
      </c>
      <c r="AA788" s="42">
        <f>VLOOKUP(A788,kurspris!$A$1:$Q$798,17,FALSE)</f>
        <v>5800</v>
      </c>
      <c r="AB788" s="42">
        <f t="shared" si="443"/>
        <v>2320</v>
      </c>
      <c r="AC788" s="42">
        <f t="shared" si="444"/>
        <v>21563.64</v>
      </c>
      <c r="AD788" s="31">
        <f>VLOOKUP($A788,kurspris!$A$1:$Q$835,3,FALSE)</f>
        <v>0</v>
      </c>
      <c r="AE788" s="31">
        <f>VLOOKUP($A788,kurspris!$A$1:$Q$835,4,FALSE)</f>
        <v>0</v>
      </c>
      <c r="AF788" s="31">
        <f>VLOOKUP($A788,kurspris!$A$1:$Q$835,5,FALSE)</f>
        <v>0</v>
      </c>
      <c r="AG788" s="31">
        <f>VLOOKUP($A788,kurspris!$A$1:$Q$835,6,FALSE)</f>
        <v>1</v>
      </c>
      <c r="AH788" s="31">
        <f>VLOOKUP($A788,kurspris!$A$1:$Q$835,7,FALSE)</f>
        <v>0</v>
      </c>
      <c r="AI788" s="31">
        <f>VLOOKUP($A788,kurspris!$A$1:$Q$835,8,FALSE)</f>
        <v>0</v>
      </c>
      <c r="AJ788" s="31">
        <f>VLOOKUP($A788,kurspris!$A$1:$Q$835,9,FALSE)</f>
        <v>0</v>
      </c>
      <c r="AK788" s="31">
        <f>VLOOKUP($A788,kurspris!$A$1:$Q$835,10,FALSE)</f>
        <v>0</v>
      </c>
      <c r="AL788" s="31">
        <f>VLOOKUP($A788,kurspris!$A$1:$Q$835,11,FALSE)</f>
        <v>0</v>
      </c>
      <c r="AM788" s="31">
        <f>VLOOKUP($A788,kurspris!$A$1:$Q$835,12,FALSE)</f>
        <v>0</v>
      </c>
      <c r="AN788" s="31">
        <f>VLOOKUP($A788,kurspris!$A$1:$Q$835,13,FALSE)</f>
        <v>0</v>
      </c>
      <c r="AO788" s="31">
        <f>VLOOKUP($A788,kurspris!$A$1:$Q$835,14,FALSE)</f>
        <v>0</v>
      </c>
      <c r="AP788" s="39" t="s">
        <v>2326</v>
      </c>
      <c r="AQ788"/>
      <c r="AR788" s="31">
        <f t="shared" si="445"/>
        <v>0</v>
      </c>
      <c r="AS788" s="255">
        <f t="shared" si="446"/>
        <v>0</v>
      </c>
      <c r="AT788" s="31">
        <f t="shared" si="447"/>
        <v>0</v>
      </c>
      <c r="AU788" s="255">
        <f t="shared" si="448"/>
        <v>0</v>
      </c>
      <c r="AV788" s="31">
        <f t="shared" si="449"/>
        <v>0</v>
      </c>
      <c r="AW788" s="31">
        <f t="shared" si="450"/>
        <v>0</v>
      </c>
      <c r="AX788" s="31">
        <f t="shared" si="451"/>
        <v>0.4</v>
      </c>
      <c r="AY788" s="255">
        <f t="shared" si="452"/>
        <v>0.34</v>
      </c>
      <c r="AZ788" s="232">
        <f t="shared" si="453"/>
        <v>0</v>
      </c>
      <c r="BA788" s="255">
        <f t="shared" si="454"/>
        <v>0</v>
      </c>
      <c r="BB788" s="31">
        <f t="shared" si="455"/>
        <v>0</v>
      </c>
      <c r="BC788" s="255">
        <f t="shared" si="456"/>
        <v>0</v>
      </c>
      <c r="BD788" s="31">
        <f t="shared" si="457"/>
        <v>0</v>
      </c>
      <c r="BE788" s="255">
        <f t="shared" si="458"/>
        <v>0</v>
      </c>
      <c r="BF788" s="31">
        <f t="shared" si="459"/>
        <v>0</v>
      </c>
      <c r="BG788" s="255">
        <f t="shared" si="460"/>
        <v>0</v>
      </c>
      <c r="BH788" s="31">
        <f t="shared" si="461"/>
        <v>0</v>
      </c>
      <c r="BI788" s="255">
        <f t="shared" si="462"/>
        <v>0</v>
      </c>
      <c r="BJ788" s="31">
        <f t="shared" si="463"/>
        <v>0</v>
      </c>
      <c r="BK788" s="31">
        <f t="shared" si="464"/>
        <v>0</v>
      </c>
      <c r="BL788" s="255">
        <f t="shared" si="465"/>
        <v>0</v>
      </c>
      <c r="BM788" s="31">
        <f t="shared" si="466"/>
        <v>0</v>
      </c>
      <c r="BN788" s="255">
        <f t="shared" si="467"/>
        <v>0</v>
      </c>
    </row>
    <row r="789" spans="1:66" x14ac:dyDescent="0.25">
      <c r="A789" s="18" t="s">
        <v>1689</v>
      </c>
      <c r="B789" s="186" t="str">
        <f>VLOOKUP(A789,kurspris!$A$1:$B$877,2,FALSE)</f>
        <v>Utbildningsvetenskap, undervisning och lärande - Ämneslärarprogrammet (UK)</v>
      </c>
      <c r="C789" s="37"/>
      <c r="D789" s="31" t="s">
        <v>483</v>
      </c>
      <c r="E789" s="31" t="s">
        <v>1788</v>
      </c>
      <c r="F789" s="59" t="s">
        <v>1931</v>
      </c>
      <c r="G789" s="31" t="s">
        <v>2274</v>
      </c>
      <c r="J789" t="s">
        <v>772</v>
      </c>
      <c r="L789" s="31">
        <v>100</v>
      </c>
      <c r="M789" s="31">
        <v>8</v>
      </c>
      <c r="P789" s="31">
        <v>1</v>
      </c>
      <c r="Q789" s="232">
        <f t="shared" si="440"/>
        <v>0.13333333333333333</v>
      </c>
      <c r="R789" s="40">
        <v>0.85</v>
      </c>
      <c r="S789" s="334">
        <f t="shared" si="441"/>
        <v>0.11333333333333333</v>
      </c>
      <c r="T789" s="31">
        <f>VLOOKUP(A789,'Ansvar kurs'!$A$1:$C$1010,2,FALSE)</f>
        <v>2180</v>
      </c>
      <c r="U789" s="31" t="str">
        <f>VLOOKUP(T789,Orgenheter!$A$1:$C$165,2,FALSE)</f>
        <v xml:space="preserve">Pedagogik                     </v>
      </c>
      <c r="V789" s="31" t="str">
        <f>VLOOKUP(T789,Orgenheter!$A$1:$C$165,3,FALSE)</f>
        <v>Sam</v>
      </c>
      <c r="W789" s="37" t="str">
        <f>VLOOKUP(D789,Program!$A$1:$B$34,2,FALSE)</f>
        <v>Ämneslärarprogrammet - Gy</v>
      </c>
      <c r="X789" s="42">
        <f>VLOOKUP(A789,kurspris!$A$1:$Q$798,15,FALSE)</f>
        <v>23641</v>
      </c>
      <c r="Y789" s="42">
        <f>VLOOKUP(A789,kurspris!$A$1:$Q$798,16,FALSE)</f>
        <v>28786</v>
      </c>
      <c r="Z789" s="42">
        <f t="shared" si="442"/>
        <v>6414.5466666666662</v>
      </c>
      <c r="AA789" s="42">
        <f>VLOOKUP(A789,kurspris!$A$1:$Q$798,17,FALSE)</f>
        <v>5800</v>
      </c>
      <c r="AB789" s="42">
        <f t="shared" si="443"/>
        <v>773.33333333333337</v>
      </c>
      <c r="AC789" s="42">
        <f t="shared" si="444"/>
        <v>7187.8799999999992</v>
      </c>
      <c r="AD789" s="31">
        <f>VLOOKUP($A789,kurspris!$A$1:$Q$835,3,FALSE)</f>
        <v>0</v>
      </c>
      <c r="AE789" s="31">
        <f>VLOOKUP($A789,kurspris!$A$1:$Q$835,4,FALSE)</f>
        <v>0</v>
      </c>
      <c r="AF789" s="31">
        <f>VLOOKUP($A789,kurspris!$A$1:$Q$835,5,FALSE)</f>
        <v>0</v>
      </c>
      <c r="AG789" s="31">
        <f>VLOOKUP($A789,kurspris!$A$1:$Q$835,6,FALSE)</f>
        <v>1</v>
      </c>
      <c r="AH789" s="31">
        <f>VLOOKUP($A789,kurspris!$A$1:$Q$835,7,FALSE)</f>
        <v>0</v>
      </c>
      <c r="AI789" s="31">
        <f>VLOOKUP($A789,kurspris!$A$1:$Q$835,8,FALSE)</f>
        <v>0</v>
      </c>
      <c r="AJ789" s="31">
        <f>VLOOKUP($A789,kurspris!$A$1:$Q$835,9,FALSE)</f>
        <v>0</v>
      </c>
      <c r="AK789" s="31">
        <f>VLOOKUP($A789,kurspris!$A$1:$Q$835,10,FALSE)</f>
        <v>0</v>
      </c>
      <c r="AL789" s="31">
        <f>VLOOKUP($A789,kurspris!$A$1:$Q$835,11,FALSE)</f>
        <v>0</v>
      </c>
      <c r="AM789" s="31">
        <f>VLOOKUP($A789,kurspris!$A$1:$Q$835,12,FALSE)</f>
        <v>0</v>
      </c>
      <c r="AN789" s="31">
        <f>VLOOKUP($A789,kurspris!$A$1:$Q$835,13,FALSE)</f>
        <v>0</v>
      </c>
      <c r="AO789" s="31">
        <f>VLOOKUP($A789,kurspris!$A$1:$Q$835,14,FALSE)</f>
        <v>0</v>
      </c>
      <c r="AP789" s="39" t="s">
        <v>2326</v>
      </c>
      <c r="AQ789"/>
      <c r="AR789" s="31">
        <f t="shared" si="445"/>
        <v>0</v>
      </c>
      <c r="AS789" s="255">
        <f t="shared" si="446"/>
        <v>0</v>
      </c>
      <c r="AT789" s="31">
        <f t="shared" si="447"/>
        <v>0</v>
      </c>
      <c r="AU789" s="255">
        <f t="shared" si="448"/>
        <v>0</v>
      </c>
      <c r="AV789" s="31">
        <f t="shared" si="449"/>
        <v>0</v>
      </c>
      <c r="AW789" s="31">
        <f t="shared" si="450"/>
        <v>0</v>
      </c>
      <c r="AX789" s="31">
        <f t="shared" si="451"/>
        <v>0.13333333333333333</v>
      </c>
      <c r="AY789" s="255">
        <f t="shared" si="452"/>
        <v>0.11333333333333333</v>
      </c>
      <c r="AZ789" s="232">
        <f t="shared" si="453"/>
        <v>0</v>
      </c>
      <c r="BA789" s="255">
        <f t="shared" si="454"/>
        <v>0</v>
      </c>
      <c r="BB789" s="31">
        <f t="shared" si="455"/>
        <v>0</v>
      </c>
      <c r="BC789" s="255">
        <f t="shared" si="456"/>
        <v>0</v>
      </c>
      <c r="BD789" s="31">
        <f t="shared" si="457"/>
        <v>0</v>
      </c>
      <c r="BE789" s="255">
        <f t="shared" si="458"/>
        <v>0</v>
      </c>
      <c r="BF789" s="31">
        <f t="shared" si="459"/>
        <v>0</v>
      </c>
      <c r="BG789" s="255">
        <f t="shared" si="460"/>
        <v>0</v>
      </c>
      <c r="BH789" s="31">
        <f t="shared" si="461"/>
        <v>0</v>
      </c>
      <c r="BI789" s="255">
        <f t="shared" si="462"/>
        <v>0</v>
      </c>
      <c r="BJ789" s="31">
        <f t="shared" si="463"/>
        <v>0</v>
      </c>
      <c r="BK789" s="31">
        <f t="shared" si="464"/>
        <v>0</v>
      </c>
      <c r="BL789" s="255">
        <f t="shared" si="465"/>
        <v>0</v>
      </c>
      <c r="BM789" s="31">
        <f t="shared" si="466"/>
        <v>0</v>
      </c>
      <c r="BN789" s="255">
        <f t="shared" si="467"/>
        <v>0</v>
      </c>
    </row>
    <row r="790" spans="1:66" x14ac:dyDescent="0.25">
      <c r="A790" s="18" t="s">
        <v>1689</v>
      </c>
      <c r="B790" s="186" t="str">
        <f>VLOOKUP(A790,kurspris!$A$1:$B$877,2,FALSE)</f>
        <v>Utbildningsvetenskap, undervisning och lärande - Ämneslärarprogrammet (UK)</v>
      </c>
      <c r="C790" s="37"/>
      <c r="D790" s="31" t="s">
        <v>483</v>
      </c>
      <c r="E790" s="31" t="s">
        <v>1788</v>
      </c>
      <c r="F790" s="59" t="s">
        <v>1931</v>
      </c>
      <c r="G790" s="31" t="s">
        <v>2274</v>
      </c>
      <c r="J790" t="s">
        <v>774</v>
      </c>
      <c r="L790" s="31">
        <v>100</v>
      </c>
      <c r="M790" s="31">
        <v>8</v>
      </c>
      <c r="P790" s="31">
        <v>1</v>
      </c>
      <c r="Q790" s="232">
        <f t="shared" si="440"/>
        <v>0.13333333333333333</v>
      </c>
      <c r="R790" s="40">
        <v>0.85</v>
      </c>
      <c r="S790" s="334">
        <f t="shared" si="441"/>
        <v>0.11333333333333333</v>
      </c>
      <c r="T790" s="31">
        <f>VLOOKUP(A790,'Ansvar kurs'!$A$1:$C$1010,2,FALSE)</f>
        <v>2180</v>
      </c>
      <c r="U790" s="31" t="str">
        <f>VLOOKUP(T790,Orgenheter!$A$1:$C$165,2,FALSE)</f>
        <v xml:space="preserve">Pedagogik                     </v>
      </c>
      <c r="V790" s="31" t="str">
        <f>VLOOKUP(T790,Orgenheter!$A$1:$C$165,3,FALSE)</f>
        <v>Sam</v>
      </c>
      <c r="W790" s="37" t="str">
        <f>VLOOKUP(D790,Program!$A$1:$B$34,2,FALSE)</f>
        <v>Ämneslärarprogrammet - Gy</v>
      </c>
      <c r="X790" s="42">
        <f>VLOOKUP(A790,kurspris!$A$1:$Q$798,15,FALSE)</f>
        <v>23641</v>
      </c>
      <c r="Y790" s="42">
        <f>VLOOKUP(A790,kurspris!$A$1:$Q$798,16,FALSE)</f>
        <v>28786</v>
      </c>
      <c r="Z790" s="42">
        <f t="shared" si="442"/>
        <v>6414.5466666666662</v>
      </c>
      <c r="AA790" s="42">
        <f>VLOOKUP(A790,kurspris!$A$1:$Q$798,17,FALSE)</f>
        <v>5800</v>
      </c>
      <c r="AB790" s="42">
        <f t="shared" si="443"/>
        <v>773.33333333333337</v>
      </c>
      <c r="AC790" s="42">
        <f t="shared" si="444"/>
        <v>7187.8799999999992</v>
      </c>
      <c r="AD790" s="31">
        <f>VLOOKUP($A790,kurspris!$A$1:$Q$835,3,FALSE)</f>
        <v>0</v>
      </c>
      <c r="AE790" s="31">
        <f>VLOOKUP($A790,kurspris!$A$1:$Q$835,4,FALSE)</f>
        <v>0</v>
      </c>
      <c r="AF790" s="31">
        <f>VLOOKUP($A790,kurspris!$A$1:$Q$835,5,FALSE)</f>
        <v>0</v>
      </c>
      <c r="AG790" s="31">
        <f>VLOOKUP($A790,kurspris!$A$1:$Q$835,6,FALSE)</f>
        <v>1</v>
      </c>
      <c r="AH790" s="31">
        <f>VLOOKUP($A790,kurspris!$A$1:$Q$835,7,FALSE)</f>
        <v>0</v>
      </c>
      <c r="AI790" s="31">
        <f>VLOOKUP($A790,kurspris!$A$1:$Q$835,8,FALSE)</f>
        <v>0</v>
      </c>
      <c r="AJ790" s="31">
        <f>VLOOKUP($A790,kurspris!$A$1:$Q$835,9,FALSE)</f>
        <v>0</v>
      </c>
      <c r="AK790" s="31">
        <f>VLOOKUP($A790,kurspris!$A$1:$Q$835,10,FALSE)</f>
        <v>0</v>
      </c>
      <c r="AL790" s="31">
        <f>VLOOKUP($A790,kurspris!$A$1:$Q$835,11,FALSE)</f>
        <v>0</v>
      </c>
      <c r="AM790" s="31">
        <f>VLOOKUP($A790,kurspris!$A$1:$Q$835,12,FALSE)</f>
        <v>0</v>
      </c>
      <c r="AN790" s="31">
        <f>VLOOKUP($A790,kurspris!$A$1:$Q$835,13,FALSE)</f>
        <v>0</v>
      </c>
      <c r="AO790" s="31">
        <f>VLOOKUP($A790,kurspris!$A$1:$Q$835,14,FALSE)</f>
        <v>0</v>
      </c>
      <c r="AP790" s="39" t="s">
        <v>2326</v>
      </c>
      <c r="AQ790"/>
      <c r="AR790" s="31">
        <f t="shared" si="445"/>
        <v>0</v>
      </c>
      <c r="AS790" s="255">
        <f t="shared" si="446"/>
        <v>0</v>
      </c>
      <c r="AT790" s="31">
        <f t="shared" si="447"/>
        <v>0</v>
      </c>
      <c r="AU790" s="255">
        <f t="shared" si="448"/>
        <v>0</v>
      </c>
      <c r="AV790" s="31">
        <f t="shared" si="449"/>
        <v>0</v>
      </c>
      <c r="AW790" s="31">
        <f t="shared" si="450"/>
        <v>0</v>
      </c>
      <c r="AX790" s="31">
        <f t="shared" si="451"/>
        <v>0.13333333333333333</v>
      </c>
      <c r="AY790" s="255">
        <f t="shared" si="452"/>
        <v>0.11333333333333333</v>
      </c>
      <c r="AZ790" s="232">
        <f t="shared" si="453"/>
        <v>0</v>
      </c>
      <c r="BA790" s="255">
        <f t="shared" si="454"/>
        <v>0</v>
      </c>
      <c r="BB790" s="31">
        <f t="shared" si="455"/>
        <v>0</v>
      </c>
      <c r="BC790" s="255">
        <f t="shared" si="456"/>
        <v>0</v>
      </c>
      <c r="BD790" s="31">
        <f t="shared" si="457"/>
        <v>0</v>
      </c>
      <c r="BE790" s="255">
        <f t="shared" si="458"/>
        <v>0</v>
      </c>
      <c r="BF790" s="31">
        <f t="shared" si="459"/>
        <v>0</v>
      </c>
      <c r="BG790" s="255">
        <f t="shared" si="460"/>
        <v>0</v>
      </c>
      <c r="BH790" s="31">
        <f t="shared" si="461"/>
        <v>0</v>
      </c>
      <c r="BI790" s="255">
        <f t="shared" si="462"/>
        <v>0</v>
      </c>
      <c r="BJ790" s="31">
        <f t="shared" si="463"/>
        <v>0</v>
      </c>
      <c r="BK790" s="31">
        <f t="shared" si="464"/>
        <v>0</v>
      </c>
      <c r="BL790" s="255">
        <f t="shared" si="465"/>
        <v>0</v>
      </c>
      <c r="BM790" s="31">
        <f t="shared" si="466"/>
        <v>0</v>
      </c>
      <c r="BN790" s="255">
        <f t="shared" si="467"/>
        <v>0</v>
      </c>
    </row>
    <row r="791" spans="1:66" x14ac:dyDescent="0.25">
      <c r="A791" s="18" t="s">
        <v>1689</v>
      </c>
      <c r="B791" s="186" t="str">
        <f>VLOOKUP(A791,kurspris!$A$1:$B$877,2,FALSE)</f>
        <v>Utbildningsvetenskap, undervisning och lärande - Ämneslärarprogrammet (UK)</v>
      </c>
      <c r="C791" s="37"/>
      <c r="D791" s="31" t="s">
        <v>483</v>
      </c>
      <c r="E791" s="31" t="s">
        <v>1788</v>
      </c>
      <c r="F791" s="59" t="s">
        <v>1931</v>
      </c>
      <c r="G791" s="31" t="s">
        <v>2274</v>
      </c>
      <c r="J791" t="s">
        <v>1592</v>
      </c>
      <c r="L791" s="31">
        <v>100</v>
      </c>
      <c r="M791" s="31">
        <v>8</v>
      </c>
      <c r="P791" s="31">
        <v>1</v>
      </c>
      <c r="Q791" s="232">
        <f t="shared" si="440"/>
        <v>0.13333333333333333</v>
      </c>
      <c r="R791" s="40">
        <v>0.85</v>
      </c>
      <c r="S791" s="334">
        <f t="shared" si="441"/>
        <v>0.11333333333333333</v>
      </c>
      <c r="T791" s="31">
        <f>VLOOKUP(A791,'Ansvar kurs'!$A$1:$C$1010,2,FALSE)</f>
        <v>2180</v>
      </c>
      <c r="U791" s="31" t="str">
        <f>VLOOKUP(T791,Orgenheter!$A$1:$C$165,2,FALSE)</f>
        <v xml:space="preserve">Pedagogik                     </v>
      </c>
      <c r="V791" s="31" t="str">
        <f>VLOOKUP(T791,Orgenheter!$A$1:$C$165,3,FALSE)</f>
        <v>Sam</v>
      </c>
      <c r="W791" s="37" t="str">
        <f>VLOOKUP(D791,Program!$A$1:$B$34,2,FALSE)</f>
        <v>Ämneslärarprogrammet - Gy</v>
      </c>
      <c r="X791" s="42">
        <f>VLOOKUP(A791,kurspris!$A$1:$Q$798,15,FALSE)</f>
        <v>23641</v>
      </c>
      <c r="Y791" s="42">
        <f>VLOOKUP(A791,kurspris!$A$1:$Q$798,16,FALSE)</f>
        <v>28786</v>
      </c>
      <c r="Z791" s="42">
        <f t="shared" si="442"/>
        <v>6414.5466666666662</v>
      </c>
      <c r="AA791" s="42">
        <f>VLOOKUP(A791,kurspris!$A$1:$Q$798,17,FALSE)</f>
        <v>5800</v>
      </c>
      <c r="AB791" s="42">
        <f t="shared" si="443"/>
        <v>773.33333333333337</v>
      </c>
      <c r="AC791" s="42">
        <f t="shared" si="444"/>
        <v>7187.8799999999992</v>
      </c>
      <c r="AD791" s="31">
        <f>VLOOKUP($A791,kurspris!$A$1:$Q$835,3,FALSE)</f>
        <v>0</v>
      </c>
      <c r="AE791" s="31">
        <f>VLOOKUP($A791,kurspris!$A$1:$Q$835,4,FALSE)</f>
        <v>0</v>
      </c>
      <c r="AF791" s="31">
        <f>VLOOKUP($A791,kurspris!$A$1:$Q$835,5,FALSE)</f>
        <v>0</v>
      </c>
      <c r="AG791" s="31">
        <f>VLOOKUP($A791,kurspris!$A$1:$Q$835,6,FALSE)</f>
        <v>1</v>
      </c>
      <c r="AH791" s="31">
        <f>VLOOKUP($A791,kurspris!$A$1:$Q$835,7,FALSE)</f>
        <v>0</v>
      </c>
      <c r="AI791" s="31">
        <f>VLOOKUP($A791,kurspris!$A$1:$Q$835,8,FALSE)</f>
        <v>0</v>
      </c>
      <c r="AJ791" s="31">
        <f>VLOOKUP($A791,kurspris!$A$1:$Q$835,9,FALSE)</f>
        <v>0</v>
      </c>
      <c r="AK791" s="31">
        <f>VLOOKUP($A791,kurspris!$A$1:$Q$835,10,FALSE)</f>
        <v>0</v>
      </c>
      <c r="AL791" s="31">
        <f>VLOOKUP($A791,kurspris!$A$1:$Q$835,11,FALSE)</f>
        <v>0</v>
      </c>
      <c r="AM791" s="31">
        <f>VLOOKUP($A791,kurspris!$A$1:$Q$835,12,FALSE)</f>
        <v>0</v>
      </c>
      <c r="AN791" s="31">
        <f>VLOOKUP($A791,kurspris!$A$1:$Q$835,13,FALSE)</f>
        <v>0</v>
      </c>
      <c r="AO791" s="31">
        <f>VLOOKUP($A791,kurspris!$A$1:$Q$835,14,FALSE)</f>
        <v>0</v>
      </c>
      <c r="AP791" s="39" t="s">
        <v>2326</v>
      </c>
      <c r="AQ791"/>
      <c r="AR791" s="31">
        <f t="shared" si="445"/>
        <v>0</v>
      </c>
      <c r="AS791" s="255">
        <f t="shared" si="446"/>
        <v>0</v>
      </c>
      <c r="AT791" s="31">
        <f t="shared" si="447"/>
        <v>0</v>
      </c>
      <c r="AU791" s="255">
        <f t="shared" si="448"/>
        <v>0</v>
      </c>
      <c r="AV791" s="31">
        <f t="shared" si="449"/>
        <v>0</v>
      </c>
      <c r="AW791" s="31">
        <f t="shared" si="450"/>
        <v>0</v>
      </c>
      <c r="AX791" s="31">
        <f t="shared" si="451"/>
        <v>0.13333333333333333</v>
      </c>
      <c r="AY791" s="255">
        <f t="shared" si="452"/>
        <v>0.11333333333333333</v>
      </c>
      <c r="AZ791" s="232">
        <f t="shared" si="453"/>
        <v>0</v>
      </c>
      <c r="BA791" s="255">
        <f t="shared" si="454"/>
        <v>0</v>
      </c>
      <c r="BB791" s="31">
        <f t="shared" si="455"/>
        <v>0</v>
      </c>
      <c r="BC791" s="255">
        <f t="shared" si="456"/>
        <v>0</v>
      </c>
      <c r="BD791" s="31">
        <f t="shared" si="457"/>
        <v>0</v>
      </c>
      <c r="BE791" s="255">
        <f t="shared" si="458"/>
        <v>0</v>
      </c>
      <c r="BF791" s="31">
        <f t="shared" si="459"/>
        <v>0</v>
      </c>
      <c r="BG791" s="255">
        <f t="shared" si="460"/>
        <v>0</v>
      </c>
      <c r="BH791" s="31">
        <f t="shared" si="461"/>
        <v>0</v>
      </c>
      <c r="BI791" s="255">
        <f t="shared" si="462"/>
        <v>0</v>
      </c>
      <c r="BJ791" s="31">
        <f t="shared" si="463"/>
        <v>0</v>
      </c>
      <c r="BK791" s="31">
        <f t="shared" si="464"/>
        <v>0</v>
      </c>
      <c r="BL791" s="255">
        <f t="shared" si="465"/>
        <v>0</v>
      </c>
      <c r="BM791" s="31">
        <f t="shared" si="466"/>
        <v>0</v>
      </c>
      <c r="BN791" s="255">
        <f t="shared" si="467"/>
        <v>0</v>
      </c>
    </row>
    <row r="792" spans="1:66" x14ac:dyDescent="0.25">
      <c r="A792" t="s">
        <v>1626</v>
      </c>
      <c r="B792" s="186" t="str">
        <f>VLOOKUP(A792,kurspris!$A$1:$B$877,2,FALSE)</f>
        <v>Den professionella läraren 2: Uppdrag, ledarskap och undervisning (UK)</v>
      </c>
      <c r="C792"/>
      <c r="D792" t="s">
        <v>1632</v>
      </c>
      <c r="E792" t="s">
        <v>1930</v>
      </c>
      <c r="F792" s="59" t="s">
        <v>1930</v>
      </c>
      <c r="G792" t="s">
        <v>1941</v>
      </c>
      <c r="H792" t="s">
        <v>1910</v>
      </c>
      <c r="I792"/>
      <c r="J792"/>
      <c r="K792"/>
      <c r="L792" s="423">
        <v>100</v>
      </c>
      <c r="M792">
        <v>7.5</v>
      </c>
      <c r="N792"/>
      <c r="O792"/>
      <c r="P792" s="31">
        <v>14</v>
      </c>
      <c r="Q792" s="232">
        <f t="shared" si="440"/>
        <v>1.75</v>
      </c>
      <c r="R792" s="40">
        <v>0.85</v>
      </c>
      <c r="S792" s="334">
        <f t="shared" si="441"/>
        <v>1.4875</v>
      </c>
      <c r="T792" s="31">
        <f>VLOOKUP(A792,'Ansvar kurs'!$A$1:$C$1010,2,FALSE)</f>
        <v>2180</v>
      </c>
      <c r="U792" s="31" t="str">
        <f>VLOOKUP(T792,Orgenheter!$A$1:$C$165,2,FALSE)</f>
        <v xml:space="preserve">Pedagogik                     </v>
      </c>
      <c r="V792" s="31" t="str">
        <f>VLOOKUP(T792,Orgenheter!$A$1:$C$165,3,FALSE)</f>
        <v>Sam</v>
      </c>
      <c r="W792" s="37" t="str">
        <f>VLOOKUP(D792,Program!$A$1:$B$34,2,FALSE)</f>
        <v>KPU - Förhöjd studietakt - utbildningsbidrag</v>
      </c>
      <c r="X792" s="42">
        <f>VLOOKUP(A792,kurspris!$A$1:$Q$798,15,FALSE)</f>
        <v>23641</v>
      </c>
      <c r="Y792" s="42">
        <f>VLOOKUP(A792,kurspris!$A$1:$Q$798,16,FALSE)</f>
        <v>28786</v>
      </c>
      <c r="Z792" s="42">
        <f t="shared" si="442"/>
        <v>84190.925000000003</v>
      </c>
      <c r="AA792" s="42">
        <f>VLOOKUP(A792,kurspris!$A$1:$Q$798,17,FALSE)</f>
        <v>5800</v>
      </c>
      <c r="AB792" s="42">
        <f t="shared" si="443"/>
        <v>10150</v>
      </c>
      <c r="AC792" s="42">
        <f t="shared" si="444"/>
        <v>94340.925000000003</v>
      </c>
      <c r="AD792" s="31">
        <f>VLOOKUP($A792,kurspris!$A$1:$Q$835,3,FALSE)</f>
        <v>0</v>
      </c>
      <c r="AE792" s="31">
        <f>VLOOKUP($A792,kurspris!$A$1:$Q$835,4,FALSE)</f>
        <v>0</v>
      </c>
      <c r="AF792" s="31">
        <f>VLOOKUP($A792,kurspris!$A$1:$Q$835,5,FALSE)</f>
        <v>0</v>
      </c>
      <c r="AG792" s="31">
        <f>VLOOKUP($A792,kurspris!$A$1:$Q$835,6,FALSE)</f>
        <v>1</v>
      </c>
      <c r="AH792" s="31">
        <f>VLOOKUP($A792,kurspris!$A$1:$Q$835,7,FALSE)</f>
        <v>0</v>
      </c>
      <c r="AI792" s="31">
        <f>VLOOKUP($A792,kurspris!$A$1:$Q$835,8,FALSE)</f>
        <v>0</v>
      </c>
      <c r="AJ792" s="31">
        <f>VLOOKUP($A792,kurspris!$A$1:$Q$835,9,FALSE)</f>
        <v>0</v>
      </c>
      <c r="AK792" s="31">
        <f>VLOOKUP($A792,kurspris!$A$1:$Q$835,10,FALSE)</f>
        <v>0</v>
      </c>
      <c r="AL792" s="31">
        <f>VLOOKUP($A792,kurspris!$A$1:$Q$835,11,FALSE)</f>
        <v>0</v>
      </c>
      <c r="AM792" s="31">
        <f>VLOOKUP($A792,kurspris!$A$1:$Q$835,12,FALSE)</f>
        <v>0</v>
      </c>
      <c r="AN792" s="31">
        <f>VLOOKUP($A792,kurspris!$A$1:$Q$835,13,FALSE)</f>
        <v>0</v>
      </c>
      <c r="AO792" s="31">
        <f>VLOOKUP($A792,kurspris!$A$1:$Q$835,14,FALSE)</f>
        <v>0</v>
      </c>
      <c r="AP792" s="39" t="s">
        <v>2235</v>
      </c>
      <c r="AQ792"/>
      <c r="AR792" s="31">
        <f t="shared" si="445"/>
        <v>0</v>
      </c>
      <c r="AS792" s="255">
        <f t="shared" si="446"/>
        <v>0</v>
      </c>
      <c r="AT792" s="31">
        <f t="shared" si="447"/>
        <v>0</v>
      </c>
      <c r="AU792" s="255">
        <f t="shared" si="448"/>
        <v>0</v>
      </c>
      <c r="AV792" s="31">
        <f t="shared" si="449"/>
        <v>0</v>
      </c>
      <c r="AW792" s="31">
        <f t="shared" si="450"/>
        <v>0</v>
      </c>
      <c r="AX792" s="31">
        <f t="shared" si="451"/>
        <v>1.75</v>
      </c>
      <c r="AY792" s="255">
        <f t="shared" si="452"/>
        <v>1.4875</v>
      </c>
      <c r="AZ792" s="232">
        <f t="shared" si="453"/>
        <v>0</v>
      </c>
      <c r="BA792" s="255">
        <f t="shared" si="454"/>
        <v>0</v>
      </c>
      <c r="BB792" s="31">
        <f t="shared" si="455"/>
        <v>0</v>
      </c>
      <c r="BC792" s="255">
        <f t="shared" si="456"/>
        <v>0</v>
      </c>
      <c r="BD792" s="31">
        <f t="shared" si="457"/>
        <v>0</v>
      </c>
      <c r="BE792" s="255">
        <f t="shared" si="458"/>
        <v>0</v>
      </c>
      <c r="BF792" s="31">
        <f t="shared" si="459"/>
        <v>0</v>
      </c>
      <c r="BG792" s="255">
        <f t="shared" si="460"/>
        <v>0</v>
      </c>
      <c r="BH792" s="31">
        <f t="shared" si="461"/>
        <v>0</v>
      </c>
      <c r="BI792" s="255">
        <f t="shared" si="462"/>
        <v>0</v>
      </c>
      <c r="BJ792" s="31">
        <f t="shared" si="463"/>
        <v>0</v>
      </c>
      <c r="BK792" s="31">
        <f t="shared" si="464"/>
        <v>0</v>
      </c>
      <c r="BL792" s="255">
        <f t="shared" si="465"/>
        <v>0</v>
      </c>
      <c r="BM792" s="31">
        <f t="shared" si="466"/>
        <v>0</v>
      </c>
      <c r="BN792" s="255">
        <f t="shared" si="467"/>
        <v>0</v>
      </c>
    </row>
    <row r="793" spans="1:66" x14ac:dyDescent="0.25">
      <c r="A793" s="59" t="s">
        <v>1626</v>
      </c>
      <c r="B793" s="186" t="str">
        <f>VLOOKUP(A793,kurspris!$A$1:$B$877,2,FALSE)</f>
        <v>Den professionella läraren 2: Uppdrag, ledarskap och undervisning (UK)</v>
      </c>
      <c r="C793" s="37"/>
      <c r="D793" s="59" t="s">
        <v>629</v>
      </c>
      <c r="E793" s="62" t="s">
        <v>1931</v>
      </c>
      <c r="F793" s="59" t="s">
        <v>1931</v>
      </c>
      <c r="G793" s="31" t="s">
        <v>2295</v>
      </c>
      <c r="I793" s="62"/>
      <c r="J793" t="s">
        <v>2304</v>
      </c>
      <c r="L793" s="295">
        <v>150</v>
      </c>
      <c r="M793" s="378">
        <v>7.5</v>
      </c>
      <c r="P793" s="31">
        <v>2</v>
      </c>
      <c r="Q793" s="232">
        <f t="shared" si="440"/>
        <v>0.25</v>
      </c>
      <c r="R793" s="40">
        <v>0.85</v>
      </c>
      <c r="S793" s="334">
        <f t="shared" si="441"/>
        <v>0.21249999999999999</v>
      </c>
      <c r="T793" s="31">
        <f>VLOOKUP(A793,'Ansvar kurs'!$A$1:$C$1010,2,FALSE)</f>
        <v>2180</v>
      </c>
      <c r="U793" s="31" t="str">
        <f>VLOOKUP(T793,Orgenheter!$A$1:$C$165,2,FALSE)</f>
        <v xml:space="preserve">Pedagogik                     </v>
      </c>
      <c r="V793" s="31" t="str">
        <f>VLOOKUP(T793,Orgenheter!$A$1:$C$165,3,FALSE)</f>
        <v>Sam</v>
      </c>
      <c r="W793" s="37" t="str">
        <f>VLOOKUP(D793,Program!$A$1:$B$34,2,FALSE)</f>
        <v>KPU - åk 7-9</v>
      </c>
      <c r="X793" s="42">
        <f>VLOOKUP(A793,kurspris!$A$1:$Q$798,15,FALSE)</f>
        <v>23641</v>
      </c>
      <c r="Y793" s="42">
        <f>VLOOKUP(A793,kurspris!$A$1:$Q$798,16,FALSE)</f>
        <v>28786</v>
      </c>
      <c r="Z793" s="42">
        <f t="shared" si="442"/>
        <v>12027.275</v>
      </c>
      <c r="AA793" s="42">
        <f>VLOOKUP(A793,kurspris!$A$1:$Q$798,17,FALSE)</f>
        <v>5800</v>
      </c>
      <c r="AB793" s="42">
        <f t="shared" si="443"/>
        <v>1450</v>
      </c>
      <c r="AC793" s="42">
        <f t="shared" si="444"/>
        <v>13477.275</v>
      </c>
      <c r="AD793" s="31">
        <f>VLOOKUP($A793,kurspris!$A$1:$Q$835,3,FALSE)</f>
        <v>0</v>
      </c>
      <c r="AE793" s="31">
        <f>VLOOKUP($A793,kurspris!$A$1:$Q$835,4,FALSE)</f>
        <v>0</v>
      </c>
      <c r="AF793" s="31">
        <f>VLOOKUP($A793,kurspris!$A$1:$Q$835,5,FALSE)</f>
        <v>0</v>
      </c>
      <c r="AG793" s="31">
        <f>VLOOKUP($A793,kurspris!$A$1:$Q$835,6,FALSE)</f>
        <v>1</v>
      </c>
      <c r="AH793" s="31">
        <f>VLOOKUP($A793,kurspris!$A$1:$Q$835,7,FALSE)</f>
        <v>0</v>
      </c>
      <c r="AI793" s="31">
        <f>VLOOKUP($A793,kurspris!$A$1:$Q$835,8,FALSE)</f>
        <v>0</v>
      </c>
      <c r="AJ793" s="31">
        <f>VLOOKUP($A793,kurspris!$A$1:$Q$835,9,FALSE)</f>
        <v>0</v>
      </c>
      <c r="AK793" s="31">
        <f>VLOOKUP($A793,kurspris!$A$1:$Q$835,10,FALSE)</f>
        <v>0</v>
      </c>
      <c r="AL793" s="31">
        <f>VLOOKUP($A793,kurspris!$A$1:$Q$835,11,FALSE)</f>
        <v>0</v>
      </c>
      <c r="AM793" s="31">
        <f>VLOOKUP($A793,kurspris!$A$1:$Q$835,12,FALSE)</f>
        <v>0</v>
      </c>
      <c r="AN793" s="31">
        <f>VLOOKUP($A793,kurspris!$A$1:$Q$835,13,FALSE)</f>
        <v>0</v>
      </c>
      <c r="AO793" s="31">
        <f>VLOOKUP($A793,kurspris!$A$1:$Q$835,14,FALSE)</f>
        <v>0</v>
      </c>
      <c r="AP793" s="39" t="s">
        <v>2326</v>
      </c>
      <c r="AQ793"/>
      <c r="AR793" s="31">
        <f t="shared" si="445"/>
        <v>0</v>
      </c>
      <c r="AS793" s="255">
        <f t="shared" si="446"/>
        <v>0</v>
      </c>
      <c r="AT793" s="31">
        <f t="shared" si="447"/>
        <v>0</v>
      </c>
      <c r="AU793" s="255">
        <f t="shared" si="448"/>
        <v>0</v>
      </c>
      <c r="AV793" s="31">
        <f t="shared" si="449"/>
        <v>0</v>
      </c>
      <c r="AW793" s="31">
        <f t="shared" si="450"/>
        <v>0</v>
      </c>
      <c r="AX793" s="31">
        <f t="shared" si="451"/>
        <v>0.25</v>
      </c>
      <c r="AY793" s="255">
        <f t="shared" si="452"/>
        <v>0.21249999999999999</v>
      </c>
      <c r="AZ793" s="232">
        <f t="shared" si="453"/>
        <v>0</v>
      </c>
      <c r="BA793" s="255">
        <f t="shared" si="454"/>
        <v>0</v>
      </c>
      <c r="BB793" s="31">
        <f t="shared" si="455"/>
        <v>0</v>
      </c>
      <c r="BC793" s="255">
        <f t="shared" si="456"/>
        <v>0</v>
      </c>
      <c r="BD793" s="31">
        <f t="shared" si="457"/>
        <v>0</v>
      </c>
      <c r="BE793" s="255">
        <f t="shared" si="458"/>
        <v>0</v>
      </c>
      <c r="BF793" s="31">
        <f t="shared" si="459"/>
        <v>0</v>
      </c>
      <c r="BG793" s="255">
        <f t="shared" si="460"/>
        <v>0</v>
      </c>
      <c r="BH793" s="31">
        <f t="shared" si="461"/>
        <v>0</v>
      </c>
      <c r="BI793" s="255">
        <f t="shared" si="462"/>
        <v>0</v>
      </c>
      <c r="BJ793" s="31">
        <f t="shared" si="463"/>
        <v>0</v>
      </c>
      <c r="BK793" s="31">
        <f t="shared" si="464"/>
        <v>0</v>
      </c>
      <c r="BL793" s="255">
        <f t="shared" si="465"/>
        <v>0</v>
      </c>
      <c r="BM793" s="31">
        <f t="shared" si="466"/>
        <v>0</v>
      </c>
      <c r="BN793" s="255">
        <f t="shared" si="467"/>
        <v>0</v>
      </c>
    </row>
    <row r="794" spans="1:66" x14ac:dyDescent="0.25">
      <c r="A794" s="59" t="s">
        <v>1626</v>
      </c>
      <c r="B794" s="186" t="str">
        <f>VLOOKUP(A794,kurspris!$A$1:$B$877,2,FALSE)</f>
        <v>Den professionella läraren 2: Uppdrag, ledarskap och undervisning (UK)</v>
      </c>
      <c r="C794" s="37"/>
      <c r="D794" s="59" t="s">
        <v>629</v>
      </c>
      <c r="E794" s="62" t="s">
        <v>1931</v>
      </c>
      <c r="F794" s="59" t="s">
        <v>1931</v>
      </c>
      <c r="G794" s="31" t="s">
        <v>2295</v>
      </c>
      <c r="I794" s="62"/>
      <c r="J794" t="s">
        <v>2302</v>
      </c>
      <c r="L794" s="295">
        <v>150</v>
      </c>
      <c r="M794" s="378">
        <v>7.5</v>
      </c>
      <c r="P794" s="31">
        <v>11</v>
      </c>
      <c r="Q794" s="232">
        <f t="shared" si="440"/>
        <v>1.375</v>
      </c>
      <c r="R794" s="40">
        <v>0.85</v>
      </c>
      <c r="S794" s="334">
        <f t="shared" si="441"/>
        <v>1.16875</v>
      </c>
      <c r="T794" s="31">
        <f>VLOOKUP(A794,'Ansvar kurs'!$A$1:$C$1010,2,FALSE)</f>
        <v>2180</v>
      </c>
      <c r="U794" s="31" t="str">
        <f>VLOOKUP(T794,Orgenheter!$A$1:$C$165,2,FALSE)</f>
        <v xml:space="preserve">Pedagogik                     </v>
      </c>
      <c r="V794" s="31" t="str">
        <f>VLOOKUP(T794,Orgenheter!$A$1:$C$165,3,FALSE)</f>
        <v>Sam</v>
      </c>
      <c r="W794" s="37" t="str">
        <f>VLOOKUP(D794,Program!$A$1:$B$34,2,FALSE)</f>
        <v>KPU - åk 7-9</v>
      </c>
      <c r="X794" s="42">
        <f>VLOOKUP(A794,kurspris!$A$1:$Q$798,15,FALSE)</f>
        <v>23641</v>
      </c>
      <c r="Y794" s="42">
        <f>VLOOKUP(A794,kurspris!$A$1:$Q$798,16,FALSE)</f>
        <v>28786</v>
      </c>
      <c r="Z794" s="42">
        <f t="shared" si="442"/>
        <v>66150.012499999997</v>
      </c>
      <c r="AA794" s="42">
        <f>VLOOKUP(A794,kurspris!$A$1:$Q$798,17,FALSE)</f>
        <v>5800</v>
      </c>
      <c r="AB794" s="42">
        <f t="shared" si="443"/>
        <v>7975</v>
      </c>
      <c r="AC794" s="42">
        <f t="shared" si="444"/>
        <v>74125.012499999997</v>
      </c>
      <c r="AD794" s="31">
        <f>VLOOKUP($A794,kurspris!$A$1:$Q$835,3,FALSE)</f>
        <v>0</v>
      </c>
      <c r="AE794" s="31">
        <f>VLOOKUP($A794,kurspris!$A$1:$Q$835,4,FALSE)</f>
        <v>0</v>
      </c>
      <c r="AF794" s="31">
        <f>VLOOKUP($A794,kurspris!$A$1:$Q$835,5,FALSE)</f>
        <v>0</v>
      </c>
      <c r="AG794" s="31">
        <f>VLOOKUP($A794,kurspris!$A$1:$Q$835,6,FALSE)</f>
        <v>1</v>
      </c>
      <c r="AH794" s="31">
        <f>VLOOKUP($A794,kurspris!$A$1:$Q$835,7,FALSE)</f>
        <v>0</v>
      </c>
      <c r="AI794" s="31">
        <f>VLOOKUP($A794,kurspris!$A$1:$Q$835,8,FALSE)</f>
        <v>0</v>
      </c>
      <c r="AJ794" s="31">
        <f>VLOOKUP($A794,kurspris!$A$1:$Q$835,9,FALSE)</f>
        <v>0</v>
      </c>
      <c r="AK794" s="31">
        <f>VLOOKUP($A794,kurspris!$A$1:$Q$835,10,FALSE)</f>
        <v>0</v>
      </c>
      <c r="AL794" s="31">
        <f>VLOOKUP($A794,kurspris!$A$1:$Q$835,11,FALSE)</f>
        <v>0</v>
      </c>
      <c r="AM794" s="31">
        <f>VLOOKUP($A794,kurspris!$A$1:$Q$835,12,FALSE)</f>
        <v>0</v>
      </c>
      <c r="AN794" s="31">
        <f>VLOOKUP($A794,kurspris!$A$1:$Q$835,13,FALSE)</f>
        <v>0</v>
      </c>
      <c r="AO794" s="31">
        <f>VLOOKUP($A794,kurspris!$A$1:$Q$835,14,FALSE)</f>
        <v>0</v>
      </c>
      <c r="AP794" s="39" t="s">
        <v>2326</v>
      </c>
      <c r="AQ794"/>
      <c r="AR794" s="31">
        <f t="shared" si="445"/>
        <v>0</v>
      </c>
      <c r="AS794" s="255">
        <f t="shared" si="446"/>
        <v>0</v>
      </c>
      <c r="AT794" s="31">
        <f t="shared" si="447"/>
        <v>0</v>
      </c>
      <c r="AU794" s="255">
        <f t="shared" si="448"/>
        <v>0</v>
      </c>
      <c r="AV794" s="31">
        <f t="shared" si="449"/>
        <v>0</v>
      </c>
      <c r="AW794" s="31">
        <f t="shared" si="450"/>
        <v>0</v>
      </c>
      <c r="AX794" s="31">
        <f t="shared" si="451"/>
        <v>1.375</v>
      </c>
      <c r="AY794" s="255">
        <f t="shared" si="452"/>
        <v>1.16875</v>
      </c>
      <c r="AZ794" s="232">
        <f t="shared" si="453"/>
        <v>0</v>
      </c>
      <c r="BA794" s="255">
        <f t="shared" si="454"/>
        <v>0</v>
      </c>
      <c r="BB794" s="31">
        <f t="shared" si="455"/>
        <v>0</v>
      </c>
      <c r="BC794" s="255">
        <f t="shared" si="456"/>
        <v>0</v>
      </c>
      <c r="BD794" s="31">
        <f t="shared" si="457"/>
        <v>0</v>
      </c>
      <c r="BE794" s="255">
        <f t="shared" si="458"/>
        <v>0</v>
      </c>
      <c r="BF794" s="31">
        <f t="shared" si="459"/>
        <v>0</v>
      </c>
      <c r="BG794" s="255">
        <f t="shared" si="460"/>
        <v>0</v>
      </c>
      <c r="BH794" s="31">
        <f t="shared" si="461"/>
        <v>0</v>
      </c>
      <c r="BI794" s="255">
        <f t="shared" si="462"/>
        <v>0</v>
      </c>
      <c r="BJ794" s="31">
        <f t="shared" si="463"/>
        <v>0</v>
      </c>
      <c r="BK794" s="31">
        <f t="shared" si="464"/>
        <v>0</v>
      </c>
      <c r="BL794" s="255">
        <f t="shared" si="465"/>
        <v>0</v>
      </c>
      <c r="BM794" s="31">
        <f t="shared" si="466"/>
        <v>0</v>
      </c>
      <c r="BN794" s="255">
        <f t="shared" si="467"/>
        <v>0</v>
      </c>
    </row>
    <row r="795" spans="1:66" x14ac:dyDescent="0.25">
      <c r="A795" s="59" t="s">
        <v>1626</v>
      </c>
      <c r="B795" s="186" t="str">
        <f>VLOOKUP(A795,kurspris!$A$1:$B$877,2,FALSE)</f>
        <v>Den professionella läraren 2: Uppdrag, ledarskap och undervisning (UK)</v>
      </c>
      <c r="C795" s="37"/>
      <c r="D795" s="59" t="s">
        <v>629</v>
      </c>
      <c r="E795" s="62" t="s">
        <v>1931</v>
      </c>
      <c r="F795" s="59" t="s">
        <v>1931</v>
      </c>
      <c r="G795" s="31" t="s">
        <v>2295</v>
      </c>
      <c r="I795" s="62"/>
      <c r="J795" t="s">
        <v>2305</v>
      </c>
      <c r="L795" s="295">
        <v>150</v>
      </c>
      <c r="M795" s="378">
        <v>7.5</v>
      </c>
      <c r="N795" s="40"/>
      <c r="P795" s="377">
        <v>4</v>
      </c>
      <c r="Q795" s="232">
        <f t="shared" si="440"/>
        <v>0.5</v>
      </c>
      <c r="R795" s="40">
        <v>0.85</v>
      </c>
      <c r="S795" s="334">
        <f t="shared" si="441"/>
        <v>0.42499999999999999</v>
      </c>
      <c r="T795" s="31">
        <f>VLOOKUP(A795,'Ansvar kurs'!$A$1:$C$1010,2,FALSE)</f>
        <v>2180</v>
      </c>
      <c r="U795" s="31" t="str">
        <f>VLOOKUP(T795,Orgenheter!$A$1:$C$165,2,FALSE)</f>
        <v xml:space="preserve">Pedagogik                     </v>
      </c>
      <c r="V795" s="31" t="str">
        <f>VLOOKUP(T795,Orgenheter!$A$1:$C$165,3,FALSE)</f>
        <v>Sam</v>
      </c>
      <c r="W795" s="37" t="str">
        <f>VLOOKUP(D795,Program!$A$1:$B$34,2,FALSE)</f>
        <v>KPU - åk 7-9</v>
      </c>
      <c r="X795" s="42">
        <f>VLOOKUP(A795,kurspris!$A$1:$Q$798,15,FALSE)</f>
        <v>23641</v>
      </c>
      <c r="Y795" s="42">
        <f>VLOOKUP(A795,kurspris!$A$1:$Q$798,16,FALSE)</f>
        <v>28786</v>
      </c>
      <c r="Z795" s="42">
        <f t="shared" si="442"/>
        <v>24054.55</v>
      </c>
      <c r="AA795" s="42">
        <f>VLOOKUP(A795,kurspris!$A$1:$Q$798,17,FALSE)</f>
        <v>5800</v>
      </c>
      <c r="AB795" s="42">
        <f t="shared" si="443"/>
        <v>2900</v>
      </c>
      <c r="AC795" s="42">
        <f t="shared" si="444"/>
        <v>26954.55</v>
      </c>
      <c r="AD795" s="31">
        <f>VLOOKUP($A795,kurspris!$A$1:$Q$835,3,FALSE)</f>
        <v>0</v>
      </c>
      <c r="AE795" s="31">
        <f>VLOOKUP($A795,kurspris!$A$1:$Q$835,4,FALSE)</f>
        <v>0</v>
      </c>
      <c r="AF795" s="31">
        <f>VLOOKUP($A795,kurspris!$A$1:$Q$835,5,FALSE)</f>
        <v>0</v>
      </c>
      <c r="AG795" s="31">
        <f>VLOOKUP($A795,kurspris!$A$1:$Q$835,6,FALSE)</f>
        <v>1</v>
      </c>
      <c r="AH795" s="31">
        <f>VLOOKUP($A795,kurspris!$A$1:$Q$835,7,FALSE)</f>
        <v>0</v>
      </c>
      <c r="AI795" s="31">
        <f>VLOOKUP($A795,kurspris!$A$1:$Q$835,8,FALSE)</f>
        <v>0</v>
      </c>
      <c r="AJ795" s="31">
        <f>VLOOKUP($A795,kurspris!$A$1:$Q$835,9,FALSE)</f>
        <v>0</v>
      </c>
      <c r="AK795" s="31">
        <f>VLOOKUP($A795,kurspris!$A$1:$Q$835,10,FALSE)</f>
        <v>0</v>
      </c>
      <c r="AL795" s="31">
        <f>VLOOKUP($A795,kurspris!$A$1:$Q$835,11,FALSE)</f>
        <v>0</v>
      </c>
      <c r="AM795" s="31">
        <f>VLOOKUP($A795,kurspris!$A$1:$Q$835,12,FALSE)</f>
        <v>0</v>
      </c>
      <c r="AN795" s="31">
        <f>VLOOKUP($A795,kurspris!$A$1:$Q$835,13,FALSE)</f>
        <v>0</v>
      </c>
      <c r="AO795" s="31">
        <f>VLOOKUP($A795,kurspris!$A$1:$Q$835,14,FALSE)</f>
        <v>0</v>
      </c>
      <c r="AP795" s="39" t="s">
        <v>2326</v>
      </c>
      <c r="AQ795"/>
      <c r="AR795" s="31">
        <f t="shared" si="445"/>
        <v>0</v>
      </c>
      <c r="AS795" s="255">
        <f t="shared" si="446"/>
        <v>0</v>
      </c>
      <c r="AT795" s="31">
        <f t="shared" si="447"/>
        <v>0</v>
      </c>
      <c r="AU795" s="255">
        <f t="shared" si="448"/>
        <v>0</v>
      </c>
      <c r="AV795" s="31">
        <f t="shared" si="449"/>
        <v>0</v>
      </c>
      <c r="AW795" s="31">
        <f t="shared" si="450"/>
        <v>0</v>
      </c>
      <c r="AX795" s="31">
        <f t="shared" si="451"/>
        <v>0.5</v>
      </c>
      <c r="AY795" s="255">
        <f t="shared" si="452"/>
        <v>0.42499999999999999</v>
      </c>
      <c r="AZ795" s="232">
        <f t="shared" si="453"/>
        <v>0</v>
      </c>
      <c r="BA795" s="255">
        <f t="shared" si="454"/>
        <v>0</v>
      </c>
      <c r="BB795" s="31">
        <f t="shared" si="455"/>
        <v>0</v>
      </c>
      <c r="BC795" s="255">
        <f t="shared" si="456"/>
        <v>0</v>
      </c>
      <c r="BD795" s="31">
        <f t="shared" si="457"/>
        <v>0</v>
      </c>
      <c r="BE795" s="255">
        <f t="shared" si="458"/>
        <v>0</v>
      </c>
      <c r="BF795" s="31">
        <f t="shared" si="459"/>
        <v>0</v>
      </c>
      <c r="BG795" s="255">
        <f t="shared" si="460"/>
        <v>0</v>
      </c>
      <c r="BH795" s="31">
        <f t="shared" si="461"/>
        <v>0</v>
      </c>
      <c r="BI795" s="255">
        <f t="shared" si="462"/>
        <v>0</v>
      </c>
      <c r="BJ795" s="31">
        <f t="shared" si="463"/>
        <v>0</v>
      </c>
      <c r="BK795" s="31">
        <f t="shared" si="464"/>
        <v>0</v>
      </c>
      <c r="BL795" s="255">
        <f t="shared" si="465"/>
        <v>0</v>
      </c>
      <c r="BM795" s="31">
        <f t="shared" si="466"/>
        <v>0</v>
      </c>
      <c r="BN795" s="255">
        <f t="shared" si="467"/>
        <v>0</v>
      </c>
    </row>
    <row r="796" spans="1:66" x14ac:dyDescent="0.25">
      <c r="A796" s="59" t="s">
        <v>1626</v>
      </c>
      <c r="B796" s="186" t="str">
        <f>VLOOKUP(A796,kurspris!$A$1:$B$877,2,FALSE)</f>
        <v>Den professionella läraren 2: Uppdrag, ledarskap och undervisning (UK)</v>
      </c>
      <c r="C796" s="37"/>
      <c r="D796" s="59" t="s">
        <v>630</v>
      </c>
      <c r="E796" s="62" t="s">
        <v>2263</v>
      </c>
      <c r="F796" s="59" t="s">
        <v>1931</v>
      </c>
      <c r="G796" s="31" t="s">
        <v>2295</v>
      </c>
      <c r="I796" s="62"/>
      <c r="J796" t="s">
        <v>2302</v>
      </c>
      <c r="L796" s="295">
        <v>150</v>
      </c>
      <c r="M796" s="378">
        <v>7.5</v>
      </c>
      <c r="N796" s="40"/>
      <c r="P796" s="377">
        <v>1</v>
      </c>
      <c r="Q796" s="232">
        <f t="shared" si="440"/>
        <v>0.125</v>
      </c>
      <c r="R796" s="40">
        <v>0.85</v>
      </c>
      <c r="S796" s="334">
        <f t="shared" si="441"/>
        <v>0.10625</v>
      </c>
      <c r="T796" s="31">
        <f>VLOOKUP(A796,'Ansvar kurs'!$A$1:$C$1010,2,FALSE)</f>
        <v>2180</v>
      </c>
      <c r="U796" s="31" t="str">
        <f>VLOOKUP(T796,Orgenheter!$A$1:$C$165,2,FALSE)</f>
        <v xml:space="preserve">Pedagogik                     </v>
      </c>
      <c r="V796" s="31" t="str">
        <f>VLOOKUP(T796,Orgenheter!$A$1:$C$165,3,FALSE)</f>
        <v>Sam</v>
      </c>
      <c r="W796" s="37" t="str">
        <f>VLOOKUP(D796,Program!$A$1:$B$34,2,FALSE)</f>
        <v>KPU - Gy</v>
      </c>
      <c r="X796" s="42">
        <f>VLOOKUP(A796,kurspris!$A$1:$Q$798,15,FALSE)</f>
        <v>23641</v>
      </c>
      <c r="Y796" s="42">
        <f>VLOOKUP(A796,kurspris!$A$1:$Q$798,16,FALSE)</f>
        <v>28786</v>
      </c>
      <c r="Z796" s="42">
        <f t="shared" si="442"/>
        <v>6013.6374999999998</v>
      </c>
      <c r="AA796" s="42">
        <f>VLOOKUP(A796,kurspris!$A$1:$Q$798,17,FALSE)</f>
        <v>5800</v>
      </c>
      <c r="AB796" s="42">
        <f t="shared" si="443"/>
        <v>725</v>
      </c>
      <c r="AC796" s="42">
        <f t="shared" si="444"/>
        <v>6738.6374999999998</v>
      </c>
      <c r="AD796" s="31">
        <f>VLOOKUP($A796,kurspris!$A$1:$Q$835,3,FALSE)</f>
        <v>0</v>
      </c>
      <c r="AE796" s="31">
        <f>VLOOKUP($A796,kurspris!$A$1:$Q$835,4,FALSE)</f>
        <v>0</v>
      </c>
      <c r="AF796" s="31">
        <f>VLOOKUP($A796,kurspris!$A$1:$Q$835,5,FALSE)</f>
        <v>0</v>
      </c>
      <c r="AG796" s="31">
        <f>VLOOKUP($A796,kurspris!$A$1:$Q$835,6,FALSE)</f>
        <v>1</v>
      </c>
      <c r="AH796" s="31">
        <f>VLOOKUP($A796,kurspris!$A$1:$Q$835,7,FALSE)</f>
        <v>0</v>
      </c>
      <c r="AI796" s="31">
        <f>VLOOKUP($A796,kurspris!$A$1:$Q$835,8,FALSE)</f>
        <v>0</v>
      </c>
      <c r="AJ796" s="31">
        <f>VLOOKUP($A796,kurspris!$A$1:$Q$835,9,FALSE)</f>
        <v>0</v>
      </c>
      <c r="AK796" s="31">
        <f>VLOOKUP($A796,kurspris!$A$1:$Q$835,10,FALSE)</f>
        <v>0</v>
      </c>
      <c r="AL796" s="31">
        <f>VLOOKUP($A796,kurspris!$A$1:$Q$835,11,FALSE)</f>
        <v>0</v>
      </c>
      <c r="AM796" s="31">
        <f>VLOOKUP($A796,kurspris!$A$1:$Q$835,12,FALSE)</f>
        <v>0</v>
      </c>
      <c r="AN796" s="31">
        <f>VLOOKUP($A796,kurspris!$A$1:$Q$835,13,FALSE)</f>
        <v>0</v>
      </c>
      <c r="AO796" s="31">
        <f>VLOOKUP($A796,kurspris!$A$1:$Q$835,14,FALSE)</f>
        <v>0</v>
      </c>
      <c r="AP796" s="39" t="s">
        <v>2326</v>
      </c>
      <c r="AQ796"/>
      <c r="AR796" s="31">
        <f t="shared" si="445"/>
        <v>0</v>
      </c>
      <c r="AS796" s="255">
        <f t="shared" si="446"/>
        <v>0</v>
      </c>
      <c r="AT796" s="31">
        <f t="shared" si="447"/>
        <v>0</v>
      </c>
      <c r="AU796" s="255">
        <f t="shared" si="448"/>
        <v>0</v>
      </c>
      <c r="AV796" s="31">
        <f t="shared" si="449"/>
        <v>0</v>
      </c>
      <c r="AW796" s="31">
        <f t="shared" si="450"/>
        <v>0</v>
      </c>
      <c r="AX796" s="31">
        <f t="shared" si="451"/>
        <v>0.125</v>
      </c>
      <c r="AY796" s="255">
        <f t="shared" si="452"/>
        <v>0.10625</v>
      </c>
      <c r="AZ796" s="232">
        <f t="shared" si="453"/>
        <v>0</v>
      </c>
      <c r="BA796" s="255">
        <f t="shared" si="454"/>
        <v>0</v>
      </c>
      <c r="BB796" s="31">
        <f t="shared" si="455"/>
        <v>0</v>
      </c>
      <c r="BC796" s="255">
        <f t="shared" si="456"/>
        <v>0</v>
      </c>
      <c r="BD796" s="31">
        <f t="shared" si="457"/>
        <v>0</v>
      </c>
      <c r="BE796" s="255">
        <f t="shared" si="458"/>
        <v>0</v>
      </c>
      <c r="BF796" s="31">
        <f t="shared" si="459"/>
        <v>0</v>
      </c>
      <c r="BG796" s="255">
        <f t="shared" si="460"/>
        <v>0</v>
      </c>
      <c r="BH796" s="31">
        <f t="shared" si="461"/>
        <v>0</v>
      </c>
      <c r="BI796" s="255">
        <f t="shared" si="462"/>
        <v>0</v>
      </c>
      <c r="BJ796" s="31">
        <f t="shared" si="463"/>
        <v>0</v>
      </c>
      <c r="BK796" s="31">
        <f t="shared" si="464"/>
        <v>0</v>
      </c>
      <c r="BL796" s="255">
        <f t="shared" si="465"/>
        <v>0</v>
      </c>
      <c r="BM796" s="31">
        <f t="shared" si="466"/>
        <v>0</v>
      </c>
      <c r="BN796" s="255">
        <f t="shared" si="467"/>
        <v>0</v>
      </c>
    </row>
    <row r="797" spans="1:66" x14ac:dyDescent="0.25">
      <c r="A797" s="59" t="s">
        <v>1626</v>
      </c>
      <c r="B797" s="186" t="str">
        <f>VLOOKUP(A797,kurspris!$A$1:$B$877,2,FALSE)</f>
        <v>Den professionella läraren 2: Uppdrag, ledarskap och undervisning (UK)</v>
      </c>
      <c r="C797" s="37"/>
      <c r="D797" s="59" t="s">
        <v>630</v>
      </c>
      <c r="E797" s="62" t="s">
        <v>1931</v>
      </c>
      <c r="F797" s="59" t="s">
        <v>1931</v>
      </c>
      <c r="G797" s="31" t="s">
        <v>2295</v>
      </c>
      <c r="I797" s="62"/>
      <c r="J797" t="s">
        <v>2308</v>
      </c>
      <c r="L797" s="295">
        <v>150</v>
      </c>
      <c r="M797" s="378">
        <v>7.5</v>
      </c>
      <c r="N797" s="40"/>
      <c r="P797" s="377">
        <v>4</v>
      </c>
      <c r="Q797" s="232">
        <f t="shared" si="440"/>
        <v>0.5</v>
      </c>
      <c r="R797" s="40">
        <v>0.85</v>
      </c>
      <c r="S797" s="334">
        <f t="shared" si="441"/>
        <v>0.42499999999999999</v>
      </c>
      <c r="T797" s="31">
        <f>VLOOKUP(A797,'Ansvar kurs'!$A$1:$C$1010,2,FALSE)</f>
        <v>2180</v>
      </c>
      <c r="U797" s="31" t="str">
        <f>VLOOKUP(T797,Orgenheter!$A$1:$C$165,2,FALSE)</f>
        <v xml:space="preserve">Pedagogik                     </v>
      </c>
      <c r="V797" s="31" t="str">
        <f>VLOOKUP(T797,Orgenheter!$A$1:$C$165,3,FALSE)</f>
        <v>Sam</v>
      </c>
      <c r="W797" s="37" t="str">
        <f>VLOOKUP(D797,Program!$A$1:$B$34,2,FALSE)</f>
        <v>KPU - Gy</v>
      </c>
      <c r="X797" s="42">
        <f>VLOOKUP(A797,kurspris!$A$1:$Q$798,15,FALSE)</f>
        <v>23641</v>
      </c>
      <c r="Y797" s="42">
        <f>VLOOKUP(A797,kurspris!$A$1:$Q$798,16,FALSE)</f>
        <v>28786</v>
      </c>
      <c r="Z797" s="42">
        <f t="shared" si="442"/>
        <v>24054.55</v>
      </c>
      <c r="AA797" s="42">
        <f>VLOOKUP(A797,kurspris!$A$1:$Q$798,17,FALSE)</f>
        <v>5800</v>
      </c>
      <c r="AB797" s="42">
        <f t="shared" si="443"/>
        <v>2900</v>
      </c>
      <c r="AC797" s="42">
        <f t="shared" si="444"/>
        <v>26954.55</v>
      </c>
      <c r="AD797" s="31">
        <f>VLOOKUP($A797,kurspris!$A$1:$Q$835,3,FALSE)</f>
        <v>0</v>
      </c>
      <c r="AE797" s="31">
        <f>VLOOKUP($A797,kurspris!$A$1:$Q$835,4,FALSE)</f>
        <v>0</v>
      </c>
      <c r="AF797" s="31">
        <f>VLOOKUP($A797,kurspris!$A$1:$Q$835,5,FALSE)</f>
        <v>0</v>
      </c>
      <c r="AG797" s="31">
        <f>VLOOKUP($A797,kurspris!$A$1:$Q$835,6,FALSE)</f>
        <v>1</v>
      </c>
      <c r="AH797" s="31">
        <f>VLOOKUP($A797,kurspris!$A$1:$Q$835,7,FALSE)</f>
        <v>0</v>
      </c>
      <c r="AI797" s="31">
        <f>VLOOKUP($A797,kurspris!$A$1:$Q$835,8,FALSE)</f>
        <v>0</v>
      </c>
      <c r="AJ797" s="31">
        <f>VLOOKUP($A797,kurspris!$A$1:$Q$835,9,FALSE)</f>
        <v>0</v>
      </c>
      <c r="AK797" s="31">
        <f>VLOOKUP($A797,kurspris!$A$1:$Q$835,10,FALSE)</f>
        <v>0</v>
      </c>
      <c r="AL797" s="31">
        <f>VLOOKUP($A797,kurspris!$A$1:$Q$835,11,FALSE)</f>
        <v>0</v>
      </c>
      <c r="AM797" s="31">
        <f>VLOOKUP($A797,kurspris!$A$1:$Q$835,12,FALSE)</f>
        <v>0</v>
      </c>
      <c r="AN797" s="31">
        <f>VLOOKUP($A797,kurspris!$A$1:$Q$835,13,FALSE)</f>
        <v>0</v>
      </c>
      <c r="AO797" s="31">
        <f>VLOOKUP($A797,kurspris!$A$1:$Q$835,14,FALSE)</f>
        <v>0</v>
      </c>
      <c r="AP797" s="39" t="s">
        <v>2326</v>
      </c>
      <c r="AQ797"/>
      <c r="AR797" s="31">
        <f t="shared" si="445"/>
        <v>0</v>
      </c>
      <c r="AS797" s="255">
        <f t="shared" si="446"/>
        <v>0</v>
      </c>
      <c r="AT797" s="31">
        <f t="shared" si="447"/>
        <v>0</v>
      </c>
      <c r="AU797" s="255">
        <f t="shared" si="448"/>
        <v>0</v>
      </c>
      <c r="AV797" s="31">
        <f t="shared" si="449"/>
        <v>0</v>
      </c>
      <c r="AW797" s="31">
        <f t="shared" si="450"/>
        <v>0</v>
      </c>
      <c r="AX797" s="31">
        <f t="shared" si="451"/>
        <v>0.5</v>
      </c>
      <c r="AY797" s="255">
        <f t="shared" si="452"/>
        <v>0.42499999999999999</v>
      </c>
      <c r="AZ797" s="232">
        <f t="shared" si="453"/>
        <v>0</v>
      </c>
      <c r="BA797" s="255">
        <f t="shared" si="454"/>
        <v>0</v>
      </c>
      <c r="BB797" s="31">
        <f t="shared" si="455"/>
        <v>0</v>
      </c>
      <c r="BC797" s="255">
        <f t="shared" si="456"/>
        <v>0</v>
      </c>
      <c r="BD797" s="31">
        <f t="shared" si="457"/>
        <v>0</v>
      </c>
      <c r="BE797" s="255">
        <f t="shared" si="458"/>
        <v>0</v>
      </c>
      <c r="BF797" s="31">
        <f t="shared" si="459"/>
        <v>0</v>
      </c>
      <c r="BG797" s="255">
        <f t="shared" si="460"/>
        <v>0</v>
      </c>
      <c r="BH797" s="31">
        <f t="shared" si="461"/>
        <v>0</v>
      </c>
      <c r="BI797" s="255">
        <f t="shared" si="462"/>
        <v>0</v>
      </c>
      <c r="BJ797" s="31">
        <f t="shared" si="463"/>
        <v>0</v>
      </c>
      <c r="BK797" s="31">
        <f t="shared" si="464"/>
        <v>0</v>
      </c>
      <c r="BL797" s="255">
        <f t="shared" si="465"/>
        <v>0</v>
      </c>
      <c r="BM797" s="31">
        <f t="shared" si="466"/>
        <v>0</v>
      </c>
      <c r="BN797" s="255">
        <f t="shared" si="467"/>
        <v>0</v>
      </c>
    </row>
    <row r="798" spans="1:66" x14ac:dyDescent="0.25">
      <c r="A798" s="59" t="s">
        <v>1626</v>
      </c>
      <c r="B798" s="186" t="str">
        <f>VLOOKUP(A798,kurspris!$A$1:$B$877,2,FALSE)</f>
        <v>Den professionella läraren 2: Uppdrag, ledarskap och undervisning (UK)</v>
      </c>
      <c r="C798" s="37"/>
      <c r="D798" s="59" t="s">
        <v>630</v>
      </c>
      <c r="E798" s="62" t="s">
        <v>1931</v>
      </c>
      <c r="F798" s="59" t="s">
        <v>1931</v>
      </c>
      <c r="G798" s="31" t="s">
        <v>2295</v>
      </c>
      <c r="I798" s="62"/>
      <c r="J798" t="s">
        <v>2302</v>
      </c>
      <c r="L798" s="295">
        <v>150</v>
      </c>
      <c r="M798" s="378">
        <v>7.5</v>
      </c>
      <c r="N798" s="40"/>
      <c r="P798" s="377">
        <v>18</v>
      </c>
      <c r="Q798" s="232">
        <f t="shared" si="440"/>
        <v>2.25</v>
      </c>
      <c r="R798" s="40">
        <v>0.85</v>
      </c>
      <c r="S798" s="334">
        <f t="shared" si="441"/>
        <v>1.9124999999999999</v>
      </c>
      <c r="T798" s="31">
        <f>VLOOKUP(A798,'Ansvar kurs'!$A$1:$C$1010,2,FALSE)</f>
        <v>2180</v>
      </c>
      <c r="U798" s="31" t="str">
        <f>VLOOKUP(T798,Orgenheter!$A$1:$C$165,2,FALSE)</f>
        <v xml:space="preserve">Pedagogik                     </v>
      </c>
      <c r="V798" s="31" t="str">
        <f>VLOOKUP(T798,Orgenheter!$A$1:$C$165,3,FALSE)</f>
        <v>Sam</v>
      </c>
      <c r="W798" s="37" t="str">
        <f>VLOOKUP(D798,Program!$A$1:$B$34,2,FALSE)</f>
        <v>KPU - Gy</v>
      </c>
      <c r="X798" s="42">
        <f>VLOOKUP(A798,kurspris!$A$1:$Q$798,15,FALSE)</f>
        <v>23641</v>
      </c>
      <c r="Y798" s="42">
        <f>VLOOKUP(A798,kurspris!$A$1:$Q$798,16,FALSE)</f>
        <v>28786</v>
      </c>
      <c r="Z798" s="42">
        <f t="shared" si="442"/>
        <v>108245.47500000001</v>
      </c>
      <c r="AA798" s="42">
        <f>VLOOKUP(A798,kurspris!$A$1:$Q$798,17,FALSE)</f>
        <v>5800</v>
      </c>
      <c r="AB798" s="42">
        <f t="shared" si="443"/>
        <v>13050</v>
      </c>
      <c r="AC798" s="42">
        <f t="shared" si="444"/>
        <v>121295.47500000001</v>
      </c>
      <c r="AD798" s="31">
        <f>VLOOKUP($A798,kurspris!$A$1:$Q$835,3,FALSE)</f>
        <v>0</v>
      </c>
      <c r="AE798" s="31">
        <f>VLOOKUP($A798,kurspris!$A$1:$Q$835,4,FALSE)</f>
        <v>0</v>
      </c>
      <c r="AF798" s="31">
        <f>VLOOKUP($A798,kurspris!$A$1:$Q$835,5,FALSE)</f>
        <v>0</v>
      </c>
      <c r="AG798" s="31">
        <f>VLOOKUP($A798,kurspris!$A$1:$Q$835,6,FALSE)</f>
        <v>1</v>
      </c>
      <c r="AH798" s="31">
        <f>VLOOKUP($A798,kurspris!$A$1:$Q$835,7,FALSE)</f>
        <v>0</v>
      </c>
      <c r="AI798" s="31">
        <f>VLOOKUP($A798,kurspris!$A$1:$Q$835,8,FALSE)</f>
        <v>0</v>
      </c>
      <c r="AJ798" s="31">
        <f>VLOOKUP($A798,kurspris!$A$1:$Q$835,9,FALSE)</f>
        <v>0</v>
      </c>
      <c r="AK798" s="31">
        <f>VLOOKUP($A798,kurspris!$A$1:$Q$835,10,FALSE)</f>
        <v>0</v>
      </c>
      <c r="AL798" s="31">
        <f>VLOOKUP($A798,kurspris!$A$1:$Q$835,11,FALSE)</f>
        <v>0</v>
      </c>
      <c r="AM798" s="31">
        <f>VLOOKUP($A798,kurspris!$A$1:$Q$835,12,FALSE)</f>
        <v>0</v>
      </c>
      <c r="AN798" s="31">
        <f>VLOOKUP($A798,kurspris!$A$1:$Q$835,13,FALSE)</f>
        <v>0</v>
      </c>
      <c r="AO798" s="31">
        <f>VLOOKUP($A798,kurspris!$A$1:$Q$835,14,FALSE)</f>
        <v>0</v>
      </c>
      <c r="AP798" s="39" t="s">
        <v>2326</v>
      </c>
      <c r="AQ798"/>
      <c r="AR798" s="31">
        <f t="shared" si="445"/>
        <v>0</v>
      </c>
      <c r="AS798" s="255">
        <f t="shared" si="446"/>
        <v>0</v>
      </c>
      <c r="AT798" s="31">
        <f t="shared" si="447"/>
        <v>0</v>
      </c>
      <c r="AU798" s="255">
        <f t="shared" si="448"/>
        <v>0</v>
      </c>
      <c r="AV798" s="31">
        <f t="shared" si="449"/>
        <v>0</v>
      </c>
      <c r="AW798" s="31">
        <f t="shared" si="450"/>
        <v>0</v>
      </c>
      <c r="AX798" s="31">
        <f t="shared" si="451"/>
        <v>2.25</v>
      </c>
      <c r="AY798" s="255">
        <f t="shared" si="452"/>
        <v>1.9124999999999999</v>
      </c>
      <c r="AZ798" s="232">
        <f t="shared" si="453"/>
        <v>0</v>
      </c>
      <c r="BA798" s="255">
        <f t="shared" si="454"/>
        <v>0</v>
      </c>
      <c r="BB798" s="31">
        <f t="shared" si="455"/>
        <v>0</v>
      </c>
      <c r="BC798" s="255">
        <f t="shared" si="456"/>
        <v>0</v>
      </c>
      <c r="BD798" s="31">
        <f t="shared" si="457"/>
        <v>0</v>
      </c>
      <c r="BE798" s="255">
        <f t="shared" si="458"/>
        <v>0</v>
      </c>
      <c r="BF798" s="31">
        <f t="shared" si="459"/>
        <v>0</v>
      </c>
      <c r="BG798" s="255">
        <f t="shared" si="460"/>
        <v>0</v>
      </c>
      <c r="BH798" s="31">
        <f t="shared" si="461"/>
        <v>0</v>
      </c>
      <c r="BI798" s="255">
        <f t="shared" si="462"/>
        <v>0</v>
      </c>
      <c r="BJ798" s="31">
        <f t="shared" si="463"/>
        <v>0</v>
      </c>
      <c r="BK798" s="31">
        <f t="shared" si="464"/>
        <v>0</v>
      </c>
      <c r="BL798" s="255">
        <f t="shared" si="465"/>
        <v>0</v>
      </c>
      <c r="BM798" s="31">
        <f t="shared" si="466"/>
        <v>0</v>
      </c>
      <c r="BN798" s="255">
        <f t="shared" si="467"/>
        <v>0</v>
      </c>
    </row>
    <row r="799" spans="1:66" x14ac:dyDescent="0.25">
      <c r="A799" s="59" t="s">
        <v>1626</v>
      </c>
      <c r="B799" s="186" t="str">
        <f>VLOOKUP(A799,kurspris!$A$1:$B$877,2,FALSE)</f>
        <v>Den professionella läraren 2: Uppdrag, ledarskap och undervisning (UK)</v>
      </c>
      <c r="C799" s="37"/>
      <c r="D799" s="59" t="s">
        <v>630</v>
      </c>
      <c r="E799" s="62" t="s">
        <v>1931</v>
      </c>
      <c r="F799" s="59" t="s">
        <v>1931</v>
      </c>
      <c r="G799" s="31" t="s">
        <v>2295</v>
      </c>
      <c r="I799" s="62"/>
      <c r="J799" t="s">
        <v>2309</v>
      </c>
      <c r="L799" s="295">
        <v>150</v>
      </c>
      <c r="M799" s="378">
        <v>7.5</v>
      </c>
      <c r="N799" s="40"/>
      <c r="P799" s="377">
        <v>2</v>
      </c>
      <c r="Q799" s="232">
        <f t="shared" si="440"/>
        <v>0.25</v>
      </c>
      <c r="R799" s="40">
        <v>0.85</v>
      </c>
      <c r="S799" s="334">
        <f t="shared" si="441"/>
        <v>0.21249999999999999</v>
      </c>
      <c r="T799" s="31">
        <f>VLOOKUP(A799,'Ansvar kurs'!$A$1:$C$1010,2,FALSE)</f>
        <v>2180</v>
      </c>
      <c r="U799" s="31" t="str">
        <f>VLOOKUP(T799,Orgenheter!$A$1:$C$165,2,FALSE)</f>
        <v xml:space="preserve">Pedagogik                     </v>
      </c>
      <c r="V799" s="31" t="str">
        <f>VLOOKUP(T799,Orgenheter!$A$1:$C$165,3,FALSE)</f>
        <v>Sam</v>
      </c>
      <c r="W799" s="37" t="str">
        <f>VLOOKUP(D799,Program!$A$1:$B$34,2,FALSE)</f>
        <v>KPU - Gy</v>
      </c>
      <c r="X799" s="42">
        <f>VLOOKUP(A799,kurspris!$A$1:$Q$798,15,FALSE)</f>
        <v>23641</v>
      </c>
      <c r="Y799" s="42">
        <f>VLOOKUP(A799,kurspris!$A$1:$Q$798,16,FALSE)</f>
        <v>28786</v>
      </c>
      <c r="Z799" s="42">
        <f t="shared" si="442"/>
        <v>12027.275</v>
      </c>
      <c r="AA799" s="42">
        <f>VLOOKUP(A799,kurspris!$A$1:$Q$798,17,FALSE)</f>
        <v>5800</v>
      </c>
      <c r="AB799" s="42">
        <f t="shared" si="443"/>
        <v>1450</v>
      </c>
      <c r="AC799" s="42">
        <f t="shared" si="444"/>
        <v>13477.275</v>
      </c>
      <c r="AD799" s="31">
        <f>VLOOKUP($A799,kurspris!$A$1:$Q$835,3,FALSE)</f>
        <v>0</v>
      </c>
      <c r="AE799" s="31">
        <f>VLOOKUP($A799,kurspris!$A$1:$Q$835,4,FALSE)</f>
        <v>0</v>
      </c>
      <c r="AF799" s="31">
        <f>VLOOKUP($A799,kurspris!$A$1:$Q$835,5,FALSE)</f>
        <v>0</v>
      </c>
      <c r="AG799" s="31">
        <f>VLOOKUP($A799,kurspris!$A$1:$Q$835,6,FALSE)</f>
        <v>1</v>
      </c>
      <c r="AH799" s="31">
        <f>VLOOKUP($A799,kurspris!$A$1:$Q$835,7,FALSE)</f>
        <v>0</v>
      </c>
      <c r="AI799" s="31">
        <f>VLOOKUP($A799,kurspris!$A$1:$Q$835,8,FALSE)</f>
        <v>0</v>
      </c>
      <c r="AJ799" s="31">
        <f>VLOOKUP($A799,kurspris!$A$1:$Q$835,9,FALSE)</f>
        <v>0</v>
      </c>
      <c r="AK799" s="31">
        <f>VLOOKUP($A799,kurspris!$A$1:$Q$835,10,FALSE)</f>
        <v>0</v>
      </c>
      <c r="AL799" s="31">
        <f>VLOOKUP($A799,kurspris!$A$1:$Q$835,11,FALSE)</f>
        <v>0</v>
      </c>
      <c r="AM799" s="31">
        <f>VLOOKUP($A799,kurspris!$A$1:$Q$835,12,FALSE)</f>
        <v>0</v>
      </c>
      <c r="AN799" s="31">
        <f>VLOOKUP($A799,kurspris!$A$1:$Q$835,13,FALSE)</f>
        <v>0</v>
      </c>
      <c r="AO799" s="31">
        <f>VLOOKUP($A799,kurspris!$A$1:$Q$835,14,FALSE)</f>
        <v>0</v>
      </c>
      <c r="AP799" s="39" t="s">
        <v>2326</v>
      </c>
      <c r="AQ799"/>
      <c r="AR799" s="31">
        <f t="shared" si="445"/>
        <v>0</v>
      </c>
      <c r="AS799" s="255">
        <f t="shared" si="446"/>
        <v>0</v>
      </c>
      <c r="AT799" s="31">
        <f t="shared" si="447"/>
        <v>0</v>
      </c>
      <c r="AU799" s="255">
        <f t="shared" si="448"/>
        <v>0</v>
      </c>
      <c r="AV799" s="31">
        <f t="shared" si="449"/>
        <v>0</v>
      </c>
      <c r="AW799" s="31">
        <f t="shared" si="450"/>
        <v>0</v>
      </c>
      <c r="AX799" s="31">
        <f t="shared" si="451"/>
        <v>0.25</v>
      </c>
      <c r="AY799" s="255">
        <f t="shared" si="452"/>
        <v>0.21249999999999999</v>
      </c>
      <c r="AZ799" s="232">
        <f t="shared" si="453"/>
        <v>0</v>
      </c>
      <c r="BA799" s="255">
        <f t="shared" si="454"/>
        <v>0</v>
      </c>
      <c r="BB799" s="31">
        <f t="shared" si="455"/>
        <v>0</v>
      </c>
      <c r="BC799" s="255">
        <f t="shared" si="456"/>
        <v>0</v>
      </c>
      <c r="BD799" s="31">
        <f t="shared" si="457"/>
        <v>0</v>
      </c>
      <c r="BE799" s="255">
        <f t="shared" si="458"/>
        <v>0</v>
      </c>
      <c r="BF799" s="31">
        <f t="shared" si="459"/>
        <v>0</v>
      </c>
      <c r="BG799" s="255">
        <f t="shared" si="460"/>
        <v>0</v>
      </c>
      <c r="BH799" s="31">
        <f t="shared" si="461"/>
        <v>0</v>
      </c>
      <c r="BI799" s="255">
        <f t="shared" si="462"/>
        <v>0</v>
      </c>
      <c r="BJ799" s="31">
        <f t="shared" si="463"/>
        <v>0</v>
      </c>
      <c r="BK799" s="31">
        <f t="shared" si="464"/>
        <v>0</v>
      </c>
      <c r="BL799" s="255">
        <f t="shared" si="465"/>
        <v>0</v>
      </c>
      <c r="BM799" s="31">
        <f t="shared" si="466"/>
        <v>0</v>
      </c>
      <c r="BN799" s="255">
        <f t="shared" si="467"/>
        <v>0</v>
      </c>
    </row>
    <row r="800" spans="1:66" x14ac:dyDescent="0.25">
      <c r="A800" t="s">
        <v>1572</v>
      </c>
      <c r="B800" s="186" t="str">
        <f>VLOOKUP(A800,kurspris!$A$1:$B$877,2,FALSE)</f>
        <v>Barnet, omvärlden och fritidshemmets uppdrag</v>
      </c>
      <c r="C800"/>
      <c r="D800" t="s">
        <v>485</v>
      </c>
      <c r="E800" t="s">
        <v>1788</v>
      </c>
      <c r="F800" s="59" t="s">
        <v>1930</v>
      </c>
      <c r="G800" t="s">
        <v>1979</v>
      </c>
      <c r="H800" t="s">
        <v>1910</v>
      </c>
      <c r="I800"/>
      <c r="J800"/>
      <c r="K800"/>
      <c r="L800">
        <v>100</v>
      </c>
      <c r="M800">
        <v>15</v>
      </c>
      <c r="N800"/>
      <c r="O800"/>
      <c r="P800" s="31">
        <v>1</v>
      </c>
      <c r="Q800" s="232">
        <f t="shared" si="440"/>
        <v>0.25</v>
      </c>
      <c r="R800" s="40">
        <v>0.85</v>
      </c>
      <c r="S800" s="334">
        <f t="shared" si="441"/>
        <v>0.21249999999999999</v>
      </c>
      <c r="T800" s="31">
        <f>VLOOKUP(A800,'Ansvar kurs'!$A$1:$C$1010,2,FALSE)</f>
        <v>2193</v>
      </c>
      <c r="U800" s="31" t="str">
        <f>VLOOKUP(T800,Orgenheter!$A$1:$C$165,2,FALSE)</f>
        <v xml:space="preserve">TUV </v>
      </c>
      <c r="V800" s="31" t="str">
        <f>VLOOKUP(T800,Orgenheter!$A$1:$C$165,3,FALSE)</f>
        <v>Sam</v>
      </c>
      <c r="W800" s="37" t="str">
        <f>VLOOKUP(D800,Program!$A$1:$B$34,2,FALSE)</f>
        <v>Grundlärarprogrammet - fritidshem</v>
      </c>
      <c r="X800" s="42">
        <f>VLOOKUP(A800,kurspris!$A$1:$Q$798,15,FALSE)</f>
        <v>18405</v>
      </c>
      <c r="Y800" s="42">
        <f>VLOOKUP(A800,kurspris!$A$1:$Q$798,16,FALSE)</f>
        <v>15773</v>
      </c>
      <c r="Z800" s="42">
        <f t="shared" si="442"/>
        <v>7953.0124999999998</v>
      </c>
      <c r="AA800" s="42">
        <f>VLOOKUP(A800,kurspris!$A$1:$Q$798,17,FALSE)</f>
        <v>5800</v>
      </c>
      <c r="AB800" s="42">
        <f t="shared" si="443"/>
        <v>1450</v>
      </c>
      <c r="AC800" s="42">
        <f t="shared" si="444"/>
        <v>9403.0125000000007</v>
      </c>
      <c r="AD800" s="31">
        <f>VLOOKUP($A800,kurspris!$A$1:$Q$835,3,FALSE)</f>
        <v>0</v>
      </c>
      <c r="AE800" s="31">
        <f>VLOOKUP($A800,kurspris!$A$1:$Q$835,4,FALSE)</f>
        <v>0</v>
      </c>
      <c r="AF800" s="31">
        <f>VLOOKUP($A800,kurspris!$A$1:$Q$835,5,FALSE)</f>
        <v>0</v>
      </c>
      <c r="AG800" s="31">
        <f>VLOOKUP($A800,kurspris!$A$1:$Q$835,6,FALSE)</f>
        <v>0</v>
      </c>
      <c r="AH800" s="31">
        <f>VLOOKUP($A800,kurspris!$A$1:$Q$835,7,FALSE)</f>
        <v>0</v>
      </c>
      <c r="AI800" s="31">
        <f>VLOOKUP($A800,kurspris!$A$1:$Q$835,8,FALSE)</f>
        <v>0</v>
      </c>
      <c r="AJ800" s="31">
        <f>VLOOKUP($A800,kurspris!$A$1:$Q$835,9,FALSE)</f>
        <v>1</v>
      </c>
      <c r="AK800" s="31">
        <f>VLOOKUP($A800,kurspris!$A$1:$Q$835,10,FALSE)</f>
        <v>0</v>
      </c>
      <c r="AL800" s="31">
        <f>VLOOKUP($A800,kurspris!$A$1:$Q$835,11,FALSE)</f>
        <v>0</v>
      </c>
      <c r="AM800" s="31">
        <f>VLOOKUP($A800,kurspris!$A$1:$Q$835,12,FALSE)</f>
        <v>0</v>
      </c>
      <c r="AN800" s="31">
        <f>VLOOKUP($A800,kurspris!$A$1:$Q$835,13,FALSE)</f>
        <v>0</v>
      </c>
      <c r="AO800" s="31">
        <f>VLOOKUP($A800,kurspris!$A$1:$Q$835,14,FALSE)</f>
        <v>0</v>
      </c>
      <c r="AP800" s="39" t="s">
        <v>2204</v>
      </c>
      <c r="AQ800"/>
      <c r="AR800" s="31">
        <f t="shared" si="445"/>
        <v>0</v>
      </c>
      <c r="AS800" s="255">
        <f t="shared" si="446"/>
        <v>0</v>
      </c>
      <c r="AT800" s="31">
        <f t="shared" si="447"/>
        <v>0</v>
      </c>
      <c r="AU800" s="255">
        <f t="shared" si="448"/>
        <v>0</v>
      </c>
      <c r="AV800" s="31">
        <f t="shared" si="449"/>
        <v>0</v>
      </c>
      <c r="AW800" s="31">
        <f t="shared" si="450"/>
        <v>0</v>
      </c>
      <c r="AX800" s="31">
        <f t="shared" si="451"/>
        <v>0</v>
      </c>
      <c r="AY800" s="255">
        <f t="shared" si="452"/>
        <v>0</v>
      </c>
      <c r="AZ800" s="232">
        <f t="shared" si="453"/>
        <v>0</v>
      </c>
      <c r="BA800" s="255">
        <f t="shared" si="454"/>
        <v>0</v>
      </c>
      <c r="BB800" s="31">
        <f t="shared" si="455"/>
        <v>0</v>
      </c>
      <c r="BC800" s="255">
        <f t="shared" si="456"/>
        <v>0</v>
      </c>
      <c r="BD800" s="31">
        <f t="shared" si="457"/>
        <v>0.25</v>
      </c>
      <c r="BE800" s="255">
        <f t="shared" si="458"/>
        <v>0.21249999999999999</v>
      </c>
      <c r="BF800" s="31">
        <f t="shared" si="459"/>
        <v>0</v>
      </c>
      <c r="BG800" s="255">
        <f t="shared" si="460"/>
        <v>0</v>
      </c>
      <c r="BH800" s="31">
        <f t="shared" si="461"/>
        <v>0</v>
      </c>
      <c r="BI800" s="255">
        <f t="shared" si="462"/>
        <v>0</v>
      </c>
      <c r="BJ800" s="31">
        <f t="shared" si="463"/>
        <v>0</v>
      </c>
      <c r="BK800" s="31">
        <f t="shared" si="464"/>
        <v>0</v>
      </c>
      <c r="BL800" s="255">
        <f t="shared" si="465"/>
        <v>0</v>
      </c>
      <c r="BM800" s="31">
        <f t="shared" si="466"/>
        <v>0</v>
      </c>
      <c r="BN800" s="255">
        <f t="shared" si="467"/>
        <v>0</v>
      </c>
    </row>
    <row r="801" spans="1:66" x14ac:dyDescent="0.25">
      <c r="A801" t="s">
        <v>1572</v>
      </c>
      <c r="B801" s="186" t="str">
        <f>VLOOKUP(A801,kurspris!$A$1:$B$877,2,FALSE)</f>
        <v>Barnet, omvärlden och fritidshemmets uppdrag</v>
      </c>
      <c r="C801"/>
      <c r="D801" t="s">
        <v>485</v>
      </c>
      <c r="E801" t="s">
        <v>1788</v>
      </c>
      <c r="F801" s="59" t="s">
        <v>1930</v>
      </c>
      <c r="G801" t="s">
        <v>1979</v>
      </c>
      <c r="H801" t="s">
        <v>1910</v>
      </c>
      <c r="I801"/>
      <c r="J801"/>
      <c r="K801"/>
      <c r="L801">
        <v>100</v>
      </c>
      <c r="M801">
        <v>15</v>
      </c>
      <c r="N801"/>
      <c r="O801"/>
      <c r="P801" s="31">
        <v>25</v>
      </c>
      <c r="Q801" s="232">
        <f t="shared" si="440"/>
        <v>6.25</v>
      </c>
      <c r="R801" s="40">
        <v>0.85</v>
      </c>
      <c r="S801" s="334">
        <f t="shared" si="441"/>
        <v>5.3125</v>
      </c>
      <c r="T801" s="31">
        <f>VLOOKUP(A801,'Ansvar kurs'!$A$1:$C$1010,2,FALSE)</f>
        <v>2193</v>
      </c>
      <c r="U801" s="31" t="str">
        <f>VLOOKUP(T801,Orgenheter!$A$1:$C$165,2,FALSE)</f>
        <v xml:space="preserve">TUV </v>
      </c>
      <c r="V801" s="31" t="str">
        <f>VLOOKUP(T801,Orgenheter!$A$1:$C$165,3,FALSE)</f>
        <v>Sam</v>
      </c>
      <c r="W801" s="37" t="str">
        <f>VLOOKUP(D801,Program!$A$1:$B$34,2,FALSE)</f>
        <v>Grundlärarprogrammet - fritidshem</v>
      </c>
      <c r="X801" s="42">
        <f>VLOOKUP(A801,kurspris!$A$1:$Q$798,15,FALSE)</f>
        <v>18405</v>
      </c>
      <c r="Y801" s="42">
        <f>VLOOKUP(A801,kurspris!$A$1:$Q$798,16,FALSE)</f>
        <v>15773</v>
      </c>
      <c r="Z801" s="42">
        <f t="shared" si="442"/>
        <v>198825.3125</v>
      </c>
      <c r="AA801" s="42">
        <f>VLOOKUP(A801,kurspris!$A$1:$Q$798,17,FALSE)</f>
        <v>5800</v>
      </c>
      <c r="AB801" s="42">
        <f t="shared" si="443"/>
        <v>36250</v>
      </c>
      <c r="AC801" s="42">
        <f t="shared" si="444"/>
        <v>235075.3125</v>
      </c>
      <c r="AD801" s="31">
        <f>VLOOKUP($A801,kurspris!$A$1:$Q$835,3,FALSE)</f>
        <v>0</v>
      </c>
      <c r="AE801" s="31">
        <f>VLOOKUP($A801,kurspris!$A$1:$Q$835,4,FALSE)</f>
        <v>0</v>
      </c>
      <c r="AF801" s="31">
        <f>VLOOKUP($A801,kurspris!$A$1:$Q$835,5,FALSE)</f>
        <v>0</v>
      </c>
      <c r="AG801" s="31">
        <f>VLOOKUP($A801,kurspris!$A$1:$Q$835,6,FALSE)</f>
        <v>0</v>
      </c>
      <c r="AH801" s="31">
        <f>VLOOKUP($A801,kurspris!$A$1:$Q$835,7,FALSE)</f>
        <v>0</v>
      </c>
      <c r="AI801" s="31">
        <f>VLOOKUP($A801,kurspris!$A$1:$Q$835,8,FALSE)</f>
        <v>0</v>
      </c>
      <c r="AJ801" s="31">
        <f>VLOOKUP($A801,kurspris!$A$1:$Q$835,9,FALSE)</f>
        <v>1</v>
      </c>
      <c r="AK801" s="31">
        <f>VLOOKUP($A801,kurspris!$A$1:$Q$835,10,FALSE)</f>
        <v>0</v>
      </c>
      <c r="AL801" s="31">
        <f>VLOOKUP($A801,kurspris!$A$1:$Q$835,11,FALSE)</f>
        <v>0</v>
      </c>
      <c r="AM801" s="31">
        <f>VLOOKUP($A801,kurspris!$A$1:$Q$835,12,FALSE)</f>
        <v>0</v>
      </c>
      <c r="AN801" s="31">
        <f>VLOOKUP($A801,kurspris!$A$1:$Q$835,13,FALSE)</f>
        <v>0</v>
      </c>
      <c r="AO801" s="31">
        <f>VLOOKUP($A801,kurspris!$A$1:$Q$835,14,FALSE)</f>
        <v>0</v>
      </c>
      <c r="AP801" s="39" t="s">
        <v>2204</v>
      </c>
      <c r="AQ801"/>
      <c r="AR801" s="31">
        <f t="shared" si="445"/>
        <v>0</v>
      </c>
      <c r="AS801" s="255">
        <f t="shared" si="446"/>
        <v>0</v>
      </c>
      <c r="AT801" s="31">
        <f t="shared" si="447"/>
        <v>0</v>
      </c>
      <c r="AU801" s="255">
        <f t="shared" si="448"/>
        <v>0</v>
      </c>
      <c r="AV801" s="31">
        <f t="shared" si="449"/>
        <v>0</v>
      </c>
      <c r="AW801" s="31">
        <f t="shared" si="450"/>
        <v>0</v>
      </c>
      <c r="AX801" s="31">
        <f t="shared" si="451"/>
        <v>0</v>
      </c>
      <c r="AY801" s="255">
        <f t="shared" si="452"/>
        <v>0</v>
      </c>
      <c r="AZ801" s="232">
        <f t="shared" si="453"/>
        <v>0</v>
      </c>
      <c r="BA801" s="255">
        <f t="shared" si="454"/>
        <v>0</v>
      </c>
      <c r="BB801" s="31">
        <f t="shared" si="455"/>
        <v>0</v>
      </c>
      <c r="BC801" s="255">
        <f t="shared" si="456"/>
        <v>0</v>
      </c>
      <c r="BD801" s="31">
        <f t="shared" si="457"/>
        <v>6.25</v>
      </c>
      <c r="BE801" s="255">
        <f t="shared" si="458"/>
        <v>5.3125</v>
      </c>
      <c r="BF801" s="31">
        <f t="shared" si="459"/>
        <v>0</v>
      </c>
      <c r="BG801" s="255">
        <f t="shared" si="460"/>
        <v>0</v>
      </c>
      <c r="BH801" s="31">
        <f t="shared" si="461"/>
        <v>0</v>
      </c>
      <c r="BI801" s="255">
        <f t="shared" si="462"/>
        <v>0</v>
      </c>
      <c r="BJ801" s="31">
        <f t="shared" si="463"/>
        <v>0</v>
      </c>
      <c r="BK801" s="31">
        <f t="shared" si="464"/>
        <v>0</v>
      </c>
      <c r="BL801" s="255">
        <f t="shared" si="465"/>
        <v>0</v>
      </c>
      <c r="BM801" s="31">
        <f t="shared" si="466"/>
        <v>0</v>
      </c>
      <c r="BN801" s="255">
        <f t="shared" si="467"/>
        <v>0</v>
      </c>
    </row>
    <row r="802" spans="1:66" x14ac:dyDescent="0.25">
      <c r="A802" t="s">
        <v>1575</v>
      </c>
      <c r="B802" s="186" t="str">
        <f>VLOOKUP(A802,kurspris!$A$1:$B$877,2,FALSE)</f>
        <v>Läraryrkets dimensioner för fritidshem 1 (VFU)</v>
      </c>
      <c r="C802"/>
      <c r="D802" t="s">
        <v>485</v>
      </c>
      <c r="E802" t="s">
        <v>1609</v>
      </c>
      <c r="F802" s="59" t="s">
        <v>1930</v>
      </c>
      <c r="G802" t="s">
        <v>1991</v>
      </c>
      <c r="H802" t="s">
        <v>1910</v>
      </c>
      <c r="I802"/>
      <c r="J802"/>
      <c r="K802"/>
      <c r="L802">
        <v>100</v>
      </c>
      <c r="M802">
        <v>11</v>
      </c>
      <c r="N802"/>
      <c r="O802"/>
      <c r="P802" s="31">
        <v>15</v>
      </c>
      <c r="Q802" s="232">
        <f t="shared" si="440"/>
        <v>2.75</v>
      </c>
      <c r="R802" s="40">
        <v>0.85</v>
      </c>
      <c r="S802" s="334">
        <f t="shared" si="441"/>
        <v>2.3374999999999999</v>
      </c>
      <c r="T802" s="31">
        <f>VLOOKUP(A802,'Ansvar kurs'!$A$1:$C$1010,2,FALSE)</f>
        <v>2193</v>
      </c>
      <c r="U802" s="31" t="str">
        <f>VLOOKUP(T802,Orgenheter!$A$1:$C$165,2,FALSE)</f>
        <v xml:space="preserve">TUV </v>
      </c>
      <c r="V802" s="31" t="str">
        <f>VLOOKUP(T802,Orgenheter!$A$1:$C$165,3,FALSE)</f>
        <v>Sam</v>
      </c>
      <c r="W802" s="37" t="str">
        <f>VLOOKUP(D802,Program!$A$1:$B$34,2,FALSE)</f>
        <v>Grundlärarprogrammet - fritidshem</v>
      </c>
      <c r="X802" s="42">
        <f>VLOOKUP(A802,kurspris!$A$1:$Q$798,15,FALSE)</f>
        <v>21634</v>
      </c>
      <c r="Y802" s="42">
        <f>VLOOKUP(A802,kurspris!$A$1:$Q$798,16,FALSE)</f>
        <v>26986</v>
      </c>
      <c r="Z802" s="42">
        <f t="shared" si="442"/>
        <v>122573.27499999999</v>
      </c>
      <c r="AA802" s="42">
        <f>VLOOKUP(A802,kurspris!$A$1:$Q$798,17,FALSE)</f>
        <v>3400</v>
      </c>
      <c r="AB802" s="42">
        <f t="shared" si="443"/>
        <v>9350</v>
      </c>
      <c r="AC802" s="42">
        <f t="shared" si="444"/>
        <v>131923.27499999999</v>
      </c>
      <c r="AD802" s="31">
        <f>VLOOKUP($A802,kurspris!$A$1:$Q$835,3,FALSE)</f>
        <v>0</v>
      </c>
      <c r="AE802" s="31">
        <f>VLOOKUP($A802,kurspris!$A$1:$Q$835,4,FALSE)</f>
        <v>0</v>
      </c>
      <c r="AF802" s="31">
        <f>VLOOKUP($A802,kurspris!$A$1:$Q$835,5,FALSE)</f>
        <v>0</v>
      </c>
      <c r="AG802" s="31">
        <f>VLOOKUP($A802,kurspris!$A$1:$Q$835,6,FALSE)</f>
        <v>0</v>
      </c>
      <c r="AH802" s="31">
        <f>VLOOKUP($A802,kurspris!$A$1:$Q$835,7,FALSE)</f>
        <v>0</v>
      </c>
      <c r="AI802" s="31">
        <f>VLOOKUP($A802,kurspris!$A$1:$Q$835,8,FALSE)</f>
        <v>0</v>
      </c>
      <c r="AJ802" s="31">
        <f>VLOOKUP($A802,kurspris!$A$1:$Q$835,9,FALSE)</f>
        <v>0</v>
      </c>
      <c r="AK802" s="31">
        <f>VLOOKUP($A802,kurspris!$A$1:$Q$835,10,FALSE)</f>
        <v>0</v>
      </c>
      <c r="AL802" s="31">
        <f>VLOOKUP($A802,kurspris!$A$1:$Q$835,11,FALSE)</f>
        <v>1</v>
      </c>
      <c r="AM802" s="31">
        <f>VLOOKUP($A802,kurspris!$A$1:$Q$835,12,FALSE)</f>
        <v>0</v>
      </c>
      <c r="AN802" s="31">
        <f>VLOOKUP($A802,kurspris!$A$1:$Q$835,13,FALSE)</f>
        <v>0</v>
      </c>
      <c r="AO802" s="31">
        <f>VLOOKUP($A802,kurspris!$A$1:$Q$835,14,FALSE)</f>
        <v>0</v>
      </c>
      <c r="AP802" s="39" t="s">
        <v>2235</v>
      </c>
      <c r="AQ802"/>
      <c r="AR802" s="31">
        <f t="shared" si="445"/>
        <v>0</v>
      </c>
      <c r="AS802" s="255">
        <f t="shared" si="446"/>
        <v>0</v>
      </c>
      <c r="AT802" s="31">
        <f t="shared" si="447"/>
        <v>0</v>
      </c>
      <c r="AU802" s="255">
        <f t="shared" si="448"/>
        <v>0</v>
      </c>
      <c r="AV802" s="31">
        <f t="shared" si="449"/>
        <v>0</v>
      </c>
      <c r="AW802" s="31">
        <f t="shared" si="450"/>
        <v>0</v>
      </c>
      <c r="AX802" s="31">
        <f t="shared" si="451"/>
        <v>0</v>
      </c>
      <c r="AY802" s="255">
        <f t="shared" si="452"/>
        <v>0</v>
      </c>
      <c r="AZ802" s="232">
        <f t="shared" si="453"/>
        <v>0</v>
      </c>
      <c r="BA802" s="255">
        <f t="shared" si="454"/>
        <v>0</v>
      </c>
      <c r="BB802" s="31">
        <f t="shared" si="455"/>
        <v>0</v>
      </c>
      <c r="BC802" s="255">
        <f t="shared" si="456"/>
        <v>0</v>
      </c>
      <c r="BD802" s="31">
        <f t="shared" si="457"/>
        <v>0</v>
      </c>
      <c r="BE802" s="255">
        <f t="shared" si="458"/>
        <v>0</v>
      </c>
      <c r="BF802" s="31">
        <f t="shared" si="459"/>
        <v>0</v>
      </c>
      <c r="BG802" s="255">
        <f t="shared" si="460"/>
        <v>0</v>
      </c>
      <c r="BH802" s="31">
        <f t="shared" si="461"/>
        <v>2.75</v>
      </c>
      <c r="BI802" s="255">
        <f t="shared" si="462"/>
        <v>2.3374999999999999</v>
      </c>
      <c r="BJ802" s="31">
        <f t="shared" si="463"/>
        <v>0</v>
      </c>
      <c r="BK802" s="31">
        <f t="shared" si="464"/>
        <v>0</v>
      </c>
      <c r="BL802" s="255">
        <f t="shared" si="465"/>
        <v>0</v>
      </c>
      <c r="BM802" s="31">
        <f t="shared" si="466"/>
        <v>0</v>
      </c>
      <c r="BN802" s="255">
        <f t="shared" si="467"/>
        <v>0</v>
      </c>
    </row>
    <row r="803" spans="1:66" x14ac:dyDescent="0.25">
      <c r="A803" s="18" t="s">
        <v>1589</v>
      </c>
      <c r="B803" s="186" t="str">
        <f>VLOOKUP(A803,kurspris!$A$1:$B$877,2,FALSE)</f>
        <v>Verksamhets förlagd utbildning (VFU)</v>
      </c>
      <c r="C803" s="37"/>
      <c r="D803" s="31" t="s">
        <v>1632</v>
      </c>
      <c r="E803" s="31" t="s">
        <v>1930</v>
      </c>
      <c r="F803" s="59" t="s">
        <v>1931</v>
      </c>
      <c r="G803" s="31" t="s">
        <v>2276</v>
      </c>
      <c r="L803" s="31">
        <v>100</v>
      </c>
      <c r="M803" s="31">
        <v>28.5</v>
      </c>
      <c r="P803" s="31">
        <v>14</v>
      </c>
      <c r="Q803" s="232">
        <f t="shared" si="440"/>
        <v>6.6499999999999995</v>
      </c>
      <c r="R803" s="40">
        <v>0.85</v>
      </c>
      <c r="S803" s="334">
        <f t="shared" si="441"/>
        <v>5.652499999999999</v>
      </c>
      <c r="T803" s="31">
        <f>VLOOKUP(A803,'Ansvar kurs'!$A$1:$C$1010,2,FALSE)</f>
        <v>5740</v>
      </c>
      <c r="U803" s="31" t="str">
        <f>VLOOKUP(T803,Orgenheter!$A$1:$C$165,2,FALSE)</f>
        <v>NMD</v>
      </c>
      <c r="V803" s="31" t="str">
        <f>VLOOKUP(T803,Orgenheter!$A$1:$C$165,3,FALSE)</f>
        <v>TekNat</v>
      </c>
      <c r="W803" s="37" t="str">
        <f>VLOOKUP(D803,Program!$A$1:$B$34,2,FALSE)</f>
        <v>KPU - Förhöjd studietakt - utbildningsbidrag</v>
      </c>
      <c r="X803" s="42">
        <f>VLOOKUP(A803,kurspris!$A$1:$Q$798,15,FALSE)</f>
        <v>21634</v>
      </c>
      <c r="Y803" s="42">
        <f>VLOOKUP(A803,kurspris!$A$1:$Q$798,16,FALSE)</f>
        <v>26986</v>
      </c>
      <c r="Z803" s="42">
        <f t="shared" si="442"/>
        <v>296404.46499999997</v>
      </c>
      <c r="AA803" s="42">
        <f>VLOOKUP(A803,kurspris!$A$1:$Q$798,17,FALSE)</f>
        <v>3400</v>
      </c>
      <c r="AB803" s="42">
        <f t="shared" si="443"/>
        <v>22610</v>
      </c>
      <c r="AC803" s="42">
        <f t="shared" si="444"/>
        <v>319014.46499999997</v>
      </c>
      <c r="AD803" s="31">
        <f>VLOOKUP($A803,kurspris!$A$1:$Q$835,3,FALSE)</f>
        <v>0</v>
      </c>
      <c r="AE803" s="31">
        <f>VLOOKUP($A803,kurspris!$A$1:$Q$835,4,FALSE)</f>
        <v>0</v>
      </c>
      <c r="AF803" s="31">
        <f>VLOOKUP($A803,kurspris!$A$1:$Q$835,5,FALSE)</f>
        <v>0</v>
      </c>
      <c r="AG803" s="31">
        <f>VLOOKUP($A803,kurspris!$A$1:$Q$835,6,FALSE)</f>
        <v>0</v>
      </c>
      <c r="AH803" s="31">
        <f>VLOOKUP($A803,kurspris!$A$1:$Q$835,7,FALSE)</f>
        <v>0</v>
      </c>
      <c r="AI803" s="31">
        <f>VLOOKUP($A803,kurspris!$A$1:$Q$835,8,FALSE)</f>
        <v>0</v>
      </c>
      <c r="AJ803" s="31">
        <f>VLOOKUP($A803,kurspris!$A$1:$Q$835,9,FALSE)</f>
        <v>0</v>
      </c>
      <c r="AK803" s="31">
        <f>VLOOKUP($A803,kurspris!$A$1:$Q$835,10,FALSE)</f>
        <v>0</v>
      </c>
      <c r="AL803" s="31">
        <f>VLOOKUP($A803,kurspris!$A$1:$Q$835,11,FALSE)</f>
        <v>1</v>
      </c>
      <c r="AM803" s="31">
        <f>VLOOKUP($A803,kurspris!$A$1:$Q$835,12,FALSE)</f>
        <v>0</v>
      </c>
      <c r="AN803" s="31">
        <f>VLOOKUP($A803,kurspris!$A$1:$Q$835,13,FALSE)</f>
        <v>0</v>
      </c>
      <c r="AO803" s="31">
        <f>VLOOKUP($A803,kurspris!$A$1:$Q$835,14,FALSE)</f>
        <v>0</v>
      </c>
      <c r="AP803" s="39" t="s">
        <v>2326</v>
      </c>
      <c r="AQ803"/>
      <c r="AR803" s="31">
        <f t="shared" si="445"/>
        <v>0</v>
      </c>
      <c r="AS803" s="255">
        <f t="shared" si="446"/>
        <v>0</v>
      </c>
      <c r="AT803" s="31">
        <f t="shared" si="447"/>
        <v>0</v>
      </c>
      <c r="AU803" s="255">
        <f t="shared" si="448"/>
        <v>0</v>
      </c>
      <c r="AV803" s="31">
        <f t="shared" si="449"/>
        <v>0</v>
      </c>
      <c r="AW803" s="31">
        <f t="shared" si="450"/>
        <v>0</v>
      </c>
      <c r="AX803" s="31">
        <f t="shared" si="451"/>
        <v>0</v>
      </c>
      <c r="AY803" s="255">
        <f t="shared" si="452"/>
        <v>0</v>
      </c>
      <c r="AZ803" s="232">
        <f t="shared" si="453"/>
        <v>0</v>
      </c>
      <c r="BA803" s="255">
        <f t="shared" si="454"/>
        <v>0</v>
      </c>
      <c r="BB803" s="31">
        <f t="shared" si="455"/>
        <v>0</v>
      </c>
      <c r="BC803" s="255">
        <f t="shared" si="456"/>
        <v>0</v>
      </c>
      <c r="BD803" s="31">
        <f t="shared" si="457"/>
        <v>0</v>
      </c>
      <c r="BE803" s="255">
        <f t="shared" si="458"/>
        <v>0</v>
      </c>
      <c r="BF803" s="31">
        <f t="shared" si="459"/>
        <v>0</v>
      </c>
      <c r="BG803" s="255">
        <f t="shared" si="460"/>
        <v>0</v>
      </c>
      <c r="BH803" s="31">
        <f t="shared" si="461"/>
        <v>6.6499999999999995</v>
      </c>
      <c r="BI803" s="255">
        <f t="shared" si="462"/>
        <v>5.652499999999999</v>
      </c>
      <c r="BJ803" s="31">
        <f t="shared" si="463"/>
        <v>0</v>
      </c>
      <c r="BK803" s="31">
        <f t="shared" si="464"/>
        <v>0</v>
      </c>
      <c r="BL803" s="255">
        <f t="shared" si="465"/>
        <v>0</v>
      </c>
      <c r="BM803" s="31">
        <f t="shared" si="466"/>
        <v>0</v>
      </c>
      <c r="BN803" s="255">
        <f t="shared" si="467"/>
        <v>0</v>
      </c>
    </row>
    <row r="804" spans="1:66" x14ac:dyDescent="0.25">
      <c r="A804" t="s">
        <v>1589</v>
      </c>
      <c r="B804" s="186" t="str">
        <f>VLOOKUP(A804,kurspris!$A$1:$B$877,2,FALSE)</f>
        <v>Verksamhets förlagd utbildning (VFU)</v>
      </c>
      <c r="C804"/>
      <c r="D804" s="295" t="s">
        <v>629</v>
      </c>
      <c r="E804" t="s">
        <v>1609</v>
      </c>
      <c r="F804" s="59" t="s">
        <v>1930</v>
      </c>
      <c r="G804" t="s">
        <v>1995</v>
      </c>
      <c r="H804" t="s">
        <v>1910</v>
      </c>
      <c r="I804"/>
      <c r="J804"/>
      <c r="K804"/>
      <c r="L804" s="295">
        <v>150</v>
      </c>
      <c r="M804">
        <v>28.5</v>
      </c>
      <c r="N804"/>
      <c r="O804"/>
      <c r="P804" s="31">
        <v>0</v>
      </c>
      <c r="Q804" s="232">
        <f t="shared" si="440"/>
        <v>0</v>
      </c>
      <c r="R804" s="40">
        <v>0.85</v>
      </c>
      <c r="S804" s="334">
        <f t="shared" si="441"/>
        <v>0</v>
      </c>
      <c r="T804" s="31">
        <f>VLOOKUP(A804,'Ansvar kurs'!$A$1:$C$1010,2,FALSE)</f>
        <v>5740</v>
      </c>
      <c r="U804" s="31" t="str">
        <f>VLOOKUP(T804,Orgenheter!$A$1:$C$165,2,FALSE)</f>
        <v>NMD</v>
      </c>
      <c r="V804" s="31" t="str">
        <f>VLOOKUP(T804,Orgenheter!$A$1:$C$165,3,FALSE)</f>
        <v>TekNat</v>
      </c>
      <c r="W804" s="37" t="str">
        <f>VLOOKUP(D804,Program!$A$1:$B$34,2,FALSE)</f>
        <v>KPU - åk 7-9</v>
      </c>
      <c r="X804" s="42">
        <f>VLOOKUP(A804,kurspris!$A$1:$Q$798,15,FALSE)</f>
        <v>21634</v>
      </c>
      <c r="Y804" s="42">
        <f>VLOOKUP(A804,kurspris!$A$1:$Q$798,16,FALSE)</f>
        <v>26986</v>
      </c>
      <c r="Z804" s="42">
        <f t="shared" si="442"/>
        <v>0</v>
      </c>
      <c r="AA804" s="42">
        <f>VLOOKUP(A804,kurspris!$A$1:$Q$798,17,FALSE)</f>
        <v>3400</v>
      </c>
      <c r="AB804" s="42">
        <f t="shared" si="443"/>
        <v>0</v>
      </c>
      <c r="AC804" s="42">
        <f t="shared" si="444"/>
        <v>0</v>
      </c>
      <c r="AD804" s="31">
        <f>VLOOKUP($A804,kurspris!$A$1:$Q$835,3,FALSE)</f>
        <v>0</v>
      </c>
      <c r="AE804" s="31">
        <f>VLOOKUP($A804,kurspris!$A$1:$Q$835,4,FALSE)</f>
        <v>0</v>
      </c>
      <c r="AF804" s="31">
        <f>VLOOKUP($A804,kurspris!$A$1:$Q$835,5,FALSE)</f>
        <v>0</v>
      </c>
      <c r="AG804" s="31">
        <f>VLOOKUP($A804,kurspris!$A$1:$Q$835,6,FALSE)</f>
        <v>0</v>
      </c>
      <c r="AH804" s="31">
        <f>VLOOKUP($A804,kurspris!$A$1:$Q$835,7,FALSE)</f>
        <v>0</v>
      </c>
      <c r="AI804" s="31">
        <f>VLOOKUP($A804,kurspris!$A$1:$Q$835,8,FALSE)</f>
        <v>0</v>
      </c>
      <c r="AJ804" s="31">
        <f>VLOOKUP($A804,kurspris!$A$1:$Q$835,9,FALSE)</f>
        <v>0</v>
      </c>
      <c r="AK804" s="31">
        <f>VLOOKUP($A804,kurspris!$A$1:$Q$835,10,FALSE)</f>
        <v>0</v>
      </c>
      <c r="AL804" s="31">
        <f>VLOOKUP($A804,kurspris!$A$1:$Q$835,11,FALSE)</f>
        <v>1</v>
      </c>
      <c r="AM804" s="31">
        <f>VLOOKUP($A804,kurspris!$A$1:$Q$835,12,FALSE)</f>
        <v>0</v>
      </c>
      <c r="AN804" s="31">
        <f>VLOOKUP($A804,kurspris!$A$1:$Q$835,13,FALSE)</f>
        <v>0</v>
      </c>
      <c r="AO804" s="31">
        <f>VLOOKUP($A804,kurspris!$A$1:$Q$835,14,FALSE)</f>
        <v>0</v>
      </c>
      <c r="AP804" s="39" t="s">
        <v>2204</v>
      </c>
      <c r="AQ804"/>
      <c r="AR804" s="31">
        <f t="shared" si="445"/>
        <v>0</v>
      </c>
      <c r="AS804" s="255">
        <f t="shared" si="446"/>
        <v>0</v>
      </c>
      <c r="AT804" s="31">
        <f t="shared" si="447"/>
        <v>0</v>
      </c>
      <c r="AU804" s="255">
        <f t="shared" si="448"/>
        <v>0</v>
      </c>
      <c r="AV804" s="31">
        <f t="shared" si="449"/>
        <v>0</v>
      </c>
      <c r="AW804" s="31">
        <f t="shared" si="450"/>
        <v>0</v>
      </c>
      <c r="AX804" s="31">
        <f t="shared" si="451"/>
        <v>0</v>
      </c>
      <c r="AY804" s="255">
        <f t="shared" si="452"/>
        <v>0</v>
      </c>
      <c r="AZ804" s="232">
        <f t="shared" si="453"/>
        <v>0</v>
      </c>
      <c r="BA804" s="255">
        <f t="shared" si="454"/>
        <v>0</v>
      </c>
      <c r="BB804" s="31">
        <f t="shared" si="455"/>
        <v>0</v>
      </c>
      <c r="BC804" s="255">
        <f t="shared" si="456"/>
        <v>0</v>
      </c>
      <c r="BD804" s="31">
        <f t="shared" si="457"/>
        <v>0</v>
      </c>
      <c r="BE804" s="255">
        <f t="shared" si="458"/>
        <v>0</v>
      </c>
      <c r="BF804" s="31">
        <f t="shared" si="459"/>
        <v>0</v>
      </c>
      <c r="BG804" s="255">
        <f t="shared" si="460"/>
        <v>0</v>
      </c>
      <c r="BH804" s="31">
        <f t="shared" si="461"/>
        <v>0</v>
      </c>
      <c r="BI804" s="255">
        <f t="shared" si="462"/>
        <v>0</v>
      </c>
      <c r="BJ804" s="31">
        <f t="shared" si="463"/>
        <v>0</v>
      </c>
      <c r="BK804" s="31">
        <f t="shared" si="464"/>
        <v>0</v>
      </c>
      <c r="BL804" s="255">
        <f t="shared" si="465"/>
        <v>0</v>
      </c>
      <c r="BM804" s="31">
        <f t="shared" si="466"/>
        <v>0</v>
      </c>
      <c r="BN804" s="255">
        <f t="shared" si="467"/>
        <v>0</v>
      </c>
    </row>
    <row r="805" spans="1:66" x14ac:dyDescent="0.25">
      <c r="A805" t="s">
        <v>1589</v>
      </c>
      <c r="B805" s="186" t="str">
        <f>VLOOKUP(A805,kurspris!$A$1:$B$877,2,FALSE)</f>
        <v>Verksamhets förlagd utbildning (VFU)</v>
      </c>
      <c r="C805"/>
      <c r="D805" s="295" t="s">
        <v>629</v>
      </c>
      <c r="E805" t="s">
        <v>1788</v>
      </c>
      <c r="F805" s="59" t="s">
        <v>1930</v>
      </c>
      <c r="G805" t="s">
        <v>1995</v>
      </c>
      <c r="H805" t="s">
        <v>1910</v>
      </c>
      <c r="I805"/>
      <c r="J805"/>
      <c r="K805"/>
      <c r="L805" s="295">
        <v>150</v>
      </c>
      <c r="M805">
        <v>28.5</v>
      </c>
      <c r="N805"/>
      <c r="O805"/>
      <c r="P805" s="31">
        <v>11</v>
      </c>
      <c r="Q805" s="232">
        <f t="shared" si="440"/>
        <v>5.2249999999999996</v>
      </c>
      <c r="R805" s="40">
        <v>0.85</v>
      </c>
      <c r="S805" s="334">
        <f t="shared" si="441"/>
        <v>4.4412499999999993</v>
      </c>
      <c r="T805" s="31">
        <f>VLOOKUP(A805,'Ansvar kurs'!$A$1:$C$1010,2,FALSE)</f>
        <v>5740</v>
      </c>
      <c r="U805" s="31" t="str">
        <f>VLOOKUP(T805,Orgenheter!$A$1:$C$165,2,FALSE)</f>
        <v>NMD</v>
      </c>
      <c r="V805" s="31" t="str">
        <f>VLOOKUP(T805,Orgenheter!$A$1:$C$165,3,FALSE)</f>
        <v>TekNat</v>
      </c>
      <c r="W805" s="37" t="str">
        <f>VLOOKUP(D805,Program!$A$1:$B$34,2,FALSE)</f>
        <v>KPU - åk 7-9</v>
      </c>
      <c r="X805" s="42">
        <f>VLOOKUP(A805,kurspris!$A$1:$Q$798,15,FALSE)</f>
        <v>21634</v>
      </c>
      <c r="Y805" s="42">
        <f>VLOOKUP(A805,kurspris!$A$1:$Q$798,16,FALSE)</f>
        <v>26986</v>
      </c>
      <c r="Z805" s="42">
        <f t="shared" si="442"/>
        <v>232889.22249999997</v>
      </c>
      <c r="AA805" s="42">
        <f>VLOOKUP(A805,kurspris!$A$1:$Q$798,17,FALSE)</f>
        <v>3400</v>
      </c>
      <c r="AB805" s="42">
        <f t="shared" si="443"/>
        <v>17765</v>
      </c>
      <c r="AC805" s="42">
        <f t="shared" si="444"/>
        <v>250654.22249999997</v>
      </c>
      <c r="AD805" s="31">
        <f>VLOOKUP($A805,kurspris!$A$1:$Q$835,3,FALSE)</f>
        <v>0</v>
      </c>
      <c r="AE805" s="31">
        <f>VLOOKUP($A805,kurspris!$A$1:$Q$835,4,FALSE)</f>
        <v>0</v>
      </c>
      <c r="AF805" s="31">
        <f>VLOOKUP($A805,kurspris!$A$1:$Q$835,5,FALSE)</f>
        <v>0</v>
      </c>
      <c r="AG805" s="31">
        <f>VLOOKUP($A805,kurspris!$A$1:$Q$835,6,FALSE)</f>
        <v>0</v>
      </c>
      <c r="AH805" s="31">
        <f>VLOOKUP($A805,kurspris!$A$1:$Q$835,7,FALSE)</f>
        <v>0</v>
      </c>
      <c r="AI805" s="31">
        <f>VLOOKUP($A805,kurspris!$A$1:$Q$835,8,FALSE)</f>
        <v>0</v>
      </c>
      <c r="AJ805" s="31">
        <f>VLOOKUP($A805,kurspris!$A$1:$Q$835,9,FALSE)</f>
        <v>0</v>
      </c>
      <c r="AK805" s="31">
        <f>VLOOKUP($A805,kurspris!$A$1:$Q$835,10,FALSE)</f>
        <v>0</v>
      </c>
      <c r="AL805" s="31">
        <f>VLOOKUP($A805,kurspris!$A$1:$Q$835,11,FALSE)</f>
        <v>1</v>
      </c>
      <c r="AM805" s="31">
        <f>VLOOKUP($A805,kurspris!$A$1:$Q$835,12,FALSE)</f>
        <v>0</v>
      </c>
      <c r="AN805" s="31">
        <f>VLOOKUP($A805,kurspris!$A$1:$Q$835,13,FALSE)</f>
        <v>0</v>
      </c>
      <c r="AO805" s="31">
        <f>VLOOKUP($A805,kurspris!$A$1:$Q$835,14,FALSE)</f>
        <v>0</v>
      </c>
      <c r="AP805" s="39" t="s">
        <v>2204</v>
      </c>
      <c r="AQ805"/>
      <c r="AR805" s="31">
        <f t="shared" si="445"/>
        <v>0</v>
      </c>
      <c r="AS805" s="255">
        <f t="shared" si="446"/>
        <v>0</v>
      </c>
      <c r="AT805" s="31">
        <f t="shared" si="447"/>
        <v>0</v>
      </c>
      <c r="AU805" s="255">
        <f t="shared" si="448"/>
        <v>0</v>
      </c>
      <c r="AV805" s="31">
        <f t="shared" si="449"/>
        <v>0</v>
      </c>
      <c r="AW805" s="31">
        <f t="shared" si="450"/>
        <v>0</v>
      </c>
      <c r="AX805" s="31">
        <f t="shared" si="451"/>
        <v>0</v>
      </c>
      <c r="AY805" s="255">
        <f t="shared" si="452"/>
        <v>0</v>
      </c>
      <c r="AZ805" s="232">
        <f t="shared" si="453"/>
        <v>0</v>
      </c>
      <c r="BA805" s="255">
        <f t="shared" si="454"/>
        <v>0</v>
      </c>
      <c r="BB805" s="31">
        <f t="shared" si="455"/>
        <v>0</v>
      </c>
      <c r="BC805" s="255">
        <f t="shared" si="456"/>
        <v>0</v>
      </c>
      <c r="BD805" s="31">
        <f t="shared" si="457"/>
        <v>0</v>
      </c>
      <c r="BE805" s="255">
        <f t="shared" si="458"/>
        <v>0</v>
      </c>
      <c r="BF805" s="31">
        <f t="shared" si="459"/>
        <v>0</v>
      </c>
      <c r="BG805" s="255">
        <f t="shared" si="460"/>
        <v>0</v>
      </c>
      <c r="BH805" s="31">
        <f t="shared" si="461"/>
        <v>5.2249999999999996</v>
      </c>
      <c r="BI805" s="255">
        <f t="shared" si="462"/>
        <v>4.4412499999999993</v>
      </c>
      <c r="BJ805" s="31">
        <f t="shared" si="463"/>
        <v>0</v>
      </c>
      <c r="BK805" s="31">
        <f t="shared" si="464"/>
        <v>0</v>
      </c>
      <c r="BL805" s="255">
        <f t="shared" si="465"/>
        <v>0</v>
      </c>
      <c r="BM805" s="31">
        <f t="shared" si="466"/>
        <v>0</v>
      </c>
      <c r="BN805" s="255">
        <f t="shared" si="467"/>
        <v>0</v>
      </c>
    </row>
    <row r="806" spans="1:66" x14ac:dyDescent="0.25">
      <c r="A806" t="s">
        <v>1589</v>
      </c>
      <c r="B806" s="186" t="str">
        <f>VLOOKUP(A806,kurspris!$A$1:$B$877,2,FALSE)</f>
        <v>Verksamhets förlagd utbildning (VFU)</v>
      </c>
      <c r="C806"/>
      <c r="D806" s="295" t="s">
        <v>630</v>
      </c>
      <c r="E806" t="s">
        <v>1973</v>
      </c>
      <c r="F806" s="59" t="s">
        <v>1930</v>
      </c>
      <c r="G806" t="s">
        <v>1995</v>
      </c>
      <c r="H806" t="s">
        <v>1910</v>
      </c>
      <c r="I806"/>
      <c r="J806"/>
      <c r="K806"/>
      <c r="L806" s="295">
        <v>150</v>
      </c>
      <c r="M806">
        <v>28.5</v>
      </c>
      <c r="N806"/>
      <c r="O806"/>
      <c r="P806" s="31">
        <v>1</v>
      </c>
      <c r="Q806" s="232">
        <f t="shared" si="440"/>
        <v>0.47499999999999998</v>
      </c>
      <c r="R806" s="40">
        <v>0.85</v>
      </c>
      <c r="S806" s="334">
        <f t="shared" si="441"/>
        <v>0.40375</v>
      </c>
      <c r="T806" s="31">
        <f>VLOOKUP(A806,'Ansvar kurs'!$A$1:$C$1010,2,FALSE)</f>
        <v>5740</v>
      </c>
      <c r="U806" s="31" t="str">
        <f>VLOOKUP(T806,Orgenheter!$A$1:$C$165,2,FALSE)</f>
        <v>NMD</v>
      </c>
      <c r="V806" s="31" t="str">
        <f>VLOOKUP(T806,Orgenheter!$A$1:$C$165,3,FALSE)</f>
        <v>TekNat</v>
      </c>
      <c r="W806" s="37" t="str">
        <f>VLOOKUP(D806,Program!$A$1:$B$34,2,FALSE)</f>
        <v>KPU - Gy</v>
      </c>
      <c r="X806" s="42">
        <f>VLOOKUP(A806,kurspris!$A$1:$Q$798,15,FALSE)</f>
        <v>21634</v>
      </c>
      <c r="Y806" s="42">
        <f>VLOOKUP(A806,kurspris!$A$1:$Q$798,16,FALSE)</f>
        <v>26986</v>
      </c>
      <c r="Z806" s="42">
        <f t="shared" si="442"/>
        <v>21171.747499999998</v>
      </c>
      <c r="AA806" s="42">
        <f>VLOOKUP(A806,kurspris!$A$1:$Q$798,17,FALSE)</f>
        <v>3400</v>
      </c>
      <c r="AB806" s="42">
        <f t="shared" si="443"/>
        <v>1615</v>
      </c>
      <c r="AC806" s="42">
        <f t="shared" si="444"/>
        <v>22786.747499999998</v>
      </c>
      <c r="AD806" s="31">
        <f>VLOOKUP($A806,kurspris!$A$1:$Q$835,3,FALSE)</f>
        <v>0</v>
      </c>
      <c r="AE806" s="31">
        <f>VLOOKUP($A806,kurspris!$A$1:$Q$835,4,FALSE)</f>
        <v>0</v>
      </c>
      <c r="AF806" s="31">
        <f>VLOOKUP($A806,kurspris!$A$1:$Q$835,5,FALSE)</f>
        <v>0</v>
      </c>
      <c r="AG806" s="31">
        <f>VLOOKUP($A806,kurspris!$A$1:$Q$835,6,FALSE)</f>
        <v>0</v>
      </c>
      <c r="AH806" s="31">
        <f>VLOOKUP($A806,kurspris!$A$1:$Q$835,7,FALSE)</f>
        <v>0</v>
      </c>
      <c r="AI806" s="31">
        <f>VLOOKUP($A806,kurspris!$A$1:$Q$835,8,FALSE)</f>
        <v>0</v>
      </c>
      <c r="AJ806" s="31">
        <f>VLOOKUP($A806,kurspris!$A$1:$Q$835,9,FALSE)</f>
        <v>0</v>
      </c>
      <c r="AK806" s="31">
        <f>VLOOKUP($A806,kurspris!$A$1:$Q$835,10,FALSE)</f>
        <v>0</v>
      </c>
      <c r="AL806" s="31">
        <f>VLOOKUP($A806,kurspris!$A$1:$Q$835,11,FALSE)</f>
        <v>1</v>
      </c>
      <c r="AM806" s="31">
        <f>VLOOKUP($A806,kurspris!$A$1:$Q$835,12,FALSE)</f>
        <v>0</v>
      </c>
      <c r="AN806" s="31">
        <f>VLOOKUP($A806,kurspris!$A$1:$Q$835,13,FALSE)</f>
        <v>0</v>
      </c>
      <c r="AO806" s="31">
        <f>VLOOKUP($A806,kurspris!$A$1:$Q$835,14,FALSE)</f>
        <v>0</v>
      </c>
      <c r="AP806" s="39" t="s">
        <v>2204</v>
      </c>
      <c r="AQ806"/>
      <c r="AR806" s="31">
        <f t="shared" si="445"/>
        <v>0</v>
      </c>
      <c r="AS806" s="255">
        <f t="shared" si="446"/>
        <v>0</v>
      </c>
      <c r="AT806" s="31">
        <f t="shared" si="447"/>
        <v>0</v>
      </c>
      <c r="AU806" s="255">
        <f t="shared" si="448"/>
        <v>0</v>
      </c>
      <c r="AV806" s="31">
        <f t="shared" si="449"/>
        <v>0</v>
      </c>
      <c r="AW806" s="31">
        <f t="shared" si="450"/>
        <v>0</v>
      </c>
      <c r="AX806" s="31">
        <f t="shared" si="451"/>
        <v>0</v>
      </c>
      <c r="AY806" s="255">
        <f t="shared" si="452"/>
        <v>0</v>
      </c>
      <c r="AZ806" s="232">
        <f t="shared" si="453"/>
        <v>0</v>
      </c>
      <c r="BA806" s="255">
        <f t="shared" si="454"/>
        <v>0</v>
      </c>
      <c r="BB806" s="31">
        <f t="shared" si="455"/>
        <v>0</v>
      </c>
      <c r="BC806" s="255">
        <f t="shared" si="456"/>
        <v>0</v>
      </c>
      <c r="BD806" s="31">
        <f t="shared" si="457"/>
        <v>0</v>
      </c>
      <c r="BE806" s="255">
        <f t="shared" si="458"/>
        <v>0</v>
      </c>
      <c r="BF806" s="31">
        <f t="shared" si="459"/>
        <v>0</v>
      </c>
      <c r="BG806" s="255">
        <f t="shared" si="460"/>
        <v>0</v>
      </c>
      <c r="BH806" s="31">
        <f t="shared" si="461"/>
        <v>0.47499999999999998</v>
      </c>
      <c r="BI806" s="255">
        <f t="shared" si="462"/>
        <v>0.40375</v>
      </c>
      <c r="BJ806" s="31">
        <f t="shared" si="463"/>
        <v>0</v>
      </c>
      <c r="BK806" s="31">
        <f t="shared" si="464"/>
        <v>0</v>
      </c>
      <c r="BL806" s="255">
        <f t="shared" si="465"/>
        <v>0</v>
      </c>
      <c r="BM806" s="31">
        <f t="shared" si="466"/>
        <v>0</v>
      </c>
      <c r="BN806" s="255">
        <f t="shared" si="467"/>
        <v>0</v>
      </c>
    </row>
    <row r="807" spans="1:66" x14ac:dyDescent="0.25">
      <c r="A807" t="s">
        <v>1589</v>
      </c>
      <c r="B807" s="186" t="str">
        <f>VLOOKUP(A807,kurspris!$A$1:$B$877,2,FALSE)</f>
        <v>Verksamhets förlagd utbildning (VFU)</v>
      </c>
      <c r="C807"/>
      <c r="D807" s="295" t="s">
        <v>630</v>
      </c>
      <c r="E807" t="s">
        <v>1788</v>
      </c>
      <c r="F807" s="59" t="s">
        <v>1930</v>
      </c>
      <c r="G807" t="s">
        <v>1995</v>
      </c>
      <c r="H807" t="s">
        <v>1910</v>
      </c>
      <c r="I807"/>
      <c r="J807"/>
      <c r="K807"/>
      <c r="L807" s="295">
        <v>150</v>
      </c>
      <c r="M807">
        <v>28.5</v>
      </c>
      <c r="N807"/>
      <c r="O807"/>
      <c r="P807" s="31">
        <v>13</v>
      </c>
      <c r="Q807" s="232">
        <f t="shared" si="440"/>
        <v>6.1749999999999998</v>
      </c>
      <c r="R807" s="40">
        <v>0.85</v>
      </c>
      <c r="S807" s="334">
        <f t="shared" si="441"/>
        <v>5.2487499999999994</v>
      </c>
      <c r="T807" s="31">
        <f>VLOOKUP(A807,'Ansvar kurs'!$A$1:$C$1010,2,FALSE)</f>
        <v>5740</v>
      </c>
      <c r="U807" s="31" t="str">
        <f>VLOOKUP(T807,Orgenheter!$A$1:$C$165,2,FALSE)</f>
        <v>NMD</v>
      </c>
      <c r="V807" s="31" t="str">
        <f>VLOOKUP(T807,Orgenheter!$A$1:$C$165,3,FALSE)</f>
        <v>TekNat</v>
      </c>
      <c r="W807" s="37" t="str">
        <f>VLOOKUP(D807,Program!$A$1:$B$34,2,FALSE)</f>
        <v>KPU - Gy</v>
      </c>
      <c r="X807" s="42">
        <f>VLOOKUP(A807,kurspris!$A$1:$Q$798,15,FALSE)</f>
        <v>21634</v>
      </c>
      <c r="Y807" s="42">
        <f>VLOOKUP(A807,kurspris!$A$1:$Q$798,16,FALSE)</f>
        <v>26986</v>
      </c>
      <c r="Z807" s="42">
        <f t="shared" si="442"/>
        <v>275232.71749999997</v>
      </c>
      <c r="AA807" s="42">
        <f>VLOOKUP(A807,kurspris!$A$1:$Q$798,17,FALSE)</f>
        <v>3400</v>
      </c>
      <c r="AB807" s="42">
        <f t="shared" si="443"/>
        <v>20995</v>
      </c>
      <c r="AC807" s="42">
        <f t="shared" si="444"/>
        <v>296227.71749999997</v>
      </c>
      <c r="AD807" s="31">
        <f>VLOOKUP($A807,kurspris!$A$1:$Q$835,3,FALSE)</f>
        <v>0</v>
      </c>
      <c r="AE807" s="31">
        <f>VLOOKUP($A807,kurspris!$A$1:$Q$835,4,FALSE)</f>
        <v>0</v>
      </c>
      <c r="AF807" s="31">
        <f>VLOOKUP($A807,kurspris!$A$1:$Q$835,5,FALSE)</f>
        <v>0</v>
      </c>
      <c r="AG807" s="31">
        <f>VLOOKUP($A807,kurspris!$A$1:$Q$835,6,FALSE)</f>
        <v>0</v>
      </c>
      <c r="AH807" s="31">
        <f>VLOOKUP($A807,kurspris!$A$1:$Q$835,7,FALSE)</f>
        <v>0</v>
      </c>
      <c r="AI807" s="31">
        <f>VLOOKUP($A807,kurspris!$A$1:$Q$835,8,FALSE)</f>
        <v>0</v>
      </c>
      <c r="AJ807" s="31">
        <f>VLOOKUP($A807,kurspris!$A$1:$Q$835,9,FALSE)</f>
        <v>0</v>
      </c>
      <c r="AK807" s="31">
        <f>VLOOKUP($A807,kurspris!$A$1:$Q$835,10,FALSE)</f>
        <v>0</v>
      </c>
      <c r="AL807" s="31">
        <f>VLOOKUP($A807,kurspris!$A$1:$Q$835,11,FALSE)</f>
        <v>1</v>
      </c>
      <c r="AM807" s="31">
        <f>VLOOKUP($A807,kurspris!$A$1:$Q$835,12,FALSE)</f>
        <v>0</v>
      </c>
      <c r="AN807" s="31">
        <f>VLOOKUP($A807,kurspris!$A$1:$Q$835,13,FALSE)</f>
        <v>0</v>
      </c>
      <c r="AO807" s="31">
        <f>VLOOKUP($A807,kurspris!$A$1:$Q$835,14,FALSE)</f>
        <v>0</v>
      </c>
      <c r="AP807" s="39" t="s">
        <v>2204</v>
      </c>
      <c r="AQ807"/>
      <c r="AR807" s="31">
        <f t="shared" si="445"/>
        <v>0</v>
      </c>
      <c r="AS807" s="255">
        <f t="shared" si="446"/>
        <v>0</v>
      </c>
      <c r="AT807" s="31">
        <f t="shared" si="447"/>
        <v>0</v>
      </c>
      <c r="AU807" s="255">
        <f t="shared" si="448"/>
        <v>0</v>
      </c>
      <c r="AV807" s="31">
        <f t="shared" si="449"/>
        <v>0</v>
      </c>
      <c r="AW807" s="31">
        <f t="shared" si="450"/>
        <v>0</v>
      </c>
      <c r="AX807" s="31">
        <f t="shared" si="451"/>
        <v>0</v>
      </c>
      <c r="AY807" s="255">
        <f t="shared" si="452"/>
        <v>0</v>
      </c>
      <c r="AZ807" s="232">
        <f t="shared" si="453"/>
        <v>0</v>
      </c>
      <c r="BA807" s="255">
        <f t="shared" si="454"/>
        <v>0</v>
      </c>
      <c r="BB807" s="31">
        <f t="shared" si="455"/>
        <v>0</v>
      </c>
      <c r="BC807" s="255">
        <f t="shared" si="456"/>
        <v>0</v>
      </c>
      <c r="BD807" s="31">
        <f t="shared" si="457"/>
        <v>0</v>
      </c>
      <c r="BE807" s="255">
        <f t="shared" si="458"/>
        <v>0</v>
      </c>
      <c r="BF807" s="31">
        <f t="shared" si="459"/>
        <v>0</v>
      </c>
      <c r="BG807" s="255">
        <f t="shared" si="460"/>
        <v>0</v>
      </c>
      <c r="BH807" s="31">
        <f t="shared" si="461"/>
        <v>6.1749999999999998</v>
      </c>
      <c r="BI807" s="255">
        <f t="shared" si="462"/>
        <v>5.2487499999999994</v>
      </c>
      <c r="BJ807" s="31">
        <f t="shared" si="463"/>
        <v>0</v>
      </c>
      <c r="BK807" s="31">
        <f t="shared" si="464"/>
        <v>0</v>
      </c>
      <c r="BL807" s="255">
        <f t="shared" si="465"/>
        <v>0</v>
      </c>
      <c r="BM807" s="31">
        <f t="shared" si="466"/>
        <v>0</v>
      </c>
      <c r="BN807" s="255">
        <f t="shared" si="467"/>
        <v>0</v>
      </c>
    </row>
    <row r="808" spans="1:66" x14ac:dyDescent="0.25">
      <c r="A808" t="s">
        <v>1588</v>
      </c>
      <c r="B808" s="186" t="str">
        <f>VLOOKUP(A808,kurspris!$A$1:$B$877,2,FALSE)</f>
        <v>Examensarbete med ämnesdidaktisk inriktning (UK)</v>
      </c>
      <c r="C808"/>
      <c r="D808" t="s">
        <v>1632</v>
      </c>
      <c r="E808" s="39" t="s">
        <v>1930</v>
      </c>
      <c r="F808" s="39" t="s">
        <v>1930</v>
      </c>
      <c r="G808" s="295" t="s">
        <v>1942</v>
      </c>
      <c r="H808" t="s">
        <v>1910</v>
      </c>
      <c r="I808"/>
      <c r="J808"/>
      <c r="K808"/>
      <c r="L808" s="423">
        <v>33</v>
      </c>
      <c r="M808" s="295">
        <v>2.2999999999999998</v>
      </c>
      <c r="N808"/>
      <c r="O808"/>
      <c r="P808" s="295">
        <v>13</v>
      </c>
      <c r="Q808" s="232">
        <f t="shared" si="440"/>
        <v>0.49833333333333329</v>
      </c>
      <c r="R808" s="40">
        <v>0.85</v>
      </c>
      <c r="S808" s="334">
        <f t="shared" si="441"/>
        <v>0.42358333333333331</v>
      </c>
      <c r="T808" s="31">
        <f>VLOOKUP(A808,'Ansvar kurs'!$A$1:$C$1010,2,FALSE)</f>
        <v>5740</v>
      </c>
      <c r="U808" s="31" t="str">
        <f>VLOOKUP(T808,Orgenheter!$A$1:$C$165,2,FALSE)</f>
        <v>NMD</v>
      </c>
      <c r="V808" s="31" t="str">
        <f>VLOOKUP(T808,Orgenheter!$A$1:$C$165,3,FALSE)</f>
        <v>TekNat</v>
      </c>
      <c r="W808" s="37" t="str">
        <f>VLOOKUP(D808,Program!$A$1:$B$34,2,FALSE)</f>
        <v>KPU - Förhöjd studietakt - utbildningsbidrag</v>
      </c>
      <c r="X808" s="42">
        <f>VLOOKUP(A808,kurspris!$A$1:$Q$798,15,FALSE)</f>
        <v>23641</v>
      </c>
      <c r="Y808" s="42">
        <f>VLOOKUP(A808,kurspris!$A$1:$Q$798,16,FALSE)</f>
        <v>28786</v>
      </c>
      <c r="Z808" s="42">
        <f t="shared" si="442"/>
        <v>23974.368166666663</v>
      </c>
      <c r="AA808" s="42">
        <f>VLOOKUP(A808,kurspris!$A$1:$Q$798,17,FALSE)</f>
        <v>5800</v>
      </c>
      <c r="AB808" s="42">
        <f t="shared" si="443"/>
        <v>2890.333333333333</v>
      </c>
      <c r="AC808" s="42">
        <f t="shared" si="444"/>
        <v>26864.701499999996</v>
      </c>
      <c r="AD808" s="31">
        <f>VLOOKUP($A808,kurspris!$A$1:$Q$835,3,FALSE)</f>
        <v>0</v>
      </c>
      <c r="AE808" s="31">
        <f>VLOOKUP($A808,kurspris!$A$1:$Q$835,4,FALSE)</f>
        <v>0</v>
      </c>
      <c r="AF808" s="31">
        <f>VLOOKUP($A808,kurspris!$A$1:$Q$835,5,FALSE)</f>
        <v>0</v>
      </c>
      <c r="AG808" s="31">
        <f>VLOOKUP($A808,kurspris!$A$1:$Q$835,6,FALSE)</f>
        <v>1</v>
      </c>
      <c r="AH808" s="31">
        <f>VLOOKUP($A808,kurspris!$A$1:$Q$835,7,FALSE)</f>
        <v>0</v>
      </c>
      <c r="AI808" s="31">
        <f>VLOOKUP($A808,kurspris!$A$1:$Q$835,8,FALSE)</f>
        <v>0</v>
      </c>
      <c r="AJ808" s="31">
        <f>VLOOKUP($A808,kurspris!$A$1:$Q$835,9,FALSE)</f>
        <v>0</v>
      </c>
      <c r="AK808" s="31">
        <f>VLOOKUP($A808,kurspris!$A$1:$Q$835,10,FALSE)</f>
        <v>0</v>
      </c>
      <c r="AL808" s="31">
        <f>VLOOKUP($A808,kurspris!$A$1:$Q$835,11,FALSE)</f>
        <v>0</v>
      </c>
      <c r="AM808" s="31">
        <f>VLOOKUP($A808,kurspris!$A$1:$Q$835,12,FALSE)</f>
        <v>0</v>
      </c>
      <c r="AN808" s="31">
        <f>VLOOKUP($A808,kurspris!$A$1:$Q$835,13,FALSE)</f>
        <v>0</v>
      </c>
      <c r="AO808" s="31">
        <f>VLOOKUP($A808,kurspris!$A$1:$Q$835,14,FALSE)</f>
        <v>0</v>
      </c>
      <c r="AP808" s="39" t="s">
        <v>2236</v>
      </c>
      <c r="AQ808" s="39" t="s">
        <v>1915</v>
      </c>
      <c r="AR808" s="31">
        <f t="shared" si="445"/>
        <v>0</v>
      </c>
      <c r="AS808" s="255">
        <f t="shared" si="446"/>
        <v>0</v>
      </c>
      <c r="AT808" s="31">
        <f t="shared" si="447"/>
        <v>0</v>
      </c>
      <c r="AU808" s="255">
        <f t="shared" si="448"/>
        <v>0</v>
      </c>
      <c r="AV808" s="31">
        <f t="shared" si="449"/>
        <v>0</v>
      </c>
      <c r="AW808" s="31">
        <f t="shared" si="450"/>
        <v>0</v>
      </c>
      <c r="AX808" s="31">
        <f t="shared" si="451"/>
        <v>0.49833333333333329</v>
      </c>
      <c r="AY808" s="255">
        <f t="shared" si="452"/>
        <v>0.42358333333333331</v>
      </c>
      <c r="AZ808" s="232">
        <f t="shared" si="453"/>
        <v>0</v>
      </c>
      <c r="BA808" s="255">
        <f t="shared" si="454"/>
        <v>0</v>
      </c>
      <c r="BB808" s="31">
        <f t="shared" si="455"/>
        <v>0</v>
      </c>
      <c r="BC808" s="255">
        <f t="shared" si="456"/>
        <v>0</v>
      </c>
      <c r="BD808" s="31">
        <f t="shared" si="457"/>
        <v>0</v>
      </c>
      <c r="BE808" s="255">
        <f t="shared" si="458"/>
        <v>0</v>
      </c>
      <c r="BF808" s="31">
        <f t="shared" si="459"/>
        <v>0</v>
      </c>
      <c r="BG808" s="255">
        <f t="shared" si="460"/>
        <v>0</v>
      </c>
      <c r="BH808" s="31">
        <f t="shared" si="461"/>
        <v>0</v>
      </c>
      <c r="BI808" s="255">
        <f t="shared" si="462"/>
        <v>0</v>
      </c>
      <c r="BJ808" s="31">
        <f t="shared" si="463"/>
        <v>0</v>
      </c>
      <c r="BK808" s="31">
        <f t="shared" si="464"/>
        <v>0</v>
      </c>
      <c r="BL808" s="255">
        <f t="shared" si="465"/>
        <v>0</v>
      </c>
      <c r="BM808" s="31">
        <f t="shared" si="466"/>
        <v>0</v>
      </c>
      <c r="BN808" s="255">
        <f t="shared" si="467"/>
        <v>0</v>
      </c>
    </row>
    <row r="809" spans="1:66" x14ac:dyDescent="0.25">
      <c r="A809" s="18" t="s">
        <v>1588</v>
      </c>
      <c r="B809" s="186" t="str">
        <f>VLOOKUP(A809,kurspris!$A$1:$B$877,2,FALSE)</f>
        <v>Examensarbete med ämnesdidaktisk inriktning (UK)</v>
      </c>
      <c r="C809" s="37"/>
      <c r="D809" s="31" t="s">
        <v>1632</v>
      </c>
      <c r="E809" s="31" t="s">
        <v>1930</v>
      </c>
      <c r="F809" s="59" t="s">
        <v>1931</v>
      </c>
      <c r="G809" s="295" t="s">
        <v>1942</v>
      </c>
      <c r="L809" s="31">
        <v>33</v>
      </c>
      <c r="M809" s="31">
        <v>12.7</v>
      </c>
      <c r="P809" s="31">
        <v>13</v>
      </c>
      <c r="Q809" s="232">
        <f t="shared" si="440"/>
        <v>2.7516666666666665</v>
      </c>
      <c r="R809" s="40">
        <v>0.85</v>
      </c>
      <c r="S809" s="334">
        <f t="shared" si="441"/>
        <v>2.3389166666666665</v>
      </c>
      <c r="T809" s="31">
        <f>VLOOKUP(A809,'Ansvar kurs'!$A$1:$C$1010,2,FALSE)</f>
        <v>5740</v>
      </c>
      <c r="U809" s="31" t="str">
        <f>VLOOKUP(T809,Orgenheter!$A$1:$C$165,2,FALSE)</f>
        <v>NMD</v>
      </c>
      <c r="V809" s="31" t="str">
        <f>VLOOKUP(T809,Orgenheter!$A$1:$C$165,3,FALSE)</f>
        <v>TekNat</v>
      </c>
      <c r="W809" s="37" t="str">
        <f>VLOOKUP(D809,Program!$A$1:$B$34,2,FALSE)</f>
        <v>KPU - Förhöjd studietakt - utbildningsbidrag</v>
      </c>
      <c r="X809" s="42">
        <f>VLOOKUP(A809,kurspris!$A$1:$Q$798,15,FALSE)</f>
        <v>23641</v>
      </c>
      <c r="Y809" s="42">
        <f>VLOOKUP(A809,kurspris!$A$1:$Q$798,16,FALSE)</f>
        <v>28786</v>
      </c>
      <c r="Z809" s="42">
        <f t="shared" si="442"/>
        <v>132380.20683333333</v>
      </c>
      <c r="AA809" s="42">
        <f>VLOOKUP(A809,kurspris!$A$1:$Q$798,17,FALSE)</f>
        <v>5800</v>
      </c>
      <c r="AB809" s="42">
        <f t="shared" si="443"/>
        <v>15959.666666666666</v>
      </c>
      <c r="AC809" s="42">
        <f t="shared" si="444"/>
        <v>148339.87349999999</v>
      </c>
      <c r="AD809" s="31">
        <f>VLOOKUP($A809,kurspris!$A$1:$Q$835,3,FALSE)</f>
        <v>0</v>
      </c>
      <c r="AE809" s="31">
        <f>VLOOKUP($A809,kurspris!$A$1:$Q$835,4,FALSE)</f>
        <v>0</v>
      </c>
      <c r="AF809" s="31">
        <f>VLOOKUP($A809,kurspris!$A$1:$Q$835,5,FALSE)</f>
        <v>0</v>
      </c>
      <c r="AG809" s="31">
        <f>VLOOKUP($A809,kurspris!$A$1:$Q$835,6,FALSE)</f>
        <v>1</v>
      </c>
      <c r="AH809" s="31">
        <f>VLOOKUP($A809,kurspris!$A$1:$Q$835,7,FALSE)</f>
        <v>0</v>
      </c>
      <c r="AI809" s="31">
        <f>VLOOKUP($A809,kurspris!$A$1:$Q$835,8,FALSE)</f>
        <v>0</v>
      </c>
      <c r="AJ809" s="31">
        <f>VLOOKUP($A809,kurspris!$A$1:$Q$835,9,FALSE)</f>
        <v>0</v>
      </c>
      <c r="AK809" s="31">
        <f>VLOOKUP($A809,kurspris!$A$1:$Q$835,10,FALSE)</f>
        <v>0</v>
      </c>
      <c r="AL809" s="31">
        <f>VLOOKUP($A809,kurspris!$A$1:$Q$835,11,FALSE)</f>
        <v>0</v>
      </c>
      <c r="AM809" s="31">
        <f>VLOOKUP($A809,kurspris!$A$1:$Q$835,12,FALSE)</f>
        <v>0</v>
      </c>
      <c r="AN809" s="31">
        <f>VLOOKUP($A809,kurspris!$A$1:$Q$835,13,FALSE)</f>
        <v>0</v>
      </c>
      <c r="AO809" s="31">
        <f>VLOOKUP($A809,kurspris!$A$1:$Q$835,14,FALSE)</f>
        <v>0</v>
      </c>
      <c r="AP809" s="39" t="s">
        <v>2326</v>
      </c>
      <c r="AQ809" t="s">
        <v>2301</v>
      </c>
      <c r="AR809" s="31">
        <f t="shared" si="445"/>
        <v>0</v>
      </c>
      <c r="AS809" s="255">
        <f t="shared" si="446"/>
        <v>0</v>
      </c>
      <c r="AT809" s="31">
        <f t="shared" si="447"/>
        <v>0</v>
      </c>
      <c r="AU809" s="255">
        <f t="shared" si="448"/>
        <v>0</v>
      </c>
      <c r="AV809" s="31">
        <f t="shared" si="449"/>
        <v>0</v>
      </c>
      <c r="AW809" s="31">
        <f t="shared" si="450"/>
        <v>0</v>
      </c>
      <c r="AX809" s="31">
        <f t="shared" si="451"/>
        <v>2.7516666666666665</v>
      </c>
      <c r="AY809" s="255">
        <f t="shared" si="452"/>
        <v>2.3389166666666665</v>
      </c>
      <c r="AZ809" s="232">
        <f t="shared" si="453"/>
        <v>0</v>
      </c>
      <c r="BA809" s="255">
        <f t="shared" si="454"/>
        <v>0</v>
      </c>
      <c r="BB809" s="31">
        <f t="shared" si="455"/>
        <v>0</v>
      </c>
      <c r="BC809" s="255">
        <f t="shared" si="456"/>
        <v>0</v>
      </c>
      <c r="BD809" s="31">
        <f t="shared" si="457"/>
        <v>0</v>
      </c>
      <c r="BE809" s="255">
        <f t="shared" si="458"/>
        <v>0</v>
      </c>
      <c r="BF809" s="31">
        <f t="shared" si="459"/>
        <v>0</v>
      </c>
      <c r="BG809" s="255">
        <f t="shared" si="460"/>
        <v>0</v>
      </c>
      <c r="BH809" s="31">
        <f t="shared" si="461"/>
        <v>0</v>
      </c>
      <c r="BI809" s="255">
        <f t="shared" si="462"/>
        <v>0</v>
      </c>
      <c r="BJ809" s="31">
        <f t="shared" si="463"/>
        <v>0</v>
      </c>
      <c r="BK809" s="31">
        <f t="shared" si="464"/>
        <v>0</v>
      </c>
      <c r="BL809" s="255">
        <f t="shared" si="465"/>
        <v>0</v>
      </c>
      <c r="BM809" s="31">
        <f t="shared" si="466"/>
        <v>0</v>
      </c>
      <c r="BN809" s="255">
        <f t="shared" si="467"/>
        <v>0</v>
      </c>
    </row>
    <row r="810" spans="1:66" x14ac:dyDescent="0.25">
      <c r="A810" t="s">
        <v>1588</v>
      </c>
      <c r="B810" s="186" t="str">
        <f>VLOOKUP(A810,kurspris!$A$1:$B$877,2,FALSE)</f>
        <v>Examensarbete med ämnesdidaktisk inriktning (UK)</v>
      </c>
      <c r="C810"/>
      <c r="D810" s="295" t="s">
        <v>629</v>
      </c>
      <c r="E810" t="s">
        <v>1609</v>
      </c>
      <c r="F810" s="59" t="s">
        <v>1930</v>
      </c>
      <c r="G810" t="s">
        <v>1995</v>
      </c>
      <c r="H810" t="s">
        <v>1910</v>
      </c>
      <c r="I810"/>
      <c r="J810"/>
      <c r="K810"/>
      <c r="L810" s="295">
        <v>150</v>
      </c>
      <c r="M810">
        <v>15</v>
      </c>
      <c r="N810"/>
      <c r="O810"/>
      <c r="P810" s="31">
        <v>1</v>
      </c>
      <c r="Q810" s="232">
        <f t="shared" si="440"/>
        <v>0.25</v>
      </c>
      <c r="R810" s="40">
        <v>0.85</v>
      </c>
      <c r="S810" s="334">
        <f t="shared" si="441"/>
        <v>0.21249999999999999</v>
      </c>
      <c r="T810" s="31">
        <f>VLOOKUP(A810,'Ansvar kurs'!$A$1:$C$1010,2,FALSE)</f>
        <v>5740</v>
      </c>
      <c r="U810" s="31" t="str">
        <f>VLOOKUP(T810,Orgenheter!$A$1:$C$165,2,FALSE)</f>
        <v>NMD</v>
      </c>
      <c r="V810" s="31" t="str">
        <f>VLOOKUP(T810,Orgenheter!$A$1:$C$165,3,FALSE)</f>
        <v>TekNat</v>
      </c>
      <c r="W810" s="37" t="str">
        <f>VLOOKUP(D810,Program!$A$1:$B$34,2,FALSE)</f>
        <v>KPU - åk 7-9</v>
      </c>
      <c r="X810" s="42">
        <f>VLOOKUP(A810,kurspris!$A$1:$Q$798,15,FALSE)</f>
        <v>23641</v>
      </c>
      <c r="Y810" s="42">
        <f>VLOOKUP(A810,kurspris!$A$1:$Q$798,16,FALSE)</f>
        <v>28786</v>
      </c>
      <c r="Z810" s="42">
        <f t="shared" si="442"/>
        <v>12027.275</v>
      </c>
      <c r="AA810" s="42">
        <f>VLOOKUP(A810,kurspris!$A$1:$Q$798,17,FALSE)</f>
        <v>5800</v>
      </c>
      <c r="AB810" s="42">
        <f t="shared" si="443"/>
        <v>1450</v>
      </c>
      <c r="AC810" s="42">
        <f t="shared" si="444"/>
        <v>13477.275</v>
      </c>
      <c r="AD810" s="31">
        <f>VLOOKUP($A810,kurspris!$A$1:$Q$835,3,FALSE)</f>
        <v>0</v>
      </c>
      <c r="AE810" s="31">
        <f>VLOOKUP($A810,kurspris!$A$1:$Q$835,4,FALSE)</f>
        <v>0</v>
      </c>
      <c r="AF810" s="31">
        <f>VLOOKUP($A810,kurspris!$A$1:$Q$835,5,FALSE)</f>
        <v>0</v>
      </c>
      <c r="AG810" s="31">
        <f>VLOOKUP($A810,kurspris!$A$1:$Q$835,6,FALSE)</f>
        <v>1</v>
      </c>
      <c r="AH810" s="31">
        <f>VLOOKUP($A810,kurspris!$A$1:$Q$835,7,FALSE)</f>
        <v>0</v>
      </c>
      <c r="AI810" s="31">
        <f>VLOOKUP($A810,kurspris!$A$1:$Q$835,8,FALSE)</f>
        <v>0</v>
      </c>
      <c r="AJ810" s="31">
        <f>VLOOKUP($A810,kurspris!$A$1:$Q$835,9,FALSE)</f>
        <v>0</v>
      </c>
      <c r="AK810" s="31">
        <f>VLOOKUP($A810,kurspris!$A$1:$Q$835,10,FALSE)</f>
        <v>0</v>
      </c>
      <c r="AL810" s="31">
        <f>VLOOKUP($A810,kurspris!$A$1:$Q$835,11,FALSE)</f>
        <v>0</v>
      </c>
      <c r="AM810" s="31">
        <f>VLOOKUP($A810,kurspris!$A$1:$Q$835,12,FALSE)</f>
        <v>0</v>
      </c>
      <c r="AN810" s="31">
        <f>VLOOKUP($A810,kurspris!$A$1:$Q$835,13,FALSE)</f>
        <v>0</v>
      </c>
      <c r="AO810" s="31">
        <f>VLOOKUP($A810,kurspris!$A$1:$Q$835,14,FALSE)</f>
        <v>0</v>
      </c>
      <c r="AP810" s="39" t="s">
        <v>2204</v>
      </c>
      <c r="AQ810"/>
      <c r="AR810" s="31">
        <f t="shared" si="445"/>
        <v>0</v>
      </c>
      <c r="AS810" s="255">
        <f t="shared" si="446"/>
        <v>0</v>
      </c>
      <c r="AT810" s="31">
        <f t="shared" si="447"/>
        <v>0</v>
      </c>
      <c r="AU810" s="255">
        <f t="shared" si="448"/>
        <v>0</v>
      </c>
      <c r="AV810" s="31">
        <f t="shared" si="449"/>
        <v>0</v>
      </c>
      <c r="AW810" s="31">
        <f t="shared" si="450"/>
        <v>0</v>
      </c>
      <c r="AX810" s="31">
        <f t="shared" si="451"/>
        <v>0.25</v>
      </c>
      <c r="AY810" s="255">
        <f t="shared" si="452"/>
        <v>0.21249999999999999</v>
      </c>
      <c r="AZ810" s="232">
        <f t="shared" si="453"/>
        <v>0</v>
      </c>
      <c r="BA810" s="255">
        <f t="shared" si="454"/>
        <v>0</v>
      </c>
      <c r="BB810" s="31">
        <f t="shared" si="455"/>
        <v>0</v>
      </c>
      <c r="BC810" s="255">
        <f t="shared" si="456"/>
        <v>0</v>
      </c>
      <c r="BD810" s="31">
        <f t="shared" si="457"/>
        <v>0</v>
      </c>
      <c r="BE810" s="255">
        <f t="shared" si="458"/>
        <v>0</v>
      </c>
      <c r="BF810" s="31">
        <f t="shared" si="459"/>
        <v>0</v>
      </c>
      <c r="BG810" s="255">
        <f t="shared" si="460"/>
        <v>0</v>
      </c>
      <c r="BH810" s="31">
        <f t="shared" si="461"/>
        <v>0</v>
      </c>
      <c r="BI810" s="255">
        <f t="shared" si="462"/>
        <v>0</v>
      </c>
      <c r="BJ810" s="31">
        <f t="shared" si="463"/>
        <v>0</v>
      </c>
      <c r="BK810" s="31">
        <f t="shared" si="464"/>
        <v>0</v>
      </c>
      <c r="BL810" s="255">
        <f t="shared" si="465"/>
        <v>0</v>
      </c>
      <c r="BM810" s="31">
        <f t="shared" si="466"/>
        <v>0</v>
      </c>
      <c r="BN810" s="255">
        <f t="shared" si="467"/>
        <v>0</v>
      </c>
    </row>
    <row r="811" spans="1:66" x14ac:dyDescent="0.25">
      <c r="A811" t="s">
        <v>1588</v>
      </c>
      <c r="B811" s="186" t="str">
        <f>VLOOKUP(A811,kurspris!$A$1:$B$877,2,FALSE)</f>
        <v>Examensarbete med ämnesdidaktisk inriktning (UK)</v>
      </c>
      <c r="C811"/>
      <c r="D811" s="295" t="s">
        <v>629</v>
      </c>
      <c r="E811" t="s">
        <v>1788</v>
      </c>
      <c r="F811" s="59" t="s">
        <v>1930</v>
      </c>
      <c r="G811" t="s">
        <v>1995</v>
      </c>
      <c r="H811" t="s">
        <v>1910</v>
      </c>
      <c r="I811"/>
      <c r="J811"/>
      <c r="K811"/>
      <c r="L811" s="295">
        <v>150</v>
      </c>
      <c r="M811">
        <v>15</v>
      </c>
      <c r="N811"/>
      <c r="O811"/>
      <c r="P811" s="31">
        <v>13</v>
      </c>
      <c r="Q811" s="232">
        <f t="shared" si="440"/>
        <v>3.25</v>
      </c>
      <c r="R811" s="40">
        <v>0.85</v>
      </c>
      <c r="S811" s="334">
        <f t="shared" si="441"/>
        <v>2.7624999999999997</v>
      </c>
      <c r="T811" s="31">
        <f>VLOOKUP(A811,'Ansvar kurs'!$A$1:$C$1010,2,FALSE)</f>
        <v>5740</v>
      </c>
      <c r="U811" s="31" t="str">
        <f>VLOOKUP(T811,Orgenheter!$A$1:$C$165,2,FALSE)</f>
        <v>NMD</v>
      </c>
      <c r="V811" s="31" t="str">
        <f>VLOOKUP(T811,Orgenheter!$A$1:$C$165,3,FALSE)</f>
        <v>TekNat</v>
      </c>
      <c r="W811" s="37" t="str">
        <f>VLOOKUP(D811,Program!$A$1:$B$34,2,FALSE)</f>
        <v>KPU - åk 7-9</v>
      </c>
      <c r="X811" s="42">
        <f>VLOOKUP(A811,kurspris!$A$1:$Q$798,15,FALSE)</f>
        <v>23641</v>
      </c>
      <c r="Y811" s="42">
        <f>VLOOKUP(A811,kurspris!$A$1:$Q$798,16,FALSE)</f>
        <v>28786</v>
      </c>
      <c r="Z811" s="42">
        <f t="shared" si="442"/>
        <v>156354.57500000001</v>
      </c>
      <c r="AA811" s="42">
        <f>VLOOKUP(A811,kurspris!$A$1:$Q$798,17,FALSE)</f>
        <v>5800</v>
      </c>
      <c r="AB811" s="42">
        <f t="shared" si="443"/>
        <v>18850</v>
      </c>
      <c r="AC811" s="42">
        <f t="shared" si="444"/>
        <v>175204.57500000001</v>
      </c>
      <c r="AD811" s="31">
        <f>VLOOKUP($A811,kurspris!$A$1:$Q$835,3,FALSE)</f>
        <v>0</v>
      </c>
      <c r="AE811" s="31">
        <f>VLOOKUP($A811,kurspris!$A$1:$Q$835,4,FALSE)</f>
        <v>0</v>
      </c>
      <c r="AF811" s="31">
        <f>VLOOKUP($A811,kurspris!$A$1:$Q$835,5,FALSE)</f>
        <v>0</v>
      </c>
      <c r="AG811" s="31">
        <f>VLOOKUP($A811,kurspris!$A$1:$Q$835,6,FALSE)</f>
        <v>1</v>
      </c>
      <c r="AH811" s="31">
        <f>VLOOKUP($A811,kurspris!$A$1:$Q$835,7,FALSE)</f>
        <v>0</v>
      </c>
      <c r="AI811" s="31">
        <f>VLOOKUP($A811,kurspris!$A$1:$Q$835,8,FALSE)</f>
        <v>0</v>
      </c>
      <c r="AJ811" s="31">
        <f>VLOOKUP($A811,kurspris!$A$1:$Q$835,9,FALSE)</f>
        <v>0</v>
      </c>
      <c r="AK811" s="31">
        <f>VLOOKUP($A811,kurspris!$A$1:$Q$835,10,FALSE)</f>
        <v>0</v>
      </c>
      <c r="AL811" s="31">
        <f>VLOOKUP($A811,kurspris!$A$1:$Q$835,11,FALSE)</f>
        <v>0</v>
      </c>
      <c r="AM811" s="31">
        <f>VLOOKUP($A811,kurspris!$A$1:$Q$835,12,FALSE)</f>
        <v>0</v>
      </c>
      <c r="AN811" s="31">
        <f>VLOOKUP($A811,kurspris!$A$1:$Q$835,13,FALSE)</f>
        <v>0</v>
      </c>
      <c r="AO811" s="31">
        <f>VLOOKUP($A811,kurspris!$A$1:$Q$835,14,FALSE)</f>
        <v>0</v>
      </c>
      <c r="AP811" s="39" t="s">
        <v>2204</v>
      </c>
      <c r="AQ811"/>
      <c r="AR811" s="31">
        <f t="shared" si="445"/>
        <v>0</v>
      </c>
      <c r="AS811" s="255">
        <f t="shared" si="446"/>
        <v>0</v>
      </c>
      <c r="AT811" s="31">
        <f t="shared" si="447"/>
        <v>0</v>
      </c>
      <c r="AU811" s="255">
        <f t="shared" si="448"/>
        <v>0</v>
      </c>
      <c r="AV811" s="31">
        <f t="shared" si="449"/>
        <v>0</v>
      </c>
      <c r="AW811" s="31">
        <f t="shared" si="450"/>
        <v>0</v>
      </c>
      <c r="AX811" s="31">
        <f t="shared" si="451"/>
        <v>3.25</v>
      </c>
      <c r="AY811" s="255">
        <f t="shared" si="452"/>
        <v>2.7624999999999997</v>
      </c>
      <c r="AZ811" s="232">
        <f t="shared" si="453"/>
        <v>0</v>
      </c>
      <c r="BA811" s="255">
        <f t="shared" si="454"/>
        <v>0</v>
      </c>
      <c r="BB811" s="31">
        <f t="shared" si="455"/>
        <v>0</v>
      </c>
      <c r="BC811" s="255">
        <f t="shared" si="456"/>
        <v>0</v>
      </c>
      <c r="BD811" s="31">
        <f t="shared" si="457"/>
        <v>0</v>
      </c>
      <c r="BE811" s="255">
        <f t="shared" si="458"/>
        <v>0</v>
      </c>
      <c r="BF811" s="31">
        <f t="shared" si="459"/>
        <v>0</v>
      </c>
      <c r="BG811" s="255">
        <f t="shared" si="460"/>
        <v>0</v>
      </c>
      <c r="BH811" s="31">
        <f t="shared" si="461"/>
        <v>0</v>
      </c>
      <c r="BI811" s="255">
        <f t="shared" si="462"/>
        <v>0</v>
      </c>
      <c r="BJ811" s="31">
        <f t="shared" si="463"/>
        <v>0</v>
      </c>
      <c r="BK811" s="31">
        <f t="shared" si="464"/>
        <v>0</v>
      </c>
      <c r="BL811" s="255">
        <f t="shared" si="465"/>
        <v>0</v>
      </c>
      <c r="BM811" s="31">
        <f t="shared" si="466"/>
        <v>0</v>
      </c>
      <c r="BN811" s="255">
        <f t="shared" si="467"/>
        <v>0</v>
      </c>
    </row>
    <row r="812" spans="1:66" x14ac:dyDescent="0.25">
      <c r="A812" t="s">
        <v>1588</v>
      </c>
      <c r="B812" s="186" t="str">
        <f>VLOOKUP(A812,kurspris!$A$1:$B$877,2,FALSE)</f>
        <v>Examensarbete med ämnesdidaktisk inriktning (UK)</v>
      </c>
      <c r="C812"/>
      <c r="D812" s="295" t="s">
        <v>630</v>
      </c>
      <c r="E812" t="s">
        <v>1973</v>
      </c>
      <c r="F812" s="59" t="s">
        <v>1930</v>
      </c>
      <c r="G812" t="s">
        <v>1995</v>
      </c>
      <c r="H812" t="s">
        <v>1910</v>
      </c>
      <c r="I812"/>
      <c r="J812"/>
      <c r="K812"/>
      <c r="L812" s="295">
        <v>150</v>
      </c>
      <c r="M812">
        <v>15</v>
      </c>
      <c r="N812"/>
      <c r="O812"/>
      <c r="P812" s="31">
        <v>1</v>
      </c>
      <c r="Q812" s="232">
        <f t="shared" si="440"/>
        <v>0.25</v>
      </c>
      <c r="R812" s="40">
        <v>0.85</v>
      </c>
      <c r="S812" s="334">
        <f t="shared" si="441"/>
        <v>0.21249999999999999</v>
      </c>
      <c r="T812" s="31">
        <f>VLOOKUP(A812,'Ansvar kurs'!$A$1:$C$1010,2,FALSE)</f>
        <v>5740</v>
      </c>
      <c r="U812" s="31" t="str">
        <f>VLOOKUP(T812,Orgenheter!$A$1:$C$165,2,FALSE)</f>
        <v>NMD</v>
      </c>
      <c r="V812" s="31" t="str">
        <f>VLOOKUP(T812,Orgenheter!$A$1:$C$165,3,FALSE)</f>
        <v>TekNat</v>
      </c>
      <c r="W812" s="37" t="str">
        <f>VLOOKUP(D812,Program!$A$1:$B$34,2,FALSE)</f>
        <v>KPU - Gy</v>
      </c>
      <c r="X812" s="42">
        <f>VLOOKUP(A812,kurspris!$A$1:$Q$798,15,FALSE)</f>
        <v>23641</v>
      </c>
      <c r="Y812" s="42">
        <f>VLOOKUP(A812,kurspris!$A$1:$Q$798,16,FALSE)</f>
        <v>28786</v>
      </c>
      <c r="Z812" s="42">
        <f t="shared" si="442"/>
        <v>12027.275</v>
      </c>
      <c r="AA812" s="42">
        <f>VLOOKUP(A812,kurspris!$A$1:$Q$798,17,FALSE)</f>
        <v>5800</v>
      </c>
      <c r="AB812" s="42">
        <f t="shared" si="443"/>
        <v>1450</v>
      </c>
      <c r="AC812" s="42">
        <f t="shared" si="444"/>
        <v>13477.275</v>
      </c>
      <c r="AD812" s="31">
        <f>VLOOKUP($A812,kurspris!$A$1:$Q$835,3,FALSE)</f>
        <v>0</v>
      </c>
      <c r="AE812" s="31">
        <f>VLOOKUP($A812,kurspris!$A$1:$Q$835,4,FALSE)</f>
        <v>0</v>
      </c>
      <c r="AF812" s="31">
        <f>VLOOKUP($A812,kurspris!$A$1:$Q$835,5,FALSE)</f>
        <v>0</v>
      </c>
      <c r="AG812" s="31">
        <f>VLOOKUP($A812,kurspris!$A$1:$Q$835,6,FALSE)</f>
        <v>1</v>
      </c>
      <c r="AH812" s="31">
        <f>VLOOKUP($A812,kurspris!$A$1:$Q$835,7,FALSE)</f>
        <v>0</v>
      </c>
      <c r="AI812" s="31">
        <f>VLOOKUP($A812,kurspris!$A$1:$Q$835,8,FALSE)</f>
        <v>0</v>
      </c>
      <c r="AJ812" s="31">
        <f>VLOOKUP($A812,kurspris!$A$1:$Q$835,9,FALSE)</f>
        <v>0</v>
      </c>
      <c r="AK812" s="31">
        <f>VLOOKUP($A812,kurspris!$A$1:$Q$835,10,FALSE)</f>
        <v>0</v>
      </c>
      <c r="AL812" s="31">
        <f>VLOOKUP($A812,kurspris!$A$1:$Q$835,11,FALSE)</f>
        <v>0</v>
      </c>
      <c r="AM812" s="31">
        <f>VLOOKUP($A812,kurspris!$A$1:$Q$835,12,FALSE)</f>
        <v>0</v>
      </c>
      <c r="AN812" s="31">
        <f>VLOOKUP($A812,kurspris!$A$1:$Q$835,13,FALSE)</f>
        <v>0</v>
      </c>
      <c r="AO812" s="31">
        <f>VLOOKUP($A812,kurspris!$A$1:$Q$835,14,FALSE)</f>
        <v>0</v>
      </c>
      <c r="AP812" s="39" t="s">
        <v>2204</v>
      </c>
      <c r="AQ812"/>
      <c r="AR812" s="31">
        <f t="shared" si="445"/>
        <v>0</v>
      </c>
      <c r="AS812" s="255">
        <f t="shared" si="446"/>
        <v>0</v>
      </c>
      <c r="AT812" s="31">
        <f t="shared" si="447"/>
        <v>0</v>
      </c>
      <c r="AU812" s="255">
        <f t="shared" si="448"/>
        <v>0</v>
      </c>
      <c r="AV812" s="31">
        <f t="shared" si="449"/>
        <v>0</v>
      </c>
      <c r="AW812" s="31">
        <f t="shared" si="450"/>
        <v>0</v>
      </c>
      <c r="AX812" s="31">
        <f t="shared" si="451"/>
        <v>0.25</v>
      </c>
      <c r="AY812" s="255">
        <f t="shared" si="452"/>
        <v>0.21249999999999999</v>
      </c>
      <c r="AZ812" s="232">
        <f t="shared" si="453"/>
        <v>0</v>
      </c>
      <c r="BA812" s="255">
        <f t="shared" si="454"/>
        <v>0</v>
      </c>
      <c r="BB812" s="31">
        <f t="shared" si="455"/>
        <v>0</v>
      </c>
      <c r="BC812" s="255">
        <f t="shared" si="456"/>
        <v>0</v>
      </c>
      <c r="BD812" s="31">
        <f t="shared" si="457"/>
        <v>0</v>
      </c>
      <c r="BE812" s="255">
        <f t="shared" si="458"/>
        <v>0</v>
      </c>
      <c r="BF812" s="31">
        <f t="shared" si="459"/>
        <v>0</v>
      </c>
      <c r="BG812" s="255">
        <f t="shared" si="460"/>
        <v>0</v>
      </c>
      <c r="BH812" s="31">
        <f t="shared" si="461"/>
        <v>0</v>
      </c>
      <c r="BI812" s="255">
        <f t="shared" si="462"/>
        <v>0</v>
      </c>
      <c r="BJ812" s="31">
        <f t="shared" si="463"/>
        <v>0</v>
      </c>
      <c r="BK812" s="31">
        <f t="shared" si="464"/>
        <v>0</v>
      </c>
      <c r="BL812" s="255">
        <f t="shared" si="465"/>
        <v>0</v>
      </c>
      <c r="BM812" s="31">
        <f t="shared" si="466"/>
        <v>0</v>
      </c>
      <c r="BN812" s="255">
        <f t="shared" si="467"/>
        <v>0</v>
      </c>
    </row>
    <row r="813" spans="1:66" x14ac:dyDescent="0.25">
      <c r="A813" t="s">
        <v>1588</v>
      </c>
      <c r="B813" s="186" t="str">
        <f>VLOOKUP(A813,kurspris!$A$1:$B$877,2,FALSE)</f>
        <v>Examensarbete med ämnesdidaktisk inriktning (UK)</v>
      </c>
      <c r="C813"/>
      <c r="D813" s="295" t="s">
        <v>630</v>
      </c>
      <c r="E813" t="s">
        <v>1788</v>
      </c>
      <c r="F813" s="59" t="s">
        <v>1930</v>
      </c>
      <c r="G813" t="s">
        <v>1995</v>
      </c>
      <c r="H813" t="s">
        <v>1910</v>
      </c>
      <c r="I813"/>
      <c r="J813"/>
      <c r="K813"/>
      <c r="L813" s="295">
        <v>150</v>
      </c>
      <c r="M813">
        <v>15</v>
      </c>
      <c r="N813"/>
      <c r="O813"/>
      <c r="P813" s="31">
        <v>13</v>
      </c>
      <c r="Q813" s="232">
        <f t="shared" si="440"/>
        <v>3.25</v>
      </c>
      <c r="R813" s="40">
        <v>0.85</v>
      </c>
      <c r="S813" s="334">
        <f t="shared" si="441"/>
        <v>2.7624999999999997</v>
      </c>
      <c r="T813" s="31">
        <f>VLOOKUP(A813,'Ansvar kurs'!$A$1:$C$1010,2,FALSE)</f>
        <v>5740</v>
      </c>
      <c r="U813" s="31" t="str">
        <f>VLOOKUP(T813,Orgenheter!$A$1:$C$165,2,FALSE)</f>
        <v>NMD</v>
      </c>
      <c r="V813" s="31" t="str">
        <f>VLOOKUP(T813,Orgenheter!$A$1:$C$165,3,FALSE)</f>
        <v>TekNat</v>
      </c>
      <c r="W813" s="37" t="str">
        <f>VLOOKUP(D813,Program!$A$1:$B$34,2,FALSE)</f>
        <v>KPU - Gy</v>
      </c>
      <c r="X813" s="42">
        <f>VLOOKUP(A813,kurspris!$A$1:$Q$798,15,FALSE)</f>
        <v>23641</v>
      </c>
      <c r="Y813" s="42">
        <f>VLOOKUP(A813,kurspris!$A$1:$Q$798,16,FALSE)</f>
        <v>28786</v>
      </c>
      <c r="Z813" s="42">
        <f t="shared" si="442"/>
        <v>156354.57500000001</v>
      </c>
      <c r="AA813" s="42">
        <f>VLOOKUP(A813,kurspris!$A$1:$Q$798,17,FALSE)</f>
        <v>5800</v>
      </c>
      <c r="AB813" s="42">
        <f t="shared" si="443"/>
        <v>18850</v>
      </c>
      <c r="AC813" s="42">
        <f t="shared" si="444"/>
        <v>175204.57500000001</v>
      </c>
      <c r="AD813" s="31">
        <f>VLOOKUP($A813,kurspris!$A$1:$Q$835,3,FALSE)</f>
        <v>0</v>
      </c>
      <c r="AE813" s="31">
        <f>VLOOKUP($A813,kurspris!$A$1:$Q$835,4,FALSE)</f>
        <v>0</v>
      </c>
      <c r="AF813" s="31">
        <f>VLOOKUP($A813,kurspris!$A$1:$Q$835,5,FALSE)</f>
        <v>0</v>
      </c>
      <c r="AG813" s="31">
        <f>VLOOKUP($A813,kurspris!$A$1:$Q$835,6,FALSE)</f>
        <v>1</v>
      </c>
      <c r="AH813" s="31">
        <f>VLOOKUP($A813,kurspris!$A$1:$Q$835,7,FALSE)</f>
        <v>0</v>
      </c>
      <c r="AI813" s="31">
        <f>VLOOKUP($A813,kurspris!$A$1:$Q$835,8,FALSE)</f>
        <v>0</v>
      </c>
      <c r="AJ813" s="31">
        <f>VLOOKUP($A813,kurspris!$A$1:$Q$835,9,FALSE)</f>
        <v>0</v>
      </c>
      <c r="AK813" s="31">
        <f>VLOOKUP($A813,kurspris!$A$1:$Q$835,10,FALSE)</f>
        <v>0</v>
      </c>
      <c r="AL813" s="31">
        <f>VLOOKUP($A813,kurspris!$A$1:$Q$835,11,FALSE)</f>
        <v>0</v>
      </c>
      <c r="AM813" s="31">
        <f>VLOOKUP($A813,kurspris!$A$1:$Q$835,12,FALSE)</f>
        <v>0</v>
      </c>
      <c r="AN813" s="31">
        <f>VLOOKUP($A813,kurspris!$A$1:$Q$835,13,FALSE)</f>
        <v>0</v>
      </c>
      <c r="AO813" s="31">
        <f>VLOOKUP($A813,kurspris!$A$1:$Q$835,14,FALSE)</f>
        <v>0</v>
      </c>
      <c r="AP813" s="39" t="s">
        <v>2204</v>
      </c>
      <c r="AQ813"/>
      <c r="AR813" s="31">
        <f t="shared" si="445"/>
        <v>0</v>
      </c>
      <c r="AS813" s="255">
        <f t="shared" si="446"/>
        <v>0</v>
      </c>
      <c r="AT813" s="31">
        <f t="shared" si="447"/>
        <v>0</v>
      </c>
      <c r="AU813" s="255">
        <f t="shared" si="448"/>
        <v>0</v>
      </c>
      <c r="AV813" s="31">
        <f t="shared" si="449"/>
        <v>0</v>
      </c>
      <c r="AW813" s="31">
        <f t="shared" si="450"/>
        <v>0</v>
      </c>
      <c r="AX813" s="31">
        <f t="shared" si="451"/>
        <v>3.25</v>
      </c>
      <c r="AY813" s="255">
        <f t="shared" si="452"/>
        <v>2.7624999999999997</v>
      </c>
      <c r="AZ813" s="232">
        <f t="shared" si="453"/>
        <v>0</v>
      </c>
      <c r="BA813" s="255">
        <f t="shared" si="454"/>
        <v>0</v>
      </c>
      <c r="BB813" s="31">
        <f t="shared" si="455"/>
        <v>0</v>
      </c>
      <c r="BC813" s="255">
        <f t="shared" si="456"/>
        <v>0</v>
      </c>
      <c r="BD813" s="31">
        <f t="shared" si="457"/>
        <v>0</v>
      </c>
      <c r="BE813" s="255">
        <f t="shared" si="458"/>
        <v>0</v>
      </c>
      <c r="BF813" s="31">
        <f t="shared" si="459"/>
        <v>0</v>
      </c>
      <c r="BG813" s="255">
        <f t="shared" si="460"/>
        <v>0</v>
      </c>
      <c r="BH813" s="31">
        <f t="shared" si="461"/>
        <v>0</v>
      </c>
      <c r="BI813" s="255">
        <f t="shared" si="462"/>
        <v>0</v>
      </c>
      <c r="BJ813" s="31">
        <f t="shared" si="463"/>
        <v>0</v>
      </c>
      <c r="BK813" s="31">
        <f t="shared" si="464"/>
        <v>0</v>
      </c>
      <c r="BL813" s="255">
        <f t="shared" si="465"/>
        <v>0</v>
      </c>
      <c r="BM813" s="31">
        <f t="shared" si="466"/>
        <v>0</v>
      </c>
      <c r="BN813" s="255">
        <f t="shared" si="467"/>
        <v>0</v>
      </c>
    </row>
    <row r="814" spans="1:66" x14ac:dyDescent="0.25">
      <c r="A814" t="s">
        <v>1578</v>
      </c>
      <c r="B814" s="186" t="str">
        <f>VLOOKUP(A814,kurspris!$A$1:$B$877,2,FALSE)</f>
        <v>Bedömning för och av lärande i grundskolan (UK)</v>
      </c>
      <c r="C814"/>
      <c r="D814" t="s">
        <v>485</v>
      </c>
      <c r="E814" t="s">
        <v>1609</v>
      </c>
      <c r="F814" s="59" t="s">
        <v>1930</v>
      </c>
      <c r="G814" t="s">
        <v>1984</v>
      </c>
      <c r="H814" t="s">
        <v>1910</v>
      </c>
      <c r="I814"/>
      <c r="J814"/>
      <c r="K814"/>
      <c r="L814">
        <v>100</v>
      </c>
      <c r="M814">
        <v>11</v>
      </c>
      <c r="N814"/>
      <c r="O814"/>
      <c r="P814" s="31">
        <v>13</v>
      </c>
      <c r="Q814" s="232">
        <f t="shared" si="440"/>
        <v>2.3833333333333333</v>
      </c>
      <c r="R814" s="40">
        <v>0.85</v>
      </c>
      <c r="S814" s="334">
        <f t="shared" si="441"/>
        <v>2.0258333333333334</v>
      </c>
      <c r="T814" s="31">
        <f>VLOOKUP(A814,'Ansvar kurs'!$A$1:$C$1010,2,FALSE)</f>
        <v>5740</v>
      </c>
      <c r="U814" s="31" t="str">
        <f>VLOOKUP(T814,Orgenheter!$A$1:$C$165,2,FALSE)</f>
        <v>NMD</v>
      </c>
      <c r="V814" s="31" t="str">
        <f>VLOOKUP(T814,Orgenheter!$A$1:$C$165,3,FALSE)</f>
        <v>TekNat</v>
      </c>
      <c r="W814" s="37" t="str">
        <f>VLOOKUP(D814,Program!$A$1:$B$34,2,FALSE)</f>
        <v>Grundlärarprogrammet - fritidshem</v>
      </c>
      <c r="X814" s="42">
        <f>VLOOKUP(A814,kurspris!$A$1:$Q$798,15,FALSE)</f>
        <v>23641</v>
      </c>
      <c r="Y814" s="42">
        <f>VLOOKUP(A814,kurspris!$A$1:$Q$798,16,FALSE)</f>
        <v>28786</v>
      </c>
      <c r="Z814" s="42">
        <f t="shared" si="442"/>
        <v>114660.02166666667</v>
      </c>
      <c r="AA814" s="42">
        <f>VLOOKUP(A814,kurspris!$A$1:$Q$798,17,FALSE)</f>
        <v>5800</v>
      </c>
      <c r="AB814" s="42">
        <f t="shared" si="443"/>
        <v>13823.333333333334</v>
      </c>
      <c r="AC814" s="42">
        <f t="shared" si="444"/>
        <v>128483.355</v>
      </c>
      <c r="AD814" s="31">
        <f>VLOOKUP($A814,kurspris!$A$1:$Q$835,3,FALSE)</f>
        <v>0</v>
      </c>
      <c r="AE814" s="31">
        <f>VLOOKUP($A814,kurspris!$A$1:$Q$835,4,FALSE)</f>
        <v>0</v>
      </c>
      <c r="AF814" s="31">
        <f>VLOOKUP($A814,kurspris!$A$1:$Q$835,5,FALSE)</f>
        <v>0</v>
      </c>
      <c r="AG814" s="31">
        <f>VLOOKUP($A814,kurspris!$A$1:$Q$835,6,FALSE)</f>
        <v>1</v>
      </c>
      <c r="AH814" s="31">
        <f>VLOOKUP($A814,kurspris!$A$1:$Q$835,7,FALSE)</f>
        <v>0</v>
      </c>
      <c r="AI814" s="31">
        <f>VLOOKUP($A814,kurspris!$A$1:$Q$835,8,FALSE)</f>
        <v>0</v>
      </c>
      <c r="AJ814" s="31">
        <f>VLOOKUP($A814,kurspris!$A$1:$Q$835,9,FALSE)</f>
        <v>0</v>
      </c>
      <c r="AK814" s="31">
        <f>VLOOKUP($A814,kurspris!$A$1:$Q$835,10,FALSE)</f>
        <v>0</v>
      </c>
      <c r="AL814" s="31">
        <f>VLOOKUP($A814,kurspris!$A$1:$Q$835,11,FALSE)</f>
        <v>0</v>
      </c>
      <c r="AM814" s="31">
        <f>VLOOKUP($A814,kurspris!$A$1:$Q$835,12,FALSE)</f>
        <v>0</v>
      </c>
      <c r="AN814" s="31">
        <f>VLOOKUP($A814,kurspris!$A$1:$Q$835,13,FALSE)</f>
        <v>0</v>
      </c>
      <c r="AO814" s="31">
        <f>VLOOKUP($A814,kurspris!$A$1:$Q$835,14,FALSE)</f>
        <v>0</v>
      </c>
      <c r="AP814" s="39" t="s">
        <v>2235</v>
      </c>
      <c r="AQ814"/>
      <c r="AR814" s="31">
        <f t="shared" si="445"/>
        <v>0</v>
      </c>
      <c r="AS814" s="255">
        <f t="shared" si="446"/>
        <v>0</v>
      </c>
      <c r="AT814" s="31">
        <f t="shared" si="447"/>
        <v>0</v>
      </c>
      <c r="AU814" s="255">
        <f t="shared" si="448"/>
        <v>0</v>
      </c>
      <c r="AV814" s="31">
        <f t="shared" si="449"/>
        <v>0</v>
      </c>
      <c r="AW814" s="31">
        <f t="shared" si="450"/>
        <v>0</v>
      </c>
      <c r="AX814" s="31">
        <f t="shared" si="451"/>
        <v>2.3833333333333333</v>
      </c>
      <c r="AY814" s="255">
        <f t="shared" si="452"/>
        <v>2.0258333333333334</v>
      </c>
      <c r="AZ814" s="232">
        <f t="shared" si="453"/>
        <v>0</v>
      </c>
      <c r="BA814" s="255">
        <f t="shared" si="454"/>
        <v>0</v>
      </c>
      <c r="BB814" s="31">
        <f t="shared" si="455"/>
        <v>0</v>
      </c>
      <c r="BC814" s="255">
        <f t="shared" si="456"/>
        <v>0</v>
      </c>
      <c r="BD814" s="31">
        <f t="shared" si="457"/>
        <v>0</v>
      </c>
      <c r="BE814" s="255">
        <f t="shared" si="458"/>
        <v>0</v>
      </c>
      <c r="BF814" s="31">
        <f t="shared" si="459"/>
        <v>0</v>
      </c>
      <c r="BG814" s="255">
        <f t="shared" si="460"/>
        <v>0</v>
      </c>
      <c r="BH814" s="31">
        <f t="shared" si="461"/>
        <v>0</v>
      </c>
      <c r="BI814" s="255">
        <f t="shared" si="462"/>
        <v>0</v>
      </c>
      <c r="BJ814" s="31">
        <f t="shared" si="463"/>
        <v>0</v>
      </c>
      <c r="BK814" s="31">
        <f t="shared" si="464"/>
        <v>0</v>
      </c>
      <c r="BL814" s="255">
        <f t="shared" si="465"/>
        <v>0</v>
      </c>
      <c r="BM814" s="31">
        <f t="shared" si="466"/>
        <v>0</v>
      </c>
      <c r="BN814" s="255">
        <f t="shared" si="467"/>
        <v>0</v>
      </c>
    </row>
    <row r="815" spans="1:66" x14ac:dyDescent="0.25">
      <c r="A815" t="s">
        <v>1578</v>
      </c>
      <c r="B815" s="186" t="str">
        <f>VLOOKUP(A815,kurspris!$A$1:$B$877,2,FALSE)</f>
        <v>Bedömning för och av lärande i grundskolan (UK)</v>
      </c>
      <c r="C815"/>
      <c r="D815" t="s">
        <v>486</v>
      </c>
      <c r="E815" t="s">
        <v>1609</v>
      </c>
      <c r="F815" s="59" t="s">
        <v>1930</v>
      </c>
      <c r="G815" t="s">
        <v>1984</v>
      </c>
      <c r="H815" t="s">
        <v>1910</v>
      </c>
      <c r="I815"/>
      <c r="J815"/>
      <c r="K815"/>
      <c r="L815">
        <v>100</v>
      </c>
      <c r="M815">
        <v>11</v>
      </c>
      <c r="N815"/>
      <c r="O815"/>
      <c r="P815" s="31">
        <v>35</v>
      </c>
      <c r="Q815" s="232">
        <f t="shared" si="440"/>
        <v>6.4166666666666661</v>
      </c>
      <c r="R815" s="40">
        <v>0.85</v>
      </c>
      <c r="S815" s="334">
        <f t="shared" si="441"/>
        <v>5.4541666666666657</v>
      </c>
      <c r="T815" s="31">
        <f>VLOOKUP(A815,'Ansvar kurs'!$A$1:$C$1010,2,FALSE)</f>
        <v>5740</v>
      </c>
      <c r="U815" s="31" t="str">
        <f>VLOOKUP(T815,Orgenheter!$A$1:$C$165,2,FALSE)</f>
        <v>NMD</v>
      </c>
      <c r="V815" s="31" t="str">
        <f>VLOOKUP(T815,Orgenheter!$A$1:$C$165,3,FALSE)</f>
        <v>TekNat</v>
      </c>
      <c r="W815" s="37" t="str">
        <f>VLOOKUP(D815,Program!$A$1:$B$34,2,FALSE)</f>
        <v>Grundlärarprogrammet - förskoleklass och åk 1-3</v>
      </c>
      <c r="X815" s="42">
        <f>VLOOKUP(A815,kurspris!$A$1:$Q$798,15,FALSE)</f>
        <v>23641</v>
      </c>
      <c r="Y815" s="42">
        <f>VLOOKUP(A815,kurspris!$A$1:$Q$798,16,FALSE)</f>
        <v>28786</v>
      </c>
      <c r="Z815" s="42">
        <f t="shared" si="442"/>
        <v>308700.05833333329</v>
      </c>
      <c r="AA815" s="42">
        <f>VLOOKUP(A815,kurspris!$A$1:$Q$798,17,FALSE)</f>
        <v>5800</v>
      </c>
      <c r="AB815" s="42">
        <f t="shared" si="443"/>
        <v>37216.666666666664</v>
      </c>
      <c r="AC815" s="42">
        <f t="shared" si="444"/>
        <v>345916.72499999998</v>
      </c>
      <c r="AD815" s="31">
        <f>VLOOKUP($A815,kurspris!$A$1:$Q$835,3,FALSE)</f>
        <v>0</v>
      </c>
      <c r="AE815" s="31">
        <f>VLOOKUP($A815,kurspris!$A$1:$Q$835,4,FALSE)</f>
        <v>0</v>
      </c>
      <c r="AF815" s="31">
        <f>VLOOKUP($A815,kurspris!$A$1:$Q$835,5,FALSE)</f>
        <v>0</v>
      </c>
      <c r="AG815" s="31">
        <f>VLOOKUP($A815,kurspris!$A$1:$Q$835,6,FALSE)</f>
        <v>1</v>
      </c>
      <c r="AH815" s="31">
        <f>VLOOKUP($A815,kurspris!$A$1:$Q$835,7,FALSE)</f>
        <v>0</v>
      </c>
      <c r="AI815" s="31">
        <f>VLOOKUP($A815,kurspris!$A$1:$Q$835,8,FALSE)</f>
        <v>0</v>
      </c>
      <c r="AJ815" s="31">
        <f>VLOOKUP($A815,kurspris!$A$1:$Q$835,9,FALSE)</f>
        <v>0</v>
      </c>
      <c r="AK815" s="31">
        <f>VLOOKUP($A815,kurspris!$A$1:$Q$835,10,FALSE)</f>
        <v>0</v>
      </c>
      <c r="AL815" s="31">
        <f>VLOOKUP($A815,kurspris!$A$1:$Q$835,11,FALSE)</f>
        <v>0</v>
      </c>
      <c r="AM815" s="31">
        <f>VLOOKUP($A815,kurspris!$A$1:$Q$835,12,FALSE)</f>
        <v>0</v>
      </c>
      <c r="AN815" s="31">
        <f>VLOOKUP($A815,kurspris!$A$1:$Q$835,13,FALSE)</f>
        <v>0</v>
      </c>
      <c r="AO815" s="31">
        <f>VLOOKUP($A815,kurspris!$A$1:$Q$835,14,FALSE)</f>
        <v>0</v>
      </c>
      <c r="AP815" s="39" t="s">
        <v>2235</v>
      </c>
      <c r="AQ815"/>
      <c r="AR815" s="31">
        <f t="shared" si="445"/>
        <v>0</v>
      </c>
      <c r="AS815" s="255">
        <f t="shared" si="446"/>
        <v>0</v>
      </c>
      <c r="AT815" s="31">
        <f t="shared" si="447"/>
        <v>0</v>
      </c>
      <c r="AU815" s="255">
        <f t="shared" si="448"/>
        <v>0</v>
      </c>
      <c r="AV815" s="31">
        <f t="shared" si="449"/>
        <v>0</v>
      </c>
      <c r="AW815" s="31">
        <f t="shared" si="450"/>
        <v>0</v>
      </c>
      <c r="AX815" s="31">
        <f t="shared" si="451"/>
        <v>6.4166666666666661</v>
      </c>
      <c r="AY815" s="255">
        <f t="shared" si="452"/>
        <v>5.4541666666666657</v>
      </c>
      <c r="AZ815" s="232">
        <f t="shared" si="453"/>
        <v>0</v>
      </c>
      <c r="BA815" s="255">
        <f t="shared" si="454"/>
        <v>0</v>
      </c>
      <c r="BB815" s="31">
        <f t="shared" si="455"/>
        <v>0</v>
      </c>
      <c r="BC815" s="255">
        <f t="shared" si="456"/>
        <v>0</v>
      </c>
      <c r="BD815" s="31">
        <f t="shared" si="457"/>
        <v>0</v>
      </c>
      <c r="BE815" s="255">
        <f t="shared" si="458"/>
        <v>0</v>
      </c>
      <c r="BF815" s="31">
        <f t="shared" si="459"/>
        <v>0</v>
      </c>
      <c r="BG815" s="255">
        <f t="shared" si="460"/>
        <v>0</v>
      </c>
      <c r="BH815" s="31">
        <f t="shared" si="461"/>
        <v>0</v>
      </c>
      <c r="BI815" s="255">
        <f t="shared" si="462"/>
        <v>0</v>
      </c>
      <c r="BJ815" s="31">
        <f t="shared" si="463"/>
        <v>0</v>
      </c>
      <c r="BK815" s="31">
        <f t="shared" si="464"/>
        <v>0</v>
      </c>
      <c r="BL815" s="255">
        <f t="shared" si="465"/>
        <v>0</v>
      </c>
      <c r="BM815" s="31">
        <f t="shared" si="466"/>
        <v>0</v>
      </c>
      <c r="BN815" s="255">
        <f t="shared" si="467"/>
        <v>0</v>
      </c>
    </row>
    <row r="816" spans="1:66" x14ac:dyDescent="0.25">
      <c r="A816" t="s">
        <v>1578</v>
      </c>
      <c r="B816" s="186" t="str">
        <f>VLOOKUP(A816,kurspris!$A$1:$B$877,2,FALSE)</f>
        <v>Bedömning för och av lärande i grundskolan (UK)</v>
      </c>
      <c r="C816"/>
      <c r="D816" t="s">
        <v>524</v>
      </c>
      <c r="E816" t="s">
        <v>1973</v>
      </c>
      <c r="F816" s="39" t="s">
        <v>1930</v>
      </c>
      <c r="G816" t="s">
        <v>1984</v>
      </c>
      <c r="H816" t="s">
        <v>1910</v>
      </c>
      <c r="I816"/>
      <c r="J816"/>
      <c r="K816"/>
      <c r="L816">
        <v>100</v>
      </c>
      <c r="M816">
        <v>11</v>
      </c>
      <c r="N816"/>
      <c r="O816"/>
      <c r="P816" s="31">
        <v>1</v>
      </c>
      <c r="Q816" s="232">
        <f t="shared" si="440"/>
        <v>0.18333333333333332</v>
      </c>
      <c r="R816" s="40">
        <v>0.85</v>
      </c>
      <c r="S816" s="334">
        <f t="shared" si="441"/>
        <v>0.15583333333333332</v>
      </c>
      <c r="T816" s="31">
        <f>VLOOKUP(A816,'Ansvar kurs'!$A$1:$C$1010,2,FALSE)</f>
        <v>5740</v>
      </c>
      <c r="U816" s="31" t="str">
        <f>VLOOKUP(T816,Orgenheter!$A$1:$C$165,2,FALSE)</f>
        <v>NMD</v>
      </c>
      <c r="V816" s="31" t="str">
        <f>VLOOKUP(T816,Orgenheter!$A$1:$C$165,3,FALSE)</f>
        <v>TekNat</v>
      </c>
      <c r="W816" s="37" t="str">
        <f>VLOOKUP(D816,Program!$A$1:$B$34,2,FALSE)</f>
        <v>Grundlärarprogrammet - grundskolans åk 4-6</v>
      </c>
      <c r="X816" s="42">
        <f>VLOOKUP(A816,kurspris!$A$1:$Q$798,15,FALSE)</f>
        <v>23641</v>
      </c>
      <c r="Y816" s="42">
        <f>VLOOKUP(A816,kurspris!$A$1:$Q$798,16,FALSE)</f>
        <v>28786</v>
      </c>
      <c r="Z816" s="42">
        <f t="shared" si="442"/>
        <v>8820.001666666667</v>
      </c>
      <c r="AA816" s="42">
        <f>VLOOKUP(A816,kurspris!$A$1:$Q$798,17,FALSE)</f>
        <v>5800</v>
      </c>
      <c r="AB816" s="42">
        <f t="shared" si="443"/>
        <v>1063.3333333333333</v>
      </c>
      <c r="AC816" s="42">
        <f t="shared" si="444"/>
        <v>9883.3350000000009</v>
      </c>
      <c r="AD816" s="31">
        <f>VLOOKUP($A816,kurspris!$A$1:$Q$835,3,FALSE)</f>
        <v>0</v>
      </c>
      <c r="AE816" s="31">
        <f>VLOOKUP($A816,kurspris!$A$1:$Q$835,4,FALSE)</f>
        <v>0</v>
      </c>
      <c r="AF816" s="31">
        <f>VLOOKUP($A816,kurspris!$A$1:$Q$835,5,FALSE)</f>
        <v>0</v>
      </c>
      <c r="AG816" s="31">
        <f>VLOOKUP($A816,kurspris!$A$1:$Q$835,6,FALSE)</f>
        <v>1</v>
      </c>
      <c r="AH816" s="31">
        <f>VLOOKUP($A816,kurspris!$A$1:$Q$835,7,FALSE)</f>
        <v>0</v>
      </c>
      <c r="AI816" s="31">
        <f>VLOOKUP($A816,kurspris!$A$1:$Q$835,8,FALSE)</f>
        <v>0</v>
      </c>
      <c r="AJ816" s="31">
        <f>VLOOKUP($A816,kurspris!$A$1:$Q$835,9,FALSE)</f>
        <v>0</v>
      </c>
      <c r="AK816" s="31">
        <f>VLOOKUP($A816,kurspris!$A$1:$Q$835,10,FALSE)</f>
        <v>0</v>
      </c>
      <c r="AL816" s="31">
        <f>VLOOKUP($A816,kurspris!$A$1:$Q$835,11,FALSE)</f>
        <v>0</v>
      </c>
      <c r="AM816" s="31">
        <f>VLOOKUP($A816,kurspris!$A$1:$Q$835,12,FALSE)</f>
        <v>0</v>
      </c>
      <c r="AN816" s="31">
        <f>VLOOKUP($A816,kurspris!$A$1:$Q$835,13,FALSE)</f>
        <v>0</v>
      </c>
      <c r="AO816" s="31">
        <f>VLOOKUP($A816,kurspris!$A$1:$Q$835,14,FALSE)</f>
        <v>0</v>
      </c>
      <c r="AP816" s="39" t="s">
        <v>2235</v>
      </c>
      <c r="AQ816"/>
      <c r="AR816" s="31">
        <f t="shared" si="445"/>
        <v>0</v>
      </c>
      <c r="AS816" s="255">
        <f t="shared" si="446"/>
        <v>0</v>
      </c>
      <c r="AT816" s="31">
        <f t="shared" si="447"/>
        <v>0</v>
      </c>
      <c r="AU816" s="255">
        <f t="shared" si="448"/>
        <v>0</v>
      </c>
      <c r="AV816" s="31">
        <f t="shared" si="449"/>
        <v>0</v>
      </c>
      <c r="AW816" s="31">
        <f t="shared" si="450"/>
        <v>0</v>
      </c>
      <c r="AX816" s="31">
        <f t="shared" si="451"/>
        <v>0.18333333333333332</v>
      </c>
      <c r="AY816" s="255">
        <f t="shared" si="452"/>
        <v>0.15583333333333332</v>
      </c>
      <c r="AZ816" s="232">
        <f t="shared" si="453"/>
        <v>0</v>
      </c>
      <c r="BA816" s="255">
        <f t="shared" si="454"/>
        <v>0</v>
      </c>
      <c r="BB816" s="31">
        <f t="shared" si="455"/>
        <v>0</v>
      </c>
      <c r="BC816" s="255">
        <f t="shared" si="456"/>
        <v>0</v>
      </c>
      <c r="BD816" s="31">
        <f t="shared" si="457"/>
        <v>0</v>
      </c>
      <c r="BE816" s="255">
        <f t="shared" si="458"/>
        <v>0</v>
      </c>
      <c r="BF816" s="31">
        <f t="shared" si="459"/>
        <v>0</v>
      </c>
      <c r="BG816" s="255">
        <f t="shared" si="460"/>
        <v>0</v>
      </c>
      <c r="BH816" s="31">
        <f t="shared" si="461"/>
        <v>0</v>
      </c>
      <c r="BI816" s="255">
        <f t="shared" si="462"/>
        <v>0</v>
      </c>
      <c r="BJ816" s="31">
        <f t="shared" si="463"/>
        <v>0</v>
      </c>
      <c r="BK816" s="31">
        <f t="shared" si="464"/>
        <v>0</v>
      </c>
      <c r="BL816" s="255">
        <f t="shared" si="465"/>
        <v>0</v>
      </c>
      <c r="BM816" s="31">
        <f t="shared" si="466"/>
        <v>0</v>
      </c>
      <c r="BN816" s="255">
        <f t="shared" si="467"/>
        <v>0</v>
      </c>
    </row>
    <row r="817" spans="1:66" x14ac:dyDescent="0.25">
      <c r="A817" t="s">
        <v>1578</v>
      </c>
      <c r="B817" s="186" t="str">
        <f>VLOOKUP(A817,kurspris!$A$1:$B$877,2,FALSE)</f>
        <v>Bedömning för och av lärande i grundskolan (UK)</v>
      </c>
      <c r="C817"/>
      <c r="D817" t="s">
        <v>524</v>
      </c>
      <c r="E817" t="s">
        <v>1609</v>
      </c>
      <c r="F817" s="39" t="s">
        <v>1930</v>
      </c>
      <c r="G817" t="s">
        <v>1984</v>
      </c>
      <c r="H817" t="s">
        <v>1910</v>
      </c>
      <c r="I817"/>
      <c r="J817"/>
      <c r="K817"/>
      <c r="L817">
        <v>100</v>
      </c>
      <c r="M817">
        <v>11</v>
      </c>
      <c r="N817"/>
      <c r="O817"/>
      <c r="P817" s="31">
        <v>32</v>
      </c>
      <c r="Q817" s="232">
        <f t="shared" si="440"/>
        <v>5.8666666666666663</v>
      </c>
      <c r="R817" s="40">
        <v>0.85</v>
      </c>
      <c r="S817" s="334">
        <f t="shared" si="441"/>
        <v>4.9866666666666664</v>
      </c>
      <c r="T817" s="31">
        <f>VLOOKUP(A817,'Ansvar kurs'!$A$1:$C$1010,2,FALSE)</f>
        <v>5740</v>
      </c>
      <c r="U817" s="31" t="str">
        <f>VLOOKUP(T817,Orgenheter!$A$1:$C$165,2,FALSE)</f>
        <v>NMD</v>
      </c>
      <c r="V817" s="31" t="str">
        <f>VLOOKUP(T817,Orgenheter!$A$1:$C$165,3,FALSE)</f>
        <v>TekNat</v>
      </c>
      <c r="W817" s="37" t="str">
        <f>VLOOKUP(D817,Program!$A$1:$B$34,2,FALSE)</f>
        <v>Grundlärarprogrammet - grundskolans åk 4-6</v>
      </c>
      <c r="X817" s="42">
        <f>VLOOKUP(A817,kurspris!$A$1:$Q$798,15,FALSE)</f>
        <v>23641</v>
      </c>
      <c r="Y817" s="42">
        <f>VLOOKUP(A817,kurspris!$A$1:$Q$798,16,FALSE)</f>
        <v>28786</v>
      </c>
      <c r="Z817" s="42">
        <f t="shared" si="442"/>
        <v>282240.05333333334</v>
      </c>
      <c r="AA817" s="42">
        <f>VLOOKUP(A817,kurspris!$A$1:$Q$798,17,FALSE)</f>
        <v>5800</v>
      </c>
      <c r="AB817" s="42">
        <f t="shared" si="443"/>
        <v>34026.666666666664</v>
      </c>
      <c r="AC817" s="42">
        <f t="shared" si="444"/>
        <v>316266.72000000003</v>
      </c>
      <c r="AD817" s="31">
        <f>VLOOKUP($A817,kurspris!$A$1:$Q$835,3,FALSE)</f>
        <v>0</v>
      </c>
      <c r="AE817" s="31">
        <f>VLOOKUP($A817,kurspris!$A$1:$Q$835,4,FALSE)</f>
        <v>0</v>
      </c>
      <c r="AF817" s="31">
        <f>VLOOKUP($A817,kurspris!$A$1:$Q$835,5,FALSE)</f>
        <v>0</v>
      </c>
      <c r="AG817" s="31">
        <f>VLOOKUP($A817,kurspris!$A$1:$Q$835,6,FALSE)</f>
        <v>1</v>
      </c>
      <c r="AH817" s="31">
        <f>VLOOKUP($A817,kurspris!$A$1:$Q$835,7,FALSE)</f>
        <v>0</v>
      </c>
      <c r="AI817" s="31">
        <f>VLOOKUP($A817,kurspris!$A$1:$Q$835,8,FALSE)</f>
        <v>0</v>
      </c>
      <c r="AJ817" s="31">
        <f>VLOOKUP($A817,kurspris!$A$1:$Q$835,9,FALSE)</f>
        <v>0</v>
      </c>
      <c r="AK817" s="31">
        <f>VLOOKUP($A817,kurspris!$A$1:$Q$835,10,FALSE)</f>
        <v>0</v>
      </c>
      <c r="AL817" s="31">
        <f>VLOOKUP($A817,kurspris!$A$1:$Q$835,11,FALSE)</f>
        <v>0</v>
      </c>
      <c r="AM817" s="31">
        <f>VLOOKUP($A817,kurspris!$A$1:$Q$835,12,FALSE)</f>
        <v>0</v>
      </c>
      <c r="AN817" s="31">
        <f>VLOOKUP($A817,kurspris!$A$1:$Q$835,13,FALSE)</f>
        <v>0</v>
      </c>
      <c r="AO817" s="31">
        <f>VLOOKUP($A817,kurspris!$A$1:$Q$835,14,FALSE)</f>
        <v>0</v>
      </c>
      <c r="AP817" s="39" t="s">
        <v>2235</v>
      </c>
      <c r="AQ817"/>
      <c r="AR817" s="31">
        <f t="shared" si="445"/>
        <v>0</v>
      </c>
      <c r="AS817" s="255">
        <f t="shared" si="446"/>
        <v>0</v>
      </c>
      <c r="AT817" s="31">
        <f t="shared" si="447"/>
        <v>0</v>
      </c>
      <c r="AU817" s="255">
        <f t="shared" si="448"/>
        <v>0</v>
      </c>
      <c r="AV817" s="31">
        <f t="shared" si="449"/>
        <v>0</v>
      </c>
      <c r="AW817" s="31">
        <f t="shared" si="450"/>
        <v>0</v>
      </c>
      <c r="AX817" s="31">
        <f t="shared" si="451"/>
        <v>5.8666666666666663</v>
      </c>
      <c r="AY817" s="255">
        <f t="shared" si="452"/>
        <v>4.9866666666666664</v>
      </c>
      <c r="AZ817" s="232">
        <f t="shared" si="453"/>
        <v>0</v>
      </c>
      <c r="BA817" s="255">
        <f t="shared" si="454"/>
        <v>0</v>
      </c>
      <c r="BB817" s="31">
        <f t="shared" si="455"/>
        <v>0</v>
      </c>
      <c r="BC817" s="255">
        <f t="shared" si="456"/>
        <v>0</v>
      </c>
      <c r="BD817" s="31">
        <f t="shared" si="457"/>
        <v>0</v>
      </c>
      <c r="BE817" s="255">
        <f t="shared" si="458"/>
        <v>0</v>
      </c>
      <c r="BF817" s="31">
        <f t="shared" si="459"/>
        <v>0</v>
      </c>
      <c r="BG817" s="255">
        <f t="shared" si="460"/>
        <v>0</v>
      </c>
      <c r="BH817" s="31">
        <f t="shared" si="461"/>
        <v>0</v>
      </c>
      <c r="BI817" s="255">
        <f t="shared" si="462"/>
        <v>0</v>
      </c>
      <c r="BJ817" s="31">
        <f t="shared" si="463"/>
        <v>0</v>
      </c>
      <c r="BK817" s="31">
        <f t="shared" si="464"/>
        <v>0</v>
      </c>
      <c r="BL817" s="255">
        <f t="shared" si="465"/>
        <v>0</v>
      </c>
      <c r="BM817" s="31">
        <f t="shared" si="466"/>
        <v>0</v>
      </c>
      <c r="BN817" s="255">
        <f t="shared" si="467"/>
        <v>0</v>
      </c>
    </row>
    <row r="818" spans="1:66" x14ac:dyDescent="0.25">
      <c r="A818" t="s">
        <v>1569</v>
      </c>
      <c r="B818" s="186" t="str">
        <f>VLOOKUP(A818,kurspris!$A$1:$B$877,2,FALSE)</f>
        <v>Bedömning för lärande i förskolan (UK)</v>
      </c>
      <c r="C818"/>
      <c r="D818" t="s">
        <v>484</v>
      </c>
      <c r="E818" t="s">
        <v>1973</v>
      </c>
      <c r="F818" s="39" t="s">
        <v>1930</v>
      </c>
      <c r="G818" t="s">
        <v>1985</v>
      </c>
      <c r="H818" t="s">
        <v>1910</v>
      </c>
      <c r="I818"/>
      <c r="J818"/>
      <c r="K818"/>
      <c r="L818">
        <v>100</v>
      </c>
      <c r="M818" s="295">
        <v>4</v>
      </c>
      <c r="N818"/>
      <c r="O818"/>
      <c r="P818" s="31">
        <v>3</v>
      </c>
      <c r="Q818" s="232">
        <f t="shared" si="440"/>
        <v>0.2</v>
      </c>
      <c r="R818" s="40">
        <v>0.85</v>
      </c>
      <c r="S818" s="334">
        <f t="shared" si="441"/>
        <v>0.17</v>
      </c>
      <c r="T818" s="31">
        <f>VLOOKUP(A818,'Ansvar kurs'!$A$1:$C$1010,2,FALSE)</f>
        <v>5740</v>
      </c>
      <c r="U818" s="31" t="str">
        <f>VLOOKUP(T818,Orgenheter!$A$1:$C$165,2,FALSE)</f>
        <v>NMD</v>
      </c>
      <c r="V818" s="31" t="str">
        <f>VLOOKUP(T818,Orgenheter!$A$1:$C$165,3,FALSE)</f>
        <v>TekNat</v>
      </c>
      <c r="W818" s="37" t="str">
        <f>VLOOKUP(D818,Program!$A$1:$B$34,2,FALSE)</f>
        <v>Förskollärarprogrammet</v>
      </c>
      <c r="X818" s="42">
        <f>VLOOKUP(A818,kurspris!$A$1:$Q$798,15,FALSE)</f>
        <v>23641</v>
      </c>
      <c r="Y818" s="42">
        <f>VLOOKUP(A818,kurspris!$A$1:$Q$798,16,FALSE)</f>
        <v>28786</v>
      </c>
      <c r="Z818" s="42">
        <f t="shared" si="442"/>
        <v>9621.82</v>
      </c>
      <c r="AA818" s="42">
        <f>VLOOKUP(A818,kurspris!$A$1:$Q$798,17,FALSE)</f>
        <v>5800</v>
      </c>
      <c r="AB818" s="42">
        <f t="shared" si="443"/>
        <v>1160</v>
      </c>
      <c r="AC818" s="42">
        <f t="shared" si="444"/>
        <v>10781.82</v>
      </c>
      <c r="AD818" s="31">
        <f>VLOOKUP($A818,kurspris!$A$1:$Q$835,3,FALSE)</f>
        <v>0</v>
      </c>
      <c r="AE818" s="31">
        <f>VLOOKUP($A818,kurspris!$A$1:$Q$835,4,FALSE)</f>
        <v>0</v>
      </c>
      <c r="AF818" s="31">
        <f>VLOOKUP($A818,kurspris!$A$1:$Q$835,5,FALSE)</f>
        <v>0</v>
      </c>
      <c r="AG818" s="31">
        <f>VLOOKUP($A818,kurspris!$A$1:$Q$835,6,FALSE)</f>
        <v>1</v>
      </c>
      <c r="AH818" s="31">
        <f>VLOOKUP($A818,kurspris!$A$1:$Q$835,7,FALSE)</f>
        <v>0</v>
      </c>
      <c r="AI818" s="31">
        <f>VLOOKUP($A818,kurspris!$A$1:$Q$835,8,FALSE)</f>
        <v>0</v>
      </c>
      <c r="AJ818" s="31">
        <f>VLOOKUP($A818,kurspris!$A$1:$Q$835,9,FALSE)</f>
        <v>0</v>
      </c>
      <c r="AK818" s="31">
        <f>VLOOKUP($A818,kurspris!$A$1:$Q$835,10,FALSE)</f>
        <v>0</v>
      </c>
      <c r="AL818" s="31">
        <f>VLOOKUP($A818,kurspris!$A$1:$Q$835,11,FALSE)</f>
        <v>0</v>
      </c>
      <c r="AM818" s="31">
        <f>VLOOKUP($A818,kurspris!$A$1:$Q$835,12,FALSE)</f>
        <v>0</v>
      </c>
      <c r="AN818" s="31">
        <f>VLOOKUP($A818,kurspris!$A$1:$Q$835,13,FALSE)</f>
        <v>0</v>
      </c>
      <c r="AO818" s="31">
        <f>VLOOKUP($A818,kurspris!$A$1:$Q$835,14,FALSE)</f>
        <v>0</v>
      </c>
      <c r="AP818" s="39" t="s">
        <v>2204</v>
      </c>
      <c r="AQ818" s="39" t="s">
        <v>2033</v>
      </c>
      <c r="AR818" s="31">
        <f t="shared" si="445"/>
        <v>0</v>
      </c>
      <c r="AS818" s="255">
        <f t="shared" si="446"/>
        <v>0</v>
      </c>
      <c r="AT818" s="31">
        <f t="shared" si="447"/>
        <v>0</v>
      </c>
      <c r="AU818" s="255">
        <f t="shared" si="448"/>
        <v>0</v>
      </c>
      <c r="AV818" s="31">
        <f t="shared" si="449"/>
        <v>0</v>
      </c>
      <c r="AW818" s="31">
        <f t="shared" si="450"/>
        <v>0</v>
      </c>
      <c r="AX818" s="31">
        <f t="shared" si="451"/>
        <v>0.2</v>
      </c>
      <c r="AY818" s="255">
        <f t="shared" si="452"/>
        <v>0.17</v>
      </c>
      <c r="AZ818" s="232">
        <f t="shared" si="453"/>
        <v>0</v>
      </c>
      <c r="BA818" s="255">
        <f t="shared" si="454"/>
        <v>0</v>
      </c>
      <c r="BB818" s="31">
        <f t="shared" si="455"/>
        <v>0</v>
      </c>
      <c r="BC818" s="255">
        <f t="shared" si="456"/>
        <v>0</v>
      </c>
      <c r="BD818" s="31">
        <f t="shared" si="457"/>
        <v>0</v>
      </c>
      <c r="BE818" s="255">
        <f t="shared" si="458"/>
        <v>0</v>
      </c>
      <c r="BF818" s="31">
        <f t="shared" si="459"/>
        <v>0</v>
      </c>
      <c r="BG818" s="255">
        <f t="shared" si="460"/>
        <v>0</v>
      </c>
      <c r="BH818" s="31">
        <f t="shared" si="461"/>
        <v>0</v>
      </c>
      <c r="BI818" s="255">
        <f t="shared" si="462"/>
        <v>0</v>
      </c>
      <c r="BJ818" s="31">
        <f t="shared" si="463"/>
        <v>0</v>
      </c>
      <c r="BK818" s="31">
        <f t="shared" si="464"/>
        <v>0</v>
      </c>
      <c r="BL818" s="255">
        <f t="shared" si="465"/>
        <v>0</v>
      </c>
      <c r="BM818" s="31">
        <f t="shared" si="466"/>
        <v>0</v>
      </c>
      <c r="BN818" s="255">
        <f t="shared" si="467"/>
        <v>0</v>
      </c>
    </row>
    <row r="819" spans="1:66" x14ac:dyDescent="0.25">
      <c r="A819" s="18" t="s">
        <v>1569</v>
      </c>
      <c r="B819" s="186" t="str">
        <f>VLOOKUP(A819,kurspris!$A$1:$B$877,2,FALSE)</f>
        <v>Bedömning för lärande i förskolan (UK)</v>
      </c>
      <c r="C819" s="37"/>
      <c r="D819" s="31" t="s">
        <v>484</v>
      </c>
      <c r="E819" s="31" t="s">
        <v>1973</v>
      </c>
      <c r="F819" s="59" t="s">
        <v>1931</v>
      </c>
      <c r="G819" s="295" t="s">
        <v>1986</v>
      </c>
      <c r="L819" s="31">
        <v>100</v>
      </c>
      <c r="M819" s="31">
        <v>4</v>
      </c>
      <c r="P819" s="31">
        <v>1</v>
      </c>
      <c r="Q819" s="232">
        <f t="shared" si="440"/>
        <v>6.6666666666666666E-2</v>
      </c>
      <c r="R819" s="40">
        <v>0.85</v>
      </c>
      <c r="S819" s="334">
        <f t="shared" si="441"/>
        <v>5.6666666666666664E-2</v>
      </c>
      <c r="T819" s="31">
        <f>VLOOKUP(A819,'Ansvar kurs'!$A$1:$C$1010,2,FALSE)</f>
        <v>5740</v>
      </c>
      <c r="U819" s="31" t="str">
        <f>VLOOKUP(T819,Orgenheter!$A$1:$C$165,2,FALSE)</f>
        <v>NMD</v>
      </c>
      <c r="V819" s="31" t="str">
        <f>VLOOKUP(T819,Orgenheter!$A$1:$C$165,3,FALSE)</f>
        <v>TekNat</v>
      </c>
      <c r="W819" s="37" t="str">
        <f>VLOOKUP(D819,Program!$A$1:$B$34,2,FALSE)</f>
        <v>Förskollärarprogrammet</v>
      </c>
      <c r="X819" s="42">
        <f>VLOOKUP(A819,kurspris!$A$1:$Q$798,15,FALSE)</f>
        <v>23641</v>
      </c>
      <c r="Y819" s="42">
        <f>VLOOKUP(A819,kurspris!$A$1:$Q$798,16,FALSE)</f>
        <v>28786</v>
      </c>
      <c r="Z819" s="42">
        <f t="shared" si="442"/>
        <v>3207.2733333333331</v>
      </c>
      <c r="AA819" s="42">
        <f>VLOOKUP(A819,kurspris!$A$1:$Q$798,17,FALSE)</f>
        <v>5800</v>
      </c>
      <c r="AB819" s="42">
        <f t="shared" si="443"/>
        <v>386.66666666666669</v>
      </c>
      <c r="AC819" s="42">
        <f t="shared" si="444"/>
        <v>3593.9399999999996</v>
      </c>
      <c r="AD819" s="31">
        <f>VLOOKUP($A819,kurspris!$A$1:$Q$835,3,FALSE)</f>
        <v>0</v>
      </c>
      <c r="AE819" s="31">
        <f>VLOOKUP($A819,kurspris!$A$1:$Q$835,4,FALSE)</f>
        <v>0</v>
      </c>
      <c r="AF819" s="31">
        <f>VLOOKUP($A819,kurspris!$A$1:$Q$835,5,FALSE)</f>
        <v>0</v>
      </c>
      <c r="AG819" s="31">
        <f>VLOOKUP($A819,kurspris!$A$1:$Q$835,6,FALSE)</f>
        <v>1</v>
      </c>
      <c r="AH819" s="31">
        <f>VLOOKUP($A819,kurspris!$A$1:$Q$835,7,FALSE)</f>
        <v>0</v>
      </c>
      <c r="AI819" s="31">
        <f>VLOOKUP($A819,kurspris!$A$1:$Q$835,8,FALSE)</f>
        <v>0</v>
      </c>
      <c r="AJ819" s="31">
        <f>VLOOKUP($A819,kurspris!$A$1:$Q$835,9,FALSE)</f>
        <v>0</v>
      </c>
      <c r="AK819" s="31">
        <f>VLOOKUP($A819,kurspris!$A$1:$Q$835,10,FALSE)</f>
        <v>0</v>
      </c>
      <c r="AL819" s="31">
        <f>VLOOKUP($A819,kurspris!$A$1:$Q$835,11,FALSE)</f>
        <v>0</v>
      </c>
      <c r="AM819" s="31">
        <f>VLOOKUP($A819,kurspris!$A$1:$Q$835,12,FALSE)</f>
        <v>0</v>
      </c>
      <c r="AN819" s="31">
        <f>VLOOKUP($A819,kurspris!$A$1:$Q$835,13,FALSE)</f>
        <v>0</v>
      </c>
      <c r="AO819" s="31">
        <f>VLOOKUP($A819,kurspris!$A$1:$Q$835,14,FALSE)</f>
        <v>0</v>
      </c>
      <c r="AP819" s="39" t="s">
        <v>2326</v>
      </c>
      <c r="AQ819" t="s">
        <v>2033</v>
      </c>
      <c r="AR819" s="31">
        <f t="shared" si="445"/>
        <v>0</v>
      </c>
      <c r="AS819" s="255">
        <f t="shared" si="446"/>
        <v>0</v>
      </c>
      <c r="AT819" s="31">
        <f t="shared" si="447"/>
        <v>0</v>
      </c>
      <c r="AU819" s="255">
        <f t="shared" si="448"/>
        <v>0</v>
      </c>
      <c r="AV819" s="31">
        <f t="shared" si="449"/>
        <v>0</v>
      </c>
      <c r="AW819" s="31">
        <f t="shared" si="450"/>
        <v>0</v>
      </c>
      <c r="AX819" s="31">
        <f t="shared" si="451"/>
        <v>6.6666666666666666E-2</v>
      </c>
      <c r="AY819" s="255">
        <f t="shared" si="452"/>
        <v>5.6666666666666664E-2</v>
      </c>
      <c r="AZ819" s="232">
        <f t="shared" si="453"/>
        <v>0</v>
      </c>
      <c r="BA819" s="255">
        <f t="shared" si="454"/>
        <v>0</v>
      </c>
      <c r="BB819" s="31">
        <f t="shared" si="455"/>
        <v>0</v>
      </c>
      <c r="BC819" s="255">
        <f t="shared" si="456"/>
        <v>0</v>
      </c>
      <c r="BD819" s="31">
        <f t="shared" si="457"/>
        <v>0</v>
      </c>
      <c r="BE819" s="255">
        <f t="shared" si="458"/>
        <v>0</v>
      </c>
      <c r="BF819" s="31">
        <f t="shared" si="459"/>
        <v>0</v>
      </c>
      <c r="BG819" s="255">
        <f t="shared" si="460"/>
        <v>0</v>
      </c>
      <c r="BH819" s="31">
        <f t="shared" si="461"/>
        <v>0</v>
      </c>
      <c r="BI819" s="255">
        <f t="shared" si="462"/>
        <v>0</v>
      </c>
      <c r="BJ819" s="31">
        <f t="shared" si="463"/>
        <v>0</v>
      </c>
      <c r="BK819" s="31">
        <f t="shared" si="464"/>
        <v>0</v>
      </c>
      <c r="BL819" s="255">
        <f t="shared" si="465"/>
        <v>0</v>
      </c>
      <c r="BM819" s="31">
        <f t="shared" si="466"/>
        <v>0</v>
      </c>
      <c r="BN819" s="255">
        <f t="shared" si="467"/>
        <v>0</v>
      </c>
    </row>
    <row r="820" spans="1:66" x14ac:dyDescent="0.25">
      <c r="A820" t="s">
        <v>1569</v>
      </c>
      <c r="B820" s="186" t="str">
        <f>VLOOKUP(A820,kurspris!$A$1:$B$877,2,FALSE)</f>
        <v>Bedömning för lärande i förskolan (UK)</v>
      </c>
      <c r="C820"/>
      <c r="D820" t="s">
        <v>484</v>
      </c>
      <c r="E820" t="s">
        <v>1609</v>
      </c>
      <c r="F820" s="39" t="s">
        <v>1930</v>
      </c>
      <c r="G820" t="s">
        <v>1986</v>
      </c>
      <c r="H820" t="s">
        <v>1910</v>
      </c>
      <c r="I820"/>
      <c r="J820"/>
      <c r="K820"/>
      <c r="L820">
        <v>100</v>
      </c>
      <c r="M820" s="295">
        <v>6</v>
      </c>
      <c r="N820"/>
      <c r="O820"/>
      <c r="P820" s="31">
        <v>32</v>
      </c>
      <c r="Q820" s="232">
        <f t="shared" si="440"/>
        <v>3.2</v>
      </c>
      <c r="R820" s="40">
        <v>0.85</v>
      </c>
      <c r="S820" s="334">
        <f t="shared" si="441"/>
        <v>2.72</v>
      </c>
      <c r="T820" s="31">
        <f>VLOOKUP(A820,'Ansvar kurs'!$A$1:$C$1010,2,FALSE)</f>
        <v>5740</v>
      </c>
      <c r="U820" s="31" t="str">
        <f>VLOOKUP(T820,Orgenheter!$A$1:$C$165,2,FALSE)</f>
        <v>NMD</v>
      </c>
      <c r="V820" s="31" t="str">
        <f>VLOOKUP(T820,Orgenheter!$A$1:$C$165,3,FALSE)</f>
        <v>TekNat</v>
      </c>
      <c r="W820" s="37" t="str">
        <f>VLOOKUP(D820,Program!$A$1:$B$34,2,FALSE)</f>
        <v>Förskollärarprogrammet</v>
      </c>
      <c r="X820" s="42">
        <f>VLOOKUP(A820,kurspris!$A$1:$Q$798,15,FALSE)</f>
        <v>23641</v>
      </c>
      <c r="Y820" s="42">
        <f>VLOOKUP(A820,kurspris!$A$1:$Q$798,16,FALSE)</f>
        <v>28786</v>
      </c>
      <c r="Z820" s="42">
        <f t="shared" si="442"/>
        <v>153949.12</v>
      </c>
      <c r="AA820" s="42">
        <f>VLOOKUP(A820,kurspris!$A$1:$Q$798,17,FALSE)</f>
        <v>5800</v>
      </c>
      <c r="AB820" s="42">
        <f t="shared" si="443"/>
        <v>18560</v>
      </c>
      <c r="AC820" s="42">
        <f t="shared" si="444"/>
        <v>172509.12</v>
      </c>
      <c r="AD820" s="31">
        <f>VLOOKUP($A820,kurspris!$A$1:$Q$835,3,FALSE)</f>
        <v>0</v>
      </c>
      <c r="AE820" s="31">
        <f>VLOOKUP($A820,kurspris!$A$1:$Q$835,4,FALSE)</f>
        <v>0</v>
      </c>
      <c r="AF820" s="31">
        <f>VLOOKUP($A820,kurspris!$A$1:$Q$835,5,FALSE)</f>
        <v>0</v>
      </c>
      <c r="AG820" s="31">
        <f>VLOOKUP($A820,kurspris!$A$1:$Q$835,6,FALSE)</f>
        <v>1</v>
      </c>
      <c r="AH820" s="31">
        <f>VLOOKUP($A820,kurspris!$A$1:$Q$835,7,FALSE)</f>
        <v>0</v>
      </c>
      <c r="AI820" s="31">
        <f>VLOOKUP($A820,kurspris!$A$1:$Q$835,8,FALSE)</f>
        <v>0</v>
      </c>
      <c r="AJ820" s="31">
        <f>VLOOKUP($A820,kurspris!$A$1:$Q$835,9,FALSE)</f>
        <v>0</v>
      </c>
      <c r="AK820" s="31">
        <f>VLOOKUP($A820,kurspris!$A$1:$Q$835,10,FALSE)</f>
        <v>0</v>
      </c>
      <c r="AL820" s="31">
        <f>VLOOKUP($A820,kurspris!$A$1:$Q$835,11,FALSE)</f>
        <v>0</v>
      </c>
      <c r="AM820" s="31">
        <f>VLOOKUP($A820,kurspris!$A$1:$Q$835,12,FALSE)</f>
        <v>0</v>
      </c>
      <c r="AN820" s="31">
        <f>VLOOKUP($A820,kurspris!$A$1:$Q$835,13,FALSE)</f>
        <v>0</v>
      </c>
      <c r="AO820" s="31">
        <f>VLOOKUP($A820,kurspris!$A$1:$Q$835,14,FALSE)</f>
        <v>0</v>
      </c>
      <c r="AP820" s="39" t="s">
        <v>2235</v>
      </c>
      <c r="AQ820" s="39" t="s">
        <v>2034</v>
      </c>
      <c r="AR820" s="31">
        <f t="shared" si="445"/>
        <v>0</v>
      </c>
      <c r="AS820" s="255">
        <f t="shared" si="446"/>
        <v>0</v>
      </c>
      <c r="AT820" s="31">
        <f t="shared" si="447"/>
        <v>0</v>
      </c>
      <c r="AU820" s="255">
        <f t="shared" si="448"/>
        <v>0</v>
      </c>
      <c r="AV820" s="31">
        <f t="shared" si="449"/>
        <v>0</v>
      </c>
      <c r="AW820" s="31">
        <f t="shared" si="450"/>
        <v>0</v>
      </c>
      <c r="AX820" s="31">
        <f t="shared" si="451"/>
        <v>3.2</v>
      </c>
      <c r="AY820" s="255">
        <f t="shared" si="452"/>
        <v>2.72</v>
      </c>
      <c r="AZ820" s="232">
        <f t="shared" si="453"/>
        <v>0</v>
      </c>
      <c r="BA820" s="255">
        <f t="shared" si="454"/>
        <v>0</v>
      </c>
      <c r="BB820" s="31">
        <f t="shared" si="455"/>
        <v>0</v>
      </c>
      <c r="BC820" s="255">
        <f t="shared" si="456"/>
        <v>0</v>
      </c>
      <c r="BD820" s="31">
        <f t="shared" si="457"/>
        <v>0</v>
      </c>
      <c r="BE820" s="255">
        <f t="shared" si="458"/>
        <v>0</v>
      </c>
      <c r="BF820" s="31">
        <f t="shared" si="459"/>
        <v>0</v>
      </c>
      <c r="BG820" s="255">
        <f t="shared" si="460"/>
        <v>0</v>
      </c>
      <c r="BH820" s="31">
        <f t="shared" si="461"/>
        <v>0</v>
      </c>
      <c r="BI820" s="255">
        <f t="shared" si="462"/>
        <v>0</v>
      </c>
      <c r="BJ820" s="31">
        <f t="shared" si="463"/>
        <v>0</v>
      </c>
      <c r="BK820" s="31">
        <f t="shared" si="464"/>
        <v>0</v>
      </c>
      <c r="BL820" s="255">
        <f t="shared" si="465"/>
        <v>0</v>
      </c>
      <c r="BM820" s="31">
        <f t="shared" si="466"/>
        <v>0</v>
      </c>
      <c r="BN820" s="255">
        <f t="shared" si="467"/>
        <v>0</v>
      </c>
    </row>
    <row r="821" spans="1:66" x14ac:dyDescent="0.25">
      <c r="A821" s="18" t="s">
        <v>1569</v>
      </c>
      <c r="B821" s="186" t="str">
        <f>VLOOKUP(A821,kurspris!$A$1:$B$877,2,FALSE)</f>
        <v>Bedömning för lärande i förskolan (UK)</v>
      </c>
      <c r="C821" s="37"/>
      <c r="D821" s="31" t="s">
        <v>484</v>
      </c>
      <c r="E821" s="31" t="s">
        <v>1609</v>
      </c>
      <c r="F821" s="59" t="s">
        <v>1931</v>
      </c>
      <c r="G821" s="295" t="s">
        <v>2283</v>
      </c>
      <c r="L821" s="31">
        <v>100</v>
      </c>
      <c r="M821" s="31">
        <v>6</v>
      </c>
      <c r="P821" s="31">
        <v>4</v>
      </c>
      <c r="Q821" s="232">
        <f t="shared" si="440"/>
        <v>0.4</v>
      </c>
      <c r="R821" s="40">
        <v>0.85</v>
      </c>
      <c r="S821" s="334">
        <f t="shared" si="441"/>
        <v>0.34</v>
      </c>
      <c r="T821" s="31">
        <f>VLOOKUP(A821,'Ansvar kurs'!$A$1:$C$1010,2,FALSE)</f>
        <v>5740</v>
      </c>
      <c r="U821" s="31" t="str">
        <f>VLOOKUP(T821,Orgenheter!$A$1:$C$165,2,FALSE)</f>
        <v>NMD</v>
      </c>
      <c r="V821" s="31" t="str">
        <f>VLOOKUP(T821,Orgenheter!$A$1:$C$165,3,FALSE)</f>
        <v>TekNat</v>
      </c>
      <c r="W821" s="37" t="str">
        <f>VLOOKUP(D821,Program!$A$1:$B$34,2,FALSE)</f>
        <v>Förskollärarprogrammet</v>
      </c>
      <c r="X821" s="42">
        <f>VLOOKUP(A821,kurspris!$A$1:$Q$798,15,FALSE)</f>
        <v>23641</v>
      </c>
      <c r="Y821" s="42">
        <f>VLOOKUP(A821,kurspris!$A$1:$Q$798,16,FALSE)</f>
        <v>28786</v>
      </c>
      <c r="Z821" s="42">
        <f t="shared" si="442"/>
        <v>19243.64</v>
      </c>
      <c r="AA821" s="42">
        <f>VLOOKUP(A821,kurspris!$A$1:$Q$798,17,FALSE)</f>
        <v>5800</v>
      </c>
      <c r="AB821" s="42">
        <f t="shared" si="443"/>
        <v>2320</v>
      </c>
      <c r="AC821" s="42">
        <f t="shared" si="444"/>
        <v>21563.64</v>
      </c>
      <c r="AD821" s="31">
        <f>VLOOKUP($A821,kurspris!$A$1:$Q$835,3,FALSE)</f>
        <v>0</v>
      </c>
      <c r="AE821" s="31">
        <f>VLOOKUP($A821,kurspris!$A$1:$Q$835,4,FALSE)</f>
        <v>0</v>
      </c>
      <c r="AF821" s="31">
        <f>VLOOKUP($A821,kurspris!$A$1:$Q$835,5,FALSE)</f>
        <v>0</v>
      </c>
      <c r="AG821" s="31">
        <f>VLOOKUP($A821,kurspris!$A$1:$Q$835,6,FALSE)</f>
        <v>1</v>
      </c>
      <c r="AH821" s="31">
        <f>VLOOKUP($A821,kurspris!$A$1:$Q$835,7,FALSE)</f>
        <v>0</v>
      </c>
      <c r="AI821" s="31">
        <f>VLOOKUP($A821,kurspris!$A$1:$Q$835,8,FALSE)</f>
        <v>0</v>
      </c>
      <c r="AJ821" s="31">
        <f>VLOOKUP($A821,kurspris!$A$1:$Q$835,9,FALSE)</f>
        <v>0</v>
      </c>
      <c r="AK821" s="31">
        <f>VLOOKUP($A821,kurspris!$A$1:$Q$835,10,FALSE)</f>
        <v>0</v>
      </c>
      <c r="AL821" s="31">
        <f>VLOOKUP($A821,kurspris!$A$1:$Q$835,11,FALSE)</f>
        <v>0</v>
      </c>
      <c r="AM821" s="31">
        <f>VLOOKUP($A821,kurspris!$A$1:$Q$835,12,FALSE)</f>
        <v>0</v>
      </c>
      <c r="AN821" s="31">
        <f>VLOOKUP($A821,kurspris!$A$1:$Q$835,13,FALSE)</f>
        <v>0</v>
      </c>
      <c r="AO821" s="31">
        <f>VLOOKUP($A821,kurspris!$A$1:$Q$835,14,FALSE)</f>
        <v>0</v>
      </c>
      <c r="AP821" s="39" t="s">
        <v>2326</v>
      </c>
      <c r="AQ821" t="s">
        <v>2034</v>
      </c>
      <c r="AR821" s="31">
        <f t="shared" si="445"/>
        <v>0</v>
      </c>
      <c r="AS821" s="255">
        <f t="shared" si="446"/>
        <v>0</v>
      </c>
      <c r="AT821" s="31">
        <f t="shared" si="447"/>
        <v>0</v>
      </c>
      <c r="AU821" s="255">
        <f t="shared" si="448"/>
        <v>0</v>
      </c>
      <c r="AV821" s="31">
        <f t="shared" si="449"/>
        <v>0</v>
      </c>
      <c r="AW821" s="31">
        <f t="shared" si="450"/>
        <v>0</v>
      </c>
      <c r="AX821" s="31">
        <f t="shared" si="451"/>
        <v>0.4</v>
      </c>
      <c r="AY821" s="255">
        <f t="shared" si="452"/>
        <v>0.34</v>
      </c>
      <c r="AZ821" s="232">
        <f t="shared" si="453"/>
        <v>0</v>
      </c>
      <c r="BA821" s="255">
        <f t="shared" si="454"/>
        <v>0</v>
      </c>
      <c r="BB821" s="31">
        <f t="shared" si="455"/>
        <v>0</v>
      </c>
      <c r="BC821" s="255">
        <f t="shared" si="456"/>
        <v>0</v>
      </c>
      <c r="BD821" s="31">
        <f t="shared" si="457"/>
        <v>0</v>
      </c>
      <c r="BE821" s="255">
        <f t="shared" si="458"/>
        <v>0</v>
      </c>
      <c r="BF821" s="31">
        <f t="shared" si="459"/>
        <v>0</v>
      </c>
      <c r="BG821" s="255">
        <f t="shared" si="460"/>
        <v>0</v>
      </c>
      <c r="BH821" s="31">
        <f t="shared" si="461"/>
        <v>0</v>
      </c>
      <c r="BI821" s="255">
        <f t="shared" si="462"/>
        <v>0</v>
      </c>
      <c r="BJ821" s="31">
        <f t="shared" si="463"/>
        <v>0</v>
      </c>
      <c r="BK821" s="31">
        <f t="shared" si="464"/>
        <v>0</v>
      </c>
      <c r="BL821" s="255">
        <f t="shared" si="465"/>
        <v>0</v>
      </c>
      <c r="BM821" s="31">
        <f t="shared" si="466"/>
        <v>0</v>
      </c>
      <c r="BN821" s="255">
        <f t="shared" si="467"/>
        <v>0</v>
      </c>
    </row>
    <row r="822" spans="1:66" x14ac:dyDescent="0.25">
      <c r="A822" s="18" t="s">
        <v>1569</v>
      </c>
      <c r="B822" s="186" t="str">
        <f>VLOOKUP(A822,kurspris!$A$1:$B$877,2,FALSE)</f>
        <v>Bedömning för lärande i förskolan (UK)</v>
      </c>
      <c r="C822" s="37"/>
      <c r="D822" s="31" t="s">
        <v>484</v>
      </c>
      <c r="E822" s="31" t="s">
        <v>1609</v>
      </c>
      <c r="F822" s="59" t="s">
        <v>1931</v>
      </c>
      <c r="G822" s="295" t="s">
        <v>1986</v>
      </c>
      <c r="L822" s="31">
        <v>100</v>
      </c>
      <c r="M822" s="31">
        <v>4</v>
      </c>
      <c r="P822" s="31">
        <v>30</v>
      </c>
      <c r="Q822" s="232">
        <f t="shared" si="440"/>
        <v>2</v>
      </c>
      <c r="R822" s="40">
        <v>0.85</v>
      </c>
      <c r="S822" s="334">
        <f t="shared" si="441"/>
        <v>1.7</v>
      </c>
      <c r="T822" s="31">
        <f>VLOOKUP(A822,'Ansvar kurs'!$A$1:$C$1010,2,FALSE)</f>
        <v>5740</v>
      </c>
      <c r="U822" s="31" t="str">
        <f>VLOOKUP(T822,Orgenheter!$A$1:$C$165,2,FALSE)</f>
        <v>NMD</v>
      </c>
      <c r="V822" s="31" t="str">
        <f>VLOOKUP(T822,Orgenheter!$A$1:$C$165,3,FALSE)</f>
        <v>TekNat</v>
      </c>
      <c r="W822" s="37" t="str">
        <f>VLOOKUP(D822,Program!$A$1:$B$34,2,FALSE)</f>
        <v>Förskollärarprogrammet</v>
      </c>
      <c r="X822" s="42">
        <f>VLOOKUP(A822,kurspris!$A$1:$Q$798,15,FALSE)</f>
        <v>23641</v>
      </c>
      <c r="Y822" s="42">
        <f>VLOOKUP(A822,kurspris!$A$1:$Q$798,16,FALSE)</f>
        <v>28786</v>
      </c>
      <c r="Z822" s="42">
        <f t="shared" si="442"/>
        <v>96218.2</v>
      </c>
      <c r="AA822" s="42">
        <f>VLOOKUP(A822,kurspris!$A$1:$Q$798,17,FALSE)</f>
        <v>5800</v>
      </c>
      <c r="AB822" s="42">
        <f t="shared" si="443"/>
        <v>11600</v>
      </c>
      <c r="AC822" s="42">
        <f t="shared" si="444"/>
        <v>107818.2</v>
      </c>
      <c r="AD822" s="31">
        <f>VLOOKUP($A822,kurspris!$A$1:$Q$835,3,FALSE)</f>
        <v>0</v>
      </c>
      <c r="AE822" s="31">
        <f>VLOOKUP($A822,kurspris!$A$1:$Q$835,4,FALSE)</f>
        <v>0</v>
      </c>
      <c r="AF822" s="31">
        <f>VLOOKUP($A822,kurspris!$A$1:$Q$835,5,FALSE)</f>
        <v>0</v>
      </c>
      <c r="AG822" s="31">
        <f>VLOOKUP($A822,kurspris!$A$1:$Q$835,6,FALSE)</f>
        <v>1</v>
      </c>
      <c r="AH822" s="31">
        <f>VLOOKUP($A822,kurspris!$A$1:$Q$835,7,FALSE)</f>
        <v>0</v>
      </c>
      <c r="AI822" s="31">
        <f>VLOOKUP($A822,kurspris!$A$1:$Q$835,8,FALSE)</f>
        <v>0</v>
      </c>
      <c r="AJ822" s="31">
        <f>VLOOKUP($A822,kurspris!$A$1:$Q$835,9,FALSE)</f>
        <v>0</v>
      </c>
      <c r="AK822" s="31">
        <f>VLOOKUP($A822,kurspris!$A$1:$Q$835,10,FALSE)</f>
        <v>0</v>
      </c>
      <c r="AL822" s="31">
        <f>VLOOKUP($A822,kurspris!$A$1:$Q$835,11,FALSE)</f>
        <v>0</v>
      </c>
      <c r="AM822" s="31">
        <f>VLOOKUP($A822,kurspris!$A$1:$Q$835,12,FALSE)</f>
        <v>0</v>
      </c>
      <c r="AN822" s="31">
        <f>VLOOKUP($A822,kurspris!$A$1:$Q$835,13,FALSE)</f>
        <v>0</v>
      </c>
      <c r="AO822" s="31">
        <f>VLOOKUP($A822,kurspris!$A$1:$Q$835,14,FALSE)</f>
        <v>0</v>
      </c>
      <c r="AP822" s="39" t="s">
        <v>2326</v>
      </c>
      <c r="AQ822" t="s">
        <v>2033</v>
      </c>
      <c r="AR822" s="31">
        <f t="shared" si="445"/>
        <v>0</v>
      </c>
      <c r="AS822" s="255">
        <f t="shared" si="446"/>
        <v>0</v>
      </c>
      <c r="AT822" s="31">
        <f t="shared" si="447"/>
        <v>0</v>
      </c>
      <c r="AU822" s="255">
        <f t="shared" si="448"/>
        <v>0</v>
      </c>
      <c r="AV822" s="31">
        <f t="shared" si="449"/>
        <v>0</v>
      </c>
      <c r="AW822" s="31">
        <f t="shared" si="450"/>
        <v>0</v>
      </c>
      <c r="AX822" s="31">
        <f t="shared" si="451"/>
        <v>2</v>
      </c>
      <c r="AY822" s="255">
        <f t="shared" si="452"/>
        <v>1.7</v>
      </c>
      <c r="AZ822" s="232">
        <f t="shared" si="453"/>
        <v>0</v>
      </c>
      <c r="BA822" s="255">
        <f t="shared" si="454"/>
        <v>0</v>
      </c>
      <c r="BB822" s="31">
        <f t="shared" si="455"/>
        <v>0</v>
      </c>
      <c r="BC822" s="255">
        <f t="shared" si="456"/>
        <v>0</v>
      </c>
      <c r="BD822" s="31">
        <f t="shared" si="457"/>
        <v>0</v>
      </c>
      <c r="BE822" s="255">
        <f t="shared" si="458"/>
        <v>0</v>
      </c>
      <c r="BF822" s="31">
        <f t="shared" si="459"/>
        <v>0</v>
      </c>
      <c r="BG822" s="255">
        <f t="shared" si="460"/>
        <v>0</v>
      </c>
      <c r="BH822" s="31">
        <f t="shared" si="461"/>
        <v>0</v>
      </c>
      <c r="BI822" s="255">
        <f t="shared" si="462"/>
        <v>0</v>
      </c>
      <c r="BJ822" s="31">
        <f t="shared" si="463"/>
        <v>0</v>
      </c>
      <c r="BK822" s="31">
        <f t="shared" si="464"/>
        <v>0</v>
      </c>
      <c r="BL822" s="255">
        <f t="shared" si="465"/>
        <v>0</v>
      </c>
      <c r="BM822" s="31">
        <f t="shared" si="466"/>
        <v>0</v>
      </c>
      <c r="BN822" s="255">
        <f t="shared" si="467"/>
        <v>0</v>
      </c>
    </row>
    <row r="823" spans="1:66" x14ac:dyDescent="0.25">
      <c r="A823" t="s">
        <v>1569</v>
      </c>
      <c r="B823" s="186" t="str">
        <f>VLOOKUP(A823,kurspris!$A$1:$B$877,2,FALSE)</f>
        <v>Bedömning för lärande i förskolan (UK)</v>
      </c>
      <c r="C823"/>
      <c r="D823" t="s">
        <v>484</v>
      </c>
      <c r="E823" t="s">
        <v>1974</v>
      </c>
      <c r="F823" s="39" t="s">
        <v>1930</v>
      </c>
      <c r="G823" t="s">
        <v>1985</v>
      </c>
      <c r="H823" t="s">
        <v>1910</v>
      </c>
      <c r="I823"/>
      <c r="J823"/>
      <c r="K823"/>
      <c r="L823">
        <v>100</v>
      </c>
      <c r="M823" s="295">
        <v>4</v>
      </c>
      <c r="N823"/>
      <c r="O823"/>
      <c r="P823" s="31">
        <v>1</v>
      </c>
      <c r="Q823" s="232">
        <f t="shared" si="440"/>
        <v>6.6666666666666666E-2</v>
      </c>
      <c r="R823" s="40">
        <v>0.85</v>
      </c>
      <c r="S823" s="334">
        <f t="shared" si="441"/>
        <v>5.6666666666666664E-2</v>
      </c>
      <c r="T823" s="31">
        <f>VLOOKUP(A823,'Ansvar kurs'!$A$1:$C$1010,2,FALSE)</f>
        <v>5740</v>
      </c>
      <c r="U823" s="31" t="str">
        <f>VLOOKUP(T823,Orgenheter!$A$1:$C$165,2,FALSE)</f>
        <v>NMD</v>
      </c>
      <c r="V823" s="31" t="str">
        <f>VLOOKUP(T823,Orgenheter!$A$1:$C$165,3,FALSE)</f>
        <v>TekNat</v>
      </c>
      <c r="W823" s="37" t="str">
        <f>VLOOKUP(D823,Program!$A$1:$B$34,2,FALSE)</f>
        <v>Förskollärarprogrammet</v>
      </c>
      <c r="X823" s="42">
        <f>VLOOKUP(A823,kurspris!$A$1:$Q$798,15,FALSE)</f>
        <v>23641</v>
      </c>
      <c r="Y823" s="42">
        <f>VLOOKUP(A823,kurspris!$A$1:$Q$798,16,FALSE)</f>
        <v>28786</v>
      </c>
      <c r="Z823" s="42">
        <f t="shared" si="442"/>
        <v>3207.2733333333331</v>
      </c>
      <c r="AA823" s="42">
        <f>VLOOKUP(A823,kurspris!$A$1:$Q$798,17,FALSE)</f>
        <v>5800</v>
      </c>
      <c r="AB823" s="42">
        <f t="shared" si="443"/>
        <v>386.66666666666669</v>
      </c>
      <c r="AC823" s="42">
        <f t="shared" si="444"/>
        <v>3593.9399999999996</v>
      </c>
      <c r="AD823" s="31">
        <f>VLOOKUP($A823,kurspris!$A$1:$Q$835,3,FALSE)</f>
        <v>0</v>
      </c>
      <c r="AE823" s="31">
        <f>VLOOKUP($A823,kurspris!$A$1:$Q$835,4,FALSE)</f>
        <v>0</v>
      </c>
      <c r="AF823" s="31">
        <f>VLOOKUP($A823,kurspris!$A$1:$Q$835,5,FALSE)</f>
        <v>0</v>
      </c>
      <c r="AG823" s="31">
        <f>VLOOKUP($A823,kurspris!$A$1:$Q$835,6,FALSE)</f>
        <v>1</v>
      </c>
      <c r="AH823" s="31">
        <f>VLOOKUP($A823,kurspris!$A$1:$Q$835,7,FALSE)</f>
        <v>0</v>
      </c>
      <c r="AI823" s="31">
        <f>VLOOKUP($A823,kurspris!$A$1:$Q$835,8,FALSE)</f>
        <v>0</v>
      </c>
      <c r="AJ823" s="31">
        <f>VLOOKUP($A823,kurspris!$A$1:$Q$835,9,FALSE)</f>
        <v>0</v>
      </c>
      <c r="AK823" s="31">
        <f>VLOOKUP($A823,kurspris!$A$1:$Q$835,10,FALSE)</f>
        <v>0</v>
      </c>
      <c r="AL823" s="31">
        <f>VLOOKUP($A823,kurspris!$A$1:$Q$835,11,FALSE)</f>
        <v>0</v>
      </c>
      <c r="AM823" s="31">
        <f>VLOOKUP($A823,kurspris!$A$1:$Q$835,12,FALSE)</f>
        <v>0</v>
      </c>
      <c r="AN823" s="31">
        <f>VLOOKUP($A823,kurspris!$A$1:$Q$835,13,FALSE)</f>
        <v>0</v>
      </c>
      <c r="AO823" s="31">
        <f>VLOOKUP($A823,kurspris!$A$1:$Q$835,14,FALSE)</f>
        <v>0</v>
      </c>
      <c r="AP823" s="39" t="s">
        <v>2204</v>
      </c>
      <c r="AQ823" s="39" t="s">
        <v>2033</v>
      </c>
      <c r="AR823" s="31">
        <f t="shared" si="445"/>
        <v>0</v>
      </c>
      <c r="AS823" s="255">
        <f t="shared" si="446"/>
        <v>0</v>
      </c>
      <c r="AT823" s="31">
        <f t="shared" si="447"/>
        <v>0</v>
      </c>
      <c r="AU823" s="255">
        <f t="shared" si="448"/>
        <v>0</v>
      </c>
      <c r="AV823" s="31">
        <f t="shared" si="449"/>
        <v>0</v>
      </c>
      <c r="AW823" s="31">
        <f t="shared" si="450"/>
        <v>0</v>
      </c>
      <c r="AX823" s="31">
        <f t="shared" si="451"/>
        <v>6.6666666666666666E-2</v>
      </c>
      <c r="AY823" s="255">
        <f t="shared" si="452"/>
        <v>5.6666666666666664E-2</v>
      </c>
      <c r="AZ823" s="232">
        <f t="shared" si="453"/>
        <v>0</v>
      </c>
      <c r="BA823" s="255">
        <f t="shared" si="454"/>
        <v>0</v>
      </c>
      <c r="BB823" s="31">
        <f t="shared" si="455"/>
        <v>0</v>
      </c>
      <c r="BC823" s="255">
        <f t="shared" si="456"/>
        <v>0</v>
      </c>
      <c r="BD823" s="31">
        <f t="shared" si="457"/>
        <v>0</v>
      </c>
      <c r="BE823" s="255">
        <f t="shared" si="458"/>
        <v>0</v>
      </c>
      <c r="BF823" s="31">
        <f t="shared" si="459"/>
        <v>0</v>
      </c>
      <c r="BG823" s="255">
        <f t="shared" si="460"/>
        <v>0</v>
      </c>
      <c r="BH823" s="31">
        <f t="shared" si="461"/>
        <v>0</v>
      </c>
      <c r="BI823" s="255">
        <f t="shared" si="462"/>
        <v>0</v>
      </c>
      <c r="BJ823" s="31">
        <f t="shared" si="463"/>
        <v>0</v>
      </c>
      <c r="BK823" s="31">
        <f t="shared" si="464"/>
        <v>0</v>
      </c>
      <c r="BL823" s="255">
        <f t="shared" si="465"/>
        <v>0</v>
      </c>
      <c r="BM823" s="31">
        <f t="shared" si="466"/>
        <v>0</v>
      </c>
      <c r="BN823" s="255">
        <f t="shared" si="467"/>
        <v>0</v>
      </c>
    </row>
    <row r="824" spans="1:66" x14ac:dyDescent="0.25">
      <c r="A824" t="s">
        <v>1569</v>
      </c>
      <c r="B824" s="186" t="str">
        <f>VLOOKUP(A824,kurspris!$A$1:$B$877,2,FALSE)</f>
        <v>Bedömning för lärande i förskolan (UK)</v>
      </c>
      <c r="C824"/>
      <c r="D824" t="s">
        <v>484</v>
      </c>
      <c r="E824" t="s">
        <v>1608</v>
      </c>
      <c r="F824" s="39" t="s">
        <v>1930</v>
      </c>
      <c r="G824" t="s">
        <v>1985</v>
      </c>
      <c r="H824" t="s">
        <v>1910</v>
      </c>
      <c r="I824"/>
      <c r="J824"/>
      <c r="K824"/>
      <c r="L824">
        <v>100</v>
      </c>
      <c r="M824" s="295">
        <v>4</v>
      </c>
      <c r="N824"/>
      <c r="O824"/>
      <c r="P824" s="31">
        <v>19</v>
      </c>
      <c r="Q824" s="232">
        <f t="shared" si="440"/>
        <v>1.2666666666666666</v>
      </c>
      <c r="R824" s="40">
        <v>0.85</v>
      </c>
      <c r="S824" s="334">
        <f t="shared" si="441"/>
        <v>1.0766666666666667</v>
      </c>
      <c r="T824" s="31">
        <f>VLOOKUP(A824,'Ansvar kurs'!$A$1:$C$1010,2,FALSE)</f>
        <v>5740</v>
      </c>
      <c r="U824" s="31" t="str">
        <f>VLOOKUP(T824,Orgenheter!$A$1:$C$165,2,FALSE)</f>
        <v>NMD</v>
      </c>
      <c r="V824" s="31" t="str">
        <f>VLOOKUP(T824,Orgenheter!$A$1:$C$165,3,FALSE)</f>
        <v>TekNat</v>
      </c>
      <c r="W824" s="37" t="str">
        <f>VLOOKUP(D824,Program!$A$1:$B$34,2,FALSE)</f>
        <v>Förskollärarprogrammet</v>
      </c>
      <c r="X824" s="42">
        <f>VLOOKUP(A824,kurspris!$A$1:$Q$798,15,FALSE)</f>
        <v>23641</v>
      </c>
      <c r="Y824" s="42">
        <f>VLOOKUP(A824,kurspris!$A$1:$Q$798,16,FALSE)</f>
        <v>28786</v>
      </c>
      <c r="Z824" s="42">
        <f t="shared" si="442"/>
        <v>60938.193333333329</v>
      </c>
      <c r="AA824" s="42">
        <f>VLOOKUP(A824,kurspris!$A$1:$Q$798,17,FALSE)</f>
        <v>5800</v>
      </c>
      <c r="AB824" s="42">
        <f t="shared" si="443"/>
        <v>7346.6666666666661</v>
      </c>
      <c r="AC824" s="42">
        <f t="shared" si="444"/>
        <v>68284.86</v>
      </c>
      <c r="AD824" s="31">
        <f>VLOOKUP($A824,kurspris!$A$1:$Q$835,3,FALSE)</f>
        <v>0</v>
      </c>
      <c r="AE824" s="31">
        <f>VLOOKUP($A824,kurspris!$A$1:$Q$835,4,FALSE)</f>
        <v>0</v>
      </c>
      <c r="AF824" s="31">
        <f>VLOOKUP($A824,kurspris!$A$1:$Q$835,5,FALSE)</f>
        <v>0</v>
      </c>
      <c r="AG824" s="31">
        <f>VLOOKUP($A824,kurspris!$A$1:$Q$835,6,FALSE)</f>
        <v>1</v>
      </c>
      <c r="AH824" s="31">
        <f>VLOOKUP($A824,kurspris!$A$1:$Q$835,7,FALSE)</f>
        <v>0</v>
      </c>
      <c r="AI824" s="31">
        <f>VLOOKUP($A824,kurspris!$A$1:$Q$835,8,FALSE)</f>
        <v>0</v>
      </c>
      <c r="AJ824" s="31">
        <f>VLOOKUP($A824,kurspris!$A$1:$Q$835,9,FALSE)</f>
        <v>0</v>
      </c>
      <c r="AK824" s="31">
        <f>VLOOKUP($A824,kurspris!$A$1:$Q$835,10,FALSE)</f>
        <v>0</v>
      </c>
      <c r="AL824" s="31">
        <f>VLOOKUP($A824,kurspris!$A$1:$Q$835,11,FALSE)</f>
        <v>0</v>
      </c>
      <c r="AM824" s="31">
        <f>VLOOKUP($A824,kurspris!$A$1:$Q$835,12,FALSE)</f>
        <v>0</v>
      </c>
      <c r="AN824" s="31">
        <f>VLOOKUP($A824,kurspris!$A$1:$Q$835,13,FALSE)</f>
        <v>0</v>
      </c>
      <c r="AO824" s="31">
        <f>VLOOKUP($A824,kurspris!$A$1:$Q$835,14,FALSE)</f>
        <v>0</v>
      </c>
      <c r="AP824" s="39" t="s">
        <v>2204</v>
      </c>
      <c r="AQ824" s="39" t="s">
        <v>2033</v>
      </c>
      <c r="AR824" s="31">
        <f t="shared" si="445"/>
        <v>0</v>
      </c>
      <c r="AS824" s="255">
        <f t="shared" si="446"/>
        <v>0</v>
      </c>
      <c r="AT824" s="31">
        <f t="shared" si="447"/>
        <v>0</v>
      </c>
      <c r="AU824" s="255">
        <f t="shared" si="448"/>
        <v>0</v>
      </c>
      <c r="AV824" s="31">
        <f t="shared" si="449"/>
        <v>0</v>
      </c>
      <c r="AW824" s="31">
        <f t="shared" si="450"/>
        <v>0</v>
      </c>
      <c r="AX824" s="31">
        <f t="shared" si="451"/>
        <v>1.2666666666666666</v>
      </c>
      <c r="AY824" s="255">
        <f t="shared" si="452"/>
        <v>1.0766666666666667</v>
      </c>
      <c r="AZ824" s="232">
        <f t="shared" si="453"/>
        <v>0</v>
      </c>
      <c r="BA824" s="255">
        <f t="shared" si="454"/>
        <v>0</v>
      </c>
      <c r="BB824" s="31">
        <f t="shared" si="455"/>
        <v>0</v>
      </c>
      <c r="BC824" s="255">
        <f t="shared" si="456"/>
        <v>0</v>
      </c>
      <c r="BD824" s="31">
        <f t="shared" si="457"/>
        <v>0</v>
      </c>
      <c r="BE824" s="255">
        <f t="shared" si="458"/>
        <v>0</v>
      </c>
      <c r="BF824" s="31">
        <f t="shared" si="459"/>
        <v>0</v>
      </c>
      <c r="BG824" s="255">
        <f t="shared" si="460"/>
        <v>0</v>
      </c>
      <c r="BH824" s="31">
        <f t="shared" si="461"/>
        <v>0</v>
      </c>
      <c r="BI824" s="255">
        <f t="shared" si="462"/>
        <v>0</v>
      </c>
      <c r="BJ824" s="31">
        <f t="shared" si="463"/>
        <v>0</v>
      </c>
      <c r="BK824" s="31">
        <f t="shared" si="464"/>
        <v>0</v>
      </c>
      <c r="BL824" s="255">
        <f t="shared" si="465"/>
        <v>0</v>
      </c>
      <c r="BM824" s="31">
        <f t="shared" si="466"/>
        <v>0</v>
      </c>
      <c r="BN824" s="255">
        <f t="shared" si="467"/>
        <v>0</v>
      </c>
    </row>
    <row r="825" spans="1:66" x14ac:dyDescent="0.25">
      <c r="A825" s="18" t="s">
        <v>1569</v>
      </c>
      <c r="B825" s="186" t="str">
        <f>VLOOKUP(A825,kurspris!$A$1:$B$877,2,FALSE)</f>
        <v>Bedömning för lärande i förskolan (UK)</v>
      </c>
      <c r="C825" s="37"/>
      <c r="D825" s="31" t="s">
        <v>484</v>
      </c>
      <c r="E825" s="31" t="s">
        <v>1608</v>
      </c>
      <c r="F825" s="59" t="s">
        <v>1931</v>
      </c>
      <c r="G825" s="295" t="s">
        <v>1986</v>
      </c>
      <c r="L825" s="31">
        <v>100</v>
      </c>
      <c r="M825" s="31">
        <v>4</v>
      </c>
      <c r="P825" s="31">
        <v>2</v>
      </c>
      <c r="Q825" s="232">
        <f t="shared" ref="Q825:Q885" si="468">(M825/60)*P825</f>
        <v>0.13333333333333333</v>
      </c>
      <c r="R825" s="40">
        <v>0.85</v>
      </c>
      <c r="S825" s="334">
        <f t="shared" ref="S825:S885" si="469">Q825*R825</f>
        <v>0.11333333333333333</v>
      </c>
      <c r="T825" s="31">
        <f>VLOOKUP(A825,'Ansvar kurs'!$A$1:$C$1010,2,FALSE)</f>
        <v>5740</v>
      </c>
      <c r="U825" s="31" t="str">
        <f>VLOOKUP(T825,Orgenheter!$A$1:$C$165,2,FALSE)</f>
        <v>NMD</v>
      </c>
      <c r="V825" s="31" t="str">
        <f>VLOOKUP(T825,Orgenheter!$A$1:$C$165,3,FALSE)</f>
        <v>TekNat</v>
      </c>
      <c r="W825" s="37" t="str">
        <f>VLOOKUP(D825,Program!$A$1:$B$34,2,FALSE)</f>
        <v>Förskollärarprogrammet</v>
      </c>
      <c r="X825" s="42">
        <f>VLOOKUP(A825,kurspris!$A$1:$Q$798,15,FALSE)</f>
        <v>23641</v>
      </c>
      <c r="Y825" s="42">
        <f>VLOOKUP(A825,kurspris!$A$1:$Q$798,16,FALSE)</f>
        <v>28786</v>
      </c>
      <c r="Z825" s="42">
        <f t="shared" ref="Z825:Z885" si="470">X825*Q825+S825*Y825</f>
        <v>6414.5466666666662</v>
      </c>
      <c r="AA825" s="42">
        <f>VLOOKUP(A825,kurspris!$A$1:$Q$798,17,FALSE)</f>
        <v>5800</v>
      </c>
      <c r="AB825" s="42">
        <f t="shared" ref="AB825:AB885" si="471">AA825*Q825</f>
        <v>773.33333333333337</v>
      </c>
      <c r="AC825" s="42">
        <f t="shared" ref="AC825:AC885" si="472">Z825+AB825</f>
        <v>7187.8799999999992</v>
      </c>
      <c r="AD825" s="31">
        <f>VLOOKUP($A825,kurspris!$A$1:$Q$835,3,FALSE)</f>
        <v>0</v>
      </c>
      <c r="AE825" s="31">
        <f>VLOOKUP($A825,kurspris!$A$1:$Q$835,4,FALSE)</f>
        <v>0</v>
      </c>
      <c r="AF825" s="31">
        <f>VLOOKUP($A825,kurspris!$A$1:$Q$835,5,FALSE)</f>
        <v>0</v>
      </c>
      <c r="AG825" s="31">
        <f>VLOOKUP($A825,kurspris!$A$1:$Q$835,6,FALSE)</f>
        <v>1</v>
      </c>
      <c r="AH825" s="31">
        <f>VLOOKUP($A825,kurspris!$A$1:$Q$835,7,FALSE)</f>
        <v>0</v>
      </c>
      <c r="AI825" s="31">
        <f>VLOOKUP($A825,kurspris!$A$1:$Q$835,8,FALSE)</f>
        <v>0</v>
      </c>
      <c r="AJ825" s="31">
        <f>VLOOKUP($A825,kurspris!$A$1:$Q$835,9,FALSE)</f>
        <v>0</v>
      </c>
      <c r="AK825" s="31">
        <f>VLOOKUP($A825,kurspris!$A$1:$Q$835,10,FALSE)</f>
        <v>0</v>
      </c>
      <c r="AL825" s="31">
        <f>VLOOKUP($A825,kurspris!$A$1:$Q$835,11,FALSE)</f>
        <v>0</v>
      </c>
      <c r="AM825" s="31">
        <f>VLOOKUP($A825,kurspris!$A$1:$Q$835,12,FALSE)</f>
        <v>0</v>
      </c>
      <c r="AN825" s="31">
        <f>VLOOKUP($A825,kurspris!$A$1:$Q$835,13,FALSE)</f>
        <v>0</v>
      </c>
      <c r="AO825" s="31">
        <f>VLOOKUP($A825,kurspris!$A$1:$Q$835,14,FALSE)</f>
        <v>0</v>
      </c>
      <c r="AP825" s="39" t="s">
        <v>2326</v>
      </c>
      <c r="AQ825" t="s">
        <v>2033</v>
      </c>
      <c r="AR825" s="31">
        <f t="shared" ref="AR825:AR885" si="473">$Q825*AD825</f>
        <v>0</v>
      </c>
      <c r="AS825" s="255">
        <f t="shared" ref="AS825:AS885" si="474">$S825*AD825</f>
        <v>0</v>
      </c>
      <c r="AT825" s="31">
        <f t="shared" ref="AT825:AT885" si="475">$Q825*AE825</f>
        <v>0</v>
      </c>
      <c r="AU825" s="255">
        <f t="shared" ref="AU825:AU885" si="476">$S825*AE825</f>
        <v>0</v>
      </c>
      <c r="AV825" s="31">
        <f t="shared" ref="AV825:AV885" si="477">$Q825*AF825</f>
        <v>0</v>
      </c>
      <c r="AW825" s="31">
        <f t="shared" ref="AW825:AW885" si="478">$S825*AF825</f>
        <v>0</v>
      </c>
      <c r="AX825" s="31">
        <f t="shared" ref="AX825:AX885" si="479">$Q825*AG825</f>
        <v>0.13333333333333333</v>
      </c>
      <c r="AY825" s="255">
        <f t="shared" ref="AY825:AY885" si="480">$S825*AG825</f>
        <v>0.11333333333333333</v>
      </c>
      <c r="AZ825" s="232">
        <f t="shared" ref="AZ825:AZ885" si="481">$Q825*AH825</f>
        <v>0</v>
      </c>
      <c r="BA825" s="255">
        <f t="shared" ref="BA825:BA885" si="482">$S825*AH825</f>
        <v>0</v>
      </c>
      <c r="BB825" s="31">
        <f t="shared" ref="BB825:BB885" si="483">$Q825*AI825</f>
        <v>0</v>
      </c>
      <c r="BC825" s="255">
        <f t="shared" ref="BC825:BC885" si="484">$S825*AI825</f>
        <v>0</v>
      </c>
      <c r="BD825" s="31">
        <f t="shared" ref="BD825:BD885" si="485">$Q825*AJ825</f>
        <v>0</v>
      </c>
      <c r="BE825" s="255">
        <f t="shared" ref="BE825:BE885" si="486">$S825*AJ825</f>
        <v>0</v>
      </c>
      <c r="BF825" s="31">
        <f t="shared" ref="BF825:BF885" si="487">$Q825*AK825</f>
        <v>0</v>
      </c>
      <c r="BG825" s="255">
        <f t="shared" ref="BG825:BG885" si="488">$S825*AK825</f>
        <v>0</v>
      </c>
      <c r="BH825" s="31">
        <f t="shared" ref="BH825:BH885" si="489">$Q825*AL825</f>
        <v>0</v>
      </c>
      <c r="BI825" s="255">
        <f t="shared" ref="BI825:BI885" si="490">$S825*AL825</f>
        <v>0</v>
      </c>
      <c r="BJ825" s="31">
        <f t="shared" ref="BJ825:BJ885" si="491">$Q825*AM825</f>
        <v>0</v>
      </c>
      <c r="BK825" s="31">
        <f t="shared" ref="BK825:BK885" si="492">$Q825*AN825</f>
        <v>0</v>
      </c>
      <c r="BL825" s="255">
        <f t="shared" ref="BL825:BL885" si="493">$S825*AN825</f>
        <v>0</v>
      </c>
      <c r="BM825" s="31">
        <f t="shared" ref="BM825:BM885" si="494">$Q825*AO825</f>
        <v>0</v>
      </c>
      <c r="BN825" s="255">
        <f t="shared" ref="BN825:BN885" si="495">$S825*AO825</f>
        <v>0</v>
      </c>
    </row>
    <row r="826" spans="1:66" x14ac:dyDescent="0.25">
      <c r="A826" s="18" t="s">
        <v>1569</v>
      </c>
      <c r="B826" s="186" t="str">
        <f>VLOOKUP(A826,kurspris!$A$1:$B$877,2,FALSE)</f>
        <v>Bedömning för lärande i förskolan (UK)</v>
      </c>
      <c r="C826" s="37"/>
      <c r="D826" s="31" t="s">
        <v>484</v>
      </c>
      <c r="E826" s="31" t="s">
        <v>1787</v>
      </c>
      <c r="F826" s="59" t="s">
        <v>1931</v>
      </c>
      <c r="G826" s="295" t="s">
        <v>2283</v>
      </c>
      <c r="H826" s="31" t="s">
        <v>1910</v>
      </c>
      <c r="L826" s="31">
        <v>100</v>
      </c>
      <c r="M826" s="31">
        <v>6</v>
      </c>
      <c r="P826" s="31">
        <v>23</v>
      </c>
      <c r="Q826" s="232">
        <f t="shared" si="468"/>
        <v>2.3000000000000003</v>
      </c>
      <c r="R826" s="40">
        <v>0.85</v>
      </c>
      <c r="S826" s="334">
        <f t="shared" si="469"/>
        <v>1.9550000000000001</v>
      </c>
      <c r="T826" s="31">
        <f>VLOOKUP(A826,'Ansvar kurs'!$A$1:$C$1010,2,FALSE)</f>
        <v>5740</v>
      </c>
      <c r="U826" s="31" t="str">
        <f>VLOOKUP(T826,Orgenheter!$A$1:$C$165,2,FALSE)</f>
        <v>NMD</v>
      </c>
      <c r="V826" s="31" t="str">
        <f>VLOOKUP(T826,Orgenheter!$A$1:$C$165,3,FALSE)</f>
        <v>TekNat</v>
      </c>
      <c r="W826" s="37" t="str">
        <f>VLOOKUP(D826,Program!$A$1:$B$34,2,FALSE)</f>
        <v>Förskollärarprogrammet</v>
      </c>
      <c r="X826" s="42">
        <f>VLOOKUP(A826,kurspris!$A$1:$Q$798,15,FALSE)</f>
        <v>23641</v>
      </c>
      <c r="Y826" s="42">
        <f>VLOOKUP(A826,kurspris!$A$1:$Q$798,16,FALSE)</f>
        <v>28786</v>
      </c>
      <c r="Z826" s="42">
        <f t="shared" si="470"/>
        <v>110650.93000000001</v>
      </c>
      <c r="AA826" s="42">
        <f>VLOOKUP(A826,kurspris!$A$1:$Q$798,17,FALSE)</f>
        <v>5800</v>
      </c>
      <c r="AB826" s="42">
        <f t="shared" si="471"/>
        <v>13340.000000000002</v>
      </c>
      <c r="AC826" s="42">
        <f t="shared" si="472"/>
        <v>123990.93000000001</v>
      </c>
      <c r="AD826" s="31">
        <f>VLOOKUP($A826,kurspris!$A$1:$Q$835,3,FALSE)</f>
        <v>0</v>
      </c>
      <c r="AE826" s="31">
        <f>VLOOKUP($A826,kurspris!$A$1:$Q$835,4,FALSE)</f>
        <v>0</v>
      </c>
      <c r="AF826" s="31">
        <f>VLOOKUP($A826,kurspris!$A$1:$Q$835,5,FALSE)</f>
        <v>0</v>
      </c>
      <c r="AG826" s="31">
        <f>VLOOKUP($A826,kurspris!$A$1:$Q$835,6,FALSE)</f>
        <v>1</v>
      </c>
      <c r="AH826" s="31">
        <f>VLOOKUP($A826,kurspris!$A$1:$Q$835,7,FALSE)</f>
        <v>0</v>
      </c>
      <c r="AI826" s="31">
        <f>VLOOKUP($A826,kurspris!$A$1:$Q$835,8,FALSE)</f>
        <v>0</v>
      </c>
      <c r="AJ826" s="31">
        <f>VLOOKUP($A826,kurspris!$A$1:$Q$835,9,FALSE)</f>
        <v>0</v>
      </c>
      <c r="AK826" s="31">
        <f>VLOOKUP($A826,kurspris!$A$1:$Q$835,10,FALSE)</f>
        <v>0</v>
      </c>
      <c r="AL826" s="31">
        <f>VLOOKUP($A826,kurspris!$A$1:$Q$835,11,FALSE)</f>
        <v>0</v>
      </c>
      <c r="AM826" s="31">
        <f>VLOOKUP($A826,kurspris!$A$1:$Q$835,12,FALSE)</f>
        <v>0</v>
      </c>
      <c r="AN826" s="31">
        <f>VLOOKUP($A826,kurspris!$A$1:$Q$835,13,FALSE)</f>
        <v>0</v>
      </c>
      <c r="AO826" s="31">
        <f>VLOOKUP($A826,kurspris!$A$1:$Q$835,14,FALSE)</f>
        <v>0</v>
      </c>
      <c r="AP826" s="39" t="s">
        <v>2326</v>
      </c>
      <c r="AQ826" t="s">
        <v>2034</v>
      </c>
      <c r="AR826" s="31">
        <f t="shared" si="473"/>
        <v>0</v>
      </c>
      <c r="AS826" s="255">
        <f t="shared" si="474"/>
        <v>0</v>
      </c>
      <c r="AT826" s="31">
        <f t="shared" si="475"/>
        <v>0</v>
      </c>
      <c r="AU826" s="255">
        <f t="shared" si="476"/>
        <v>0</v>
      </c>
      <c r="AV826" s="31">
        <f t="shared" si="477"/>
        <v>0</v>
      </c>
      <c r="AW826" s="31">
        <f t="shared" si="478"/>
        <v>0</v>
      </c>
      <c r="AX826" s="31">
        <f t="shared" si="479"/>
        <v>2.3000000000000003</v>
      </c>
      <c r="AY826" s="255">
        <f t="shared" si="480"/>
        <v>1.9550000000000001</v>
      </c>
      <c r="AZ826" s="232">
        <f t="shared" si="481"/>
        <v>0</v>
      </c>
      <c r="BA826" s="255">
        <f t="shared" si="482"/>
        <v>0</v>
      </c>
      <c r="BB826" s="31">
        <f t="shared" si="483"/>
        <v>0</v>
      </c>
      <c r="BC826" s="255">
        <f t="shared" si="484"/>
        <v>0</v>
      </c>
      <c r="BD826" s="31">
        <f t="shared" si="485"/>
        <v>0</v>
      </c>
      <c r="BE826" s="255">
        <f t="shared" si="486"/>
        <v>0</v>
      </c>
      <c r="BF826" s="31">
        <f t="shared" si="487"/>
        <v>0</v>
      </c>
      <c r="BG826" s="255">
        <f t="shared" si="488"/>
        <v>0</v>
      </c>
      <c r="BH826" s="31">
        <f t="shared" si="489"/>
        <v>0</v>
      </c>
      <c r="BI826" s="255">
        <f t="shared" si="490"/>
        <v>0</v>
      </c>
      <c r="BJ826" s="31">
        <f t="shared" si="491"/>
        <v>0</v>
      </c>
      <c r="BK826" s="31">
        <f t="shared" si="492"/>
        <v>0</v>
      </c>
      <c r="BL826" s="255">
        <f t="shared" si="493"/>
        <v>0</v>
      </c>
      <c r="BM826" s="31">
        <f t="shared" si="494"/>
        <v>0</v>
      </c>
      <c r="BN826" s="255">
        <f t="shared" si="495"/>
        <v>0</v>
      </c>
    </row>
    <row r="827" spans="1:66" x14ac:dyDescent="0.25">
      <c r="A827" s="18" t="s">
        <v>1569</v>
      </c>
      <c r="B827" s="186" t="str">
        <f>VLOOKUP(A827,kurspris!$A$1:$B$877,2,FALSE)</f>
        <v>Bedömning för lärande i förskolan (UK)</v>
      </c>
      <c r="C827" s="37"/>
      <c r="D827" s="31" t="s">
        <v>484</v>
      </c>
      <c r="E827" s="31" t="s">
        <v>1787</v>
      </c>
      <c r="F827" s="59" t="s">
        <v>1931</v>
      </c>
      <c r="G827" s="295" t="s">
        <v>2283</v>
      </c>
      <c r="H827" s="31" t="s">
        <v>2327</v>
      </c>
      <c r="L827" s="31">
        <v>100</v>
      </c>
      <c r="M827" s="31">
        <v>6</v>
      </c>
      <c r="P827" s="31">
        <v>16</v>
      </c>
      <c r="Q827" s="232">
        <f t="shared" si="468"/>
        <v>1.6</v>
      </c>
      <c r="R827" s="40">
        <v>0.85</v>
      </c>
      <c r="S827" s="334">
        <f t="shared" si="469"/>
        <v>1.36</v>
      </c>
      <c r="T827" s="31">
        <f>VLOOKUP(A827,'Ansvar kurs'!$A$1:$C$1010,2,FALSE)</f>
        <v>5740</v>
      </c>
      <c r="U827" s="31" t="str">
        <f>VLOOKUP(T827,Orgenheter!$A$1:$C$165,2,FALSE)</f>
        <v>NMD</v>
      </c>
      <c r="V827" s="31" t="str">
        <f>VLOOKUP(T827,Orgenheter!$A$1:$C$165,3,FALSE)</f>
        <v>TekNat</v>
      </c>
      <c r="W827" s="37" t="str">
        <f>VLOOKUP(D827,Program!$A$1:$B$34,2,FALSE)</f>
        <v>Förskollärarprogrammet</v>
      </c>
      <c r="X827" s="42">
        <f>VLOOKUP(A827,kurspris!$A$1:$Q$798,15,FALSE)</f>
        <v>23641</v>
      </c>
      <c r="Y827" s="42">
        <f>VLOOKUP(A827,kurspris!$A$1:$Q$798,16,FALSE)</f>
        <v>28786</v>
      </c>
      <c r="Z827" s="42">
        <f t="shared" si="470"/>
        <v>76974.559999999998</v>
      </c>
      <c r="AA827" s="42">
        <f>VLOOKUP(A827,kurspris!$A$1:$Q$798,17,FALSE)</f>
        <v>5800</v>
      </c>
      <c r="AB827" s="42">
        <f t="shared" si="471"/>
        <v>9280</v>
      </c>
      <c r="AC827" s="42">
        <f t="shared" si="472"/>
        <v>86254.56</v>
      </c>
      <c r="AD827" s="31">
        <f>VLOOKUP($A827,kurspris!$A$1:$Q$835,3,FALSE)</f>
        <v>0</v>
      </c>
      <c r="AE827" s="31">
        <f>VLOOKUP($A827,kurspris!$A$1:$Q$835,4,FALSE)</f>
        <v>0</v>
      </c>
      <c r="AF827" s="31">
        <f>VLOOKUP($A827,kurspris!$A$1:$Q$835,5,FALSE)</f>
        <v>0</v>
      </c>
      <c r="AG827" s="31">
        <f>VLOOKUP($A827,kurspris!$A$1:$Q$835,6,FALSE)</f>
        <v>1</v>
      </c>
      <c r="AH827" s="31">
        <f>VLOOKUP($A827,kurspris!$A$1:$Q$835,7,FALSE)</f>
        <v>0</v>
      </c>
      <c r="AI827" s="31">
        <f>VLOOKUP($A827,kurspris!$A$1:$Q$835,8,FALSE)</f>
        <v>0</v>
      </c>
      <c r="AJ827" s="31">
        <f>VLOOKUP($A827,kurspris!$A$1:$Q$835,9,FALSE)</f>
        <v>0</v>
      </c>
      <c r="AK827" s="31">
        <f>VLOOKUP($A827,kurspris!$A$1:$Q$835,10,FALSE)</f>
        <v>0</v>
      </c>
      <c r="AL827" s="31">
        <f>VLOOKUP($A827,kurspris!$A$1:$Q$835,11,FALSE)</f>
        <v>0</v>
      </c>
      <c r="AM827" s="31">
        <f>VLOOKUP($A827,kurspris!$A$1:$Q$835,12,FALSE)</f>
        <v>0</v>
      </c>
      <c r="AN827" s="31">
        <f>VLOOKUP($A827,kurspris!$A$1:$Q$835,13,FALSE)</f>
        <v>0</v>
      </c>
      <c r="AO827" s="31">
        <f>VLOOKUP($A827,kurspris!$A$1:$Q$835,14,FALSE)</f>
        <v>0</v>
      </c>
      <c r="AP827" s="39" t="s">
        <v>2326</v>
      </c>
      <c r="AQ827" t="s">
        <v>2034</v>
      </c>
      <c r="AR827" s="31">
        <f t="shared" si="473"/>
        <v>0</v>
      </c>
      <c r="AS827" s="255">
        <f t="shared" si="474"/>
        <v>0</v>
      </c>
      <c r="AT827" s="31">
        <f t="shared" si="475"/>
        <v>0</v>
      </c>
      <c r="AU827" s="255">
        <f t="shared" si="476"/>
        <v>0</v>
      </c>
      <c r="AV827" s="31">
        <f t="shared" si="477"/>
        <v>0</v>
      </c>
      <c r="AW827" s="31">
        <f t="shared" si="478"/>
        <v>0</v>
      </c>
      <c r="AX827" s="31">
        <f t="shared" si="479"/>
        <v>1.6</v>
      </c>
      <c r="AY827" s="255">
        <f t="shared" si="480"/>
        <v>1.36</v>
      </c>
      <c r="AZ827" s="232">
        <f t="shared" si="481"/>
        <v>0</v>
      </c>
      <c r="BA827" s="255">
        <f t="shared" si="482"/>
        <v>0</v>
      </c>
      <c r="BB827" s="31">
        <f t="shared" si="483"/>
        <v>0</v>
      </c>
      <c r="BC827" s="255">
        <f t="shared" si="484"/>
        <v>0</v>
      </c>
      <c r="BD827" s="31">
        <f t="shared" si="485"/>
        <v>0</v>
      </c>
      <c r="BE827" s="255">
        <f t="shared" si="486"/>
        <v>0</v>
      </c>
      <c r="BF827" s="31">
        <f t="shared" si="487"/>
        <v>0</v>
      </c>
      <c r="BG827" s="255">
        <f t="shared" si="488"/>
        <v>0</v>
      </c>
      <c r="BH827" s="31">
        <f t="shared" si="489"/>
        <v>0</v>
      </c>
      <c r="BI827" s="255">
        <f t="shared" si="490"/>
        <v>0</v>
      </c>
      <c r="BJ827" s="31">
        <f t="shared" si="491"/>
        <v>0</v>
      </c>
      <c r="BK827" s="31">
        <f t="shared" si="492"/>
        <v>0</v>
      </c>
      <c r="BL827" s="255">
        <f t="shared" si="493"/>
        <v>0</v>
      </c>
      <c r="BM827" s="31">
        <f t="shared" si="494"/>
        <v>0</v>
      </c>
      <c r="BN827" s="255">
        <f t="shared" si="495"/>
        <v>0</v>
      </c>
    </row>
    <row r="828" spans="1:66" x14ac:dyDescent="0.25">
      <c r="A828" s="18" t="s">
        <v>1706</v>
      </c>
      <c r="B828" s="186" t="str">
        <f>VLOOKUP(A828,kurspris!$A$1:$B$877,2,FALSE)</f>
        <v>Bedömning för och av lärande för åk 7-9 och gymnasium (UK)</v>
      </c>
      <c r="C828" s="37"/>
      <c r="D828" s="31" t="s">
        <v>482</v>
      </c>
      <c r="E828" s="31" t="s">
        <v>1609</v>
      </c>
      <c r="F828" s="59" t="s">
        <v>1931</v>
      </c>
      <c r="G828" s="31" t="s">
        <v>2275</v>
      </c>
      <c r="J828" s="31" t="s">
        <v>1595</v>
      </c>
      <c r="L828" s="31">
        <v>100</v>
      </c>
      <c r="M828" s="31">
        <v>11</v>
      </c>
      <c r="P828" s="31">
        <v>4</v>
      </c>
      <c r="Q828" s="232">
        <f t="shared" si="468"/>
        <v>0.73333333333333328</v>
      </c>
      <c r="R828" s="40">
        <v>0.85</v>
      </c>
      <c r="S828" s="334">
        <f t="shared" si="469"/>
        <v>0.62333333333333329</v>
      </c>
      <c r="T828" s="31">
        <f>VLOOKUP(A828,'Ansvar kurs'!$A$1:$C$1010,2,FALSE)</f>
        <v>5740</v>
      </c>
      <c r="U828" s="31" t="str">
        <f>VLOOKUP(T828,Orgenheter!$A$1:$C$165,2,FALSE)</f>
        <v>NMD</v>
      </c>
      <c r="V828" s="31" t="str">
        <f>VLOOKUP(T828,Orgenheter!$A$1:$C$165,3,FALSE)</f>
        <v>TekNat</v>
      </c>
      <c r="W828" s="37" t="str">
        <f>VLOOKUP(D828,Program!$A$1:$B$34,2,FALSE)</f>
        <v>Ämneslärarprogrammet - åk 7-9</v>
      </c>
      <c r="X828" s="42">
        <f>VLOOKUP(A828,kurspris!$A$1:$Q$798,15,FALSE)</f>
        <v>23641</v>
      </c>
      <c r="Y828" s="42">
        <f>VLOOKUP(A828,kurspris!$A$1:$Q$798,16,FALSE)</f>
        <v>28786</v>
      </c>
      <c r="Z828" s="42">
        <f t="shared" si="470"/>
        <v>35280.006666666668</v>
      </c>
      <c r="AA828" s="42">
        <f>VLOOKUP(A828,kurspris!$A$1:$Q$798,17,FALSE)</f>
        <v>5800</v>
      </c>
      <c r="AB828" s="42">
        <f t="shared" si="471"/>
        <v>4253.333333333333</v>
      </c>
      <c r="AC828" s="42">
        <f t="shared" si="472"/>
        <v>39533.340000000004</v>
      </c>
      <c r="AD828" s="31">
        <f>VLOOKUP($A828,kurspris!$A$1:$Q$835,3,FALSE)</f>
        <v>0</v>
      </c>
      <c r="AE828" s="31">
        <f>VLOOKUP($A828,kurspris!$A$1:$Q$835,4,FALSE)</f>
        <v>0</v>
      </c>
      <c r="AF828" s="31">
        <f>VLOOKUP($A828,kurspris!$A$1:$Q$835,5,FALSE)</f>
        <v>0</v>
      </c>
      <c r="AG828" s="31">
        <f>VLOOKUP($A828,kurspris!$A$1:$Q$835,6,FALSE)</f>
        <v>1</v>
      </c>
      <c r="AH828" s="31">
        <f>VLOOKUP($A828,kurspris!$A$1:$Q$835,7,FALSE)</f>
        <v>0</v>
      </c>
      <c r="AI828" s="31">
        <f>VLOOKUP($A828,kurspris!$A$1:$Q$835,8,FALSE)</f>
        <v>0</v>
      </c>
      <c r="AJ828" s="31">
        <f>VLOOKUP($A828,kurspris!$A$1:$Q$835,9,FALSE)</f>
        <v>0</v>
      </c>
      <c r="AK828" s="31">
        <f>VLOOKUP($A828,kurspris!$A$1:$Q$835,10,FALSE)</f>
        <v>0</v>
      </c>
      <c r="AL828" s="31">
        <f>VLOOKUP($A828,kurspris!$A$1:$Q$835,11,FALSE)</f>
        <v>0</v>
      </c>
      <c r="AM828" s="31">
        <f>VLOOKUP($A828,kurspris!$A$1:$Q$835,12,FALSE)</f>
        <v>0</v>
      </c>
      <c r="AN828" s="31">
        <f>VLOOKUP($A828,kurspris!$A$1:$Q$835,13,FALSE)</f>
        <v>0</v>
      </c>
      <c r="AO828" s="31">
        <f>VLOOKUP($A828,kurspris!$A$1:$Q$835,14,FALSE)</f>
        <v>0</v>
      </c>
      <c r="AP828" s="39" t="s">
        <v>2326</v>
      </c>
      <c r="AQ828"/>
      <c r="AR828" s="31">
        <f t="shared" si="473"/>
        <v>0</v>
      </c>
      <c r="AS828" s="255">
        <f t="shared" si="474"/>
        <v>0</v>
      </c>
      <c r="AT828" s="31">
        <f t="shared" si="475"/>
        <v>0</v>
      </c>
      <c r="AU828" s="255">
        <f t="shared" si="476"/>
        <v>0</v>
      </c>
      <c r="AV828" s="31">
        <f t="shared" si="477"/>
        <v>0</v>
      </c>
      <c r="AW828" s="31">
        <f t="shared" si="478"/>
        <v>0</v>
      </c>
      <c r="AX828" s="31">
        <f t="shared" si="479"/>
        <v>0.73333333333333328</v>
      </c>
      <c r="AY828" s="255">
        <f t="shared" si="480"/>
        <v>0.62333333333333329</v>
      </c>
      <c r="AZ828" s="232">
        <f t="shared" si="481"/>
        <v>0</v>
      </c>
      <c r="BA828" s="255">
        <f t="shared" si="482"/>
        <v>0</v>
      </c>
      <c r="BB828" s="31">
        <f t="shared" si="483"/>
        <v>0</v>
      </c>
      <c r="BC828" s="255">
        <f t="shared" si="484"/>
        <v>0</v>
      </c>
      <c r="BD828" s="31">
        <f t="shared" si="485"/>
        <v>0</v>
      </c>
      <c r="BE828" s="255">
        <f t="shared" si="486"/>
        <v>0</v>
      </c>
      <c r="BF828" s="31">
        <f t="shared" si="487"/>
        <v>0</v>
      </c>
      <c r="BG828" s="255">
        <f t="shared" si="488"/>
        <v>0</v>
      </c>
      <c r="BH828" s="31">
        <f t="shared" si="489"/>
        <v>0</v>
      </c>
      <c r="BI828" s="255">
        <f t="shared" si="490"/>
        <v>0</v>
      </c>
      <c r="BJ828" s="31">
        <f t="shared" si="491"/>
        <v>0</v>
      </c>
      <c r="BK828" s="31">
        <f t="shared" si="492"/>
        <v>0</v>
      </c>
      <c r="BL828" s="255">
        <f t="shared" si="493"/>
        <v>0</v>
      </c>
      <c r="BM828" s="31">
        <f t="shared" si="494"/>
        <v>0</v>
      </c>
      <c r="BN828" s="255">
        <f t="shared" si="495"/>
        <v>0</v>
      </c>
    </row>
    <row r="829" spans="1:66" x14ac:dyDescent="0.25">
      <c r="A829" s="18" t="s">
        <v>1706</v>
      </c>
      <c r="B829" s="186" t="str">
        <f>VLOOKUP(A829,kurspris!$A$1:$B$877,2,FALSE)</f>
        <v>Bedömning för och av lärande för åk 7-9 och gymnasium (UK)</v>
      </c>
      <c r="C829" s="37"/>
      <c r="D829" s="31" t="s">
        <v>483</v>
      </c>
      <c r="E829" s="31" t="s">
        <v>1976</v>
      </c>
      <c r="F829" s="59" t="s">
        <v>1931</v>
      </c>
      <c r="G829" s="31" t="s">
        <v>2275</v>
      </c>
      <c r="J829" t="s">
        <v>774</v>
      </c>
      <c r="L829" s="31">
        <v>100</v>
      </c>
      <c r="M829" s="31">
        <v>11</v>
      </c>
      <c r="P829" s="31">
        <v>2</v>
      </c>
      <c r="Q829" s="232">
        <f t="shared" si="468"/>
        <v>0.36666666666666664</v>
      </c>
      <c r="R829" s="40">
        <v>0.85</v>
      </c>
      <c r="S829" s="334">
        <f t="shared" si="469"/>
        <v>0.31166666666666665</v>
      </c>
      <c r="T829" s="31">
        <f>VLOOKUP(A829,'Ansvar kurs'!$A$1:$C$1010,2,FALSE)</f>
        <v>5740</v>
      </c>
      <c r="U829" s="31" t="str">
        <f>VLOOKUP(T829,Orgenheter!$A$1:$C$165,2,FALSE)</f>
        <v>NMD</v>
      </c>
      <c r="V829" s="31" t="str">
        <f>VLOOKUP(T829,Orgenheter!$A$1:$C$165,3,FALSE)</f>
        <v>TekNat</v>
      </c>
      <c r="W829" s="37" t="str">
        <f>VLOOKUP(D829,Program!$A$1:$B$34,2,FALSE)</f>
        <v>Ämneslärarprogrammet - Gy</v>
      </c>
      <c r="X829" s="42">
        <f>VLOOKUP(A829,kurspris!$A$1:$Q$798,15,FALSE)</f>
        <v>23641</v>
      </c>
      <c r="Y829" s="42">
        <f>VLOOKUP(A829,kurspris!$A$1:$Q$798,16,FALSE)</f>
        <v>28786</v>
      </c>
      <c r="Z829" s="42">
        <f t="shared" si="470"/>
        <v>17640.003333333334</v>
      </c>
      <c r="AA829" s="42">
        <f>VLOOKUP(A829,kurspris!$A$1:$Q$798,17,FALSE)</f>
        <v>5800</v>
      </c>
      <c r="AB829" s="42">
        <f t="shared" si="471"/>
        <v>2126.6666666666665</v>
      </c>
      <c r="AC829" s="42">
        <f t="shared" si="472"/>
        <v>19766.670000000002</v>
      </c>
      <c r="AD829" s="31">
        <f>VLOOKUP($A829,kurspris!$A$1:$Q$835,3,FALSE)</f>
        <v>0</v>
      </c>
      <c r="AE829" s="31">
        <f>VLOOKUP($A829,kurspris!$A$1:$Q$835,4,FALSE)</f>
        <v>0</v>
      </c>
      <c r="AF829" s="31">
        <f>VLOOKUP($A829,kurspris!$A$1:$Q$835,5,FALSE)</f>
        <v>0</v>
      </c>
      <c r="AG829" s="31">
        <f>VLOOKUP($A829,kurspris!$A$1:$Q$835,6,FALSE)</f>
        <v>1</v>
      </c>
      <c r="AH829" s="31">
        <f>VLOOKUP($A829,kurspris!$A$1:$Q$835,7,FALSE)</f>
        <v>0</v>
      </c>
      <c r="AI829" s="31">
        <f>VLOOKUP($A829,kurspris!$A$1:$Q$835,8,FALSE)</f>
        <v>0</v>
      </c>
      <c r="AJ829" s="31">
        <f>VLOOKUP($A829,kurspris!$A$1:$Q$835,9,FALSE)</f>
        <v>0</v>
      </c>
      <c r="AK829" s="31">
        <f>VLOOKUP($A829,kurspris!$A$1:$Q$835,10,FALSE)</f>
        <v>0</v>
      </c>
      <c r="AL829" s="31">
        <f>VLOOKUP($A829,kurspris!$A$1:$Q$835,11,FALSE)</f>
        <v>0</v>
      </c>
      <c r="AM829" s="31">
        <f>VLOOKUP($A829,kurspris!$A$1:$Q$835,12,FALSE)</f>
        <v>0</v>
      </c>
      <c r="AN829" s="31">
        <f>VLOOKUP($A829,kurspris!$A$1:$Q$835,13,FALSE)</f>
        <v>0</v>
      </c>
      <c r="AO829" s="31">
        <f>VLOOKUP($A829,kurspris!$A$1:$Q$835,14,FALSE)</f>
        <v>0</v>
      </c>
      <c r="AP829" s="39" t="s">
        <v>2326</v>
      </c>
      <c r="AQ829"/>
      <c r="AR829" s="31">
        <f t="shared" si="473"/>
        <v>0</v>
      </c>
      <c r="AS829" s="255">
        <f t="shared" si="474"/>
        <v>0</v>
      </c>
      <c r="AT829" s="31">
        <f t="shared" si="475"/>
        <v>0</v>
      </c>
      <c r="AU829" s="255">
        <f t="shared" si="476"/>
        <v>0</v>
      </c>
      <c r="AV829" s="31">
        <f t="shared" si="477"/>
        <v>0</v>
      </c>
      <c r="AW829" s="31">
        <f t="shared" si="478"/>
        <v>0</v>
      </c>
      <c r="AX829" s="31">
        <f t="shared" si="479"/>
        <v>0.36666666666666664</v>
      </c>
      <c r="AY829" s="255">
        <f t="shared" si="480"/>
        <v>0.31166666666666665</v>
      </c>
      <c r="AZ829" s="232">
        <f t="shared" si="481"/>
        <v>0</v>
      </c>
      <c r="BA829" s="255">
        <f t="shared" si="482"/>
        <v>0</v>
      </c>
      <c r="BB829" s="31">
        <f t="shared" si="483"/>
        <v>0</v>
      </c>
      <c r="BC829" s="255">
        <f t="shared" si="484"/>
        <v>0</v>
      </c>
      <c r="BD829" s="31">
        <f t="shared" si="485"/>
        <v>0</v>
      </c>
      <c r="BE829" s="255">
        <f t="shared" si="486"/>
        <v>0</v>
      </c>
      <c r="BF829" s="31">
        <f t="shared" si="487"/>
        <v>0</v>
      </c>
      <c r="BG829" s="255">
        <f t="shared" si="488"/>
        <v>0</v>
      </c>
      <c r="BH829" s="31">
        <f t="shared" si="489"/>
        <v>0</v>
      </c>
      <c r="BI829" s="255">
        <f t="shared" si="490"/>
        <v>0</v>
      </c>
      <c r="BJ829" s="31">
        <f t="shared" si="491"/>
        <v>0</v>
      </c>
      <c r="BK829" s="31">
        <f t="shared" si="492"/>
        <v>0</v>
      </c>
      <c r="BL829" s="255">
        <f t="shared" si="493"/>
        <v>0</v>
      </c>
      <c r="BM829" s="31">
        <f t="shared" si="494"/>
        <v>0</v>
      </c>
      <c r="BN829" s="255">
        <f t="shared" si="495"/>
        <v>0</v>
      </c>
    </row>
    <row r="830" spans="1:66" x14ac:dyDescent="0.25">
      <c r="A830" s="18" t="s">
        <v>1706</v>
      </c>
      <c r="B830" s="186" t="str">
        <f>VLOOKUP(A830,kurspris!$A$1:$B$877,2,FALSE)</f>
        <v>Bedömning för och av lärande för åk 7-9 och gymnasium (UK)</v>
      </c>
      <c r="C830" s="37"/>
      <c r="D830" s="31" t="s">
        <v>483</v>
      </c>
      <c r="E830" s="31" t="s">
        <v>1973</v>
      </c>
      <c r="F830" s="59" t="s">
        <v>1931</v>
      </c>
      <c r="G830" s="31" t="s">
        <v>2275</v>
      </c>
      <c r="J830" t="s">
        <v>774</v>
      </c>
      <c r="L830" s="31">
        <v>100</v>
      </c>
      <c r="M830" s="31">
        <v>11</v>
      </c>
      <c r="P830" s="31">
        <v>3</v>
      </c>
      <c r="Q830" s="232">
        <f t="shared" si="468"/>
        <v>0.54999999999999993</v>
      </c>
      <c r="R830" s="40">
        <v>0.85</v>
      </c>
      <c r="S830" s="334">
        <f t="shared" si="469"/>
        <v>0.46749999999999992</v>
      </c>
      <c r="T830" s="31">
        <f>VLOOKUP(A830,'Ansvar kurs'!$A$1:$C$1010,2,FALSE)</f>
        <v>5740</v>
      </c>
      <c r="U830" s="31" t="str">
        <f>VLOOKUP(T830,Orgenheter!$A$1:$C$165,2,FALSE)</f>
        <v>NMD</v>
      </c>
      <c r="V830" s="31" t="str">
        <f>VLOOKUP(T830,Orgenheter!$A$1:$C$165,3,FALSE)</f>
        <v>TekNat</v>
      </c>
      <c r="W830" s="37" t="str">
        <f>VLOOKUP(D830,Program!$A$1:$B$34,2,FALSE)</f>
        <v>Ämneslärarprogrammet - Gy</v>
      </c>
      <c r="X830" s="42">
        <f>VLOOKUP(A830,kurspris!$A$1:$Q$798,15,FALSE)</f>
        <v>23641</v>
      </c>
      <c r="Y830" s="42">
        <f>VLOOKUP(A830,kurspris!$A$1:$Q$798,16,FALSE)</f>
        <v>28786</v>
      </c>
      <c r="Z830" s="42">
        <f t="shared" si="470"/>
        <v>26460.004999999997</v>
      </c>
      <c r="AA830" s="42">
        <f>VLOOKUP(A830,kurspris!$A$1:$Q$798,17,FALSE)</f>
        <v>5800</v>
      </c>
      <c r="AB830" s="42">
        <f t="shared" si="471"/>
        <v>3189.9999999999995</v>
      </c>
      <c r="AC830" s="42">
        <f t="shared" si="472"/>
        <v>29650.004999999997</v>
      </c>
      <c r="AD830" s="31">
        <f>VLOOKUP($A830,kurspris!$A$1:$Q$835,3,FALSE)</f>
        <v>0</v>
      </c>
      <c r="AE830" s="31">
        <f>VLOOKUP($A830,kurspris!$A$1:$Q$835,4,FALSE)</f>
        <v>0</v>
      </c>
      <c r="AF830" s="31">
        <f>VLOOKUP($A830,kurspris!$A$1:$Q$835,5,FALSE)</f>
        <v>0</v>
      </c>
      <c r="AG830" s="31">
        <f>VLOOKUP($A830,kurspris!$A$1:$Q$835,6,FALSE)</f>
        <v>1</v>
      </c>
      <c r="AH830" s="31">
        <f>VLOOKUP($A830,kurspris!$A$1:$Q$835,7,FALSE)</f>
        <v>0</v>
      </c>
      <c r="AI830" s="31">
        <f>VLOOKUP($A830,kurspris!$A$1:$Q$835,8,FALSE)</f>
        <v>0</v>
      </c>
      <c r="AJ830" s="31">
        <f>VLOOKUP($A830,kurspris!$A$1:$Q$835,9,FALSE)</f>
        <v>0</v>
      </c>
      <c r="AK830" s="31">
        <f>VLOOKUP($A830,kurspris!$A$1:$Q$835,10,FALSE)</f>
        <v>0</v>
      </c>
      <c r="AL830" s="31">
        <f>VLOOKUP($A830,kurspris!$A$1:$Q$835,11,FALSE)</f>
        <v>0</v>
      </c>
      <c r="AM830" s="31">
        <f>VLOOKUP($A830,kurspris!$A$1:$Q$835,12,FALSE)</f>
        <v>0</v>
      </c>
      <c r="AN830" s="31">
        <f>VLOOKUP($A830,kurspris!$A$1:$Q$835,13,FALSE)</f>
        <v>0</v>
      </c>
      <c r="AO830" s="31">
        <f>VLOOKUP($A830,kurspris!$A$1:$Q$835,14,FALSE)</f>
        <v>0</v>
      </c>
      <c r="AP830" s="39" t="s">
        <v>2326</v>
      </c>
      <c r="AQ830"/>
      <c r="AR830" s="31">
        <f t="shared" si="473"/>
        <v>0</v>
      </c>
      <c r="AS830" s="255">
        <f t="shared" si="474"/>
        <v>0</v>
      </c>
      <c r="AT830" s="31">
        <f t="shared" si="475"/>
        <v>0</v>
      </c>
      <c r="AU830" s="255">
        <f t="shared" si="476"/>
        <v>0</v>
      </c>
      <c r="AV830" s="31">
        <f t="shared" si="477"/>
        <v>0</v>
      </c>
      <c r="AW830" s="31">
        <f t="shared" si="478"/>
        <v>0</v>
      </c>
      <c r="AX830" s="31">
        <f t="shared" si="479"/>
        <v>0.54999999999999993</v>
      </c>
      <c r="AY830" s="255">
        <f t="shared" si="480"/>
        <v>0.46749999999999992</v>
      </c>
      <c r="AZ830" s="232">
        <f t="shared" si="481"/>
        <v>0</v>
      </c>
      <c r="BA830" s="255">
        <f t="shared" si="482"/>
        <v>0</v>
      </c>
      <c r="BB830" s="31">
        <f t="shared" si="483"/>
        <v>0</v>
      </c>
      <c r="BC830" s="255">
        <f t="shared" si="484"/>
        <v>0</v>
      </c>
      <c r="BD830" s="31">
        <f t="shared" si="485"/>
        <v>0</v>
      </c>
      <c r="BE830" s="255">
        <f t="shared" si="486"/>
        <v>0</v>
      </c>
      <c r="BF830" s="31">
        <f t="shared" si="487"/>
        <v>0</v>
      </c>
      <c r="BG830" s="255">
        <f t="shared" si="488"/>
        <v>0</v>
      </c>
      <c r="BH830" s="31">
        <f t="shared" si="489"/>
        <v>0</v>
      </c>
      <c r="BI830" s="255">
        <f t="shared" si="490"/>
        <v>0</v>
      </c>
      <c r="BJ830" s="31">
        <f t="shared" si="491"/>
        <v>0</v>
      </c>
      <c r="BK830" s="31">
        <f t="shared" si="492"/>
        <v>0</v>
      </c>
      <c r="BL830" s="255">
        <f t="shared" si="493"/>
        <v>0</v>
      </c>
      <c r="BM830" s="31">
        <f t="shared" si="494"/>
        <v>0</v>
      </c>
      <c r="BN830" s="255">
        <f t="shared" si="495"/>
        <v>0</v>
      </c>
    </row>
    <row r="831" spans="1:66" x14ac:dyDescent="0.25">
      <c r="A831" s="18" t="s">
        <v>1706</v>
      </c>
      <c r="B831" s="186" t="str">
        <f>VLOOKUP(A831,kurspris!$A$1:$B$877,2,FALSE)</f>
        <v>Bedömning för och av lärande för åk 7-9 och gymnasium (UK)</v>
      </c>
      <c r="C831" s="37"/>
      <c r="D831" s="31" t="s">
        <v>483</v>
      </c>
      <c r="E831" s="31" t="s">
        <v>1973</v>
      </c>
      <c r="F831" s="59" t="s">
        <v>1931</v>
      </c>
      <c r="G831" s="31" t="s">
        <v>2275</v>
      </c>
      <c r="J831" t="s">
        <v>775</v>
      </c>
      <c r="L831" s="31">
        <v>100</v>
      </c>
      <c r="M831" s="31">
        <v>11</v>
      </c>
      <c r="P831" s="31">
        <v>1</v>
      </c>
      <c r="Q831" s="232">
        <f t="shared" si="468"/>
        <v>0.18333333333333332</v>
      </c>
      <c r="R831" s="40">
        <v>0.85</v>
      </c>
      <c r="S831" s="334">
        <f t="shared" si="469"/>
        <v>0.15583333333333332</v>
      </c>
      <c r="T831" s="31">
        <f>VLOOKUP(A831,'Ansvar kurs'!$A$1:$C$1010,2,FALSE)</f>
        <v>5740</v>
      </c>
      <c r="U831" s="31" t="str">
        <f>VLOOKUP(T831,Orgenheter!$A$1:$C$165,2,FALSE)</f>
        <v>NMD</v>
      </c>
      <c r="V831" s="31" t="str">
        <f>VLOOKUP(T831,Orgenheter!$A$1:$C$165,3,FALSE)</f>
        <v>TekNat</v>
      </c>
      <c r="W831" s="37" t="str">
        <f>VLOOKUP(D831,Program!$A$1:$B$34,2,FALSE)</f>
        <v>Ämneslärarprogrammet - Gy</v>
      </c>
      <c r="X831" s="42">
        <f>VLOOKUP(A831,kurspris!$A$1:$Q$798,15,FALSE)</f>
        <v>23641</v>
      </c>
      <c r="Y831" s="42">
        <f>VLOOKUP(A831,kurspris!$A$1:$Q$798,16,FALSE)</f>
        <v>28786</v>
      </c>
      <c r="Z831" s="42">
        <f t="shared" si="470"/>
        <v>8820.001666666667</v>
      </c>
      <c r="AA831" s="42">
        <f>VLOOKUP(A831,kurspris!$A$1:$Q$798,17,FALSE)</f>
        <v>5800</v>
      </c>
      <c r="AB831" s="42">
        <f t="shared" si="471"/>
        <v>1063.3333333333333</v>
      </c>
      <c r="AC831" s="42">
        <f t="shared" si="472"/>
        <v>9883.3350000000009</v>
      </c>
      <c r="AD831" s="31">
        <f>VLOOKUP($A831,kurspris!$A$1:$Q$835,3,FALSE)</f>
        <v>0</v>
      </c>
      <c r="AE831" s="31">
        <f>VLOOKUP($A831,kurspris!$A$1:$Q$835,4,FALSE)</f>
        <v>0</v>
      </c>
      <c r="AF831" s="31">
        <f>VLOOKUP($A831,kurspris!$A$1:$Q$835,5,FALSE)</f>
        <v>0</v>
      </c>
      <c r="AG831" s="31">
        <f>VLOOKUP($A831,kurspris!$A$1:$Q$835,6,FALSE)</f>
        <v>1</v>
      </c>
      <c r="AH831" s="31">
        <f>VLOOKUP($A831,kurspris!$A$1:$Q$835,7,FALSE)</f>
        <v>0</v>
      </c>
      <c r="AI831" s="31">
        <f>VLOOKUP($A831,kurspris!$A$1:$Q$835,8,FALSE)</f>
        <v>0</v>
      </c>
      <c r="AJ831" s="31">
        <f>VLOOKUP($A831,kurspris!$A$1:$Q$835,9,FALSE)</f>
        <v>0</v>
      </c>
      <c r="AK831" s="31">
        <f>VLOOKUP($A831,kurspris!$A$1:$Q$835,10,FALSE)</f>
        <v>0</v>
      </c>
      <c r="AL831" s="31">
        <f>VLOOKUP($A831,kurspris!$A$1:$Q$835,11,FALSE)</f>
        <v>0</v>
      </c>
      <c r="AM831" s="31">
        <f>VLOOKUP($A831,kurspris!$A$1:$Q$835,12,FALSE)</f>
        <v>0</v>
      </c>
      <c r="AN831" s="31">
        <f>VLOOKUP($A831,kurspris!$A$1:$Q$835,13,FALSE)</f>
        <v>0</v>
      </c>
      <c r="AO831" s="31">
        <f>VLOOKUP($A831,kurspris!$A$1:$Q$835,14,FALSE)</f>
        <v>0</v>
      </c>
      <c r="AP831" s="39" t="s">
        <v>2326</v>
      </c>
      <c r="AQ831"/>
      <c r="AR831" s="31">
        <f t="shared" si="473"/>
        <v>0</v>
      </c>
      <c r="AS831" s="255">
        <f t="shared" si="474"/>
        <v>0</v>
      </c>
      <c r="AT831" s="31">
        <f t="shared" si="475"/>
        <v>0</v>
      </c>
      <c r="AU831" s="255">
        <f t="shared" si="476"/>
        <v>0</v>
      </c>
      <c r="AV831" s="31">
        <f t="shared" si="477"/>
        <v>0</v>
      </c>
      <c r="AW831" s="31">
        <f t="shared" si="478"/>
        <v>0</v>
      </c>
      <c r="AX831" s="31">
        <f t="shared" si="479"/>
        <v>0.18333333333333332</v>
      </c>
      <c r="AY831" s="255">
        <f t="shared" si="480"/>
        <v>0.15583333333333332</v>
      </c>
      <c r="AZ831" s="232">
        <f t="shared" si="481"/>
        <v>0</v>
      </c>
      <c r="BA831" s="255">
        <f t="shared" si="482"/>
        <v>0</v>
      </c>
      <c r="BB831" s="31">
        <f t="shared" si="483"/>
        <v>0</v>
      </c>
      <c r="BC831" s="255">
        <f t="shared" si="484"/>
        <v>0</v>
      </c>
      <c r="BD831" s="31">
        <f t="shared" si="485"/>
        <v>0</v>
      </c>
      <c r="BE831" s="255">
        <f t="shared" si="486"/>
        <v>0</v>
      </c>
      <c r="BF831" s="31">
        <f t="shared" si="487"/>
        <v>0</v>
      </c>
      <c r="BG831" s="255">
        <f t="shared" si="488"/>
        <v>0</v>
      </c>
      <c r="BH831" s="31">
        <f t="shared" si="489"/>
        <v>0</v>
      </c>
      <c r="BI831" s="255">
        <f t="shared" si="490"/>
        <v>0</v>
      </c>
      <c r="BJ831" s="31">
        <f t="shared" si="491"/>
        <v>0</v>
      </c>
      <c r="BK831" s="31">
        <f t="shared" si="492"/>
        <v>0</v>
      </c>
      <c r="BL831" s="255">
        <f t="shared" si="493"/>
        <v>0</v>
      </c>
      <c r="BM831" s="31">
        <f t="shared" si="494"/>
        <v>0</v>
      </c>
      <c r="BN831" s="255">
        <f t="shared" si="495"/>
        <v>0</v>
      </c>
    </row>
    <row r="832" spans="1:66" x14ac:dyDescent="0.25">
      <c r="A832" s="18" t="s">
        <v>1706</v>
      </c>
      <c r="B832" s="186" t="str">
        <f>VLOOKUP(A832,kurspris!$A$1:$B$877,2,FALSE)</f>
        <v>Bedömning för och av lärande för åk 7-9 och gymnasium (UK)</v>
      </c>
      <c r="C832" s="37"/>
      <c r="D832" s="31" t="s">
        <v>483</v>
      </c>
      <c r="E832" s="31" t="s">
        <v>1973</v>
      </c>
      <c r="F832" s="59" t="s">
        <v>1931</v>
      </c>
      <c r="G832" s="31" t="s">
        <v>2275</v>
      </c>
      <c r="J832" t="s">
        <v>776</v>
      </c>
      <c r="L832" s="31">
        <v>100</v>
      </c>
      <c r="M832" s="31">
        <v>11</v>
      </c>
      <c r="P832" s="31">
        <v>1</v>
      </c>
      <c r="Q832" s="232">
        <f t="shared" si="468"/>
        <v>0.18333333333333332</v>
      </c>
      <c r="R832" s="40">
        <v>0.85</v>
      </c>
      <c r="S832" s="334">
        <f t="shared" si="469"/>
        <v>0.15583333333333332</v>
      </c>
      <c r="T832" s="31">
        <f>VLOOKUP(A832,'Ansvar kurs'!$A$1:$C$1010,2,FALSE)</f>
        <v>5740</v>
      </c>
      <c r="U832" s="31" t="str">
        <f>VLOOKUP(T832,Orgenheter!$A$1:$C$165,2,FALSE)</f>
        <v>NMD</v>
      </c>
      <c r="V832" s="31" t="str">
        <f>VLOOKUP(T832,Orgenheter!$A$1:$C$165,3,FALSE)</f>
        <v>TekNat</v>
      </c>
      <c r="W832" s="37" t="str">
        <f>VLOOKUP(D832,Program!$A$1:$B$34,2,FALSE)</f>
        <v>Ämneslärarprogrammet - Gy</v>
      </c>
      <c r="X832" s="42">
        <f>VLOOKUP(A832,kurspris!$A$1:$Q$798,15,FALSE)</f>
        <v>23641</v>
      </c>
      <c r="Y832" s="42">
        <f>VLOOKUP(A832,kurspris!$A$1:$Q$798,16,FALSE)</f>
        <v>28786</v>
      </c>
      <c r="Z832" s="42">
        <f t="shared" si="470"/>
        <v>8820.001666666667</v>
      </c>
      <c r="AA832" s="42">
        <f>VLOOKUP(A832,kurspris!$A$1:$Q$798,17,FALSE)</f>
        <v>5800</v>
      </c>
      <c r="AB832" s="42">
        <f t="shared" si="471"/>
        <v>1063.3333333333333</v>
      </c>
      <c r="AC832" s="42">
        <f t="shared" si="472"/>
        <v>9883.3350000000009</v>
      </c>
      <c r="AD832" s="31">
        <f>VLOOKUP($A832,kurspris!$A$1:$Q$835,3,FALSE)</f>
        <v>0</v>
      </c>
      <c r="AE832" s="31">
        <f>VLOOKUP($A832,kurspris!$A$1:$Q$835,4,FALSE)</f>
        <v>0</v>
      </c>
      <c r="AF832" s="31">
        <f>VLOOKUP($A832,kurspris!$A$1:$Q$835,5,FALSE)</f>
        <v>0</v>
      </c>
      <c r="AG832" s="31">
        <f>VLOOKUP($A832,kurspris!$A$1:$Q$835,6,FALSE)</f>
        <v>1</v>
      </c>
      <c r="AH832" s="31">
        <f>VLOOKUP($A832,kurspris!$A$1:$Q$835,7,FALSE)</f>
        <v>0</v>
      </c>
      <c r="AI832" s="31">
        <f>VLOOKUP($A832,kurspris!$A$1:$Q$835,8,FALSE)</f>
        <v>0</v>
      </c>
      <c r="AJ832" s="31">
        <f>VLOOKUP($A832,kurspris!$A$1:$Q$835,9,FALSE)</f>
        <v>0</v>
      </c>
      <c r="AK832" s="31">
        <f>VLOOKUP($A832,kurspris!$A$1:$Q$835,10,FALSE)</f>
        <v>0</v>
      </c>
      <c r="AL832" s="31">
        <f>VLOOKUP($A832,kurspris!$A$1:$Q$835,11,FALSE)</f>
        <v>0</v>
      </c>
      <c r="AM832" s="31">
        <f>VLOOKUP($A832,kurspris!$A$1:$Q$835,12,FALSE)</f>
        <v>0</v>
      </c>
      <c r="AN832" s="31">
        <f>VLOOKUP($A832,kurspris!$A$1:$Q$835,13,FALSE)</f>
        <v>0</v>
      </c>
      <c r="AO832" s="31">
        <f>VLOOKUP($A832,kurspris!$A$1:$Q$835,14,FALSE)</f>
        <v>0</v>
      </c>
      <c r="AP832" s="39" t="s">
        <v>2326</v>
      </c>
      <c r="AQ832"/>
      <c r="AR832" s="31">
        <f t="shared" si="473"/>
        <v>0</v>
      </c>
      <c r="AS832" s="255">
        <f t="shared" si="474"/>
        <v>0</v>
      </c>
      <c r="AT832" s="31">
        <f t="shared" si="475"/>
        <v>0</v>
      </c>
      <c r="AU832" s="255">
        <f t="shared" si="476"/>
        <v>0</v>
      </c>
      <c r="AV832" s="31">
        <f t="shared" si="477"/>
        <v>0</v>
      </c>
      <c r="AW832" s="31">
        <f t="shared" si="478"/>
        <v>0</v>
      </c>
      <c r="AX832" s="31">
        <f t="shared" si="479"/>
        <v>0.18333333333333332</v>
      </c>
      <c r="AY832" s="255">
        <f t="shared" si="480"/>
        <v>0.15583333333333332</v>
      </c>
      <c r="AZ832" s="232">
        <f t="shared" si="481"/>
        <v>0</v>
      </c>
      <c r="BA832" s="255">
        <f t="shared" si="482"/>
        <v>0</v>
      </c>
      <c r="BB832" s="31">
        <f t="shared" si="483"/>
        <v>0</v>
      </c>
      <c r="BC832" s="255">
        <f t="shared" si="484"/>
        <v>0</v>
      </c>
      <c r="BD832" s="31">
        <f t="shared" si="485"/>
        <v>0</v>
      </c>
      <c r="BE832" s="255">
        <f t="shared" si="486"/>
        <v>0</v>
      </c>
      <c r="BF832" s="31">
        <f t="shared" si="487"/>
        <v>0</v>
      </c>
      <c r="BG832" s="255">
        <f t="shared" si="488"/>
        <v>0</v>
      </c>
      <c r="BH832" s="31">
        <f t="shared" si="489"/>
        <v>0</v>
      </c>
      <c r="BI832" s="255">
        <f t="shared" si="490"/>
        <v>0</v>
      </c>
      <c r="BJ832" s="31">
        <f t="shared" si="491"/>
        <v>0</v>
      </c>
      <c r="BK832" s="31">
        <f t="shared" si="492"/>
        <v>0</v>
      </c>
      <c r="BL832" s="255">
        <f t="shared" si="493"/>
        <v>0</v>
      </c>
      <c r="BM832" s="31">
        <f t="shared" si="494"/>
        <v>0</v>
      </c>
      <c r="BN832" s="255">
        <f t="shared" si="495"/>
        <v>0</v>
      </c>
    </row>
    <row r="833" spans="1:66" x14ac:dyDescent="0.25">
      <c r="A833" s="18" t="s">
        <v>1706</v>
      </c>
      <c r="B833" s="186" t="str">
        <f>VLOOKUP(A833,kurspris!$A$1:$B$877,2,FALSE)</f>
        <v>Bedömning för och av lärande för åk 7-9 och gymnasium (UK)</v>
      </c>
      <c r="C833" s="37"/>
      <c r="D833" s="31" t="s">
        <v>483</v>
      </c>
      <c r="E833" s="31" t="s">
        <v>1973</v>
      </c>
      <c r="F833" s="59" t="s">
        <v>1931</v>
      </c>
      <c r="G833" s="31" t="s">
        <v>2275</v>
      </c>
      <c r="J833" t="s">
        <v>777</v>
      </c>
      <c r="L833" s="31">
        <v>100</v>
      </c>
      <c r="M833" s="31">
        <v>11</v>
      </c>
      <c r="P833" s="31">
        <v>1</v>
      </c>
      <c r="Q833" s="232">
        <f t="shared" si="468"/>
        <v>0.18333333333333332</v>
      </c>
      <c r="R833" s="40">
        <v>0.85</v>
      </c>
      <c r="S833" s="334">
        <f t="shared" si="469"/>
        <v>0.15583333333333332</v>
      </c>
      <c r="T833" s="31">
        <f>VLOOKUP(A833,'Ansvar kurs'!$A$1:$C$1010,2,FALSE)</f>
        <v>5740</v>
      </c>
      <c r="U833" s="31" t="str">
        <f>VLOOKUP(T833,Orgenheter!$A$1:$C$165,2,FALSE)</f>
        <v>NMD</v>
      </c>
      <c r="V833" s="31" t="str">
        <f>VLOOKUP(T833,Orgenheter!$A$1:$C$165,3,FALSE)</f>
        <v>TekNat</v>
      </c>
      <c r="W833" s="37" t="str">
        <f>VLOOKUP(D833,Program!$A$1:$B$34,2,FALSE)</f>
        <v>Ämneslärarprogrammet - Gy</v>
      </c>
      <c r="X833" s="42">
        <f>VLOOKUP(A833,kurspris!$A$1:$Q$798,15,FALSE)</f>
        <v>23641</v>
      </c>
      <c r="Y833" s="42">
        <f>VLOOKUP(A833,kurspris!$A$1:$Q$798,16,FALSE)</f>
        <v>28786</v>
      </c>
      <c r="Z833" s="42">
        <f t="shared" si="470"/>
        <v>8820.001666666667</v>
      </c>
      <c r="AA833" s="42">
        <f>VLOOKUP(A833,kurspris!$A$1:$Q$798,17,FALSE)</f>
        <v>5800</v>
      </c>
      <c r="AB833" s="42">
        <f t="shared" si="471"/>
        <v>1063.3333333333333</v>
      </c>
      <c r="AC833" s="42">
        <f t="shared" si="472"/>
        <v>9883.3350000000009</v>
      </c>
      <c r="AD833" s="31">
        <f>VLOOKUP($A833,kurspris!$A$1:$Q$835,3,FALSE)</f>
        <v>0</v>
      </c>
      <c r="AE833" s="31">
        <f>VLOOKUP($A833,kurspris!$A$1:$Q$835,4,FALSE)</f>
        <v>0</v>
      </c>
      <c r="AF833" s="31">
        <f>VLOOKUP($A833,kurspris!$A$1:$Q$835,5,FALSE)</f>
        <v>0</v>
      </c>
      <c r="AG833" s="31">
        <f>VLOOKUP($A833,kurspris!$A$1:$Q$835,6,FALSE)</f>
        <v>1</v>
      </c>
      <c r="AH833" s="31">
        <f>VLOOKUP($A833,kurspris!$A$1:$Q$835,7,FALSE)</f>
        <v>0</v>
      </c>
      <c r="AI833" s="31">
        <f>VLOOKUP($A833,kurspris!$A$1:$Q$835,8,FALSE)</f>
        <v>0</v>
      </c>
      <c r="AJ833" s="31">
        <f>VLOOKUP($A833,kurspris!$A$1:$Q$835,9,FALSE)</f>
        <v>0</v>
      </c>
      <c r="AK833" s="31">
        <f>VLOOKUP($A833,kurspris!$A$1:$Q$835,10,FALSE)</f>
        <v>0</v>
      </c>
      <c r="AL833" s="31">
        <f>VLOOKUP($A833,kurspris!$A$1:$Q$835,11,FALSE)</f>
        <v>0</v>
      </c>
      <c r="AM833" s="31">
        <f>VLOOKUP($A833,kurspris!$A$1:$Q$835,12,FALSE)</f>
        <v>0</v>
      </c>
      <c r="AN833" s="31">
        <f>VLOOKUP($A833,kurspris!$A$1:$Q$835,13,FALSE)</f>
        <v>0</v>
      </c>
      <c r="AO833" s="31">
        <f>VLOOKUP($A833,kurspris!$A$1:$Q$835,14,FALSE)</f>
        <v>0</v>
      </c>
      <c r="AP833" s="39" t="s">
        <v>2326</v>
      </c>
      <c r="AQ833"/>
      <c r="AR833" s="31">
        <f t="shared" si="473"/>
        <v>0</v>
      </c>
      <c r="AS833" s="255">
        <f t="shared" si="474"/>
        <v>0</v>
      </c>
      <c r="AT833" s="31">
        <f t="shared" si="475"/>
        <v>0</v>
      </c>
      <c r="AU833" s="255">
        <f t="shared" si="476"/>
        <v>0</v>
      </c>
      <c r="AV833" s="31">
        <f t="shared" si="477"/>
        <v>0</v>
      </c>
      <c r="AW833" s="31">
        <f t="shared" si="478"/>
        <v>0</v>
      </c>
      <c r="AX833" s="31">
        <f t="shared" si="479"/>
        <v>0.18333333333333332</v>
      </c>
      <c r="AY833" s="255">
        <f t="shared" si="480"/>
        <v>0.15583333333333332</v>
      </c>
      <c r="AZ833" s="232">
        <f t="shared" si="481"/>
        <v>0</v>
      </c>
      <c r="BA833" s="255">
        <f t="shared" si="482"/>
        <v>0</v>
      </c>
      <c r="BB833" s="31">
        <f t="shared" si="483"/>
        <v>0</v>
      </c>
      <c r="BC833" s="255">
        <f t="shared" si="484"/>
        <v>0</v>
      </c>
      <c r="BD833" s="31">
        <f t="shared" si="485"/>
        <v>0</v>
      </c>
      <c r="BE833" s="255">
        <f t="shared" si="486"/>
        <v>0</v>
      </c>
      <c r="BF833" s="31">
        <f t="shared" si="487"/>
        <v>0</v>
      </c>
      <c r="BG833" s="255">
        <f t="shared" si="488"/>
        <v>0</v>
      </c>
      <c r="BH833" s="31">
        <f t="shared" si="489"/>
        <v>0</v>
      </c>
      <c r="BI833" s="255">
        <f t="shared" si="490"/>
        <v>0</v>
      </c>
      <c r="BJ833" s="31">
        <f t="shared" si="491"/>
        <v>0</v>
      </c>
      <c r="BK833" s="31">
        <f t="shared" si="492"/>
        <v>0</v>
      </c>
      <c r="BL833" s="255">
        <f t="shared" si="493"/>
        <v>0</v>
      </c>
      <c r="BM833" s="31">
        <f t="shared" si="494"/>
        <v>0</v>
      </c>
      <c r="BN833" s="255">
        <f t="shared" si="495"/>
        <v>0</v>
      </c>
    </row>
    <row r="834" spans="1:66" x14ac:dyDescent="0.25">
      <c r="A834" s="18" t="s">
        <v>1706</v>
      </c>
      <c r="B834" s="186" t="str">
        <f>VLOOKUP(A834,kurspris!$A$1:$B$877,2,FALSE)</f>
        <v>Bedömning för och av lärande för åk 7-9 och gymnasium (UK)</v>
      </c>
      <c r="C834" s="37"/>
      <c r="D834" s="31" t="s">
        <v>483</v>
      </c>
      <c r="E834" s="31" t="s">
        <v>1609</v>
      </c>
      <c r="F834" s="59" t="s">
        <v>1931</v>
      </c>
      <c r="G834" s="31" t="s">
        <v>2275</v>
      </c>
      <c r="J834" t="s">
        <v>1591</v>
      </c>
      <c r="L834" s="31">
        <v>100</v>
      </c>
      <c r="M834" s="31">
        <v>11</v>
      </c>
      <c r="P834" s="31">
        <v>1</v>
      </c>
      <c r="Q834" s="232">
        <f t="shared" si="468"/>
        <v>0.18333333333333332</v>
      </c>
      <c r="R834" s="40">
        <v>0.85</v>
      </c>
      <c r="S834" s="334">
        <f t="shared" si="469"/>
        <v>0.15583333333333332</v>
      </c>
      <c r="T834" s="31">
        <f>VLOOKUP(A834,'Ansvar kurs'!$A$1:$C$1010,2,FALSE)</f>
        <v>5740</v>
      </c>
      <c r="U834" s="31" t="str">
        <f>VLOOKUP(T834,Orgenheter!$A$1:$C$165,2,FALSE)</f>
        <v>NMD</v>
      </c>
      <c r="V834" s="31" t="str">
        <f>VLOOKUP(T834,Orgenheter!$A$1:$C$165,3,FALSE)</f>
        <v>TekNat</v>
      </c>
      <c r="W834" s="37" t="str">
        <f>VLOOKUP(D834,Program!$A$1:$B$34,2,FALSE)</f>
        <v>Ämneslärarprogrammet - Gy</v>
      </c>
      <c r="X834" s="42">
        <f>VLOOKUP(A834,kurspris!$A$1:$Q$798,15,FALSE)</f>
        <v>23641</v>
      </c>
      <c r="Y834" s="42">
        <f>VLOOKUP(A834,kurspris!$A$1:$Q$798,16,FALSE)</f>
        <v>28786</v>
      </c>
      <c r="Z834" s="42">
        <f t="shared" si="470"/>
        <v>8820.001666666667</v>
      </c>
      <c r="AA834" s="42">
        <f>VLOOKUP(A834,kurspris!$A$1:$Q$798,17,FALSE)</f>
        <v>5800</v>
      </c>
      <c r="AB834" s="42">
        <f t="shared" si="471"/>
        <v>1063.3333333333333</v>
      </c>
      <c r="AC834" s="42">
        <f t="shared" si="472"/>
        <v>9883.3350000000009</v>
      </c>
      <c r="AD834" s="31">
        <f>VLOOKUP($A834,kurspris!$A$1:$Q$835,3,FALSE)</f>
        <v>0</v>
      </c>
      <c r="AE834" s="31">
        <f>VLOOKUP($A834,kurspris!$A$1:$Q$835,4,FALSE)</f>
        <v>0</v>
      </c>
      <c r="AF834" s="31">
        <f>VLOOKUP($A834,kurspris!$A$1:$Q$835,5,FALSE)</f>
        <v>0</v>
      </c>
      <c r="AG834" s="31">
        <f>VLOOKUP($A834,kurspris!$A$1:$Q$835,6,FALSE)</f>
        <v>1</v>
      </c>
      <c r="AH834" s="31">
        <f>VLOOKUP($A834,kurspris!$A$1:$Q$835,7,FALSE)</f>
        <v>0</v>
      </c>
      <c r="AI834" s="31">
        <f>VLOOKUP($A834,kurspris!$A$1:$Q$835,8,FALSE)</f>
        <v>0</v>
      </c>
      <c r="AJ834" s="31">
        <f>VLOOKUP($A834,kurspris!$A$1:$Q$835,9,FALSE)</f>
        <v>0</v>
      </c>
      <c r="AK834" s="31">
        <f>VLOOKUP($A834,kurspris!$A$1:$Q$835,10,FALSE)</f>
        <v>0</v>
      </c>
      <c r="AL834" s="31">
        <f>VLOOKUP($A834,kurspris!$A$1:$Q$835,11,FALSE)</f>
        <v>0</v>
      </c>
      <c r="AM834" s="31">
        <f>VLOOKUP($A834,kurspris!$A$1:$Q$835,12,FALSE)</f>
        <v>0</v>
      </c>
      <c r="AN834" s="31">
        <f>VLOOKUP($A834,kurspris!$A$1:$Q$835,13,FALSE)</f>
        <v>0</v>
      </c>
      <c r="AO834" s="31">
        <f>VLOOKUP($A834,kurspris!$A$1:$Q$835,14,FALSE)</f>
        <v>0</v>
      </c>
      <c r="AP834" s="39" t="s">
        <v>2326</v>
      </c>
      <c r="AQ834"/>
      <c r="AR834" s="31">
        <f t="shared" si="473"/>
        <v>0</v>
      </c>
      <c r="AS834" s="255">
        <f t="shared" si="474"/>
        <v>0</v>
      </c>
      <c r="AT834" s="31">
        <f t="shared" si="475"/>
        <v>0</v>
      </c>
      <c r="AU834" s="255">
        <f t="shared" si="476"/>
        <v>0</v>
      </c>
      <c r="AV834" s="31">
        <f t="shared" si="477"/>
        <v>0</v>
      </c>
      <c r="AW834" s="31">
        <f t="shared" si="478"/>
        <v>0</v>
      </c>
      <c r="AX834" s="31">
        <f t="shared" si="479"/>
        <v>0.18333333333333332</v>
      </c>
      <c r="AY834" s="255">
        <f t="shared" si="480"/>
        <v>0.15583333333333332</v>
      </c>
      <c r="AZ834" s="232">
        <f t="shared" si="481"/>
        <v>0</v>
      </c>
      <c r="BA834" s="255">
        <f t="shared" si="482"/>
        <v>0</v>
      </c>
      <c r="BB834" s="31">
        <f t="shared" si="483"/>
        <v>0</v>
      </c>
      <c r="BC834" s="255">
        <f t="shared" si="484"/>
        <v>0</v>
      </c>
      <c r="BD834" s="31">
        <f t="shared" si="485"/>
        <v>0</v>
      </c>
      <c r="BE834" s="255">
        <f t="shared" si="486"/>
        <v>0</v>
      </c>
      <c r="BF834" s="31">
        <f t="shared" si="487"/>
        <v>0</v>
      </c>
      <c r="BG834" s="255">
        <f t="shared" si="488"/>
        <v>0</v>
      </c>
      <c r="BH834" s="31">
        <f t="shared" si="489"/>
        <v>0</v>
      </c>
      <c r="BI834" s="255">
        <f t="shared" si="490"/>
        <v>0</v>
      </c>
      <c r="BJ834" s="31">
        <f t="shared" si="491"/>
        <v>0</v>
      </c>
      <c r="BK834" s="31">
        <f t="shared" si="492"/>
        <v>0</v>
      </c>
      <c r="BL834" s="255">
        <f t="shared" si="493"/>
        <v>0</v>
      </c>
      <c r="BM834" s="31">
        <f t="shared" si="494"/>
        <v>0</v>
      </c>
      <c r="BN834" s="255">
        <f t="shared" si="495"/>
        <v>0</v>
      </c>
    </row>
    <row r="835" spans="1:66" x14ac:dyDescent="0.25">
      <c r="A835" s="18" t="s">
        <v>1706</v>
      </c>
      <c r="B835" s="186" t="str">
        <f>VLOOKUP(A835,kurspris!$A$1:$B$877,2,FALSE)</f>
        <v>Bedömning för och av lärande för åk 7-9 och gymnasium (UK)</v>
      </c>
      <c r="C835" s="37"/>
      <c r="D835" s="31" t="s">
        <v>483</v>
      </c>
      <c r="E835" s="31" t="s">
        <v>1609</v>
      </c>
      <c r="F835" s="59" t="s">
        <v>1931</v>
      </c>
      <c r="G835" s="31" t="s">
        <v>2275</v>
      </c>
      <c r="J835" t="s">
        <v>771</v>
      </c>
      <c r="L835" s="31">
        <v>100</v>
      </c>
      <c r="M835" s="31">
        <v>11</v>
      </c>
      <c r="P835" s="31">
        <v>16</v>
      </c>
      <c r="Q835" s="232">
        <f t="shared" si="468"/>
        <v>2.9333333333333331</v>
      </c>
      <c r="R835" s="40">
        <v>0.85</v>
      </c>
      <c r="S835" s="334">
        <f t="shared" si="469"/>
        <v>2.4933333333333332</v>
      </c>
      <c r="T835" s="31">
        <f>VLOOKUP(A835,'Ansvar kurs'!$A$1:$C$1010,2,FALSE)</f>
        <v>5740</v>
      </c>
      <c r="U835" s="31" t="str">
        <f>VLOOKUP(T835,Orgenheter!$A$1:$C$165,2,FALSE)</f>
        <v>NMD</v>
      </c>
      <c r="V835" s="31" t="str">
        <f>VLOOKUP(T835,Orgenheter!$A$1:$C$165,3,FALSE)</f>
        <v>TekNat</v>
      </c>
      <c r="W835" s="37" t="str">
        <f>VLOOKUP(D835,Program!$A$1:$B$34,2,FALSE)</f>
        <v>Ämneslärarprogrammet - Gy</v>
      </c>
      <c r="X835" s="42">
        <f>VLOOKUP(A835,kurspris!$A$1:$Q$798,15,FALSE)</f>
        <v>23641</v>
      </c>
      <c r="Y835" s="42">
        <f>VLOOKUP(A835,kurspris!$A$1:$Q$798,16,FALSE)</f>
        <v>28786</v>
      </c>
      <c r="Z835" s="42">
        <f t="shared" si="470"/>
        <v>141120.02666666667</v>
      </c>
      <c r="AA835" s="42">
        <f>VLOOKUP(A835,kurspris!$A$1:$Q$798,17,FALSE)</f>
        <v>5800</v>
      </c>
      <c r="AB835" s="42">
        <f t="shared" si="471"/>
        <v>17013.333333333332</v>
      </c>
      <c r="AC835" s="42">
        <f t="shared" si="472"/>
        <v>158133.36000000002</v>
      </c>
      <c r="AD835" s="31">
        <f>VLOOKUP($A835,kurspris!$A$1:$Q$835,3,FALSE)</f>
        <v>0</v>
      </c>
      <c r="AE835" s="31">
        <f>VLOOKUP($A835,kurspris!$A$1:$Q$835,4,FALSE)</f>
        <v>0</v>
      </c>
      <c r="AF835" s="31">
        <f>VLOOKUP($A835,kurspris!$A$1:$Q$835,5,FALSE)</f>
        <v>0</v>
      </c>
      <c r="AG835" s="31">
        <f>VLOOKUP($A835,kurspris!$A$1:$Q$835,6,FALSE)</f>
        <v>1</v>
      </c>
      <c r="AH835" s="31">
        <f>VLOOKUP($A835,kurspris!$A$1:$Q$835,7,FALSE)</f>
        <v>0</v>
      </c>
      <c r="AI835" s="31">
        <f>VLOOKUP($A835,kurspris!$A$1:$Q$835,8,FALSE)</f>
        <v>0</v>
      </c>
      <c r="AJ835" s="31">
        <f>VLOOKUP($A835,kurspris!$A$1:$Q$835,9,FALSE)</f>
        <v>0</v>
      </c>
      <c r="AK835" s="31">
        <f>VLOOKUP($A835,kurspris!$A$1:$Q$835,10,FALSE)</f>
        <v>0</v>
      </c>
      <c r="AL835" s="31">
        <f>VLOOKUP($A835,kurspris!$A$1:$Q$835,11,FALSE)</f>
        <v>0</v>
      </c>
      <c r="AM835" s="31">
        <f>VLOOKUP($A835,kurspris!$A$1:$Q$835,12,FALSE)</f>
        <v>0</v>
      </c>
      <c r="AN835" s="31">
        <f>VLOOKUP($A835,kurspris!$A$1:$Q$835,13,FALSE)</f>
        <v>0</v>
      </c>
      <c r="AO835" s="31">
        <f>VLOOKUP($A835,kurspris!$A$1:$Q$835,14,FALSE)</f>
        <v>0</v>
      </c>
      <c r="AP835" s="39" t="s">
        <v>2326</v>
      </c>
      <c r="AQ835"/>
      <c r="AR835" s="31">
        <f t="shared" si="473"/>
        <v>0</v>
      </c>
      <c r="AS835" s="255">
        <f t="shared" si="474"/>
        <v>0</v>
      </c>
      <c r="AT835" s="31">
        <f t="shared" si="475"/>
        <v>0</v>
      </c>
      <c r="AU835" s="255">
        <f t="shared" si="476"/>
        <v>0</v>
      </c>
      <c r="AV835" s="31">
        <f t="shared" si="477"/>
        <v>0</v>
      </c>
      <c r="AW835" s="31">
        <f t="shared" si="478"/>
        <v>0</v>
      </c>
      <c r="AX835" s="31">
        <f t="shared" si="479"/>
        <v>2.9333333333333331</v>
      </c>
      <c r="AY835" s="255">
        <f t="shared" si="480"/>
        <v>2.4933333333333332</v>
      </c>
      <c r="AZ835" s="232">
        <f t="shared" si="481"/>
        <v>0</v>
      </c>
      <c r="BA835" s="255">
        <f t="shared" si="482"/>
        <v>0</v>
      </c>
      <c r="BB835" s="31">
        <f t="shared" si="483"/>
        <v>0</v>
      </c>
      <c r="BC835" s="255">
        <f t="shared" si="484"/>
        <v>0</v>
      </c>
      <c r="BD835" s="31">
        <f t="shared" si="485"/>
        <v>0</v>
      </c>
      <c r="BE835" s="255">
        <f t="shared" si="486"/>
        <v>0</v>
      </c>
      <c r="BF835" s="31">
        <f t="shared" si="487"/>
        <v>0</v>
      </c>
      <c r="BG835" s="255">
        <f t="shared" si="488"/>
        <v>0</v>
      </c>
      <c r="BH835" s="31">
        <f t="shared" si="489"/>
        <v>0</v>
      </c>
      <c r="BI835" s="255">
        <f t="shared" si="490"/>
        <v>0</v>
      </c>
      <c r="BJ835" s="31">
        <f t="shared" si="491"/>
        <v>0</v>
      </c>
      <c r="BK835" s="31">
        <f t="shared" si="492"/>
        <v>0</v>
      </c>
      <c r="BL835" s="255">
        <f t="shared" si="493"/>
        <v>0</v>
      </c>
      <c r="BM835" s="31">
        <f t="shared" si="494"/>
        <v>0</v>
      </c>
      <c r="BN835" s="255">
        <f t="shared" si="495"/>
        <v>0</v>
      </c>
    </row>
    <row r="836" spans="1:66" x14ac:dyDescent="0.25">
      <c r="A836" s="18" t="s">
        <v>1706</v>
      </c>
      <c r="B836" s="186" t="str">
        <f>VLOOKUP(A836,kurspris!$A$1:$B$877,2,FALSE)</f>
        <v>Bedömning för och av lärande för åk 7-9 och gymnasium (UK)</v>
      </c>
      <c r="C836" s="37"/>
      <c r="D836" s="31" t="s">
        <v>483</v>
      </c>
      <c r="E836" s="31" t="s">
        <v>1609</v>
      </c>
      <c r="F836" s="59" t="s">
        <v>1931</v>
      </c>
      <c r="G836" s="31" t="s">
        <v>2275</v>
      </c>
      <c r="J836" t="s">
        <v>772</v>
      </c>
      <c r="L836" s="31">
        <v>100</v>
      </c>
      <c r="M836" s="31">
        <v>11</v>
      </c>
      <c r="P836" s="31">
        <v>14</v>
      </c>
      <c r="Q836" s="232">
        <f t="shared" si="468"/>
        <v>2.5666666666666664</v>
      </c>
      <c r="R836" s="40">
        <v>0.85</v>
      </c>
      <c r="S836" s="334">
        <f t="shared" si="469"/>
        <v>2.1816666666666662</v>
      </c>
      <c r="T836" s="31">
        <f>VLOOKUP(A836,'Ansvar kurs'!$A$1:$C$1010,2,FALSE)</f>
        <v>5740</v>
      </c>
      <c r="U836" s="31" t="str">
        <f>VLOOKUP(T836,Orgenheter!$A$1:$C$165,2,FALSE)</f>
        <v>NMD</v>
      </c>
      <c r="V836" s="31" t="str">
        <f>VLOOKUP(T836,Orgenheter!$A$1:$C$165,3,FALSE)</f>
        <v>TekNat</v>
      </c>
      <c r="W836" s="37" t="str">
        <f>VLOOKUP(D836,Program!$A$1:$B$34,2,FALSE)</f>
        <v>Ämneslärarprogrammet - Gy</v>
      </c>
      <c r="X836" s="42">
        <f>VLOOKUP(A836,kurspris!$A$1:$Q$798,15,FALSE)</f>
        <v>23641</v>
      </c>
      <c r="Y836" s="42">
        <f>VLOOKUP(A836,kurspris!$A$1:$Q$798,16,FALSE)</f>
        <v>28786</v>
      </c>
      <c r="Z836" s="42">
        <f t="shared" si="470"/>
        <v>123480.02333333332</v>
      </c>
      <c r="AA836" s="42">
        <f>VLOOKUP(A836,kurspris!$A$1:$Q$798,17,FALSE)</f>
        <v>5800</v>
      </c>
      <c r="AB836" s="42">
        <f t="shared" si="471"/>
        <v>14886.666666666666</v>
      </c>
      <c r="AC836" s="42">
        <f t="shared" si="472"/>
        <v>138366.68999999997</v>
      </c>
      <c r="AD836" s="31">
        <f>VLOOKUP($A836,kurspris!$A$1:$Q$835,3,FALSE)</f>
        <v>0</v>
      </c>
      <c r="AE836" s="31">
        <f>VLOOKUP($A836,kurspris!$A$1:$Q$835,4,FALSE)</f>
        <v>0</v>
      </c>
      <c r="AF836" s="31">
        <f>VLOOKUP($A836,kurspris!$A$1:$Q$835,5,FALSE)</f>
        <v>0</v>
      </c>
      <c r="AG836" s="31">
        <f>VLOOKUP($A836,kurspris!$A$1:$Q$835,6,FALSE)</f>
        <v>1</v>
      </c>
      <c r="AH836" s="31">
        <f>VLOOKUP($A836,kurspris!$A$1:$Q$835,7,FALSE)</f>
        <v>0</v>
      </c>
      <c r="AI836" s="31">
        <f>VLOOKUP($A836,kurspris!$A$1:$Q$835,8,FALSE)</f>
        <v>0</v>
      </c>
      <c r="AJ836" s="31">
        <f>VLOOKUP($A836,kurspris!$A$1:$Q$835,9,FALSE)</f>
        <v>0</v>
      </c>
      <c r="AK836" s="31">
        <f>VLOOKUP($A836,kurspris!$A$1:$Q$835,10,FALSE)</f>
        <v>0</v>
      </c>
      <c r="AL836" s="31">
        <f>VLOOKUP($A836,kurspris!$A$1:$Q$835,11,FALSE)</f>
        <v>0</v>
      </c>
      <c r="AM836" s="31">
        <f>VLOOKUP($A836,kurspris!$A$1:$Q$835,12,FALSE)</f>
        <v>0</v>
      </c>
      <c r="AN836" s="31">
        <f>VLOOKUP($A836,kurspris!$A$1:$Q$835,13,FALSE)</f>
        <v>0</v>
      </c>
      <c r="AO836" s="31">
        <f>VLOOKUP($A836,kurspris!$A$1:$Q$835,14,FALSE)</f>
        <v>0</v>
      </c>
      <c r="AP836" s="39" t="s">
        <v>2326</v>
      </c>
      <c r="AQ836"/>
      <c r="AR836" s="31">
        <f t="shared" si="473"/>
        <v>0</v>
      </c>
      <c r="AS836" s="255">
        <f t="shared" si="474"/>
        <v>0</v>
      </c>
      <c r="AT836" s="31">
        <f t="shared" si="475"/>
        <v>0</v>
      </c>
      <c r="AU836" s="255">
        <f t="shared" si="476"/>
        <v>0</v>
      </c>
      <c r="AV836" s="31">
        <f t="shared" si="477"/>
        <v>0</v>
      </c>
      <c r="AW836" s="31">
        <f t="shared" si="478"/>
        <v>0</v>
      </c>
      <c r="AX836" s="31">
        <f t="shared" si="479"/>
        <v>2.5666666666666664</v>
      </c>
      <c r="AY836" s="255">
        <f t="shared" si="480"/>
        <v>2.1816666666666662</v>
      </c>
      <c r="AZ836" s="232">
        <f t="shared" si="481"/>
        <v>0</v>
      </c>
      <c r="BA836" s="255">
        <f t="shared" si="482"/>
        <v>0</v>
      </c>
      <c r="BB836" s="31">
        <f t="shared" si="483"/>
        <v>0</v>
      </c>
      <c r="BC836" s="255">
        <f t="shared" si="484"/>
        <v>0</v>
      </c>
      <c r="BD836" s="31">
        <f t="shared" si="485"/>
        <v>0</v>
      </c>
      <c r="BE836" s="255">
        <f t="shared" si="486"/>
        <v>0</v>
      </c>
      <c r="BF836" s="31">
        <f t="shared" si="487"/>
        <v>0</v>
      </c>
      <c r="BG836" s="255">
        <f t="shared" si="488"/>
        <v>0</v>
      </c>
      <c r="BH836" s="31">
        <f t="shared" si="489"/>
        <v>0</v>
      </c>
      <c r="BI836" s="255">
        <f t="shared" si="490"/>
        <v>0</v>
      </c>
      <c r="BJ836" s="31">
        <f t="shared" si="491"/>
        <v>0</v>
      </c>
      <c r="BK836" s="31">
        <f t="shared" si="492"/>
        <v>0</v>
      </c>
      <c r="BL836" s="255">
        <f t="shared" si="493"/>
        <v>0</v>
      </c>
      <c r="BM836" s="31">
        <f t="shared" si="494"/>
        <v>0</v>
      </c>
      <c r="BN836" s="255">
        <f t="shared" si="495"/>
        <v>0</v>
      </c>
    </row>
    <row r="837" spans="1:66" x14ac:dyDescent="0.25">
      <c r="A837" s="18" t="s">
        <v>1706</v>
      </c>
      <c r="B837" s="186" t="str">
        <f>VLOOKUP(A837,kurspris!$A$1:$B$877,2,FALSE)</f>
        <v>Bedömning för och av lärande för åk 7-9 och gymnasium (UK)</v>
      </c>
      <c r="C837" s="37"/>
      <c r="D837" s="31" t="s">
        <v>483</v>
      </c>
      <c r="E837" s="31" t="s">
        <v>1609</v>
      </c>
      <c r="F837" s="59" t="s">
        <v>1931</v>
      </c>
      <c r="G837" s="31" t="s">
        <v>2275</v>
      </c>
      <c r="J837" t="s">
        <v>773</v>
      </c>
      <c r="L837" s="31">
        <v>100</v>
      </c>
      <c r="M837" s="31">
        <v>11</v>
      </c>
      <c r="P837" s="31">
        <v>15</v>
      </c>
      <c r="Q837" s="232">
        <f t="shared" si="468"/>
        <v>2.75</v>
      </c>
      <c r="R837" s="40">
        <v>0.85</v>
      </c>
      <c r="S837" s="334">
        <f t="shared" si="469"/>
        <v>2.3374999999999999</v>
      </c>
      <c r="T837" s="31">
        <f>VLOOKUP(A837,'Ansvar kurs'!$A$1:$C$1010,2,FALSE)</f>
        <v>5740</v>
      </c>
      <c r="U837" s="31" t="str">
        <f>VLOOKUP(T837,Orgenheter!$A$1:$C$165,2,FALSE)</f>
        <v>NMD</v>
      </c>
      <c r="V837" s="31" t="str">
        <f>VLOOKUP(T837,Orgenheter!$A$1:$C$165,3,FALSE)</f>
        <v>TekNat</v>
      </c>
      <c r="W837" s="37" t="str">
        <f>VLOOKUP(D837,Program!$A$1:$B$34,2,FALSE)</f>
        <v>Ämneslärarprogrammet - Gy</v>
      </c>
      <c r="X837" s="42">
        <f>VLOOKUP(A837,kurspris!$A$1:$Q$798,15,FALSE)</f>
        <v>23641</v>
      </c>
      <c r="Y837" s="42">
        <f>VLOOKUP(A837,kurspris!$A$1:$Q$798,16,FALSE)</f>
        <v>28786</v>
      </c>
      <c r="Z837" s="42">
        <f t="shared" si="470"/>
        <v>132300.02499999999</v>
      </c>
      <c r="AA837" s="42">
        <f>VLOOKUP(A837,kurspris!$A$1:$Q$798,17,FALSE)</f>
        <v>5800</v>
      </c>
      <c r="AB837" s="42">
        <f t="shared" si="471"/>
        <v>15950</v>
      </c>
      <c r="AC837" s="42">
        <f t="shared" si="472"/>
        <v>148250.02499999999</v>
      </c>
      <c r="AD837" s="31">
        <f>VLOOKUP($A837,kurspris!$A$1:$Q$835,3,FALSE)</f>
        <v>0</v>
      </c>
      <c r="AE837" s="31">
        <f>VLOOKUP($A837,kurspris!$A$1:$Q$835,4,FALSE)</f>
        <v>0</v>
      </c>
      <c r="AF837" s="31">
        <f>VLOOKUP($A837,kurspris!$A$1:$Q$835,5,FALSE)</f>
        <v>0</v>
      </c>
      <c r="AG837" s="31">
        <f>VLOOKUP($A837,kurspris!$A$1:$Q$835,6,FALSE)</f>
        <v>1</v>
      </c>
      <c r="AH837" s="31">
        <f>VLOOKUP($A837,kurspris!$A$1:$Q$835,7,FALSE)</f>
        <v>0</v>
      </c>
      <c r="AI837" s="31">
        <f>VLOOKUP($A837,kurspris!$A$1:$Q$835,8,FALSE)</f>
        <v>0</v>
      </c>
      <c r="AJ837" s="31">
        <f>VLOOKUP($A837,kurspris!$A$1:$Q$835,9,FALSE)</f>
        <v>0</v>
      </c>
      <c r="AK837" s="31">
        <f>VLOOKUP($A837,kurspris!$A$1:$Q$835,10,FALSE)</f>
        <v>0</v>
      </c>
      <c r="AL837" s="31">
        <f>VLOOKUP($A837,kurspris!$A$1:$Q$835,11,FALSE)</f>
        <v>0</v>
      </c>
      <c r="AM837" s="31">
        <f>VLOOKUP($A837,kurspris!$A$1:$Q$835,12,FALSE)</f>
        <v>0</v>
      </c>
      <c r="AN837" s="31">
        <f>VLOOKUP($A837,kurspris!$A$1:$Q$835,13,FALSE)</f>
        <v>0</v>
      </c>
      <c r="AO837" s="31">
        <f>VLOOKUP($A837,kurspris!$A$1:$Q$835,14,FALSE)</f>
        <v>0</v>
      </c>
      <c r="AP837" s="39" t="s">
        <v>2326</v>
      </c>
      <c r="AQ837"/>
      <c r="AR837" s="31">
        <f t="shared" si="473"/>
        <v>0</v>
      </c>
      <c r="AS837" s="255">
        <f t="shared" si="474"/>
        <v>0</v>
      </c>
      <c r="AT837" s="31">
        <f t="shared" si="475"/>
        <v>0</v>
      </c>
      <c r="AU837" s="255">
        <f t="shared" si="476"/>
        <v>0</v>
      </c>
      <c r="AV837" s="31">
        <f t="shared" si="477"/>
        <v>0</v>
      </c>
      <c r="AW837" s="31">
        <f t="shared" si="478"/>
        <v>0</v>
      </c>
      <c r="AX837" s="31">
        <f t="shared" si="479"/>
        <v>2.75</v>
      </c>
      <c r="AY837" s="255">
        <f t="shared" si="480"/>
        <v>2.3374999999999999</v>
      </c>
      <c r="AZ837" s="232">
        <f t="shared" si="481"/>
        <v>0</v>
      </c>
      <c r="BA837" s="255">
        <f t="shared" si="482"/>
        <v>0</v>
      </c>
      <c r="BB837" s="31">
        <f t="shared" si="483"/>
        <v>0</v>
      </c>
      <c r="BC837" s="255">
        <f t="shared" si="484"/>
        <v>0</v>
      </c>
      <c r="BD837" s="31">
        <f t="shared" si="485"/>
        <v>0</v>
      </c>
      <c r="BE837" s="255">
        <f t="shared" si="486"/>
        <v>0</v>
      </c>
      <c r="BF837" s="31">
        <f t="shared" si="487"/>
        <v>0</v>
      </c>
      <c r="BG837" s="255">
        <f t="shared" si="488"/>
        <v>0</v>
      </c>
      <c r="BH837" s="31">
        <f t="shared" si="489"/>
        <v>0</v>
      </c>
      <c r="BI837" s="255">
        <f t="shared" si="490"/>
        <v>0</v>
      </c>
      <c r="BJ837" s="31">
        <f t="shared" si="491"/>
        <v>0</v>
      </c>
      <c r="BK837" s="31">
        <f t="shared" si="492"/>
        <v>0</v>
      </c>
      <c r="BL837" s="255">
        <f t="shared" si="493"/>
        <v>0</v>
      </c>
      <c r="BM837" s="31">
        <f t="shared" si="494"/>
        <v>0</v>
      </c>
      <c r="BN837" s="255">
        <f t="shared" si="495"/>
        <v>0</v>
      </c>
    </row>
    <row r="838" spans="1:66" x14ac:dyDescent="0.25">
      <c r="A838" s="18" t="s">
        <v>1706</v>
      </c>
      <c r="B838" s="186" t="str">
        <f>VLOOKUP(A838,kurspris!$A$1:$B$877,2,FALSE)</f>
        <v>Bedömning för och av lärande för åk 7-9 och gymnasium (UK)</v>
      </c>
      <c r="C838" s="37"/>
      <c r="D838" s="31" t="s">
        <v>483</v>
      </c>
      <c r="E838" s="31" t="s">
        <v>1609</v>
      </c>
      <c r="F838" s="59" t="s">
        <v>1931</v>
      </c>
      <c r="G838" s="31" t="s">
        <v>2275</v>
      </c>
      <c r="J838" t="s">
        <v>774</v>
      </c>
      <c r="L838" s="31">
        <v>100</v>
      </c>
      <c r="M838" s="31">
        <v>11</v>
      </c>
      <c r="P838" s="31">
        <v>12</v>
      </c>
      <c r="Q838" s="232">
        <f t="shared" si="468"/>
        <v>2.1999999999999997</v>
      </c>
      <c r="R838" s="40">
        <v>0.85</v>
      </c>
      <c r="S838" s="334">
        <f t="shared" si="469"/>
        <v>1.8699999999999997</v>
      </c>
      <c r="T838" s="31">
        <f>VLOOKUP(A838,'Ansvar kurs'!$A$1:$C$1010,2,FALSE)</f>
        <v>5740</v>
      </c>
      <c r="U838" s="31" t="str">
        <f>VLOOKUP(T838,Orgenheter!$A$1:$C$165,2,FALSE)</f>
        <v>NMD</v>
      </c>
      <c r="V838" s="31" t="str">
        <f>VLOOKUP(T838,Orgenheter!$A$1:$C$165,3,FALSE)</f>
        <v>TekNat</v>
      </c>
      <c r="W838" s="37" t="str">
        <f>VLOOKUP(D838,Program!$A$1:$B$34,2,FALSE)</f>
        <v>Ämneslärarprogrammet - Gy</v>
      </c>
      <c r="X838" s="42">
        <f>VLOOKUP(A838,kurspris!$A$1:$Q$798,15,FALSE)</f>
        <v>23641</v>
      </c>
      <c r="Y838" s="42">
        <f>VLOOKUP(A838,kurspris!$A$1:$Q$798,16,FALSE)</f>
        <v>28786</v>
      </c>
      <c r="Z838" s="42">
        <f t="shared" si="470"/>
        <v>105840.01999999999</v>
      </c>
      <c r="AA838" s="42">
        <f>VLOOKUP(A838,kurspris!$A$1:$Q$798,17,FALSE)</f>
        <v>5800</v>
      </c>
      <c r="AB838" s="42">
        <f t="shared" si="471"/>
        <v>12759.999999999998</v>
      </c>
      <c r="AC838" s="42">
        <f t="shared" si="472"/>
        <v>118600.01999999999</v>
      </c>
      <c r="AD838" s="31">
        <f>VLOOKUP($A838,kurspris!$A$1:$Q$835,3,FALSE)</f>
        <v>0</v>
      </c>
      <c r="AE838" s="31">
        <f>VLOOKUP($A838,kurspris!$A$1:$Q$835,4,FALSE)</f>
        <v>0</v>
      </c>
      <c r="AF838" s="31">
        <f>VLOOKUP($A838,kurspris!$A$1:$Q$835,5,FALSE)</f>
        <v>0</v>
      </c>
      <c r="AG838" s="31">
        <f>VLOOKUP($A838,kurspris!$A$1:$Q$835,6,FALSE)</f>
        <v>1</v>
      </c>
      <c r="AH838" s="31">
        <f>VLOOKUP($A838,kurspris!$A$1:$Q$835,7,FALSE)</f>
        <v>0</v>
      </c>
      <c r="AI838" s="31">
        <f>VLOOKUP($A838,kurspris!$A$1:$Q$835,8,FALSE)</f>
        <v>0</v>
      </c>
      <c r="AJ838" s="31">
        <f>VLOOKUP($A838,kurspris!$A$1:$Q$835,9,FALSE)</f>
        <v>0</v>
      </c>
      <c r="AK838" s="31">
        <f>VLOOKUP($A838,kurspris!$A$1:$Q$835,10,FALSE)</f>
        <v>0</v>
      </c>
      <c r="AL838" s="31">
        <f>VLOOKUP($A838,kurspris!$A$1:$Q$835,11,FALSE)</f>
        <v>0</v>
      </c>
      <c r="AM838" s="31">
        <f>VLOOKUP($A838,kurspris!$A$1:$Q$835,12,FALSE)</f>
        <v>0</v>
      </c>
      <c r="AN838" s="31">
        <f>VLOOKUP($A838,kurspris!$A$1:$Q$835,13,FALSE)</f>
        <v>0</v>
      </c>
      <c r="AO838" s="31">
        <f>VLOOKUP($A838,kurspris!$A$1:$Q$835,14,FALSE)</f>
        <v>0</v>
      </c>
      <c r="AP838" s="39" t="s">
        <v>2326</v>
      </c>
      <c r="AQ838"/>
      <c r="AR838" s="31">
        <f t="shared" si="473"/>
        <v>0</v>
      </c>
      <c r="AS838" s="255">
        <f t="shared" si="474"/>
        <v>0</v>
      </c>
      <c r="AT838" s="31">
        <f t="shared" si="475"/>
        <v>0</v>
      </c>
      <c r="AU838" s="255">
        <f t="shared" si="476"/>
        <v>0</v>
      </c>
      <c r="AV838" s="31">
        <f t="shared" si="477"/>
        <v>0</v>
      </c>
      <c r="AW838" s="31">
        <f t="shared" si="478"/>
        <v>0</v>
      </c>
      <c r="AX838" s="31">
        <f t="shared" si="479"/>
        <v>2.1999999999999997</v>
      </c>
      <c r="AY838" s="255">
        <f t="shared" si="480"/>
        <v>1.8699999999999997</v>
      </c>
      <c r="AZ838" s="232">
        <f t="shared" si="481"/>
        <v>0</v>
      </c>
      <c r="BA838" s="255">
        <f t="shared" si="482"/>
        <v>0</v>
      </c>
      <c r="BB838" s="31">
        <f t="shared" si="483"/>
        <v>0</v>
      </c>
      <c r="BC838" s="255">
        <f t="shared" si="484"/>
        <v>0</v>
      </c>
      <c r="BD838" s="31">
        <f t="shared" si="485"/>
        <v>0</v>
      </c>
      <c r="BE838" s="255">
        <f t="shared" si="486"/>
        <v>0</v>
      </c>
      <c r="BF838" s="31">
        <f t="shared" si="487"/>
        <v>0</v>
      </c>
      <c r="BG838" s="255">
        <f t="shared" si="488"/>
        <v>0</v>
      </c>
      <c r="BH838" s="31">
        <f t="shared" si="489"/>
        <v>0</v>
      </c>
      <c r="BI838" s="255">
        <f t="shared" si="490"/>
        <v>0</v>
      </c>
      <c r="BJ838" s="31">
        <f t="shared" si="491"/>
        <v>0</v>
      </c>
      <c r="BK838" s="31">
        <f t="shared" si="492"/>
        <v>0</v>
      </c>
      <c r="BL838" s="255">
        <f t="shared" si="493"/>
        <v>0</v>
      </c>
      <c r="BM838" s="31">
        <f t="shared" si="494"/>
        <v>0</v>
      </c>
      <c r="BN838" s="255">
        <f t="shared" si="495"/>
        <v>0</v>
      </c>
    </row>
    <row r="839" spans="1:66" x14ac:dyDescent="0.25">
      <c r="A839" s="18" t="s">
        <v>1706</v>
      </c>
      <c r="B839" s="186" t="str">
        <f>VLOOKUP(A839,kurspris!$A$1:$B$877,2,FALSE)</f>
        <v>Bedömning för och av lärande för åk 7-9 och gymnasium (UK)</v>
      </c>
      <c r="C839" s="37"/>
      <c r="D839" s="31" t="s">
        <v>483</v>
      </c>
      <c r="E839" s="31" t="s">
        <v>1609</v>
      </c>
      <c r="F839" s="59" t="s">
        <v>1931</v>
      </c>
      <c r="G839" s="31" t="s">
        <v>2275</v>
      </c>
      <c r="J839" t="s">
        <v>775</v>
      </c>
      <c r="L839" s="31">
        <v>100</v>
      </c>
      <c r="M839" s="31">
        <v>11</v>
      </c>
      <c r="P839" s="31">
        <v>2</v>
      </c>
      <c r="Q839" s="232">
        <f t="shared" si="468"/>
        <v>0.36666666666666664</v>
      </c>
      <c r="R839" s="40">
        <v>0.85</v>
      </c>
      <c r="S839" s="334">
        <f t="shared" si="469"/>
        <v>0.31166666666666665</v>
      </c>
      <c r="T839" s="31">
        <f>VLOOKUP(A839,'Ansvar kurs'!$A$1:$C$1010,2,FALSE)</f>
        <v>5740</v>
      </c>
      <c r="U839" s="31" t="str">
        <f>VLOOKUP(T839,Orgenheter!$A$1:$C$165,2,FALSE)</f>
        <v>NMD</v>
      </c>
      <c r="V839" s="31" t="str">
        <f>VLOOKUP(T839,Orgenheter!$A$1:$C$165,3,FALSE)</f>
        <v>TekNat</v>
      </c>
      <c r="W839" s="37" t="str">
        <f>VLOOKUP(D839,Program!$A$1:$B$34,2,FALSE)</f>
        <v>Ämneslärarprogrammet - Gy</v>
      </c>
      <c r="X839" s="42">
        <f>VLOOKUP(A839,kurspris!$A$1:$Q$798,15,FALSE)</f>
        <v>23641</v>
      </c>
      <c r="Y839" s="42">
        <f>VLOOKUP(A839,kurspris!$A$1:$Q$798,16,FALSE)</f>
        <v>28786</v>
      </c>
      <c r="Z839" s="42">
        <f t="shared" si="470"/>
        <v>17640.003333333334</v>
      </c>
      <c r="AA839" s="42">
        <f>VLOOKUP(A839,kurspris!$A$1:$Q$798,17,FALSE)</f>
        <v>5800</v>
      </c>
      <c r="AB839" s="42">
        <f t="shared" si="471"/>
        <v>2126.6666666666665</v>
      </c>
      <c r="AC839" s="42">
        <f t="shared" si="472"/>
        <v>19766.670000000002</v>
      </c>
      <c r="AD839" s="31">
        <f>VLOOKUP($A839,kurspris!$A$1:$Q$835,3,FALSE)</f>
        <v>0</v>
      </c>
      <c r="AE839" s="31">
        <f>VLOOKUP($A839,kurspris!$A$1:$Q$835,4,FALSE)</f>
        <v>0</v>
      </c>
      <c r="AF839" s="31">
        <f>VLOOKUP($A839,kurspris!$A$1:$Q$835,5,FALSE)</f>
        <v>0</v>
      </c>
      <c r="AG839" s="31">
        <f>VLOOKUP($A839,kurspris!$A$1:$Q$835,6,FALSE)</f>
        <v>1</v>
      </c>
      <c r="AH839" s="31">
        <f>VLOOKUP($A839,kurspris!$A$1:$Q$835,7,FALSE)</f>
        <v>0</v>
      </c>
      <c r="AI839" s="31">
        <f>VLOOKUP($A839,kurspris!$A$1:$Q$835,8,FALSE)</f>
        <v>0</v>
      </c>
      <c r="AJ839" s="31">
        <f>VLOOKUP($A839,kurspris!$A$1:$Q$835,9,FALSE)</f>
        <v>0</v>
      </c>
      <c r="AK839" s="31">
        <f>VLOOKUP($A839,kurspris!$A$1:$Q$835,10,FALSE)</f>
        <v>0</v>
      </c>
      <c r="AL839" s="31">
        <f>VLOOKUP($A839,kurspris!$A$1:$Q$835,11,FALSE)</f>
        <v>0</v>
      </c>
      <c r="AM839" s="31">
        <f>VLOOKUP($A839,kurspris!$A$1:$Q$835,12,FALSE)</f>
        <v>0</v>
      </c>
      <c r="AN839" s="31">
        <f>VLOOKUP($A839,kurspris!$A$1:$Q$835,13,FALSE)</f>
        <v>0</v>
      </c>
      <c r="AO839" s="31">
        <f>VLOOKUP($A839,kurspris!$A$1:$Q$835,14,FALSE)</f>
        <v>0</v>
      </c>
      <c r="AP839" s="39" t="s">
        <v>2326</v>
      </c>
      <c r="AQ839"/>
      <c r="AR839" s="31">
        <f t="shared" si="473"/>
        <v>0</v>
      </c>
      <c r="AS839" s="255">
        <f t="shared" si="474"/>
        <v>0</v>
      </c>
      <c r="AT839" s="31">
        <f t="shared" si="475"/>
        <v>0</v>
      </c>
      <c r="AU839" s="255">
        <f t="shared" si="476"/>
        <v>0</v>
      </c>
      <c r="AV839" s="31">
        <f t="shared" si="477"/>
        <v>0</v>
      </c>
      <c r="AW839" s="31">
        <f t="shared" si="478"/>
        <v>0</v>
      </c>
      <c r="AX839" s="31">
        <f t="shared" si="479"/>
        <v>0.36666666666666664</v>
      </c>
      <c r="AY839" s="255">
        <f t="shared" si="480"/>
        <v>0.31166666666666665</v>
      </c>
      <c r="AZ839" s="232">
        <f t="shared" si="481"/>
        <v>0</v>
      </c>
      <c r="BA839" s="255">
        <f t="shared" si="482"/>
        <v>0</v>
      </c>
      <c r="BB839" s="31">
        <f t="shared" si="483"/>
        <v>0</v>
      </c>
      <c r="BC839" s="255">
        <f t="shared" si="484"/>
        <v>0</v>
      </c>
      <c r="BD839" s="31">
        <f t="shared" si="485"/>
        <v>0</v>
      </c>
      <c r="BE839" s="255">
        <f t="shared" si="486"/>
        <v>0</v>
      </c>
      <c r="BF839" s="31">
        <f t="shared" si="487"/>
        <v>0</v>
      </c>
      <c r="BG839" s="255">
        <f t="shared" si="488"/>
        <v>0</v>
      </c>
      <c r="BH839" s="31">
        <f t="shared" si="489"/>
        <v>0</v>
      </c>
      <c r="BI839" s="255">
        <f t="shared" si="490"/>
        <v>0</v>
      </c>
      <c r="BJ839" s="31">
        <f t="shared" si="491"/>
        <v>0</v>
      </c>
      <c r="BK839" s="31">
        <f t="shared" si="492"/>
        <v>0</v>
      </c>
      <c r="BL839" s="255">
        <f t="shared" si="493"/>
        <v>0</v>
      </c>
      <c r="BM839" s="31">
        <f t="shared" si="494"/>
        <v>0</v>
      </c>
      <c r="BN839" s="255">
        <f t="shared" si="495"/>
        <v>0</v>
      </c>
    </row>
    <row r="840" spans="1:66" x14ac:dyDescent="0.25">
      <c r="A840" s="18" t="s">
        <v>1706</v>
      </c>
      <c r="B840" s="186" t="str">
        <f>VLOOKUP(A840,kurspris!$A$1:$B$877,2,FALSE)</f>
        <v>Bedömning för och av lärande för åk 7-9 och gymnasium (UK)</v>
      </c>
      <c r="C840" s="37"/>
      <c r="D840" s="31" t="s">
        <v>483</v>
      </c>
      <c r="E840" s="31" t="s">
        <v>1609</v>
      </c>
      <c r="F840" s="59" t="s">
        <v>1931</v>
      </c>
      <c r="G840" s="31" t="s">
        <v>2275</v>
      </c>
      <c r="J840" t="s">
        <v>776</v>
      </c>
      <c r="L840" s="31">
        <v>100</v>
      </c>
      <c r="M840" s="31">
        <v>11</v>
      </c>
      <c r="P840" s="31">
        <v>4</v>
      </c>
      <c r="Q840" s="232">
        <f t="shared" si="468"/>
        <v>0.73333333333333328</v>
      </c>
      <c r="R840" s="40">
        <v>0.85</v>
      </c>
      <c r="S840" s="334">
        <f t="shared" si="469"/>
        <v>0.62333333333333329</v>
      </c>
      <c r="T840" s="31">
        <f>VLOOKUP(A840,'Ansvar kurs'!$A$1:$C$1010,2,FALSE)</f>
        <v>5740</v>
      </c>
      <c r="U840" s="31" t="str">
        <f>VLOOKUP(T840,Orgenheter!$A$1:$C$165,2,FALSE)</f>
        <v>NMD</v>
      </c>
      <c r="V840" s="31" t="str">
        <f>VLOOKUP(T840,Orgenheter!$A$1:$C$165,3,FALSE)</f>
        <v>TekNat</v>
      </c>
      <c r="W840" s="37" t="str">
        <f>VLOOKUP(D840,Program!$A$1:$B$34,2,FALSE)</f>
        <v>Ämneslärarprogrammet - Gy</v>
      </c>
      <c r="X840" s="42">
        <f>VLOOKUP(A840,kurspris!$A$1:$Q$798,15,FALSE)</f>
        <v>23641</v>
      </c>
      <c r="Y840" s="42">
        <f>VLOOKUP(A840,kurspris!$A$1:$Q$798,16,FALSE)</f>
        <v>28786</v>
      </c>
      <c r="Z840" s="42">
        <f t="shared" si="470"/>
        <v>35280.006666666668</v>
      </c>
      <c r="AA840" s="42">
        <f>VLOOKUP(A840,kurspris!$A$1:$Q$798,17,FALSE)</f>
        <v>5800</v>
      </c>
      <c r="AB840" s="42">
        <f t="shared" si="471"/>
        <v>4253.333333333333</v>
      </c>
      <c r="AC840" s="42">
        <f t="shared" si="472"/>
        <v>39533.340000000004</v>
      </c>
      <c r="AD840" s="31">
        <f>VLOOKUP($A840,kurspris!$A$1:$Q$835,3,FALSE)</f>
        <v>0</v>
      </c>
      <c r="AE840" s="31">
        <f>VLOOKUP($A840,kurspris!$A$1:$Q$835,4,FALSE)</f>
        <v>0</v>
      </c>
      <c r="AF840" s="31">
        <f>VLOOKUP($A840,kurspris!$A$1:$Q$835,5,FALSE)</f>
        <v>0</v>
      </c>
      <c r="AG840" s="31">
        <f>VLOOKUP($A840,kurspris!$A$1:$Q$835,6,FALSE)</f>
        <v>1</v>
      </c>
      <c r="AH840" s="31">
        <f>VLOOKUP($A840,kurspris!$A$1:$Q$835,7,FALSE)</f>
        <v>0</v>
      </c>
      <c r="AI840" s="31">
        <f>VLOOKUP($A840,kurspris!$A$1:$Q$835,8,FALSE)</f>
        <v>0</v>
      </c>
      <c r="AJ840" s="31">
        <f>VLOOKUP($A840,kurspris!$A$1:$Q$835,9,FALSE)</f>
        <v>0</v>
      </c>
      <c r="AK840" s="31">
        <f>VLOOKUP($A840,kurspris!$A$1:$Q$835,10,FALSE)</f>
        <v>0</v>
      </c>
      <c r="AL840" s="31">
        <f>VLOOKUP($A840,kurspris!$A$1:$Q$835,11,FALSE)</f>
        <v>0</v>
      </c>
      <c r="AM840" s="31">
        <f>VLOOKUP($A840,kurspris!$A$1:$Q$835,12,FALSE)</f>
        <v>0</v>
      </c>
      <c r="AN840" s="31">
        <f>VLOOKUP($A840,kurspris!$A$1:$Q$835,13,FALSE)</f>
        <v>0</v>
      </c>
      <c r="AO840" s="31">
        <f>VLOOKUP($A840,kurspris!$A$1:$Q$835,14,FALSE)</f>
        <v>0</v>
      </c>
      <c r="AP840" s="39" t="s">
        <v>2326</v>
      </c>
      <c r="AQ840"/>
      <c r="AR840" s="31">
        <f t="shared" si="473"/>
        <v>0</v>
      </c>
      <c r="AS840" s="255">
        <f t="shared" si="474"/>
        <v>0</v>
      </c>
      <c r="AT840" s="31">
        <f t="shared" si="475"/>
        <v>0</v>
      </c>
      <c r="AU840" s="255">
        <f t="shared" si="476"/>
        <v>0</v>
      </c>
      <c r="AV840" s="31">
        <f t="shared" si="477"/>
        <v>0</v>
      </c>
      <c r="AW840" s="31">
        <f t="shared" si="478"/>
        <v>0</v>
      </c>
      <c r="AX840" s="31">
        <f t="shared" si="479"/>
        <v>0.73333333333333328</v>
      </c>
      <c r="AY840" s="255">
        <f t="shared" si="480"/>
        <v>0.62333333333333329</v>
      </c>
      <c r="AZ840" s="232">
        <f t="shared" si="481"/>
        <v>0</v>
      </c>
      <c r="BA840" s="255">
        <f t="shared" si="482"/>
        <v>0</v>
      </c>
      <c r="BB840" s="31">
        <f t="shared" si="483"/>
        <v>0</v>
      </c>
      <c r="BC840" s="255">
        <f t="shared" si="484"/>
        <v>0</v>
      </c>
      <c r="BD840" s="31">
        <f t="shared" si="485"/>
        <v>0</v>
      </c>
      <c r="BE840" s="255">
        <f t="shared" si="486"/>
        <v>0</v>
      </c>
      <c r="BF840" s="31">
        <f t="shared" si="487"/>
        <v>0</v>
      </c>
      <c r="BG840" s="255">
        <f t="shared" si="488"/>
        <v>0</v>
      </c>
      <c r="BH840" s="31">
        <f t="shared" si="489"/>
        <v>0</v>
      </c>
      <c r="BI840" s="255">
        <f t="shared" si="490"/>
        <v>0</v>
      </c>
      <c r="BJ840" s="31">
        <f t="shared" si="491"/>
        <v>0</v>
      </c>
      <c r="BK840" s="31">
        <f t="shared" si="492"/>
        <v>0</v>
      </c>
      <c r="BL840" s="255">
        <f t="shared" si="493"/>
        <v>0</v>
      </c>
      <c r="BM840" s="31">
        <f t="shared" si="494"/>
        <v>0</v>
      </c>
      <c r="BN840" s="255">
        <f t="shared" si="495"/>
        <v>0</v>
      </c>
    </row>
    <row r="841" spans="1:66" x14ac:dyDescent="0.25">
      <c r="A841" s="18" t="s">
        <v>1706</v>
      </c>
      <c r="B841" s="186" t="str">
        <f>VLOOKUP(A841,kurspris!$A$1:$B$877,2,FALSE)</f>
        <v>Bedömning för och av lärande för åk 7-9 och gymnasium (UK)</v>
      </c>
      <c r="C841" s="37"/>
      <c r="D841" s="31" t="s">
        <v>483</v>
      </c>
      <c r="E841" s="31" t="s">
        <v>1609</v>
      </c>
      <c r="F841" s="59" t="s">
        <v>1931</v>
      </c>
      <c r="G841" s="31" t="s">
        <v>2275</v>
      </c>
      <c r="J841" t="s">
        <v>777</v>
      </c>
      <c r="L841" s="31">
        <v>100</v>
      </c>
      <c r="M841" s="31">
        <v>11</v>
      </c>
      <c r="P841" s="31">
        <v>6</v>
      </c>
      <c r="Q841" s="232">
        <f t="shared" si="468"/>
        <v>1.0999999999999999</v>
      </c>
      <c r="R841" s="40">
        <v>0.85</v>
      </c>
      <c r="S841" s="334">
        <f t="shared" si="469"/>
        <v>0.93499999999999983</v>
      </c>
      <c r="T841" s="31">
        <f>VLOOKUP(A841,'Ansvar kurs'!$A$1:$C$1010,2,FALSE)</f>
        <v>5740</v>
      </c>
      <c r="U841" s="31" t="str">
        <f>VLOOKUP(T841,Orgenheter!$A$1:$C$165,2,FALSE)</f>
        <v>NMD</v>
      </c>
      <c r="V841" s="31" t="str">
        <f>VLOOKUP(T841,Orgenheter!$A$1:$C$165,3,FALSE)</f>
        <v>TekNat</v>
      </c>
      <c r="W841" s="37" t="str">
        <f>VLOOKUP(D841,Program!$A$1:$B$34,2,FALSE)</f>
        <v>Ämneslärarprogrammet - Gy</v>
      </c>
      <c r="X841" s="42">
        <f>VLOOKUP(A841,kurspris!$A$1:$Q$798,15,FALSE)</f>
        <v>23641</v>
      </c>
      <c r="Y841" s="42">
        <f>VLOOKUP(A841,kurspris!$A$1:$Q$798,16,FALSE)</f>
        <v>28786</v>
      </c>
      <c r="Z841" s="42">
        <f t="shared" si="470"/>
        <v>52920.009999999995</v>
      </c>
      <c r="AA841" s="42">
        <f>VLOOKUP(A841,kurspris!$A$1:$Q$798,17,FALSE)</f>
        <v>5800</v>
      </c>
      <c r="AB841" s="42">
        <f t="shared" si="471"/>
        <v>6379.9999999999991</v>
      </c>
      <c r="AC841" s="42">
        <f t="shared" si="472"/>
        <v>59300.009999999995</v>
      </c>
      <c r="AD841" s="31">
        <f>VLOOKUP($A841,kurspris!$A$1:$Q$835,3,FALSE)</f>
        <v>0</v>
      </c>
      <c r="AE841" s="31">
        <f>VLOOKUP($A841,kurspris!$A$1:$Q$835,4,FALSE)</f>
        <v>0</v>
      </c>
      <c r="AF841" s="31">
        <f>VLOOKUP($A841,kurspris!$A$1:$Q$835,5,FALSE)</f>
        <v>0</v>
      </c>
      <c r="AG841" s="31">
        <f>VLOOKUP($A841,kurspris!$A$1:$Q$835,6,FALSE)</f>
        <v>1</v>
      </c>
      <c r="AH841" s="31">
        <f>VLOOKUP($A841,kurspris!$A$1:$Q$835,7,FALSE)</f>
        <v>0</v>
      </c>
      <c r="AI841" s="31">
        <f>VLOOKUP($A841,kurspris!$A$1:$Q$835,8,FALSE)</f>
        <v>0</v>
      </c>
      <c r="AJ841" s="31">
        <f>VLOOKUP($A841,kurspris!$A$1:$Q$835,9,FALSE)</f>
        <v>0</v>
      </c>
      <c r="AK841" s="31">
        <f>VLOOKUP($A841,kurspris!$A$1:$Q$835,10,FALSE)</f>
        <v>0</v>
      </c>
      <c r="AL841" s="31">
        <f>VLOOKUP($A841,kurspris!$A$1:$Q$835,11,FALSE)</f>
        <v>0</v>
      </c>
      <c r="AM841" s="31">
        <f>VLOOKUP($A841,kurspris!$A$1:$Q$835,12,FALSE)</f>
        <v>0</v>
      </c>
      <c r="AN841" s="31">
        <f>VLOOKUP($A841,kurspris!$A$1:$Q$835,13,FALSE)</f>
        <v>0</v>
      </c>
      <c r="AO841" s="31">
        <f>VLOOKUP($A841,kurspris!$A$1:$Q$835,14,FALSE)</f>
        <v>0</v>
      </c>
      <c r="AP841" s="39" t="s">
        <v>2326</v>
      </c>
      <c r="AQ841"/>
      <c r="AR841" s="31">
        <f t="shared" si="473"/>
        <v>0</v>
      </c>
      <c r="AS841" s="255">
        <f t="shared" si="474"/>
        <v>0</v>
      </c>
      <c r="AT841" s="31">
        <f t="shared" si="475"/>
        <v>0</v>
      </c>
      <c r="AU841" s="255">
        <f t="shared" si="476"/>
        <v>0</v>
      </c>
      <c r="AV841" s="31">
        <f t="shared" si="477"/>
        <v>0</v>
      </c>
      <c r="AW841" s="31">
        <f t="shared" si="478"/>
        <v>0</v>
      </c>
      <c r="AX841" s="31">
        <f t="shared" si="479"/>
        <v>1.0999999999999999</v>
      </c>
      <c r="AY841" s="255">
        <f t="shared" si="480"/>
        <v>0.93499999999999983</v>
      </c>
      <c r="AZ841" s="232">
        <f t="shared" si="481"/>
        <v>0</v>
      </c>
      <c r="BA841" s="255">
        <f t="shared" si="482"/>
        <v>0</v>
      </c>
      <c r="BB841" s="31">
        <f t="shared" si="483"/>
        <v>0</v>
      </c>
      <c r="BC841" s="255">
        <f t="shared" si="484"/>
        <v>0</v>
      </c>
      <c r="BD841" s="31">
        <f t="shared" si="485"/>
        <v>0</v>
      </c>
      <c r="BE841" s="255">
        <f t="shared" si="486"/>
        <v>0</v>
      </c>
      <c r="BF841" s="31">
        <f t="shared" si="487"/>
        <v>0</v>
      </c>
      <c r="BG841" s="255">
        <f t="shared" si="488"/>
        <v>0</v>
      </c>
      <c r="BH841" s="31">
        <f t="shared" si="489"/>
        <v>0</v>
      </c>
      <c r="BI841" s="255">
        <f t="shared" si="490"/>
        <v>0</v>
      </c>
      <c r="BJ841" s="31">
        <f t="shared" si="491"/>
        <v>0</v>
      </c>
      <c r="BK841" s="31">
        <f t="shared" si="492"/>
        <v>0</v>
      </c>
      <c r="BL841" s="255">
        <f t="shared" si="493"/>
        <v>0</v>
      </c>
      <c r="BM841" s="31">
        <f t="shared" si="494"/>
        <v>0</v>
      </c>
      <c r="BN841" s="255">
        <f t="shared" si="495"/>
        <v>0</v>
      </c>
    </row>
    <row r="842" spans="1:66" x14ac:dyDescent="0.25">
      <c r="A842" s="18" t="s">
        <v>1706</v>
      </c>
      <c r="B842" s="186" t="str">
        <f>VLOOKUP(A842,kurspris!$A$1:$B$877,2,FALSE)</f>
        <v>Bedömning för och av lärande för åk 7-9 och gymnasium (UK)</v>
      </c>
      <c r="C842" s="37"/>
      <c r="D842" s="31" t="s">
        <v>483</v>
      </c>
      <c r="E842" s="31" t="s">
        <v>1609</v>
      </c>
      <c r="F842" s="59" t="s">
        <v>1931</v>
      </c>
      <c r="G842" s="31" t="s">
        <v>2275</v>
      </c>
      <c r="J842" t="s">
        <v>1803</v>
      </c>
      <c r="L842" s="31">
        <v>100</v>
      </c>
      <c r="M842" s="31">
        <v>11</v>
      </c>
      <c r="P842" s="31">
        <v>2</v>
      </c>
      <c r="Q842" s="232">
        <f t="shared" si="468"/>
        <v>0.36666666666666664</v>
      </c>
      <c r="R842" s="40">
        <v>0.85</v>
      </c>
      <c r="S842" s="334">
        <f t="shared" si="469"/>
        <v>0.31166666666666665</v>
      </c>
      <c r="T842" s="31">
        <f>VLOOKUP(A842,'Ansvar kurs'!$A$1:$C$1010,2,FALSE)</f>
        <v>5740</v>
      </c>
      <c r="U842" s="31" t="str">
        <f>VLOOKUP(T842,Orgenheter!$A$1:$C$165,2,FALSE)</f>
        <v>NMD</v>
      </c>
      <c r="V842" s="31" t="str">
        <f>VLOOKUP(T842,Orgenheter!$A$1:$C$165,3,FALSE)</f>
        <v>TekNat</v>
      </c>
      <c r="W842" s="37" t="str">
        <f>VLOOKUP(D842,Program!$A$1:$B$34,2,FALSE)</f>
        <v>Ämneslärarprogrammet - Gy</v>
      </c>
      <c r="X842" s="42">
        <f>VLOOKUP(A842,kurspris!$A$1:$Q$798,15,FALSE)</f>
        <v>23641</v>
      </c>
      <c r="Y842" s="42">
        <f>VLOOKUP(A842,kurspris!$A$1:$Q$798,16,FALSE)</f>
        <v>28786</v>
      </c>
      <c r="Z842" s="42">
        <f t="shared" si="470"/>
        <v>17640.003333333334</v>
      </c>
      <c r="AA842" s="42">
        <f>VLOOKUP(A842,kurspris!$A$1:$Q$798,17,FALSE)</f>
        <v>5800</v>
      </c>
      <c r="AB842" s="42">
        <f t="shared" si="471"/>
        <v>2126.6666666666665</v>
      </c>
      <c r="AC842" s="42">
        <f t="shared" si="472"/>
        <v>19766.670000000002</v>
      </c>
      <c r="AD842" s="31">
        <f>VLOOKUP($A842,kurspris!$A$1:$Q$835,3,FALSE)</f>
        <v>0</v>
      </c>
      <c r="AE842" s="31">
        <f>VLOOKUP($A842,kurspris!$A$1:$Q$835,4,FALSE)</f>
        <v>0</v>
      </c>
      <c r="AF842" s="31">
        <f>VLOOKUP($A842,kurspris!$A$1:$Q$835,5,FALSE)</f>
        <v>0</v>
      </c>
      <c r="AG842" s="31">
        <f>VLOOKUP($A842,kurspris!$A$1:$Q$835,6,FALSE)</f>
        <v>1</v>
      </c>
      <c r="AH842" s="31">
        <f>VLOOKUP($A842,kurspris!$A$1:$Q$835,7,FALSE)</f>
        <v>0</v>
      </c>
      <c r="AI842" s="31">
        <f>VLOOKUP($A842,kurspris!$A$1:$Q$835,8,FALSE)</f>
        <v>0</v>
      </c>
      <c r="AJ842" s="31">
        <f>VLOOKUP($A842,kurspris!$A$1:$Q$835,9,FALSE)</f>
        <v>0</v>
      </c>
      <c r="AK842" s="31">
        <f>VLOOKUP($A842,kurspris!$A$1:$Q$835,10,FALSE)</f>
        <v>0</v>
      </c>
      <c r="AL842" s="31">
        <f>VLOOKUP($A842,kurspris!$A$1:$Q$835,11,FALSE)</f>
        <v>0</v>
      </c>
      <c r="AM842" s="31">
        <f>VLOOKUP($A842,kurspris!$A$1:$Q$835,12,FALSE)</f>
        <v>0</v>
      </c>
      <c r="AN842" s="31">
        <f>VLOOKUP($A842,kurspris!$A$1:$Q$835,13,FALSE)</f>
        <v>0</v>
      </c>
      <c r="AO842" s="31">
        <f>VLOOKUP($A842,kurspris!$A$1:$Q$835,14,FALSE)</f>
        <v>0</v>
      </c>
      <c r="AP842" s="39" t="s">
        <v>2326</v>
      </c>
      <c r="AQ842"/>
      <c r="AR842" s="31">
        <f t="shared" si="473"/>
        <v>0</v>
      </c>
      <c r="AS842" s="255">
        <f t="shared" si="474"/>
        <v>0</v>
      </c>
      <c r="AT842" s="31">
        <f t="shared" si="475"/>
        <v>0</v>
      </c>
      <c r="AU842" s="255">
        <f t="shared" si="476"/>
        <v>0</v>
      </c>
      <c r="AV842" s="31">
        <f t="shared" si="477"/>
        <v>0</v>
      </c>
      <c r="AW842" s="31">
        <f t="shared" si="478"/>
        <v>0</v>
      </c>
      <c r="AX842" s="31">
        <f t="shared" si="479"/>
        <v>0.36666666666666664</v>
      </c>
      <c r="AY842" s="255">
        <f t="shared" si="480"/>
        <v>0.31166666666666665</v>
      </c>
      <c r="AZ842" s="232">
        <f t="shared" si="481"/>
        <v>0</v>
      </c>
      <c r="BA842" s="255">
        <f t="shared" si="482"/>
        <v>0</v>
      </c>
      <c r="BB842" s="31">
        <f t="shared" si="483"/>
        <v>0</v>
      </c>
      <c r="BC842" s="255">
        <f t="shared" si="484"/>
        <v>0</v>
      </c>
      <c r="BD842" s="31">
        <f t="shared" si="485"/>
        <v>0</v>
      </c>
      <c r="BE842" s="255">
        <f t="shared" si="486"/>
        <v>0</v>
      </c>
      <c r="BF842" s="31">
        <f t="shared" si="487"/>
        <v>0</v>
      </c>
      <c r="BG842" s="255">
        <f t="shared" si="488"/>
        <v>0</v>
      </c>
      <c r="BH842" s="31">
        <f t="shared" si="489"/>
        <v>0</v>
      </c>
      <c r="BI842" s="255">
        <f t="shared" si="490"/>
        <v>0</v>
      </c>
      <c r="BJ842" s="31">
        <f t="shared" si="491"/>
        <v>0</v>
      </c>
      <c r="BK842" s="31">
        <f t="shared" si="492"/>
        <v>0</v>
      </c>
      <c r="BL842" s="255">
        <f t="shared" si="493"/>
        <v>0</v>
      </c>
      <c r="BM842" s="31">
        <f t="shared" si="494"/>
        <v>0</v>
      </c>
      <c r="BN842" s="255">
        <f t="shared" si="495"/>
        <v>0</v>
      </c>
    </row>
    <row r="843" spans="1:66" x14ac:dyDescent="0.25">
      <c r="A843" s="18" t="s">
        <v>1706</v>
      </c>
      <c r="B843" s="186" t="str">
        <f>VLOOKUP(A843,kurspris!$A$1:$B$877,2,FALSE)</f>
        <v>Bedömning för och av lärande för åk 7-9 och gymnasium (UK)</v>
      </c>
      <c r="C843" s="37"/>
      <c r="D843" s="31" t="s">
        <v>483</v>
      </c>
      <c r="E843" s="31" t="s">
        <v>1609</v>
      </c>
      <c r="F843" s="59" t="s">
        <v>1931</v>
      </c>
      <c r="G843" s="31" t="s">
        <v>2275</v>
      </c>
      <c r="J843" t="s">
        <v>778</v>
      </c>
      <c r="L843" s="31">
        <v>100</v>
      </c>
      <c r="M843" s="31">
        <v>11</v>
      </c>
      <c r="P843" s="31">
        <v>11</v>
      </c>
      <c r="Q843" s="232">
        <f t="shared" si="468"/>
        <v>2.0166666666666666</v>
      </c>
      <c r="R843" s="40">
        <v>0.85</v>
      </c>
      <c r="S843" s="334">
        <f t="shared" si="469"/>
        <v>1.7141666666666666</v>
      </c>
      <c r="T843" s="31">
        <f>VLOOKUP(A843,'Ansvar kurs'!$A$1:$C$1010,2,FALSE)</f>
        <v>5740</v>
      </c>
      <c r="U843" s="31" t="str">
        <f>VLOOKUP(T843,Orgenheter!$A$1:$C$165,2,FALSE)</f>
        <v>NMD</v>
      </c>
      <c r="V843" s="31" t="str">
        <f>VLOOKUP(T843,Orgenheter!$A$1:$C$165,3,FALSE)</f>
        <v>TekNat</v>
      </c>
      <c r="W843" s="37" t="str">
        <f>VLOOKUP(D843,Program!$A$1:$B$34,2,FALSE)</f>
        <v>Ämneslärarprogrammet - Gy</v>
      </c>
      <c r="X843" s="42">
        <f>VLOOKUP(A843,kurspris!$A$1:$Q$798,15,FALSE)</f>
        <v>23641</v>
      </c>
      <c r="Y843" s="42">
        <f>VLOOKUP(A843,kurspris!$A$1:$Q$798,16,FALSE)</f>
        <v>28786</v>
      </c>
      <c r="Z843" s="42">
        <f t="shared" si="470"/>
        <v>97020.018333333326</v>
      </c>
      <c r="AA843" s="42">
        <f>VLOOKUP(A843,kurspris!$A$1:$Q$798,17,FALSE)</f>
        <v>5800</v>
      </c>
      <c r="AB843" s="42">
        <f t="shared" si="471"/>
        <v>11696.666666666666</v>
      </c>
      <c r="AC843" s="42">
        <f t="shared" si="472"/>
        <v>108716.685</v>
      </c>
      <c r="AD843" s="31">
        <f>VLOOKUP($A843,kurspris!$A$1:$Q$835,3,FALSE)</f>
        <v>0</v>
      </c>
      <c r="AE843" s="31">
        <f>VLOOKUP($A843,kurspris!$A$1:$Q$835,4,FALSE)</f>
        <v>0</v>
      </c>
      <c r="AF843" s="31">
        <f>VLOOKUP($A843,kurspris!$A$1:$Q$835,5,FALSE)</f>
        <v>0</v>
      </c>
      <c r="AG843" s="31">
        <f>VLOOKUP($A843,kurspris!$A$1:$Q$835,6,FALSE)</f>
        <v>1</v>
      </c>
      <c r="AH843" s="31">
        <f>VLOOKUP($A843,kurspris!$A$1:$Q$835,7,FALSE)</f>
        <v>0</v>
      </c>
      <c r="AI843" s="31">
        <f>VLOOKUP($A843,kurspris!$A$1:$Q$835,8,FALSE)</f>
        <v>0</v>
      </c>
      <c r="AJ843" s="31">
        <f>VLOOKUP($A843,kurspris!$A$1:$Q$835,9,FALSE)</f>
        <v>0</v>
      </c>
      <c r="AK843" s="31">
        <f>VLOOKUP($A843,kurspris!$A$1:$Q$835,10,FALSE)</f>
        <v>0</v>
      </c>
      <c r="AL843" s="31">
        <f>VLOOKUP($A843,kurspris!$A$1:$Q$835,11,FALSE)</f>
        <v>0</v>
      </c>
      <c r="AM843" s="31">
        <f>VLOOKUP($A843,kurspris!$A$1:$Q$835,12,FALSE)</f>
        <v>0</v>
      </c>
      <c r="AN843" s="31">
        <f>VLOOKUP($A843,kurspris!$A$1:$Q$835,13,FALSE)</f>
        <v>0</v>
      </c>
      <c r="AO843" s="31">
        <f>VLOOKUP($A843,kurspris!$A$1:$Q$835,14,FALSE)</f>
        <v>0</v>
      </c>
      <c r="AP843" s="39" t="s">
        <v>2326</v>
      </c>
      <c r="AQ843"/>
      <c r="AR843" s="31">
        <f t="shared" si="473"/>
        <v>0</v>
      </c>
      <c r="AS843" s="255">
        <f t="shared" si="474"/>
        <v>0</v>
      </c>
      <c r="AT843" s="31">
        <f t="shared" si="475"/>
        <v>0</v>
      </c>
      <c r="AU843" s="255">
        <f t="shared" si="476"/>
        <v>0</v>
      </c>
      <c r="AV843" s="31">
        <f t="shared" si="477"/>
        <v>0</v>
      </c>
      <c r="AW843" s="31">
        <f t="shared" si="478"/>
        <v>0</v>
      </c>
      <c r="AX843" s="31">
        <f t="shared" si="479"/>
        <v>2.0166666666666666</v>
      </c>
      <c r="AY843" s="255">
        <f t="shared" si="480"/>
        <v>1.7141666666666666</v>
      </c>
      <c r="AZ843" s="232">
        <f t="shared" si="481"/>
        <v>0</v>
      </c>
      <c r="BA843" s="255">
        <f t="shared" si="482"/>
        <v>0</v>
      </c>
      <c r="BB843" s="31">
        <f t="shared" si="483"/>
        <v>0</v>
      </c>
      <c r="BC843" s="255">
        <f t="shared" si="484"/>
        <v>0</v>
      </c>
      <c r="BD843" s="31">
        <f t="shared" si="485"/>
        <v>0</v>
      </c>
      <c r="BE843" s="255">
        <f t="shared" si="486"/>
        <v>0</v>
      </c>
      <c r="BF843" s="31">
        <f t="shared" si="487"/>
        <v>0</v>
      </c>
      <c r="BG843" s="255">
        <f t="shared" si="488"/>
        <v>0</v>
      </c>
      <c r="BH843" s="31">
        <f t="shared" si="489"/>
        <v>0</v>
      </c>
      <c r="BI843" s="255">
        <f t="shared" si="490"/>
        <v>0</v>
      </c>
      <c r="BJ843" s="31">
        <f t="shared" si="491"/>
        <v>0</v>
      </c>
      <c r="BK843" s="31">
        <f t="shared" si="492"/>
        <v>0</v>
      </c>
      <c r="BL843" s="255">
        <f t="shared" si="493"/>
        <v>0</v>
      </c>
      <c r="BM843" s="31">
        <f t="shared" si="494"/>
        <v>0</v>
      </c>
      <c r="BN843" s="255">
        <f t="shared" si="495"/>
        <v>0</v>
      </c>
    </row>
    <row r="844" spans="1:66" x14ac:dyDescent="0.25">
      <c r="A844" s="18" t="s">
        <v>1706</v>
      </c>
      <c r="B844" s="186" t="str">
        <f>VLOOKUP(A844,kurspris!$A$1:$B$877,2,FALSE)</f>
        <v>Bedömning för och av lärande för åk 7-9 och gymnasium (UK)</v>
      </c>
      <c r="C844" s="37"/>
      <c r="D844" s="31" t="s">
        <v>483</v>
      </c>
      <c r="E844" s="31" t="s">
        <v>1609</v>
      </c>
      <c r="F844" s="59" t="s">
        <v>1931</v>
      </c>
      <c r="G844" s="31" t="s">
        <v>2275</v>
      </c>
      <c r="J844" t="s">
        <v>1593</v>
      </c>
      <c r="L844" s="31">
        <v>100</v>
      </c>
      <c r="M844" s="31">
        <v>11</v>
      </c>
      <c r="P844" s="31">
        <v>1</v>
      </c>
      <c r="Q844" s="232">
        <f t="shared" si="468"/>
        <v>0.18333333333333332</v>
      </c>
      <c r="R844" s="40">
        <v>0.85</v>
      </c>
      <c r="S844" s="334">
        <f t="shared" si="469"/>
        <v>0.15583333333333332</v>
      </c>
      <c r="T844" s="31">
        <f>VLOOKUP(A844,'Ansvar kurs'!$A$1:$C$1010,2,FALSE)</f>
        <v>5740</v>
      </c>
      <c r="U844" s="31" t="str">
        <f>VLOOKUP(T844,Orgenheter!$A$1:$C$165,2,FALSE)</f>
        <v>NMD</v>
      </c>
      <c r="V844" s="31" t="str">
        <f>VLOOKUP(T844,Orgenheter!$A$1:$C$165,3,FALSE)</f>
        <v>TekNat</v>
      </c>
      <c r="W844" s="37" t="str">
        <f>VLOOKUP(D844,Program!$A$1:$B$34,2,FALSE)</f>
        <v>Ämneslärarprogrammet - Gy</v>
      </c>
      <c r="X844" s="42">
        <f>VLOOKUP(A844,kurspris!$A$1:$Q$798,15,FALSE)</f>
        <v>23641</v>
      </c>
      <c r="Y844" s="42">
        <f>VLOOKUP(A844,kurspris!$A$1:$Q$798,16,FALSE)</f>
        <v>28786</v>
      </c>
      <c r="Z844" s="42">
        <f t="shared" si="470"/>
        <v>8820.001666666667</v>
      </c>
      <c r="AA844" s="42">
        <f>VLOOKUP(A844,kurspris!$A$1:$Q$798,17,FALSE)</f>
        <v>5800</v>
      </c>
      <c r="AB844" s="42">
        <f t="shared" si="471"/>
        <v>1063.3333333333333</v>
      </c>
      <c r="AC844" s="42">
        <f t="shared" si="472"/>
        <v>9883.3350000000009</v>
      </c>
      <c r="AD844" s="31">
        <f>VLOOKUP($A844,kurspris!$A$1:$Q$835,3,FALSE)</f>
        <v>0</v>
      </c>
      <c r="AE844" s="31">
        <f>VLOOKUP($A844,kurspris!$A$1:$Q$835,4,FALSE)</f>
        <v>0</v>
      </c>
      <c r="AF844" s="31">
        <f>VLOOKUP($A844,kurspris!$A$1:$Q$835,5,FALSE)</f>
        <v>0</v>
      </c>
      <c r="AG844" s="31">
        <f>VLOOKUP($A844,kurspris!$A$1:$Q$835,6,FALSE)</f>
        <v>1</v>
      </c>
      <c r="AH844" s="31">
        <f>VLOOKUP($A844,kurspris!$A$1:$Q$835,7,FALSE)</f>
        <v>0</v>
      </c>
      <c r="AI844" s="31">
        <f>VLOOKUP($A844,kurspris!$A$1:$Q$835,8,FALSE)</f>
        <v>0</v>
      </c>
      <c r="AJ844" s="31">
        <f>VLOOKUP($A844,kurspris!$A$1:$Q$835,9,FALSE)</f>
        <v>0</v>
      </c>
      <c r="AK844" s="31">
        <f>VLOOKUP($A844,kurspris!$A$1:$Q$835,10,FALSE)</f>
        <v>0</v>
      </c>
      <c r="AL844" s="31">
        <f>VLOOKUP($A844,kurspris!$A$1:$Q$835,11,FALSE)</f>
        <v>0</v>
      </c>
      <c r="AM844" s="31">
        <f>VLOOKUP($A844,kurspris!$A$1:$Q$835,12,FALSE)</f>
        <v>0</v>
      </c>
      <c r="AN844" s="31">
        <f>VLOOKUP($A844,kurspris!$A$1:$Q$835,13,FALSE)</f>
        <v>0</v>
      </c>
      <c r="AO844" s="31">
        <f>VLOOKUP($A844,kurspris!$A$1:$Q$835,14,FALSE)</f>
        <v>0</v>
      </c>
      <c r="AP844" s="39" t="s">
        <v>2326</v>
      </c>
      <c r="AQ844"/>
      <c r="AR844" s="31">
        <f t="shared" si="473"/>
        <v>0</v>
      </c>
      <c r="AS844" s="255">
        <f t="shared" si="474"/>
        <v>0</v>
      </c>
      <c r="AT844" s="31">
        <f t="shared" si="475"/>
        <v>0</v>
      </c>
      <c r="AU844" s="255">
        <f t="shared" si="476"/>
        <v>0</v>
      </c>
      <c r="AV844" s="31">
        <f t="shared" si="477"/>
        <v>0</v>
      </c>
      <c r="AW844" s="31">
        <f t="shared" si="478"/>
        <v>0</v>
      </c>
      <c r="AX844" s="31">
        <f t="shared" si="479"/>
        <v>0.18333333333333332</v>
      </c>
      <c r="AY844" s="255">
        <f t="shared" si="480"/>
        <v>0.15583333333333332</v>
      </c>
      <c r="AZ844" s="232">
        <f t="shared" si="481"/>
        <v>0</v>
      </c>
      <c r="BA844" s="255">
        <f t="shared" si="482"/>
        <v>0</v>
      </c>
      <c r="BB844" s="31">
        <f t="shared" si="483"/>
        <v>0</v>
      </c>
      <c r="BC844" s="255">
        <f t="shared" si="484"/>
        <v>0</v>
      </c>
      <c r="BD844" s="31">
        <f t="shared" si="485"/>
        <v>0</v>
      </c>
      <c r="BE844" s="255">
        <f t="shared" si="486"/>
        <v>0</v>
      </c>
      <c r="BF844" s="31">
        <f t="shared" si="487"/>
        <v>0</v>
      </c>
      <c r="BG844" s="255">
        <f t="shared" si="488"/>
        <v>0</v>
      </c>
      <c r="BH844" s="31">
        <f t="shared" si="489"/>
        <v>0</v>
      </c>
      <c r="BI844" s="255">
        <f t="shared" si="490"/>
        <v>0</v>
      </c>
      <c r="BJ844" s="31">
        <f t="shared" si="491"/>
        <v>0</v>
      </c>
      <c r="BK844" s="31">
        <f t="shared" si="492"/>
        <v>0</v>
      </c>
      <c r="BL844" s="255">
        <f t="shared" si="493"/>
        <v>0</v>
      </c>
      <c r="BM844" s="31">
        <f t="shared" si="494"/>
        <v>0</v>
      </c>
      <c r="BN844" s="255">
        <f t="shared" si="495"/>
        <v>0</v>
      </c>
    </row>
    <row r="845" spans="1:66" x14ac:dyDescent="0.25">
      <c r="A845" s="18" t="s">
        <v>1706</v>
      </c>
      <c r="B845" s="186" t="str">
        <f>VLOOKUP(A845,kurspris!$A$1:$B$877,2,FALSE)</f>
        <v>Bedömning för och av lärande för åk 7-9 och gymnasium (UK)</v>
      </c>
      <c r="C845" s="37"/>
      <c r="D845" s="31" t="s">
        <v>483</v>
      </c>
      <c r="E845" s="31" t="s">
        <v>1788</v>
      </c>
      <c r="F845" s="59" t="s">
        <v>1931</v>
      </c>
      <c r="G845" s="31" t="s">
        <v>2275</v>
      </c>
      <c r="J845" t="s">
        <v>1591</v>
      </c>
      <c r="L845" s="31">
        <v>100</v>
      </c>
      <c r="M845" s="31">
        <v>11</v>
      </c>
      <c r="P845" s="31">
        <v>3</v>
      </c>
      <c r="Q845" s="232">
        <f t="shared" si="468"/>
        <v>0.54999999999999993</v>
      </c>
      <c r="R845" s="40">
        <v>0.85</v>
      </c>
      <c r="S845" s="334">
        <f t="shared" si="469"/>
        <v>0.46749999999999992</v>
      </c>
      <c r="T845" s="31">
        <f>VLOOKUP(A845,'Ansvar kurs'!$A$1:$C$1010,2,FALSE)</f>
        <v>5740</v>
      </c>
      <c r="U845" s="31" t="str">
        <f>VLOOKUP(T845,Orgenheter!$A$1:$C$165,2,FALSE)</f>
        <v>NMD</v>
      </c>
      <c r="V845" s="31" t="str">
        <f>VLOOKUP(T845,Orgenheter!$A$1:$C$165,3,FALSE)</f>
        <v>TekNat</v>
      </c>
      <c r="W845" s="37" t="str">
        <f>VLOOKUP(D845,Program!$A$1:$B$34,2,FALSE)</f>
        <v>Ämneslärarprogrammet - Gy</v>
      </c>
      <c r="X845" s="42">
        <f>VLOOKUP(A845,kurspris!$A$1:$Q$798,15,FALSE)</f>
        <v>23641</v>
      </c>
      <c r="Y845" s="42">
        <f>VLOOKUP(A845,kurspris!$A$1:$Q$798,16,FALSE)</f>
        <v>28786</v>
      </c>
      <c r="Z845" s="42">
        <f t="shared" si="470"/>
        <v>26460.004999999997</v>
      </c>
      <c r="AA845" s="42">
        <f>VLOOKUP(A845,kurspris!$A$1:$Q$798,17,FALSE)</f>
        <v>5800</v>
      </c>
      <c r="AB845" s="42">
        <f t="shared" si="471"/>
        <v>3189.9999999999995</v>
      </c>
      <c r="AC845" s="42">
        <f t="shared" si="472"/>
        <v>29650.004999999997</v>
      </c>
      <c r="AD845" s="31">
        <f>VLOOKUP($A845,kurspris!$A$1:$Q$835,3,FALSE)</f>
        <v>0</v>
      </c>
      <c r="AE845" s="31">
        <f>VLOOKUP($A845,kurspris!$A$1:$Q$835,4,FALSE)</f>
        <v>0</v>
      </c>
      <c r="AF845" s="31">
        <f>VLOOKUP($A845,kurspris!$A$1:$Q$835,5,FALSE)</f>
        <v>0</v>
      </c>
      <c r="AG845" s="31">
        <f>VLOOKUP($A845,kurspris!$A$1:$Q$835,6,FALSE)</f>
        <v>1</v>
      </c>
      <c r="AH845" s="31">
        <f>VLOOKUP($A845,kurspris!$A$1:$Q$835,7,FALSE)</f>
        <v>0</v>
      </c>
      <c r="AI845" s="31">
        <f>VLOOKUP($A845,kurspris!$A$1:$Q$835,8,FALSE)</f>
        <v>0</v>
      </c>
      <c r="AJ845" s="31">
        <f>VLOOKUP($A845,kurspris!$A$1:$Q$835,9,FALSE)</f>
        <v>0</v>
      </c>
      <c r="AK845" s="31">
        <f>VLOOKUP($A845,kurspris!$A$1:$Q$835,10,FALSE)</f>
        <v>0</v>
      </c>
      <c r="AL845" s="31">
        <f>VLOOKUP($A845,kurspris!$A$1:$Q$835,11,FALSE)</f>
        <v>0</v>
      </c>
      <c r="AM845" s="31">
        <f>VLOOKUP($A845,kurspris!$A$1:$Q$835,12,FALSE)</f>
        <v>0</v>
      </c>
      <c r="AN845" s="31">
        <f>VLOOKUP($A845,kurspris!$A$1:$Q$835,13,FALSE)</f>
        <v>0</v>
      </c>
      <c r="AO845" s="31">
        <f>VLOOKUP($A845,kurspris!$A$1:$Q$835,14,FALSE)</f>
        <v>0</v>
      </c>
      <c r="AP845" s="39" t="s">
        <v>2326</v>
      </c>
      <c r="AQ845"/>
      <c r="AR845" s="31">
        <f t="shared" si="473"/>
        <v>0</v>
      </c>
      <c r="AS845" s="255">
        <f t="shared" si="474"/>
        <v>0</v>
      </c>
      <c r="AT845" s="31">
        <f t="shared" si="475"/>
        <v>0</v>
      </c>
      <c r="AU845" s="255">
        <f t="shared" si="476"/>
        <v>0</v>
      </c>
      <c r="AV845" s="31">
        <f t="shared" si="477"/>
        <v>0</v>
      </c>
      <c r="AW845" s="31">
        <f t="shared" si="478"/>
        <v>0</v>
      </c>
      <c r="AX845" s="31">
        <f t="shared" si="479"/>
        <v>0.54999999999999993</v>
      </c>
      <c r="AY845" s="255">
        <f t="shared" si="480"/>
        <v>0.46749999999999992</v>
      </c>
      <c r="AZ845" s="232">
        <f t="shared" si="481"/>
        <v>0</v>
      </c>
      <c r="BA845" s="255">
        <f t="shared" si="482"/>
        <v>0</v>
      </c>
      <c r="BB845" s="31">
        <f t="shared" si="483"/>
        <v>0</v>
      </c>
      <c r="BC845" s="255">
        <f t="shared" si="484"/>
        <v>0</v>
      </c>
      <c r="BD845" s="31">
        <f t="shared" si="485"/>
        <v>0</v>
      </c>
      <c r="BE845" s="255">
        <f t="shared" si="486"/>
        <v>0</v>
      </c>
      <c r="BF845" s="31">
        <f t="shared" si="487"/>
        <v>0</v>
      </c>
      <c r="BG845" s="255">
        <f t="shared" si="488"/>
        <v>0</v>
      </c>
      <c r="BH845" s="31">
        <f t="shared" si="489"/>
        <v>0</v>
      </c>
      <c r="BI845" s="255">
        <f t="shared" si="490"/>
        <v>0</v>
      </c>
      <c r="BJ845" s="31">
        <f t="shared" si="491"/>
        <v>0</v>
      </c>
      <c r="BK845" s="31">
        <f t="shared" si="492"/>
        <v>0</v>
      </c>
      <c r="BL845" s="255">
        <f t="shared" si="493"/>
        <v>0</v>
      </c>
      <c r="BM845" s="31">
        <f t="shared" si="494"/>
        <v>0</v>
      </c>
      <c r="BN845" s="255">
        <f t="shared" si="495"/>
        <v>0</v>
      </c>
    </row>
    <row r="846" spans="1:66" x14ac:dyDescent="0.25">
      <c r="A846" s="18" t="s">
        <v>1706</v>
      </c>
      <c r="B846" s="186" t="str">
        <f>VLOOKUP(A846,kurspris!$A$1:$B$877,2,FALSE)</f>
        <v>Bedömning för och av lärande för åk 7-9 och gymnasium (UK)</v>
      </c>
      <c r="C846" s="37"/>
      <c r="D846" s="31" t="s">
        <v>483</v>
      </c>
      <c r="E846" s="31" t="s">
        <v>1788</v>
      </c>
      <c r="F846" s="59" t="s">
        <v>1931</v>
      </c>
      <c r="G846" s="31" t="s">
        <v>2275</v>
      </c>
      <c r="J846" t="s">
        <v>772</v>
      </c>
      <c r="L846" s="31">
        <v>100</v>
      </c>
      <c r="M846" s="31">
        <v>11</v>
      </c>
      <c r="P846" s="31">
        <v>1</v>
      </c>
      <c r="Q846" s="232">
        <f t="shared" si="468"/>
        <v>0.18333333333333332</v>
      </c>
      <c r="R846" s="40">
        <v>0.85</v>
      </c>
      <c r="S846" s="334">
        <f t="shared" si="469"/>
        <v>0.15583333333333332</v>
      </c>
      <c r="T846" s="31">
        <f>VLOOKUP(A846,'Ansvar kurs'!$A$1:$C$1010,2,FALSE)</f>
        <v>5740</v>
      </c>
      <c r="U846" s="31" t="str">
        <f>VLOOKUP(T846,Orgenheter!$A$1:$C$165,2,FALSE)</f>
        <v>NMD</v>
      </c>
      <c r="V846" s="31" t="str">
        <f>VLOOKUP(T846,Orgenheter!$A$1:$C$165,3,FALSE)</f>
        <v>TekNat</v>
      </c>
      <c r="W846" s="37" t="str">
        <f>VLOOKUP(D846,Program!$A$1:$B$34,2,FALSE)</f>
        <v>Ämneslärarprogrammet - Gy</v>
      </c>
      <c r="X846" s="42">
        <f>VLOOKUP(A846,kurspris!$A$1:$Q$798,15,FALSE)</f>
        <v>23641</v>
      </c>
      <c r="Y846" s="42">
        <f>VLOOKUP(A846,kurspris!$A$1:$Q$798,16,FALSE)</f>
        <v>28786</v>
      </c>
      <c r="Z846" s="42">
        <f t="shared" si="470"/>
        <v>8820.001666666667</v>
      </c>
      <c r="AA846" s="42">
        <f>VLOOKUP(A846,kurspris!$A$1:$Q$798,17,FALSE)</f>
        <v>5800</v>
      </c>
      <c r="AB846" s="42">
        <f t="shared" si="471"/>
        <v>1063.3333333333333</v>
      </c>
      <c r="AC846" s="42">
        <f t="shared" si="472"/>
        <v>9883.3350000000009</v>
      </c>
      <c r="AD846" s="31">
        <f>VLOOKUP($A846,kurspris!$A$1:$Q$835,3,FALSE)</f>
        <v>0</v>
      </c>
      <c r="AE846" s="31">
        <f>VLOOKUP($A846,kurspris!$A$1:$Q$835,4,FALSE)</f>
        <v>0</v>
      </c>
      <c r="AF846" s="31">
        <f>VLOOKUP($A846,kurspris!$A$1:$Q$835,5,FALSE)</f>
        <v>0</v>
      </c>
      <c r="AG846" s="31">
        <f>VLOOKUP($A846,kurspris!$A$1:$Q$835,6,FALSE)</f>
        <v>1</v>
      </c>
      <c r="AH846" s="31">
        <f>VLOOKUP($A846,kurspris!$A$1:$Q$835,7,FALSE)</f>
        <v>0</v>
      </c>
      <c r="AI846" s="31">
        <f>VLOOKUP($A846,kurspris!$A$1:$Q$835,8,FALSE)</f>
        <v>0</v>
      </c>
      <c r="AJ846" s="31">
        <f>VLOOKUP($A846,kurspris!$A$1:$Q$835,9,FALSE)</f>
        <v>0</v>
      </c>
      <c r="AK846" s="31">
        <f>VLOOKUP($A846,kurspris!$A$1:$Q$835,10,FALSE)</f>
        <v>0</v>
      </c>
      <c r="AL846" s="31">
        <f>VLOOKUP($A846,kurspris!$A$1:$Q$835,11,FALSE)</f>
        <v>0</v>
      </c>
      <c r="AM846" s="31">
        <f>VLOOKUP($A846,kurspris!$A$1:$Q$835,12,FALSE)</f>
        <v>0</v>
      </c>
      <c r="AN846" s="31">
        <f>VLOOKUP($A846,kurspris!$A$1:$Q$835,13,FALSE)</f>
        <v>0</v>
      </c>
      <c r="AO846" s="31">
        <f>VLOOKUP($A846,kurspris!$A$1:$Q$835,14,FALSE)</f>
        <v>0</v>
      </c>
      <c r="AP846" s="39" t="s">
        <v>2326</v>
      </c>
      <c r="AQ846"/>
      <c r="AR846" s="31">
        <f t="shared" si="473"/>
        <v>0</v>
      </c>
      <c r="AS846" s="255">
        <f t="shared" si="474"/>
        <v>0</v>
      </c>
      <c r="AT846" s="31">
        <f t="shared" si="475"/>
        <v>0</v>
      </c>
      <c r="AU846" s="255">
        <f t="shared" si="476"/>
        <v>0</v>
      </c>
      <c r="AV846" s="31">
        <f t="shared" si="477"/>
        <v>0</v>
      </c>
      <c r="AW846" s="31">
        <f t="shared" si="478"/>
        <v>0</v>
      </c>
      <c r="AX846" s="31">
        <f t="shared" si="479"/>
        <v>0.18333333333333332</v>
      </c>
      <c r="AY846" s="255">
        <f t="shared" si="480"/>
        <v>0.15583333333333332</v>
      </c>
      <c r="AZ846" s="232">
        <f t="shared" si="481"/>
        <v>0</v>
      </c>
      <c r="BA846" s="255">
        <f t="shared" si="482"/>
        <v>0</v>
      </c>
      <c r="BB846" s="31">
        <f t="shared" si="483"/>
        <v>0</v>
      </c>
      <c r="BC846" s="255">
        <f t="shared" si="484"/>
        <v>0</v>
      </c>
      <c r="BD846" s="31">
        <f t="shared" si="485"/>
        <v>0</v>
      </c>
      <c r="BE846" s="255">
        <f t="shared" si="486"/>
        <v>0</v>
      </c>
      <c r="BF846" s="31">
        <f t="shared" si="487"/>
        <v>0</v>
      </c>
      <c r="BG846" s="255">
        <f t="shared" si="488"/>
        <v>0</v>
      </c>
      <c r="BH846" s="31">
        <f t="shared" si="489"/>
        <v>0</v>
      </c>
      <c r="BI846" s="255">
        <f t="shared" si="490"/>
        <v>0</v>
      </c>
      <c r="BJ846" s="31">
        <f t="shared" si="491"/>
        <v>0</v>
      </c>
      <c r="BK846" s="31">
        <f t="shared" si="492"/>
        <v>0</v>
      </c>
      <c r="BL846" s="255">
        <f t="shared" si="493"/>
        <v>0</v>
      </c>
      <c r="BM846" s="31">
        <f t="shared" si="494"/>
        <v>0</v>
      </c>
      <c r="BN846" s="255">
        <f t="shared" si="495"/>
        <v>0</v>
      </c>
    </row>
    <row r="847" spans="1:66" x14ac:dyDescent="0.25">
      <c r="A847" s="18" t="s">
        <v>1706</v>
      </c>
      <c r="B847" s="186" t="str">
        <f>VLOOKUP(A847,kurspris!$A$1:$B$877,2,FALSE)</f>
        <v>Bedömning för och av lärande för åk 7-9 och gymnasium (UK)</v>
      </c>
      <c r="C847" s="37"/>
      <c r="D847" s="31" t="s">
        <v>483</v>
      </c>
      <c r="E847" s="31" t="s">
        <v>1788</v>
      </c>
      <c r="F847" s="59" t="s">
        <v>1931</v>
      </c>
      <c r="G847" s="31" t="s">
        <v>2275</v>
      </c>
      <c r="J847" t="s">
        <v>774</v>
      </c>
      <c r="L847" s="31">
        <v>100</v>
      </c>
      <c r="M847" s="31">
        <v>11</v>
      </c>
      <c r="P847" s="31">
        <v>1</v>
      </c>
      <c r="Q847" s="232">
        <f t="shared" si="468"/>
        <v>0.18333333333333332</v>
      </c>
      <c r="R847" s="40">
        <v>0.85</v>
      </c>
      <c r="S847" s="334">
        <f t="shared" si="469"/>
        <v>0.15583333333333332</v>
      </c>
      <c r="T847" s="31">
        <f>VLOOKUP(A847,'Ansvar kurs'!$A$1:$C$1010,2,FALSE)</f>
        <v>5740</v>
      </c>
      <c r="U847" s="31" t="str">
        <f>VLOOKUP(T847,Orgenheter!$A$1:$C$165,2,FALSE)</f>
        <v>NMD</v>
      </c>
      <c r="V847" s="31" t="str">
        <f>VLOOKUP(T847,Orgenheter!$A$1:$C$165,3,FALSE)</f>
        <v>TekNat</v>
      </c>
      <c r="W847" s="37" t="str">
        <f>VLOOKUP(D847,Program!$A$1:$B$34,2,FALSE)</f>
        <v>Ämneslärarprogrammet - Gy</v>
      </c>
      <c r="X847" s="42">
        <f>VLOOKUP(A847,kurspris!$A$1:$Q$798,15,FALSE)</f>
        <v>23641</v>
      </c>
      <c r="Y847" s="42">
        <f>VLOOKUP(A847,kurspris!$A$1:$Q$798,16,FALSE)</f>
        <v>28786</v>
      </c>
      <c r="Z847" s="42">
        <f t="shared" si="470"/>
        <v>8820.001666666667</v>
      </c>
      <c r="AA847" s="42">
        <f>VLOOKUP(A847,kurspris!$A$1:$Q$798,17,FALSE)</f>
        <v>5800</v>
      </c>
      <c r="AB847" s="42">
        <f t="shared" si="471"/>
        <v>1063.3333333333333</v>
      </c>
      <c r="AC847" s="42">
        <f t="shared" si="472"/>
        <v>9883.3350000000009</v>
      </c>
      <c r="AD847" s="31">
        <f>VLOOKUP($A847,kurspris!$A$1:$Q$835,3,FALSE)</f>
        <v>0</v>
      </c>
      <c r="AE847" s="31">
        <f>VLOOKUP($A847,kurspris!$A$1:$Q$835,4,FALSE)</f>
        <v>0</v>
      </c>
      <c r="AF847" s="31">
        <f>VLOOKUP($A847,kurspris!$A$1:$Q$835,5,FALSE)</f>
        <v>0</v>
      </c>
      <c r="AG847" s="31">
        <f>VLOOKUP($A847,kurspris!$A$1:$Q$835,6,FALSE)</f>
        <v>1</v>
      </c>
      <c r="AH847" s="31">
        <f>VLOOKUP($A847,kurspris!$A$1:$Q$835,7,FALSE)</f>
        <v>0</v>
      </c>
      <c r="AI847" s="31">
        <f>VLOOKUP($A847,kurspris!$A$1:$Q$835,8,FALSE)</f>
        <v>0</v>
      </c>
      <c r="AJ847" s="31">
        <f>VLOOKUP($A847,kurspris!$A$1:$Q$835,9,FALSE)</f>
        <v>0</v>
      </c>
      <c r="AK847" s="31">
        <f>VLOOKUP($A847,kurspris!$A$1:$Q$835,10,FALSE)</f>
        <v>0</v>
      </c>
      <c r="AL847" s="31">
        <f>VLOOKUP($A847,kurspris!$A$1:$Q$835,11,FALSE)</f>
        <v>0</v>
      </c>
      <c r="AM847" s="31">
        <f>VLOOKUP($A847,kurspris!$A$1:$Q$835,12,FALSE)</f>
        <v>0</v>
      </c>
      <c r="AN847" s="31">
        <f>VLOOKUP($A847,kurspris!$A$1:$Q$835,13,FALSE)</f>
        <v>0</v>
      </c>
      <c r="AO847" s="31">
        <f>VLOOKUP($A847,kurspris!$A$1:$Q$835,14,FALSE)</f>
        <v>0</v>
      </c>
      <c r="AP847" s="39" t="s">
        <v>2326</v>
      </c>
      <c r="AQ847"/>
      <c r="AR847" s="31">
        <f t="shared" si="473"/>
        <v>0</v>
      </c>
      <c r="AS847" s="255">
        <f t="shared" si="474"/>
        <v>0</v>
      </c>
      <c r="AT847" s="31">
        <f t="shared" si="475"/>
        <v>0</v>
      </c>
      <c r="AU847" s="255">
        <f t="shared" si="476"/>
        <v>0</v>
      </c>
      <c r="AV847" s="31">
        <f t="shared" si="477"/>
        <v>0</v>
      </c>
      <c r="AW847" s="31">
        <f t="shared" si="478"/>
        <v>0</v>
      </c>
      <c r="AX847" s="31">
        <f t="shared" si="479"/>
        <v>0.18333333333333332</v>
      </c>
      <c r="AY847" s="255">
        <f t="shared" si="480"/>
        <v>0.15583333333333332</v>
      </c>
      <c r="AZ847" s="232">
        <f t="shared" si="481"/>
        <v>0</v>
      </c>
      <c r="BA847" s="255">
        <f t="shared" si="482"/>
        <v>0</v>
      </c>
      <c r="BB847" s="31">
        <f t="shared" si="483"/>
        <v>0</v>
      </c>
      <c r="BC847" s="255">
        <f t="shared" si="484"/>
        <v>0</v>
      </c>
      <c r="BD847" s="31">
        <f t="shared" si="485"/>
        <v>0</v>
      </c>
      <c r="BE847" s="255">
        <f t="shared" si="486"/>
        <v>0</v>
      </c>
      <c r="BF847" s="31">
        <f t="shared" si="487"/>
        <v>0</v>
      </c>
      <c r="BG847" s="255">
        <f t="shared" si="488"/>
        <v>0</v>
      </c>
      <c r="BH847" s="31">
        <f t="shared" si="489"/>
        <v>0</v>
      </c>
      <c r="BI847" s="255">
        <f t="shared" si="490"/>
        <v>0</v>
      </c>
      <c r="BJ847" s="31">
        <f t="shared" si="491"/>
        <v>0</v>
      </c>
      <c r="BK847" s="31">
        <f t="shared" si="492"/>
        <v>0</v>
      </c>
      <c r="BL847" s="255">
        <f t="shared" si="493"/>
        <v>0</v>
      </c>
      <c r="BM847" s="31">
        <f t="shared" si="494"/>
        <v>0</v>
      </c>
      <c r="BN847" s="255">
        <f t="shared" si="495"/>
        <v>0</v>
      </c>
    </row>
    <row r="848" spans="1:66" x14ac:dyDescent="0.25">
      <c r="A848" s="18" t="s">
        <v>1706</v>
      </c>
      <c r="B848" s="186" t="str">
        <f>VLOOKUP(A848,kurspris!$A$1:$B$877,2,FALSE)</f>
        <v>Bedömning för och av lärande för åk 7-9 och gymnasium (UK)</v>
      </c>
      <c r="C848" s="37"/>
      <c r="D848" s="31" t="s">
        <v>483</v>
      </c>
      <c r="E848" s="31" t="s">
        <v>1788</v>
      </c>
      <c r="F848" s="59" t="s">
        <v>1931</v>
      </c>
      <c r="G848" s="31" t="s">
        <v>2275</v>
      </c>
      <c r="J848" t="s">
        <v>1592</v>
      </c>
      <c r="L848" s="31">
        <v>100</v>
      </c>
      <c r="M848" s="31">
        <v>11</v>
      </c>
      <c r="P848" s="31">
        <v>1</v>
      </c>
      <c r="Q848" s="232">
        <f t="shared" si="468"/>
        <v>0.18333333333333332</v>
      </c>
      <c r="R848" s="40">
        <v>0.85</v>
      </c>
      <c r="S848" s="334">
        <f t="shared" si="469"/>
        <v>0.15583333333333332</v>
      </c>
      <c r="T848" s="31">
        <f>VLOOKUP(A848,'Ansvar kurs'!$A$1:$C$1010,2,FALSE)</f>
        <v>5740</v>
      </c>
      <c r="U848" s="31" t="str">
        <f>VLOOKUP(T848,Orgenheter!$A$1:$C$165,2,FALSE)</f>
        <v>NMD</v>
      </c>
      <c r="V848" s="31" t="str">
        <f>VLOOKUP(T848,Orgenheter!$A$1:$C$165,3,FALSE)</f>
        <v>TekNat</v>
      </c>
      <c r="W848" s="37" t="str">
        <f>VLOOKUP(D848,Program!$A$1:$B$34,2,FALSE)</f>
        <v>Ämneslärarprogrammet - Gy</v>
      </c>
      <c r="X848" s="42">
        <f>VLOOKUP(A848,kurspris!$A$1:$Q$798,15,FALSE)</f>
        <v>23641</v>
      </c>
      <c r="Y848" s="42">
        <f>VLOOKUP(A848,kurspris!$A$1:$Q$798,16,FALSE)</f>
        <v>28786</v>
      </c>
      <c r="Z848" s="42">
        <f t="shared" si="470"/>
        <v>8820.001666666667</v>
      </c>
      <c r="AA848" s="42">
        <f>VLOOKUP(A848,kurspris!$A$1:$Q$798,17,FALSE)</f>
        <v>5800</v>
      </c>
      <c r="AB848" s="42">
        <f t="shared" si="471"/>
        <v>1063.3333333333333</v>
      </c>
      <c r="AC848" s="42">
        <f t="shared" si="472"/>
        <v>9883.3350000000009</v>
      </c>
      <c r="AD848" s="31">
        <f>VLOOKUP($A848,kurspris!$A$1:$Q$835,3,FALSE)</f>
        <v>0</v>
      </c>
      <c r="AE848" s="31">
        <f>VLOOKUP($A848,kurspris!$A$1:$Q$835,4,FALSE)</f>
        <v>0</v>
      </c>
      <c r="AF848" s="31">
        <f>VLOOKUP($A848,kurspris!$A$1:$Q$835,5,FALSE)</f>
        <v>0</v>
      </c>
      <c r="AG848" s="31">
        <f>VLOOKUP($A848,kurspris!$A$1:$Q$835,6,FALSE)</f>
        <v>1</v>
      </c>
      <c r="AH848" s="31">
        <f>VLOOKUP($A848,kurspris!$A$1:$Q$835,7,FALSE)</f>
        <v>0</v>
      </c>
      <c r="AI848" s="31">
        <f>VLOOKUP($A848,kurspris!$A$1:$Q$835,8,FALSE)</f>
        <v>0</v>
      </c>
      <c r="AJ848" s="31">
        <f>VLOOKUP($A848,kurspris!$A$1:$Q$835,9,FALSE)</f>
        <v>0</v>
      </c>
      <c r="AK848" s="31">
        <f>VLOOKUP($A848,kurspris!$A$1:$Q$835,10,FALSE)</f>
        <v>0</v>
      </c>
      <c r="AL848" s="31">
        <f>VLOOKUP($A848,kurspris!$A$1:$Q$835,11,FALSE)</f>
        <v>0</v>
      </c>
      <c r="AM848" s="31">
        <f>VLOOKUP($A848,kurspris!$A$1:$Q$835,12,FALSE)</f>
        <v>0</v>
      </c>
      <c r="AN848" s="31">
        <f>VLOOKUP($A848,kurspris!$A$1:$Q$835,13,FALSE)</f>
        <v>0</v>
      </c>
      <c r="AO848" s="31">
        <f>VLOOKUP($A848,kurspris!$A$1:$Q$835,14,FALSE)</f>
        <v>0</v>
      </c>
      <c r="AP848" s="39" t="s">
        <v>2326</v>
      </c>
      <c r="AQ848"/>
      <c r="AR848" s="31">
        <f t="shared" si="473"/>
        <v>0</v>
      </c>
      <c r="AS848" s="255">
        <f t="shared" si="474"/>
        <v>0</v>
      </c>
      <c r="AT848" s="31">
        <f t="shared" si="475"/>
        <v>0</v>
      </c>
      <c r="AU848" s="255">
        <f t="shared" si="476"/>
        <v>0</v>
      </c>
      <c r="AV848" s="31">
        <f t="shared" si="477"/>
        <v>0</v>
      </c>
      <c r="AW848" s="31">
        <f t="shared" si="478"/>
        <v>0</v>
      </c>
      <c r="AX848" s="31">
        <f t="shared" si="479"/>
        <v>0.18333333333333332</v>
      </c>
      <c r="AY848" s="255">
        <f t="shared" si="480"/>
        <v>0.15583333333333332</v>
      </c>
      <c r="AZ848" s="232">
        <f t="shared" si="481"/>
        <v>0</v>
      </c>
      <c r="BA848" s="255">
        <f t="shared" si="482"/>
        <v>0</v>
      </c>
      <c r="BB848" s="31">
        <f t="shared" si="483"/>
        <v>0</v>
      </c>
      <c r="BC848" s="255">
        <f t="shared" si="484"/>
        <v>0</v>
      </c>
      <c r="BD848" s="31">
        <f t="shared" si="485"/>
        <v>0</v>
      </c>
      <c r="BE848" s="255">
        <f t="shared" si="486"/>
        <v>0</v>
      </c>
      <c r="BF848" s="31">
        <f t="shared" si="487"/>
        <v>0</v>
      </c>
      <c r="BG848" s="255">
        <f t="shared" si="488"/>
        <v>0</v>
      </c>
      <c r="BH848" s="31">
        <f t="shared" si="489"/>
        <v>0</v>
      </c>
      <c r="BI848" s="255">
        <f t="shared" si="490"/>
        <v>0</v>
      </c>
      <c r="BJ848" s="31">
        <f t="shared" si="491"/>
        <v>0</v>
      </c>
      <c r="BK848" s="31">
        <f t="shared" si="492"/>
        <v>0</v>
      </c>
      <c r="BL848" s="255">
        <f t="shared" si="493"/>
        <v>0</v>
      </c>
      <c r="BM848" s="31">
        <f t="shared" si="494"/>
        <v>0</v>
      </c>
      <c r="BN848" s="255">
        <f t="shared" si="495"/>
        <v>0</v>
      </c>
    </row>
    <row r="849" spans="1:66" x14ac:dyDescent="0.25">
      <c r="A849" s="18" t="s">
        <v>1710</v>
      </c>
      <c r="B849" s="186" t="str">
        <f>VLOOKUP(A849,kurspris!$A$1:$B$877,2,FALSE)</f>
        <v>Utbildningspolicy och pedagogisk praktik ur internationella perspektiv</v>
      </c>
      <c r="C849" s="37"/>
      <c r="D849" t="s">
        <v>117</v>
      </c>
      <c r="E849"/>
      <c r="F849" s="59" t="s">
        <v>1930</v>
      </c>
      <c r="G849"/>
      <c r="H849"/>
      <c r="I849" t="s">
        <v>1634</v>
      </c>
      <c r="L849">
        <v>100</v>
      </c>
      <c r="M849">
        <v>7.5</v>
      </c>
      <c r="P849" s="31">
        <v>0</v>
      </c>
      <c r="Q849" s="232">
        <f t="shared" si="468"/>
        <v>0</v>
      </c>
      <c r="R849" s="40">
        <v>0.8</v>
      </c>
      <c r="S849" s="334">
        <f t="shared" si="469"/>
        <v>0</v>
      </c>
      <c r="T849" s="31">
        <f>VLOOKUP(A849,'Ansvar kurs'!$A$1:$C$1010,2,FALSE)</f>
        <v>2193</v>
      </c>
      <c r="U849" s="31" t="str">
        <f>VLOOKUP(T849,Orgenheter!$A$1:$C$165,2,FALSE)</f>
        <v xml:space="preserve">TUV </v>
      </c>
      <c r="V849" s="31" t="str">
        <f>VLOOKUP(T849,Orgenheter!$A$1:$C$165,3,FALSE)</f>
        <v>Sam</v>
      </c>
      <c r="W849" s="37" t="str">
        <f>VLOOKUP(D849,Program!$A$1:$B$34,2,FALSE)</f>
        <v>Fristående och övriga kurser</v>
      </c>
      <c r="X849" s="42">
        <f>VLOOKUP(A849,kurspris!$A$1:$Q$798,15,FALSE)</f>
        <v>18405</v>
      </c>
      <c r="Y849" s="42">
        <f>VLOOKUP(A849,kurspris!$A$1:$Q$798,16,FALSE)</f>
        <v>15773</v>
      </c>
      <c r="Z849" s="42">
        <f t="shared" si="470"/>
        <v>0</v>
      </c>
      <c r="AA849" s="42">
        <f>VLOOKUP(A849,kurspris!$A$1:$Q$798,17,FALSE)</f>
        <v>5800</v>
      </c>
      <c r="AB849" s="42">
        <f t="shared" si="471"/>
        <v>0</v>
      </c>
      <c r="AC849" s="42">
        <f t="shared" si="472"/>
        <v>0</v>
      </c>
      <c r="AD849" s="31">
        <f>VLOOKUP($A849,kurspris!$A$1:$Q$835,3,FALSE)</f>
        <v>0</v>
      </c>
      <c r="AE849" s="31">
        <f>VLOOKUP($A849,kurspris!$A$1:$Q$835,4,FALSE)</f>
        <v>0</v>
      </c>
      <c r="AF849" s="31">
        <f>VLOOKUP($A849,kurspris!$A$1:$Q$835,5,FALSE)</f>
        <v>0</v>
      </c>
      <c r="AG849" s="31">
        <f>VLOOKUP($A849,kurspris!$A$1:$Q$835,6,FALSE)</f>
        <v>0</v>
      </c>
      <c r="AH849" s="31">
        <f>VLOOKUP($A849,kurspris!$A$1:$Q$835,7,FALSE)</f>
        <v>0</v>
      </c>
      <c r="AI849" s="31">
        <f>VLOOKUP($A849,kurspris!$A$1:$Q$835,8,FALSE)</f>
        <v>0</v>
      </c>
      <c r="AJ849" s="31">
        <f>VLOOKUP($A849,kurspris!$A$1:$Q$835,9,FALSE)</f>
        <v>1</v>
      </c>
      <c r="AK849" s="31">
        <f>VLOOKUP($A849,kurspris!$A$1:$Q$835,10,FALSE)</f>
        <v>0</v>
      </c>
      <c r="AL849" s="31">
        <f>VLOOKUP($A849,kurspris!$A$1:$Q$835,11,FALSE)</f>
        <v>0</v>
      </c>
      <c r="AM849" s="31">
        <f>VLOOKUP($A849,kurspris!$A$1:$Q$835,12,FALSE)</f>
        <v>0</v>
      </c>
      <c r="AN849" s="31">
        <f>VLOOKUP($A849,kurspris!$A$1:$Q$835,13,FALSE)</f>
        <v>0</v>
      </c>
      <c r="AO849" s="31">
        <f>VLOOKUP($A849,kurspris!$A$1:$Q$835,14,FALSE)</f>
        <v>0</v>
      </c>
      <c r="AP849" s="39" t="s">
        <v>2232</v>
      </c>
      <c r="AQ849" s="39" t="s">
        <v>2095</v>
      </c>
      <c r="AR849" s="31">
        <f t="shared" si="473"/>
        <v>0</v>
      </c>
      <c r="AS849" s="255">
        <f t="shared" si="474"/>
        <v>0</v>
      </c>
      <c r="AT849" s="31">
        <f t="shared" si="475"/>
        <v>0</v>
      </c>
      <c r="AU849" s="255">
        <f t="shared" si="476"/>
        <v>0</v>
      </c>
      <c r="AV849" s="31">
        <f t="shared" si="477"/>
        <v>0</v>
      </c>
      <c r="AW849" s="31">
        <f t="shared" si="478"/>
        <v>0</v>
      </c>
      <c r="AX849" s="31">
        <f t="shared" si="479"/>
        <v>0</v>
      </c>
      <c r="AY849" s="255">
        <f t="shared" si="480"/>
        <v>0</v>
      </c>
      <c r="AZ849" s="232">
        <f t="shared" si="481"/>
        <v>0</v>
      </c>
      <c r="BA849" s="255">
        <f t="shared" si="482"/>
        <v>0</v>
      </c>
      <c r="BB849" s="31">
        <f t="shared" si="483"/>
        <v>0</v>
      </c>
      <c r="BC849" s="255">
        <f t="shared" si="484"/>
        <v>0</v>
      </c>
      <c r="BD849" s="31">
        <f t="shared" si="485"/>
        <v>0</v>
      </c>
      <c r="BE849" s="255">
        <f t="shared" si="486"/>
        <v>0</v>
      </c>
      <c r="BF849" s="31">
        <f t="shared" si="487"/>
        <v>0</v>
      </c>
      <c r="BG849" s="255">
        <f t="shared" si="488"/>
        <v>0</v>
      </c>
      <c r="BH849" s="31">
        <f t="shared" si="489"/>
        <v>0</v>
      </c>
      <c r="BI849" s="255">
        <f t="shared" si="490"/>
        <v>0</v>
      </c>
      <c r="BJ849" s="31">
        <f t="shared" si="491"/>
        <v>0</v>
      </c>
      <c r="BK849" s="31">
        <f t="shared" si="492"/>
        <v>0</v>
      </c>
      <c r="BL849" s="255">
        <f t="shared" si="493"/>
        <v>0</v>
      </c>
      <c r="BM849" s="31">
        <f t="shared" si="494"/>
        <v>0</v>
      </c>
      <c r="BN849" s="255">
        <f t="shared" si="495"/>
        <v>0</v>
      </c>
    </row>
    <row r="850" spans="1:66" x14ac:dyDescent="0.25">
      <c r="A850" s="18" t="s">
        <v>1739</v>
      </c>
      <c r="B850" s="186" t="str">
        <f>VLOOKUP(A850,kurspris!$A$1:$B$877,2,FALSE)</f>
        <v>Formativ bedömning och motivation</v>
      </c>
      <c r="C850" s="37"/>
      <c r="D850" t="s">
        <v>117</v>
      </c>
      <c r="E850"/>
      <c r="F850" s="59" t="s">
        <v>1930</v>
      </c>
      <c r="G850"/>
      <c r="H850"/>
      <c r="I850" t="s">
        <v>2066</v>
      </c>
      <c r="L850">
        <v>25</v>
      </c>
      <c r="M850">
        <v>7.5</v>
      </c>
      <c r="P850" s="457">
        <v>0</v>
      </c>
      <c r="Q850" s="456">
        <f t="shared" si="468"/>
        <v>0</v>
      </c>
      <c r="R850" s="40">
        <v>0.8</v>
      </c>
      <c r="S850" s="334">
        <f t="shared" si="469"/>
        <v>0</v>
      </c>
      <c r="T850" s="31">
        <f>VLOOKUP(A850,'Ansvar kurs'!$A$1:$C$1010,2,FALSE)</f>
        <v>5740</v>
      </c>
      <c r="U850" s="31" t="str">
        <f>VLOOKUP(T850,Orgenheter!$A$1:$C$165,2,FALSE)</f>
        <v>NMD</v>
      </c>
      <c r="V850" s="31" t="str">
        <f>VLOOKUP(T850,Orgenheter!$A$1:$C$165,3,FALSE)</f>
        <v>TekNat</v>
      </c>
      <c r="W850" s="37" t="str">
        <f>VLOOKUP(D850,Program!$A$1:$B$34,2,FALSE)</f>
        <v>Fristående och övriga kurser</v>
      </c>
      <c r="X850" s="42">
        <f>VLOOKUP(A850,kurspris!$A$1:$Q$798,15,FALSE)</f>
        <v>19473</v>
      </c>
      <c r="Y850" s="42">
        <f>VLOOKUP(A850,kurspris!$A$1:$Q$798,16,FALSE)</f>
        <v>34806</v>
      </c>
      <c r="Z850" s="42">
        <f t="shared" si="470"/>
        <v>0</v>
      </c>
      <c r="AA850" s="42">
        <f>VLOOKUP(A850,kurspris!$A$1:$Q$798,17,FALSE)</f>
        <v>21800</v>
      </c>
      <c r="AB850" s="42">
        <f t="shared" si="471"/>
        <v>0</v>
      </c>
      <c r="AC850" s="42">
        <f t="shared" si="472"/>
        <v>0</v>
      </c>
      <c r="AD850" s="31">
        <f>VLOOKUP($A850,kurspris!$A$1:$Q$835,3,FALSE)</f>
        <v>0</v>
      </c>
      <c r="AE850" s="31">
        <f>VLOOKUP($A850,kurspris!$A$1:$Q$835,4,FALSE)</f>
        <v>0</v>
      </c>
      <c r="AF850" s="31">
        <f>VLOOKUP($A850,kurspris!$A$1:$Q$835,5,FALSE)</f>
        <v>0</v>
      </c>
      <c r="AG850" s="31">
        <f>VLOOKUP($A850,kurspris!$A$1:$Q$835,6,FALSE)</f>
        <v>0</v>
      </c>
      <c r="AH850" s="31">
        <f>VLOOKUP($A850,kurspris!$A$1:$Q$835,7,FALSE)</f>
        <v>0</v>
      </c>
      <c r="AI850" s="31">
        <f>VLOOKUP($A850,kurspris!$A$1:$Q$835,8,FALSE)</f>
        <v>1</v>
      </c>
      <c r="AJ850" s="31">
        <f>VLOOKUP($A850,kurspris!$A$1:$Q$835,9,FALSE)</f>
        <v>0</v>
      </c>
      <c r="AK850" s="31">
        <f>VLOOKUP($A850,kurspris!$A$1:$Q$835,10,FALSE)</f>
        <v>0</v>
      </c>
      <c r="AL850" s="31">
        <f>VLOOKUP($A850,kurspris!$A$1:$Q$835,11,FALSE)</f>
        <v>0</v>
      </c>
      <c r="AM850" s="31">
        <f>VLOOKUP($A850,kurspris!$A$1:$Q$835,12,FALSE)</f>
        <v>0</v>
      </c>
      <c r="AN850" s="31">
        <f>VLOOKUP($A850,kurspris!$A$1:$Q$835,13,FALSE)</f>
        <v>0</v>
      </c>
      <c r="AO850" s="31">
        <f>VLOOKUP($A850,kurspris!$A$1:$Q$835,14,FALSE)</f>
        <v>0</v>
      </c>
      <c r="AP850" s="39" t="s">
        <v>2095</v>
      </c>
      <c r="AQ850" s="39" t="s">
        <v>2171</v>
      </c>
      <c r="AR850" s="31">
        <f t="shared" si="473"/>
        <v>0</v>
      </c>
      <c r="AS850" s="255">
        <f t="shared" si="474"/>
        <v>0</v>
      </c>
      <c r="AT850" s="31">
        <f t="shared" si="475"/>
        <v>0</v>
      </c>
      <c r="AU850" s="255">
        <f t="shared" si="476"/>
        <v>0</v>
      </c>
      <c r="AV850" s="31">
        <f t="shared" si="477"/>
        <v>0</v>
      </c>
      <c r="AW850" s="31">
        <f t="shared" si="478"/>
        <v>0</v>
      </c>
      <c r="AX850" s="31">
        <f t="shared" si="479"/>
        <v>0</v>
      </c>
      <c r="AY850" s="255">
        <f t="shared" si="480"/>
        <v>0</v>
      </c>
      <c r="AZ850" s="232">
        <f t="shared" si="481"/>
        <v>0</v>
      </c>
      <c r="BA850" s="255">
        <f t="shared" si="482"/>
        <v>0</v>
      </c>
      <c r="BB850" s="31">
        <f t="shared" si="483"/>
        <v>0</v>
      </c>
      <c r="BC850" s="255">
        <f t="shared" si="484"/>
        <v>0</v>
      </c>
      <c r="BD850" s="31">
        <f t="shared" si="485"/>
        <v>0</v>
      </c>
      <c r="BE850" s="255">
        <f t="shared" si="486"/>
        <v>0</v>
      </c>
      <c r="BF850" s="31">
        <f t="shared" si="487"/>
        <v>0</v>
      </c>
      <c r="BG850" s="255">
        <f t="shared" si="488"/>
        <v>0</v>
      </c>
      <c r="BH850" s="31">
        <f t="shared" si="489"/>
        <v>0</v>
      </c>
      <c r="BI850" s="255">
        <f t="shared" si="490"/>
        <v>0</v>
      </c>
      <c r="BJ850" s="31">
        <f t="shared" si="491"/>
        <v>0</v>
      </c>
      <c r="BK850" s="31">
        <f t="shared" si="492"/>
        <v>0</v>
      </c>
      <c r="BL850" s="255">
        <f t="shared" si="493"/>
        <v>0</v>
      </c>
      <c r="BM850" s="31">
        <f t="shared" si="494"/>
        <v>0</v>
      </c>
      <c r="BN850" s="255">
        <f t="shared" si="495"/>
        <v>0</v>
      </c>
    </row>
    <row r="851" spans="1:66" x14ac:dyDescent="0.25">
      <c r="A851" s="18" t="s">
        <v>1739</v>
      </c>
      <c r="B851" s="186" t="str">
        <f>VLOOKUP(A851,kurspris!$A$1:$B$877,2,FALSE)</f>
        <v>Formativ bedömning och motivation</v>
      </c>
      <c r="C851" s="37"/>
      <c r="D851" t="s">
        <v>117</v>
      </c>
      <c r="E851"/>
      <c r="F851" s="59" t="s">
        <v>2093</v>
      </c>
      <c r="G851" t="s">
        <v>2065</v>
      </c>
      <c r="H851"/>
      <c r="I851" s="18" t="s">
        <v>2066</v>
      </c>
      <c r="J851" s="159"/>
      <c r="K851" s="159"/>
      <c r="L851">
        <v>50</v>
      </c>
      <c r="M851">
        <v>7.5</v>
      </c>
      <c r="P851" s="457">
        <v>0</v>
      </c>
      <c r="Q851" s="456">
        <f t="shared" si="468"/>
        <v>0</v>
      </c>
      <c r="R851" s="40">
        <v>0.8</v>
      </c>
      <c r="S851" s="334">
        <f t="shared" si="469"/>
        <v>0</v>
      </c>
      <c r="T851" s="31">
        <f>VLOOKUP(A851,'Ansvar kurs'!$A$1:$C$1010,2,FALSE)</f>
        <v>5740</v>
      </c>
      <c r="U851" s="31" t="str">
        <f>VLOOKUP(T851,Orgenheter!$A$1:$C$165,2,FALSE)</f>
        <v>NMD</v>
      </c>
      <c r="V851" s="31" t="str">
        <f>VLOOKUP(T851,Orgenheter!$A$1:$C$165,3,FALSE)</f>
        <v>TekNat</v>
      </c>
      <c r="W851" s="37" t="str">
        <f>VLOOKUP(D851,Program!$A$1:$B$34,2,FALSE)</f>
        <v>Fristående och övriga kurser</v>
      </c>
      <c r="X851" s="42">
        <f>VLOOKUP(A851,kurspris!$A$1:$Q$798,15,FALSE)</f>
        <v>19473</v>
      </c>
      <c r="Y851" s="42">
        <f>VLOOKUP(A851,kurspris!$A$1:$Q$798,16,FALSE)</f>
        <v>34806</v>
      </c>
      <c r="Z851" s="42">
        <f t="shared" si="470"/>
        <v>0</v>
      </c>
      <c r="AA851" s="42">
        <f>VLOOKUP(A851,kurspris!$A$1:$Q$798,17,FALSE)</f>
        <v>21800</v>
      </c>
      <c r="AB851" s="42">
        <f t="shared" si="471"/>
        <v>0</v>
      </c>
      <c r="AC851" s="42">
        <f t="shared" si="472"/>
        <v>0</v>
      </c>
      <c r="AD851" s="31">
        <f>VLOOKUP($A851,kurspris!$A$1:$Q$835,3,FALSE)</f>
        <v>0</v>
      </c>
      <c r="AE851" s="31">
        <f>VLOOKUP($A851,kurspris!$A$1:$Q$835,4,FALSE)</f>
        <v>0</v>
      </c>
      <c r="AF851" s="31">
        <f>VLOOKUP($A851,kurspris!$A$1:$Q$835,5,FALSE)</f>
        <v>0</v>
      </c>
      <c r="AG851" s="31">
        <f>VLOOKUP($A851,kurspris!$A$1:$Q$835,6,FALSE)</f>
        <v>0</v>
      </c>
      <c r="AH851" s="31">
        <f>VLOOKUP($A851,kurspris!$A$1:$Q$835,7,FALSE)</f>
        <v>0</v>
      </c>
      <c r="AI851" s="31">
        <f>VLOOKUP($A851,kurspris!$A$1:$Q$835,8,FALSE)</f>
        <v>1</v>
      </c>
      <c r="AJ851" s="31">
        <f>VLOOKUP($A851,kurspris!$A$1:$Q$835,9,FALSE)</f>
        <v>0</v>
      </c>
      <c r="AK851" s="31">
        <f>VLOOKUP($A851,kurspris!$A$1:$Q$835,10,FALSE)</f>
        <v>0</v>
      </c>
      <c r="AL851" s="31">
        <f>VLOOKUP($A851,kurspris!$A$1:$Q$835,11,FALSE)</f>
        <v>0</v>
      </c>
      <c r="AM851" s="31">
        <f>VLOOKUP($A851,kurspris!$A$1:$Q$835,12,FALSE)</f>
        <v>0</v>
      </c>
      <c r="AN851" s="31">
        <f>VLOOKUP($A851,kurspris!$A$1:$Q$835,13,FALSE)</f>
        <v>0</v>
      </c>
      <c r="AO851" s="31">
        <f>VLOOKUP($A851,kurspris!$A$1:$Q$835,14,FALSE)</f>
        <v>0</v>
      </c>
      <c r="AP851" s="39" t="s">
        <v>2095</v>
      </c>
      <c r="AQ851" t="s">
        <v>2154</v>
      </c>
      <c r="AR851" s="31">
        <f t="shared" si="473"/>
        <v>0</v>
      </c>
      <c r="AS851" s="255">
        <f t="shared" si="474"/>
        <v>0</v>
      </c>
      <c r="AT851" s="31">
        <f t="shared" si="475"/>
        <v>0</v>
      </c>
      <c r="AU851" s="255">
        <f t="shared" si="476"/>
        <v>0</v>
      </c>
      <c r="AV851" s="31">
        <f t="shared" si="477"/>
        <v>0</v>
      </c>
      <c r="AW851" s="31">
        <f t="shared" si="478"/>
        <v>0</v>
      </c>
      <c r="AX851" s="31">
        <f t="shared" si="479"/>
        <v>0</v>
      </c>
      <c r="AY851" s="255">
        <f t="shared" si="480"/>
        <v>0</v>
      </c>
      <c r="AZ851" s="232">
        <f t="shared" si="481"/>
        <v>0</v>
      </c>
      <c r="BA851" s="255">
        <f t="shared" si="482"/>
        <v>0</v>
      </c>
      <c r="BB851" s="31">
        <f t="shared" si="483"/>
        <v>0</v>
      </c>
      <c r="BC851" s="255">
        <f t="shared" si="484"/>
        <v>0</v>
      </c>
      <c r="BD851" s="31">
        <f t="shared" si="485"/>
        <v>0</v>
      </c>
      <c r="BE851" s="255">
        <f t="shared" si="486"/>
        <v>0</v>
      </c>
      <c r="BF851" s="31">
        <f t="shared" si="487"/>
        <v>0</v>
      </c>
      <c r="BG851" s="255">
        <f t="shared" si="488"/>
        <v>0</v>
      </c>
      <c r="BH851" s="31">
        <f t="shared" si="489"/>
        <v>0</v>
      </c>
      <c r="BI851" s="255">
        <f t="shared" si="490"/>
        <v>0</v>
      </c>
      <c r="BJ851" s="31">
        <f t="shared" si="491"/>
        <v>0</v>
      </c>
      <c r="BK851" s="31">
        <f t="shared" si="492"/>
        <v>0</v>
      </c>
      <c r="BL851" s="255">
        <f t="shared" si="493"/>
        <v>0</v>
      </c>
      <c r="BM851" s="31">
        <f t="shared" si="494"/>
        <v>0</v>
      </c>
      <c r="BN851" s="255">
        <f t="shared" si="495"/>
        <v>0</v>
      </c>
    </row>
    <row r="852" spans="1:66" x14ac:dyDescent="0.25">
      <c r="A852" s="18" t="s">
        <v>1739</v>
      </c>
      <c r="B852" s="186" t="str">
        <f>VLOOKUP(A852,kurspris!$A$1:$B$877,2,FALSE)</f>
        <v>Formativ bedömning och motivation</v>
      </c>
      <c r="C852" s="37"/>
      <c r="D852" t="s">
        <v>117</v>
      </c>
      <c r="E852"/>
      <c r="F852" s="59" t="s">
        <v>1931</v>
      </c>
      <c r="G852"/>
      <c r="H852"/>
      <c r="I852" t="s">
        <v>2066</v>
      </c>
      <c r="L852">
        <v>25</v>
      </c>
      <c r="M852">
        <v>7.5</v>
      </c>
      <c r="P852" s="31">
        <v>20</v>
      </c>
      <c r="Q852" s="232">
        <f t="shared" si="468"/>
        <v>2.5</v>
      </c>
      <c r="R852" s="40">
        <v>0.8</v>
      </c>
      <c r="S852" s="334">
        <f t="shared" si="469"/>
        <v>2</v>
      </c>
      <c r="T852" s="31">
        <f>VLOOKUP(A852,'Ansvar kurs'!$A$1:$C$1010,2,FALSE)</f>
        <v>5740</v>
      </c>
      <c r="U852" s="31" t="str">
        <f>VLOOKUP(T852,Orgenheter!$A$1:$C$165,2,FALSE)</f>
        <v>NMD</v>
      </c>
      <c r="V852" s="31" t="str">
        <f>VLOOKUP(T852,Orgenheter!$A$1:$C$165,3,FALSE)</f>
        <v>TekNat</v>
      </c>
      <c r="W852" s="37" t="str">
        <f>VLOOKUP(D852,Program!$A$1:$B$34,2,FALSE)</f>
        <v>Fristående och övriga kurser</v>
      </c>
      <c r="X852" s="42">
        <f>VLOOKUP(A852,kurspris!$A$1:$Q$798,15,FALSE)</f>
        <v>19473</v>
      </c>
      <c r="Y852" s="42">
        <f>VLOOKUP(A852,kurspris!$A$1:$Q$798,16,FALSE)</f>
        <v>34806</v>
      </c>
      <c r="Z852" s="42">
        <f t="shared" si="470"/>
        <v>118294.5</v>
      </c>
      <c r="AA852" s="42">
        <f>VLOOKUP(A852,kurspris!$A$1:$Q$798,17,FALSE)</f>
        <v>21800</v>
      </c>
      <c r="AB852" s="42">
        <f t="shared" si="471"/>
        <v>54500</v>
      </c>
      <c r="AC852" s="42">
        <f t="shared" si="472"/>
        <v>172794.5</v>
      </c>
      <c r="AD852" s="31">
        <f>VLOOKUP($A852,kurspris!$A$1:$Q$835,3,FALSE)</f>
        <v>0</v>
      </c>
      <c r="AE852" s="31">
        <f>VLOOKUP($A852,kurspris!$A$1:$Q$835,4,FALSE)</f>
        <v>0</v>
      </c>
      <c r="AF852" s="31">
        <f>VLOOKUP($A852,kurspris!$A$1:$Q$835,5,FALSE)</f>
        <v>0</v>
      </c>
      <c r="AG852" s="31">
        <f>VLOOKUP($A852,kurspris!$A$1:$Q$835,6,FALSE)</f>
        <v>0</v>
      </c>
      <c r="AH852" s="31">
        <f>VLOOKUP($A852,kurspris!$A$1:$Q$835,7,FALSE)</f>
        <v>0</v>
      </c>
      <c r="AI852" s="31">
        <f>VLOOKUP($A852,kurspris!$A$1:$Q$835,8,FALSE)</f>
        <v>1</v>
      </c>
      <c r="AJ852" s="31">
        <f>VLOOKUP($A852,kurspris!$A$1:$Q$835,9,FALSE)</f>
        <v>0</v>
      </c>
      <c r="AK852" s="31">
        <f>VLOOKUP($A852,kurspris!$A$1:$Q$835,10,FALSE)</f>
        <v>0</v>
      </c>
      <c r="AL852" s="31">
        <f>VLOOKUP($A852,kurspris!$A$1:$Q$835,11,FALSE)</f>
        <v>0</v>
      </c>
      <c r="AM852" s="31">
        <f>VLOOKUP($A852,kurspris!$A$1:$Q$835,12,FALSE)</f>
        <v>0</v>
      </c>
      <c r="AN852" s="31">
        <f>VLOOKUP($A852,kurspris!$A$1:$Q$835,13,FALSE)</f>
        <v>0</v>
      </c>
      <c r="AO852" s="31">
        <f>VLOOKUP($A852,kurspris!$A$1:$Q$835,14,FALSE)</f>
        <v>0</v>
      </c>
      <c r="AP852" s="39" t="s">
        <v>2095</v>
      </c>
      <c r="AQ852"/>
      <c r="AR852" s="31">
        <f t="shared" si="473"/>
        <v>0</v>
      </c>
      <c r="AS852" s="255">
        <f t="shared" si="474"/>
        <v>0</v>
      </c>
      <c r="AT852" s="31">
        <f t="shared" si="475"/>
        <v>0</v>
      </c>
      <c r="AU852" s="255">
        <f t="shared" si="476"/>
        <v>0</v>
      </c>
      <c r="AV852" s="31">
        <f t="shared" si="477"/>
        <v>0</v>
      </c>
      <c r="AW852" s="31">
        <f t="shared" si="478"/>
        <v>0</v>
      </c>
      <c r="AX852" s="31">
        <f t="shared" si="479"/>
        <v>0</v>
      </c>
      <c r="AY852" s="255">
        <f t="shared" si="480"/>
        <v>0</v>
      </c>
      <c r="AZ852" s="232">
        <f t="shared" si="481"/>
        <v>0</v>
      </c>
      <c r="BA852" s="255">
        <f t="shared" si="482"/>
        <v>0</v>
      </c>
      <c r="BB852" s="31">
        <f t="shared" si="483"/>
        <v>2.5</v>
      </c>
      <c r="BC852" s="255">
        <f t="shared" si="484"/>
        <v>2</v>
      </c>
      <c r="BD852" s="31">
        <f t="shared" si="485"/>
        <v>0</v>
      </c>
      <c r="BE852" s="255">
        <f t="shared" si="486"/>
        <v>0</v>
      </c>
      <c r="BF852" s="31">
        <f t="shared" si="487"/>
        <v>0</v>
      </c>
      <c r="BG852" s="255">
        <f t="shared" si="488"/>
        <v>0</v>
      </c>
      <c r="BH852" s="31">
        <f t="shared" si="489"/>
        <v>0</v>
      </c>
      <c r="BI852" s="255">
        <f t="shared" si="490"/>
        <v>0</v>
      </c>
      <c r="BJ852" s="31">
        <f t="shared" si="491"/>
        <v>0</v>
      </c>
      <c r="BK852" s="31">
        <f t="shared" si="492"/>
        <v>0</v>
      </c>
      <c r="BL852" s="255">
        <f t="shared" si="493"/>
        <v>0</v>
      </c>
      <c r="BM852" s="31">
        <f t="shared" si="494"/>
        <v>0</v>
      </c>
      <c r="BN852" s="255">
        <f t="shared" si="495"/>
        <v>0</v>
      </c>
    </row>
    <row r="853" spans="1:66" x14ac:dyDescent="0.25">
      <c r="A853" s="18" t="s">
        <v>1712</v>
      </c>
      <c r="B853" s="186" t="str">
        <f>VLOOKUP(A853,kurspris!$A$1:$B$877,2,FALSE)</f>
        <v>Magisteruppsats i Pedagogisk yrkesverksamhet</v>
      </c>
      <c r="C853" s="37"/>
      <c r="D853" t="s">
        <v>117</v>
      </c>
      <c r="E853"/>
      <c r="F853" s="59" t="s">
        <v>1931</v>
      </c>
      <c r="G853"/>
      <c r="H853"/>
      <c r="I853" t="s">
        <v>2066</v>
      </c>
      <c r="L853">
        <v>50</v>
      </c>
      <c r="M853">
        <v>15</v>
      </c>
      <c r="P853">
        <v>30</v>
      </c>
      <c r="Q853" s="232">
        <f t="shared" si="468"/>
        <v>7.5</v>
      </c>
      <c r="R853" s="40">
        <v>0.8</v>
      </c>
      <c r="S853" s="334">
        <f t="shared" si="469"/>
        <v>6</v>
      </c>
      <c r="T853" s="31">
        <f>VLOOKUP(A853,'Ansvar kurs'!$A$1:$C$1010,2,FALSE)</f>
        <v>2193</v>
      </c>
      <c r="U853" s="31" t="str">
        <f>VLOOKUP(T853,Orgenheter!$A$1:$C$165,2,FALSE)</f>
        <v xml:space="preserve">TUV </v>
      </c>
      <c r="V853" s="31" t="str">
        <f>VLOOKUP(T853,Orgenheter!$A$1:$C$165,3,FALSE)</f>
        <v>Sam</v>
      </c>
      <c r="W853" s="37" t="str">
        <f>VLOOKUP(D853,Program!$A$1:$B$34,2,FALSE)</f>
        <v>Fristående och övriga kurser</v>
      </c>
      <c r="X853" s="42">
        <f>VLOOKUP(A853,kurspris!$A$1:$Q$798,15,FALSE)</f>
        <v>18405</v>
      </c>
      <c r="Y853" s="42">
        <f>VLOOKUP(A853,kurspris!$A$1:$Q$798,16,FALSE)</f>
        <v>15773</v>
      </c>
      <c r="Z853" s="42">
        <f t="shared" si="470"/>
        <v>232675.5</v>
      </c>
      <c r="AA853" s="42">
        <f>VLOOKUP(A853,kurspris!$A$1:$Q$798,17,FALSE)</f>
        <v>5800</v>
      </c>
      <c r="AB853" s="42">
        <f t="shared" si="471"/>
        <v>43500</v>
      </c>
      <c r="AC853" s="42">
        <f t="shared" si="472"/>
        <v>276175.5</v>
      </c>
      <c r="AD853" s="31">
        <f>VLOOKUP($A853,kurspris!$A$1:$Q$835,3,FALSE)</f>
        <v>0</v>
      </c>
      <c r="AE853" s="31">
        <f>VLOOKUP($A853,kurspris!$A$1:$Q$835,4,FALSE)</f>
        <v>0</v>
      </c>
      <c r="AF853" s="31">
        <f>VLOOKUP($A853,kurspris!$A$1:$Q$835,5,FALSE)</f>
        <v>0</v>
      </c>
      <c r="AG853" s="31">
        <f>VLOOKUP($A853,kurspris!$A$1:$Q$835,6,FALSE)</f>
        <v>0</v>
      </c>
      <c r="AH853" s="31">
        <f>VLOOKUP($A853,kurspris!$A$1:$Q$835,7,FALSE)</f>
        <v>0</v>
      </c>
      <c r="AI853" s="31">
        <f>VLOOKUP($A853,kurspris!$A$1:$Q$835,8,FALSE)</f>
        <v>0</v>
      </c>
      <c r="AJ853" s="31">
        <f>VLOOKUP($A853,kurspris!$A$1:$Q$835,9,FALSE)</f>
        <v>1</v>
      </c>
      <c r="AK853" s="31">
        <f>VLOOKUP($A853,kurspris!$A$1:$Q$835,10,FALSE)</f>
        <v>0</v>
      </c>
      <c r="AL853" s="31">
        <f>VLOOKUP($A853,kurspris!$A$1:$Q$835,11,FALSE)</f>
        <v>0</v>
      </c>
      <c r="AM853" s="31">
        <f>VLOOKUP($A853,kurspris!$A$1:$Q$835,12,FALSE)</f>
        <v>0</v>
      </c>
      <c r="AN853" s="31">
        <f>VLOOKUP($A853,kurspris!$A$1:$Q$835,13,FALSE)</f>
        <v>0</v>
      </c>
      <c r="AO853" s="31">
        <f>VLOOKUP($A853,kurspris!$A$1:$Q$835,14,FALSE)</f>
        <v>0</v>
      </c>
      <c r="AP853" s="39" t="s">
        <v>2095</v>
      </c>
      <c r="AQ853"/>
      <c r="AR853" s="31">
        <f t="shared" si="473"/>
        <v>0</v>
      </c>
      <c r="AS853" s="255">
        <f t="shared" si="474"/>
        <v>0</v>
      </c>
      <c r="AT853" s="31">
        <f t="shared" si="475"/>
        <v>0</v>
      </c>
      <c r="AU853" s="255">
        <f t="shared" si="476"/>
        <v>0</v>
      </c>
      <c r="AV853" s="31">
        <f t="shared" si="477"/>
        <v>0</v>
      </c>
      <c r="AW853" s="31">
        <f t="shared" si="478"/>
        <v>0</v>
      </c>
      <c r="AX853" s="31">
        <f t="shared" si="479"/>
        <v>0</v>
      </c>
      <c r="AY853" s="255">
        <f t="shared" si="480"/>
        <v>0</v>
      </c>
      <c r="AZ853" s="232">
        <f t="shared" si="481"/>
        <v>0</v>
      </c>
      <c r="BA853" s="255">
        <f t="shared" si="482"/>
        <v>0</v>
      </c>
      <c r="BB853" s="31">
        <f t="shared" si="483"/>
        <v>0</v>
      </c>
      <c r="BC853" s="255">
        <f t="shared" si="484"/>
        <v>0</v>
      </c>
      <c r="BD853" s="31">
        <f t="shared" si="485"/>
        <v>7.5</v>
      </c>
      <c r="BE853" s="255">
        <f t="shared" si="486"/>
        <v>6</v>
      </c>
      <c r="BF853" s="31">
        <f t="shared" si="487"/>
        <v>0</v>
      </c>
      <c r="BG853" s="255">
        <f t="shared" si="488"/>
        <v>0</v>
      </c>
      <c r="BH853" s="31">
        <f t="shared" si="489"/>
        <v>0</v>
      </c>
      <c r="BI853" s="255">
        <f t="shared" si="490"/>
        <v>0</v>
      </c>
      <c r="BJ853" s="31">
        <f t="shared" si="491"/>
        <v>0</v>
      </c>
      <c r="BK853" s="31">
        <f t="shared" si="492"/>
        <v>0</v>
      </c>
      <c r="BL853" s="255">
        <f t="shared" si="493"/>
        <v>0</v>
      </c>
      <c r="BM853" s="31">
        <f t="shared" si="494"/>
        <v>0</v>
      </c>
      <c r="BN853" s="255">
        <f t="shared" si="495"/>
        <v>0</v>
      </c>
    </row>
    <row r="854" spans="1:66" x14ac:dyDescent="0.25">
      <c r="A854" s="18" t="s">
        <v>1713</v>
      </c>
      <c r="B854" s="186" t="str">
        <f>VLOOKUP(A854,kurspris!$A$1:$B$877,2,FALSE)</f>
        <v>Magisteruppsats i Pedagogisk yrkesverksamhet</v>
      </c>
      <c r="C854" s="37"/>
      <c r="D854" t="s">
        <v>117</v>
      </c>
      <c r="E854"/>
      <c r="F854" s="59" t="s">
        <v>1931</v>
      </c>
      <c r="G854"/>
      <c r="H854"/>
      <c r="I854" t="s">
        <v>2066</v>
      </c>
      <c r="L854">
        <v>100</v>
      </c>
      <c r="M854">
        <v>30</v>
      </c>
      <c r="P854">
        <v>30</v>
      </c>
      <c r="Q854" s="232">
        <f t="shared" si="468"/>
        <v>15</v>
      </c>
      <c r="R854" s="40">
        <v>0.8</v>
      </c>
      <c r="S854" s="334">
        <f t="shared" si="469"/>
        <v>12</v>
      </c>
      <c r="T854" s="31">
        <f>VLOOKUP(A854,'Ansvar kurs'!$A$1:$C$1010,2,FALSE)</f>
        <v>2193</v>
      </c>
      <c r="U854" s="31" t="str">
        <f>VLOOKUP(T854,Orgenheter!$A$1:$C$165,2,FALSE)</f>
        <v xml:space="preserve">TUV </v>
      </c>
      <c r="V854" s="31" t="str">
        <f>VLOOKUP(T854,Orgenheter!$A$1:$C$165,3,FALSE)</f>
        <v>Sam</v>
      </c>
      <c r="W854" s="37" t="str">
        <f>VLOOKUP(D854,Program!$A$1:$B$34,2,FALSE)</f>
        <v>Fristående och övriga kurser</v>
      </c>
      <c r="X854" s="42">
        <f>VLOOKUP(A854,kurspris!$A$1:$Q$798,15,FALSE)</f>
        <v>18405</v>
      </c>
      <c r="Y854" s="42">
        <f>VLOOKUP(A854,kurspris!$A$1:$Q$798,16,FALSE)</f>
        <v>15773</v>
      </c>
      <c r="Z854" s="42">
        <f t="shared" si="470"/>
        <v>465351</v>
      </c>
      <c r="AA854" s="42">
        <f>VLOOKUP(A854,kurspris!$A$1:$Q$798,17,FALSE)</f>
        <v>5800</v>
      </c>
      <c r="AB854" s="42">
        <f t="shared" si="471"/>
        <v>87000</v>
      </c>
      <c r="AC854" s="42">
        <f t="shared" si="472"/>
        <v>552351</v>
      </c>
      <c r="AD854" s="31">
        <f>VLOOKUP($A854,kurspris!$A$1:$Q$835,3,FALSE)</f>
        <v>0</v>
      </c>
      <c r="AE854" s="31">
        <f>VLOOKUP($A854,kurspris!$A$1:$Q$835,4,FALSE)</f>
        <v>0</v>
      </c>
      <c r="AF854" s="31">
        <f>VLOOKUP($A854,kurspris!$A$1:$Q$835,5,FALSE)</f>
        <v>0</v>
      </c>
      <c r="AG854" s="31">
        <f>VLOOKUP($A854,kurspris!$A$1:$Q$835,6,FALSE)</f>
        <v>0</v>
      </c>
      <c r="AH854" s="31">
        <f>VLOOKUP($A854,kurspris!$A$1:$Q$835,7,FALSE)</f>
        <v>0</v>
      </c>
      <c r="AI854" s="31">
        <f>VLOOKUP($A854,kurspris!$A$1:$Q$835,8,FALSE)</f>
        <v>0</v>
      </c>
      <c r="AJ854" s="31">
        <f>VLOOKUP($A854,kurspris!$A$1:$Q$835,9,FALSE)</f>
        <v>1</v>
      </c>
      <c r="AK854" s="31">
        <f>VLOOKUP($A854,kurspris!$A$1:$Q$835,10,FALSE)</f>
        <v>0</v>
      </c>
      <c r="AL854" s="31">
        <f>VLOOKUP($A854,kurspris!$A$1:$Q$835,11,FALSE)</f>
        <v>0</v>
      </c>
      <c r="AM854" s="31">
        <f>VLOOKUP($A854,kurspris!$A$1:$Q$835,12,FALSE)</f>
        <v>0</v>
      </c>
      <c r="AN854" s="31">
        <f>VLOOKUP($A854,kurspris!$A$1:$Q$835,13,FALSE)</f>
        <v>0</v>
      </c>
      <c r="AO854" s="31">
        <f>VLOOKUP($A854,kurspris!$A$1:$Q$835,14,FALSE)</f>
        <v>0</v>
      </c>
      <c r="AP854" s="39" t="s">
        <v>2095</v>
      </c>
      <c r="AQ854"/>
      <c r="AR854" s="31">
        <f t="shared" si="473"/>
        <v>0</v>
      </c>
      <c r="AS854" s="255">
        <f t="shared" si="474"/>
        <v>0</v>
      </c>
      <c r="AT854" s="31">
        <f t="shared" si="475"/>
        <v>0</v>
      </c>
      <c r="AU854" s="255">
        <f t="shared" si="476"/>
        <v>0</v>
      </c>
      <c r="AV854" s="31">
        <f t="shared" si="477"/>
        <v>0</v>
      </c>
      <c r="AW854" s="31">
        <f t="shared" si="478"/>
        <v>0</v>
      </c>
      <c r="AX854" s="31">
        <f t="shared" si="479"/>
        <v>0</v>
      </c>
      <c r="AY854" s="255">
        <f t="shared" si="480"/>
        <v>0</v>
      </c>
      <c r="AZ854" s="232">
        <f t="shared" si="481"/>
        <v>0</v>
      </c>
      <c r="BA854" s="255">
        <f t="shared" si="482"/>
        <v>0</v>
      </c>
      <c r="BB854" s="31">
        <f t="shared" si="483"/>
        <v>0</v>
      </c>
      <c r="BC854" s="255">
        <f t="shared" si="484"/>
        <v>0</v>
      </c>
      <c r="BD854" s="31">
        <f t="shared" si="485"/>
        <v>15</v>
      </c>
      <c r="BE854" s="255">
        <f t="shared" si="486"/>
        <v>12</v>
      </c>
      <c r="BF854" s="31">
        <f t="shared" si="487"/>
        <v>0</v>
      </c>
      <c r="BG854" s="255">
        <f t="shared" si="488"/>
        <v>0</v>
      </c>
      <c r="BH854" s="31">
        <f t="shared" si="489"/>
        <v>0</v>
      </c>
      <c r="BI854" s="255">
        <f t="shared" si="490"/>
        <v>0</v>
      </c>
      <c r="BJ854" s="31">
        <f t="shared" si="491"/>
        <v>0</v>
      </c>
      <c r="BK854" s="31">
        <f t="shared" si="492"/>
        <v>0</v>
      </c>
      <c r="BL854" s="255">
        <f t="shared" si="493"/>
        <v>0</v>
      </c>
      <c r="BM854" s="31">
        <f t="shared" si="494"/>
        <v>0</v>
      </c>
      <c r="BN854" s="255">
        <f t="shared" si="495"/>
        <v>0</v>
      </c>
    </row>
    <row r="855" spans="1:66" x14ac:dyDescent="0.25">
      <c r="A855" s="18" t="s">
        <v>1716</v>
      </c>
      <c r="B855" s="186" t="str">
        <f>VLOOKUP(A855,kurspris!$A$1:$B$877,2,FALSE)</f>
        <v>Trygga lärmiljöer, identitet och intersektionalitet</v>
      </c>
      <c r="C855" s="37"/>
      <c r="D855" t="s">
        <v>117</v>
      </c>
      <c r="E855"/>
      <c r="F855" s="59" t="s">
        <v>1931</v>
      </c>
      <c r="G855"/>
      <c r="H855"/>
      <c r="I855" t="s">
        <v>2066</v>
      </c>
      <c r="L855">
        <v>50</v>
      </c>
      <c r="M855">
        <v>15</v>
      </c>
      <c r="P855">
        <v>40</v>
      </c>
      <c r="Q855" s="232">
        <f t="shared" si="468"/>
        <v>10</v>
      </c>
      <c r="R855" s="40">
        <v>0.8</v>
      </c>
      <c r="S855" s="334">
        <f t="shared" si="469"/>
        <v>8</v>
      </c>
      <c r="T855" s="31">
        <f>VLOOKUP(A855,'Ansvar kurs'!$A$1:$C$1010,2,FALSE)</f>
        <v>2193</v>
      </c>
      <c r="U855" s="31" t="str">
        <f>VLOOKUP(T855,Orgenheter!$A$1:$C$165,2,FALSE)</f>
        <v xml:space="preserve">TUV </v>
      </c>
      <c r="V855" s="31" t="str">
        <f>VLOOKUP(T855,Orgenheter!$A$1:$C$165,3,FALSE)</f>
        <v>Sam</v>
      </c>
      <c r="W855" s="37" t="str">
        <f>VLOOKUP(D855,Program!$A$1:$B$34,2,FALSE)</f>
        <v>Fristående och övriga kurser</v>
      </c>
      <c r="X855" s="42">
        <f>VLOOKUP(A855,kurspris!$A$1:$Q$798,15,FALSE)</f>
        <v>18405</v>
      </c>
      <c r="Y855" s="42">
        <f>VLOOKUP(A855,kurspris!$A$1:$Q$798,16,FALSE)</f>
        <v>15773</v>
      </c>
      <c r="Z855" s="42">
        <f t="shared" si="470"/>
        <v>310234</v>
      </c>
      <c r="AA855" s="42">
        <f>VLOOKUP(A855,kurspris!$A$1:$Q$798,17,FALSE)</f>
        <v>5800</v>
      </c>
      <c r="AB855" s="42">
        <f t="shared" si="471"/>
        <v>58000</v>
      </c>
      <c r="AC855" s="42">
        <f t="shared" si="472"/>
        <v>368234</v>
      </c>
      <c r="AD855" s="31">
        <f>VLOOKUP($A855,kurspris!$A$1:$Q$835,3,FALSE)</f>
        <v>0</v>
      </c>
      <c r="AE855" s="31">
        <f>VLOOKUP($A855,kurspris!$A$1:$Q$835,4,FALSE)</f>
        <v>0</v>
      </c>
      <c r="AF855" s="31">
        <f>VLOOKUP($A855,kurspris!$A$1:$Q$835,5,FALSE)</f>
        <v>0</v>
      </c>
      <c r="AG855" s="31">
        <f>VLOOKUP($A855,kurspris!$A$1:$Q$835,6,FALSE)</f>
        <v>0</v>
      </c>
      <c r="AH855" s="31">
        <f>VLOOKUP($A855,kurspris!$A$1:$Q$835,7,FALSE)</f>
        <v>0</v>
      </c>
      <c r="AI855" s="31">
        <f>VLOOKUP($A855,kurspris!$A$1:$Q$835,8,FALSE)</f>
        <v>0</v>
      </c>
      <c r="AJ855" s="31">
        <f>VLOOKUP($A855,kurspris!$A$1:$Q$835,9,FALSE)</f>
        <v>1</v>
      </c>
      <c r="AK855" s="31">
        <f>VLOOKUP($A855,kurspris!$A$1:$Q$835,10,FALSE)</f>
        <v>0</v>
      </c>
      <c r="AL855" s="31">
        <f>VLOOKUP($A855,kurspris!$A$1:$Q$835,11,FALSE)</f>
        <v>0</v>
      </c>
      <c r="AM855" s="31">
        <f>VLOOKUP($A855,kurspris!$A$1:$Q$835,12,FALSE)</f>
        <v>0</v>
      </c>
      <c r="AN855" s="31">
        <f>VLOOKUP($A855,kurspris!$A$1:$Q$835,13,FALSE)</f>
        <v>0</v>
      </c>
      <c r="AO855" s="31">
        <f>VLOOKUP($A855,kurspris!$A$1:$Q$835,14,FALSE)</f>
        <v>0</v>
      </c>
      <c r="AP855" s="39" t="s">
        <v>2095</v>
      </c>
      <c r="AQ855"/>
      <c r="AR855" s="31">
        <f t="shared" si="473"/>
        <v>0</v>
      </c>
      <c r="AS855" s="255">
        <f t="shared" si="474"/>
        <v>0</v>
      </c>
      <c r="AT855" s="31">
        <f t="shared" si="475"/>
        <v>0</v>
      </c>
      <c r="AU855" s="255">
        <f t="shared" si="476"/>
        <v>0</v>
      </c>
      <c r="AV855" s="31">
        <f t="shared" si="477"/>
        <v>0</v>
      </c>
      <c r="AW855" s="31">
        <f t="shared" si="478"/>
        <v>0</v>
      </c>
      <c r="AX855" s="31">
        <f t="shared" si="479"/>
        <v>0</v>
      </c>
      <c r="AY855" s="255">
        <f t="shared" si="480"/>
        <v>0</v>
      </c>
      <c r="AZ855" s="232">
        <f t="shared" si="481"/>
        <v>0</v>
      </c>
      <c r="BA855" s="255">
        <f t="shared" si="482"/>
        <v>0</v>
      </c>
      <c r="BB855" s="31">
        <f t="shared" si="483"/>
        <v>0</v>
      </c>
      <c r="BC855" s="255">
        <f t="shared" si="484"/>
        <v>0</v>
      </c>
      <c r="BD855" s="31">
        <f t="shared" si="485"/>
        <v>10</v>
      </c>
      <c r="BE855" s="255">
        <f t="shared" si="486"/>
        <v>8</v>
      </c>
      <c r="BF855" s="31">
        <f t="shared" si="487"/>
        <v>0</v>
      </c>
      <c r="BG855" s="255">
        <f t="shared" si="488"/>
        <v>0</v>
      </c>
      <c r="BH855" s="31">
        <f t="shared" si="489"/>
        <v>0</v>
      </c>
      <c r="BI855" s="255">
        <f t="shared" si="490"/>
        <v>0</v>
      </c>
      <c r="BJ855" s="31">
        <f t="shared" si="491"/>
        <v>0</v>
      </c>
      <c r="BK855" s="31">
        <f t="shared" si="492"/>
        <v>0</v>
      </c>
      <c r="BL855" s="255">
        <f t="shared" si="493"/>
        <v>0</v>
      </c>
      <c r="BM855" s="31">
        <f t="shared" si="494"/>
        <v>0</v>
      </c>
      <c r="BN855" s="255">
        <f t="shared" si="495"/>
        <v>0</v>
      </c>
    </row>
    <row r="856" spans="1:66" x14ac:dyDescent="0.25">
      <c r="A856" s="18" t="s">
        <v>1740</v>
      </c>
      <c r="B856" s="186" t="str">
        <f>VLOOKUP(A856,kurspris!$A$1:$B$877,2,FALSE)</f>
        <v>Normkritisk genuspedagogik</v>
      </c>
      <c r="C856" s="37"/>
      <c r="D856" t="s">
        <v>117</v>
      </c>
      <c r="E856"/>
      <c r="F856" s="59" t="s">
        <v>1931</v>
      </c>
      <c r="G856"/>
      <c r="H856"/>
      <c r="I856" t="s">
        <v>2066</v>
      </c>
      <c r="L856">
        <v>50</v>
      </c>
      <c r="M856">
        <v>15</v>
      </c>
      <c r="P856">
        <v>20</v>
      </c>
      <c r="Q856" s="232">
        <f t="shared" si="468"/>
        <v>5</v>
      </c>
      <c r="R856" s="40">
        <v>0.8</v>
      </c>
      <c r="S856" s="334">
        <f t="shared" si="469"/>
        <v>4</v>
      </c>
      <c r="T856" s="31">
        <f>VLOOKUP(A856,'Ansvar kurs'!$A$1:$C$1010,2,FALSE)</f>
        <v>2193</v>
      </c>
      <c r="U856" s="31" t="str">
        <f>VLOOKUP(T856,Orgenheter!$A$1:$C$165,2,FALSE)</f>
        <v xml:space="preserve">TUV </v>
      </c>
      <c r="V856" s="31" t="str">
        <f>VLOOKUP(T856,Orgenheter!$A$1:$C$165,3,FALSE)</f>
        <v>Sam</v>
      </c>
      <c r="W856" s="37" t="str">
        <f>VLOOKUP(D856,Program!$A$1:$B$34,2,FALSE)</f>
        <v>Fristående och övriga kurser</v>
      </c>
      <c r="X856" s="42">
        <f>VLOOKUP(A856,kurspris!$A$1:$Q$798,15,FALSE)</f>
        <v>18405</v>
      </c>
      <c r="Y856" s="42">
        <f>VLOOKUP(A856,kurspris!$A$1:$Q$798,16,FALSE)</f>
        <v>15773</v>
      </c>
      <c r="Z856" s="42">
        <f t="shared" si="470"/>
        <v>155117</v>
      </c>
      <c r="AA856" s="42">
        <f>VLOOKUP(A856,kurspris!$A$1:$Q$798,17,FALSE)</f>
        <v>5800</v>
      </c>
      <c r="AB856" s="42">
        <f t="shared" si="471"/>
        <v>29000</v>
      </c>
      <c r="AC856" s="42">
        <f t="shared" si="472"/>
        <v>184117</v>
      </c>
      <c r="AD856" s="31">
        <f>VLOOKUP($A856,kurspris!$A$1:$Q$835,3,FALSE)</f>
        <v>0</v>
      </c>
      <c r="AE856" s="31">
        <f>VLOOKUP($A856,kurspris!$A$1:$Q$835,4,FALSE)</f>
        <v>0</v>
      </c>
      <c r="AF856" s="31">
        <f>VLOOKUP($A856,kurspris!$A$1:$Q$835,5,FALSE)</f>
        <v>0</v>
      </c>
      <c r="AG856" s="31">
        <f>VLOOKUP($A856,kurspris!$A$1:$Q$835,6,FALSE)</f>
        <v>0</v>
      </c>
      <c r="AH856" s="31">
        <f>VLOOKUP($A856,kurspris!$A$1:$Q$835,7,FALSE)</f>
        <v>0</v>
      </c>
      <c r="AI856" s="31">
        <f>VLOOKUP($A856,kurspris!$A$1:$Q$835,8,FALSE)</f>
        <v>0</v>
      </c>
      <c r="AJ856" s="31">
        <f>VLOOKUP($A856,kurspris!$A$1:$Q$835,9,FALSE)</f>
        <v>1</v>
      </c>
      <c r="AK856" s="31">
        <f>VLOOKUP($A856,kurspris!$A$1:$Q$835,10,FALSE)</f>
        <v>0</v>
      </c>
      <c r="AL856" s="31">
        <f>VLOOKUP($A856,kurspris!$A$1:$Q$835,11,FALSE)</f>
        <v>0</v>
      </c>
      <c r="AM856" s="31">
        <f>VLOOKUP($A856,kurspris!$A$1:$Q$835,12,FALSE)</f>
        <v>0</v>
      </c>
      <c r="AN856" s="31">
        <f>VLOOKUP($A856,kurspris!$A$1:$Q$835,13,FALSE)</f>
        <v>0</v>
      </c>
      <c r="AO856" s="31">
        <f>VLOOKUP($A856,kurspris!$A$1:$Q$835,14,FALSE)</f>
        <v>0</v>
      </c>
      <c r="AP856" s="39" t="s">
        <v>2095</v>
      </c>
      <c r="AQ856"/>
      <c r="AR856" s="31">
        <f t="shared" si="473"/>
        <v>0</v>
      </c>
      <c r="AS856" s="255">
        <f t="shared" si="474"/>
        <v>0</v>
      </c>
      <c r="AT856" s="31">
        <f t="shared" si="475"/>
        <v>0</v>
      </c>
      <c r="AU856" s="255">
        <f t="shared" si="476"/>
        <v>0</v>
      </c>
      <c r="AV856" s="31">
        <f t="shared" si="477"/>
        <v>0</v>
      </c>
      <c r="AW856" s="31">
        <f t="shared" si="478"/>
        <v>0</v>
      </c>
      <c r="AX856" s="31">
        <f t="shared" si="479"/>
        <v>0</v>
      </c>
      <c r="AY856" s="255">
        <f t="shared" si="480"/>
        <v>0</v>
      </c>
      <c r="AZ856" s="232">
        <f t="shared" si="481"/>
        <v>0</v>
      </c>
      <c r="BA856" s="255">
        <f t="shared" si="482"/>
        <v>0</v>
      </c>
      <c r="BB856" s="31">
        <f t="shared" si="483"/>
        <v>0</v>
      </c>
      <c r="BC856" s="255">
        <f t="shared" si="484"/>
        <v>0</v>
      </c>
      <c r="BD856" s="31">
        <f t="shared" si="485"/>
        <v>5</v>
      </c>
      <c r="BE856" s="255">
        <f t="shared" si="486"/>
        <v>4</v>
      </c>
      <c r="BF856" s="31">
        <f t="shared" si="487"/>
        <v>0</v>
      </c>
      <c r="BG856" s="255">
        <f t="shared" si="488"/>
        <v>0</v>
      </c>
      <c r="BH856" s="31">
        <f t="shared" si="489"/>
        <v>0</v>
      </c>
      <c r="BI856" s="255">
        <f t="shared" si="490"/>
        <v>0</v>
      </c>
      <c r="BJ856" s="31">
        <f t="shared" si="491"/>
        <v>0</v>
      </c>
      <c r="BK856" s="31">
        <f t="shared" si="492"/>
        <v>0</v>
      </c>
      <c r="BL856" s="255">
        <f t="shared" si="493"/>
        <v>0</v>
      </c>
      <c r="BM856" s="31">
        <f t="shared" si="494"/>
        <v>0</v>
      </c>
      <c r="BN856" s="255">
        <f t="shared" si="495"/>
        <v>0</v>
      </c>
    </row>
    <row r="857" spans="1:66" x14ac:dyDescent="0.25">
      <c r="A857" s="18" t="s">
        <v>2211</v>
      </c>
      <c r="B857" s="186" t="str">
        <f>VLOOKUP(A857,kurspris!$A$1:$B$877,2,FALSE)</f>
        <v>Barns och ungas identitetsskapande på nätet</v>
      </c>
      <c r="C857" s="37"/>
      <c r="D857" t="s">
        <v>117</v>
      </c>
      <c r="E857"/>
      <c r="F857" s="59" t="s">
        <v>1930</v>
      </c>
      <c r="G857"/>
      <c r="H857"/>
      <c r="I857" t="s">
        <v>2066</v>
      </c>
      <c r="L857">
        <v>50</v>
      </c>
      <c r="M857">
        <v>7.5</v>
      </c>
      <c r="P857" s="31">
        <v>9</v>
      </c>
      <c r="Q857" s="232">
        <f t="shared" si="468"/>
        <v>1.125</v>
      </c>
      <c r="R857" s="40">
        <v>0.8</v>
      </c>
      <c r="S857" s="334">
        <f t="shared" si="469"/>
        <v>0.9</v>
      </c>
      <c r="T857" s="31">
        <f>VLOOKUP(A857,'Ansvar kurs'!$A$1:$C$1010,2,FALSE)</f>
        <v>2193</v>
      </c>
      <c r="U857" s="31" t="str">
        <f>VLOOKUP(T857,Orgenheter!$A$1:$C$165,2,FALSE)</f>
        <v xml:space="preserve">TUV </v>
      </c>
      <c r="V857" s="31" t="str">
        <f>VLOOKUP(T857,Orgenheter!$A$1:$C$165,3,FALSE)</f>
        <v>Sam</v>
      </c>
      <c r="W857" s="37" t="str">
        <f>VLOOKUP(D857,Program!$A$1:$B$34,2,FALSE)</f>
        <v>Fristående och övriga kurser</v>
      </c>
      <c r="X857" s="42">
        <f>VLOOKUP(A857,kurspris!$A$1:$Q$798,15,FALSE)</f>
        <v>18405</v>
      </c>
      <c r="Y857" s="42">
        <f>VLOOKUP(A857,kurspris!$A$1:$Q$798,16,FALSE)</f>
        <v>15773</v>
      </c>
      <c r="Z857" s="42">
        <f t="shared" si="470"/>
        <v>34901.324999999997</v>
      </c>
      <c r="AA857" s="42">
        <f>VLOOKUP(A857,kurspris!$A$1:$Q$798,17,FALSE)</f>
        <v>5800</v>
      </c>
      <c r="AB857" s="42">
        <f t="shared" si="471"/>
        <v>6525</v>
      </c>
      <c r="AC857" s="42">
        <f t="shared" si="472"/>
        <v>41426.324999999997</v>
      </c>
      <c r="AD857" s="31">
        <f>VLOOKUP($A857,kurspris!$A$1:$Q$835,3,FALSE)</f>
        <v>0</v>
      </c>
      <c r="AE857" s="31">
        <f>VLOOKUP($A857,kurspris!$A$1:$Q$835,4,FALSE)</f>
        <v>0</v>
      </c>
      <c r="AF857" s="31">
        <f>VLOOKUP($A857,kurspris!$A$1:$Q$835,5,FALSE)</f>
        <v>0</v>
      </c>
      <c r="AG857" s="31">
        <f>VLOOKUP($A857,kurspris!$A$1:$Q$835,6,FALSE)</f>
        <v>0</v>
      </c>
      <c r="AH857" s="31">
        <f>VLOOKUP($A857,kurspris!$A$1:$Q$835,7,FALSE)</f>
        <v>0</v>
      </c>
      <c r="AI857" s="31">
        <f>VLOOKUP($A857,kurspris!$A$1:$Q$835,8,FALSE)</f>
        <v>0</v>
      </c>
      <c r="AJ857" s="31">
        <f>VLOOKUP($A857,kurspris!$A$1:$Q$835,9,FALSE)</f>
        <v>1</v>
      </c>
      <c r="AK857" s="31">
        <f>VLOOKUP($A857,kurspris!$A$1:$Q$835,10,FALSE)</f>
        <v>0</v>
      </c>
      <c r="AL857" s="31">
        <f>VLOOKUP($A857,kurspris!$A$1:$Q$835,11,FALSE)</f>
        <v>0</v>
      </c>
      <c r="AM857" s="31">
        <f>VLOOKUP($A857,kurspris!$A$1:$Q$835,12,FALSE)</f>
        <v>0</v>
      </c>
      <c r="AN857" s="31">
        <f>VLOOKUP($A857,kurspris!$A$1:$Q$835,13,FALSE)</f>
        <v>0</v>
      </c>
      <c r="AO857" s="31">
        <f>VLOOKUP($A857,kurspris!$A$1:$Q$835,14,FALSE)</f>
        <v>0</v>
      </c>
      <c r="AP857" s="39" t="s">
        <v>2204</v>
      </c>
      <c r="AQ857" s="39" t="s">
        <v>2095</v>
      </c>
      <c r="AR857" s="31">
        <f t="shared" si="473"/>
        <v>0</v>
      </c>
      <c r="AS857" s="255">
        <f t="shared" si="474"/>
        <v>0</v>
      </c>
      <c r="AT857" s="31">
        <f t="shared" si="475"/>
        <v>0</v>
      </c>
      <c r="AU857" s="255">
        <f t="shared" si="476"/>
        <v>0</v>
      </c>
      <c r="AV857" s="31">
        <f t="shared" si="477"/>
        <v>0</v>
      </c>
      <c r="AW857" s="31">
        <f t="shared" si="478"/>
        <v>0</v>
      </c>
      <c r="AX857" s="31">
        <f t="shared" si="479"/>
        <v>0</v>
      </c>
      <c r="AY857" s="255">
        <f t="shared" si="480"/>
        <v>0</v>
      </c>
      <c r="AZ857" s="232">
        <f t="shared" si="481"/>
        <v>0</v>
      </c>
      <c r="BA857" s="255">
        <f t="shared" si="482"/>
        <v>0</v>
      </c>
      <c r="BB857" s="31">
        <f t="shared" si="483"/>
        <v>0</v>
      </c>
      <c r="BC857" s="255">
        <f t="shared" si="484"/>
        <v>0</v>
      </c>
      <c r="BD857" s="31">
        <f t="shared" si="485"/>
        <v>1.125</v>
      </c>
      <c r="BE857" s="255">
        <f t="shared" si="486"/>
        <v>0.9</v>
      </c>
      <c r="BF857" s="31">
        <f t="shared" si="487"/>
        <v>0</v>
      </c>
      <c r="BG857" s="255">
        <f t="shared" si="488"/>
        <v>0</v>
      </c>
      <c r="BH857" s="31">
        <f t="shared" si="489"/>
        <v>0</v>
      </c>
      <c r="BI857" s="255">
        <f t="shared" si="490"/>
        <v>0</v>
      </c>
      <c r="BJ857" s="31">
        <f t="shared" si="491"/>
        <v>0</v>
      </c>
      <c r="BK857" s="31">
        <f t="shared" si="492"/>
        <v>0</v>
      </c>
      <c r="BL857" s="255">
        <f t="shared" si="493"/>
        <v>0</v>
      </c>
      <c r="BM857" s="31">
        <f t="shared" si="494"/>
        <v>0</v>
      </c>
      <c r="BN857" s="255">
        <f t="shared" si="495"/>
        <v>0</v>
      </c>
    </row>
    <row r="858" spans="1:66" x14ac:dyDescent="0.25">
      <c r="A858" s="18" t="s">
        <v>2212</v>
      </c>
      <c r="B858" s="186" t="str">
        <f>VLOOKUP(A858,kurspris!$A$1:$B$877,2,FALSE)</f>
        <v>Mobbning och kränkande handlingar i teori och praktik</v>
      </c>
      <c r="C858" s="37"/>
      <c r="D858" t="s">
        <v>117</v>
      </c>
      <c r="E858"/>
      <c r="F858" s="59" t="s">
        <v>1930</v>
      </c>
      <c r="G858"/>
      <c r="H858"/>
      <c r="I858" t="s">
        <v>2066</v>
      </c>
      <c r="L858">
        <v>50</v>
      </c>
      <c r="M858">
        <v>7.5</v>
      </c>
      <c r="P858" s="31">
        <v>13</v>
      </c>
      <c r="Q858" s="232">
        <f t="shared" si="468"/>
        <v>1.625</v>
      </c>
      <c r="R858" s="40">
        <v>0.8</v>
      </c>
      <c r="S858" s="334">
        <f t="shared" si="469"/>
        <v>1.3</v>
      </c>
      <c r="T858" s="31">
        <f>VLOOKUP(A858,'Ansvar kurs'!$A$1:$C$1010,2,FALSE)</f>
        <v>2193</v>
      </c>
      <c r="U858" s="31" t="str">
        <f>VLOOKUP(T858,Orgenheter!$A$1:$C$165,2,FALSE)</f>
        <v xml:space="preserve">TUV </v>
      </c>
      <c r="V858" s="31" t="str">
        <f>VLOOKUP(T858,Orgenheter!$A$1:$C$165,3,FALSE)</f>
        <v>Sam</v>
      </c>
      <c r="W858" s="37" t="str">
        <f>VLOOKUP(D858,Program!$A$1:$B$34,2,FALSE)</f>
        <v>Fristående och övriga kurser</v>
      </c>
      <c r="X858" s="42">
        <f>VLOOKUP(A858,kurspris!$A$1:$Q$798,15,FALSE)</f>
        <v>18405</v>
      </c>
      <c r="Y858" s="42">
        <f>VLOOKUP(A858,kurspris!$A$1:$Q$798,16,FALSE)</f>
        <v>15773</v>
      </c>
      <c r="Z858" s="42">
        <f t="shared" si="470"/>
        <v>50413.025000000001</v>
      </c>
      <c r="AA858" s="42">
        <f>VLOOKUP(A858,kurspris!$A$1:$Q$798,17,FALSE)</f>
        <v>5800</v>
      </c>
      <c r="AB858" s="42">
        <f t="shared" si="471"/>
        <v>9425</v>
      </c>
      <c r="AC858" s="42">
        <f t="shared" si="472"/>
        <v>59838.025000000001</v>
      </c>
      <c r="AD858" s="31">
        <f>VLOOKUP($A858,kurspris!$A$1:$Q$835,3,FALSE)</f>
        <v>0</v>
      </c>
      <c r="AE858" s="31">
        <f>VLOOKUP($A858,kurspris!$A$1:$Q$835,4,FALSE)</f>
        <v>0</v>
      </c>
      <c r="AF858" s="31">
        <f>VLOOKUP($A858,kurspris!$A$1:$Q$835,5,FALSE)</f>
        <v>0</v>
      </c>
      <c r="AG858" s="31">
        <f>VLOOKUP($A858,kurspris!$A$1:$Q$835,6,FALSE)</f>
        <v>0</v>
      </c>
      <c r="AH858" s="31">
        <f>VLOOKUP($A858,kurspris!$A$1:$Q$835,7,FALSE)</f>
        <v>0</v>
      </c>
      <c r="AI858" s="31">
        <f>VLOOKUP($A858,kurspris!$A$1:$Q$835,8,FALSE)</f>
        <v>0</v>
      </c>
      <c r="AJ858" s="31">
        <f>VLOOKUP($A858,kurspris!$A$1:$Q$835,9,FALSE)</f>
        <v>1</v>
      </c>
      <c r="AK858" s="31">
        <f>VLOOKUP($A858,kurspris!$A$1:$Q$835,10,FALSE)</f>
        <v>0</v>
      </c>
      <c r="AL858" s="31">
        <f>VLOOKUP($A858,kurspris!$A$1:$Q$835,11,FALSE)</f>
        <v>0</v>
      </c>
      <c r="AM858" s="31">
        <f>VLOOKUP($A858,kurspris!$A$1:$Q$835,12,FALSE)</f>
        <v>0</v>
      </c>
      <c r="AN858" s="31">
        <f>VLOOKUP($A858,kurspris!$A$1:$Q$835,13,FALSE)</f>
        <v>0</v>
      </c>
      <c r="AO858" s="31">
        <f>VLOOKUP($A858,kurspris!$A$1:$Q$835,14,FALSE)</f>
        <v>0</v>
      </c>
      <c r="AP858" s="39" t="s">
        <v>2204</v>
      </c>
      <c r="AQ858" s="39" t="s">
        <v>2095</v>
      </c>
      <c r="AR858" s="31">
        <f t="shared" si="473"/>
        <v>0</v>
      </c>
      <c r="AS858" s="255">
        <f t="shared" si="474"/>
        <v>0</v>
      </c>
      <c r="AT858" s="31">
        <f t="shared" si="475"/>
        <v>0</v>
      </c>
      <c r="AU858" s="255">
        <f t="shared" si="476"/>
        <v>0</v>
      </c>
      <c r="AV858" s="31">
        <f t="shared" si="477"/>
        <v>0</v>
      </c>
      <c r="AW858" s="31">
        <f t="shared" si="478"/>
        <v>0</v>
      </c>
      <c r="AX858" s="31">
        <f t="shared" si="479"/>
        <v>0</v>
      </c>
      <c r="AY858" s="255">
        <f t="shared" si="480"/>
        <v>0</v>
      </c>
      <c r="AZ858" s="232">
        <f t="shared" si="481"/>
        <v>0</v>
      </c>
      <c r="BA858" s="255">
        <f t="shared" si="482"/>
        <v>0</v>
      </c>
      <c r="BB858" s="31">
        <f t="shared" si="483"/>
        <v>0</v>
      </c>
      <c r="BC858" s="255">
        <f t="shared" si="484"/>
        <v>0</v>
      </c>
      <c r="BD858" s="31">
        <f t="shared" si="485"/>
        <v>1.625</v>
      </c>
      <c r="BE858" s="255">
        <f t="shared" si="486"/>
        <v>1.3</v>
      </c>
      <c r="BF858" s="31">
        <f t="shared" si="487"/>
        <v>0</v>
      </c>
      <c r="BG858" s="255">
        <f t="shared" si="488"/>
        <v>0</v>
      </c>
      <c r="BH858" s="31">
        <f t="shared" si="489"/>
        <v>0</v>
      </c>
      <c r="BI858" s="255">
        <f t="shared" si="490"/>
        <v>0</v>
      </c>
      <c r="BJ858" s="31">
        <f t="shared" si="491"/>
        <v>0</v>
      </c>
      <c r="BK858" s="31">
        <f t="shared" si="492"/>
        <v>0</v>
      </c>
      <c r="BL858" s="255">
        <f t="shared" si="493"/>
        <v>0</v>
      </c>
      <c r="BM858" s="31">
        <f t="shared" si="494"/>
        <v>0</v>
      </c>
      <c r="BN858" s="255">
        <f t="shared" si="495"/>
        <v>0</v>
      </c>
    </row>
    <row r="859" spans="1:66" x14ac:dyDescent="0.25">
      <c r="A859" s="18" t="s">
        <v>1730</v>
      </c>
      <c r="B859" s="186" t="str">
        <f>VLOOKUP(A859,kurspris!$A$1:$B$877,2,FALSE)</f>
        <v>Läraryrkets dimensioner för fritidshem 2 (VFU)</v>
      </c>
      <c r="C859" s="37"/>
      <c r="D859" s="31" t="s">
        <v>485</v>
      </c>
      <c r="E859" s="31" t="s">
        <v>1973</v>
      </c>
      <c r="F859" s="59" t="s">
        <v>1931</v>
      </c>
      <c r="G859" s="31" t="s">
        <v>2288</v>
      </c>
      <c r="L859" s="31">
        <v>100</v>
      </c>
      <c r="M859" s="31">
        <v>2.5</v>
      </c>
      <c r="P859" s="31">
        <v>2</v>
      </c>
      <c r="Q859" s="232">
        <f t="shared" si="468"/>
        <v>8.3333333333333329E-2</v>
      </c>
      <c r="R859" s="40">
        <v>0.85</v>
      </c>
      <c r="S859" s="334">
        <f t="shared" si="469"/>
        <v>7.0833333333333331E-2</v>
      </c>
      <c r="T859" s="31">
        <f>VLOOKUP(A859,'Ansvar kurs'!$A$1:$C$1010,2,FALSE)</f>
        <v>2180</v>
      </c>
      <c r="U859" s="31" t="str">
        <f>VLOOKUP(T859,Orgenheter!$A$1:$C$165,2,FALSE)</f>
        <v xml:space="preserve">Pedagogik                     </v>
      </c>
      <c r="V859" s="31" t="str">
        <f>VLOOKUP(T859,Orgenheter!$A$1:$C$165,3,FALSE)</f>
        <v>Sam</v>
      </c>
      <c r="W859" s="37" t="str">
        <f>VLOOKUP(D859,Program!$A$1:$B$34,2,FALSE)</f>
        <v>Grundlärarprogrammet - fritidshem</v>
      </c>
      <c r="X859" s="42">
        <f>VLOOKUP(A859,kurspris!$A$1:$Q$798,15,FALSE)</f>
        <v>21634</v>
      </c>
      <c r="Y859" s="42">
        <f>VLOOKUP(A859,kurspris!$A$1:$Q$798,16,FALSE)</f>
        <v>26986</v>
      </c>
      <c r="Z859" s="42">
        <f t="shared" si="470"/>
        <v>3714.3416666666662</v>
      </c>
      <c r="AA859" s="42">
        <f>VLOOKUP(A859,kurspris!$A$1:$Q$798,17,FALSE)</f>
        <v>3400</v>
      </c>
      <c r="AB859" s="42">
        <f t="shared" si="471"/>
        <v>283.33333333333331</v>
      </c>
      <c r="AC859" s="42">
        <f t="shared" si="472"/>
        <v>3997.6749999999997</v>
      </c>
      <c r="AD859" s="31">
        <f>VLOOKUP($A859,kurspris!$A$1:$Q$835,3,FALSE)</f>
        <v>0</v>
      </c>
      <c r="AE859" s="31">
        <f>VLOOKUP($A859,kurspris!$A$1:$Q$835,4,FALSE)</f>
        <v>0</v>
      </c>
      <c r="AF859" s="31">
        <f>VLOOKUP($A859,kurspris!$A$1:$Q$835,5,FALSE)</f>
        <v>0</v>
      </c>
      <c r="AG859" s="31">
        <f>VLOOKUP($A859,kurspris!$A$1:$Q$835,6,FALSE)</f>
        <v>0</v>
      </c>
      <c r="AH859" s="31">
        <f>VLOOKUP($A859,kurspris!$A$1:$Q$835,7,FALSE)</f>
        <v>0</v>
      </c>
      <c r="AI859" s="31">
        <f>VLOOKUP($A859,kurspris!$A$1:$Q$835,8,FALSE)</f>
        <v>0</v>
      </c>
      <c r="AJ859" s="31">
        <f>VLOOKUP($A859,kurspris!$A$1:$Q$835,9,FALSE)</f>
        <v>0</v>
      </c>
      <c r="AK859" s="31">
        <f>VLOOKUP($A859,kurspris!$A$1:$Q$835,10,FALSE)</f>
        <v>0</v>
      </c>
      <c r="AL859" s="31">
        <f>VLOOKUP($A859,kurspris!$A$1:$Q$835,11,FALSE)</f>
        <v>1</v>
      </c>
      <c r="AM859" s="31">
        <f>VLOOKUP($A859,kurspris!$A$1:$Q$835,12,FALSE)</f>
        <v>0</v>
      </c>
      <c r="AN859" s="31">
        <f>VLOOKUP($A859,kurspris!$A$1:$Q$835,13,FALSE)</f>
        <v>0</v>
      </c>
      <c r="AO859" s="31">
        <f>VLOOKUP($A859,kurspris!$A$1:$Q$835,14,FALSE)</f>
        <v>0</v>
      </c>
      <c r="AP859" s="39" t="s">
        <v>2326</v>
      </c>
      <c r="AQ859"/>
      <c r="AR859" s="31">
        <f t="shared" si="473"/>
        <v>0</v>
      </c>
      <c r="AS859" s="255">
        <f t="shared" si="474"/>
        <v>0</v>
      </c>
      <c r="AT859" s="31">
        <f t="shared" si="475"/>
        <v>0</v>
      </c>
      <c r="AU859" s="255">
        <f t="shared" si="476"/>
        <v>0</v>
      </c>
      <c r="AV859" s="31">
        <f t="shared" si="477"/>
        <v>0</v>
      </c>
      <c r="AW859" s="31">
        <f t="shared" si="478"/>
        <v>0</v>
      </c>
      <c r="AX859" s="31">
        <f t="shared" si="479"/>
        <v>0</v>
      </c>
      <c r="AY859" s="255">
        <f t="shared" si="480"/>
        <v>0</v>
      </c>
      <c r="AZ859" s="232">
        <f t="shared" si="481"/>
        <v>0</v>
      </c>
      <c r="BA859" s="255">
        <f t="shared" si="482"/>
        <v>0</v>
      </c>
      <c r="BB859" s="31">
        <f t="shared" si="483"/>
        <v>0</v>
      </c>
      <c r="BC859" s="255">
        <f t="shared" si="484"/>
        <v>0</v>
      </c>
      <c r="BD859" s="31">
        <f t="shared" si="485"/>
        <v>0</v>
      </c>
      <c r="BE859" s="255">
        <f t="shared" si="486"/>
        <v>0</v>
      </c>
      <c r="BF859" s="31">
        <f t="shared" si="487"/>
        <v>0</v>
      </c>
      <c r="BG859" s="255">
        <f t="shared" si="488"/>
        <v>0</v>
      </c>
      <c r="BH859" s="31">
        <f t="shared" si="489"/>
        <v>8.3333333333333329E-2</v>
      </c>
      <c r="BI859" s="255">
        <f t="shared" si="490"/>
        <v>7.0833333333333331E-2</v>
      </c>
      <c r="BJ859" s="31">
        <f t="shared" si="491"/>
        <v>0</v>
      </c>
      <c r="BK859" s="31">
        <f t="shared" si="492"/>
        <v>0</v>
      </c>
      <c r="BL859" s="255">
        <f t="shared" si="493"/>
        <v>0</v>
      </c>
      <c r="BM859" s="31">
        <f t="shared" si="494"/>
        <v>0</v>
      </c>
      <c r="BN859" s="255">
        <f t="shared" si="495"/>
        <v>0</v>
      </c>
    </row>
    <row r="860" spans="1:66" x14ac:dyDescent="0.25">
      <c r="A860" s="18" t="s">
        <v>1730</v>
      </c>
      <c r="B860" s="186" t="str">
        <f>VLOOKUP(A860,kurspris!$A$1:$B$877,2,FALSE)</f>
        <v>Läraryrkets dimensioner för fritidshem 2 (VFU)</v>
      </c>
      <c r="C860" s="37"/>
      <c r="D860" s="31" t="s">
        <v>485</v>
      </c>
      <c r="E860" s="31" t="s">
        <v>1609</v>
      </c>
      <c r="F860" s="59" t="s">
        <v>1931</v>
      </c>
      <c r="G860" s="31" t="s">
        <v>2288</v>
      </c>
      <c r="L860" s="31">
        <v>100</v>
      </c>
      <c r="M860" s="31">
        <v>2.5</v>
      </c>
      <c r="P860" s="31">
        <v>8</v>
      </c>
      <c r="Q860" s="232">
        <f t="shared" si="468"/>
        <v>0.33333333333333331</v>
      </c>
      <c r="R860" s="40">
        <v>0.85</v>
      </c>
      <c r="S860" s="334">
        <f t="shared" si="469"/>
        <v>0.28333333333333333</v>
      </c>
      <c r="T860" s="31">
        <f>VLOOKUP(A860,'Ansvar kurs'!$A$1:$C$1010,2,FALSE)</f>
        <v>2180</v>
      </c>
      <c r="U860" s="31" t="str">
        <f>VLOOKUP(T860,Orgenheter!$A$1:$C$165,2,FALSE)</f>
        <v xml:space="preserve">Pedagogik                     </v>
      </c>
      <c r="V860" s="31" t="str">
        <f>VLOOKUP(T860,Orgenheter!$A$1:$C$165,3,FALSE)</f>
        <v>Sam</v>
      </c>
      <c r="W860" s="37" t="str">
        <f>VLOOKUP(D860,Program!$A$1:$B$34,2,FALSE)</f>
        <v>Grundlärarprogrammet - fritidshem</v>
      </c>
      <c r="X860" s="42">
        <f>VLOOKUP(A860,kurspris!$A$1:$Q$798,15,FALSE)</f>
        <v>21634</v>
      </c>
      <c r="Y860" s="42">
        <f>VLOOKUP(A860,kurspris!$A$1:$Q$798,16,FALSE)</f>
        <v>26986</v>
      </c>
      <c r="Z860" s="42">
        <f t="shared" si="470"/>
        <v>14857.366666666665</v>
      </c>
      <c r="AA860" s="42">
        <f>VLOOKUP(A860,kurspris!$A$1:$Q$798,17,FALSE)</f>
        <v>3400</v>
      </c>
      <c r="AB860" s="42">
        <f t="shared" si="471"/>
        <v>1133.3333333333333</v>
      </c>
      <c r="AC860" s="42">
        <f t="shared" si="472"/>
        <v>15990.699999999999</v>
      </c>
      <c r="AD860" s="31">
        <f>VLOOKUP($A860,kurspris!$A$1:$Q$835,3,FALSE)</f>
        <v>0</v>
      </c>
      <c r="AE860" s="31">
        <f>VLOOKUP($A860,kurspris!$A$1:$Q$835,4,FALSE)</f>
        <v>0</v>
      </c>
      <c r="AF860" s="31">
        <f>VLOOKUP($A860,kurspris!$A$1:$Q$835,5,FALSE)</f>
        <v>0</v>
      </c>
      <c r="AG860" s="31">
        <f>VLOOKUP($A860,kurspris!$A$1:$Q$835,6,FALSE)</f>
        <v>0</v>
      </c>
      <c r="AH860" s="31">
        <f>VLOOKUP($A860,kurspris!$A$1:$Q$835,7,FALSE)</f>
        <v>0</v>
      </c>
      <c r="AI860" s="31">
        <f>VLOOKUP($A860,kurspris!$A$1:$Q$835,8,FALSE)</f>
        <v>0</v>
      </c>
      <c r="AJ860" s="31">
        <f>VLOOKUP($A860,kurspris!$A$1:$Q$835,9,FALSE)</f>
        <v>0</v>
      </c>
      <c r="AK860" s="31">
        <f>VLOOKUP($A860,kurspris!$A$1:$Q$835,10,FALSE)</f>
        <v>0</v>
      </c>
      <c r="AL860" s="31">
        <f>VLOOKUP($A860,kurspris!$A$1:$Q$835,11,FALSE)</f>
        <v>1</v>
      </c>
      <c r="AM860" s="31">
        <f>VLOOKUP($A860,kurspris!$A$1:$Q$835,12,FALSE)</f>
        <v>0</v>
      </c>
      <c r="AN860" s="31">
        <f>VLOOKUP($A860,kurspris!$A$1:$Q$835,13,FALSE)</f>
        <v>0</v>
      </c>
      <c r="AO860" s="31">
        <f>VLOOKUP($A860,kurspris!$A$1:$Q$835,14,FALSE)</f>
        <v>0</v>
      </c>
      <c r="AP860" s="39" t="s">
        <v>2326</v>
      </c>
      <c r="AQ860"/>
      <c r="AR860" s="31">
        <f t="shared" si="473"/>
        <v>0</v>
      </c>
      <c r="AS860" s="255">
        <f t="shared" si="474"/>
        <v>0</v>
      </c>
      <c r="AT860" s="31">
        <f t="shared" si="475"/>
        <v>0</v>
      </c>
      <c r="AU860" s="255">
        <f t="shared" si="476"/>
        <v>0</v>
      </c>
      <c r="AV860" s="31">
        <f t="shared" si="477"/>
        <v>0</v>
      </c>
      <c r="AW860" s="31">
        <f t="shared" si="478"/>
        <v>0</v>
      </c>
      <c r="AX860" s="31">
        <f t="shared" si="479"/>
        <v>0</v>
      </c>
      <c r="AY860" s="255">
        <f t="shared" si="480"/>
        <v>0</v>
      </c>
      <c r="AZ860" s="232">
        <f t="shared" si="481"/>
        <v>0</v>
      </c>
      <c r="BA860" s="255">
        <f t="shared" si="482"/>
        <v>0</v>
      </c>
      <c r="BB860" s="31">
        <f t="shared" si="483"/>
        <v>0</v>
      </c>
      <c r="BC860" s="255">
        <f t="shared" si="484"/>
        <v>0</v>
      </c>
      <c r="BD860" s="31">
        <f t="shared" si="485"/>
        <v>0</v>
      </c>
      <c r="BE860" s="255">
        <f t="shared" si="486"/>
        <v>0</v>
      </c>
      <c r="BF860" s="31">
        <f t="shared" si="487"/>
        <v>0</v>
      </c>
      <c r="BG860" s="255">
        <f t="shared" si="488"/>
        <v>0</v>
      </c>
      <c r="BH860" s="31">
        <f t="shared" si="489"/>
        <v>0.33333333333333331</v>
      </c>
      <c r="BI860" s="255">
        <f t="shared" si="490"/>
        <v>0.28333333333333333</v>
      </c>
      <c r="BJ860" s="31">
        <f t="shared" si="491"/>
        <v>0</v>
      </c>
      <c r="BK860" s="31">
        <f t="shared" si="492"/>
        <v>0</v>
      </c>
      <c r="BL860" s="255">
        <f t="shared" si="493"/>
        <v>0</v>
      </c>
      <c r="BM860" s="31">
        <f t="shared" si="494"/>
        <v>0</v>
      </c>
      <c r="BN860" s="255">
        <f t="shared" si="495"/>
        <v>0</v>
      </c>
    </row>
    <row r="861" spans="1:66" x14ac:dyDescent="0.25">
      <c r="A861" s="18" t="s">
        <v>1730</v>
      </c>
      <c r="B861" s="186" t="str">
        <f>VLOOKUP(A861,kurspris!$A$1:$B$877,2,FALSE)</f>
        <v>Läraryrkets dimensioner för fritidshem 2 (VFU)</v>
      </c>
      <c r="C861" s="37"/>
      <c r="D861" s="31" t="s">
        <v>485</v>
      </c>
      <c r="E861" s="31" t="s">
        <v>1788</v>
      </c>
      <c r="F861" s="59" t="s">
        <v>1931</v>
      </c>
      <c r="G861" s="31" t="s">
        <v>2288</v>
      </c>
      <c r="L861" s="31">
        <v>100</v>
      </c>
      <c r="M861" s="31">
        <v>2.5</v>
      </c>
      <c r="P861" s="31">
        <v>1</v>
      </c>
      <c r="Q861" s="232">
        <f t="shared" si="468"/>
        <v>4.1666666666666664E-2</v>
      </c>
      <c r="R861" s="40">
        <v>0.85</v>
      </c>
      <c r="S861" s="334">
        <f t="shared" si="469"/>
        <v>3.5416666666666666E-2</v>
      </c>
      <c r="T861" s="31">
        <f>VLOOKUP(A861,'Ansvar kurs'!$A$1:$C$1010,2,FALSE)</f>
        <v>2180</v>
      </c>
      <c r="U861" s="31" t="str">
        <f>VLOOKUP(T861,Orgenheter!$A$1:$C$165,2,FALSE)</f>
        <v xml:space="preserve">Pedagogik                     </v>
      </c>
      <c r="V861" s="31" t="str">
        <f>VLOOKUP(T861,Orgenheter!$A$1:$C$165,3,FALSE)</f>
        <v>Sam</v>
      </c>
      <c r="W861" s="37" t="str">
        <f>VLOOKUP(D861,Program!$A$1:$B$34,2,FALSE)</f>
        <v>Grundlärarprogrammet - fritidshem</v>
      </c>
      <c r="X861" s="42">
        <f>VLOOKUP(A861,kurspris!$A$1:$Q$798,15,FALSE)</f>
        <v>21634</v>
      </c>
      <c r="Y861" s="42">
        <f>VLOOKUP(A861,kurspris!$A$1:$Q$798,16,FALSE)</f>
        <v>26986</v>
      </c>
      <c r="Z861" s="42">
        <f t="shared" si="470"/>
        <v>1857.1708333333331</v>
      </c>
      <c r="AA861" s="42">
        <f>VLOOKUP(A861,kurspris!$A$1:$Q$798,17,FALSE)</f>
        <v>3400</v>
      </c>
      <c r="AB861" s="42">
        <f t="shared" si="471"/>
        <v>141.66666666666666</v>
      </c>
      <c r="AC861" s="42">
        <f t="shared" si="472"/>
        <v>1998.8374999999999</v>
      </c>
      <c r="AD861" s="31">
        <f>VLOOKUP($A861,kurspris!$A$1:$Q$835,3,FALSE)</f>
        <v>0</v>
      </c>
      <c r="AE861" s="31">
        <f>VLOOKUP($A861,kurspris!$A$1:$Q$835,4,FALSE)</f>
        <v>0</v>
      </c>
      <c r="AF861" s="31">
        <f>VLOOKUP($A861,kurspris!$A$1:$Q$835,5,FALSE)</f>
        <v>0</v>
      </c>
      <c r="AG861" s="31">
        <f>VLOOKUP($A861,kurspris!$A$1:$Q$835,6,FALSE)</f>
        <v>0</v>
      </c>
      <c r="AH861" s="31">
        <f>VLOOKUP($A861,kurspris!$A$1:$Q$835,7,FALSE)</f>
        <v>0</v>
      </c>
      <c r="AI861" s="31">
        <f>VLOOKUP($A861,kurspris!$A$1:$Q$835,8,FALSE)</f>
        <v>0</v>
      </c>
      <c r="AJ861" s="31">
        <f>VLOOKUP($A861,kurspris!$A$1:$Q$835,9,FALSE)</f>
        <v>0</v>
      </c>
      <c r="AK861" s="31">
        <f>VLOOKUP($A861,kurspris!$A$1:$Q$835,10,FALSE)</f>
        <v>0</v>
      </c>
      <c r="AL861" s="31">
        <f>VLOOKUP($A861,kurspris!$A$1:$Q$835,11,FALSE)</f>
        <v>1</v>
      </c>
      <c r="AM861" s="31">
        <f>VLOOKUP($A861,kurspris!$A$1:$Q$835,12,FALSE)</f>
        <v>0</v>
      </c>
      <c r="AN861" s="31">
        <f>VLOOKUP($A861,kurspris!$A$1:$Q$835,13,FALSE)</f>
        <v>0</v>
      </c>
      <c r="AO861" s="31">
        <f>VLOOKUP($A861,kurspris!$A$1:$Q$835,14,FALSE)</f>
        <v>0</v>
      </c>
      <c r="AP861" s="39" t="s">
        <v>2326</v>
      </c>
      <c r="AQ861"/>
      <c r="AR861" s="31">
        <f t="shared" si="473"/>
        <v>0</v>
      </c>
      <c r="AS861" s="255">
        <f t="shared" si="474"/>
        <v>0</v>
      </c>
      <c r="AT861" s="31">
        <f t="shared" si="475"/>
        <v>0</v>
      </c>
      <c r="AU861" s="255">
        <f t="shared" si="476"/>
        <v>0</v>
      </c>
      <c r="AV861" s="31">
        <f t="shared" si="477"/>
        <v>0</v>
      </c>
      <c r="AW861" s="31">
        <f t="shared" si="478"/>
        <v>0</v>
      </c>
      <c r="AX861" s="31">
        <f t="shared" si="479"/>
        <v>0</v>
      </c>
      <c r="AY861" s="255">
        <f t="shared" si="480"/>
        <v>0</v>
      </c>
      <c r="AZ861" s="232">
        <f t="shared" si="481"/>
        <v>0</v>
      </c>
      <c r="BA861" s="255">
        <f t="shared" si="482"/>
        <v>0</v>
      </c>
      <c r="BB861" s="31">
        <f t="shared" si="483"/>
        <v>0</v>
      </c>
      <c r="BC861" s="255">
        <f t="shared" si="484"/>
        <v>0</v>
      </c>
      <c r="BD861" s="31">
        <f t="shared" si="485"/>
        <v>0</v>
      </c>
      <c r="BE861" s="255">
        <f t="shared" si="486"/>
        <v>0</v>
      </c>
      <c r="BF861" s="31">
        <f t="shared" si="487"/>
        <v>0</v>
      </c>
      <c r="BG861" s="255">
        <f t="shared" si="488"/>
        <v>0</v>
      </c>
      <c r="BH861" s="31">
        <f t="shared" si="489"/>
        <v>4.1666666666666664E-2</v>
      </c>
      <c r="BI861" s="255">
        <f t="shared" si="490"/>
        <v>3.5416666666666666E-2</v>
      </c>
      <c r="BJ861" s="31">
        <f t="shared" si="491"/>
        <v>0</v>
      </c>
      <c r="BK861" s="31">
        <f t="shared" si="492"/>
        <v>0</v>
      </c>
      <c r="BL861" s="255">
        <f t="shared" si="493"/>
        <v>0</v>
      </c>
      <c r="BM861" s="31">
        <f t="shared" si="494"/>
        <v>0</v>
      </c>
      <c r="BN861" s="255">
        <f t="shared" si="495"/>
        <v>0</v>
      </c>
    </row>
    <row r="862" spans="1:66" x14ac:dyDescent="0.25">
      <c r="A862" s="18" t="s">
        <v>1732</v>
      </c>
      <c r="B862" s="186" t="str">
        <f>VLOOKUP(A862,kurspris!$A$1:$B$877,2,FALSE)</f>
        <v>Elever i behov av extra anpassningar och särskilt stöd ur ett fritidshemsperspektiv</v>
      </c>
      <c r="C862" s="37"/>
      <c r="D862" s="31" t="s">
        <v>485</v>
      </c>
      <c r="E862" s="31" t="s">
        <v>1973</v>
      </c>
      <c r="F862" s="59" t="s">
        <v>1931</v>
      </c>
      <c r="G862" s="31" t="s">
        <v>2269</v>
      </c>
      <c r="L862" s="31">
        <v>100</v>
      </c>
      <c r="M862" s="31">
        <v>7.5</v>
      </c>
      <c r="P862" s="31">
        <v>2</v>
      </c>
      <c r="Q862" s="232">
        <f t="shared" si="468"/>
        <v>0.25</v>
      </c>
      <c r="R862" s="40">
        <v>0.85</v>
      </c>
      <c r="S862" s="334">
        <f t="shared" si="469"/>
        <v>0.21249999999999999</v>
      </c>
      <c r="T862" s="31">
        <f>VLOOKUP(A862,'Ansvar kurs'!$A$1:$C$1010,2,FALSE)</f>
        <v>2193</v>
      </c>
      <c r="U862" s="31" t="str">
        <f>VLOOKUP(T862,Orgenheter!$A$1:$C$165,2,FALSE)</f>
        <v xml:space="preserve">TUV </v>
      </c>
      <c r="V862" s="31" t="str">
        <f>VLOOKUP(T862,Orgenheter!$A$1:$C$165,3,FALSE)</f>
        <v>Sam</v>
      </c>
      <c r="W862" s="37" t="str">
        <f>VLOOKUP(D862,Program!$A$1:$B$34,2,FALSE)</f>
        <v>Grundlärarprogrammet - fritidshem</v>
      </c>
      <c r="X862" s="42">
        <f>VLOOKUP(A862,kurspris!$A$1:$Q$798,15,FALSE)</f>
        <v>18405</v>
      </c>
      <c r="Y862" s="42">
        <f>VLOOKUP(A862,kurspris!$A$1:$Q$798,16,FALSE)</f>
        <v>15773</v>
      </c>
      <c r="Z862" s="42">
        <f t="shared" si="470"/>
        <v>7953.0124999999998</v>
      </c>
      <c r="AA862" s="42">
        <f>VLOOKUP(A862,kurspris!$A$1:$Q$798,17,FALSE)</f>
        <v>5800</v>
      </c>
      <c r="AB862" s="42">
        <f t="shared" si="471"/>
        <v>1450</v>
      </c>
      <c r="AC862" s="42">
        <f t="shared" si="472"/>
        <v>9403.0125000000007</v>
      </c>
      <c r="AD862" s="31">
        <f>VLOOKUP($A862,kurspris!$A$1:$Q$835,3,FALSE)</f>
        <v>0</v>
      </c>
      <c r="AE862" s="31">
        <f>VLOOKUP($A862,kurspris!$A$1:$Q$835,4,FALSE)</f>
        <v>0</v>
      </c>
      <c r="AF862" s="31">
        <f>VLOOKUP($A862,kurspris!$A$1:$Q$835,5,FALSE)</f>
        <v>0</v>
      </c>
      <c r="AG862" s="31">
        <f>VLOOKUP($A862,kurspris!$A$1:$Q$835,6,FALSE)</f>
        <v>0</v>
      </c>
      <c r="AH862" s="31">
        <f>VLOOKUP($A862,kurspris!$A$1:$Q$835,7,FALSE)</f>
        <v>0</v>
      </c>
      <c r="AI862" s="31">
        <f>VLOOKUP($A862,kurspris!$A$1:$Q$835,8,FALSE)</f>
        <v>0</v>
      </c>
      <c r="AJ862" s="31">
        <f>VLOOKUP($A862,kurspris!$A$1:$Q$835,9,FALSE)</f>
        <v>1</v>
      </c>
      <c r="AK862" s="31">
        <f>VLOOKUP($A862,kurspris!$A$1:$Q$835,10,FALSE)</f>
        <v>0</v>
      </c>
      <c r="AL862" s="31">
        <f>VLOOKUP($A862,kurspris!$A$1:$Q$835,11,FALSE)</f>
        <v>0</v>
      </c>
      <c r="AM862" s="31">
        <f>VLOOKUP($A862,kurspris!$A$1:$Q$835,12,FALSE)</f>
        <v>0</v>
      </c>
      <c r="AN862" s="31">
        <f>VLOOKUP($A862,kurspris!$A$1:$Q$835,13,FALSE)</f>
        <v>0</v>
      </c>
      <c r="AO862" s="31">
        <f>VLOOKUP($A862,kurspris!$A$1:$Q$835,14,FALSE)</f>
        <v>0</v>
      </c>
      <c r="AP862" s="39" t="s">
        <v>2326</v>
      </c>
      <c r="AQ862"/>
      <c r="AR862" s="31">
        <f t="shared" si="473"/>
        <v>0</v>
      </c>
      <c r="AS862" s="255">
        <f t="shared" si="474"/>
        <v>0</v>
      </c>
      <c r="AT862" s="31">
        <f t="shared" si="475"/>
        <v>0</v>
      </c>
      <c r="AU862" s="255">
        <f t="shared" si="476"/>
        <v>0</v>
      </c>
      <c r="AV862" s="31">
        <f t="shared" si="477"/>
        <v>0</v>
      </c>
      <c r="AW862" s="31">
        <f t="shared" si="478"/>
        <v>0</v>
      </c>
      <c r="AX862" s="31">
        <f t="shared" si="479"/>
        <v>0</v>
      </c>
      <c r="AY862" s="255">
        <f t="shared" si="480"/>
        <v>0</v>
      </c>
      <c r="AZ862" s="232">
        <f t="shared" si="481"/>
        <v>0</v>
      </c>
      <c r="BA862" s="255">
        <f t="shared" si="482"/>
        <v>0</v>
      </c>
      <c r="BB862" s="31">
        <f t="shared" si="483"/>
        <v>0</v>
      </c>
      <c r="BC862" s="255">
        <f t="shared" si="484"/>
        <v>0</v>
      </c>
      <c r="BD862" s="31">
        <f t="shared" si="485"/>
        <v>0.25</v>
      </c>
      <c r="BE862" s="255">
        <f t="shared" si="486"/>
        <v>0.21249999999999999</v>
      </c>
      <c r="BF862" s="31">
        <f t="shared" si="487"/>
        <v>0</v>
      </c>
      <c r="BG862" s="255">
        <f t="shared" si="488"/>
        <v>0</v>
      </c>
      <c r="BH862" s="31">
        <f t="shared" si="489"/>
        <v>0</v>
      </c>
      <c r="BI862" s="255">
        <f t="shared" si="490"/>
        <v>0</v>
      </c>
      <c r="BJ862" s="31">
        <f t="shared" si="491"/>
        <v>0</v>
      </c>
      <c r="BK862" s="31">
        <f t="shared" si="492"/>
        <v>0</v>
      </c>
      <c r="BL862" s="255">
        <f t="shared" si="493"/>
        <v>0</v>
      </c>
      <c r="BM862" s="31">
        <f t="shared" si="494"/>
        <v>0</v>
      </c>
      <c r="BN862" s="255">
        <f t="shared" si="495"/>
        <v>0</v>
      </c>
    </row>
    <row r="863" spans="1:66" x14ac:dyDescent="0.25">
      <c r="A863" s="18" t="s">
        <v>1732</v>
      </c>
      <c r="B863" s="186" t="str">
        <f>VLOOKUP(A863,kurspris!$A$1:$B$877,2,FALSE)</f>
        <v>Elever i behov av extra anpassningar och särskilt stöd ur ett fritidshemsperspektiv</v>
      </c>
      <c r="C863" s="37"/>
      <c r="D863" s="31" t="s">
        <v>485</v>
      </c>
      <c r="E863" s="31" t="s">
        <v>1609</v>
      </c>
      <c r="F863" s="59" t="s">
        <v>1931</v>
      </c>
      <c r="G863" s="31" t="s">
        <v>2269</v>
      </c>
      <c r="L863" s="31">
        <v>100</v>
      </c>
      <c r="M863" s="31">
        <v>7.5</v>
      </c>
      <c r="P863" s="31">
        <v>14</v>
      </c>
      <c r="Q863" s="232">
        <f t="shared" si="468"/>
        <v>1.75</v>
      </c>
      <c r="R863" s="40">
        <v>0.85</v>
      </c>
      <c r="S863" s="334">
        <f t="shared" si="469"/>
        <v>1.4875</v>
      </c>
      <c r="T863" s="31">
        <f>VLOOKUP(A863,'Ansvar kurs'!$A$1:$C$1010,2,FALSE)</f>
        <v>2193</v>
      </c>
      <c r="U863" s="31" t="str">
        <f>VLOOKUP(T863,Orgenheter!$A$1:$C$165,2,FALSE)</f>
        <v xml:space="preserve">TUV </v>
      </c>
      <c r="V863" s="31" t="str">
        <f>VLOOKUP(T863,Orgenheter!$A$1:$C$165,3,FALSE)</f>
        <v>Sam</v>
      </c>
      <c r="W863" s="37" t="str">
        <f>VLOOKUP(D863,Program!$A$1:$B$34,2,FALSE)</f>
        <v>Grundlärarprogrammet - fritidshem</v>
      </c>
      <c r="X863" s="42">
        <f>VLOOKUP(A863,kurspris!$A$1:$Q$798,15,FALSE)</f>
        <v>18405</v>
      </c>
      <c r="Y863" s="42">
        <f>VLOOKUP(A863,kurspris!$A$1:$Q$798,16,FALSE)</f>
        <v>15773</v>
      </c>
      <c r="Z863" s="42">
        <f t="shared" si="470"/>
        <v>55671.087500000001</v>
      </c>
      <c r="AA863" s="42">
        <f>VLOOKUP(A863,kurspris!$A$1:$Q$798,17,FALSE)</f>
        <v>5800</v>
      </c>
      <c r="AB863" s="42">
        <f t="shared" si="471"/>
        <v>10150</v>
      </c>
      <c r="AC863" s="42">
        <f t="shared" si="472"/>
        <v>65821.087499999994</v>
      </c>
      <c r="AD863" s="31">
        <f>VLOOKUP($A863,kurspris!$A$1:$Q$835,3,FALSE)</f>
        <v>0</v>
      </c>
      <c r="AE863" s="31">
        <f>VLOOKUP($A863,kurspris!$A$1:$Q$835,4,FALSE)</f>
        <v>0</v>
      </c>
      <c r="AF863" s="31">
        <f>VLOOKUP($A863,kurspris!$A$1:$Q$835,5,FALSE)</f>
        <v>0</v>
      </c>
      <c r="AG863" s="31">
        <f>VLOOKUP($A863,kurspris!$A$1:$Q$835,6,FALSE)</f>
        <v>0</v>
      </c>
      <c r="AH863" s="31">
        <f>VLOOKUP($A863,kurspris!$A$1:$Q$835,7,FALSE)</f>
        <v>0</v>
      </c>
      <c r="AI863" s="31">
        <f>VLOOKUP($A863,kurspris!$A$1:$Q$835,8,FALSE)</f>
        <v>0</v>
      </c>
      <c r="AJ863" s="31">
        <f>VLOOKUP($A863,kurspris!$A$1:$Q$835,9,FALSE)</f>
        <v>1</v>
      </c>
      <c r="AK863" s="31">
        <f>VLOOKUP($A863,kurspris!$A$1:$Q$835,10,FALSE)</f>
        <v>0</v>
      </c>
      <c r="AL863" s="31">
        <f>VLOOKUP($A863,kurspris!$A$1:$Q$835,11,FALSE)</f>
        <v>0</v>
      </c>
      <c r="AM863" s="31">
        <f>VLOOKUP($A863,kurspris!$A$1:$Q$835,12,FALSE)</f>
        <v>0</v>
      </c>
      <c r="AN863" s="31">
        <f>VLOOKUP($A863,kurspris!$A$1:$Q$835,13,FALSE)</f>
        <v>0</v>
      </c>
      <c r="AO863" s="31">
        <f>VLOOKUP($A863,kurspris!$A$1:$Q$835,14,FALSE)</f>
        <v>0</v>
      </c>
      <c r="AP863" s="39" t="s">
        <v>2326</v>
      </c>
      <c r="AQ863"/>
      <c r="AR863" s="31">
        <f t="shared" si="473"/>
        <v>0</v>
      </c>
      <c r="AS863" s="255">
        <f t="shared" si="474"/>
        <v>0</v>
      </c>
      <c r="AT863" s="31">
        <f t="shared" si="475"/>
        <v>0</v>
      </c>
      <c r="AU863" s="255">
        <f t="shared" si="476"/>
        <v>0</v>
      </c>
      <c r="AV863" s="31">
        <f t="shared" si="477"/>
        <v>0</v>
      </c>
      <c r="AW863" s="31">
        <f t="shared" si="478"/>
        <v>0</v>
      </c>
      <c r="AX863" s="31">
        <f t="shared" si="479"/>
        <v>0</v>
      </c>
      <c r="AY863" s="255">
        <f t="shared" si="480"/>
        <v>0</v>
      </c>
      <c r="AZ863" s="232">
        <f t="shared" si="481"/>
        <v>0</v>
      </c>
      <c r="BA863" s="255">
        <f t="shared" si="482"/>
        <v>0</v>
      </c>
      <c r="BB863" s="31">
        <f t="shared" si="483"/>
        <v>0</v>
      </c>
      <c r="BC863" s="255">
        <f t="shared" si="484"/>
        <v>0</v>
      </c>
      <c r="BD863" s="31">
        <f t="shared" si="485"/>
        <v>1.75</v>
      </c>
      <c r="BE863" s="255">
        <f t="shared" si="486"/>
        <v>1.4875</v>
      </c>
      <c r="BF863" s="31">
        <f t="shared" si="487"/>
        <v>0</v>
      </c>
      <c r="BG863" s="255">
        <f t="shared" si="488"/>
        <v>0</v>
      </c>
      <c r="BH863" s="31">
        <f t="shared" si="489"/>
        <v>0</v>
      </c>
      <c r="BI863" s="255">
        <f t="shared" si="490"/>
        <v>0</v>
      </c>
      <c r="BJ863" s="31">
        <f t="shared" si="491"/>
        <v>0</v>
      </c>
      <c r="BK863" s="31">
        <f t="shared" si="492"/>
        <v>0</v>
      </c>
      <c r="BL863" s="255">
        <f t="shared" si="493"/>
        <v>0</v>
      </c>
      <c r="BM863" s="31">
        <f t="shared" si="494"/>
        <v>0</v>
      </c>
      <c r="BN863" s="255">
        <f t="shared" si="495"/>
        <v>0</v>
      </c>
    </row>
    <row r="864" spans="1:66" x14ac:dyDescent="0.25">
      <c r="A864" t="s">
        <v>1755</v>
      </c>
      <c r="B864" s="186" t="str">
        <f>VLOOKUP(A864,kurspris!$A$1:$B$877,2,FALSE)</f>
        <v>Att undervisa i förskolan (VFU)</v>
      </c>
      <c r="C864"/>
      <c r="D864" t="s">
        <v>484</v>
      </c>
      <c r="E864" t="s">
        <v>1788</v>
      </c>
      <c r="F864" s="39" t="s">
        <v>1930</v>
      </c>
      <c r="G864" t="s">
        <v>1991</v>
      </c>
      <c r="H864" t="s">
        <v>1910</v>
      </c>
      <c r="I864"/>
      <c r="J864"/>
      <c r="K864"/>
      <c r="L864">
        <v>100</v>
      </c>
      <c r="M864">
        <v>10</v>
      </c>
      <c r="N864"/>
      <c r="O864"/>
      <c r="P864" s="31">
        <v>47</v>
      </c>
      <c r="Q864" s="232">
        <f t="shared" si="468"/>
        <v>7.833333333333333</v>
      </c>
      <c r="R864" s="40">
        <v>0.85</v>
      </c>
      <c r="S864" s="334">
        <f t="shared" si="469"/>
        <v>6.6583333333333332</v>
      </c>
      <c r="T864" s="31">
        <f>VLOOKUP(A864,'Ansvar kurs'!$A$1:$C$1010,2,FALSE)</f>
        <v>2193</v>
      </c>
      <c r="U864" s="31" t="str">
        <f>VLOOKUP(T864,Orgenheter!$A$1:$C$165,2,FALSE)</f>
        <v xml:space="preserve">TUV </v>
      </c>
      <c r="V864" s="31" t="str">
        <f>VLOOKUP(T864,Orgenheter!$A$1:$C$165,3,FALSE)</f>
        <v>Sam</v>
      </c>
      <c r="W864" s="37" t="str">
        <f>VLOOKUP(D864,Program!$A$1:$B$34,2,FALSE)</f>
        <v>Förskollärarprogrammet</v>
      </c>
      <c r="X864" s="42">
        <f>VLOOKUP(A864,kurspris!$A$1:$Q$798,15,FALSE)</f>
        <v>21634</v>
      </c>
      <c r="Y864" s="42">
        <f>VLOOKUP(A864,kurspris!$A$1:$Q$798,16,FALSE)</f>
        <v>26986</v>
      </c>
      <c r="Z864" s="42">
        <f t="shared" si="470"/>
        <v>349148.11666666664</v>
      </c>
      <c r="AA864" s="42">
        <f>VLOOKUP(A864,kurspris!$A$1:$Q$798,17,FALSE)</f>
        <v>3400</v>
      </c>
      <c r="AB864" s="42">
        <f t="shared" si="471"/>
        <v>26633.333333333332</v>
      </c>
      <c r="AC864" s="42">
        <f t="shared" si="472"/>
        <v>375781.44999999995</v>
      </c>
      <c r="AD864" s="31">
        <f>VLOOKUP($A864,kurspris!$A$1:$Q$835,3,FALSE)</f>
        <v>0</v>
      </c>
      <c r="AE864" s="31">
        <f>VLOOKUP($A864,kurspris!$A$1:$Q$835,4,FALSE)</f>
        <v>0</v>
      </c>
      <c r="AF864" s="31">
        <f>VLOOKUP($A864,kurspris!$A$1:$Q$835,5,FALSE)</f>
        <v>0</v>
      </c>
      <c r="AG864" s="31">
        <f>VLOOKUP($A864,kurspris!$A$1:$Q$835,6,FALSE)</f>
        <v>0</v>
      </c>
      <c r="AH864" s="31">
        <f>VLOOKUP($A864,kurspris!$A$1:$Q$835,7,FALSE)</f>
        <v>0</v>
      </c>
      <c r="AI864" s="31">
        <f>VLOOKUP($A864,kurspris!$A$1:$Q$835,8,FALSE)</f>
        <v>0</v>
      </c>
      <c r="AJ864" s="31">
        <f>VLOOKUP($A864,kurspris!$A$1:$Q$835,9,FALSE)</f>
        <v>0</v>
      </c>
      <c r="AK864" s="31">
        <f>VLOOKUP($A864,kurspris!$A$1:$Q$835,10,FALSE)</f>
        <v>0</v>
      </c>
      <c r="AL864" s="31">
        <f>VLOOKUP($A864,kurspris!$A$1:$Q$835,11,FALSE)</f>
        <v>1</v>
      </c>
      <c r="AM864" s="31">
        <f>VLOOKUP($A864,kurspris!$A$1:$Q$835,12,FALSE)</f>
        <v>0</v>
      </c>
      <c r="AN864" s="31">
        <f>VLOOKUP($A864,kurspris!$A$1:$Q$835,13,FALSE)</f>
        <v>0</v>
      </c>
      <c r="AO864" s="31">
        <f>VLOOKUP($A864,kurspris!$A$1:$Q$835,14,FALSE)</f>
        <v>0</v>
      </c>
      <c r="AP864" s="39" t="s">
        <v>2235</v>
      </c>
      <c r="AQ864"/>
      <c r="AR864" s="31">
        <f t="shared" si="473"/>
        <v>0</v>
      </c>
      <c r="AS864" s="255">
        <f t="shared" si="474"/>
        <v>0</v>
      </c>
      <c r="AT864" s="31">
        <f t="shared" si="475"/>
        <v>0</v>
      </c>
      <c r="AU864" s="255">
        <f t="shared" si="476"/>
        <v>0</v>
      </c>
      <c r="AV864" s="31">
        <f t="shared" si="477"/>
        <v>0</v>
      </c>
      <c r="AW864" s="31">
        <f t="shared" si="478"/>
        <v>0</v>
      </c>
      <c r="AX864" s="31">
        <f t="shared" si="479"/>
        <v>0</v>
      </c>
      <c r="AY864" s="255">
        <f t="shared" si="480"/>
        <v>0</v>
      </c>
      <c r="AZ864" s="232">
        <f t="shared" si="481"/>
        <v>0</v>
      </c>
      <c r="BA864" s="255">
        <f t="shared" si="482"/>
        <v>0</v>
      </c>
      <c r="BB864" s="31">
        <f t="shared" si="483"/>
        <v>0</v>
      </c>
      <c r="BC864" s="255">
        <f t="shared" si="484"/>
        <v>0</v>
      </c>
      <c r="BD864" s="31">
        <f t="shared" si="485"/>
        <v>0</v>
      </c>
      <c r="BE864" s="255">
        <f t="shared" si="486"/>
        <v>0</v>
      </c>
      <c r="BF864" s="31">
        <f t="shared" si="487"/>
        <v>0</v>
      </c>
      <c r="BG864" s="255">
        <f t="shared" si="488"/>
        <v>0</v>
      </c>
      <c r="BH864" s="31">
        <f t="shared" si="489"/>
        <v>7.833333333333333</v>
      </c>
      <c r="BI864" s="255">
        <f t="shared" si="490"/>
        <v>6.6583333333333332</v>
      </c>
      <c r="BJ864" s="31">
        <f t="shared" si="491"/>
        <v>0</v>
      </c>
      <c r="BK864" s="31">
        <f t="shared" si="492"/>
        <v>0</v>
      </c>
      <c r="BL864" s="255">
        <f t="shared" si="493"/>
        <v>0</v>
      </c>
      <c r="BM864" s="31">
        <f t="shared" si="494"/>
        <v>0</v>
      </c>
      <c r="BN864" s="255">
        <f t="shared" si="495"/>
        <v>0</v>
      </c>
    </row>
    <row r="865" spans="1:66" x14ac:dyDescent="0.25">
      <c r="A865" s="18" t="s">
        <v>1755</v>
      </c>
      <c r="B865" s="186" t="str">
        <f>VLOOKUP(A865,kurspris!$A$1:$B$877,2,FALSE)</f>
        <v>Att undervisa i förskolan (VFU)</v>
      </c>
      <c r="C865" s="37"/>
      <c r="D865" s="31" t="s">
        <v>484</v>
      </c>
      <c r="E865" s="31" t="s">
        <v>1788</v>
      </c>
      <c r="F865" s="59" t="s">
        <v>1931</v>
      </c>
      <c r="G865" s="31" t="s">
        <v>2286</v>
      </c>
      <c r="L865" s="31">
        <v>100</v>
      </c>
      <c r="M865" s="31">
        <v>10</v>
      </c>
      <c r="P865" s="31">
        <v>2</v>
      </c>
      <c r="Q865" s="232">
        <f t="shared" si="468"/>
        <v>0.33333333333333331</v>
      </c>
      <c r="R865" s="40">
        <v>0.85</v>
      </c>
      <c r="S865" s="334">
        <f t="shared" si="469"/>
        <v>0.28333333333333333</v>
      </c>
      <c r="T865" s="31">
        <f>VLOOKUP(A865,'Ansvar kurs'!$A$1:$C$1010,2,FALSE)</f>
        <v>2193</v>
      </c>
      <c r="U865" s="31" t="str">
        <f>VLOOKUP(T865,Orgenheter!$A$1:$C$165,2,FALSE)</f>
        <v xml:space="preserve">TUV </v>
      </c>
      <c r="V865" s="31" t="str">
        <f>VLOOKUP(T865,Orgenheter!$A$1:$C$165,3,FALSE)</f>
        <v>Sam</v>
      </c>
      <c r="W865" s="37" t="str">
        <f>VLOOKUP(D865,Program!$A$1:$B$34,2,FALSE)</f>
        <v>Förskollärarprogrammet</v>
      </c>
      <c r="X865" s="42">
        <f>VLOOKUP(A865,kurspris!$A$1:$Q$798,15,FALSE)</f>
        <v>21634</v>
      </c>
      <c r="Y865" s="42">
        <f>VLOOKUP(A865,kurspris!$A$1:$Q$798,16,FALSE)</f>
        <v>26986</v>
      </c>
      <c r="Z865" s="42">
        <f t="shared" si="470"/>
        <v>14857.366666666665</v>
      </c>
      <c r="AA865" s="42">
        <f>VLOOKUP(A865,kurspris!$A$1:$Q$798,17,FALSE)</f>
        <v>3400</v>
      </c>
      <c r="AB865" s="42">
        <f t="shared" si="471"/>
        <v>1133.3333333333333</v>
      </c>
      <c r="AC865" s="42">
        <f t="shared" si="472"/>
        <v>15990.699999999999</v>
      </c>
      <c r="AD865" s="31">
        <f>VLOOKUP($A865,kurspris!$A$1:$Q$835,3,FALSE)</f>
        <v>0</v>
      </c>
      <c r="AE865" s="31">
        <f>VLOOKUP($A865,kurspris!$A$1:$Q$835,4,FALSE)</f>
        <v>0</v>
      </c>
      <c r="AF865" s="31">
        <f>VLOOKUP($A865,kurspris!$A$1:$Q$835,5,FALSE)</f>
        <v>0</v>
      </c>
      <c r="AG865" s="31">
        <f>VLOOKUP($A865,kurspris!$A$1:$Q$835,6,FALSE)</f>
        <v>0</v>
      </c>
      <c r="AH865" s="31">
        <f>VLOOKUP($A865,kurspris!$A$1:$Q$835,7,FALSE)</f>
        <v>0</v>
      </c>
      <c r="AI865" s="31">
        <f>VLOOKUP($A865,kurspris!$A$1:$Q$835,8,FALSE)</f>
        <v>0</v>
      </c>
      <c r="AJ865" s="31">
        <f>VLOOKUP($A865,kurspris!$A$1:$Q$835,9,FALSE)</f>
        <v>0</v>
      </c>
      <c r="AK865" s="31">
        <f>VLOOKUP($A865,kurspris!$A$1:$Q$835,10,FALSE)</f>
        <v>0</v>
      </c>
      <c r="AL865" s="31">
        <f>VLOOKUP($A865,kurspris!$A$1:$Q$835,11,FALSE)</f>
        <v>1</v>
      </c>
      <c r="AM865" s="31">
        <f>VLOOKUP($A865,kurspris!$A$1:$Q$835,12,FALSE)</f>
        <v>0</v>
      </c>
      <c r="AN865" s="31">
        <f>VLOOKUP($A865,kurspris!$A$1:$Q$835,13,FALSE)</f>
        <v>0</v>
      </c>
      <c r="AO865" s="31">
        <f>VLOOKUP($A865,kurspris!$A$1:$Q$835,14,FALSE)</f>
        <v>0</v>
      </c>
      <c r="AP865" s="39" t="s">
        <v>2326</v>
      </c>
      <c r="AQ865"/>
      <c r="AR865" s="31">
        <f t="shared" si="473"/>
        <v>0</v>
      </c>
      <c r="AS865" s="255">
        <f t="shared" si="474"/>
        <v>0</v>
      </c>
      <c r="AT865" s="31">
        <f t="shared" si="475"/>
        <v>0</v>
      </c>
      <c r="AU865" s="255">
        <f t="shared" si="476"/>
        <v>0</v>
      </c>
      <c r="AV865" s="31">
        <f t="shared" si="477"/>
        <v>0</v>
      </c>
      <c r="AW865" s="31">
        <f t="shared" si="478"/>
        <v>0</v>
      </c>
      <c r="AX865" s="31">
        <f t="shared" si="479"/>
        <v>0</v>
      </c>
      <c r="AY865" s="255">
        <f t="shared" si="480"/>
        <v>0</v>
      </c>
      <c r="AZ865" s="232">
        <f t="shared" si="481"/>
        <v>0</v>
      </c>
      <c r="BA865" s="255">
        <f t="shared" si="482"/>
        <v>0</v>
      </c>
      <c r="BB865" s="31">
        <f t="shared" si="483"/>
        <v>0</v>
      </c>
      <c r="BC865" s="255">
        <f t="shared" si="484"/>
        <v>0</v>
      </c>
      <c r="BD865" s="31">
        <f t="shared" si="485"/>
        <v>0</v>
      </c>
      <c r="BE865" s="255">
        <f t="shared" si="486"/>
        <v>0</v>
      </c>
      <c r="BF865" s="31">
        <f t="shared" si="487"/>
        <v>0</v>
      </c>
      <c r="BG865" s="255">
        <f t="shared" si="488"/>
        <v>0</v>
      </c>
      <c r="BH865" s="31">
        <f t="shared" si="489"/>
        <v>0.33333333333333331</v>
      </c>
      <c r="BI865" s="255">
        <f t="shared" si="490"/>
        <v>0.28333333333333333</v>
      </c>
      <c r="BJ865" s="31">
        <f t="shared" si="491"/>
        <v>0</v>
      </c>
      <c r="BK865" s="31">
        <f t="shared" si="492"/>
        <v>0</v>
      </c>
      <c r="BL865" s="255">
        <f t="shared" si="493"/>
        <v>0</v>
      </c>
      <c r="BM865" s="31">
        <f t="shared" si="494"/>
        <v>0</v>
      </c>
      <c r="BN865" s="255">
        <f t="shared" si="495"/>
        <v>0</v>
      </c>
    </row>
    <row r="866" spans="1:66" x14ac:dyDescent="0.25">
      <c r="A866" s="18" t="s">
        <v>1755</v>
      </c>
      <c r="B866" s="186" t="str">
        <f>VLOOKUP(A866,kurspris!$A$1:$B$877,2,FALSE)</f>
        <v>Att undervisa i förskolan (VFU)</v>
      </c>
      <c r="C866" s="37"/>
      <c r="D866" s="31" t="s">
        <v>484</v>
      </c>
      <c r="E866" s="31" t="s">
        <v>1930</v>
      </c>
      <c r="F866" s="59" t="s">
        <v>1931</v>
      </c>
      <c r="G866" s="31" t="s">
        <v>2286</v>
      </c>
      <c r="L866" s="31">
        <v>100</v>
      </c>
      <c r="M866" s="31">
        <v>10</v>
      </c>
      <c r="P866" s="31">
        <v>17</v>
      </c>
      <c r="Q866" s="232">
        <f t="shared" si="468"/>
        <v>2.833333333333333</v>
      </c>
      <c r="R866" s="40">
        <v>0.85</v>
      </c>
      <c r="S866" s="334">
        <f t="shared" si="469"/>
        <v>2.4083333333333332</v>
      </c>
      <c r="T866" s="31">
        <f>VLOOKUP(A866,'Ansvar kurs'!$A$1:$C$1010,2,FALSE)</f>
        <v>2193</v>
      </c>
      <c r="U866" s="31" t="str">
        <f>VLOOKUP(T866,Orgenheter!$A$1:$C$165,2,FALSE)</f>
        <v xml:space="preserve">TUV </v>
      </c>
      <c r="V866" s="31" t="str">
        <f>VLOOKUP(T866,Orgenheter!$A$1:$C$165,3,FALSE)</f>
        <v>Sam</v>
      </c>
      <c r="W866" s="37" t="str">
        <f>VLOOKUP(D866,Program!$A$1:$B$34,2,FALSE)</f>
        <v>Förskollärarprogrammet</v>
      </c>
      <c r="X866" s="42">
        <f>VLOOKUP(A866,kurspris!$A$1:$Q$798,15,FALSE)</f>
        <v>21634</v>
      </c>
      <c r="Y866" s="42">
        <f>VLOOKUP(A866,kurspris!$A$1:$Q$798,16,FALSE)</f>
        <v>26986</v>
      </c>
      <c r="Z866" s="42">
        <f t="shared" si="470"/>
        <v>126287.61666666667</v>
      </c>
      <c r="AA866" s="42">
        <f>VLOOKUP(A866,kurspris!$A$1:$Q$798,17,FALSE)</f>
        <v>3400</v>
      </c>
      <c r="AB866" s="42">
        <f t="shared" si="471"/>
        <v>9633.3333333333321</v>
      </c>
      <c r="AC866" s="42">
        <f t="shared" si="472"/>
        <v>135920.95000000001</v>
      </c>
      <c r="AD866" s="31">
        <f>VLOOKUP($A866,kurspris!$A$1:$Q$835,3,FALSE)</f>
        <v>0</v>
      </c>
      <c r="AE866" s="31">
        <f>VLOOKUP($A866,kurspris!$A$1:$Q$835,4,FALSE)</f>
        <v>0</v>
      </c>
      <c r="AF866" s="31">
        <f>VLOOKUP($A866,kurspris!$A$1:$Q$835,5,FALSE)</f>
        <v>0</v>
      </c>
      <c r="AG866" s="31">
        <f>VLOOKUP($A866,kurspris!$A$1:$Q$835,6,FALSE)</f>
        <v>0</v>
      </c>
      <c r="AH866" s="31">
        <f>VLOOKUP($A866,kurspris!$A$1:$Q$835,7,FALSE)</f>
        <v>0</v>
      </c>
      <c r="AI866" s="31">
        <f>VLOOKUP($A866,kurspris!$A$1:$Q$835,8,FALSE)</f>
        <v>0</v>
      </c>
      <c r="AJ866" s="31">
        <f>VLOOKUP($A866,kurspris!$A$1:$Q$835,9,FALSE)</f>
        <v>0</v>
      </c>
      <c r="AK866" s="31">
        <f>VLOOKUP($A866,kurspris!$A$1:$Q$835,10,FALSE)</f>
        <v>0</v>
      </c>
      <c r="AL866" s="31">
        <f>VLOOKUP($A866,kurspris!$A$1:$Q$835,11,FALSE)</f>
        <v>1</v>
      </c>
      <c r="AM866" s="31">
        <f>VLOOKUP($A866,kurspris!$A$1:$Q$835,12,FALSE)</f>
        <v>0</v>
      </c>
      <c r="AN866" s="31">
        <f>VLOOKUP($A866,kurspris!$A$1:$Q$835,13,FALSE)</f>
        <v>0</v>
      </c>
      <c r="AO866" s="31">
        <f>VLOOKUP($A866,kurspris!$A$1:$Q$835,14,FALSE)</f>
        <v>0</v>
      </c>
      <c r="AP866" s="39" t="s">
        <v>2326</v>
      </c>
      <c r="AQ866"/>
      <c r="AR866" s="31">
        <f t="shared" si="473"/>
        <v>0</v>
      </c>
      <c r="AS866" s="255">
        <f t="shared" si="474"/>
        <v>0</v>
      </c>
      <c r="AT866" s="31">
        <f t="shared" si="475"/>
        <v>0</v>
      </c>
      <c r="AU866" s="255">
        <f t="shared" si="476"/>
        <v>0</v>
      </c>
      <c r="AV866" s="31">
        <f t="shared" si="477"/>
        <v>0</v>
      </c>
      <c r="AW866" s="31">
        <f t="shared" si="478"/>
        <v>0</v>
      </c>
      <c r="AX866" s="31">
        <f t="shared" si="479"/>
        <v>0</v>
      </c>
      <c r="AY866" s="255">
        <f t="shared" si="480"/>
        <v>0</v>
      </c>
      <c r="AZ866" s="232">
        <f t="shared" si="481"/>
        <v>0</v>
      </c>
      <c r="BA866" s="255">
        <f t="shared" si="482"/>
        <v>0</v>
      </c>
      <c r="BB866" s="31">
        <f t="shared" si="483"/>
        <v>0</v>
      </c>
      <c r="BC866" s="255">
        <f t="shared" si="484"/>
        <v>0</v>
      </c>
      <c r="BD866" s="31">
        <f t="shared" si="485"/>
        <v>0</v>
      </c>
      <c r="BE866" s="255">
        <f t="shared" si="486"/>
        <v>0</v>
      </c>
      <c r="BF866" s="31">
        <f t="shared" si="487"/>
        <v>0</v>
      </c>
      <c r="BG866" s="255">
        <f t="shared" si="488"/>
        <v>0</v>
      </c>
      <c r="BH866" s="31">
        <f t="shared" si="489"/>
        <v>2.833333333333333</v>
      </c>
      <c r="BI866" s="255">
        <f t="shared" si="490"/>
        <v>2.4083333333333332</v>
      </c>
      <c r="BJ866" s="31">
        <f t="shared" si="491"/>
        <v>0</v>
      </c>
      <c r="BK866" s="31">
        <f t="shared" si="492"/>
        <v>0</v>
      </c>
      <c r="BL866" s="255">
        <f t="shared" si="493"/>
        <v>0</v>
      </c>
      <c r="BM866" s="31">
        <f t="shared" si="494"/>
        <v>0</v>
      </c>
      <c r="BN866" s="255">
        <f t="shared" si="495"/>
        <v>0</v>
      </c>
    </row>
    <row r="867" spans="1:66" x14ac:dyDescent="0.25">
      <c r="A867" t="s">
        <v>1734</v>
      </c>
      <c r="B867" s="186" t="str">
        <f>VLOOKUP(A867,kurspris!$A$1:$B$877,2,FALSE)</f>
        <v>Förskolans uppdrag och arbetssätt 2</v>
      </c>
      <c r="C867"/>
      <c r="D867" t="s">
        <v>484</v>
      </c>
      <c r="E867" t="s">
        <v>1973</v>
      </c>
      <c r="F867" s="39" t="s">
        <v>1930</v>
      </c>
      <c r="G867" t="s">
        <v>1987</v>
      </c>
      <c r="H867" t="s">
        <v>1910</v>
      </c>
      <c r="I867"/>
      <c r="J867"/>
      <c r="K867"/>
      <c r="L867">
        <v>100</v>
      </c>
      <c r="M867">
        <v>10</v>
      </c>
      <c r="N867"/>
      <c r="O867"/>
      <c r="P867" s="31">
        <v>1</v>
      </c>
      <c r="Q867" s="232">
        <f t="shared" si="468"/>
        <v>0.16666666666666666</v>
      </c>
      <c r="R867" s="40">
        <v>0.85</v>
      </c>
      <c r="S867" s="334">
        <f t="shared" si="469"/>
        <v>0.14166666666666666</v>
      </c>
      <c r="T867" s="31">
        <f>VLOOKUP(A867,'Ansvar kurs'!$A$1:$C$1010,2,FALSE)</f>
        <v>2193</v>
      </c>
      <c r="U867" s="31" t="str">
        <f>VLOOKUP(T867,Orgenheter!$A$1:$C$165,2,FALSE)</f>
        <v xml:space="preserve">TUV </v>
      </c>
      <c r="V867" s="31" t="str">
        <f>VLOOKUP(T867,Orgenheter!$A$1:$C$165,3,FALSE)</f>
        <v>Sam</v>
      </c>
      <c r="W867" s="37" t="str">
        <f>VLOOKUP(D867,Program!$A$1:$B$34,2,FALSE)</f>
        <v>Förskollärarprogrammet</v>
      </c>
      <c r="X867" s="42">
        <f>VLOOKUP(A867,kurspris!$A$1:$Q$798,15,FALSE)</f>
        <v>18405</v>
      </c>
      <c r="Y867" s="42">
        <f>VLOOKUP(A867,kurspris!$A$1:$Q$798,16,FALSE)</f>
        <v>15773</v>
      </c>
      <c r="Z867" s="42">
        <f t="shared" si="470"/>
        <v>5302.0083333333332</v>
      </c>
      <c r="AA867" s="42">
        <f>VLOOKUP(A867,kurspris!$A$1:$Q$798,17,FALSE)</f>
        <v>5800</v>
      </c>
      <c r="AB867" s="42">
        <f t="shared" si="471"/>
        <v>966.66666666666663</v>
      </c>
      <c r="AC867" s="42">
        <f t="shared" si="472"/>
        <v>6268.6750000000002</v>
      </c>
      <c r="AD867" s="31">
        <f>VLOOKUP($A867,kurspris!$A$1:$Q$835,3,FALSE)</f>
        <v>0</v>
      </c>
      <c r="AE867" s="31">
        <f>VLOOKUP($A867,kurspris!$A$1:$Q$835,4,FALSE)</f>
        <v>0</v>
      </c>
      <c r="AF867" s="31">
        <f>VLOOKUP($A867,kurspris!$A$1:$Q$835,5,FALSE)</f>
        <v>0</v>
      </c>
      <c r="AG867" s="31">
        <f>VLOOKUP($A867,kurspris!$A$1:$Q$835,6,FALSE)</f>
        <v>0</v>
      </c>
      <c r="AH867" s="31">
        <f>VLOOKUP($A867,kurspris!$A$1:$Q$835,7,FALSE)</f>
        <v>0</v>
      </c>
      <c r="AI867" s="31">
        <f>VLOOKUP($A867,kurspris!$A$1:$Q$835,8,FALSE)</f>
        <v>0</v>
      </c>
      <c r="AJ867" s="31">
        <f>VLOOKUP($A867,kurspris!$A$1:$Q$835,9,FALSE)</f>
        <v>1</v>
      </c>
      <c r="AK867" s="31">
        <f>VLOOKUP($A867,kurspris!$A$1:$Q$835,10,FALSE)</f>
        <v>0</v>
      </c>
      <c r="AL867" s="31">
        <f>VLOOKUP($A867,kurspris!$A$1:$Q$835,11,FALSE)</f>
        <v>0</v>
      </c>
      <c r="AM867" s="31">
        <f>VLOOKUP($A867,kurspris!$A$1:$Q$835,12,FALSE)</f>
        <v>0</v>
      </c>
      <c r="AN867" s="31">
        <f>VLOOKUP($A867,kurspris!$A$1:$Q$835,13,FALSE)</f>
        <v>0</v>
      </c>
      <c r="AO867" s="31">
        <f>VLOOKUP($A867,kurspris!$A$1:$Q$835,14,FALSE)</f>
        <v>0</v>
      </c>
      <c r="AP867" s="39" t="s">
        <v>2204</v>
      </c>
      <c r="AQ867"/>
      <c r="AR867" s="31">
        <f t="shared" si="473"/>
        <v>0</v>
      </c>
      <c r="AS867" s="255">
        <f t="shared" si="474"/>
        <v>0</v>
      </c>
      <c r="AT867" s="31">
        <f t="shared" si="475"/>
        <v>0</v>
      </c>
      <c r="AU867" s="255">
        <f t="shared" si="476"/>
        <v>0</v>
      </c>
      <c r="AV867" s="31">
        <f t="shared" si="477"/>
        <v>0</v>
      </c>
      <c r="AW867" s="31">
        <f t="shared" si="478"/>
        <v>0</v>
      </c>
      <c r="AX867" s="31">
        <f t="shared" si="479"/>
        <v>0</v>
      </c>
      <c r="AY867" s="255">
        <f t="shared" si="480"/>
        <v>0</v>
      </c>
      <c r="AZ867" s="232">
        <f t="shared" si="481"/>
        <v>0</v>
      </c>
      <c r="BA867" s="255">
        <f t="shared" si="482"/>
        <v>0</v>
      </c>
      <c r="BB867" s="31">
        <f t="shared" si="483"/>
        <v>0</v>
      </c>
      <c r="BC867" s="255">
        <f t="shared" si="484"/>
        <v>0</v>
      </c>
      <c r="BD867" s="31">
        <f t="shared" si="485"/>
        <v>0.16666666666666666</v>
      </c>
      <c r="BE867" s="255">
        <f t="shared" si="486"/>
        <v>0.14166666666666666</v>
      </c>
      <c r="BF867" s="31">
        <f t="shared" si="487"/>
        <v>0</v>
      </c>
      <c r="BG867" s="255">
        <f t="shared" si="488"/>
        <v>0</v>
      </c>
      <c r="BH867" s="31">
        <f t="shared" si="489"/>
        <v>0</v>
      </c>
      <c r="BI867" s="255">
        <f t="shared" si="490"/>
        <v>0</v>
      </c>
      <c r="BJ867" s="31">
        <f t="shared" si="491"/>
        <v>0</v>
      </c>
      <c r="BK867" s="31">
        <f t="shared" si="492"/>
        <v>0</v>
      </c>
      <c r="BL867" s="255">
        <f t="shared" si="493"/>
        <v>0</v>
      </c>
      <c r="BM867" s="31">
        <f t="shared" si="494"/>
        <v>0</v>
      </c>
      <c r="BN867" s="255">
        <f t="shared" si="495"/>
        <v>0</v>
      </c>
    </row>
    <row r="868" spans="1:66" x14ac:dyDescent="0.25">
      <c r="A868" t="s">
        <v>1734</v>
      </c>
      <c r="B868" s="186" t="str">
        <f>VLOOKUP(A868,kurspris!$A$1:$B$877,2,FALSE)</f>
        <v>Förskolans uppdrag och arbetssätt 2</v>
      </c>
      <c r="C868"/>
      <c r="D868" t="s">
        <v>484</v>
      </c>
      <c r="E868" t="s">
        <v>1609</v>
      </c>
      <c r="F868" s="39" t="s">
        <v>1930</v>
      </c>
      <c r="G868" t="s">
        <v>1987</v>
      </c>
      <c r="H868" t="s">
        <v>1910</v>
      </c>
      <c r="I868"/>
      <c r="J868"/>
      <c r="K868"/>
      <c r="L868">
        <v>100</v>
      </c>
      <c r="M868">
        <v>10</v>
      </c>
      <c r="N868"/>
      <c r="O868"/>
      <c r="P868" s="31">
        <v>34</v>
      </c>
      <c r="Q868" s="232">
        <f t="shared" si="468"/>
        <v>5.6666666666666661</v>
      </c>
      <c r="R868" s="40">
        <v>0.85</v>
      </c>
      <c r="S868" s="334">
        <f t="shared" si="469"/>
        <v>4.8166666666666664</v>
      </c>
      <c r="T868" s="31">
        <f>VLOOKUP(A868,'Ansvar kurs'!$A$1:$C$1010,2,FALSE)</f>
        <v>2193</v>
      </c>
      <c r="U868" s="31" t="str">
        <f>VLOOKUP(T868,Orgenheter!$A$1:$C$165,2,FALSE)</f>
        <v xml:space="preserve">TUV </v>
      </c>
      <c r="V868" s="31" t="str">
        <f>VLOOKUP(T868,Orgenheter!$A$1:$C$165,3,FALSE)</f>
        <v>Sam</v>
      </c>
      <c r="W868" s="37" t="str">
        <f>VLOOKUP(D868,Program!$A$1:$B$34,2,FALSE)</f>
        <v>Förskollärarprogrammet</v>
      </c>
      <c r="X868" s="42">
        <f>VLOOKUP(A868,kurspris!$A$1:$Q$798,15,FALSE)</f>
        <v>18405</v>
      </c>
      <c r="Y868" s="42">
        <f>VLOOKUP(A868,kurspris!$A$1:$Q$798,16,FALSE)</f>
        <v>15773</v>
      </c>
      <c r="Z868" s="42">
        <f t="shared" si="470"/>
        <v>180268.28333333333</v>
      </c>
      <c r="AA868" s="42">
        <f>VLOOKUP(A868,kurspris!$A$1:$Q$798,17,FALSE)</f>
        <v>5800</v>
      </c>
      <c r="AB868" s="42">
        <f t="shared" si="471"/>
        <v>32866.666666666664</v>
      </c>
      <c r="AC868" s="42">
        <f t="shared" si="472"/>
        <v>213134.94999999998</v>
      </c>
      <c r="AD868" s="31">
        <f>VLOOKUP($A868,kurspris!$A$1:$Q$835,3,FALSE)</f>
        <v>0</v>
      </c>
      <c r="AE868" s="31">
        <f>VLOOKUP($A868,kurspris!$A$1:$Q$835,4,FALSE)</f>
        <v>0</v>
      </c>
      <c r="AF868" s="31">
        <f>VLOOKUP($A868,kurspris!$A$1:$Q$835,5,FALSE)</f>
        <v>0</v>
      </c>
      <c r="AG868" s="31">
        <f>VLOOKUP($A868,kurspris!$A$1:$Q$835,6,FALSE)</f>
        <v>0</v>
      </c>
      <c r="AH868" s="31">
        <f>VLOOKUP($A868,kurspris!$A$1:$Q$835,7,FALSE)</f>
        <v>0</v>
      </c>
      <c r="AI868" s="31">
        <f>VLOOKUP($A868,kurspris!$A$1:$Q$835,8,FALSE)</f>
        <v>0</v>
      </c>
      <c r="AJ868" s="31">
        <f>VLOOKUP($A868,kurspris!$A$1:$Q$835,9,FALSE)</f>
        <v>1</v>
      </c>
      <c r="AK868" s="31">
        <f>VLOOKUP($A868,kurspris!$A$1:$Q$835,10,FALSE)</f>
        <v>0</v>
      </c>
      <c r="AL868" s="31">
        <f>VLOOKUP($A868,kurspris!$A$1:$Q$835,11,FALSE)</f>
        <v>0</v>
      </c>
      <c r="AM868" s="31">
        <f>VLOOKUP($A868,kurspris!$A$1:$Q$835,12,FALSE)</f>
        <v>0</v>
      </c>
      <c r="AN868" s="31">
        <f>VLOOKUP($A868,kurspris!$A$1:$Q$835,13,FALSE)</f>
        <v>0</v>
      </c>
      <c r="AO868" s="31">
        <f>VLOOKUP($A868,kurspris!$A$1:$Q$835,14,FALSE)</f>
        <v>0</v>
      </c>
      <c r="AP868" s="39" t="s">
        <v>2204</v>
      </c>
      <c r="AQ868"/>
      <c r="AR868" s="31">
        <f t="shared" si="473"/>
        <v>0</v>
      </c>
      <c r="AS868" s="255">
        <f t="shared" si="474"/>
        <v>0</v>
      </c>
      <c r="AT868" s="31">
        <f t="shared" si="475"/>
        <v>0</v>
      </c>
      <c r="AU868" s="255">
        <f t="shared" si="476"/>
        <v>0</v>
      </c>
      <c r="AV868" s="31">
        <f t="shared" si="477"/>
        <v>0</v>
      </c>
      <c r="AW868" s="31">
        <f t="shared" si="478"/>
        <v>0</v>
      </c>
      <c r="AX868" s="31">
        <f t="shared" si="479"/>
        <v>0</v>
      </c>
      <c r="AY868" s="255">
        <f t="shared" si="480"/>
        <v>0</v>
      </c>
      <c r="AZ868" s="232">
        <f t="shared" si="481"/>
        <v>0</v>
      </c>
      <c r="BA868" s="255">
        <f t="shared" si="482"/>
        <v>0</v>
      </c>
      <c r="BB868" s="31">
        <f t="shared" si="483"/>
        <v>0</v>
      </c>
      <c r="BC868" s="255">
        <f t="shared" si="484"/>
        <v>0</v>
      </c>
      <c r="BD868" s="31">
        <f t="shared" si="485"/>
        <v>5.6666666666666661</v>
      </c>
      <c r="BE868" s="255">
        <f t="shared" si="486"/>
        <v>4.8166666666666664</v>
      </c>
      <c r="BF868" s="31">
        <f t="shared" si="487"/>
        <v>0</v>
      </c>
      <c r="BG868" s="255">
        <f t="shared" si="488"/>
        <v>0</v>
      </c>
      <c r="BH868" s="31">
        <f t="shared" si="489"/>
        <v>0</v>
      </c>
      <c r="BI868" s="255">
        <f t="shared" si="490"/>
        <v>0</v>
      </c>
      <c r="BJ868" s="31">
        <f t="shared" si="491"/>
        <v>0</v>
      </c>
      <c r="BK868" s="31">
        <f t="shared" si="492"/>
        <v>0</v>
      </c>
      <c r="BL868" s="255">
        <f t="shared" si="493"/>
        <v>0</v>
      </c>
      <c r="BM868" s="31">
        <f t="shared" si="494"/>
        <v>0</v>
      </c>
      <c r="BN868" s="255">
        <f t="shared" si="495"/>
        <v>0</v>
      </c>
    </row>
    <row r="869" spans="1:66" x14ac:dyDescent="0.25">
      <c r="A869" s="39" t="s">
        <v>1734</v>
      </c>
      <c r="B869" s="186" t="str">
        <f>VLOOKUP(A869,kurspris!$A$1:$B$877,2,FALSE)</f>
        <v>Förskolans uppdrag och arbetssätt 2</v>
      </c>
      <c r="C869" s="37"/>
      <c r="D869" s="59" t="s">
        <v>484</v>
      </c>
      <c r="E869" s="59" t="s">
        <v>1609</v>
      </c>
      <c r="F869" s="59" t="s">
        <v>1931</v>
      </c>
      <c r="G869" s="31" t="s">
        <v>2284</v>
      </c>
      <c r="L869" s="31">
        <v>100</v>
      </c>
      <c r="M869" s="376">
        <v>10</v>
      </c>
      <c r="P869" s="31">
        <v>3</v>
      </c>
      <c r="Q869" s="232">
        <f t="shared" si="468"/>
        <v>0.5</v>
      </c>
      <c r="R869" s="40">
        <v>0.85</v>
      </c>
      <c r="S869" s="334">
        <f t="shared" si="469"/>
        <v>0.42499999999999999</v>
      </c>
      <c r="T869" s="31">
        <f>VLOOKUP(A869,'Ansvar kurs'!$A$1:$C$1010,2,FALSE)</f>
        <v>2193</v>
      </c>
      <c r="U869" s="31" t="str">
        <f>VLOOKUP(T869,Orgenheter!$A$1:$C$165,2,FALSE)</f>
        <v xml:space="preserve">TUV </v>
      </c>
      <c r="V869" s="31" t="str">
        <f>VLOOKUP(T869,Orgenheter!$A$1:$C$165,3,FALSE)</f>
        <v>Sam</v>
      </c>
      <c r="W869" s="37" t="str">
        <f>VLOOKUP(D869,Program!$A$1:$B$34,2,FALSE)</f>
        <v>Förskollärarprogrammet</v>
      </c>
      <c r="X869" s="42">
        <f>VLOOKUP(A869,kurspris!$A$1:$Q$798,15,FALSE)</f>
        <v>18405</v>
      </c>
      <c r="Y869" s="42">
        <f>VLOOKUP(A869,kurspris!$A$1:$Q$798,16,FALSE)</f>
        <v>15773</v>
      </c>
      <c r="Z869" s="42">
        <f t="shared" si="470"/>
        <v>15906.025</v>
      </c>
      <c r="AA869" s="42">
        <f>VLOOKUP(A869,kurspris!$A$1:$Q$798,17,FALSE)</f>
        <v>5800</v>
      </c>
      <c r="AB869" s="42">
        <f t="shared" si="471"/>
        <v>2900</v>
      </c>
      <c r="AC869" s="42">
        <f t="shared" si="472"/>
        <v>18806.025000000001</v>
      </c>
      <c r="AD869" s="31">
        <f>VLOOKUP($A869,kurspris!$A$1:$Q$835,3,FALSE)</f>
        <v>0</v>
      </c>
      <c r="AE869" s="31">
        <f>VLOOKUP($A869,kurspris!$A$1:$Q$835,4,FALSE)</f>
        <v>0</v>
      </c>
      <c r="AF869" s="31">
        <f>VLOOKUP($A869,kurspris!$A$1:$Q$835,5,FALSE)</f>
        <v>0</v>
      </c>
      <c r="AG869" s="31">
        <f>VLOOKUP($A869,kurspris!$A$1:$Q$835,6,FALSE)</f>
        <v>0</v>
      </c>
      <c r="AH869" s="31">
        <f>VLOOKUP($A869,kurspris!$A$1:$Q$835,7,FALSE)</f>
        <v>0</v>
      </c>
      <c r="AI869" s="31">
        <f>VLOOKUP($A869,kurspris!$A$1:$Q$835,8,FALSE)</f>
        <v>0</v>
      </c>
      <c r="AJ869" s="31">
        <f>VLOOKUP($A869,kurspris!$A$1:$Q$835,9,FALSE)</f>
        <v>1</v>
      </c>
      <c r="AK869" s="31">
        <f>VLOOKUP($A869,kurspris!$A$1:$Q$835,10,FALSE)</f>
        <v>0</v>
      </c>
      <c r="AL869" s="31">
        <f>VLOOKUP($A869,kurspris!$A$1:$Q$835,11,FALSE)</f>
        <v>0</v>
      </c>
      <c r="AM869" s="31">
        <f>VLOOKUP($A869,kurspris!$A$1:$Q$835,12,FALSE)</f>
        <v>0</v>
      </c>
      <c r="AN869" s="31">
        <f>VLOOKUP($A869,kurspris!$A$1:$Q$835,13,FALSE)</f>
        <v>0</v>
      </c>
      <c r="AO869" s="31">
        <f>VLOOKUP($A869,kurspris!$A$1:$Q$835,14,FALSE)</f>
        <v>0</v>
      </c>
      <c r="AP869" s="39" t="s">
        <v>2326</v>
      </c>
      <c r="AQ869"/>
      <c r="AR869" s="31">
        <f t="shared" si="473"/>
        <v>0</v>
      </c>
      <c r="AS869" s="255">
        <f t="shared" si="474"/>
        <v>0</v>
      </c>
      <c r="AT869" s="31">
        <f t="shared" si="475"/>
        <v>0</v>
      </c>
      <c r="AU869" s="255">
        <f t="shared" si="476"/>
        <v>0</v>
      </c>
      <c r="AV869" s="31">
        <f t="shared" si="477"/>
        <v>0</v>
      </c>
      <c r="AW869" s="31">
        <f t="shared" si="478"/>
        <v>0</v>
      </c>
      <c r="AX869" s="31">
        <f t="shared" si="479"/>
        <v>0</v>
      </c>
      <c r="AY869" s="255">
        <f t="shared" si="480"/>
        <v>0</v>
      </c>
      <c r="AZ869" s="232">
        <f t="shared" si="481"/>
        <v>0</v>
      </c>
      <c r="BA869" s="255">
        <f t="shared" si="482"/>
        <v>0</v>
      </c>
      <c r="BB869" s="31">
        <f t="shared" si="483"/>
        <v>0</v>
      </c>
      <c r="BC869" s="255">
        <f t="shared" si="484"/>
        <v>0</v>
      </c>
      <c r="BD869" s="31">
        <f t="shared" si="485"/>
        <v>0.5</v>
      </c>
      <c r="BE869" s="255">
        <f t="shared" si="486"/>
        <v>0.42499999999999999</v>
      </c>
      <c r="BF869" s="31">
        <f t="shared" si="487"/>
        <v>0</v>
      </c>
      <c r="BG869" s="255">
        <f t="shared" si="488"/>
        <v>0</v>
      </c>
      <c r="BH869" s="31">
        <f t="shared" si="489"/>
        <v>0</v>
      </c>
      <c r="BI869" s="255">
        <f t="shared" si="490"/>
        <v>0</v>
      </c>
      <c r="BJ869" s="31">
        <f t="shared" si="491"/>
        <v>0</v>
      </c>
      <c r="BK869" s="31">
        <f t="shared" si="492"/>
        <v>0</v>
      </c>
      <c r="BL869" s="255">
        <f t="shared" si="493"/>
        <v>0</v>
      </c>
      <c r="BM869" s="31">
        <f t="shared" si="494"/>
        <v>0</v>
      </c>
      <c r="BN869" s="255">
        <f t="shared" si="495"/>
        <v>0</v>
      </c>
    </row>
    <row r="870" spans="1:66" x14ac:dyDescent="0.25">
      <c r="A870" t="s">
        <v>1734</v>
      </c>
      <c r="B870" s="186" t="str">
        <f>VLOOKUP(A870,kurspris!$A$1:$B$877,2,FALSE)</f>
        <v>Förskolans uppdrag och arbetssätt 2</v>
      </c>
      <c r="C870"/>
      <c r="D870" t="s">
        <v>484</v>
      </c>
      <c r="E870" t="s">
        <v>1608</v>
      </c>
      <c r="F870" s="39" t="s">
        <v>1930</v>
      </c>
      <c r="G870" t="s">
        <v>1987</v>
      </c>
      <c r="H870" t="s">
        <v>1910</v>
      </c>
      <c r="I870"/>
      <c r="J870"/>
      <c r="K870"/>
      <c r="L870">
        <v>100</v>
      </c>
      <c r="M870">
        <v>10</v>
      </c>
      <c r="N870"/>
      <c r="O870"/>
      <c r="P870" s="31">
        <v>1</v>
      </c>
      <c r="Q870" s="232">
        <f t="shared" si="468"/>
        <v>0.16666666666666666</v>
      </c>
      <c r="R870" s="40">
        <v>0.85</v>
      </c>
      <c r="S870" s="334">
        <f t="shared" si="469"/>
        <v>0.14166666666666666</v>
      </c>
      <c r="T870" s="31">
        <f>VLOOKUP(A870,'Ansvar kurs'!$A$1:$C$1010,2,FALSE)</f>
        <v>2193</v>
      </c>
      <c r="U870" s="31" t="str">
        <f>VLOOKUP(T870,Orgenheter!$A$1:$C$165,2,FALSE)</f>
        <v xml:space="preserve">TUV </v>
      </c>
      <c r="V870" s="31" t="str">
        <f>VLOOKUP(T870,Orgenheter!$A$1:$C$165,3,FALSE)</f>
        <v>Sam</v>
      </c>
      <c r="W870" s="37" t="str">
        <f>VLOOKUP(D870,Program!$A$1:$B$34,2,FALSE)</f>
        <v>Förskollärarprogrammet</v>
      </c>
      <c r="X870" s="42">
        <f>VLOOKUP(A870,kurspris!$A$1:$Q$798,15,FALSE)</f>
        <v>18405</v>
      </c>
      <c r="Y870" s="42">
        <f>VLOOKUP(A870,kurspris!$A$1:$Q$798,16,FALSE)</f>
        <v>15773</v>
      </c>
      <c r="Z870" s="42">
        <f t="shared" si="470"/>
        <v>5302.0083333333332</v>
      </c>
      <c r="AA870" s="42">
        <f>VLOOKUP(A870,kurspris!$A$1:$Q$798,17,FALSE)</f>
        <v>5800</v>
      </c>
      <c r="AB870" s="42">
        <f t="shared" si="471"/>
        <v>966.66666666666663</v>
      </c>
      <c r="AC870" s="42">
        <f t="shared" si="472"/>
        <v>6268.6750000000002</v>
      </c>
      <c r="AD870" s="31">
        <f>VLOOKUP($A870,kurspris!$A$1:$Q$835,3,FALSE)</f>
        <v>0</v>
      </c>
      <c r="AE870" s="31">
        <f>VLOOKUP($A870,kurspris!$A$1:$Q$835,4,FALSE)</f>
        <v>0</v>
      </c>
      <c r="AF870" s="31">
        <f>VLOOKUP($A870,kurspris!$A$1:$Q$835,5,FALSE)</f>
        <v>0</v>
      </c>
      <c r="AG870" s="31">
        <f>VLOOKUP($A870,kurspris!$A$1:$Q$835,6,FALSE)</f>
        <v>0</v>
      </c>
      <c r="AH870" s="31">
        <f>VLOOKUP($A870,kurspris!$A$1:$Q$835,7,FALSE)</f>
        <v>0</v>
      </c>
      <c r="AI870" s="31">
        <f>VLOOKUP($A870,kurspris!$A$1:$Q$835,8,FALSE)</f>
        <v>0</v>
      </c>
      <c r="AJ870" s="31">
        <f>VLOOKUP($A870,kurspris!$A$1:$Q$835,9,FALSE)</f>
        <v>1</v>
      </c>
      <c r="AK870" s="31">
        <f>VLOOKUP($A870,kurspris!$A$1:$Q$835,10,FALSE)</f>
        <v>0</v>
      </c>
      <c r="AL870" s="31">
        <f>VLOOKUP($A870,kurspris!$A$1:$Q$835,11,FALSE)</f>
        <v>0</v>
      </c>
      <c r="AM870" s="31">
        <f>VLOOKUP($A870,kurspris!$A$1:$Q$835,12,FALSE)</f>
        <v>0</v>
      </c>
      <c r="AN870" s="31">
        <f>VLOOKUP($A870,kurspris!$A$1:$Q$835,13,FALSE)</f>
        <v>0</v>
      </c>
      <c r="AO870" s="31">
        <f>VLOOKUP($A870,kurspris!$A$1:$Q$835,14,FALSE)</f>
        <v>0</v>
      </c>
      <c r="AP870" s="39" t="s">
        <v>2204</v>
      </c>
      <c r="AQ870"/>
      <c r="AR870" s="31">
        <f t="shared" si="473"/>
        <v>0</v>
      </c>
      <c r="AS870" s="255">
        <f t="shared" si="474"/>
        <v>0</v>
      </c>
      <c r="AT870" s="31">
        <f t="shared" si="475"/>
        <v>0</v>
      </c>
      <c r="AU870" s="255">
        <f t="shared" si="476"/>
        <v>0</v>
      </c>
      <c r="AV870" s="31">
        <f t="shared" si="477"/>
        <v>0</v>
      </c>
      <c r="AW870" s="31">
        <f t="shared" si="478"/>
        <v>0</v>
      </c>
      <c r="AX870" s="31">
        <f t="shared" si="479"/>
        <v>0</v>
      </c>
      <c r="AY870" s="255">
        <f t="shared" si="480"/>
        <v>0</v>
      </c>
      <c r="AZ870" s="232">
        <f t="shared" si="481"/>
        <v>0</v>
      </c>
      <c r="BA870" s="255">
        <f t="shared" si="482"/>
        <v>0</v>
      </c>
      <c r="BB870" s="31">
        <f t="shared" si="483"/>
        <v>0</v>
      </c>
      <c r="BC870" s="255">
        <f t="shared" si="484"/>
        <v>0</v>
      </c>
      <c r="BD870" s="31">
        <f t="shared" si="485"/>
        <v>0.16666666666666666</v>
      </c>
      <c r="BE870" s="255">
        <f t="shared" si="486"/>
        <v>0.14166666666666666</v>
      </c>
      <c r="BF870" s="31">
        <f t="shared" si="487"/>
        <v>0</v>
      </c>
      <c r="BG870" s="255">
        <f t="shared" si="488"/>
        <v>0</v>
      </c>
      <c r="BH870" s="31">
        <f t="shared" si="489"/>
        <v>0</v>
      </c>
      <c r="BI870" s="255">
        <f t="shared" si="490"/>
        <v>0</v>
      </c>
      <c r="BJ870" s="31">
        <f t="shared" si="491"/>
        <v>0</v>
      </c>
      <c r="BK870" s="31">
        <f t="shared" si="492"/>
        <v>0</v>
      </c>
      <c r="BL870" s="255">
        <f t="shared" si="493"/>
        <v>0</v>
      </c>
      <c r="BM870" s="31">
        <f t="shared" si="494"/>
        <v>0</v>
      </c>
      <c r="BN870" s="255">
        <f t="shared" si="495"/>
        <v>0</v>
      </c>
    </row>
    <row r="871" spans="1:66" x14ac:dyDescent="0.25">
      <c r="A871" s="18" t="s">
        <v>1734</v>
      </c>
      <c r="B871" s="186" t="str">
        <f>VLOOKUP(A871,kurspris!$A$1:$B$877,2,FALSE)</f>
        <v>Förskolans uppdrag och arbetssätt 2</v>
      </c>
      <c r="C871" s="37"/>
      <c r="D871" s="31" t="s">
        <v>484</v>
      </c>
      <c r="E871" s="31" t="s">
        <v>1787</v>
      </c>
      <c r="F871" s="59" t="s">
        <v>1931</v>
      </c>
      <c r="G871" s="31" t="s">
        <v>2284</v>
      </c>
      <c r="H871" s="31" t="s">
        <v>1910</v>
      </c>
      <c r="L871" s="31">
        <v>100</v>
      </c>
      <c r="M871" s="31">
        <v>10</v>
      </c>
      <c r="P871" s="31">
        <v>21</v>
      </c>
      <c r="Q871" s="232">
        <f t="shared" si="468"/>
        <v>3.5</v>
      </c>
      <c r="R871" s="40">
        <v>0.85</v>
      </c>
      <c r="S871" s="334">
        <f t="shared" si="469"/>
        <v>2.9750000000000001</v>
      </c>
      <c r="T871" s="31">
        <f>VLOOKUP(A871,'Ansvar kurs'!$A$1:$C$1010,2,FALSE)</f>
        <v>2193</v>
      </c>
      <c r="U871" s="31" t="str">
        <f>VLOOKUP(T871,Orgenheter!$A$1:$C$165,2,FALSE)</f>
        <v xml:space="preserve">TUV </v>
      </c>
      <c r="V871" s="31" t="str">
        <f>VLOOKUP(T871,Orgenheter!$A$1:$C$165,3,FALSE)</f>
        <v>Sam</v>
      </c>
      <c r="W871" s="37" t="str">
        <f>VLOOKUP(D871,Program!$A$1:$B$34,2,FALSE)</f>
        <v>Förskollärarprogrammet</v>
      </c>
      <c r="X871" s="42">
        <f>VLOOKUP(A871,kurspris!$A$1:$Q$798,15,FALSE)</f>
        <v>18405</v>
      </c>
      <c r="Y871" s="42">
        <f>VLOOKUP(A871,kurspris!$A$1:$Q$798,16,FALSE)</f>
        <v>15773</v>
      </c>
      <c r="Z871" s="42">
        <f t="shared" si="470"/>
        <v>111342.175</v>
      </c>
      <c r="AA871" s="42">
        <f>VLOOKUP(A871,kurspris!$A$1:$Q$798,17,FALSE)</f>
        <v>5800</v>
      </c>
      <c r="AB871" s="42">
        <f t="shared" si="471"/>
        <v>20300</v>
      </c>
      <c r="AC871" s="42">
        <f t="shared" si="472"/>
        <v>131642.17499999999</v>
      </c>
      <c r="AD871" s="31">
        <f>VLOOKUP($A871,kurspris!$A$1:$Q$835,3,FALSE)</f>
        <v>0</v>
      </c>
      <c r="AE871" s="31">
        <f>VLOOKUP($A871,kurspris!$A$1:$Q$835,4,FALSE)</f>
        <v>0</v>
      </c>
      <c r="AF871" s="31">
        <f>VLOOKUP($A871,kurspris!$A$1:$Q$835,5,FALSE)</f>
        <v>0</v>
      </c>
      <c r="AG871" s="31">
        <f>VLOOKUP($A871,kurspris!$A$1:$Q$835,6,FALSE)</f>
        <v>0</v>
      </c>
      <c r="AH871" s="31">
        <f>VLOOKUP($A871,kurspris!$A$1:$Q$835,7,FALSE)</f>
        <v>0</v>
      </c>
      <c r="AI871" s="31">
        <f>VLOOKUP($A871,kurspris!$A$1:$Q$835,8,FALSE)</f>
        <v>0</v>
      </c>
      <c r="AJ871" s="31">
        <f>VLOOKUP($A871,kurspris!$A$1:$Q$835,9,FALSE)</f>
        <v>1</v>
      </c>
      <c r="AK871" s="31">
        <f>VLOOKUP($A871,kurspris!$A$1:$Q$835,10,FALSE)</f>
        <v>0</v>
      </c>
      <c r="AL871" s="31">
        <f>VLOOKUP($A871,kurspris!$A$1:$Q$835,11,FALSE)</f>
        <v>0</v>
      </c>
      <c r="AM871" s="31">
        <f>VLOOKUP($A871,kurspris!$A$1:$Q$835,12,FALSE)</f>
        <v>0</v>
      </c>
      <c r="AN871" s="31">
        <f>VLOOKUP($A871,kurspris!$A$1:$Q$835,13,FALSE)</f>
        <v>0</v>
      </c>
      <c r="AO871" s="31">
        <f>VLOOKUP($A871,kurspris!$A$1:$Q$835,14,FALSE)</f>
        <v>0</v>
      </c>
      <c r="AP871" s="39" t="s">
        <v>2326</v>
      </c>
      <c r="AQ871"/>
      <c r="AR871" s="31">
        <f t="shared" si="473"/>
        <v>0</v>
      </c>
      <c r="AS871" s="255">
        <f t="shared" si="474"/>
        <v>0</v>
      </c>
      <c r="AT871" s="31">
        <f t="shared" si="475"/>
        <v>0</v>
      </c>
      <c r="AU871" s="255">
        <f t="shared" si="476"/>
        <v>0</v>
      </c>
      <c r="AV871" s="31">
        <f t="shared" si="477"/>
        <v>0</v>
      </c>
      <c r="AW871" s="31">
        <f t="shared" si="478"/>
        <v>0</v>
      </c>
      <c r="AX871" s="31">
        <f t="shared" si="479"/>
        <v>0</v>
      </c>
      <c r="AY871" s="255">
        <f t="shared" si="480"/>
        <v>0</v>
      </c>
      <c r="AZ871" s="232">
        <f t="shared" si="481"/>
        <v>0</v>
      </c>
      <c r="BA871" s="255">
        <f t="shared" si="482"/>
        <v>0</v>
      </c>
      <c r="BB871" s="31">
        <f t="shared" si="483"/>
        <v>0</v>
      </c>
      <c r="BC871" s="255">
        <f t="shared" si="484"/>
        <v>0</v>
      </c>
      <c r="BD871" s="31">
        <f t="shared" si="485"/>
        <v>3.5</v>
      </c>
      <c r="BE871" s="255">
        <f t="shared" si="486"/>
        <v>2.9750000000000001</v>
      </c>
      <c r="BF871" s="31">
        <f t="shared" si="487"/>
        <v>0</v>
      </c>
      <c r="BG871" s="255">
        <f t="shared" si="488"/>
        <v>0</v>
      </c>
      <c r="BH871" s="31">
        <f t="shared" si="489"/>
        <v>0</v>
      </c>
      <c r="BI871" s="255">
        <f t="shared" si="490"/>
        <v>0</v>
      </c>
      <c r="BJ871" s="31">
        <f t="shared" si="491"/>
        <v>0</v>
      </c>
      <c r="BK871" s="31">
        <f t="shared" si="492"/>
        <v>0</v>
      </c>
      <c r="BL871" s="255">
        <f t="shared" si="493"/>
        <v>0</v>
      </c>
      <c r="BM871" s="31">
        <f t="shared" si="494"/>
        <v>0</v>
      </c>
      <c r="BN871" s="255">
        <f t="shared" si="495"/>
        <v>0</v>
      </c>
    </row>
    <row r="872" spans="1:66" x14ac:dyDescent="0.25">
      <c r="A872" s="18" t="s">
        <v>1734</v>
      </c>
      <c r="B872" s="186" t="str">
        <f>VLOOKUP(A872,kurspris!$A$1:$B$877,2,FALSE)</f>
        <v>Förskolans uppdrag och arbetssätt 2</v>
      </c>
      <c r="C872" s="37"/>
      <c r="D872" s="31" t="s">
        <v>484</v>
      </c>
      <c r="E872" s="31" t="s">
        <v>1787</v>
      </c>
      <c r="F872" s="59" t="s">
        <v>1931</v>
      </c>
      <c r="G872" s="31" t="s">
        <v>2284</v>
      </c>
      <c r="H872" s="31" t="s">
        <v>2327</v>
      </c>
      <c r="L872" s="31">
        <v>100</v>
      </c>
      <c r="M872" s="31">
        <v>10</v>
      </c>
      <c r="P872" s="31">
        <v>16</v>
      </c>
      <c r="Q872" s="232">
        <f t="shared" si="468"/>
        <v>2.6666666666666665</v>
      </c>
      <c r="R872" s="40">
        <v>0.85</v>
      </c>
      <c r="S872" s="334">
        <f t="shared" si="469"/>
        <v>2.2666666666666666</v>
      </c>
      <c r="T872" s="31">
        <f>VLOOKUP(A872,'Ansvar kurs'!$A$1:$C$1010,2,FALSE)</f>
        <v>2193</v>
      </c>
      <c r="U872" s="31" t="str">
        <f>VLOOKUP(T872,Orgenheter!$A$1:$C$165,2,FALSE)</f>
        <v xml:space="preserve">TUV </v>
      </c>
      <c r="V872" s="31" t="str">
        <f>VLOOKUP(T872,Orgenheter!$A$1:$C$165,3,FALSE)</f>
        <v>Sam</v>
      </c>
      <c r="W872" s="37" t="str">
        <f>VLOOKUP(D872,Program!$A$1:$B$34,2,FALSE)</f>
        <v>Förskollärarprogrammet</v>
      </c>
      <c r="X872" s="42">
        <f>VLOOKUP(A872,kurspris!$A$1:$Q$798,15,FALSE)</f>
        <v>18405</v>
      </c>
      <c r="Y872" s="42">
        <f>VLOOKUP(A872,kurspris!$A$1:$Q$798,16,FALSE)</f>
        <v>15773</v>
      </c>
      <c r="Z872" s="42">
        <f t="shared" si="470"/>
        <v>84832.133333333331</v>
      </c>
      <c r="AA872" s="42">
        <f>VLOOKUP(A872,kurspris!$A$1:$Q$798,17,FALSE)</f>
        <v>5800</v>
      </c>
      <c r="AB872" s="42">
        <f t="shared" si="471"/>
        <v>15466.666666666666</v>
      </c>
      <c r="AC872" s="42">
        <f t="shared" si="472"/>
        <v>100298.8</v>
      </c>
      <c r="AD872" s="31">
        <f>VLOOKUP($A872,kurspris!$A$1:$Q$835,3,FALSE)</f>
        <v>0</v>
      </c>
      <c r="AE872" s="31">
        <f>VLOOKUP($A872,kurspris!$A$1:$Q$835,4,FALSE)</f>
        <v>0</v>
      </c>
      <c r="AF872" s="31">
        <f>VLOOKUP($A872,kurspris!$A$1:$Q$835,5,FALSE)</f>
        <v>0</v>
      </c>
      <c r="AG872" s="31">
        <f>VLOOKUP($A872,kurspris!$A$1:$Q$835,6,FALSE)</f>
        <v>0</v>
      </c>
      <c r="AH872" s="31">
        <f>VLOOKUP($A872,kurspris!$A$1:$Q$835,7,FALSE)</f>
        <v>0</v>
      </c>
      <c r="AI872" s="31">
        <f>VLOOKUP($A872,kurspris!$A$1:$Q$835,8,FALSE)</f>
        <v>0</v>
      </c>
      <c r="AJ872" s="31">
        <f>VLOOKUP($A872,kurspris!$A$1:$Q$835,9,FALSE)</f>
        <v>1</v>
      </c>
      <c r="AK872" s="31">
        <f>VLOOKUP($A872,kurspris!$A$1:$Q$835,10,FALSE)</f>
        <v>0</v>
      </c>
      <c r="AL872" s="31">
        <f>VLOOKUP($A872,kurspris!$A$1:$Q$835,11,FALSE)</f>
        <v>0</v>
      </c>
      <c r="AM872" s="31">
        <f>VLOOKUP($A872,kurspris!$A$1:$Q$835,12,FALSE)</f>
        <v>0</v>
      </c>
      <c r="AN872" s="31">
        <f>VLOOKUP($A872,kurspris!$A$1:$Q$835,13,FALSE)</f>
        <v>0</v>
      </c>
      <c r="AO872" s="31">
        <f>VLOOKUP($A872,kurspris!$A$1:$Q$835,14,FALSE)</f>
        <v>0</v>
      </c>
      <c r="AP872" s="39" t="s">
        <v>2326</v>
      </c>
      <c r="AQ872"/>
      <c r="AR872" s="31">
        <f t="shared" si="473"/>
        <v>0</v>
      </c>
      <c r="AS872" s="255">
        <f t="shared" si="474"/>
        <v>0</v>
      </c>
      <c r="AT872" s="31">
        <f t="shared" si="475"/>
        <v>0</v>
      </c>
      <c r="AU872" s="255">
        <f t="shared" si="476"/>
        <v>0</v>
      </c>
      <c r="AV872" s="31">
        <f t="shared" si="477"/>
        <v>0</v>
      </c>
      <c r="AW872" s="31">
        <f t="shared" si="478"/>
        <v>0</v>
      </c>
      <c r="AX872" s="31">
        <f t="shared" si="479"/>
        <v>0</v>
      </c>
      <c r="AY872" s="255">
        <f t="shared" si="480"/>
        <v>0</v>
      </c>
      <c r="AZ872" s="232">
        <f t="shared" si="481"/>
        <v>0</v>
      </c>
      <c r="BA872" s="255">
        <f t="shared" si="482"/>
        <v>0</v>
      </c>
      <c r="BB872" s="31">
        <f t="shared" si="483"/>
        <v>0</v>
      </c>
      <c r="BC872" s="255">
        <f t="shared" si="484"/>
        <v>0</v>
      </c>
      <c r="BD872" s="31">
        <f t="shared" si="485"/>
        <v>2.6666666666666665</v>
      </c>
      <c r="BE872" s="255">
        <f t="shared" si="486"/>
        <v>2.2666666666666666</v>
      </c>
      <c r="BF872" s="31">
        <f t="shared" si="487"/>
        <v>0</v>
      </c>
      <c r="BG872" s="255">
        <f t="shared" si="488"/>
        <v>0</v>
      </c>
      <c r="BH872" s="31">
        <f t="shared" si="489"/>
        <v>0</v>
      </c>
      <c r="BI872" s="255">
        <f t="shared" si="490"/>
        <v>0</v>
      </c>
      <c r="BJ872" s="31">
        <f t="shared" si="491"/>
        <v>0</v>
      </c>
      <c r="BK872" s="31">
        <f t="shared" si="492"/>
        <v>0</v>
      </c>
      <c r="BL872" s="255">
        <f t="shared" si="493"/>
        <v>0</v>
      </c>
      <c r="BM872" s="31">
        <f t="shared" si="494"/>
        <v>0</v>
      </c>
      <c r="BN872" s="255">
        <f t="shared" si="495"/>
        <v>0</v>
      </c>
    </row>
    <row r="873" spans="1:66" x14ac:dyDescent="0.25">
      <c r="A873" t="s">
        <v>1725</v>
      </c>
      <c r="B873" s="186" t="str">
        <f>VLOOKUP(A873,kurspris!$A$1:$B$877,2,FALSE)</f>
        <v>Läraryrkets dimensioner för förskolan 1 (VFU)</v>
      </c>
      <c r="C873"/>
      <c r="D873" t="s">
        <v>484</v>
      </c>
      <c r="E873" t="s">
        <v>1973</v>
      </c>
      <c r="F873" s="39" t="s">
        <v>1930</v>
      </c>
      <c r="G873" t="s">
        <v>1988</v>
      </c>
      <c r="H873" t="s">
        <v>1910</v>
      </c>
      <c r="I873"/>
      <c r="J873"/>
      <c r="K873"/>
      <c r="L873">
        <v>100</v>
      </c>
      <c r="M873">
        <v>11</v>
      </c>
      <c r="N873"/>
      <c r="O873"/>
      <c r="P873" s="31">
        <v>2</v>
      </c>
      <c r="Q873" s="232">
        <f t="shared" si="468"/>
        <v>0.36666666666666664</v>
      </c>
      <c r="R873" s="40">
        <v>0.85</v>
      </c>
      <c r="S873" s="334">
        <f t="shared" si="469"/>
        <v>0.31166666666666665</v>
      </c>
      <c r="T873" s="31">
        <f>VLOOKUP(A873,'Ansvar kurs'!$A$1:$C$1010,2,FALSE)</f>
        <v>2193</v>
      </c>
      <c r="U873" s="31" t="str">
        <f>VLOOKUP(T873,Orgenheter!$A$1:$C$165,2,FALSE)</f>
        <v xml:space="preserve">TUV </v>
      </c>
      <c r="V873" s="31" t="str">
        <f>VLOOKUP(T873,Orgenheter!$A$1:$C$165,3,FALSE)</f>
        <v>Sam</v>
      </c>
      <c r="W873" s="37" t="str">
        <f>VLOOKUP(D873,Program!$A$1:$B$34,2,FALSE)</f>
        <v>Förskollärarprogrammet</v>
      </c>
      <c r="X873" s="42">
        <f>VLOOKUP(A873,kurspris!$A$1:$Q$798,15,FALSE)</f>
        <v>21634</v>
      </c>
      <c r="Y873" s="42">
        <f>VLOOKUP(A873,kurspris!$A$1:$Q$798,16,FALSE)</f>
        <v>26986</v>
      </c>
      <c r="Z873" s="42">
        <f t="shared" si="470"/>
        <v>16343.103333333333</v>
      </c>
      <c r="AA873" s="42">
        <f>VLOOKUP(A873,kurspris!$A$1:$Q$798,17,FALSE)</f>
        <v>3400</v>
      </c>
      <c r="AB873" s="42">
        <f t="shared" si="471"/>
        <v>1246.6666666666665</v>
      </c>
      <c r="AC873" s="42">
        <f t="shared" si="472"/>
        <v>17589.77</v>
      </c>
      <c r="AD873" s="31">
        <f>VLOOKUP($A873,kurspris!$A$1:$Q$835,3,FALSE)</f>
        <v>0</v>
      </c>
      <c r="AE873" s="31">
        <f>VLOOKUP($A873,kurspris!$A$1:$Q$835,4,FALSE)</f>
        <v>0</v>
      </c>
      <c r="AF873" s="31">
        <f>VLOOKUP($A873,kurspris!$A$1:$Q$835,5,FALSE)</f>
        <v>0</v>
      </c>
      <c r="AG873" s="31">
        <f>VLOOKUP($A873,kurspris!$A$1:$Q$835,6,FALSE)</f>
        <v>0</v>
      </c>
      <c r="AH873" s="31">
        <f>VLOOKUP($A873,kurspris!$A$1:$Q$835,7,FALSE)</f>
        <v>0</v>
      </c>
      <c r="AI873" s="31">
        <f>VLOOKUP($A873,kurspris!$A$1:$Q$835,8,FALSE)</f>
        <v>0</v>
      </c>
      <c r="AJ873" s="31">
        <f>VLOOKUP($A873,kurspris!$A$1:$Q$835,9,FALSE)</f>
        <v>0</v>
      </c>
      <c r="AK873" s="31">
        <f>VLOOKUP($A873,kurspris!$A$1:$Q$835,10,FALSE)</f>
        <v>0</v>
      </c>
      <c r="AL873" s="31">
        <f>VLOOKUP($A873,kurspris!$A$1:$Q$835,11,FALSE)</f>
        <v>1</v>
      </c>
      <c r="AM873" s="31">
        <f>VLOOKUP($A873,kurspris!$A$1:$Q$835,12,FALSE)</f>
        <v>0</v>
      </c>
      <c r="AN873" s="31">
        <f>VLOOKUP($A873,kurspris!$A$1:$Q$835,13,FALSE)</f>
        <v>0</v>
      </c>
      <c r="AO873" s="31">
        <f>VLOOKUP($A873,kurspris!$A$1:$Q$835,14,FALSE)</f>
        <v>0</v>
      </c>
      <c r="AP873" s="39" t="s">
        <v>2204</v>
      </c>
      <c r="AQ873"/>
      <c r="AR873" s="31">
        <f t="shared" si="473"/>
        <v>0</v>
      </c>
      <c r="AS873" s="255">
        <f t="shared" si="474"/>
        <v>0</v>
      </c>
      <c r="AT873" s="31">
        <f t="shared" si="475"/>
        <v>0</v>
      </c>
      <c r="AU873" s="255">
        <f t="shared" si="476"/>
        <v>0</v>
      </c>
      <c r="AV873" s="31">
        <f t="shared" si="477"/>
        <v>0</v>
      </c>
      <c r="AW873" s="31">
        <f t="shared" si="478"/>
        <v>0</v>
      </c>
      <c r="AX873" s="31">
        <f t="shared" si="479"/>
        <v>0</v>
      </c>
      <c r="AY873" s="255">
        <f t="shared" si="480"/>
        <v>0</v>
      </c>
      <c r="AZ873" s="232">
        <f t="shared" si="481"/>
        <v>0</v>
      </c>
      <c r="BA873" s="255">
        <f t="shared" si="482"/>
        <v>0</v>
      </c>
      <c r="BB873" s="31">
        <f t="shared" si="483"/>
        <v>0</v>
      </c>
      <c r="BC873" s="255">
        <f t="shared" si="484"/>
        <v>0</v>
      </c>
      <c r="BD873" s="31">
        <f t="shared" si="485"/>
        <v>0</v>
      </c>
      <c r="BE873" s="255">
        <f t="shared" si="486"/>
        <v>0</v>
      </c>
      <c r="BF873" s="31">
        <f t="shared" si="487"/>
        <v>0</v>
      </c>
      <c r="BG873" s="255">
        <f t="shared" si="488"/>
        <v>0</v>
      </c>
      <c r="BH873" s="31">
        <f t="shared" si="489"/>
        <v>0.36666666666666664</v>
      </c>
      <c r="BI873" s="255">
        <f t="shared" si="490"/>
        <v>0.31166666666666665</v>
      </c>
      <c r="BJ873" s="31">
        <f t="shared" si="491"/>
        <v>0</v>
      </c>
      <c r="BK873" s="31">
        <f t="shared" si="492"/>
        <v>0</v>
      </c>
      <c r="BL873" s="255">
        <f t="shared" si="493"/>
        <v>0</v>
      </c>
      <c r="BM873" s="31">
        <f t="shared" si="494"/>
        <v>0</v>
      </c>
      <c r="BN873" s="255">
        <f t="shared" si="495"/>
        <v>0</v>
      </c>
    </row>
    <row r="874" spans="1:66" x14ac:dyDescent="0.25">
      <c r="A874" s="39" t="s">
        <v>1725</v>
      </c>
      <c r="B874" s="186" t="str">
        <f>VLOOKUP(A874,kurspris!$A$1:$B$877,2,FALSE)</f>
        <v>Läraryrkets dimensioner för förskolan 1 (VFU)</v>
      </c>
      <c r="C874" s="37"/>
      <c r="D874" s="59" t="s">
        <v>484</v>
      </c>
      <c r="E874" s="59" t="s">
        <v>1609</v>
      </c>
      <c r="F874" s="59" t="s">
        <v>1931</v>
      </c>
      <c r="G874" s="31" t="s">
        <v>2285</v>
      </c>
      <c r="L874" s="31">
        <v>100</v>
      </c>
      <c r="M874" s="376">
        <v>11</v>
      </c>
      <c r="N874" s="40"/>
      <c r="P874" s="377">
        <v>32</v>
      </c>
      <c r="Q874" s="232">
        <f t="shared" si="468"/>
        <v>5.8666666666666663</v>
      </c>
      <c r="R874" s="40">
        <v>0.85</v>
      </c>
      <c r="S874" s="334">
        <f t="shared" si="469"/>
        <v>4.9866666666666664</v>
      </c>
      <c r="T874" s="31">
        <f>VLOOKUP(A874,'Ansvar kurs'!$A$1:$C$1010,2,FALSE)</f>
        <v>2193</v>
      </c>
      <c r="U874" s="31" t="str">
        <f>VLOOKUP(T874,Orgenheter!$A$1:$C$165,2,FALSE)</f>
        <v xml:space="preserve">TUV </v>
      </c>
      <c r="V874" s="31" t="str">
        <f>VLOOKUP(T874,Orgenheter!$A$1:$C$165,3,FALSE)</f>
        <v>Sam</v>
      </c>
      <c r="W874" s="37" t="str">
        <f>VLOOKUP(D874,Program!$A$1:$B$34,2,FALSE)</f>
        <v>Förskollärarprogrammet</v>
      </c>
      <c r="X874" s="42">
        <f>VLOOKUP(A874,kurspris!$A$1:$Q$798,15,FALSE)</f>
        <v>21634</v>
      </c>
      <c r="Y874" s="42">
        <f>VLOOKUP(A874,kurspris!$A$1:$Q$798,16,FALSE)</f>
        <v>26986</v>
      </c>
      <c r="Z874" s="42">
        <f t="shared" si="470"/>
        <v>261489.65333333332</v>
      </c>
      <c r="AA874" s="42">
        <f>VLOOKUP(A874,kurspris!$A$1:$Q$798,17,FALSE)</f>
        <v>3400</v>
      </c>
      <c r="AB874" s="42">
        <f t="shared" si="471"/>
        <v>19946.666666666664</v>
      </c>
      <c r="AC874" s="42">
        <f t="shared" si="472"/>
        <v>281436.32</v>
      </c>
      <c r="AD874" s="31">
        <f>VLOOKUP($A874,kurspris!$A$1:$Q$835,3,FALSE)</f>
        <v>0</v>
      </c>
      <c r="AE874" s="31">
        <f>VLOOKUP($A874,kurspris!$A$1:$Q$835,4,FALSE)</f>
        <v>0</v>
      </c>
      <c r="AF874" s="31">
        <f>VLOOKUP($A874,kurspris!$A$1:$Q$835,5,FALSE)</f>
        <v>0</v>
      </c>
      <c r="AG874" s="31">
        <f>VLOOKUP($A874,kurspris!$A$1:$Q$835,6,FALSE)</f>
        <v>0</v>
      </c>
      <c r="AH874" s="31">
        <f>VLOOKUP($A874,kurspris!$A$1:$Q$835,7,FALSE)</f>
        <v>0</v>
      </c>
      <c r="AI874" s="31">
        <f>VLOOKUP($A874,kurspris!$A$1:$Q$835,8,FALSE)</f>
        <v>0</v>
      </c>
      <c r="AJ874" s="31">
        <f>VLOOKUP($A874,kurspris!$A$1:$Q$835,9,FALSE)</f>
        <v>0</v>
      </c>
      <c r="AK874" s="31">
        <f>VLOOKUP($A874,kurspris!$A$1:$Q$835,10,FALSE)</f>
        <v>0</v>
      </c>
      <c r="AL874" s="31">
        <f>VLOOKUP($A874,kurspris!$A$1:$Q$835,11,FALSE)</f>
        <v>1</v>
      </c>
      <c r="AM874" s="31">
        <f>VLOOKUP($A874,kurspris!$A$1:$Q$835,12,FALSE)</f>
        <v>0</v>
      </c>
      <c r="AN874" s="31">
        <f>VLOOKUP($A874,kurspris!$A$1:$Q$835,13,FALSE)</f>
        <v>0</v>
      </c>
      <c r="AO874" s="31">
        <f>VLOOKUP($A874,kurspris!$A$1:$Q$835,14,FALSE)</f>
        <v>0</v>
      </c>
      <c r="AP874" s="39" t="s">
        <v>2326</v>
      </c>
      <c r="AQ874"/>
      <c r="AR874" s="31">
        <f t="shared" si="473"/>
        <v>0</v>
      </c>
      <c r="AS874" s="255">
        <f t="shared" si="474"/>
        <v>0</v>
      </c>
      <c r="AT874" s="31">
        <f t="shared" si="475"/>
        <v>0</v>
      </c>
      <c r="AU874" s="255">
        <f t="shared" si="476"/>
        <v>0</v>
      </c>
      <c r="AV874" s="31">
        <f t="shared" si="477"/>
        <v>0</v>
      </c>
      <c r="AW874" s="31">
        <f t="shared" si="478"/>
        <v>0</v>
      </c>
      <c r="AX874" s="31">
        <f t="shared" si="479"/>
        <v>0</v>
      </c>
      <c r="AY874" s="255">
        <f t="shared" si="480"/>
        <v>0</v>
      </c>
      <c r="AZ874" s="232">
        <f t="shared" si="481"/>
        <v>0</v>
      </c>
      <c r="BA874" s="255">
        <f t="shared" si="482"/>
        <v>0</v>
      </c>
      <c r="BB874" s="31">
        <f t="shared" si="483"/>
        <v>0</v>
      </c>
      <c r="BC874" s="255">
        <f t="shared" si="484"/>
        <v>0</v>
      </c>
      <c r="BD874" s="31">
        <f t="shared" si="485"/>
        <v>0</v>
      </c>
      <c r="BE874" s="255">
        <f t="shared" si="486"/>
        <v>0</v>
      </c>
      <c r="BF874" s="31">
        <f t="shared" si="487"/>
        <v>0</v>
      </c>
      <c r="BG874" s="255">
        <f t="shared" si="488"/>
        <v>0</v>
      </c>
      <c r="BH874" s="31">
        <f t="shared" si="489"/>
        <v>5.8666666666666663</v>
      </c>
      <c r="BI874" s="255">
        <f t="shared" si="490"/>
        <v>4.9866666666666664</v>
      </c>
      <c r="BJ874" s="31">
        <f t="shared" si="491"/>
        <v>0</v>
      </c>
      <c r="BK874" s="31">
        <f t="shared" si="492"/>
        <v>0</v>
      </c>
      <c r="BL874" s="255">
        <f t="shared" si="493"/>
        <v>0</v>
      </c>
      <c r="BM874" s="31">
        <f t="shared" si="494"/>
        <v>0</v>
      </c>
      <c r="BN874" s="255">
        <f t="shared" si="495"/>
        <v>0</v>
      </c>
    </row>
    <row r="875" spans="1:66" x14ac:dyDescent="0.25">
      <c r="A875" t="s">
        <v>1725</v>
      </c>
      <c r="B875" s="186" t="str">
        <f>VLOOKUP(A875,kurspris!$A$1:$B$877,2,FALSE)</f>
        <v>Läraryrkets dimensioner för förskolan 1 (VFU)</v>
      </c>
      <c r="C875"/>
      <c r="D875" t="s">
        <v>484</v>
      </c>
      <c r="E875" t="s">
        <v>1608</v>
      </c>
      <c r="F875" s="39" t="s">
        <v>1930</v>
      </c>
      <c r="G875" t="s">
        <v>1988</v>
      </c>
      <c r="H875" t="s">
        <v>1910</v>
      </c>
      <c r="I875"/>
      <c r="J875"/>
      <c r="K875"/>
      <c r="L875">
        <v>100</v>
      </c>
      <c r="M875">
        <v>11</v>
      </c>
      <c r="N875"/>
      <c r="O875"/>
      <c r="P875" s="31">
        <v>17</v>
      </c>
      <c r="Q875" s="232">
        <f t="shared" si="468"/>
        <v>3.1166666666666663</v>
      </c>
      <c r="R875" s="40">
        <v>0.85</v>
      </c>
      <c r="S875" s="334">
        <f t="shared" si="469"/>
        <v>2.6491666666666664</v>
      </c>
      <c r="T875" s="31">
        <f>VLOOKUP(A875,'Ansvar kurs'!$A$1:$C$1010,2,FALSE)</f>
        <v>2193</v>
      </c>
      <c r="U875" s="31" t="str">
        <f>VLOOKUP(T875,Orgenheter!$A$1:$C$165,2,FALSE)</f>
        <v xml:space="preserve">TUV </v>
      </c>
      <c r="V875" s="31" t="str">
        <f>VLOOKUP(T875,Orgenheter!$A$1:$C$165,3,FALSE)</f>
        <v>Sam</v>
      </c>
      <c r="W875" s="37" t="str">
        <f>VLOOKUP(D875,Program!$A$1:$B$34,2,FALSE)</f>
        <v>Förskollärarprogrammet</v>
      </c>
      <c r="X875" s="42">
        <f>VLOOKUP(A875,kurspris!$A$1:$Q$798,15,FALSE)</f>
        <v>21634</v>
      </c>
      <c r="Y875" s="42">
        <f>VLOOKUP(A875,kurspris!$A$1:$Q$798,16,FALSE)</f>
        <v>26986</v>
      </c>
      <c r="Z875" s="42">
        <f t="shared" si="470"/>
        <v>138916.37833333333</v>
      </c>
      <c r="AA875" s="42">
        <f>VLOOKUP(A875,kurspris!$A$1:$Q$798,17,FALSE)</f>
        <v>3400</v>
      </c>
      <c r="AB875" s="42">
        <f t="shared" si="471"/>
        <v>10596.666666666666</v>
      </c>
      <c r="AC875" s="42">
        <f t="shared" si="472"/>
        <v>149513.04499999998</v>
      </c>
      <c r="AD875" s="31">
        <f>VLOOKUP($A875,kurspris!$A$1:$Q$835,3,FALSE)</f>
        <v>0</v>
      </c>
      <c r="AE875" s="31">
        <f>VLOOKUP($A875,kurspris!$A$1:$Q$835,4,FALSE)</f>
        <v>0</v>
      </c>
      <c r="AF875" s="31">
        <f>VLOOKUP($A875,kurspris!$A$1:$Q$835,5,FALSE)</f>
        <v>0</v>
      </c>
      <c r="AG875" s="31">
        <f>VLOOKUP($A875,kurspris!$A$1:$Q$835,6,FALSE)</f>
        <v>0</v>
      </c>
      <c r="AH875" s="31">
        <f>VLOOKUP($A875,kurspris!$A$1:$Q$835,7,FALSE)</f>
        <v>0</v>
      </c>
      <c r="AI875" s="31">
        <f>VLOOKUP($A875,kurspris!$A$1:$Q$835,8,FALSE)</f>
        <v>0</v>
      </c>
      <c r="AJ875" s="31">
        <f>VLOOKUP($A875,kurspris!$A$1:$Q$835,9,FALSE)</f>
        <v>0</v>
      </c>
      <c r="AK875" s="31">
        <f>VLOOKUP($A875,kurspris!$A$1:$Q$835,10,FALSE)</f>
        <v>0</v>
      </c>
      <c r="AL875" s="31">
        <f>VLOOKUP($A875,kurspris!$A$1:$Q$835,11,FALSE)</f>
        <v>1</v>
      </c>
      <c r="AM875" s="31">
        <f>VLOOKUP($A875,kurspris!$A$1:$Q$835,12,FALSE)</f>
        <v>0</v>
      </c>
      <c r="AN875" s="31">
        <f>VLOOKUP($A875,kurspris!$A$1:$Q$835,13,FALSE)</f>
        <v>0</v>
      </c>
      <c r="AO875" s="31">
        <f>VLOOKUP($A875,kurspris!$A$1:$Q$835,14,FALSE)</f>
        <v>0</v>
      </c>
      <c r="AP875" s="39" t="s">
        <v>2204</v>
      </c>
      <c r="AQ875"/>
      <c r="AR875" s="31">
        <f t="shared" si="473"/>
        <v>0</v>
      </c>
      <c r="AS875" s="255">
        <f t="shared" si="474"/>
        <v>0</v>
      </c>
      <c r="AT875" s="31">
        <f t="shared" si="475"/>
        <v>0</v>
      </c>
      <c r="AU875" s="255">
        <f t="shared" si="476"/>
        <v>0</v>
      </c>
      <c r="AV875" s="31">
        <f t="shared" si="477"/>
        <v>0</v>
      </c>
      <c r="AW875" s="31">
        <f t="shared" si="478"/>
        <v>0</v>
      </c>
      <c r="AX875" s="31">
        <f t="shared" si="479"/>
        <v>0</v>
      </c>
      <c r="AY875" s="255">
        <f t="shared" si="480"/>
        <v>0</v>
      </c>
      <c r="AZ875" s="232">
        <f t="shared" si="481"/>
        <v>0</v>
      </c>
      <c r="BA875" s="255">
        <f t="shared" si="482"/>
        <v>0</v>
      </c>
      <c r="BB875" s="31">
        <f t="shared" si="483"/>
        <v>0</v>
      </c>
      <c r="BC875" s="255">
        <f t="shared" si="484"/>
        <v>0</v>
      </c>
      <c r="BD875" s="31">
        <f t="shared" si="485"/>
        <v>0</v>
      </c>
      <c r="BE875" s="255">
        <f t="shared" si="486"/>
        <v>0</v>
      </c>
      <c r="BF875" s="31">
        <f t="shared" si="487"/>
        <v>0</v>
      </c>
      <c r="BG875" s="255">
        <f t="shared" si="488"/>
        <v>0</v>
      </c>
      <c r="BH875" s="31">
        <f t="shared" si="489"/>
        <v>3.1166666666666663</v>
      </c>
      <c r="BI875" s="255">
        <f t="shared" si="490"/>
        <v>2.6491666666666664</v>
      </c>
      <c r="BJ875" s="31">
        <f t="shared" si="491"/>
        <v>0</v>
      </c>
      <c r="BK875" s="31">
        <f t="shared" si="492"/>
        <v>0</v>
      </c>
      <c r="BL875" s="255">
        <f t="shared" si="493"/>
        <v>0</v>
      </c>
      <c r="BM875" s="31">
        <f t="shared" si="494"/>
        <v>0</v>
      </c>
      <c r="BN875" s="255">
        <f t="shared" si="495"/>
        <v>0</v>
      </c>
    </row>
    <row r="876" spans="1:66" x14ac:dyDescent="0.25">
      <c r="A876" s="18" t="s">
        <v>1725</v>
      </c>
      <c r="B876" s="186" t="str">
        <f>VLOOKUP(A876,kurspris!$A$1:$B$877,2,FALSE)</f>
        <v>Läraryrkets dimensioner för förskolan 1 (VFU)</v>
      </c>
      <c r="C876" s="37"/>
      <c r="D876" s="31" t="s">
        <v>484</v>
      </c>
      <c r="E876" s="31" t="s">
        <v>1608</v>
      </c>
      <c r="F876" s="59" t="s">
        <v>1931</v>
      </c>
      <c r="G876" s="31" t="s">
        <v>2285</v>
      </c>
      <c r="L876" s="31">
        <v>100</v>
      </c>
      <c r="M876" s="31">
        <v>11</v>
      </c>
      <c r="P876" s="31">
        <v>3</v>
      </c>
      <c r="Q876" s="232">
        <f t="shared" si="468"/>
        <v>0.54999999999999993</v>
      </c>
      <c r="R876" s="40">
        <v>0.85</v>
      </c>
      <c r="S876" s="334">
        <f t="shared" si="469"/>
        <v>0.46749999999999992</v>
      </c>
      <c r="T876" s="31">
        <f>VLOOKUP(A876,'Ansvar kurs'!$A$1:$C$1010,2,FALSE)</f>
        <v>2193</v>
      </c>
      <c r="U876" s="31" t="str">
        <f>VLOOKUP(T876,Orgenheter!$A$1:$C$165,2,FALSE)</f>
        <v xml:space="preserve">TUV </v>
      </c>
      <c r="V876" s="31" t="str">
        <f>VLOOKUP(T876,Orgenheter!$A$1:$C$165,3,FALSE)</f>
        <v>Sam</v>
      </c>
      <c r="W876" s="37" t="str">
        <f>VLOOKUP(D876,Program!$A$1:$B$34,2,FALSE)</f>
        <v>Förskollärarprogrammet</v>
      </c>
      <c r="X876" s="42">
        <f>VLOOKUP(A876,kurspris!$A$1:$Q$798,15,FALSE)</f>
        <v>21634</v>
      </c>
      <c r="Y876" s="42">
        <f>VLOOKUP(A876,kurspris!$A$1:$Q$798,16,FALSE)</f>
        <v>26986</v>
      </c>
      <c r="Z876" s="42">
        <f t="shared" si="470"/>
        <v>24514.654999999999</v>
      </c>
      <c r="AA876" s="42">
        <f>VLOOKUP(A876,kurspris!$A$1:$Q$798,17,FALSE)</f>
        <v>3400</v>
      </c>
      <c r="AB876" s="42">
        <f t="shared" si="471"/>
        <v>1869.9999999999998</v>
      </c>
      <c r="AC876" s="42">
        <f t="shared" si="472"/>
        <v>26384.654999999999</v>
      </c>
      <c r="AD876" s="31">
        <f>VLOOKUP($A876,kurspris!$A$1:$Q$835,3,FALSE)</f>
        <v>0</v>
      </c>
      <c r="AE876" s="31">
        <f>VLOOKUP($A876,kurspris!$A$1:$Q$835,4,FALSE)</f>
        <v>0</v>
      </c>
      <c r="AF876" s="31">
        <f>VLOOKUP($A876,kurspris!$A$1:$Q$835,5,FALSE)</f>
        <v>0</v>
      </c>
      <c r="AG876" s="31">
        <f>VLOOKUP($A876,kurspris!$A$1:$Q$835,6,FALSE)</f>
        <v>0</v>
      </c>
      <c r="AH876" s="31">
        <f>VLOOKUP($A876,kurspris!$A$1:$Q$835,7,FALSE)</f>
        <v>0</v>
      </c>
      <c r="AI876" s="31">
        <f>VLOOKUP($A876,kurspris!$A$1:$Q$835,8,FALSE)</f>
        <v>0</v>
      </c>
      <c r="AJ876" s="31">
        <f>VLOOKUP($A876,kurspris!$A$1:$Q$835,9,FALSE)</f>
        <v>0</v>
      </c>
      <c r="AK876" s="31">
        <f>VLOOKUP($A876,kurspris!$A$1:$Q$835,10,FALSE)</f>
        <v>0</v>
      </c>
      <c r="AL876" s="31">
        <f>VLOOKUP($A876,kurspris!$A$1:$Q$835,11,FALSE)</f>
        <v>1</v>
      </c>
      <c r="AM876" s="31">
        <f>VLOOKUP($A876,kurspris!$A$1:$Q$835,12,FALSE)</f>
        <v>0</v>
      </c>
      <c r="AN876" s="31">
        <f>VLOOKUP($A876,kurspris!$A$1:$Q$835,13,FALSE)</f>
        <v>0</v>
      </c>
      <c r="AO876" s="31">
        <f>VLOOKUP($A876,kurspris!$A$1:$Q$835,14,FALSE)</f>
        <v>0</v>
      </c>
      <c r="AP876" s="39" t="s">
        <v>2326</v>
      </c>
      <c r="AQ876"/>
      <c r="AR876" s="31">
        <f t="shared" si="473"/>
        <v>0</v>
      </c>
      <c r="AS876" s="255">
        <f t="shared" si="474"/>
        <v>0</v>
      </c>
      <c r="AT876" s="31">
        <f t="shared" si="475"/>
        <v>0</v>
      </c>
      <c r="AU876" s="255">
        <f t="shared" si="476"/>
        <v>0</v>
      </c>
      <c r="AV876" s="31">
        <f t="shared" si="477"/>
        <v>0</v>
      </c>
      <c r="AW876" s="31">
        <f t="shared" si="478"/>
        <v>0</v>
      </c>
      <c r="AX876" s="31">
        <f t="shared" si="479"/>
        <v>0</v>
      </c>
      <c r="AY876" s="255">
        <f t="shared" si="480"/>
        <v>0</v>
      </c>
      <c r="AZ876" s="232">
        <f t="shared" si="481"/>
        <v>0</v>
      </c>
      <c r="BA876" s="255">
        <f t="shared" si="482"/>
        <v>0</v>
      </c>
      <c r="BB876" s="31">
        <f t="shared" si="483"/>
        <v>0</v>
      </c>
      <c r="BC876" s="255">
        <f t="shared" si="484"/>
        <v>0</v>
      </c>
      <c r="BD876" s="31">
        <f t="shared" si="485"/>
        <v>0</v>
      </c>
      <c r="BE876" s="255">
        <f t="shared" si="486"/>
        <v>0</v>
      </c>
      <c r="BF876" s="31">
        <f t="shared" si="487"/>
        <v>0</v>
      </c>
      <c r="BG876" s="255">
        <f t="shared" si="488"/>
        <v>0</v>
      </c>
      <c r="BH876" s="31">
        <f t="shared" si="489"/>
        <v>0.54999999999999993</v>
      </c>
      <c r="BI876" s="255">
        <f t="shared" si="490"/>
        <v>0.46749999999999992</v>
      </c>
      <c r="BJ876" s="31">
        <f t="shared" si="491"/>
        <v>0</v>
      </c>
      <c r="BK876" s="31">
        <f t="shared" si="492"/>
        <v>0</v>
      </c>
      <c r="BL876" s="255">
        <f t="shared" si="493"/>
        <v>0</v>
      </c>
      <c r="BM876" s="31">
        <f t="shared" si="494"/>
        <v>0</v>
      </c>
      <c r="BN876" s="255">
        <f t="shared" si="495"/>
        <v>0</v>
      </c>
    </row>
    <row r="877" spans="1:66" x14ac:dyDescent="0.25">
      <c r="A877" t="s">
        <v>1727</v>
      </c>
      <c r="B877" s="186" t="str">
        <f>VLOOKUP(A877,kurspris!$A$1:$B$877,2,FALSE)</f>
        <v>Läraryrkets dimensioner för förskolan 2 (VFU)</v>
      </c>
      <c r="C877"/>
      <c r="D877" t="s">
        <v>484</v>
      </c>
      <c r="E877" t="s">
        <v>1975</v>
      </c>
      <c r="F877" s="39" t="s">
        <v>1930</v>
      </c>
      <c r="G877" t="s">
        <v>1989</v>
      </c>
      <c r="H877" t="s">
        <v>1910</v>
      </c>
      <c r="I877"/>
      <c r="J877"/>
      <c r="K877"/>
      <c r="L877">
        <v>100</v>
      </c>
      <c r="M877">
        <v>7.5</v>
      </c>
      <c r="N877"/>
      <c r="O877"/>
      <c r="P877" s="31">
        <v>1</v>
      </c>
      <c r="Q877" s="232">
        <f t="shared" si="468"/>
        <v>0.125</v>
      </c>
      <c r="R877" s="40">
        <v>0.85</v>
      </c>
      <c r="S877" s="334">
        <f t="shared" si="469"/>
        <v>0.10625</v>
      </c>
      <c r="T877" s="31">
        <f>VLOOKUP(A877,'Ansvar kurs'!$A$1:$C$1010,2,FALSE)</f>
        <v>2193</v>
      </c>
      <c r="U877" s="31" t="str">
        <f>VLOOKUP(T877,Orgenheter!$A$1:$C$165,2,FALSE)</f>
        <v xml:space="preserve">TUV </v>
      </c>
      <c r="V877" s="31" t="str">
        <f>VLOOKUP(T877,Orgenheter!$A$1:$C$165,3,FALSE)</f>
        <v>Sam</v>
      </c>
      <c r="W877" s="37" t="str">
        <f>VLOOKUP(D877,Program!$A$1:$B$34,2,FALSE)</f>
        <v>Förskollärarprogrammet</v>
      </c>
      <c r="X877" s="42">
        <f>VLOOKUP(A877,kurspris!$A$1:$Q$798,15,FALSE)</f>
        <v>21634</v>
      </c>
      <c r="Y877" s="42">
        <f>VLOOKUP(A877,kurspris!$A$1:$Q$798,16,FALSE)</f>
        <v>26986</v>
      </c>
      <c r="Z877" s="42">
        <f t="shared" si="470"/>
        <v>5571.5124999999998</v>
      </c>
      <c r="AA877" s="42">
        <f>VLOOKUP(A877,kurspris!$A$1:$Q$798,17,FALSE)</f>
        <v>3400</v>
      </c>
      <c r="AB877" s="42">
        <f t="shared" si="471"/>
        <v>425</v>
      </c>
      <c r="AC877" s="42">
        <f t="shared" si="472"/>
        <v>5996.5124999999998</v>
      </c>
      <c r="AD877" s="31">
        <f>VLOOKUP($A877,kurspris!$A$1:$Q$835,3,FALSE)</f>
        <v>0</v>
      </c>
      <c r="AE877" s="31">
        <f>VLOOKUP($A877,kurspris!$A$1:$Q$835,4,FALSE)</f>
        <v>0</v>
      </c>
      <c r="AF877" s="31">
        <f>VLOOKUP($A877,kurspris!$A$1:$Q$835,5,FALSE)</f>
        <v>0</v>
      </c>
      <c r="AG877" s="31">
        <f>VLOOKUP($A877,kurspris!$A$1:$Q$835,6,FALSE)</f>
        <v>0</v>
      </c>
      <c r="AH877" s="31">
        <f>VLOOKUP($A877,kurspris!$A$1:$Q$835,7,FALSE)</f>
        <v>0</v>
      </c>
      <c r="AI877" s="31">
        <f>VLOOKUP($A877,kurspris!$A$1:$Q$835,8,FALSE)</f>
        <v>0</v>
      </c>
      <c r="AJ877" s="31">
        <f>VLOOKUP($A877,kurspris!$A$1:$Q$835,9,FALSE)</f>
        <v>0</v>
      </c>
      <c r="AK877" s="31">
        <f>VLOOKUP($A877,kurspris!$A$1:$Q$835,10,FALSE)</f>
        <v>0</v>
      </c>
      <c r="AL877" s="31">
        <f>VLOOKUP($A877,kurspris!$A$1:$Q$835,11,FALSE)</f>
        <v>1</v>
      </c>
      <c r="AM877" s="31">
        <f>VLOOKUP($A877,kurspris!$A$1:$Q$835,12,FALSE)</f>
        <v>0</v>
      </c>
      <c r="AN877" s="31">
        <f>VLOOKUP($A877,kurspris!$A$1:$Q$835,13,FALSE)</f>
        <v>0</v>
      </c>
      <c r="AO877" s="31">
        <f>VLOOKUP($A877,kurspris!$A$1:$Q$835,14,FALSE)</f>
        <v>0</v>
      </c>
      <c r="AP877" s="39" t="s">
        <v>2204</v>
      </c>
      <c r="AQ877"/>
      <c r="AR877" s="31">
        <f t="shared" si="473"/>
        <v>0</v>
      </c>
      <c r="AS877" s="255">
        <f t="shared" si="474"/>
        <v>0</v>
      </c>
      <c r="AT877" s="31">
        <f t="shared" si="475"/>
        <v>0</v>
      </c>
      <c r="AU877" s="255">
        <f t="shared" si="476"/>
        <v>0</v>
      </c>
      <c r="AV877" s="31">
        <f t="shared" si="477"/>
        <v>0</v>
      </c>
      <c r="AW877" s="31">
        <f t="shared" si="478"/>
        <v>0</v>
      </c>
      <c r="AX877" s="31">
        <f t="shared" si="479"/>
        <v>0</v>
      </c>
      <c r="AY877" s="255">
        <f t="shared" si="480"/>
        <v>0</v>
      </c>
      <c r="AZ877" s="232">
        <f t="shared" si="481"/>
        <v>0</v>
      </c>
      <c r="BA877" s="255">
        <f t="shared" si="482"/>
        <v>0</v>
      </c>
      <c r="BB877" s="31">
        <f t="shared" si="483"/>
        <v>0</v>
      </c>
      <c r="BC877" s="255">
        <f t="shared" si="484"/>
        <v>0</v>
      </c>
      <c r="BD877" s="31">
        <f t="shared" si="485"/>
        <v>0</v>
      </c>
      <c r="BE877" s="255">
        <f t="shared" si="486"/>
        <v>0</v>
      </c>
      <c r="BF877" s="31">
        <f t="shared" si="487"/>
        <v>0</v>
      </c>
      <c r="BG877" s="255">
        <f t="shared" si="488"/>
        <v>0</v>
      </c>
      <c r="BH877" s="31">
        <f t="shared" si="489"/>
        <v>0.125</v>
      </c>
      <c r="BI877" s="255">
        <f t="shared" si="490"/>
        <v>0.10625</v>
      </c>
      <c r="BJ877" s="31">
        <f t="shared" si="491"/>
        <v>0</v>
      </c>
      <c r="BK877" s="31">
        <f t="shared" si="492"/>
        <v>0</v>
      </c>
      <c r="BL877" s="255">
        <f t="shared" si="493"/>
        <v>0</v>
      </c>
      <c r="BM877" s="31">
        <f t="shared" si="494"/>
        <v>0</v>
      </c>
      <c r="BN877" s="255">
        <f t="shared" si="495"/>
        <v>0</v>
      </c>
    </row>
    <row r="878" spans="1:66" x14ac:dyDescent="0.25">
      <c r="A878" t="s">
        <v>1727</v>
      </c>
      <c r="B878" s="186" t="str">
        <f>VLOOKUP(A878,kurspris!$A$1:$B$877,2,FALSE)</f>
        <v>Läraryrkets dimensioner för förskolan 2 (VFU)</v>
      </c>
      <c r="C878"/>
      <c r="D878" t="s">
        <v>484</v>
      </c>
      <c r="E878" t="s">
        <v>1975</v>
      </c>
      <c r="F878" s="39" t="s">
        <v>1930</v>
      </c>
      <c r="G878" t="s">
        <v>1989</v>
      </c>
      <c r="H878" t="s">
        <v>1910</v>
      </c>
      <c r="I878"/>
      <c r="J878"/>
      <c r="K878"/>
      <c r="L878">
        <v>100</v>
      </c>
      <c r="M878">
        <v>7.5</v>
      </c>
      <c r="N878"/>
      <c r="O878"/>
      <c r="P878" s="31">
        <v>1</v>
      </c>
      <c r="Q878" s="232">
        <f t="shared" si="468"/>
        <v>0.125</v>
      </c>
      <c r="R878" s="40">
        <v>0.85</v>
      </c>
      <c r="S878" s="334">
        <f t="shared" si="469"/>
        <v>0.10625</v>
      </c>
      <c r="T878" s="31">
        <f>VLOOKUP(A878,'Ansvar kurs'!$A$1:$C$1010,2,FALSE)</f>
        <v>2193</v>
      </c>
      <c r="U878" s="31" t="str">
        <f>VLOOKUP(T878,Orgenheter!$A$1:$C$165,2,FALSE)</f>
        <v xml:space="preserve">TUV </v>
      </c>
      <c r="V878" s="31" t="str">
        <f>VLOOKUP(T878,Orgenheter!$A$1:$C$165,3,FALSE)</f>
        <v>Sam</v>
      </c>
      <c r="W878" s="37" t="str">
        <f>VLOOKUP(D878,Program!$A$1:$B$34,2,FALSE)</f>
        <v>Förskollärarprogrammet</v>
      </c>
      <c r="X878" s="42">
        <f>VLOOKUP(A878,kurspris!$A$1:$Q$798,15,FALSE)</f>
        <v>21634</v>
      </c>
      <c r="Y878" s="42">
        <f>VLOOKUP(A878,kurspris!$A$1:$Q$798,16,FALSE)</f>
        <v>26986</v>
      </c>
      <c r="Z878" s="42">
        <f t="shared" si="470"/>
        <v>5571.5124999999998</v>
      </c>
      <c r="AA878" s="42">
        <f>VLOOKUP(A878,kurspris!$A$1:$Q$798,17,FALSE)</f>
        <v>3400</v>
      </c>
      <c r="AB878" s="42">
        <f t="shared" si="471"/>
        <v>425</v>
      </c>
      <c r="AC878" s="42">
        <f t="shared" si="472"/>
        <v>5996.5124999999998</v>
      </c>
      <c r="AD878" s="31">
        <f>VLOOKUP($A878,kurspris!$A$1:$Q$835,3,FALSE)</f>
        <v>0</v>
      </c>
      <c r="AE878" s="31">
        <f>VLOOKUP($A878,kurspris!$A$1:$Q$835,4,FALSE)</f>
        <v>0</v>
      </c>
      <c r="AF878" s="31">
        <f>VLOOKUP($A878,kurspris!$A$1:$Q$835,5,FALSE)</f>
        <v>0</v>
      </c>
      <c r="AG878" s="31">
        <f>VLOOKUP($A878,kurspris!$A$1:$Q$835,6,FALSE)</f>
        <v>0</v>
      </c>
      <c r="AH878" s="31">
        <f>VLOOKUP($A878,kurspris!$A$1:$Q$835,7,FALSE)</f>
        <v>0</v>
      </c>
      <c r="AI878" s="31">
        <f>VLOOKUP($A878,kurspris!$A$1:$Q$835,8,FALSE)</f>
        <v>0</v>
      </c>
      <c r="AJ878" s="31">
        <f>VLOOKUP($A878,kurspris!$A$1:$Q$835,9,FALSE)</f>
        <v>0</v>
      </c>
      <c r="AK878" s="31">
        <f>VLOOKUP($A878,kurspris!$A$1:$Q$835,10,FALSE)</f>
        <v>0</v>
      </c>
      <c r="AL878" s="31">
        <f>VLOOKUP($A878,kurspris!$A$1:$Q$835,11,FALSE)</f>
        <v>1</v>
      </c>
      <c r="AM878" s="31">
        <f>VLOOKUP($A878,kurspris!$A$1:$Q$835,12,FALSE)</f>
        <v>0</v>
      </c>
      <c r="AN878" s="31">
        <f>VLOOKUP($A878,kurspris!$A$1:$Q$835,13,FALSE)</f>
        <v>0</v>
      </c>
      <c r="AO878" s="31">
        <f>VLOOKUP($A878,kurspris!$A$1:$Q$835,14,FALSE)</f>
        <v>0</v>
      </c>
      <c r="AP878" s="39" t="s">
        <v>2204</v>
      </c>
      <c r="AQ878"/>
      <c r="AR878" s="31">
        <f t="shared" si="473"/>
        <v>0</v>
      </c>
      <c r="AS878" s="255">
        <f t="shared" si="474"/>
        <v>0</v>
      </c>
      <c r="AT878" s="31">
        <f t="shared" si="475"/>
        <v>0</v>
      </c>
      <c r="AU878" s="255">
        <f t="shared" si="476"/>
        <v>0</v>
      </c>
      <c r="AV878" s="31">
        <f t="shared" si="477"/>
        <v>0</v>
      </c>
      <c r="AW878" s="31">
        <f t="shared" si="478"/>
        <v>0</v>
      </c>
      <c r="AX878" s="31">
        <f t="shared" si="479"/>
        <v>0</v>
      </c>
      <c r="AY878" s="255">
        <f t="shared" si="480"/>
        <v>0</v>
      </c>
      <c r="AZ878" s="232">
        <f t="shared" si="481"/>
        <v>0</v>
      </c>
      <c r="BA878" s="255">
        <f t="shared" si="482"/>
        <v>0</v>
      </c>
      <c r="BB878" s="31">
        <f t="shared" si="483"/>
        <v>0</v>
      </c>
      <c r="BC878" s="255">
        <f t="shared" si="484"/>
        <v>0</v>
      </c>
      <c r="BD878" s="31">
        <f t="shared" si="485"/>
        <v>0</v>
      </c>
      <c r="BE878" s="255">
        <f t="shared" si="486"/>
        <v>0</v>
      </c>
      <c r="BF878" s="31">
        <f t="shared" si="487"/>
        <v>0</v>
      </c>
      <c r="BG878" s="255">
        <f t="shared" si="488"/>
        <v>0</v>
      </c>
      <c r="BH878" s="31">
        <f t="shared" si="489"/>
        <v>0.125</v>
      </c>
      <c r="BI878" s="255">
        <f t="shared" si="490"/>
        <v>0.10625</v>
      </c>
      <c r="BJ878" s="31">
        <f t="shared" si="491"/>
        <v>0</v>
      </c>
      <c r="BK878" s="31">
        <f t="shared" si="492"/>
        <v>0</v>
      </c>
      <c r="BL878" s="255">
        <f t="shared" si="493"/>
        <v>0</v>
      </c>
      <c r="BM878" s="31">
        <f t="shared" si="494"/>
        <v>0</v>
      </c>
      <c r="BN878" s="255">
        <f t="shared" si="495"/>
        <v>0</v>
      </c>
    </row>
    <row r="879" spans="1:66" x14ac:dyDescent="0.25">
      <c r="A879" t="s">
        <v>1727</v>
      </c>
      <c r="B879" s="186" t="str">
        <f>VLOOKUP(A879,kurspris!$A$1:$B$877,2,FALSE)</f>
        <v>Läraryrkets dimensioner för förskolan 2 (VFU)</v>
      </c>
      <c r="C879"/>
      <c r="D879" t="s">
        <v>484</v>
      </c>
      <c r="E879" t="s">
        <v>1976</v>
      </c>
      <c r="F879" s="39" t="s">
        <v>1930</v>
      </c>
      <c r="G879" t="s">
        <v>1989</v>
      </c>
      <c r="H879" t="s">
        <v>1910</v>
      </c>
      <c r="I879"/>
      <c r="J879"/>
      <c r="K879"/>
      <c r="L879">
        <v>100</v>
      </c>
      <c r="M879">
        <v>7.5</v>
      </c>
      <c r="N879"/>
      <c r="O879"/>
      <c r="P879" s="31">
        <v>1</v>
      </c>
      <c r="Q879" s="232">
        <f t="shared" si="468"/>
        <v>0.125</v>
      </c>
      <c r="R879" s="40">
        <v>0.85</v>
      </c>
      <c r="S879" s="334">
        <f t="shared" si="469"/>
        <v>0.10625</v>
      </c>
      <c r="T879" s="31">
        <f>VLOOKUP(A879,'Ansvar kurs'!$A$1:$C$1010,2,FALSE)</f>
        <v>2193</v>
      </c>
      <c r="U879" s="31" t="str">
        <f>VLOOKUP(T879,Orgenheter!$A$1:$C$165,2,FALSE)</f>
        <v xml:space="preserve">TUV </v>
      </c>
      <c r="V879" s="31" t="str">
        <f>VLOOKUP(T879,Orgenheter!$A$1:$C$165,3,FALSE)</f>
        <v>Sam</v>
      </c>
      <c r="W879" s="37" t="str">
        <f>VLOOKUP(D879,Program!$A$1:$B$34,2,FALSE)</f>
        <v>Förskollärarprogrammet</v>
      </c>
      <c r="X879" s="42">
        <f>VLOOKUP(A879,kurspris!$A$1:$Q$798,15,FALSE)</f>
        <v>21634</v>
      </c>
      <c r="Y879" s="42">
        <f>VLOOKUP(A879,kurspris!$A$1:$Q$798,16,FALSE)</f>
        <v>26986</v>
      </c>
      <c r="Z879" s="42">
        <f t="shared" si="470"/>
        <v>5571.5124999999998</v>
      </c>
      <c r="AA879" s="42">
        <f>VLOOKUP(A879,kurspris!$A$1:$Q$798,17,FALSE)</f>
        <v>3400</v>
      </c>
      <c r="AB879" s="42">
        <f t="shared" si="471"/>
        <v>425</v>
      </c>
      <c r="AC879" s="42">
        <f t="shared" si="472"/>
        <v>5996.5124999999998</v>
      </c>
      <c r="AD879" s="31">
        <f>VLOOKUP($A879,kurspris!$A$1:$Q$835,3,FALSE)</f>
        <v>0</v>
      </c>
      <c r="AE879" s="31">
        <f>VLOOKUP($A879,kurspris!$A$1:$Q$835,4,FALSE)</f>
        <v>0</v>
      </c>
      <c r="AF879" s="31">
        <f>VLOOKUP($A879,kurspris!$A$1:$Q$835,5,FALSE)</f>
        <v>0</v>
      </c>
      <c r="AG879" s="31">
        <f>VLOOKUP($A879,kurspris!$A$1:$Q$835,6,FALSE)</f>
        <v>0</v>
      </c>
      <c r="AH879" s="31">
        <f>VLOOKUP($A879,kurspris!$A$1:$Q$835,7,FALSE)</f>
        <v>0</v>
      </c>
      <c r="AI879" s="31">
        <f>VLOOKUP($A879,kurspris!$A$1:$Q$835,8,FALSE)</f>
        <v>0</v>
      </c>
      <c r="AJ879" s="31">
        <f>VLOOKUP($A879,kurspris!$A$1:$Q$835,9,FALSE)</f>
        <v>0</v>
      </c>
      <c r="AK879" s="31">
        <f>VLOOKUP($A879,kurspris!$A$1:$Q$835,10,FALSE)</f>
        <v>0</v>
      </c>
      <c r="AL879" s="31">
        <f>VLOOKUP($A879,kurspris!$A$1:$Q$835,11,FALSE)</f>
        <v>1</v>
      </c>
      <c r="AM879" s="31">
        <f>VLOOKUP($A879,kurspris!$A$1:$Q$835,12,FALSE)</f>
        <v>0</v>
      </c>
      <c r="AN879" s="31">
        <f>VLOOKUP($A879,kurspris!$A$1:$Q$835,13,FALSE)</f>
        <v>0</v>
      </c>
      <c r="AO879" s="31">
        <f>VLOOKUP($A879,kurspris!$A$1:$Q$835,14,FALSE)</f>
        <v>0</v>
      </c>
      <c r="AP879" s="39" t="s">
        <v>2204</v>
      </c>
      <c r="AQ879"/>
      <c r="AR879" s="31">
        <f t="shared" si="473"/>
        <v>0</v>
      </c>
      <c r="AS879" s="255">
        <f t="shared" si="474"/>
        <v>0</v>
      </c>
      <c r="AT879" s="31">
        <f t="shared" si="475"/>
        <v>0</v>
      </c>
      <c r="AU879" s="255">
        <f t="shared" si="476"/>
        <v>0</v>
      </c>
      <c r="AV879" s="31">
        <f t="shared" si="477"/>
        <v>0</v>
      </c>
      <c r="AW879" s="31">
        <f t="shared" si="478"/>
        <v>0</v>
      </c>
      <c r="AX879" s="31">
        <f t="shared" si="479"/>
        <v>0</v>
      </c>
      <c r="AY879" s="255">
        <f t="shared" si="480"/>
        <v>0</v>
      </c>
      <c r="AZ879" s="232">
        <f t="shared" si="481"/>
        <v>0</v>
      </c>
      <c r="BA879" s="255">
        <f t="shared" si="482"/>
        <v>0</v>
      </c>
      <c r="BB879" s="31">
        <f t="shared" si="483"/>
        <v>0</v>
      </c>
      <c r="BC879" s="255">
        <f t="shared" si="484"/>
        <v>0</v>
      </c>
      <c r="BD879" s="31">
        <f t="shared" si="485"/>
        <v>0</v>
      </c>
      <c r="BE879" s="255">
        <f t="shared" si="486"/>
        <v>0</v>
      </c>
      <c r="BF879" s="31">
        <f t="shared" si="487"/>
        <v>0</v>
      </c>
      <c r="BG879" s="255">
        <f t="shared" si="488"/>
        <v>0</v>
      </c>
      <c r="BH879" s="31">
        <f t="shared" si="489"/>
        <v>0.125</v>
      </c>
      <c r="BI879" s="255">
        <f t="shared" si="490"/>
        <v>0.10625</v>
      </c>
      <c r="BJ879" s="31">
        <f t="shared" si="491"/>
        <v>0</v>
      </c>
      <c r="BK879" s="31">
        <f t="shared" si="492"/>
        <v>0</v>
      </c>
      <c r="BL879" s="255">
        <f t="shared" si="493"/>
        <v>0</v>
      </c>
      <c r="BM879" s="31">
        <f t="shared" si="494"/>
        <v>0</v>
      </c>
      <c r="BN879" s="255">
        <f t="shared" si="495"/>
        <v>0</v>
      </c>
    </row>
    <row r="880" spans="1:66" x14ac:dyDescent="0.25">
      <c r="A880" s="18" t="s">
        <v>1727</v>
      </c>
      <c r="B880" s="186" t="str">
        <f>VLOOKUP(A880,kurspris!$A$1:$B$877,2,FALSE)</f>
        <v>Läraryrkets dimensioner för förskolan 2 (VFU)</v>
      </c>
      <c r="C880" s="37"/>
      <c r="D880" s="31" t="s">
        <v>484</v>
      </c>
      <c r="E880" s="31" t="s">
        <v>1973</v>
      </c>
      <c r="F880" s="59" t="s">
        <v>1931</v>
      </c>
      <c r="G880" s="31" t="s">
        <v>2274</v>
      </c>
      <c r="L880" s="31">
        <v>100</v>
      </c>
      <c r="M880" s="31">
        <v>7.5</v>
      </c>
      <c r="P880" s="31">
        <v>56</v>
      </c>
      <c r="Q880" s="232">
        <f t="shared" si="468"/>
        <v>7</v>
      </c>
      <c r="R880" s="40">
        <v>0.85</v>
      </c>
      <c r="S880" s="334">
        <f t="shared" si="469"/>
        <v>5.95</v>
      </c>
      <c r="T880" s="31">
        <f>VLOOKUP(A880,'Ansvar kurs'!$A$1:$C$1010,2,FALSE)</f>
        <v>2193</v>
      </c>
      <c r="U880" s="31" t="str">
        <f>VLOOKUP(T880,Orgenheter!$A$1:$C$165,2,FALSE)</f>
        <v xml:space="preserve">TUV </v>
      </c>
      <c r="V880" s="31" t="str">
        <f>VLOOKUP(T880,Orgenheter!$A$1:$C$165,3,FALSE)</f>
        <v>Sam</v>
      </c>
      <c r="W880" s="37" t="str">
        <f>VLOOKUP(D880,Program!$A$1:$B$34,2,FALSE)</f>
        <v>Förskollärarprogrammet</v>
      </c>
      <c r="X880" s="42">
        <f>VLOOKUP(A880,kurspris!$A$1:$Q$798,15,FALSE)</f>
        <v>21634</v>
      </c>
      <c r="Y880" s="42">
        <f>VLOOKUP(A880,kurspris!$A$1:$Q$798,16,FALSE)</f>
        <v>26986</v>
      </c>
      <c r="Z880" s="42">
        <f t="shared" si="470"/>
        <v>312004.7</v>
      </c>
      <c r="AA880" s="42">
        <f>VLOOKUP(A880,kurspris!$A$1:$Q$798,17,FALSE)</f>
        <v>3400</v>
      </c>
      <c r="AB880" s="42">
        <f t="shared" si="471"/>
        <v>23800</v>
      </c>
      <c r="AC880" s="42">
        <f t="shared" si="472"/>
        <v>335804.7</v>
      </c>
      <c r="AD880" s="31">
        <f>VLOOKUP($A880,kurspris!$A$1:$Q$835,3,FALSE)</f>
        <v>0</v>
      </c>
      <c r="AE880" s="31">
        <f>VLOOKUP($A880,kurspris!$A$1:$Q$835,4,FALSE)</f>
        <v>0</v>
      </c>
      <c r="AF880" s="31">
        <f>VLOOKUP($A880,kurspris!$A$1:$Q$835,5,FALSE)</f>
        <v>0</v>
      </c>
      <c r="AG880" s="31">
        <f>VLOOKUP($A880,kurspris!$A$1:$Q$835,6,FALSE)</f>
        <v>0</v>
      </c>
      <c r="AH880" s="31">
        <f>VLOOKUP($A880,kurspris!$A$1:$Q$835,7,FALSE)</f>
        <v>0</v>
      </c>
      <c r="AI880" s="31">
        <f>VLOOKUP($A880,kurspris!$A$1:$Q$835,8,FALSE)</f>
        <v>0</v>
      </c>
      <c r="AJ880" s="31">
        <f>VLOOKUP($A880,kurspris!$A$1:$Q$835,9,FALSE)</f>
        <v>0</v>
      </c>
      <c r="AK880" s="31">
        <f>VLOOKUP($A880,kurspris!$A$1:$Q$835,10,FALSE)</f>
        <v>0</v>
      </c>
      <c r="AL880" s="31">
        <f>VLOOKUP($A880,kurspris!$A$1:$Q$835,11,FALSE)</f>
        <v>1</v>
      </c>
      <c r="AM880" s="31">
        <f>VLOOKUP($A880,kurspris!$A$1:$Q$835,12,FALSE)</f>
        <v>0</v>
      </c>
      <c r="AN880" s="31">
        <f>VLOOKUP($A880,kurspris!$A$1:$Q$835,13,FALSE)</f>
        <v>0</v>
      </c>
      <c r="AO880" s="31">
        <f>VLOOKUP($A880,kurspris!$A$1:$Q$835,14,FALSE)</f>
        <v>0</v>
      </c>
      <c r="AP880" s="39" t="s">
        <v>2326</v>
      </c>
      <c r="AQ880"/>
      <c r="AR880" s="31">
        <f t="shared" si="473"/>
        <v>0</v>
      </c>
      <c r="AS880" s="255">
        <f t="shared" si="474"/>
        <v>0</v>
      </c>
      <c r="AT880" s="31">
        <f t="shared" si="475"/>
        <v>0</v>
      </c>
      <c r="AU880" s="255">
        <f t="shared" si="476"/>
        <v>0</v>
      </c>
      <c r="AV880" s="31">
        <f t="shared" si="477"/>
        <v>0</v>
      </c>
      <c r="AW880" s="31">
        <f t="shared" si="478"/>
        <v>0</v>
      </c>
      <c r="AX880" s="31">
        <f t="shared" si="479"/>
        <v>0</v>
      </c>
      <c r="AY880" s="255">
        <f t="shared" si="480"/>
        <v>0</v>
      </c>
      <c r="AZ880" s="232">
        <f t="shared" si="481"/>
        <v>0</v>
      </c>
      <c r="BA880" s="255">
        <f t="shared" si="482"/>
        <v>0</v>
      </c>
      <c r="BB880" s="31">
        <f t="shared" si="483"/>
        <v>0</v>
      </c>
      <c r="BC880" s="255">
        <f t="shared" si="484"/>
        <v>0</v>
      </c>
      <c r="BD880" s="31">
        <f t="shared" si="485"/>
        <v>0</v>
      </c>
      <c r="BE880" s="255">
        <f t="shared" si="486"/>
        <v>0</v>
      </c>
      <c r="BF880" s="31">
        <f t="shared" si="487"/>
        <v>0</v>
      </c>
      <c r="BG880" s="255">
        <f t="shared" si="488"/>
        <v>0</v>
      </c>
      <c r="BH880" s="31">
        <f t="shared" si="489"/>
        <v>7</v>
      </c>
      <c r="BI880" s="255">
        <f t="shared" si="490"/>
        <v>5.95</v>
      </c>
      <c r="BJ880" s="31">
        <f t="shared" si="491"/>
        <v>0</v>
      </c>
      <c r="BK880" s="31">
        <f t="shared" si="492"/>
        <v>0</v>
      </c>
      <c r="BL880" s="255">
        <f t="shared" si="493"/>
        <v>0</v>
      </c>
      <c r="BM880" s="31">
        <f t="shared" si="494"/>
        <v>0</v>
      </c>
      <c r="BN880" s="255">
        <f t="shared" si="495"/>
        <v>0</v>
      </c>
    </row>
    <row r="881" spans="1:66" x14ac:dyDescent="0.25">
      <c r="A881" t="s">
        <v>1727</v>
      </c>
      <c r="B881" s="186" t="str">
        <f>VLOOKUP(A881,kurspris!$A$1:$B$877,2,FALSE)</f>
        <v>Läraryrkets dimensioner för förskolan 2 (VFU)</v>
      </c>
      <c r="C881"/>
      <c r="D881" t="s">
        <v>484</v>
      </c>
      <c r="E881" t="s">
        <v>1974</v>
      </c>
      <c r="F881" s="39" t="s">
        <v>1930</v>
      </c>
      <c r="G881" t="s">
        <v>1989</v>
      </c>
      <c r="H881" t="s">
        <v>1910</v>
      </c>
      <c r="I881"/>
      <c r="J881"/>
      <c r="K881"/>
      <c r="L881">
        <v>100</v>
      </c>
      <c r="M881">
        <v>7.5</v>
      </c>
      <c r="N881"/>
      <c r="O881"/>
      <c r="P881" s="31">
        <v>21</v>
      </c>
      <c r="Q881" s="232">
        <f t="shared" si="468"/>
        <v>2.625</v>
      </c>
      <c r="R881" s="40">
        <v>0.85</v>
      </c>
      <c r="S881" s="334">
        <f t="shared" si="469"/>
        <v>2.2312499999999997</v>
      </c>
      <c r="T881" s="31">
        <f>VLOOKUP(A881,'Ansvar kurs'!$A$1:$C$1010,2,FALSE)</f>
        <v>2193</v>
      </c>
      <c r="U881" s="31" t="str">
        <f>VLOOKUP(T881,Orgenheter!$A$1:$C$165,2,FALSE)</f>
        <v xml:space="preserve">TUV </v>
      </c>
      <c r="V881" s="31" t="str">
        <f>VLOOKUP(T881,Orgenheter!$A$1:$C$165,3,FALSE)</f>
        <v>Sam</v>
      </c>
      <c r="W881" s="37" t="str">
        <f>VLOOKUP(D881,Program!$A$1:$B$34,2,FALSE)</f>
        <v>Förskollärarprogrammet</v>
      </c>
      <c r="X881" s="42">
        <f>VLOOKUP(A881,kurspris!$A$1:$Q$798,15,FALSE)</f>
        <v>21634</v>
      </c>
      <c r="Y881" s="42">
        <f>VLOOKUP(A881,kurspris!$A$1:$Q$798,16,FALSE)</f>
        <v>26986</v>
      </c>
      <c r="Z881" s="42">
        <f t="shared" si="470"/>
        <v>117001.76249999998</v>
      </c>
      <c r="AA881" s="42">
        <f>VLOOKUP(A881,kurspris!$A$1:$Q$798,17,FALSE)</f>
        <v>3400</v>
      </c>
      <c r="AB881" s="42">
        <f t="shared" si="471"/>
        <v>8925</v>
      </c>
      <c r="AC881" s="42">
        <f t="shared" si="472"/>
        <v>125926.76249999998</v>
      </c>
      <c r="AD881" s="31">
        <f>VLOOKUP($A881,kurspris!$A$1:$Q$835,3,FALSE)</f>
        <v>0</v>
      </c>
      <c r="AE881" s="31">
        <f>VLOOKUP($A881,kurspris!$A$1:$Q$835,4,FALSE)</f>
        <v>0</v>
      </c>
      <c r="AF881" s="31">
        <f>VLOOKUP($A881,kurspris!$A$1:$Q$835,5,FALSE)</f>
        <v>0</v>
      </c>
      <c r="AG881" s="31">
        <f>VLOOKUP($A881,kurspris!$A$1:$Q$835,6,FALSE)</f>
        <v>0</v>
      </c>
      <c r="AH881" s="31">
        <f>VLOOKUP($A881,kurspris!$A$1:$Q$835,7,FALSE)</f>
        <v>0</v>
      </c>
      <c r="AI881" s="31">
        <f>VLOOKUP($A881,kurspris!$A$1:$Q$835,8,FALSE)</f>
        <v>0</v>
      </c>
      <c r="AJ881" s="31">
        <f>VLOOKUP($A881,kurspris!$A$1:$Q$835,9,FALSE)</f>
        <v>0</v>
      </c>
      <c r="AK881" s="31">
        <f>VLOOKUP($A881,kurspris!$A$1:$Q$835,10,FALSE)</f>
        <v>0</v>
      </c>
      <c r="AL881" s="31">
        <f>VLOOKUP($A881,kurspris!$A$1:$Q$835,11,FALSE)</f>
        <v>1</v>
      </c>
      <c r="AM881" s="31">
        <f>VLOOKUP($A881,kurspris!$A$1:$Q$835,12,FALSE)</f>
        <v>0</v>
      </c>
      <c r="AN881" s="31">
        <f>VLOOKUP($A881,kurspris!$A$1:$Q$835,13,FALSE)</f>
        <v>0</v>
      </c>
      <c r="AO881" s="31">
        <f>VLOOKUP($A881,kurspris!$A$1:$Q$835,14,FALSE)</f>
        <v>0</v>
      </c>
      <c r="AP881" s="39" t="s">
        <v>2204</v>
      </c>
      <c r="AQ881"/>
      <c r="AR881" s="31">
        <f t="shared" si="473"/>
        <v>0</v>
      </c>
      <c r="AS881" s="255">
        <f t="shared" si="474"/>
        <v>0</v>
      </c>
      <c r="AT881" s="31">
        <f t="shared" si="475"/>
        <v>0</v>
      </c>
      <c r="AU881" s="255">
        <f t="shared" si="476"/>
        <v>0</v>
      </c>
      <c r="AV881" s="31">
        <f t="shared" si="477"/>
        <v>0</v>
      </c>
      <c r="AW881" s="31">
        <f t="shared" si="478"/>
        <v>0</v>
      </c>
      <c r="AX881" s="31">
        <f t="shared" si="479"/>
        <v>0</v>
      </c>
      <c r="AY881" s="255">
        <f t="shared" si="480"/>
        <v>0</v>
      </c>
      <c r="AZ881" s="232">
        <f t="shared" si="481"/>
        <v>0</v>
      </c>
      <c r="BA881" s="255">
        <f t="shared" si="482"/>
        <v>0</v>
      </c>
      <c r="BB881" s="31">
        <f t="shared" si="483"/>
        <v>0</v>
      </c>
      <c r="BC881" s="255">
        <f t="shared" si="484"/>
        <v>0</v>
      </c>
      <c r="BD881" s="31">
        <f t="shared" si="485"/>
        <v>0</v>
      </c>
      <c r="BE881" s="255">
        <f t="shared" si="486"/>
        <v>0</v>
      </c>
      <c r="BF881" s="31">
        <f t="shared" si="487"/>
        <v>0</v>
      </c>
      <c r="BG881" s="255">
        <f t="shared" si="488"/>
        <v>0</v>
      </c>
      <c r="BH881" s="31">
        <f t="shared" si="489"/>
        <v>2.625</v>
      </c>
      <c r="BI881" s="255">
        <f t="shared" si="490"/>
        <v>2.2312499999999997</v>
      </c>
      <c r="BJ881" s="31">
        <f t="shared" si="491"/>
        <v>0</v>
      </c>
      <c r="BK881" s="31">
        <f t="shared" si="492"/>
        <v>0</v>
      </c>
      <c r="BL881" s="255">
        <f t="shared" si="493"/>
        <v>0</v>
      </c>
      <c r="BM881" s="31">
        <f t="shared" si="494"/>
        <v>0</v>
      </c>
      <c r="BN881" s="255">
        <f t="shared" si="495"/>
        <v>0</v>
      </c>
    </row>
    <row r="882" spans="1:66" x14ac:dyDescent="0.25">
      <c r="A882" t="s">
        <v>1727</v>
      </c>
      <c r="B882" s="186" t="str">
        <f>VLOOKUP(A882,kurspris!$A$1:$B$877,2,FALSE)</f>
        <v>Läraryrkets dimensioner för förskolan 2 (VFU)</v>
      </c>
      <c r="C882"/>
      <c r="D882" t="s">
        <v>484</v>
      </c>
      <c r="E882" t="s">
        <v>1974</v>
      </c>
      <c r="F882" s="39" t="s">
        <v>1930</v>
      </c>
      <c r="G882" t="s">
        <v>1989</v>
      </c>
      <c r="H882" t="s">
        <v>1910</v>
      </c>
      <c r="I882"/>
      <c r="J882"/>
      <c r="K882"/>
      <c r="L882">
        <v>100</v>
      </c>
      <c r="M882">
        <v>7.5</v>
      </c>
      <c r="N882"/>
      <c r="O882"/>
      <c r="P882" s="31">
        <v>1</v>
      </c>
      <c r="Q882" s="232">
        <f t="shared" si="468"/>
        <v>0.125</v>
      </c>
      <c r="R882" s="40">
        <v>0.85</v>
      </c>
      <c r="S882" s="334">
        <f t="shared" si="469"/>
        <v>0.10625</v>
      </c>
      <c r="T882" s="31">
        <f>VLOOKUP(A882,'Ansvar kurs'!$A$1:$C$1010,2,FALSE)</f>
        <v>2193</v>
      </c>
      <c r="U882" s="31" t="str">
        <f>VLOOKUP(T882,Orgenheter!$A$1:$C$165,2,FALSE)</f>
        <v xml:space="preserve">TUV </v>
      </c>
      <c r="V882" s="31" t="str">
        <f>VLOOKUP(T882,Orgenheter!$A$1:$C$165,3,FALSE)</f>
        <v>Sam</v>
      </c>
      <c r="W882" s="37" t="str">
        <f>VLOOKUP(D882,Program!$A$1:$B$34,2,FALSE)</f>
        <v>Förskollärarprogrammet</v>
      </c>
      <c r="X882" s="42">
        <f>VLOOKUP(A882,kurspris!$A$1:$Q$798,15,FALSE)</f>
        <v>21634</v>
      </c>
      <c r="Y882" s="42">
        <f>VLOOKUP(A882,kurspris!$A$1:$Q$798,16,FALSE)</f>
        <v>26986</v>
      </c>
      <c r="Z882" s="42">
        <f t="shared" si="470"/>
        <v>5571.5124999999998</v>
      </c>
      <c r="AA882" s="42">
        <f>VLOOKUP(A882,kurspris!$A$1:$Q$798,17,FALSE)</f>
        <v>3400</v>
      </c>
      <c r="AB882" s="42">
        <f t="shared" si="471"/>
        <v>425</v>
      </c>
      <c r="AC882" s="42">
        <f t="shared" si="472"/>
        <v>5996.5124999999998</v>
      </c>
      <c r="AD882" s="31">
        <f>VLOOKUP($A882,kurspris!$A$1:$Q$835,3,FALSE)</f>
        <v>0</v>
      </c>
      <c r="AE882" s="31">
        <f>VLOOKUP($A882,kurspris!$A$1:$Q$835,4,FALSE)</f>
        <v>0</v>
      </c>
      <c r="AF882" s="31">
        <f>VLOOKUP($A882,kurspris!$A$1:$Q$835,5,FALSE)</f>
        <v>0</v>
      </c>
      <c r="AG882" s="31">
        <f>VLOOKUP($A882,kurspris!$A$1:$Q$835,6,FALSE)</f>
        <v>0</v>
      </c>
      <c r="AH882" s="31">
        <f>VLOOKUP($A882,kurspris!$A$1:$Q$835,7,FALSE)</f>
        <v>0</v>
      </c>
      <c r="AI882" s="31">
        <f>VLOOKUP($A882,kurspris!$A$1:$Q$835,8,FALSE)</f>
        <v>0</v>
      </c>
      <c r="AJ882" s="31">
        <f>VLOOKUP($A882,kurspris!$A$1:$Q$835,9,FALSE)</f>
        <v>0</v>
      </c>
      <c r="AK882" s="31">
        <f>VLOOKUP($A882,kurspris!$A$1:$Q$835,10,FALSE)</f>
        <v>0</v>
      </c>
      <c r="AL882" s="31">
        <f>VLOOKUP($A882,kurspris!$A$1:$Q$835,11,FALSE)</f>
        <v>1</v>
      </c>
      <c r="AM882" s="31">
        <f>VLOOKUP($A882,kurspris!$A$1:$Q$835,12,FALSE)</f>
        <v>0</v>
      </c>
      <c r="AN882" s="31">
        <f>VLOOKUP($A882,kurspris!$A$1:$Q$835,13,FALSE)</f>
        <v>0</v>
      </c>
      <c r="AO882" s="31">
        <f>VLOOKUP($A882,kurspris!$A$1:$Q$835,14,FALSE)</f>
        <v>0</v>
      </c>
      <c r="AP882" s="39" t="s">
        <v>2204</v>
      </c>
      <c r="AQ882"/>
      <c r="AR882" s="31">
        <f t="shared" si="473"/>
        <v>0</v>
      </c>
      <c r="AS882" s="255">
        <f t="shared" si="474"/>
        <v>0</v>
      </c>
      <c r="AT882" s="31">
        <f t="shared" si="475"/>
        <v>0</v>
      </c>
      <c r="AU882" s="255">
        <f t="shared" si="476"/>
        <v>0</v>
      </c>
      <c r="AV882" s="31">
        <f t="shared" si="477"/>
        <v>0</v>
      </c>
      <c r="AW882" s="31">
        <f t="shared" si="478"/>
        <v>0</v>
      </c>
      <c r="AX882" s="31">
        <f t="shared" si="479"/>
        <v>0</v>
      </c>
      <c r="AY882" s="255">
        <f t="shared" si="480"/>
        <v>0</v>
      </c>
      <c r="AZ882" s="232">
        <f t="shared" si="481"/>
        <v>0</v>
      </c>
      <c r="BA882" s="255">
        <f t="shared" si="482"/>
        <v>0</v>
      </c>
      <c r="BB882" s="31">
        <f t="shared" si="483"/>
        <v>0</v>
      </c>
      <c r="BC882" s="255">
        <f t="shared" si="484"/>
        <v>0</v>
      </c>
      <c r="BD882" s="31">
        <f t="shared" si="485"/>
        <v>0</v>
      </c>
      <c r="BE882" s="255">
        <f t="shared" si="486"/>
        <v>0</v>
      </c>
      <c r="BF882" s="31">
        <f t="shared" si="487"/>
        <v>0</v>
      </c>
      <c r="BG882" s="255">
        <f t="shared" si="488"/>
        <v>0</v>
      </c>
      <c r="BH882" s="31">
        <f t="shared" si="489"/>
        <v>0.125</v>
      </c>
      <c r="BI882" s="255">
        <f t="shared" si="490"/>
        <v>0.10625</v>
      </c>
      <c r="BJ882" s="31">
        <f t="shared" si="491"/>
        <v>0</v>
      </c>
      <c r="BK882" s="31">
        <f t="shared" si="492"/>
        <v>0</v>
      </c>
      <c r="BL882" s="255">
        <f t="shared" si="493"/>
        <v>0</v>
      </c>
      <c r="BM882" s="31">
        <f t="shared" si="494"/>
        <v>0</v>
      </c>
      <c r="BN882" s="255">
        <f t="shared" si="495"/>
        <v>0</v>
      </c>
    </row>
    <row r="883" spans="1:66" x14ac:dyDescent="0.25">
      <c r="A883" s="18" t="s">
        <v>1727</v>
      </c>
      <c r="B883" s="186" t="str">
        <f>VLOOKUP(A883,kurspris!$A$1:$B$877,2,FALSE)</f>
        <v>Läraryrkets dimensioner för förskolan 2 (VFU)</v>
      </c>
      <c r="C883" s="37"/>
      <c r="D883" s="31" t="s">
        <v>484</v>
      </c>
      <c r="E883" s="31" t="s">
        <v>1974</v>
      </c>
      <c r="F883" s="59" t="s">
        <v>1931</v>
      </c>
      <c r="G883" s="31" t="s">
        <v>2274</v>
      </c>
      <c r="L883" s="31">
        <v>100</v>
      </c>
      <c r="M883" s="31">
        <v>7.5</v>
      </c>
      <c r="P883" s="31">
        <v>3</v>
      </c>
      <c r="Q883" s="232">
        <f t="shared" si="468"/>
        <v>0.375</v>
      </c>
      <c r="R883" s="40">
        <v>0.85</v>
      </c>
      <c r="S883" s="334">
        <f t="shared" si="469"/>
        <v>0.31874999999999998</v>
      </c>
      <c r="T883" s="31">
        <f>VLOOKUP(A883,'Ansvar kurs'!$A$1:$C$1010,2,FALSE)</f>
        <v>2193</v>
      </c>
      <c r="U883" s="31" t="str">
        <f>VLOOKUP(T883,Orgenheter!$A$1:$C$165,2,FALSE)</f>
        <v xml:space="preserve">TUV </v>
      </c>
      <c r="V883" s="31" t="str">
        <f>VLOOKUP(T883,Orgenheter!$A$1:$C$165,3,FALSE)</f>
        <v>Sam</v>
      </c>
      <c r="W883" s="37" t="str">
        <f>VLOOKUP(D883,Program!$A$1:$B$34,2,FALSE)</f>
        <v>Förskollärarprogrammet</v>
      </c>
      <c r="X883" s="42">
        <f>VLOOKUP(A883,kurspris!$A$1:$Q$798,15,FALSE)</f>
        <v>21634</v>
      </c>
      <c r="Y883" s="42">
        <f>VLOOKUP(A883,kurspris!$A$1:$Q$798,16,FALSE)</f>
        <v>26986</v>
      </c>
      <c r="Z883" s="42">
        <f t="shared" si="470"/>
        <v>16714.537499999999</v>
      </c>
      <c r="AA883" s="42">
        <f>VLOOKUP(A883,kurspris!$A$1:$Q$798,17,FALSE)</f>
        <v>3400</v>
      </c>
      <c r="AB883" s="42">
        <f t="shared" si="471"/>
        <v>1275</v>
      </c>
      <c r="AC883" s="42">
        <f t="shared" si="472"/>
        <v>17989.537499999999</v>
      </c>
      <c r="AD883" s="31">
        <f>VLOOKUP($A883,kurspris!$A$1:$Q$835,3,FALSE)</f>
        <v>0</v>
      </c>
      <c r="AE883" s="31">
        <f>VLOOKUP($A883,kurspris!$A$1:$Q$835,4,FALSE)</f>
        <v>0</v>
      </c>
      <c r="AF883" s="31">
        <f>VLOOKUP($A883,kurspris!$A$1:$Q$835,5,FALSE)</f>
        <v>0</v>
      </c>
      <c r="AG883" s="31">
        <f>VLOOKUP($A883,kurspris!$A$1:$Q$835,6,FALSE)</f>
        <v>0</v>
      </c>
      <c r="AH883" s="31">
        <f>VLOOKUP($A883,kurspris!$A$1:$Q$835,7,FALSE)</f>
        <v>0</v>
      </c>
      <c r="AI883" s="31">
        <f>VLOOKUP($A883,kurspris!$A$1:$Q$835,8,FALSE)</f>
        <v>0</v>
      </c>
      <c r="AJ883" s="31">
        <f>VLOOKUP($A883,kurspris!$A$1:$Q$835,9,FALSE)</f>
        <v>0</v>
      </c>
      <c r="AK883" s="31">
        <f>VLOOKUP($A883,kurspris!$A$1:$Q$835,10,FALSE)</f>
        <v>0</v>
      </c>
      <c r="AL883" s="31">
        <f>VLOOKUP($A883,kurspris!$A$1:$Q$835,11,FALSE)</f>
        <v>1</v>
      </c>
      <c r="AM883" s="31">
        <f>VLOOKUP($A883,kurspris!$A$1:$Q$835,12,FALSE)</f>
        <v>0</v>
      </c>
      <c r="AN883" s="31">
        <f>VLOOKUP($A883,kurspris!$A$1:$Q$835,13,FALSE)</f>
        <v>0</v>
      </c>
      <c r="AO883" s="31">
        <f>VLOOKUP($A883,kurspris!$A$1:$Q$835,14,FALSE)</f>
        <v>0</v>
      </c>
      <c r="AP883" s="39" t="s">
        <v>2326</v>
      </c>
      <c r="AQ883"/>
      <c r="AR883" s="31">
        <f t="shared" si="473"/>
        <v>0</v>
      </c>
      <c r="AS883" s="255">
        <f t="shared" si="474"/>
        <v>0</v>
      </c>
      <c r="AT883" s="31">
        <f t="shared" si="475"/>
        <v>0</v>
      </c>
      <c r="AU883" s="255">
        <f t="shared" si="476"/>
        <v>0</v>
      </c>
      <c r="AV883" s="31">
        <f t="shared" si="477"/>
        <v>0</v>
      </c>
      <c r="AW883" s="31">
        <f t="shared" si="478"/>
        <v>0</v>
      </c>
      <c r="AX883" s="31">
        <f t="shared" si="479"/>
        <v>0</v>
      </c>
      <c r="AY883" s="255">
        <f t="shared" si="480"/>
        <v>0</v>
      </c>
      <c r="AZ883" s="232">
        <f t="shared" si="481"/>
        <v>0</v>
      </c>
      <c r="BA883" s="255">
        <f t="shared" si="482"/>
        <v>0</v>
      </c>
      <c r="BB883" s="31">
        <f t="shared" si="483"/>
        <v>0</v>
      </c>
      <c r="BC883" s="255">
        <f t="shared" si="484"/>
        <v>0</v>
      </c>
      <c r="BD883" s="31">
        <f t="shared" si="485"/>
        <v>0</v>
      </c>
      <c r="BE883" s="255">
        <f t="shared" si="486"/>
        <v>0</v>
      </c>
      <c r="BF883" s="31">
        <f t="shared" si="487"/>
        <v>0</v>
      </c>
      <c r="BG883" s="255">
        <f t="shared" si="488"/>
        <v>0</v>
      </c>
      <c r="BH883" s="31">
        <f t="shared" si="489"/>
        <v>0.375</v>
      </c>
      <c r="BI883" s="255">
        <f t="shared" si="490"/>
        <v>0.31874999999999998</v>
      </c>
      <c r="BJ883" s="31">
        <f t="shared" si="491"/>
        <v>0</v>
      </c>
      <c r="BK883" s="31">
        <f t="shared" si="492"/>
        <v>0</v>
      </c>
      <c r="BL883" s="255">
        <f t="shared" si="493"/>
        <v>0</v>
      </c>
      <c r="BM883" s="31">
        <f t="shared" si="494"/>
        <v>0</v>
      </c>
      <c r="BN883" s="255">
        <f t="shared" si="495"/>
        <v>0</v>
      </c>
    </row>
    <row r="884" spans="1:66" x14ac:dyDescent="0.25">
      <c r="A884" t="s">
        <v>1727</v>
      </c>
      <c r="B884" s="186" t="str">
        <f>VLOOKUP(A884,kurspris!$A$1:$B$877,2,FALSE)</f>
        <v>Läraryrkets dimensioner för förskolan 2 (VFU)</v>
      </c>
      <c r="C884"/>
      <c r="D884" t="s">
        <v>484</v>
      </c>
      <c r="E884" t="s">
        <v>1608</v>
      </c>
      <c r="F884" s="39" t="s">
        <v>1930</v>
      </c>
      <c r="G884" t="s">
        <v>1989</v>
      </c>
      <c r="H884" t="s">
        <v>1910</v>
      </c>
      <c r="I884"/>
      <c r="J884"/>
      <c r="K884"/>
      <c r="L884">
        <v>100</v>
      </c>
      <c r="M884">
        <v>7.5</v>
      </c>
      <c r="N884"/>
      <c r="O884"/>
      <c r="P884" s="31">
        <v>1</v>
      </c>
      <c r="Q884" s="232">
        <f t="shared" si="468"/>
        <v>0.125</v>
      </c>
      <c r="R884" s="40">
        <v>0.85</v>
      </c>
      <c r="S884" s="334">
        <f t="shared" si="469"/>
        <v>0.10625</v>
      </c>
      <c r="T884" s="31">
        <f>VLOOKUP(A884,'Ansvar kurs'!$A$1:$C$1010,2,FALSE)</f>
        <v>2193</v>
      </c>
      <c r="U884" s="31" t="str">
        <f>VLOOKUP(T884,Orgenheter!$A$1:$C$165,2,FALSE)</f>
        <v xml:space="preserve">TUV </v>
      </c>
      <c r="V884" s="31" t="str">
        <f>VLOOKUP(T884,Orgenheter!$A$1:$C$165,3,FALSE)</f>
        <v>Sam</v>
      </c>
      <c r="W884" s="37" t="str">
        <f>VLOOKUP(D884,Program!$A$1:$B$34,2,FALSE)</f>
        <v>Förskollärarprogrammet</v>
      </c>
      <c r="X884" s="42">
        <f>VLOOKUP(A884,kurspris!$A$1:$Q$798,15,FALSE)</f>
        <v>21634</v>
      </c>
      <c r="Y884" s="42">
        <f>VLOOKUP(A884,kurspris!$A$1:$Q$798,16,FALSE)</f>
        <v>26986</v>
      </c>
      <c r="Z884" s="42">
        <f t="shared" si="470"/>
        <v>5571.5124999999998</v>
      </c>
      <c r="AA884" s="42">
        <f>VLOOKUP(A884,kurspris!$A$1:$Q$798,17,FALSE)</f>
        <v>3400</v>
      </c>
      <c r="AB884" s="42">
        <f t="shared" si="471"/>
        <v>425</v>
      </c>
      <c r="AC884" s="42">
        <f t="shared" si="472"/>
        <v>5996.5124999999998</v>
      </c>
      <c r="AD884" s="31">
        <f>VLOOKUP($A884,kurspris!$A$1:$Q$835,3,FALSE)</f>
        <v>0</v>
      </c>
      <c r="AE884" s="31">
        <f>VLOOKUP($A884,kurspris!$A$1:$Q$835,4,FALSE)</f>
        <v>0</v>
      </c>
      <c r="AF884" s="31">
        <f>VLOOKUP($A884,kurspris!$A$1:$Q$835,5,FALSE)</f>
        <v>0</v>
      </c>
      <c r="AG884" s="31">
        <f>VLOOKUP($A884,kurspris!$A$1:$Q$835,6,FALSE)</f>
        <v>0</v>
      </c>
      <c r="AH884" s="31">
        <f>VLOOKUP($A884,kurspris!$A$1:$Q$835,7,FALSE)</f>
        <v>0</v>
      </c>
      <c r="AI884" s="31">
        <f>VLOOKUP($A884,kurspris!$A$1:$Q$835,8,FALSE)</f>
        <v>0</v>
      </c>
      <c r="AJ884" s="31">
        <f>VLOOKUP($A884,kurspris!$A$1:$Q$835,9,FALSE)</f>
        <v>0</v>
      </c>
      <c r="AK884" s="31">
        <f>VLOOKUP($A884,kurspris!$A$1:$Q$835,10,FALSE)</f>
        <v>0</v>
      </c>
      <c r="AL884" s="31">
        <f>VLOOKUP($A884,kurspris!$A$1:$Q$835,11,FALSE)</f>
        <v>1</v>
      </c>
      <c r="AM884" s="31">
        <f>VLOOKUP($A884,kurspris!$A$1:$Q$835,12,FALSE)</f>
        <v>0</v>
      </c>
      <c r="AN884" s="31">
        <f>VLOOKUP($A884,kurspris!$A$1:$Q$835,13,FALSE)</f>
        <v>0</v>
      </c>
      <c r="AO884" s="31">
        <f>VLOOKUP($A884,kurspris!$A$1:$Q$835,14,FALSE)</f>
        <v>0</v>
      </c>
      <c r="AP884" s="39" t="s">
        <v>2204</v>
      </c>
      <c r="AQ884"/>
      <c r="AR884" s="31">
        <f t="shared" si="473"/>
        <v>0</v>
      </c>
      <c r="AS884" s="255">
        <f t="shared" si="474"/>
        <v>0</v>
      </c>
      <c r="AT884" s="31">
        <f t="shared" si="475"/>
        <v>0</v>
      </c>
      <c r="AU884" s="255">
        <f t="shared" si="476"/>
        <v>0</v>
      </c>
      <c r="AV884" s="31">
        <f t="shared" si="477"/>
        <v>0</v>
      </c>
      <c r="AW884" s="31">
        <f t="shared" si="478"/>
        <v>0</v>
      </c>
      <c r="AX884" s="31">
        <f t="shared" si="479"/>
        <v>0</v>
      </c>
      <c r="AY884" s="255">
        <f t="shared" si="480"/>
        <v>0</v>
      </c>
      <c r="AZ884" s="232">
        <f t="shared" si="481"/>
        <v>0</v>
      </c>
      <c r="BA884" s="255">
        <f t="shared" si="482"/>
        <v>0</v>
      </c>
      <c r="BB884" s="31">
        <f t="shared" si="483"/>
        <v>0</v>
      </c>
      <c r="BC884" s="255">
        <f t="shared" si="484"/>
        <v>0</v>
      </c>
      <c r="BD884" s="31">
        <f t="shared" si="485"/>
        <v>0</v>
      </c>
      <c r="BE884" s="255">
        <f t="shared" si="486"/>
        <v>0</v>
      </c>
      <c r="BF884" s="31">
        <f t="shared" si="487"/>
        <v>0</v>
      </c>
      <c r="BG884" s="255">
        <f t="shared" si="488"/>
        <v>0</v>
      </c>
      <c r="BH884" s="31">
        <f t="shared" si="489"/>
        <v>0.125</v>
      </c>
      <c r="BI884" s="255">
        <f t="shared" si="490"/>
        <v>0.10625</v>
      </c>
      <c r="BJ884" s="31">
        <f t="shared" si="491"/>
        <v>0</v>
      </c>
      <c r="BK884" s="31">
        <f t="shared" si="492"/>
        <v>0</v>
      </c>
      <c r="BL884" s="255">
        <f t="shared" si="493"/>
        <v>0</v>
      </c>
      <c r="BM884" s="31">
        <f t="shared" si="494"/>
        <v>0</v>
      </c>
      <c r="BN884" s="255">
        <f t="shared" si="495"/>
        <v>0</v>
      </c>
    </row>
    <row r="885" spans="1:66" x14ac:dyDescent="0.25">
      <c r="A885" t="s">
        <v>1786</v>
      </c>
      <c r="B885" s="186" t="str">
        <f>VLOOKUP(A885,kurspris!$A$1:$B$877,2,FALSE)</f>
        <v>Examensarbete för förskollärarexamen</v>
      </c>
      <c r="C885"/>
      <c r="D885" t="s">
        <v>484</v>
      </c>
      <c r="E885" t="s">
        <v>1975</v>
      </c>
      <c r="F885" s="39" t="s">
        <v>1930</v>
      </c>
      <c r="G885" t="s">
        <v>1990</v>
      </c>
      <c r="H885" t="s">
        <v>1910</v>
      </c>
      <c r="I885"/>
      <c r="J885"/>
      <c r="K885"/>
      <c r="L885">
        <v>100</v>
      </c>
      <c r="M885">
        <v>15</v>
      </c>
      <c r="N885"/>
      <c r="O885"/>
      <c r="P885" s="31">
        <v>1</v>
      </c>
      <c r="Q885" s="232">
        <f t="shared" si="468"/>
        <v>0.25</v>
      </c>
      <c r="R885" s="40">
        <v>0.85</v>
      </c>
      <c r="S885" s="334">
        <f t="shared" si="469"/>
        <v>0.21249999999999999</v>
      </c>
      <c r="T885" s="31">
        <f>VLOOKUP(A885,'Ansvar kurs'!$A$1:$C$1010,2,FALSE)</f>
        <v>2193</v>
      </c>
      <c r="U885" s="31" t="str">
        <f>VLOOKUP(T885,Orgenheter!$A$1:$C$165,2,FALSE)</f>
        <v xml:space="preserve">TUV </v>
      </c>
      <c r="V885" s="31" t="str">
        <f>VLOOKUP(T885,Orgenheter!$A$1:$C$165,3,FALSE)</f>
        <v>Sam</v>
      </c>
      <c r="W885" s="37" t="str">
        <f>VLOOKUP(D885,Program!$A$1:$B$34,2,FALSE)</f>
        <v>Förskollärarprogrammet</v>
      </c>
      <c r="X885" s="42">
        <f>VLOOKUP(A885,kurspris!$A$1:$Q$798,15,FALSE)</f>
        <v>18405</v>
      </c>
      <c r="Y885" s="42">
        <f>VLOOKUP(A885,kurspris!$A$1:$Q$798,16,FALSE)</f>
        <v>15773</v>
      </c>
      <c r="Z885" s="42">
        <f t="shared" si="470"/>
        <v>7953.0124999999998</v>
      </c>
      <c r="AA885" s="42">
        <f>VLOOKUP(A885,kurspris!$A$1:$Q$798,17,FALSE)</f>
        <v>5800</v>
      </c>
      <c r="AB885" s="42">
        <f t="shared" si="471"/>
        <v>1450</v>
      </c>
      <c r="AC885" s="42">
        <f t="shared" si="472"/>
        <v>9403.0125000000007</v>
      </c>
      <c r="AD885" s="31">
        <f>VLOOKUP($A885,kurspris!$A$1:$Q$835,3,FALSE)</f>
        <v>0</v>
      </c>
      <c r="AE885" s="31">
        <f>VLOOKUP($A885,kurspris!$A$1:$Q$835,4,FALSE)</f>
        <v>0</v>
      </c>
      <c r="AF885" s="31">
        <f>VLOOKUP($A885,kurspris!$A$1:$Q$835,5,FALSE)</f>
        <v>0</v>
      </c>
      <c r="AG885" s="31">
        <f>VLOOKUP($A885,kurspris!$A$1:$Q$835,6,FALSE)</f>
        <v>0</v>
      </c>
      <c r="AH885" s="31">
        <f>VLOOKUP($A885,kurspris!$A$1:$Q$835,7,FALSE)</f>
        <v>0</v>
      </c>
      <c r="AI885" s="31">
        <f>VLOOKUP($A885,kurspris!$A$1:$Q$835,8,FALSE)</f>
        <v>0</v>
      </c>
      <c r="AJ885" s="31">
        <f>VLOOKUP($A885,kurspris!$A$1:$Q$835,9,FALSE)</f>
        <v>1</v>
      </c>
      <c r="AK885" s="31">
        <f>VLOOKUP($A885,kurspris!$A$1:$Q$835,10,FALSE)</f>
        <v>0</v>
      </c>
      <c r="AL885" s="31">
        <f>VLOOKUP($A885,kurspris!$A$1:$Q$835,11,FALSE)</f>
        <v>0</v>
      </c>
      <c r="AM885" s="31">
        <f>VLOOKUP($A885,kurspris!$A$1:$Q$835,12,FALSE)</f>
        <v>0</v>
      </c>
      <c r="AN885" s="31">
        <f>VLOOKUP($A885,kurspris!$A$1:$Q$835,13,FALSE)</f>
        <v>0</v>
      </c>
      <c r="AO885" s="31">
        <f>VLOOKUP($A885,kurspris!$A$1:$Q$835,14,FALSE)</f>
        <v>0</v>
      </c>
      <c r="AP885" s="39" t="s">
        <v>2204</v>
      </c>
      <c r="AQ885"/>
      <c r="AR885" s="31">
        <f t="shared" si="473"/>
        <v>0</v>
      </c>
      <c r="AS885" s="255">
        <f t="shared" si="474"/>
        <v>0</v>
      </c>
      <c r="AT885" s="31">
        <f t="shared" si="475"/>
        <v>0</v>
      </c>
      <c r="AU885" s="255">
        <f t="shared" si="476"/>
        <v>0</v>
      </c>
      <c r="AV885" s="31">
        <f t="shared" si="477"/>
        <v>0</v>
      </c>
      <c r="AW885" s="31">
        <f t="shared" si="478"/>
        <v>0</v>
      </c>
      <c r="AX885" s="31">
        <f t="shared" si="479"/>
        <v>0</v>
      </c>
      <c r="AY885" s="255">
        <f t="shared" si="480"/>
        <v>0</v>
      </c>
      <c r="AZ885" s="232">
        <f t="shared" si="481"/>
        <v>0</v>
      </c>
      <c r="BA885" s="255">
        <f t="shared" si="482"/>
        <v>0</v>
      </c>
      <c r="BB885" s="31">
        <f t="shared" si="483"/>
        <v>0</v>
      </c>
      <c r="BC885" s="255">
        <f t="shared" si="484"/>
        <v>0</v>
      </c>
      <c r="BD885" s="31">
        <f t="shared" si="485"/>
        <v>0.25</v>
      </c>
      <c r="BE885" s="255">
        <f t="shared" si="486"/>
        <v>0.21249999999999999</v>
      </c>
      <c r="BF885" s="31">
        <f t="shared" si="487"/>
        <v>0</v>
      </c>
      <c r="BG885" s="255">
        <f t="shared" si="488"/>
        <v>0</v>
      </c>
      <c r="BH885" s="31">
        <f t="shared" si="489"/>
        <v>0</v>
      </c>
      <c r="BI885" s="255">
        <f t="shared" si="490"/>
        <v>0</v>
      </c>
      <c r="BJ885" s="31">
        <f t="shared" si="491"/>
        <v>0</v>
      </c>
      <c r="BK885" s="31">
        <f t="shared" si="492"/>
        <v>0</v>
      </c>
      <c r="BL885" s="255">
        <f t="shared" si="493"/>
        <v>0</v>
      </c>
      <c r="BM885" s="31">
        <f t="shared" si="494"/>
        <v>0</v>
      </c>
      <c r="BN885" s="255">
        <f t="shared" si="495"/>
        <v>0</v>
      </c>
    </row>
    <row r="886" spans="1:66" x14ac:dyDescent="0.25">
      <c r="A886" t="s">
        <v>1786</v>
      </c>
      <c r="B886" s="186" t="str">
        <f>VLOOKUP(A886,kurspris!$A$1:$B$877,2,FALSE)</f>
        <v>Examensarbete för förskollärarexamen</v>
      </c>
      <c r="C886"/>
      <c r="D886" t="s">
        <v>484</v>
      </c>
      <c r="E886" t="s">
        <v>1976</v>
      </c>
      <c r="F886" s="39" t="s">
        <v>1930</v>
      </c>
      <c r="G886" t="s">
        <v>1990</v>
      </c>
      <c r="H886" t="s">
        <v>1910</v>
      </c>
      <c r="I886"/>
      <c r="J886"/>
      <c r="K886"/>
      <c r="L886">
        <v>100</v>
      </c>
      <c r="M886">
        <v>15</v>
      </c>
      <c r="N886"/>
      <c r="O886"/>
      <c r="P886" s="31">
        <v>1</v>
      </c>
      <c r="Q886" s="232">
        <f t="shared" ref="Q886:Q947" si="496">(M886/60)*P886</f>
        <v>0.25</v>
      </c>
      <c r="R886" s="40">
        <v>0.85</v>
      </c>
      <c r="S886" s="334">
        <f t="shared" ref="S886:S947" si="497">Q886*R886</f>
        <v>0.21249999999999999</v>
      </c>
      <c r="T886" s="31">
        <f>VLOOKUP(A886,'Ansvar kurs'!$A$1:$C$1010,2,FALSE)</f>
        <v>2193</v>
      </c>
      <c r="U886" s="31" t="str">
        <f>VLOOKUP(T886,Orgenheter!$A$1:$C$165,2,FALSE)</f>
        <v xml:space="preserve">TUV </v>
      </c>
      <c r="V886" s="31" t="str">
        <f>VLOOKUP(T886,Orgenheter!$A$1:$C$165,3,FALSE)</f>
        <v>Sam</v>
      </c>
      <c r="W886" s="37" t="str">
        <f>VLOOKUP(D886,Program!$A$1:$B$34,2,FALSE)</f>
        <v>Förskollärarprogrammet</v>
      </c>
      <c r="X886" s="42">
        <f>VLOOKUP(A886,kurspris!$A$1:$Q$798,15,FALSE)</f>
        <v>18405</v>
      </c>
      <c r="Y886" s="42">
        <f>VLOOKUP(A886,kurspris!$A$1:$Q$798,16,FALSE)</f>
        <v>15773</v>
      </c>
      <c r="Z886" s="42">
        <f t="shared" ref="Z886:Z947" si="498">X886*Q886+S886*Y886</f>
        <v>7953.0124999999998</v>
      </c>
      <c r="AA886" s="42">
        <f>VLOOKUP(A886,kurspris!$A$1:$Q$798,17,FALSE)</f>
        <v>5800</v>
      </c>
      <c r="AB886" s="42">
        <f t="shared" ref="AB886:AB947" si="499">AA886*Q886</f>
        <v>1450</v>
      </c>
      <c r="AC886" s="42">
        <f t="shared" ref="AC886:AC947" si="500">Z886+AB886</f>
        <v>9403.0125000000007</v>
      </c>
      <c r="AD886" s="31">
        <f>VLOOKUP($A886,kurspris!$A$1:$Q$835,3,FALSE)</f>
        <v>0</v>
      </c>
      <c r="AE886" s="31">
        <f>VLOOKUP($A886,kurspris!$A$1:$Q$835,4,FALSE)</f>
        <v>0</v>
      </c>
      <c r="AF886" s="31">
        <f>VLOOKUP($A886,kurspris!$A$1:$Q$835,5,FALSE)</f>
        <v>0</v>
      </c>
      <c r="AG886" s="31">
        <f>VLOOKUP($A886,kurspris!$A$1:$Q$835,6,FALSE)</f>
        <v>0</v>
      </c>
      <c r="AH886" s="31">
        <f>VLOOKUP($A886,kurspris!$A$1:$Q$835,7,FALSE)</f>
        <v>0</v>
      </c>
      <c r="AI886" s="31">
        <f>VLOOKUP($A886,kurspris!$A$1:$Q$835,8,FALSE)</f>
        <v>0</v>
      </c>
      <c r="AJ886" s="31">
        <f>VLOOKUP($A886,kurspris!$A$1:$Q$835,9,FALSE)</f>
        <v>1</v>
      </c>
      <c r="AK886" s="31">
        <f>VLOOKUP($A886,kurspris!$A$1:$Q$835,10,FALSE)</f>
        <v>0</v>
      </c>
      <c r="AL886" s="31">
        <f>VLOOKUP($A886,kurspris!$A$1:$Q$835,11,FALSE)</f>
        <v>0</v>
      </c>
      <c r="AM886" s="31">
        <f>VLOOKUP($A886,kurspris!$A$1:$Q$835,12,FALSE)</f>
        <v>0</v>
      </c>
      <c r="AN886" s="31">
        <f>VLOOKUP($A886,kurspris!$A$1:$Q$835,13,FALSE)</f>
        <v>0</v>
      </c>
      <c r="AO886" s="31">
        <f>VLOOKUP($A886,kurspris!$A$1:$Q$835,14,FALSE)</f>
        <v>0</v>
      </c>
      <c r="AP886" s="39" t="s">
        <v>2204</v>
      </c>
      <c r="AQ886"/>
      <c r="AR886" s="31">
        <f t="shared" ref="AR886:AR947" si="501">$Q886*AD886</f>
        <v>0</v>
      </c>
      <c r="AS886" s="255">
        <f t="shared" ref="AS886:AS947" si="502">$S886*AD886</f>
        <v>0</v>
      </c>
      <c r="AT886" s="31">
        <f t="shared" ref="AT886:AT947" si="503">$Q886*AE886</f>
        <v>0</v>
      </c>
      <c r="AU886" s="255">
        <f t="shared" ref="AU886:AU947" si="504">$S886*AE886</f>
        <v>0</v>
      </c>
      <c r="AV886" s="31">
        <f t="shared" ref="AV886:AV947" si="505">$Q886*AF886</f>
        <v>0</v>
      </c>
      <c r="AW886" s="31">
        <f t="shared" ref="AW886:AW947" si="506">$S886*AF886</f>
        <v>0</v>
      </c>
      <c r="AX886" s="31">
        <f t="shared" ref="AX886:AX947" si="507">$Q886*AG886</f>
        <v>0</v>
      </c>
      <c r="AY886" s="255">
        <f t="shared" ref="AY886:AY947" si="508">$S886*AG886</f>
        <v>0</v>
      </c>
      <c r="AZ886" s="232">
        <f t="shared" ref="AZ886:AZ947" si="509">$Q886*AH886</f>
        <v>0</v>
      </c>
      <c r="BA886" s="255">
        <f t="shared" ref="BA886:BA947" si="510">$S886*AH886</f>
        <v>0</v>
      </c>
      <c r="BB886" s="31">
        <f t="shared" ref="BB886:BB947" si="511">$Q886*AI886</f>
        <v>0</v>
      </c>
      <c r="BC886" s="255">
        <f t="shared" ref="BC886:BC947" si="512">$S886*AI886</f>
        <v>0</v>
      </c>
      <c r="BD886" s="31">
        <f t="shared" ref="BD886:BD947" si="513">$Q886*AJ886</f>
        <v>0.25</v>
      </c>
      <c r="BE886" s="255">
        <f t="shared" ref="BE886:BE947" si="514">$S886*AJ886</f>
        <v>0.21249999999999999</v>
      </c>
      <c r="BF886" s="31">
        <f t="shared" ref="BF886:BF947" si="515">$Q886*AK886</f>
        <v>0</v>
      </c>
      <c r="BG886" s="255">
        <f t="shared" ref="BG886:BG947" si="516">$S886*AK886</f>
        <v>0</v>
      </c>
      <c r="BH886" s="31">
        <f t="shared" ref="BH886:BH947" si="517">$Q886*AL886</f>
        <v>0</v>
      </c>
      <c r="BI886" s="255">
        <f t="shared" ref="BI886:BI947" si="518">$S886*AL886</f>
        <v>0</v>
      </c>
      <c r="BJ886" s="31">
        <f t="shared" ref="BJ886:BJ947" si="519">$Q886*AM886</f>
        <v>0</v>
      </c>
      <c r="BK886" s="31">
        <f t="shared" ref="BK886:BK947" si="520">$Q886*AN886</f>
        <v>0</v>
      </c>
      <c r="BL886" s="255">
        <f t="shared" ref="BL886:BL947" si="521">$S886*AN886</f>
        <v>0</v>
      </c>
      <c r="BM886" s="31">
        <f t="shared" ref="BM886:BM947" si="522">$Q886*AO886</f>
        <v>0</v>
      </c>
      <c r="BN886" s="255">
        <f t="shared" ref="BN886:BN947" si="523">$S886*AO886</f>
        <v>0</v>
      </c>
    </row>
    <row r="887" spans="1:66" x14ac:dyDescent="0.25">
      <c r="A887" s="39" t="s">
        <v>1786</v>
      </c>
      <c r="B887" s="186" t="str">
        <f>VLOOKUP(A887,kurspris!$A$1:$B$877,2,FALSE)</f>
        <v>Examensarbete för förskollärarexamen</v>
      </c>
      <c r="C887" s="37"/>
      <c r="D887" s="59" t="s">
        <v>484</v>
      </c>
      <c r="E887" s="59" t="s">
        <v>1973</v>
      </c>
      <c r="F887" s="59" t="s">
        <v>1931</v>
      </c>
      <c r="G887" s="31" t="s">
        <v>2281</v>
      </c>
      <c r="L887" s="31">
        <v>100</v>
      </c>
      <c r="M887" s="376">
        <v>15</v>
      </c>
      <c r="N887" s="40"/>
      <c r="P887" s="377">
        <v>59</v>
      </c>
      <c r="Q887" s="232">
        <f t="shared" si="496"/>
        <v>14.75</v>
      </c>
      <c r="R887" s="40">
        <v>0.85</v>
      </c>
      <c r="S887" s="334">
        <f t="shared" si="497"/>
        <v>12.5375</v>
      </c>
      <c r="T887" s="31">
        <f>VLOOKUP(A887,'Ansvar kurs'!$A$1:$C$1010,2,FALSE)</f>
        <v>2193</v>
      </c>
      <c r="U887" s="31" t="str">
        <f>VLOOKUP(T887,Orgenheter!$A$1:$C$165,2,FALSE)</f>
        <v xml:space="preserve">TUV </v>
      </c>
      <c r="V887" s="31" t="str">
        <f>VLOOKUP(T887,Orgenheter!$A$1:$C$165,3,FALSE)</f>
        <v>Sam</v>
      </c>
      <c r="W887" s="37" t="str">
        <f>VLOOKUP(D887,Program!$A$1:$B$34,2,FALSE)</f>
        <v>Förskollärarprogrammet</v>
      </c>
      <c r="X887" s="42">
        <f>VLOOKUP(A887,kurspris!$A$1:$Q$798,15,FALSE)</f>
        <v>18405</v>
      </c>
      <c r="Y887" s="42">
        <f>VLOOKUP(A887,kurspris!$A$1:$Q$798,16,FALSE)</f>
        <v>15773</v>
      </c>
      <c r="Z887" s="42">
        <f t="shared" si="498"/>
        <v>469227.73749999999</v>
      </c>
      <c r="AA887" s="42">
        <f>VLOOKUP(A887,kurspris!$A$1:$Q$798,17,FALSE)</f>
        <v>5800</v>
      </c>
      <c r="AB887" s="42">
        <f t="shared" si="499"/>
        <v>85550</v>
      </c>
      <c r="AC887" s="42">
        <f t="shared" si="500"/>
        <v>554777.73750000005</v>
      </c>
      <c r="AD887" s="31">
        <f>VLOOKUP($A887,kurspris!$A$1:$Q$835,3,FALSE)</f>
        <v>0</v>
      </c>
      <c r="AE887" s="31">
        <f>VLOOKUP($A887,kurspris!$A$1:$Q$835,4,FALSE)</f>
        <v>0</v>
      </c>
      <c r="AF887" s="31">
        <f>VLOOKUP($A887,kurspris!$A$1:$Q$835,5,FALSE)</f>
        <v>0</v>
      </c>
      <c r="AG887" s="31">
        <f>VLOOKUP($A887,kurspris!$A$1:$Q$835,6,FALSE)</f>
        <v>0</v>
      </c>
      <c r="AH887" s="31">
        <f>VLOOKUP($A887,kurspris!$A$1:$Q$835,7,FALSE)</f>
        <v>0</v>
      </c>
      <c r="AI887" s="31">
        <f>VLOOKUP($A887,kurspris!$A$1:$Q$835,8,FALSE)</f>
        <v>0</v>
      </c>
      <c r="AJ887" s="31">
        <f>VLOOKUP($A887,kurspris!$A$1:$Q$835,9,FALSE)</f>
        <v>1</v>
      </c>
      <c r="AK887" s="31">
        <f>VLOOKUP($A887,kurspris!$A$1:$Q$835,10,FALSE)</f>
        <v>0</v>
      </c>
      <c r="AL887" s="31">
        <f>VLOOKUP($A887,kurspris!$A$1:$Q$835,11,FALSE)</f>
        <v>0</v>
      </c>
      <c r="AM887" s="31">
        <f>VLOOKUP($A887,kurspris!$A$1:$Q$835,12,FALSE)</f>
        <v>0</v>
      </c>
      <c r="AN887" s="31">
        <f>VLOOKUP($A887,kurspris!$A$1:$Q$835,13,FALSE)</f>
        <v>0</v>
      </c>
      <c r="AO887" s="31">
        <f>VLOOKUP($A887,kurspris!$A$1:$Q$835,14,FALSE)</f>
        <v>0</v>
      </c>
      <c r="AP887" s="39" t="s">
        <v>2326</v>
      </c>
      <c r="AQ887"/>
      <c r="AR887" s="31">
        <f t="shared" si="501"/>
        <v>0</v>
      </c>
      <c r="AS887" s="255">
        <f t="shared" si="502"/>
        <v>0</v>
      </c>
      <c r="AT887" s="31">
        <f t="shared" si="503"/>
        <v>0</v>
      </c>
      <c r="AU887" s="255">
        <f t="shared" si="504"/>
        <v>0</v>
      </c>
      <c r="AV887" s="31">
        <f t="shared" si="505"/>
        <v>0</v>
      </c>
      <c r="AW887" s="31">
        <f t="shared" si="506"/>
        <v>0</v>
      </c>
      <c r="AX887" s="31">
        <f t="shared" si="507"/>
        <v>0</v>
      </c>
      <c r="AY887" s="255">
        <f t="shared" si="508"/>
        <v>0</v>
      </c>
      <c r="AZ887" s="232">
        <f t="shared" si="509"/>
        <v>0</v>
      </c>
      <c r="BA887" s="255">
        <f t="shared" si="510"/>
        <v>0</v>
      </c>
      <c r="BB887" s="31">
        <f t="shared" si="511"/>
        <v>0</v>
      </c>
      <c r="BC887" s="255">
        <f t="shared" si="512"/>
        <v>0</v>
      </c>
      <c r="BD887" s="31">
        <f t="shared" si="513"/>
        <v>14.75</v>
      </c>
      <c r="BE887" s="255">
        <f t="shared" si="514"/>
        <v>12.5375</v>
      </c>
      <c r="BF887" s="31">
        <f t="shared" si="515"/>
        <v>0</v>
      </c>
      <c r="BG887" s="255">
        <f t="shared" si="516"/>
        <v>0</v>
      </c>
      <c r="BH887" s="31">
        <f t="shared" si="517"/>
        <v>0</v>
      </c>
      <c r="BI887" s="255">
        <f t="shared" si="518"/>
        <v>0</v>
      </c>
      <c r="BJ887" s="31">
        <f t="shared" si="519"/>
        <v>0</v>
      </c>
      <c r="BK887" s="31">
        <f t="shared" si="520"/>
        <v>0</v>
      </c>
      <c r="BL887" s="255">
        <f t="shared" si="521"/>
        <v>0</v>
      </c>
      <c r="BM887" s="31">
        <f t="shared" si="522"/>
        <v>0</v>
      </c>
      <c r="BN887" s="255">
        <f t="shared" si="523"/>
        <v>0</v>
      </c>
    </row>
    <row r="888" spans="1:66" x14ac:dyDescent="0.25">
      <c r="A888" t="s">
        <v>1786</v>
      </c>
      <c r="B888" s="186" t="str">
        <f>VLOOKUP(A888,kurspris!$A$1:$B$877,2,FALSE)</f>
        <v>Examensarbete för förskollärarexamen</v>
      </c>
      <c r="C888"/>
      <c r="D888" t="s">
        <v>484</v>
      </c>
      <c r="E888" t="s">
        <v>1974</v>
      </c>
      <c r="F888" s="39" t="s">
        <v>1930</v>
      </c>
      <c r="G888" t="s">
        <v>1990</v>
      </c>
      <c r="H888" t="s">
        <v>1910</v>
      </c>
      <c r="I888"/>
      <c r="J888"/>
      <c r="K888"/>
      <c r="L888">
        <v>100</v>
      </c>
      <c r="M888">
        <v>15</v>
      </c>
      <c r="N888"/>
      <c r="O888"/>
      <c r="P888" s="31">
        <v>22</v>
      </c>
      <c r="Q888" s="232">
        <f t="shared" si="496"/>
        <v>5.5</v>
      </c>
      <c r="R888" s="40">
        <v>0.85</v>
      </c>
      <c r="S888" s="334">
        <f t="shared" si="497"/>
        <v>4.6749999999999998</v>
      </c>
      <c r="T888" s="31">
        <f>VLOOKUP(A888,'Ansvar kurs'!$A$1:$C$1010,2,FALSE)</f>
        <v>2193</v>
      </c>
      <c r="U888" s="31" t="str">
        <f>VLOOKUP(T888,Orgenheter!$A$1:$C$165,2,FALSE)</f>
        <v xml:space="preserve">TUV </v>
      </c>
      <c r="V888" s="31" t="str">
        <f>VLOOKUP(T888,Orgenheter!$A$1:$C$165,3,FALSE)</f>
        <v>Sam</v>
      </c>
      <c r="W888" s="37" t="str">
        <f>VLOOKUP(D888,Program!$A$1:$B$34,2,FALSE)</f>
        <v>Förskollärarprogrammet</v>
      </c>
      <c r="X888" s="42">
        <f>VLOOKUP(A888,kurspris!$A$1:$Q$798,15,FALSE)</f>
        <v>18405</v>
      </c>
      <c r="Y888" s="42">
        <f>VLOOKUP(A888,kurspris!$A$1:$Q$798,16,FALSE)</f>
        <v>15773</v>
      </c>
      <c r="Z888" s="42">
        <f t="shared" si="498"/>
        <v>174966.27499999999</v>
      </c>
      <c r="AA888" s="42">
        <f>VLOOKUP(A888,kurspris!$A$1:$Q$798,17,FALSE)</f>
        <v>5800</v>
      </c>
      <c r="AB888" s="42">
        <f t="shared" si="499"/>
        <v>31900</v>
      </c>
      <c r="AC888" s="42">
        <f t="shared" si="500"/>
        <v>206866.27499999999</v>
      </c>
      <c r="AD888" s="31">
        <f>VLOOKUP($A888,kurspris!$A$1:$Q$835,3,FALSE)</f>
        <v>0</v>
      </c>
      <c r="AE888" s="31">
        <f>VLOOKUP($A888,kurspris!$A$1:$Q$835,4,FALSE)</f>
        <v>0</v>
      </c>
      <c r="AF888" s="31">
        <f>VLOOKUP($A888,kurspris!$A$1:$Q$835,5,FALSE)</f>
        <v>0</v>
      </c>
      <c r="AG888" s="31">
        <f>VLOOKUP($A888,kurspris!$A$1:$Q$835,6,FALSE)</f>
        <v>0</v>
      </c>
      <c r="AH888" s="31">
        <f>VLOOKUP($A888,kurspris!$A$1:$Q$835,7,FALSE)</f>
        <v>0</v>
      </c>
      <c r="AI888" s="31">
        <f>VLOOKUP($A888,kurspris!$A$1:$Q$835,8,FALSE)</f>
        <v>0</v>
      </c>
      <c r="AJ888" s="31">
        <f>VLOOKUP($A888,kurspris!$A$1:$Q$835,9,FALSE)</f>
        <v>1</v>
      </c>
      <c r="AK888" s="31">
        <f>VLOOKUP($A888,kurspris!$A$1:$Q$835,10,FALSE)</f>
        <v>0</v>
      </c>
      <c r="AL888" s="31">
        <f>VLOOKUP($A888,kurspris!$A$1:$Q$835,11,FALSE)</f>
        <v>0</v>
      </c>
      <c r="AM888" s="31">
        <f>VLOOKUP($A888,kurspris!$A$1:$Q$835,12,FALSE)</f>
        <v>0</v>
      </c>
      <c r="AN888" s="31">
        <f>VLOOKUP($A888,kurspris!$A$1:$Q$835,13,FALSE)</f>
        <v>0</v>
      </c>
      <c r="AO888" s="31">
        <f>VLOOKUP($A888,kurspris!$A$1:$Q$835,14,FALSE)</f>
        <v>0</v>
      </c>
      <c r="AP888" s="39" t="s">
        <v>2204</v>
      </c>
      <c r="AQ888"/>
      <c r="AR888" s="31">
        <f t="shared" si="501"/>
        <v>0</v>
      </c>
      <c r="AS888" s="255">
        <f t="shared" si="502"/>
        <v>0</v>
      </c>
      <c r="AT888" s="31">
        <f t="shared" si="503"/>
        <v>0</v>
      </c>
      <c r="AU888" s="255">
        <f t="shared" si="504"/>
        <v>0</v>
      </c>
      <c r="AV888" s="31">
        <f t="shared" si="505"/>
        <v>0</v>
      </c>
      <c r="AW888" s="31">
        <f t="shared" si="506"/>
        <v>0</v>
      </c>
      <c r="AX888" s="31">
        <f t="shared" si="507"/>
        <v>0</v>
      </c>
      <c r="AY888" s="255">
        <f t="shared" si="508"/>
        <v>0</v>
      </c>
      <c r="AZ888" s="232">
        <f t="shared" si="509"/>
        <v>0</v>
      </c>
      <c r="BA888" s="255">
        <f t="shared" si="510"/>
        <v>0</v>
      </c>
      <c r="BB888" s="31">
        <f t="shared" si="511"/>
        <v>0</v>
      </c>
      <c r="BC888" s="255">
        <f t="shared" si="512"/>
        <v>0</v>
      </c>
      <c r="BD888" s="31">
        <f t="shared" si="513"/>
        <v>5.5</v>
      </c>
      <c r="BE888" s="255">
        <f t="shared" si="514"/>
        <v>4.6749999999999998</v>
      </c>
      <c r="BF888" s="31">
        <f t="shared" si="515"/>
        <v>0</v>
      </c>
      <c r="BG888" s="255">
        <f t="shared" si="516"/>
        <v>0</v>
      </c>
      <c r="BH888" s="31">
        <f t="shared" si="517"/>
        <v>0</v>
      </c>
      <c r="BI888" s="255">
        <f t="shared" si="518"/>
        <v>0</v>
      </c>
      <c r="BJ888" s="31">
        <f t="shared" si="519"/>
        <v>0</v>
      </c>
      <c r="BK888" s="31">
        <f t="shared" si="520"/>
        <v>0</v>
      </c>
      <c r="BL888" s="255">
        <f t="shared" si="521"/>
        <v>0</v>
      </c>
      <c r="BM888" s="31">
        <f t="shared" si="522"/>
        <v>0</v>
      </c>
      <c r="BN888" s="255">
        <f t="shared" si="523"/>
        <v>0</v>
      </c>
    </row>
    <row r="889" spans="1:66" x14ac:dyDescent="0.25">
      <c r="A889" t="s">
        <v>1786</v>
      </c>
      <c r="B889" s="186" t="str">
        <f>VLOOKUP(A889,kurspris!$A$1:$B$877,2,FALSE)</f>
        <v>Examensarbete för förskollärarexamen</v>
      </c>
      <c r="C889"/>
      <c r="D889" t="s">
        <v>484</v>
      </c>
      <c r="E889" t="s">
        <v>1974</v>
      </c>
      <c r="F889" s="39" t="s">
        <v>1930</v>
      </c>
      <c r="G889" t="s">
        <v>1990</v>
      </c>
      <c r="H889" t="s">
        <v>1910</v>
      </c>
      <c r="I889"/>
      <c r="J889"/>
      <c r="K889"/>
      <c r="L889">
        <v>100</v>
      </c>
      <c r="M889">
        <v>15</v>
      </c>
      <c r="N889"/>
      <c r="O889"/>
      <c r="P889" s="31">
        <v>1</v>
      </c>
      <c r="Q889" s="232">
        <f t="shared" si="496"/>
        <v>0.25</v>
      </c>
      <c r="R889" s="40">
        <v>0.85</v>
      </c>
      <c r="S889" s="334">
        <f t="shared" si="497"/>
        <v>0.21249999999999999</v>
      </c>
      <c r="T889" s="31">
        <f>VLOOKUP(A889,'Ansvar kurs'!$A$1:$C$1010,2,FALSE)</f>
        <v>2193</v>
      </c>
      <c r="U889" s="31" t="str">
        <f>VLOOKUP(T889,Orgenheter!$A$1:$C$165,2,FALSE)</f>
        <v xml:space="preserve">TUV </v>
      </c>
      <c r="V889" s="31" t="str">
        <f>VLOOKUP(T889,Orgenheter!$A$1:$C$165,3,FALSE)</f>
        <v>Sam</v>
      </c>
      <c r="W889" s="37" t="str">
        <f>VLOOKUP(D889,Program!$A$1:$B$34,2,FALSE)</f>
        <v>Förskollärarprogrammet</v>
      </c>
      <c r="X889" s="42">
        <f>VLOOKUP(A889,kurspris!$A$1:$Q$798,15,FALSE)</f>
        <v>18405</v>
      </c>
      <c r="Y889" s="42">
        <f>VLOOKUP(A889,kurspris!$A$1:$Q$798,16,FALSE)</f>
        <v>15773</v>
      </c>
      <c r="Z889" s="42">
        <f t="shared" si="498"/>
        <v>7953.0124999999998</v>
      </c>
      <c r="AA889" s="42">
        <f>VLOOKUP(A889,kurspris!$A$1:$Q$798,17,FALSE)</f>
        <v>5800</v>
      </c>
      <c r="AB889" s="42">
        <f t="shared" si="499"/>
        <v>1450</v>
      </c>
      <c r="AC889" s="42">
        <f t="shared" si="500"/>
        <v>9403.0125000000007</v>
      </c>
      <c r="AD889" s="31">
        <f>VLOOKUP($A889,kurspris!$A$1:$Q$835,3,FALSE)</f>
        <v>0</v>
      </c>
      <c r="AE889" s="31">
        <f>VLOOKUP($A889,kurspris!$A$1:$Q$835,4,FALSE)</f>
        <v>0</v>
      </c>
      <c r="AF889" s="31">
        <f>VLOOKUP($A889,kurspris!$A$1:$Q$835,5,FALSE)</f>
        <v>0</v>
      </c>
      <c r="AG889" s="31">
        <f>VLOOKUP($A889,kurspris!$A$1:$Q$835,6,FALSE)</f>
        <v>0</v>
      </c>
      <c r="AH889" s="31">
        <f>VLOOKUP($A889,kurspris!$A$1:$Q$835,7,FALSE)</f>
        <v>0</v>
      </c>
      <c r="AI889" s="31">
        <f>VLOOKUP($A889,kurspris!$A$1:$Q$835,8,FALSE)</f>
        <v>0</v>
      </c>
      <c r="AJ889" s="31">
        <f>VLOOKUP($A889,kurspris!$A$1:$Q$835,9,FALSE)</f>
        <v>1</v>
      </c>
      <c r="AK889" s="31">
        <f>VLOOKUP($A889,kurspris!$A$1:$Q$835,10,FALSE)</f>
        <v>0</v>
      </c>
      <c r="AL889" s="31">
        <f>VLOOKUP($A889,kurspris!$A$1:$Q$835,11,FALSE)</f>
        <v>0</v>
      </c>
      <c r="AM889" s="31">
        <f>VLOOKUP($A889,kurspris!$A$1:$Q$835,12,FALSE)</f>
        <v>0</v>
      </c>
      <c r="AN889" s="31">
        <f>VLOOKUP($A889,kurspris!$A$1:$Q$835,13,FALSE)</f>
        <v>0</v>
      </c>
      <c r="AO889" s="31">
        <f>VLOOKUP($A889,kurspris!$A$1:$Q$835,14,FALSE)</f>
        <v>0</v>
      </c>
      <c r="AP889" s="39" t="s">
        <v>2204</v>
      </c>
      <c r="AQ889"/>
      <c r="AR889" s="31">
        <f t="shared" si="501"/>
        <v>0</v>
      </c>
      <c r="AS889" s="255">
        <f t="shared" si="502"/>
        <v>0</v>
      </c>
      <c r="AT889" s="31">
        <f t="shared" si="503"/>
        <v>0</v>
      </c>
      <c r="AU889" s="255">
        <f t="shared" si="504"/>
        <v>0</v>
      </c>
      <c r="AV889" s="31">
        <f t="shared" si="505"/>
        <v>0</v>
      </c>
      <c r="AW889" s="31">
        <f t="shared" si="506"/>
        <v>0</v>
      </c>
      <c r="AX889" s="31">
        <f t="shared" si="507"/>
        <v>0</v>
      </c>
      <c r="AY889" s="255">
        <f t="shared" si="508"/>
        <v>0</v>
      </c>
      <c r="AZ889" s="232">
        <f t="shared" si="509"/>
        <v>0</v>
      </c>
      <c r="BA889" s="255">
        <f t="shared" si="510"/>
        <v>0</v>
      </c>
      <c r="BB889" s="31">
        <f t="shared" si="511"/>
        <v>0</v>
      </c>
      <c r="BC889" s="255">
        <f t="shared" si="512"/>
        <v>0</v>
      </c>
      <c r="BD889" s="31">
        <f t="shared" si="513"/>
        <v>0.25</v>
      </c>
      <c r="BE889" s="255">
        <f t="shared" si="514"/>
        <v>0.21249999999999999</v>
      </c>
      <c r="BF889" s="31">
        <f t="shared" si="515"/>
        <v>0</v>
      </c>
      <c r="BG889" s="255">
        <f t="shared" si="516"/>
        <v>0</v>
      </c>
      <c r="BH889" s="31">
        <f t="shared" si="517"/>
        <v>0</v>
      </c>
      <c r="BI889" s="255">
        <f t="shared" si="518"/>
        <v>0</v>
      </c>
      <c r="BJ889" s="31">
        <f t="shared" si="519"/>
        <v>0</v>
      </c>
      <c r="BK889" s="31">
        <f t="shared" si="520"/>
        <v>0</v>
      </c>
      <c r="BL889" s="255">
        <f t="shared" si="521"/>
        <v>0</v>
      </c>
      <c r="BM889" s="31">
        <f t="shared" si="522"/>
        <v>0</v>
      </c>
      <c r="BN889" s="255">
        <f t="shared" si="523"/>
        <v>0</v>
      </c>
    </row>
    <row r="890" spans="1:66" x14ac:dyDescent="0.25">
      <c r="A890" s="18" t="s">
        <v>1786</v>
      </c>
      <c r="B890" s="186" t="str">
        <f>VLOOKUP(A890,kurspris!$A$1:$B$877,2,FALSE)</f>
        <v>Examensarbete för förskollärarexamen</v>
      </c>
      <c r="C890" s="37"/>
      <c r="D890" s="31" t="s">
        <v>484</v>
      </c>
      <c r="E890" s="31" t="s">
        <v>1974</v>
      </c>
      <c r="F890" s="59" t="s">
        <v>1931</v>
      </c>
      <c r="G890" s="31" t="s">
        <v>2281</v>
      </c>
      <c r="L890" s="31">
        <v>100</v>
      </c>
      <c r="M890" s="31">
        <v>15</v>
      </c>
      <c r="P890" s="31">
        <v>3</v>
      </c>
      <c r="Q890" s="232">
        <f t="shared" si="496"/>
        <v>0.75</v>
      </c>
      <c r="R890" s="40">
        <v>0.85</v>
      </c>
      <c r="S890" s="334">
        <f t="shared" si="497"/>
        <v>0.63749999999999996</v>
      </c>
      <c r="T890" s="31">
        <f>VLOOKUP(A890,'Ansvar kurs'!$A$1:$C$1010,2,FALSE)</f>
        <v>2193</v>
      </c>
      <c r="U890" s="31" t="str">
        <f>VLOOKUP(T890,Orgenheter!$A$1:$C$165,2,FALSE)</f>
        <v xml:space="preserve">TUV </v>
      </c>
      <c r="V890" s="31" t="str">
        <f>VLOOKUP(T890,Orgenheter!$A$1:$C$165,3,FALSE)</f>
        <v>Sam</v>
      </c>
      <c r="W890" s="37" t="str">
        <f>VLOOKUP(D890,Program!$A$1:$B$34,2,FALSE)</f>
        <v>Förskollärarprogrammet</v>
      </c>
      <c r="X890" s="42">
        <f>VLOOKUP(A890,kurspris!$A$1:$Q$798,15,FALSE)</f>
        <v>18405</v>
      </c>
      <c r="Y890" s="42">
        <f>VLOOKUP(A890,kurspris!$A$1:$Q$798,16,FALSE)</f>
        <v>15773</v>
      </c>
      <c r="Z890" s="42">
        <f t="shared" si="498"/>
        <v>23859.037499999999</v>
      </c>
      <c r="AA890" s="42">
        <f>VLOOKUP(A890,kurspris!$A$1:$Q$798,17,FALSE)</f>
        <v>5800</v>
      </c>
      <c r="AB890" s="42">
        <f t="shared" si="499"/>
        <v>4350</v>
      </c>
      <c r="AC890" s="42">
        <f t="shared" si="500"/>
        <v>28209.037499999999</v>
      </c>
      <c r="AD890" s="31">
        <f>VLOOKUP($A890,kurspris!$A$1:$Q$835,3,FALSE)</f>
        <v>0</v>
      </c>
      <c r="AE890" s="31">
        <f>VLOOKUP($A890,kurspris!$A$1:$Q$835,4,FALSE)</f>
        <v>0</v>
      </c>
      <c r="AF890" s="31">
        <f>VLOOKUP($A890,kurspris!$A$1:$Q$835,5,FALSE)</f>
        <v>0</v>
      </c>
      <c r="AG890" s="31">
        <f>VLOOKUP($A890,kurspris!$A$1:$Q$835,6,FALSE)</f>
        <v>0</v>
      </c>
      <c r="AH890" s="31">
        <f>VLOOKUP($A890,kurspris!$A$1:$Q$835,7,FALSE)</f>
        <v>0</v>
      </c>
      <c r="AI890" s="31">
        <f>VLOOKUP($A890,kurspris!$A$1:$Q$835,8,FALSE)</f>
        <v>0</v>
      </c>
      <c r="AJ890" s="31">
        <f>VLOOKUP($A890,kurspris!$A$1:$Q$835,9,FALSE)</f>
        <v>1</v>
      </c>
      <c r="AK890" s="31">
        <f>VLOOKUP($A890,kurspris!$A$1:$Q$835,10,FALSE)</f>
        <v>0</v>
      </c>
      <c r="AL890" s="31">
        <f>VLOOKUP($A890,kurspris!$A$1:$Q$835,11,FALSE)</f>
        <v>0</v>
      </c>
      <c r="AM890" s="31">
        <f>VLOOKUP($A890,kurspris!$A$1:$Q$835,12,FALSE)</f>
        <v>0</v>
      </c>
      <c r="AN890" s="31">
        <f>VLOOKUP($A890,kurspris!$A$1:$Q$835,13,FALSE)</f>
        <v>0</v>
      </c>
      <c r="AO890" s="31">
        <f>VLOOKUP($A890,kurspris!$A$1:$Q$835,14,FALSE)</f>
        <v>0</v>
      </c>
      <c r="AP890" s="39" t="s">
        <v>2326</v>
      </c>
      <c r="AQ890"/>
      <c r="AR890" s="31">
        <f t="shared" si="501"/>
        <v>0</v>
      </c>
      <c r="AS890" s="255">
        <f t="shared" si="502"/>
        <v>0</v>
      </c>
      <c r="AT890" s="31">
        <f t="shared" si="503"/>
        <v>0</v>
      </c>
      <c r="AU890" s="255">
        <f t="shared" si="504"/>
        <v>0</v>
      </c>
      <c r="AV890" s="31">
        <f t="shared" si="505"/>
        <v>0</v>
      </c>
      <c r="AW890" s="31">
        <f t="shared" si="506"/>
        <v>0</v>
      </c>
      <c r="AX890" s="31">
        <f t="shared" si="507"/>
        <v>0</v>
      </c>
      <c r="AY890" s="255">
        <f t="shared" si="508"/>
        <v>0</v>
      </c>
      <c r="AZ890" s="232">
        <f t="shared" si="509"/>
        <v>0</v>
      </c>
      <c r="BA890" s="255">
        <f t="shared" si="510"/>
        <v>0</v>
      </c>
      <c r="BB890" s="31">
        <f t="shared" si="511"/>
        <v>0</v>
      </c>
      <c r="BC890" s="255">
        <f t="shared" si="512"/>
        <v>0</v>
      </c>
      <c r="BD890" s="31">
        <f t="shared" si="513"/>
        <v>0.75</v>
      </c>
      <c r="BE890" s="255">
        <f t="shared" si="514"/>
        <v>0.63749999999999996</v>
      </c>
      <c r="BF890" s="31">
        <f t="shared" si="515"/>
        <v>0</v>
      </c>
      <c r="BG890" s="255">
        <f t="shared" si="516"/>
        <v>0</v>
      </c>
      <c r="BH890" s="31">
        <f t="shared" si="517"/>
        <v>0</v>
      </c>
      <c r="BI890" s="255">
        <f t="shared" si="518"/>
        <v>0</v>
      </c>
      <c r="BJ890" s="31">
        <f t="shared" si="519"/>
        <v>0</v>
      </c>
      <c r="BK890" s="31">
        <f t="shared" si="520"/>
        <v>0</v>
      </c>
      <c r="BL890" s="255">
        <f t="shared" si="521"/>
        <v>0</v>
      </c>
      <c r="BM890" s="31">
        <f t="shared" si="522"/>
        <v>0</v>
      </c>
      <c r="BN890" s="255">
        <f t="shared" si="523"/>
        <v>0</v>
      </c>
    </row>
    <row r="891" spans="1:66" x14ac:dyDescent="0.25">
      <c r="A891" t="s">
        <v>1786</v>
      </c>
      <c r="B891" s="186" t="str">
        <f>VLOOKUP(A891,kurspris!$A$1:$B$877,2,FALSE)</f>
        <v>Examensarbete för förskollärarexamen</v>
      </c>
      <c r="C891"/>
      <c r="D891" t="s">
        <v>484</v>
      </c>
      <c r="E891" t="s">
        <v>1608</v>
      </c>
      <c r="F891" s="39" t="s">
        <v>1930</v>
      </c>
      <c r="G891" t="s">
        <v>1990</v>
      </c>
      <c r="H891" t="s">
        <v>1910</v>
      </c>
      <c r="I891"/>
      <c r="J891"/>
      <c r="K891"/>
      <c r="L891">
        <v>100</v>
      </c>
      <c r="M891">
        <v>15</v>
      </c>
      <c r="N891"/>
      <c r="O891"/>
      <c r="P891" s="31">
        <v>1</v>
      </c>
      <c r="Q891" s="232">
        <f t="shared" si="496"/>
        <v>0.25</v>
      </c>
      <c r="R891" s="40">
        <v>0.85</v>
      </c>
      <c r="S891" s="334">
        <f t="shared" si="497"/>
        <v>0.21249999999999999</v>
      </c>
      <c r="T891" s="31">
        <f>VLOOKUP(A891,'Ansvar kurs'!$A$1:$C$1010,2,FALSE)</f>
        <v>2193</v>
      </c>
      <c r="U891" s="31" t="str">
        <f>VLOOKUP(T891,Orgenheter!$A$1:$C$165,2,FALSE)</f>
        <v xml:space="preserve">TUV </v>
      </c>
      <c r="V891" s="31" t="str">
        <f>VLOOKUP(T891,Orgenheter!$A$1:$C$165,3,FALSE)</f>
        <v>Sam</v>
      </c>
      <c r="W891" s="37" t="str">
        <f>VLOOKUP(D891,Program!$A$1:$B$34,2,FALSE)</f>
        <v>Förskollärarprogrammet</v>
      </c>
      <c r="X891" s="42">
        <f>VLOOKUP(A891,kurspris!$A$1:$Q$798,15,FALSE)</f>
        <v>18405</v>
      </c>
      <c r="Y891" s="42">
        <f>VLOOKUP(A891,kurspris!$A$1:$Q$798,16,FALSE)</f>
        <v>15773</v>
      </c>
      <c r="Z891" s="42">
        <f t="shared" si="498"/>
        <v>7953.0124999999998</v>
      </c>
      <c r="AA891" s="42">
        <f>VLOOKUP(A891,kurspris!$A$1:$Q$798,17,FALSE)</f>
        <v>5800</v>
      </c>
      <c r="AB891" s="42">
        <f t="shared" si="499"/>
        <v>1450</v>
      </c>
      <c r="AC891" s="42">
        <f t="shared" si="500"/>
        <v>9403.0125000000007</v>
      </c>
      <c r="AD891" s="31">
        <f>VLOOKUP($A891,kurspris!$A$1:$Q$835,3,FALSE)</f>
        <v>0</v>
      </c>
      <c r="AE891" s="31">
        <f>VLOOKUP($A891,kurspris!$A$1:$Q$835,4,FALSE)</f>
        <v>0</v>
      </c>
      <c r="AF891" s="31">
        <f>VLOOKUP($A891,kurspris!$A$1:$Q$835,5,FALSE)</f>
        <v>0</v>
      </c>
      <c r="AG891" s="31">
        <f>VLOOKUP($A891,kurspris!$A$1:$Q$835,6,FALSE)</f>
        <v>0</v>
      </c>
      <c r="AH891" s="31">
        <f>VLOOKUP($A891,kurspris!$A$1:$Q$835,7,FALSE)</f>
        <v>0</v>
      </c>
      <c r="AI891" s="31">
        <f>VLOOKUP($A891,kurspris!$A$1:$Q$835,8,FALSE)</f>
        <v>0</v>
      </c>
      <c r="AJ891" s="31">
        <f>VLOOKUP($A891,kurspris!$A$1:$Q$835,9,FALSE)</f>
        <v>1</v>
      </c>
      <c r="AK891" s="31">
        <f>VLOOKUP($A891,kurspris!$A$1:$Q$835,10,FALSE)</f>
        <v>0</v>
      </c>
      <c r="AL891" s="31">
        <f>VLOOKUP($A891,kurspris!$A$1:$Q$835,11,FALSE)</f>
        <v>0</v>
      </c>
      <c r="AM891" s="31">
        <f>VLOOKUP($A891,kurspris!$A$1:$Q$835,12,FALSE)</f>
        <v>0</v>
      </c>
      <c r="AN891" s="31">
        <f>VLOOKUP($A891,kurspris!$A$1:$Q$835,13,FALSE)</f>
        <v>0</v>
      </c>
      <c r="AO891" s="31">
        <f>VLOOKUP($A891,kurspris!$A$1:$Q$835,14,FALSE)</f>
        <v>0</v>
      </c>
      <c r="AP891" s="39" t="s">
        <v>2204</v>
      </c>
      <c r="AQ891"/>
      <c r="AR891" s="31">
        <f t="shared" si="501"/>
        <v>0</v>
      </c>
      <c r="AS891" s="255">
        <f t="shared" si="502"/>
        <v>0</v>
      </c>
      <c r="AT891" s="31">
        <f t="shared" si="503"/>
        <v>0</v>
      </c>
      <c r="AU891" s="255">
        <f t="shared" si="504"/>
        <v>0</v>
      </c>
      <c r="AV891" s="31">
        <f t="shared" si="505"/>
        <v>0</v>
      </c>
      <c r="AW891" s="31">
        <f t="shared" si="506"/>
        <v>0</v>
      </c>
      <c r="AX891" s="31">
        <f t="shared" si="507"/>
        <v>0</v>
      </c>
      <c r="AY891" s="255">
        <f t="shared" si="508"/>
        <v>0</v>
      </c>
      <c r="AZ891" s="232">
        <f t="shared" si="509"/>
        <v>0</v>
      </c>
      <c r="BA891" s="255">
        <f t="shared" si="510"/>
        <v>0</v>
      </c>
      <c r="BB891" s="31">
        <f t="shared" si="511"/>
        <v>0</v>
      </c>
      <c r="BC891" s="255">
        <f t="shared" si="512"/>
        <v>0</v>
      </c>
      <c r="BD891" s="31">
        <f t="shared" si="513"/>
        <v>0.25</v>
      </c>
      <c r="BE891" s="255">
        <f t="shared" si="514"/>
        <v>0.21249999999999999</v>
      </c>
      <c r="BF891" s="31">
        <f t="shared" si="515"/>
        <v>0</v>
      </c>
      <c r="BG891" s="255">
        <f t="shared" si="516"/>
        <v>0</v>
      </c>
      <c r="BH891" s="31">
        <f t="shared" si="517"/>
        <v>0</v>
      </c>
      <c r="BI891" s="255">
        <f t="shared" si="518"/>
        <v>0</v>
      </c>
      <c r="BJ891" s="31">
        <f t="shared" si="519"/>
        <v>0</v>
      </c>
      <c r="BK891" s="31">
        <f t="shared" si="520"/>
        <v>0</v>
      </c>
      <c r="BL891" s="255">
        <f t="shared" si="521"/>
        <v>0</v>
      </c>
      <c r="BM891" s="31">
        <f t="shared" si="522"/>
        <v>0</v>
      </c>
      <c r="BN891" s="255">
        <f t="shared" si="523"/>
        <v>0</v>
      </c>
    </row>
    <row r="892" spans="1:66" x14ac:dyDescent="0.25">
      <c r="A892" s="18" t="s">
        <v>1765</v>
      </c>
      <c r="B892" s="186" t="str">
        <f>VLOOKUP(A892,kurspris!$A$1:$B$877,2,FALSE)</f>
        <v>Kunskap, undervisning och lärande 2</v>
      </c>
      <c r="C892" s="37"/>
      <c r="D892" s="31" t="s">
        <v>629</v>
      </c>
      <c r="E892" s="31" t="s">
        <v>1788</v>
      </c>
      <c r="F892" s="59" t="s">
        <v>1931</v>
      </c>
      <c r="G892" s="31" t="s">
        <v>2276</v>
      </c>
      <c r="J892" t="s">
        <v>2303</v>
      </c>
      <c r="L892" s="31">
        <v>50</v>
      </c>
      <c r="M892" s="31">
        <v>15</v>
      </c>
      <c r="P892" s="31">
        <v>14</v>
      </c>
      <c r="Q892" s="232">
        <f t="shared" si="496"/>
        <v>3.5</v>
      </c>
      <c r="R892" s="40">
        <v>0.85</v>
      </c>
      <c r="S892" s="334">
        <f t="shared" si="497"/>
        <v>2.9750000000000001</v>
      </c>
      <c r="T892" s="31">
        <f>VLOOKUP(A892,'Ansvar kurs'!$A$1:$C$1010,2,FALSE)</f>
        <v>5740</v>
      </c>
      <c r="U892" s="31" t="str">
        <f>VLOOKUP(T892,Orgenheter!$A$1:$C$165,2,FALSE)</f>
        <v>NMD</v>
      </c>
      <c r="V892" s="31" t="str">
        <f>VLOOKUP(T892,Orgenheter!$A$1:$C$165,3,FALSE)</f>
        <v>TekNat</v>
      </c>
      <c r="W892" s="37" t="str">
        <f>VLOOKUP(D892,Program!$A$1:$B$34,2,FALSE)</f>
        <v>KPU - åk 7-9</v>
      </c>
      <c r="X892" s="42">
        <f>VLOOKUP(A892,kurspris!$A$1:$Q$798,15,FALSE)</f>
        <v>23641</v>
      </c>
      <c r="Y892" s="42">
        <f>VLOOKUP(A892,kurspris!$A$1:$Q$798,16,FALSE)</f>
        <v>28786</v>
      </c>
      <c r="Z892" s="42">
        <f t="shared" si="498"/>
        <v>168381.85</v>
      </c>
      <c r="AA892" s="42">
        <f>VLOOKUP(A892,kurspris!$A$1:$Q$798,17,FALSE)</f>
        <v>5800</v>
      </c>
      <c r="AB892" s="42">
        <f t="shared" si="499"/>
        <v>20300</v>
      </c>
      <c r="AC892" s="42">
        <f t="shared" si="500"/>
        <v>188681.85</v>
      </c>
      <c r="AD892" s="31">
        <f>VLOOKUP($A892,kurspris!$A$1:$Q$835,3,FALSE)</f>
        <v>0</v>
      </c>
      <c r="AE892" s="31">
        <f>VLOOKUP($A892,kurspris!$A$1:$Q$835,4,FALSE)</f>
        <v>0</v>
      </c>
      <c r="AF892" s="31">
        <f>VLOOKUP($A892,kurspris!$A$1:$Q$835,5,FALSE)</f>
        <v>0</v>
      </c>
      <c r="AG892" s="31">
        <f>VLOOKUP($A892,kurspris!$A$1:$Q$835,6,FALSE)</f>
        <v>1</v>
      </c>
      <c r="AH892" s="31">
        <f>VLOOKUP($A892,kurspris!$A$1:$Q$835,7,FALSE)</f>
        <v>0</v>
      </c>
      <c r="AI892" s="31">
        <f>VLOOKUP($A892,kurspris!$A$1:$Q$835,8,FALSE)</f>
        <v>0</v>
      </c>
      <c r="AJ892" s="31">
        <f>VLOOKUP($A892,kurspris!$A$1:$Q$835,9,FALSE)</f>
        <v>0</v>
      </c>
      <c r="AK892" s="31">
        <f>VLOOKUP($A892,kurspris!$A$1:$Q$835,10,FALSE)</f>
        <v>0</v>
      </c>
      <c r="AL892" s="31">
        <f>VLOOKUP($A892,kurspris!$A$1:$Q$835,11,FALSE)</f>
        <v>0</v>
      </c>
      <c r="AM892" s="31">
        <f>VLOOKUP($A892,kurspris!$A$1:$Q$835,12,FALSE)</f>
        <v>0</v>
      </c>
      <c r="AN892" s="31">
        <f>VLOOKUP($A892,kurspris!$A$1:$Q$835,13,FALSE)</f>
        <v>0</v>
      </c>
      <c r="AO892" s="31">
        <f>VLOOKUP($A892,kurspris!$A$1:$Q$835,14,FALSE)</f>
        <v>0</v>
      </c>
      <c r="AP892" s="39" t="s">
        <v>2326</v>
      </c>
      <c r="AQ892"/>
      <c r="AR892" s="31">
        <f t="shared" si="501"/>
        <v>0</v>
      </c>
      <c r="AS892" s="255">
        <f t="shared" si="502"/>
        <v>0</v>
      </c>
      <c r="AT892" s="31">
        <f t="shared" si="503"/>
        <v>0</v>
      </c>
      <c r="AU892" s="255">
        <f t="shared" si="504"/>
        <v>0</v>
      </c>
      <c r="AV892" s="31">
        <f t="shared" si="505"/>
        <v>0</v>
      </c>
      <c r="AW892" s="31">
        <f t="shared" si="506"/>
        <v>0</v>
      </c>
      <c r="AX892" s="31">
        <f t="shared" si="507"/>
        <v>3.5</v>
      </c>
      <c r="AY892" s="255">
        <f t="shared" si="508"/>
        <v>2.9750000000000001</v>
      </c>
      <c r="AZ892" s="232">
        <f t="shared" si="509"/>
        <v>0</v>
      </c>
      <c r="BA892" s="255">
        <f t="shared" si="510"/>
        <v>0</v>
      </c>
      <c r="BB892" s="31">
        <f t="shared" si="511"/>
        <v>0</v>
      </c>
      <c r="BC892" s="255">
        <f t="shared" si="512"/>
        <v>0</v>
      </c>
      <c r="BD892" s="31">
        <f t="shared" si="513"/>
        <v>0</v>
      </c>
      <c r="BE892" s="255">
        <f t="shared" si="514"/>
        <v>0</v>
      </c>
      <c r="BF892" s="31">
        <f t="shared" si="515"/>
        <v>0</v>
      </c>
      <c r="BG892" s="255">
        <f t="shared" si="516"/>
        <v>0</v>
      </c>
      <c r="BH892" s="31">
        <f t="shared" si="517"/>
        <v>0</v>
      </c>
      <c r="BI892" s="255">
        <f t="shared" si="518"/>
        <v>0</v>
      </c>
      <c r="BJ892" s="31">
        <f t="shared" si="519"/>
        <v>0</v>
      </c>
      <c r="BK892" s="31">
        <f t="shared" si="520"/>
        <v>0</v>
      </c>
      <c r="BL892" s="255">
        <f t="shared" si="521"/>
        <v>0</v>
      </c>
      <c r="BM892" s="31">
        <f t="shared" si="522"/>
        <v>0</v>
      </c>
      <c r="BN892" s="255">
        <f t="shared" si="523"/>
        <v>0</v>
      </c>
    </row>
    <row r="893" spans="1:66" x14ac:dyDescent="0.25">
      <c r="A893" s="59" t="s">
        <v>1765</v>
      </c>
      <c r="B893" s="186" t="str">
        <f>VLOOKUP(A893,kurspris!$A$1:$B$877,2,FALSE)</f>
        <v>Kunskap, undervisning och lärande 2</v>
      </c>
      <c r="C893" s="37"/>
      <c r="D893" s="59" t="s">
        <v>629</v>
      </c>
      <c r="E893" s="62" t="s">
        <v>1931</v>
      </c>
      <c r="F893" s="59" t="s">
        <v>1931</v>
      </c>
      <c r="G893" s="31" t="s">
        <v>2276</v>
      </c>
      <c r="I893" s="62"/>
      <c r="J893" t="s">
        <v>2303</v>
      </c>
      <c r="L893" s="31">
        <v>50</v>
      </c>
      <c r="M893" s="378">
        <v>15</v>
      </c>
      <c r="N893" s="40"/>
      <c r="P893" s="377">
        <v>1</v>
      </c>
      <c r="Q893" s="232">
        <f t="shared" si="496"/>
        <v>0.25</v>
      </c>
      <c r="R893" s="40">
        <v>0.85</v>
      </c>
      <c r="S893" s="334">
        <f t="shared" si="497"/>
        <v>0.21249999999999999</v>
      </c>
      <c r="T893" s="31">
        <f>VLOOKUP(A893,'Ansvar kurs'!$A$1:$C$1010,2,FALSE)</f>
        <v>5740</v>
      </c>
      <c r="U893" s="31" t="str">
        <f>VLOOKUP(T893,Orgenheter!$A$1:$C$165,2,FALSE)</f>
        <v>NMD</v>
      </c>
      <c r="V893" s="31" t="str">
        <f>VLOOKUP(T893,Orgenheter!$A$1:$C$165,3,FALSE)</f>
        <v>TekNat</v>
      </c>
      <c r="W893" s="37" t="str">
        <f>VLOOKUP(D893,Program!$A$1:$B$34,2,FALSE)</f>
        <v>KPU - åk 7-9</v>
      </c>
      <c r="X893" s="42">
        <f>VLOOKUP(A893,kurspris!$A$1:$Q$798,15,FALSE)</f>
        <v>23641</v>
      </c>
      <c r="Y893" s="42">
        <f>VLOOKUP(A893,kurspris!$A$1:$Q$798,16,FALSE)</f>
        <v>28786</v>
      </c>
      <c r="Z893" s="42">
        <f t="shared" si="498"/>
        <v>12027.275</v>
      </c>
      <c r="AA893" s="42">
        <f>VLOOKUP(A893,kurspris!$A$1:$Q$798,17,FALSE)</f>
        <v>5800</v>
      </c>
      <c r="AB893" s="42">
        <f t="shared" si="499"/>
        <v>1450</v>
      </c>
      <c r="AC893" s="42">
        <f t="shared" si="500"/>
        <v>13477.275</v>
      </c>
      <c r="AD893" s="31">
        <f>VLOOKUP($A893,kurspris!$A$1:$Q$835,3,FALSE)</f>
        <v>0</v>
      </c>
      <c r="AE893" s="31">
        <f>VLOOKUP($A893,kurspris!$A$1:$Q$835,4,FALSE)</f>
        <v>0</v>
      </c>
      <c r="AF893" s="31">
        <f>VLOOKUP($A893,kurspris!$A$1:$Q$835,5,FALSE)</f>
        <v>0</v>
      </c>
      <c r="AG893" s="31">
        <f>VLOOKUP($A893,kurspris!$A$1:$Q$835,6,FALSE)</f>
        <v>1</v>
      </c>
      <c r="AH893" s="31">
        <f>VLOOKUP($A893,kurspris!$A$1:$Q$835,7,FALSE)</f>
        <v>0</v>
      </c>
      <c r="AI893" s="31">
        <f>VLOOKUP($A893,kurspris!$A$1:$Q$835,8,FALSE)</f>
        <v>0</v>
      </c>
      <c r="AJ893" s="31">
        <f>VLOOKUP($A893,kurspris!$A$1:$Q$835,9,FALSE)</f>
        <v>0</v>
      </c>
      <c r="AK893" s="31">
        <f>VLOOKUP($A893,kurspris!$A$1:$Q$835,10,FALSE)</f>
        <v>0</v>
      </c>
      <c r="AL893" s="31">
        <f>VLOOKUP($A893,kurspris!$A$1:$Q$835,11,FALSE)</f>
        <v>0</v>
      </c>
      <c r="AM893" s="31">
        <f>VLOOKUP($A893,kurspris!$A$1:$Q$835,12,FALSE)</f>
        <v>0</v>
      </c>
      <c r="AN893" s="31">
        <f>VLOOKUP($A893,kurspris!$A$1:$Q$835,13,FALSE)</f>
        <v>0</v>
      </c>
      <c r="AO893" s="31">
        <f>VLOOKUP($A893,kurspris!$A$1:$Q$835,14,FALSE)</f>
        <v>0</v>
      </c>
      <c r="AP893" s="39" t="s">
        <v>2326</v>
      </c>
      <c r="AQ893"/>
      <c r="AR893" s="31">
        <f t="shared" si="501"/>
        <v>0</v>
      </c>
      <c r="AS893" s="255">
        <f t="shared" si="502"/>
        <v>0</v>
      </c>
      <c r="AT893" s="31">
        <f t="shared" si="503"/>
        <v>0</v>
      </c>
      <c r="AU893" s="255">
        <f t="shared" si="504"/>
        <v>0</v>
      </c>
      <c r="AV893" s="31">
        <f t="shared" si="505"/>
        <v>0</v>
      </c>
      <c r="AW893" s="31">
        <f t="shared" si="506"/>
        <v>0</v>
      </c>
      <c r="AX893" s="31">
        <f t="shared" si="507"/>
        <v>0.25</v>
      </c>
      <c r="AY893" s="255">
        <f t="shared" si="508"/>
        <v>0.21249999999999999</v>
      </c>
      <c r="AZ893" s="232">
        <f t="shared" si="509"/>
        <v>0</v>
      </c>
      <c r="BA893" s="255">
        <f t="shared" si="510"/>
        <v>0</v>
      </c>
      <c r="BB893" s="31">
        <f t="shared" si="511"/>
        <v>0</v>
      </c>
      <c r="BC893" s="255">
        <f t="shared" si="512"/>
        <v>0</v>
      </c>
      <c r="BD893" s="31">
        <f t="shared" si="513"/>
        <v>0</v>
      </c>
      <c r="BE893" s="255">
        <f t="shared" si="514"/>
        <v>0</v>
      </c>
      <c r="BF893" s="31">
        <f t="shared" si="515"/>
        <v>0</v>
      </c>
      <c r="BG893" s="255">
        <f t="shared" si="516"/>
        <v>0</v>
      </c>
      <c r="BH893" s="31">
        <f t="shared" si="517"/>
        <v>0</v>
      </c>
      <c r="BI893" s="255">
        <f t="shared" si="518"/>
        <v>0</v>
      </c>
      <c r="BJ893" s="31">
        <f t="shared" si="519"/>
        <v>0</v>
      </c>
      <c r="BK893" s="31">
        <f t="shared" si="520"/>
        <v>0</v>
      </c>
      <c r="BL893" s="255">
        <f t="shared" si="521"/>
        <v>0</v>
      </c>
      <c r="BM893" s="31">
        <f t="shared" si="522"/>
        <v>0</v>
      </c>
      <c r="BN893" s="255">
        <f t="shared" si="523"/>
        <v>0</v>
      </c>
    </row>
    <row r="894" spans="1:66" x14ac:dyDescent="0.25">
      <c r="A894" s="18" t="s">
        <v>1765</v>
      </c>
      <c r="B894" s="186" t="str">
        <f>VLOOKUP(A894,kurspris!$A$1:$B$877,2,FALSE)</f>
        <v>Kunskap, undervisning och lärande 2</v>
      </c>
      <c r="C894" s="37"/>
      <c r="D894" s="31" t="s">
        <v>630</v>
      </c>
      <c r="E894" s="31" t="s">
        <v>1609</v>
      </c>
      <c r="F894" s="59" t="s">
        <v>1931</v>
      </c>
      <c r="G894" s="31" t="s">
        <v>2276</v>
      </c>
      <c r="J894" t="s">
        <v>2307</v>
      </c>
      <c r="L894" s="31">
        <v>50</v>
      </c>
      <c r="M894" s="31">
        <v>15</v>
      </c>
      <c r="P894" s="31">
        <v>1</v>
      </c>
      <c r="Q894" s="232">
        <f t="shared" si="496"/>
        <v>0.25</v>
      </c>
      <c r="R894" s="40">
        <v>0.85</v>
      </c>
      <c r="S894" s="334">
        <f t="shared" si="497"/>
        <v>0.21249999999999999</v>
      </c>
      <c r="T894" s="31">
        <f>VLOOKUP(A894,'Ansvar kurs'!$A$1:$C$1010,2,FALSE)</f>
        <v>5740</v>
      </c>
      <c r="U894" s="31" t="str">
        <f>VLOOKUP(T894,Orgenheter!$A$1:$C$165,2,FALSE)</f>
        <v>NMD</v>
      </c>
      <c r="V894" s="31" t="str">
        <f>VLOOKUP(T894,Orgenheter!$A$1:$C$165,3,FALSE)</f>
        <v>TekNat</v>
      </c>
      <c r="W894" s="37" t="str">
        <f>VLOOKUP(D894,Program!$A$1:$B$34,2,FALSE)</f>
        <v>KPU - Gy</v>
      </c>
      <c r="X894" s="42">
        <f>VLOOKUP(A894,kurspris!$A$1:$Q$798,15,FALSE)</f>
        <v>23641</v>
      </c>
      <c r="Y894" s="42">
        <f>VLOOKUP(A894,kurspris!$A$1:$Q$798,16,FALSE)</f>
        <v>28786</v>
      </c>
      <c r="Z894" s="42">
        <f t="shared" si="498"/>
        <v>12027.275</v>
      </c>
      <c r="AA894" s="42">
        <f>VLOOKUP(A894,kurspris!$A$1:$Q$798,17,FALSE)</f>
        <v>5800</v>
      </c>
      <c r="AB894" s="42">
        <f t="shared" si="499"/>
        <v>1450</v>
      </c>
      <c r="AC894" s="42">
        <f t="shared" si="500"/>
        <v>13477.275</v>
      </c>
      <c r="AD894" s="31">
        <f>VLOOKUP($A894,kurspris!$A$1:$Q$835,3,FALSE)</f>
        <v>0</v>
      </c>
      <c r="AE894" s="31">
        <f>VLOOKUP($A894,kurspris!$A$1:$Q$835,4,FALSE)</f>
        <v>0</v>
      </c>
      <c r="AF894" s="31">
        <f>VLOOKUP($A894,kurspris!$A$1:$Q$835,5,FALSE)</f>
        <v>0</v>
      </c>
      <c r="AG894" s="31">
        <f>VLOOKUP($A894,kurspris!$A$1:$Q$835,6,FALSE)</f>
        <v>1</v>
      </c>
      <c r="AH894" s="31">
        <f>VLOOKUP($A894,kurspris!$A$1:$Q$835,7,FALSE)</f>
        <v>0</v>
      </c>
      <c r="AI894" s="31">
        <f>VLOOKUP($A894,kurspris!$A$1:$Q$835,8,FALSE)</f>
        <v>0</v>
      </c>
      <c r="AJ894" s="31">
        <f>VLOOKUP($A894,kurspris!$A$1:$Q$835,9,FALSE)</f>
        <v>0</v>
      </c>
      <c r="AK894" s="31">
        <f>VLOOKUP($A894,kurspris!$A$1:$Q$835,10,FALSE)</f>
        <v>0</v>
      </c>
      <c r="AL894" s="31">
        <f>VLOOKUP($A894,kurspris!$A$1:$Q$835,11,FALSE)</f>
        <v>0</v>
      </c>
      <c r="AM894" s="31">
        <f>VLOOKUP($A894,kurspris!$A$1:$Q$835,12,FALSE)</f>
        <v>0</v>
      </c>
      <c r="AN894" s="31">
        <f>VLOOKUP($A894,kurspris!$A$1:$Q$835,13,FALSE)</f>
        <v>0</v>
      </c>
      <c r="AO894" s="31">
        <f>VLOOKUP($A894,kurspris!$A$1:$Q$835,14,FALSE)</f>
        <v>0</v>
      </c>
      <c r="AP894" s="39" t="s">
        <v>2326</v>
      </c>
      <c r="AQ894"/>
      <c r="AR894" s="31">
        <f t="shared" si="501"/>
        <v>0</v>
      </c>
      <c r="AS894" s="255">
        <f t="shared" si="502"/>
        <v>0</v>
      </c>
      <c r="AT894" s="31">
        <f t="shared" si="503"/>
        <v>0</v>
      </c>
      <c r="AU894" s="255">
        <f t="shared" si="504"/>
        <v>0</v>
      </c>
      <c r="AV894" s="31">
        <f t="shared" si="505"/>
        <v>0</v>
      </c>
      <c r="AW894" s="31">
        <f t="shared" si="506"/>
        <v>0</v>
      </c>
      <c r="AX894" s="31">
        <f t="shared" si="507"/>
        <v>0.25</v>
      </c>
      <c r="AY894" s="255">
        <f t="shared" si="508"/>
        <v>0.21249999999999999</v>
      </c>
      <c r="AZ894" s="232">
        <f t="shared" si="509"/>
        <v>0</v>
      </c>
      <c r="BA894" s="255">
        <f t="shared" si="510"/>
        <v>0</v>
      </c>
      <c r="BB894" s="31">
        <f t="shared" si="511"/>
        <v>0</v>
      </c>
      <c r="BC894" s="255">
        <f t="shared" si="512"/>
        <v>0</v>
      </c>
      <c r="BD894" s="31">
        <f t="shared" si="513"/>
        <v>0</v>
      </c>
      <c r="BE894" s="255">
        <f t="shared" si="514"/>
        <v>0</v>
      </c>
      <c r="BF894" s="31">
        <f t="shared" si="515"/>
        <v>0</v>
      </c>
      <c r="BG894" s="255">
        <f t="shared" si="516"/>
        <v>0</v>
      </c>
      <c r="BH894" s="31">
        <f t="shared" si="517"/>
        <v>0</v>
      </c>
      <c r="BI894" s="255">
        <f t="shared" si="518"/>
        <v>0</v>
      </c>
      <c r="BJ894" s="31">
        <f t="shared" si="519"/>
        <v>0</v>
      </c>
      <c r="BK894" s="31">
        <f t="shared" si="520"/>
        <v>0</v>
      </c>
      <c r="BL894" s="255">
        <f t="shared" si="521"/>
        <v>0</v>
      </c>
      <c r="BM894" s="31">
        <f t="shared" si="522"/>
        <v>0</v>
      </c>
      <c r="BN894" s="255">
        <f t="shared" si="523"/>
        <v>0</v>
      </c>
    </row>
    <row r="895" spans="1:66" x14ac:dyDescent="0.25">
      <c r="A895" s="59" t="s">
        <v>1765</v>
      </c>
      <c r="B895" s="186" t="str">
        <f>VLOOKUP(A895,kurspris!$A$1:$B$877,2,FALSE)</f>
        <v>Kunskap, undervisning och lärande 2</v>
      </c>
      <c r="C895" s="37"/>
      <c r="D895" s="59" t="s">
        <v>630</v>
      </c>
      <c r="E895" s="62" t="s">
        <v>1788</v>
      </c>
      <c r="F895" s="59" t="s">
        <v>1931</v>
      </c>
      <c r="G895" s="31" t="s">
        <v>2276</v>
      </c>
      <c r="I895" s="62"/>
      <c r="J895" t="s">
        <v>2306</v>
      </c>
      <c r="L895" s="31">
        <v>50</v>
      </c>
      <c r="M895" s="378">
        <v>15</v>
      </c>
      <c r="N895" s="40"/>
      <c r="P895" s="377">
        <v>1</v>
      </c>
      <c r="Q895" s="232">
        <f t="shared" si="496"/>
        <v>0.25</v>
      </c>
      <c r="R895" s="40">
        <v>0.85</v>
      </c>
      <c r="S895" s="334">
        <f t="shared" si="497"/>
        <v>0.21249999999999999</v>
      </c>
      <c r="T895" s="31">
        <f>VLOOKUP(A895,'Ansvar kurs'!$A$1:$C$1010,2,FALSE)</f>
        <v>5740</v>
      </c>
      <c r="U895" s="31" t="str">
        <f>VLOOKUP(T895,Orgenheter!$A$1:$C$165,2,FALSE)</f>
        <v>NMD</v>
      </c>
      <c r="V895" s="31" t="str">
        <f>VLOOKUP(T895,Orgenheter!$A$1:$C$165,3,FALSE)</f>
        <v>TekNat</v>
      </c>
      <c r="W895" s="37" t="str">
        <f>VLOOKUP(D895,Program!$A$1:$B$34,2,FALSE)</f>
        <v>KPU - Gy</v>
      </c>
      <c r="X895" s="42">
        <f>VLOOKUP(A895,kurspris!$A$1:$Q$798,15,FALSE)</f>
        <v>23641</v>
      </c>
      <c r="Y895" s="42">
        <f>VLOOKUP(A895,kurspris!$A$1:$Q$798,16,FALSE)</f>
        <v>28786</v>
      </c>
      <c r="Z895" s="42">
        <f t="shared" si="498"/>
        <v>12027.275</v>
      </c>
      <c r="AA895" s="42">
        <f>VLOOKUP(A895,kurspris!$A$1:$Q$798,17,FALSE)</f>
        <v>5800</v>
      </c>
      <c r="AB895" s="42">
        <f t="shared" si="499"/>
        <v>1450</v>
      </c>
      <c r="AC895" s="42">
        <f t="shared" si="500"/>
        <v>13477.275</v>
      </c>
      <c r="AD895" s="31">
        <f>VLOOKUP($A895,kurspris!$A$1:$Q$835,3,FALSE)</f>
        <v>0</v>
      </c>
      <c r="AE895" s="31">
        <f>VLOOKUP($A895,kurspris!$A$1:$Q$835,4,FALSE)</f>
        <v>0</v>
      </c>
      <c r="AF895" s="31">
        <f>VLOOKUP($A895,kurspris!$A$1:$Q$835,5,FALSE)</f>
        <v>0</v>
      </c>
      <c r="AG895" s="31">
        <f>VLOOKUP($A895,kurspris!$A$1:$Q$835,6,FALSE)</f>
        <v>1</v>
      </c>
      <c r="AH895" s="31">
        <f>VLOOKUP($A895,kurspris!$A$1:$Q$835,7,FALSE)</f>
        <v>0</v>
      </c>
      <c r="AI895" s="31">
        <f>VLOOKUP($A895,kurspris!$A$1:$Q$835,8,FALSE)</f>
        <v>0</v>
      </c>
      <c r="AJ895" s="31">
        <f>VLOOKUP($A895,kurspris!$A$1:$Q$835,9,FALSE)</f>
        <v>0</v>
      </c>
      <c r="AK895" s="31">
        <f>VLOOKUP($A895,kurspris!$A$1:$Q$835,10,FALSE)</f>
        <v>0</v>
      </c>
      <c r="AL895" s="31">
        <f>VLOOKUP($A895,kurspris!$A$1:$Q$835,11,FALSE)</f>
        <v>0</v>
      </c>
      <c r="AM895" s="31">
        <f>VLOOKUP($A895,kurspris!$A$1:$Q$835,12,FALSE)</f>
        <v>0</v>
      </c>
      <c r="AN895" s="31">
        <f>VLOOKUP($A895,kurspris!$A$1:$Q$835,13,FALSE)</f>
        <v>0</v>
      </c>
      <c r="AO895" s="31">
        <f>VLOOKUP($A895,kurspris!$A$1:$Q$835,14,FALSE)</f>
        <v>0</v>
      </c>
      <c r="AP895" s="39" t="s">
        <v>2326</v>
      </c>
      <c r="AQ895"/>
      <c r="AR895" s="31">
        <f t="shared" si="501"/>
        <v>0</v>
      </c>
      <c r="AS895" s="255">
        <f t="shared" si="502"/>
        <v>0</v>
      </c>
      <c r="AT895" s="31">
        <f t="shared" si="503"/>
        <v>0</v>
      </c>
      <c r="AU895" s="255">
        <f t="shared" si="504"/>
        <v>0</v>
      </c>
      <c r="AV895" s="31">
        <f t="shared" si="505"/>
        <v>0</v>
      </c>
      <c r="AW895" s="31">
        <f t="shared" si="506"/>
        <v>0</v>
      </c>
      <c r="AX895" s="31">
        <f t="shared" si="507"/>
        <v>0.25</v>
      </c>
      <c r="AY895" s="255">
        <f t="shared" si="508"/>
        <v>0.21249999999999999</v>
      </c>
      <c r="AZ895" s="232">
        <f t="shared" si="509"/>
        <v>0</v>
      </c>
      <c r="BA895" s="255">
        <f t="shared" si="510"/>
        <v>0</v>
      </c>
      <c r="BB895" s="31">
        <f t="shared" si="511"/>
        <v>0</v>
      </c>
      <c r="BC895" s="255">
        <f t="shared" si="512"/>
        <v>0</v>
      </c>
      <c r="BD895" s="31">
        <f t="shared" si="513"/>
        <v>0</v>
      </c>
      <c r="BE895" s="255">
        <f t="shared" si="514"/>
        <v>0</v>
      </c>
      <c r="BF895" s="31">
        <f t="shared" si="515"/>
        <v>0</v>
      </c>
      <c r="BG895" s="255">
        <f t="shared" si="516"/>
        <v>0</v>
      </c>
      <c r="BH895" s="31">
        <f t="shared" si="517"/>
        <v>0</v>
      </c>
      <c r="BI895" s="255">
        <f t="shared" si="518"/>
        <v>0</v>
      </c>
      <c r="BJ895" s="31">
        <f t="shared" si="519"/>
        <v>0</v>
      </c>
      <c r="BK895" s="31">
        <f t="shared" si="520"/>
        <v>0</v>
      </c>
      <c r="BL895" s="255">
        <f t="shared" si="521"/>
        <v>0</v>
      </c>
      <c r="BM895" s="31">
        <f t="shared" si="522"/>
        <v>0</v>
      </c>
      <c r="BN895" s="255">
        <f t="shared" si="523"/>
        <v>0</v>
      </c>
    </row>
    <row r="896" spans="1:66" x14ac:dyDescent="0.25">
      <c r="A896" s="59" t="s">
        <v>1765</v>
      </c>
      <c r="B896" s="186" t="str">
        <f>VLOOKUP(A896,kurspris!$A$1:$B$877,2,FALSE)</f>
        <v>Kunskap, undervisning och lärande 2</v>
      </c>
      <c r="C896" s="37"/>
      <c r="D896" s="59" t="s">
        <v>630</v>
      </c>
      <c r="E896" s="62" t="s">
        <v>1788</v>
      </c>
      <c r="F896" s="59" t="s">
        <v>1931</v>
      </c>
      <c r="G896" s="31" t="s">
        <v>2276</v>
      </c>
      <c r="I896" s="62"/>
      <c r="J896" t="s">
        <v>2307</v>
      </c>
      <c r="L896" s="31">
        <v>50</v>
      </c>
      <c r="M896" s="378">
        <v>15</v>
      </c>
      <c r="N896" s="40"/>
      <c r="P896" s="377">
        <v>8</v>
      </c>
      <c r="Q896" s="232">
        <f t="shared" si="496"/>
        <v>2</v>
      </c>
      <c r="R896" s="40">
        <v>0.85</v>
      </c>
      <c r="S896" s="334">
        <f t="shared" si="497"/>
        <v>1.7</v>
      </c>
      <c r="T896" s="31">
        <f>VLOOKUP(A896,'Ansvar kurs'!$A$1:$C$1010,2,FALSE)</f>
        <v>5740</v>
      </c>
      <c r="U896" s="31" t="str">
        <f>VLOOKUP(T896,Orgenheter!$A$1:$C$165,2,FALSE)</f>
        <v>NMD</v>
      </c>
      <c r="V896" s="31" t="str">
        <f>VLOOKUP(T896,Orgenheter!$A$1:$C$165,3,FALSE)</f>
        <v>TekNat</v>
      </c>
      <c r="W896" s="37" t="str">
        <f>VLOOKUP(D896,Program!$A$1:$B$34,2,FALSE)</f>
        <v>KPU - Gy</v>
      </c>
      <c r="X896" s="42">
        <f>VLOOKUP(A896,kurspris!$A$1:$Q$798,15,FALSE)</f>
        <v>23641</v>
      </c>
      <c r="Y896" s="42">
        <f>VLOOKUP(A896,kurspris!$A$1:$Q$798,16,FALSE)</f>
        <v>28786</v>
      </c>
      <c r="Z896" s="42">
        <f t="shared" si="498"/>
        <v>96218.2</v>
      </c>
      <c r="AA896" s="42">
        <f>VLOOKUP(A896,kurspris!$A$1:$Q$798,17,FALSE)</f>
        <v>5800</v>
      </c>
      <c r="AB896" s="42">
        <f t="shared" si="499"/>
        <v>11600</v>
      </c>
      <c r="AC896" s="42">
        <f t="shared" si="500"/>
        <v>107818.2</v>
      </c>
      <c r="AD896" s="31">
        <f>VLOOKUP($A896,kurspris!$A$1:$Q$835,3,FALSE)</f>
        <v>0</v>
      </c>
      <c r="AE896" s="31">
        <f>VLOOKUP($A896,kurspris!$A$1:$Q$835,4,FALSE)</f>
        <v>0</v>
      </c>
      <c r="AF896" s="31">
        <f>VLOOKUP($A896,kurspris!$A$1:$Q$835,5,FALSE)</f>
        <v>0</v>
      </c>
      <c r="AG896" s="31">
        <f>VLOOKUP($A896,kurspris!$A$1:$Q$835,6,FALSE)</f>
        <v>1</v>
      </c>
      <c r="AH896" s="31">
        <f>VLOOKUP($A896,kurspris!$A$1:$Q$835,7,FALSE)</f>
        <v>0</v>
      </c>
      <c r="AI896" s="31">
        <f>VLOOKUP($A896,kurspris!$A$1:$Q$835,8,FALSE)</f>
        <v>0</v>
      </c>
      <c r="AJ896" s="31">
        <f>VLOOKUP($A896,kurspris!$A$1:$Q$835,9,FALSE)</f>
        <v>0</v>
      </c>
      <c r="AK896" s="31">
        <f>VLOOKUP($A896,kurspris!$A$1:$Q$835,10,FALSE)</f>
        <v>0</v>
      </c>
      <c r="AL896" s="31">
        <f>VLOOKUP($A896,kurspris!$A$1:$Q$835,11,FALSE)</f>
        <v>0</v>
      </c>
      <c r="AM896" s="31">
        <f>VLOOKUP($A896,kurspris!$A$1:$Q$835,12,FALSE)</f>
        <v>0</v>
      </c>
      <c r="AN896" s="31">
        <f>VLOOKUP($A896,kurspris!$A$1:$Q$835,13,FALSE)</f>
        <v>0</v>
      </c>
      <c r="AO896" s="31">
        <f>VLOOKUP($A896,kurspris!$A$1:$Q$835,14,FALSE)</f>
        <v>0</v>
      </c>
      <c r="AP896" s="39" t="s">
        <v>2326</v>
      </c>
      <c r="AQ896"/>
      <c r="AR896" s="31">
        <f t="shared" si="501"/>
        <v>0</v>
      </c>
      <c r="AS896" s="255">
        <f t="shared" si="502"/>
        <v>0</v>
      </c>
      <c r="AT896" s="31">
        <f t="shared" si="503"/>
        <v>0</v>
      </c>
      <c r="AU896" s="255">
        <f t="shared" si="504"/>
        <v>0</v>
      </c>
      <c r="AV896" s="31">
        <f t="shared" si="505"/>
        <v>0</v>
      </c>
      <c r="AW896" s="31">
        <f t="shared" si="506"/>
        <v>0</v>
      </c>
      <c r="AX896" s="31">
        <f t="shared" si="507"/>
        <v>2</v>
      </c>
      <c r="AY896" s="255">
        <f t="shared" si="508"/>
        <v>1.7</v>
      </c>
      <c r="AZ896" s="232">
        <f t="shared" si="509"/>
        <v>0</v>
      </c>
      <c r="BA896" s="255">
        <f t="shared" si="510"/>
        <v>0</v>
      </c>
      <c r="BB896" s="31">
        <f t="shared" si="511"/>
        <v>0</v>
      </c>
      <c r="BC896" s="255">
        <f t="shared" si="512"/>
        <v>0</v>
      </c>
      <c r="BD896" s="31">
        <f t="shared" si="513"/>
        <v>0</v>
      </c>
      <c r="BE896" s="255">
        <f t="shared" si="514"/>
        <v>0</v>
      </c>
      <c r="BF896" s="31">
        <f t="shared" si="515"/>
        <v>0</v>
      </c>
      <c r="BG896" s="255">
        <f t="shared" si="516"/>
        <v>0</v>
      </c>
      <c r="BH896" s="31">
        <f t="shared" si="517"/>
        <v>0</v>
      </c>
      <c r="BI896" s="255">
        <f t="shared" si="518"/>
        <v>0</v>
      </c>
      <c r="BJ896" s="31">
        <f t="shared" si="519"/>
        <v>0</v>
      </c>
      <c r="BK896" s="31">
        <f t="shared" si="520"/>
        <v>0</v>
      </c>
      <c r="BL896" s="255">
        <f t="shared" si="521"/>
        <v>0</v>
      </c>
      <c r="BM896" s="31">
        <f t="shared" si="522"/>
        <v>0</v>
      </c>
      <c r="BN896" s="255">
        <f t="shared" si="523"/>
        <v>0</v>
      </c>
    </row>
    <row r="897" spans="1:66" x14ac:dyDescent="0.25">
      <c r="A897" s="18" t="s">
        <v>1753</v>
      </c>
      <c r="B897" s="186" t="str">
        <f>VLOOKUP(A897,kurspris!$A$1:$B$877,2,FALSE)</f>
        <v>Läraryrkets dimensioner för förskoleklass och grundskolans årskurs 1-3 (VFU)</v>
      </c>
      <c r="C897" s="37"/>
      <c r="D897" s="31" t="s">
        <v>486</v>
      </c>
      <c r="E897" s="31" t="s">
        <v>1976</v>
      </c>
      <c r="F897" s="59" t="s">
        <v>1931</v>
      </c>
      <c r="G897" s="31" t="s">
        <v>2267</v>
      </c>
      <c r="L897" s="31">
        <v>100</v>
      </c>
      <c r="M897" s="31">
        <v>22.5</v>
      </c>
      <c r="P897" s="31">
        <v>2</v>
      </c>
      <c r="Q897" s="232">
        <f t="shared" si="496"/>
        <v>0.75</v>
      </c>
      <c r="R897" s="40">
        <v>0.85</v>
      </c>
      <c r="S897" s="334">
        <f t="shared" si="497"/>
        <v>0.63749999999999996</v>
      </c>
      <c r="T897" s="31">
        <f>VLOOKUP(A897,'Ansvar kurs'!$A$1:$C$1010,2,FALSE)</f>
        <v>5740</v>
      </c>
      <c r="U897" s="31" t="str">
        <f>VLOOKUP(T897,Orgenheter!$A$1:$C$165,2,FALSE)</f>
        <v>NMD</v>
      </c>
      <c r="V897" s="31" t="str">
        <f>VLOOKUP(T897,Orgenheter!$A$1:$C$165,3,FALSE)</f>
        <v>TekNat</v>
      </c>
      <c r="W897" s="37" t="str">
        <f>VLOOKUP(D897,Program!$A$1:$B$34,2,FALSE)</f>
        <v>Grundlärarprogrammet - förskoleklass och åk 1-3</v>
      </c>
      <c r="X897" s="42">
        <f>VLOOKUP(A897,kurspris!$A$1:$Q$798,15,FALSE)</f>
        <v>21634</v>
      </c>
      <c r="Y897" s="42">
        <f>VLOOKUP(A897,kurspris!$A$1:$Q$798,16,FALSE)</f>
        <v>26986</v>
      </c>
      <c r="Z897" s="42">
        <f t="shared" si="498"/>
        <v>33429.074999999997</v>
      </c>
      <c r="AA897" s="42">
        <f>VLOOKUP(A897,kurspris!$A$1:$Q$798,17,FALSE)</f>
        <v>3400</v>
      </c>
      <c r="AB897" s="42">
        <f t="shared" si="499"/>
        <v>2550</v>
      </c>
      <c r="AC897" s="42">
        <f t="shared" si="500"/>
        <v>35979.074999999997</v>
      </c>
      <c r="AD897" s="31">
        <f>VLOOKUP($A897,kurspris!$A$1:$Q$835,3,FALSE)</f>
        <v>0</v>
      </c>
      <c r="AE897" s="31">
        <f>VLOOKUP($A897,kurspris!$A$1:$Q$835,4,FALSE)</f>
        <v>0</v>
      </c>
      <c r="AF897" s="31">
        <f>VLOOKUP($A897,kurspris!$A$1:$Q$835,5,FALSE)</f>
        <v>0</v>
      </c>
      <c r="AG897" s="31">
        <f>VLOOKUP($A897,kurspris!$A$1:$Q$835,6,FALSE)</f>
        <v>0</v>
      </c>
      <c r="AH897" s="31">
        <f>VLOOKUP($A897,kurspris!$A$1:$Q$835,7,FALSE)</f>
        <v>0</v>
      </c>
      <c r="AI897" s="31">
        <f>VLOOKUP($A897,kurspris!$A$1:$Q$835,8,FALSE)</f>
        <v>0</v>
      </c>
      <c r="AJ897" s="31">
        <f>VLOOKUP($A897,kurspris!$A$1:$Q$835,9,FALSE)</f>
        <v>0</v>
      </c>
      <c r="AK897" s="31">
        <f>VLOOKUP($A897,kurspris!$A$1:$Q$835,10,FALSE)</f>
        <v>0</v>
      </c>
      <c r="AL897" s="31">
        <f>VLOOKUP($A897,kurspris!$A$1:$Q$835,11,FALSE)</f>
        <v>1</v>
      </c>
      <c r="AM897" s="31">
        <f>VLOOKUP($A897,kurspris!$A$1:$Q$835,12,FALSE)</f>
        <v>0</v>
      </c>
      <c r="AN897" s="31">
        <f>VLOOKUP($A897,kurspris!$A$1:$Q$835,13,FALSE)</f>
        <v>0</v>
      </c>
      <c r="AO897" s="31">
        <f>VLOOKUP($A897,kurspris!$A$1:$Q$835,14,FALSE)</f>
        <v>0</v>
      </c>
      <c r="AP897" s="39" t="s">
        <v>2326</v>
      </c>
      <c r="AQ897"/>
      <c r="AR897" s="31">
        <f t="shared" si="501"/>
        <v>0</v>
      </c>
      <c r="AS897" s="255">
        <f t="shared" si="502"/>
        <v>0</v>
      </c>
      <c r="AT897" s="31">
        <f t="shared" si="503"/>
        <v>0</v>
      </c>
      <c r="AU897" s="255">
        <f t="shared" si="504"/>
        <v>0</v>
      </c>
      <c r="AV897" s="31">
        <f t="shared" si="505"/>
        <v>0</v>
      </c>
      <c r="AW897" s="31">
        <f t="shared" si="506"/>
        <v>0</v>
      </c>
      <c r="AX897" s="31">
        <f t="shared" si="507"/>
        <v>0</v>
      </c>
      <c r="AY897" s="255">
        <f t="shared" si="508"/>
        <v>0</v>
      </c>
      <c r="AZ897" s="232">
        <f t="shared" si="509"/>
        <v>0</v>
      </c>
      <c r="BA897" s="255">
        <f t="shared" si="510"/>
        <v>0</v>
      </c>
      <c r="BB897" s="31">
        <f t="shared" si="511"/>
        <v>0</v>
      </c>
      <c r="BC897" s="255">
        <f t="shared" si="512"/>
        <v>0</v>
      </c>
      <c r="BD897" s="31">
        <f t="shared" si="513"/>
        <v>0</v>
      </c>
      <c r="BE897" s="255">
        <f t="shared" si="514"/>
        <v>0</v>
      </c>
      <c r="BF897" s="31">
        <f t="shared" si="515"/>
        <v>0</v>
      </c>
      <c r="BG897" s="255">
        <f t="shared" si="516"/>
        <v>0</v>
      </c>
      <c r="BH897" s="31">
        <f t="shared" si="517"/>
        <v>0.75</v>
      </c>
      <c r="BI897" s="255">
        <f t="shared" si="518"/>
        <v>0.63749999999999996</v>
      </c>
      <c r="BJ897" s="31">
        <f t="shared" si="519"/>
        <v>0</v>
      </c>
      <c r="BK897" s="31">
        <f t="shared" si="520"/>
        <v>0</v>
      </c>
      <c r="BL897" s="255">
        <f t="shared" si="521"/>
        <v>0</v>
      </c>
      <c r="BM897" s="31">
        <f t="shared" si="522"/>
        <v>0</v>
      </c>
      <c r="BN897" s="255">
        <f t="shared" si="523"/>
        <v>0</v>
      </c>
    </row>
    <row r="898" spans="1:66" x14ac:dyDescent="0.25">
      <c r="A898" s="18" t="s">
        <v>1753</v>
      </c>
      <c r="B898" s="186" t="str">
        <f>VLOOKUP(A898,kurspris!$A$1:$B$877,2,FALSE)</f>
        <v>Läraryrkets dimensioner för förskoleklass och grundskolans årskurs 1-3 (VFU)</v>
      </c>
      <c r="C898" s="37"/>
      <c r="D898" s="31" t="s">
        <v>486</v>
      </c>
      <c r="E898" s="31" t="s">
        <v>1973</v>
      </c>
      <c r="F898" s="59" t="s">
        <v>1931</v>
      </c>
      <c r="G898" s="31" t="s">
        <v>2267</v>
      </c>
      <c r="L898" s="31">
        <v>100</v>
      </c>
      <c r="M898" s="31">
        <v>22.5</v>
      </c>
      <c r="P898" s="31">
        <v>38</v>
      </c>
      <c r="Q898" s="232">
        <f t="shared" si="496"/>
        <v>14.25</v>
      </c>
      <c r="R898" s="40">
        <v>0.85</v>
      </c>
      <c r="S898" s="334">
        <f t="shared" si="497"/>
        <v>12.112499999999999</v>
      </c>
      <c r="T898" s="31">
        <f>VLOOKUP(A898,'Ansvar kurs'!$A$1:$C$1010,2,FALSE)</f>
        <v>5740</v>
      </c>
      <c r="U898" s="31" t="str">
        <f>VLOOKUP(T898,Orgenheter!$A$1:$C$165,2,FALSE)</f>
        <v>NMD</v>
      </c>
      <c r="V898" s="31" t="str">
        <f>VLOOKUP(T898,Orgenheter!$A$1:$C$165,3,FALSE)</f>
        <v>TekNat</v>
      </c>
      <c r="W898" s="37" t="str">
        <f>VLOOKUP(D898,Program!$A$1:$B$34,2,FALSE)</f>
        <v>Grundlärarprogrammet - förskoleklass och åk 1-3</v>
      </c>
      <c r="X898" s="42">
        <f>VLOOKUP(A898,kurspris!$A$1:$Q$798,15,FALSE)</f>
        <v>21634</v>
      </c>
      <c r="Y898" s="42">
        <f>VLOOKUP(A898,kurspris!$A$1:$Q$798,16,FALSE)</f>
        <v>26986</v>
      </c>
      <c r="Z898" s="42">
        <f t="shared" si="498"/>
        <v>635152.42500000005</v>
      </c>
      <c r="AA898" s="42">
        <f>VLOOKUP(A898,kurspris!$A$1:$Q$798,17,FALSE)</f>
        <v>3400</v>
      </c>
      <c r="AB898" s="42">
        <f t="shared" si="499"/>
        <v>48450</v>
      </c>
      <c r="AC898" s="42">
        <f t="shared" si="500"/>
        <v>683602.42500000005</v>
      </c>
      <c r="AD898" s="31">
        <f>VLOOKUP($A898,kurspris!$A$1:$Q$835,3,FALSE)</f>
        <v>0</v>
      </c>
      <c r="AE898" s="31">
        <f>VLOOKUP($A898,kurspris!$A$1:$Q$835,4,FALSE)</f>
        <v>0</v>
      </c>
      <c r="AF898" s="31">
        <f>VLOOKUP($A898,kurspris!$A$1:$Q$835,5,FALSE)</f>
        <v>0</v>
      </c>
      <c r="AG898" s="31">
        <f>VLOOKUP($A898,kurspris!$A$1:$Q$835,6,FALSE)</f>
        <v>0</v>
      </c>
      <c r="AH898" s="31">
        <f>VLOOKUP($A898,kurspris!$A$1:$Q$835,7,FALSE)</f>
        <v>0</v>
      </c>
      <c r="AI898" s="31">
        <f>VLOOKUP($A898,kurspris!$A$1:$Q$835,8,FALSE)</f>
        <v>0</v>
      </c>
      <c r="AJ898" s="31">
        <f>VLOOKUP($A898,kurspris!$A$1:$Q$835,9,FALSE)</f>
        <v>0</v>
      </c>
      <c r="AK898" s="31">
        <f>VLOOKUP($A898,kurspris!$A$1:$Q$835,10,FALSE)</f>
        <v>0</v>
      </c>
      <c r="AL898" s="31">
        <f>VLOOKUP($A898,kurspris!$A$1:$Q$835,11,FALSE)</f>
        <v>1</v>
      </c>
      <c r="AM898" s="31">
        <f>VLOOKUP($A898,kurspris!$A$1:$Q$835,12,FALSE)</f>
        <v>0</v>
      </c>
      <c r="AN898" s="31">
        <f>VLOOKUP($A898,kurspris!$A$1:$Q$835,13,FALSE)</f>
        <v>0</v>
      </c>
      <c r="AO898" s="31">
        <f>VLOOKUP($A898,kurspris!$A$1:$Q$835,14,FALSE)</f>
        <v>0</v>
      </c>
      <c r="AP898" s="39" t="s">
        <v>2326</v>
      </c>
      <c r="AQ898"/>
      <c r="AR898" s="31">
        <f t="shared" si="501"/>
        <v>0</v>
      </c>
      <c r="AS898" s="255">
        <f t="shared" si="502"/>
        <v>0</v>
      </c>
      <c r="AT898" s="31">
        <f t="shared" si="503"/>
        <v>0</v>
      </c>
      <c r="AU898" s="255">
        <f t="shared" si="504"/>
        <v>0</v>
      </c>
      <c r="AV898" s="31">
        <f t="shared" si="505"/>
        <v>0</v>
      </c>
      <c r="AW898" s="31">
        <f t="shared" si="506"/>
        <v>0</v>
      </c>
      <c r="AX898" s="31">
        <f t="shared" si="507"/>
        <v>0</v>
      </c>
      <c r="AY898" s="255">
        <f t="shared" si="508"/>
        <v>0</v>
      </c>
      <c r="AZ898" s="232">
        <f t="shared" si="509"/>
        <v>0</v>
      </c>
      <c r="BA898" s="255">
        <f t="shared" si="510"/>
        <v>0</v>
      </c>
      <c r="BB898" s="31">
        <f t="shared" si="511"/>
        <v>0</v>
      </c>
      <c r="BC898" s="255">
        <f t="shared" si="512"/>
        <v>0</v>
      </c>
      <c r="BD898" s="31">
        <f t="shared" si="513"/>
        <v>0</v>
      </c>
      <c r="BE898" s="255">
        <f t="shared" si="514"/>
        <v>0</v>
      </c>
      <c r="BF898" s="31">
        <f t="shared" si="515"/>
        <v>0</v>
      </c>
      <c r="BG898" s="255">
        <f t="shared" si="516"/>
        <v>0</v>
      </c>
      <c r="BH898" s="31">
        <f t="shared" si="517"/>
        <v>14.25</v>
      </c>
      <c r="BI898" s="255">
        <f t="shared" si="518"/>
        <v>12.112499999999999</v>
      </c>
      <c r="BJ898" s="31">
        <f t="shared" si="519"/>
        <v>0</v>
      </c>
      <c r="BK898" s="31">
        <f t="shared" si="520"/>
        <v>0</v>
      </c>
      <c r="BL898" s="255">
        <f t="shared" si="521"/>
        <v>0</v>
      </c>
      <c r="BM898" s="31">
        <f t="shared" si="522"/>
        <v>0</v>
      </c>
      <c r="BN898" s="255">
        <f t="shared" si="523"/>
        <v>0</v>
      </c>
    </row>
    <row r="899" spans="1:66" x14ac:dyDescent="0.25">
      <c r="A899" s="18" t="s">
        <v>1752</v>
      </c>
      <c r="B899" s="186" t="str">
        <f>VLOOKUP(A899,kurspris!$A$1:$B$877,2,FALSE)</f>
        <v>Läraryrkets dimensioner för grundskolans årskurs 4-6 (VFU)</v>
      </c>
      <c r="C899" s="37"/>
      <c r="D899" s="31" t="s">
        <v>524</v>
      </c>
      <c r="E899" s="31" t="s">
        <v>1976</v>
      </c>
      <c r="F899" s="59" t="s">
        <v>1931</v>
      </c>
      <c r="G899" s="31" t="s">
        <v>2267</v>
      </c>
      <c r="L899" s="31">
        <v>100</v>
      </c>
      <c r="M899" s="31">
        <v>22.5</v>
      </c>
      <c r="P899" s="31">
        <v>2</v>
      </c>
      <c r="Q899" s="232">
        <f t="shared" si="496"/>
        <v>0.75</v>
      </c>
      <c r="R899" s="40">
        <v>0.85</v>
      </c>
      <c r="S899" s="334">
        <f t="shared" si="497"/>
        <v>0.63749999999999996</v>
      </c>
      <c r="T899" s="31">
        <f>VLOOKUP(A899,'Ansvar kurs'!$A$1:$C$1010,2,FALSE)</f>
        <v>5740</v>
      </c>
      <c r="U899" s="31" t="str">
        <f>VLOOKUP(T899,Orgenheter!$A$1:$C$165,2,FALSE)</f>
        <v>NMD</v>
      </c>
      <c r="V899" s="31" t="str">
        <f>VLOOKUP(T899,Orgenheter!$A$1:$C$165,3,FALSE)</f>
        <v>TekNat</v>
      </c>
      <c r="W899" s="37" t="str">
        <f>VLOOKUP(D899,Program!$A$1:$B$34,2,FALSE)</f>
        <v>Grundlärarprogrammet - grundskolans åk 4-6</v>
      </c>
      <c r="X899" s="42">
        <f>VLOOKUP(A899,kurspris!$A$1:$Q$798,15,FALSE)</f>
        <v>21634</v>
      </c>
      <c r="Y899" s="42">
        <f>VLOOKUP(A899,kurspris!$A$1:$Q$798,16,FALSE)</f>
        <v>26986</v>
      </c>
      <c r="Z899" s="42">
        <f t="shared" si="498"/>
        <v>33429.074999999997</v>
      </c>
      <c r="AA899" s="42">
        <f>VLOOKUP(A899,kurspris!$A$1:$Q$798,17,FALSE)</f>
        <v>3400</v>
      </c>
      <c r="AB899" s="42">
        <f t="shared" si="499"/>
        <v>2550</v>
      </c>
      <c r="AC899" s="42">
        <f t="shared" si="500"/>
        <v>35979.074999999997</v>
      </c>
      <c r="AD899" s="31">
        <f>VLOOKUP($A899,kurspris!$A$1:$Q$835,3,FALSE)</f>
        <v>0</v>
      </c>
      <c r="AE899" s="31">
        <f>VLOOKUP($A899,kurspris!$A$1:$Q$835,4,FALSE)</f>
        <v>0</v>
      </c>
      <c r="AF899" s="31">
        <f>VLOOKUP($A899,kurspris!$A$1:$Q$835,5,FALSE)</f>
        <v>0</v>
      </c>
      <c r="AG899" s="31">
        <f>VLOOKUP($A899,kurspris!$A$1:$Q$835,6,FALSE)</f>
        <v>0</v>
      </c>
      <c r="AH899" s="31">
        <f>VLOOKUP($A899,kurspris!$A$1:$Q$835,7,FALSE)</f>
        <v>0</v>
      </c>
      <c r="AI899" s="31">
        <f>VLOOKUP($A899,kurspris!$A$1:$Q$835,8,FALSE)</f>
        <v>0</v>
      </c>
      <c r="AJ899" s="31">
        <f>VLOOKUP($A899,kurspris!$A$1:$Q$835,9,FALSE)</f>
        <v>0</v>
      </c>
      <c r="AK899" s="31">
        <f>VLOOKUP($A899,kurspris!$A$1:$Q$835,10,FALSE)</f>
        <v>0</v>
      </c>
      <c r="AL899" s="31">
        <f>VLOOKUP($A899,kurspris!$A$1:$Q$835,11,FALSE)</f>
        <v>1</v>
      </c>
      <c r="AM899" s="31">
        <f>VLOOKUP($A899,kurspris!$A$1:$Q$835,12,FALSE)</f>
        <v>0</v>
      </c>
      <c r="AN899" s="31">
        <f>VLOOKUP($A899,kurspris!$A$1:$Q$835,13,FALSE)</f>
        <v>0</v>
      </c>
      <c r="AO899" s="31">
        <f>VLOOKUP($A899,kurspris!$A$1:$Q$835,14,FALSE)</f>
        <v>0</v>
      </c>
      <c r="AP899" s="39" t="s">
        <v>2326</v>
      </c>
      <c r="AQ899"/>
      <c r="AR899" s="31">
        <f t="shared" si="501"/>
        <v>0</v>
      </c>
      <c r="AS899" s="255">
        <f t="shared" si="502"/>
        <v>0</v>
      </c>
      <c r="AT899" s="31">
        <f t="shared" si="503"/>
        <v>0</v>
      </c>
      <c r="AU899" s="255">
        <f t="shared" si="504"/>
        <v>0</v>
      </c>
      <c r="AV899" s="31">
        <f t="shared" si="505"/>
        <v>0</v>
      </c>
      <c r="AW899" s="31">
        <f t="shared" si="506"/>
        <v>0</v>
      </c>
      <c r="AX899" s="31">
        <f t="shared" si="507"/>
        <v>0</v>
      </c>
      <c r="AY899" s="255">
        <f t="shared" si="508"/>
        <v>0</v>
      </c>
      <c r="AZ899" s="232">
        <f t="shared" si="509"/>
        <v>0</v>
      </c>
      <c r="BA899" s="255">
        <f t="shared" si="510"/>
        <v>0</v>
      </c>
      <c r="BB899" s="31">
        <f t="shared" si="511"/>
        <v>0</v>
      </c>
      <c r="BC899" s="255">
        <f t="shared" si="512"/>
        <v>0</v>
      </c>
      <c r="BD899" s="31">
        <f t="shared" si="513"/>
        <v>0</v>
      </c>
      <c r="BE899" s="255">
        <f t="shared" si="514"/>
        <v>0</v>
      </c>
      <c r="BF899" s="31">
        <f t="shared" si="515"/>
        <v>0</v>
      </c>
      <c r="BG899" s="255">
        <f t="shared" si="516"/>
        <v>0</v>
      </c>
      <c r="BH899" s="31">
        <f t="shared" si="517"/>
        <v>0.75</v>
      </c>
      <c r="BI899" s="255">
        <f t="shared" si="518"/>
        <v>0.63749999999999996</v>
      </c>
      <c r="BJ899" s="31">
        <f t="shared" si="519"/>
        <v>0</v>
      </c>
      <c r="BK899" s="31">
        <f t="shared" si="520"/>
        <v>0</v>
      </c>
      <c r="BL899" s="255">
        <f t="shared" si="521"/>
        <v>0</v>
      </c>
      <c r="BM899" s="31">
        <f t="shared" si="522"/>
        <v>0</v>
      </c>
      <c r="BN899" s="255">
        <f t="shared" si="523"/>
        <v>0</v>
      </c>
    </row>
    <row r="900" spans="1:66" x14ac:dyDescent="0.25">
      <c r="A900" s="18" t="s">
        <v>1752</v>
      </c>
      <c r="B900" s="186" t="str">
        <f>VLOOKUP(A900,kurspris!$A$1:$B$877,2,FALSE)</f>
        <v>Läraryrkets dimensioner för grundskolans årskurs 4-6 (VFU)</v>
      </c>
      <c r="C900" s="37"/>
      <c r="D900" s="31" t="s">
        <v>524</v>
      </c>
      <c r="E900" s="31" t="s">
        <v>1973</v>
      </c>
      <c r="F900" s="59" t="s">
        <v>1931</v>
      </c>
      <c r="G900" s="31" t="s">
        <v>2267</v>
      </c>
      <c r="L900" s="31">
        <v>100</v>
      </c>
      <c r="M900" s="31">
        <v>22.5</v>
      </c>
      <c r="P900" s="31">
        <v>23</v>
      </c>
      <c r="Q900" s="232">
        <f t="shared" si="496"/>
        <v>8.625</v>
      </c>
      <c r="R900" s="40">
        <v>0.85</v>
      </c>
      <c r="S900" s="334">
        <f t="shared" si="497"/>
        <v>7.3312499999999998</v>
      </c>
      <c r="T900" s="31">
        <f>VLOOKUP(A900,'Ansvar kurs'!$A$1:$C$1010,2,FALSE)</f>
        <v>5740</v>
      </c>
      <c r="U900" s="31" t="str">
        <f>VLOOKUP(T900,Orgenheter!$A$1:$C$165,2,FALSE)</f>
        <v>NMD</v>
      </c>
      <c r="V900" s="31" t="str">
        <f>VLOOKUP(T900,Orgenheter!$A$1:$C$165,3,FALSE)</f>
        <v>TekNat</v>
      </c>
      <c r="W900" s="37" t="str">
        <f>VLOOKUP(D900,Program!$A$1:$B$34,2,FALSE)</f>
        <v>Grundlärarprogrammet - grundskolans åk 4-6</v>
      </c>
      <c r="X900" s="42">
        <f>VLOOKUP(A900,kurspris!$A$1:$Q$798,15,FALSE)</f>
        <v>21634</v>
      </c>
      <c r="Y900" s="42">
        <f>VLOOKUP(A900,kurspris!$A$1:$Q$798,16,FALSE)</f>
        <v>26986</v>
      </c>
      <c r="Z900" s="42">
        <f t="shared" si="498"/>
        <v>384434.36249999999</v>
      </c>
      <c r="AA900" s="42">
        <f>VLOOKUP(A900,kurspris!$A$1:$Q$798,17,FALSE)</f>
        <v>3400</v>
      </c>
      <c r="AB900" s="42">
        <f t="shared" si="499"/>
        <v>29325</v>
      </c>
      <c r="AC900" s="42">
        <f t="shared" si="500"/>
        <v>413759.36249999999</v>
      </c>
      <c r="AD900" s="31">
        <f>VLOOKUP($A900,kurspris!$A$1:$Q$835,3,FALSE)</f>
        <v>0</v>
      </c>
      <c r="AE900" s="31">
        <f>VLOOKUP($A900,kurspris!$A$1:$Q$835,4,FALSE)</f>
        <v>0</v>
      </c>
      <c r="AF900" s="31">
        <f>VLOOKUP($A900,kurspris!$A$1:$Q$835,5,FALSE)</f>
        <v>0</v>
      </c>
      <c r="AG900" s="31">
        <f>VLOOKUP($A900,kurspris!$A$1:$Q$835,6,FALSE)</f>
        <v>0</v>
      </c>
      <c r="AH900" s="31">
        <f>VLOOKUP($A900,kurspris!$A$1:$Q$835,7,FALSE)</f>
        <v>0</v>
      </c>
      <c r="AI900" s="31">
        <f>VLOOKUP($A900,kurspris!$A$1:$Q$835,8,FALSE)</f>
        <v>0</v>
      </c>
      <c r="AJ900" s="31">
        <f>VLOOKUP($A900,kurspris!$A$1:$Q$835,9,FALSE)</f>
        <v>0</v>
      </c>
      <c r="AK900" s="31">
        <f>VLOOKUP($A900,kurspris!$A$1:$Q$835,10,FALSE)</f>
        <v>0</v>
      </c>
      <c r="AL900" s="31">
        <f>VLOOKUP($A900,kurspris!$A$1:$Q$835,11,FALSE)</f>
        <v>1</v>
      </c>
      <c r="AM900" s="31">
        <f>VLOOKUP($A900,kurspris!$A$1:$Q$835,12,FALSE)</f>
        <v>0</v>
      </c>
      <c r="AN900" s="31">
        <f>VLOOKUP($A900,kurspris!$A$1:$Q$835,13,FALSE)</f>
        <v>0</v>
      </c>
      <c r="AO900" s="31">
        <f>VLOOKUP($A900,kurspris!$A$1:$Q$835,14,FALSE)</f>
        <v>0</v>
      </c>
      <c r="AP900" s="39" t="s">
        <v>2326</v>
      </c>
      <c r="AQ900"/>
      <c r="AR900" s="31">
        <f t="shared" si="501"/>
        <v>0</v>
      </c>
      <c r="AS900" s="255">
        <f t="shared" si="502"/>
        <v>0</v>
      </c>
      <c r="AT900" s="31">
        <f t="shared" si="503"/>
        <v>0</v>
      </c>
      <c r="AU900" s="255">
        <f t="shared" si="504"/>
        <v>0</v>
      </c>
      <c r="AV900" s="31">
        <f t="shared" si="505"/>
        <v>0</v>
      </c>
      <c r="AW900" s="31">
        <f t="shared" si="506"/>
        <v>0</v>
      </c>
      <c r="AX900" s="31">
        <f t="shared" si="507"/>
        <v>0</v>
      </c>
      <c r="AY900" s="255">
        <f t="shared" si="508"/>
        <v>0</v>
      </c>
      <c r="AZ900" s="232">
        <f t="shared" si="509"/>
        <v>0</v>
      </c>
      <c r="BA900" s="255">
        <f t="shared" si="510"/>
        <v>0</v>
      </c>
      <c r="BB900" s="31">
        <f t="shared" si="511"/>
        <v>0</v>
      </c>
      <c r="BC900" s="255">
        <f t="shared" si="512"/>
        <v>0</v>
      </c>
      <c r="BD900" s="31">
        <f t="shared" si="513"/>
        <v>0</v>
      </c>
      <c r="BE900" s="255">
        <f t="shared" si="514"/>
        <v>0</v>
      </c>
      <c r="BF900" s="31">
        <f t="shared" si="515"/>
        <v>0</v>
      </c>
      <c r="BG900" s="255">
        <f t="shared" si="516"/>
        <v>0</v>
      </c>
      <c r="BH900" s="31">
        <f t="shared" si="517"/>
        <v>8.625</v>
      </c>
      <c r="BI900" s="255">
        <f t="shared" si="518"/>
        <v>7.3312499999999998</v>
      </c>
      <c r="BJ900" s="31">
        <f t="shared" si="519"/>
        <v>0</v>
      </c>
      <c r="BK900" s="31">
        <f t="shared" si="520"/>
        <v>0</v>
      </c>
      <c r="BL900" s="255">
        <f t="shared" si="521"/>
        <v>0</v>
      </c>
      <c r="BM900" s="31">
        <f t="shared" si="522"/>
        <v>0</v>
      </c>
      <c r="BN900" s="255">
        <f t="shared" si="523"/>
        <v>0</v>
      </c>
    </row>
    <row r="901" spans="1:66" x14ac:dyDescent="0.25">
      <c r="A901" t="s">
        <v>1783</v>
      </c>
      <c r="B901" s="186" t="str">
        <f>VLOOKUP(A901,kurspris!$A$1:$B$877,2,FALSE)</f>
        <v>Läraryrkets dimensioner för fritidshem 3 (VFU)</v>
      </c>
      <c r="C901"/>
      <c r="D901" t="s">
        <v>485</v>
      </c>
      <c r="E901" t="s">
        <v>1973</v>
      </c>
      <c r="F901" s="59" t="s">
        <v>1930</v>
      </c>
      <c r="G901" t="s">
        <v>1989</v>
      </c>
      <c r="H901" t="s">
        <v>1910</v>
      </c>
      <c r="I901"/>
      <c r="J901"/>
      <c r="K901"/>
      <c r="L901">
        <v>100</v>
      </c>
      <c r="M901">
        <v>7.5</v>
      </c>
      <c r="N901"/>
      <c r="O901"/>
      <c r="P901" s="31">
        <v>21</v>
      </c>
      <c r="Q901" s="232">
        <f t="shared" si="496"/>
        <v>2.625</v>
      </c>
      <c r="R901" s="40">
        <v>0.85</v>
      </c>
      <c r="S901" s="334">
        <f t="shared" si="497"/>
        <v>2.2312499999999997</v>
      </c>
      <c r="T901" s="31">
        <f>VLOOKUP(A901,'Ansvar kurs'!$A$1:$C$1010,2,FALSE)</f>
        <v>2193</v>
      </c>
      <c r="U901" s="31" t="str">
        <f>VLOOKUP(T901,Orgenheter!$A$1:$C$165,2,FALSE)</f>
        <v xml:space="preserve">TUV </v>
      </c>
      <c r="V901" s="31" t="str">
        <f>VLOOKUP(T901,Orgenheter!$A$1:$C$165,3,FALSE)</f>
        <v>Sam</v>
      </c>
      <c r="W901" s="37" t="str">
        <f>VLOOKUP(D901,Program!$A$1:$B$34,2,FALSE)</f>
        <v>Grundlärarprogrammet - fritidshem</v>
      </c>
      <c r="X901" s="42">
        <f>VLOOKUP(A901,kurspris!$A$1:$Q$798,15,FALSE)</f>
        <v>21634</v>
      </c>
      <c r="Y901" s="42">
        <f>VLOOKUP(A901,kurspris!$A$1:$Q$798,16,FALSE)</f>
        <v>26986</v>
      </c>
      <c r="Z901" s="42">
        <f t="shared" si="498"/>
        <v>117001.76249999998</v>
      </c>
      <c r="AA901" s="42">
        <f>VLOOKUP(A901,kurspris!$A$1:$Q$798,17,FALSE)</f>
        <v>3400</v>
      </c>
      <c r="AB901" s="42">
        <f t="shared" si="499"/>
        <v>8925</v>
      </c>
      <c r="AC901" s="42">
        <f t="shared" si="500"/>
        <v>125926.76249999998</v>
      </c>
      <c r="AD901" s="31">
        <f>VLOOKUP($A901,kurspris!$A$1:$Q$835,3,FALSE)</f>
        <v>0</v>
      </c>
      <c r="AE901" s="31">
        <f>VLOOKUP($A901,kurspris!$A$1:$Q$835,4,FALSE)</f>
        <v>0</v>
      </c>
      <c r="AF901" s="31">
        <f>VLOOKUP($A901,kurspris!$A$1:$Q$835,5,FALSE)</f>
        <v>0</v>
      </c>
      <c r="AG901" s="31">
        <f>VLOOKUP($A901,kurspris!$A$1:$Q$835,6,FALSE)</f>
        <v>0</v>
      </c>
      <c r="AH901" s="31">
        <f>VLOOKUP($A901,kurspris!$A$1:$Q$835,7,FALSE)</f>
        <v>0</v>
      </c>
      <c r="AI901" s="31">
        <f>VLOOKUP($A901,kurspris!$A$1:$Q$835,8,FALSE)</f>
        <v>0</v>
      </c>
      <c r="AJ901" s="31">
        <f>VLOOKUP($A901,kurspris!$A$1:$Q$835,9,FALSE)</f>
        <v>0</v>
      </c>
      <c r="AK901" s="31">
        <f>VLOOKUP($A901,kurspris!$A$1:$Q$835,10,FALSE)</f>
        <v>0</v>
      </c>
      <c r="AL901" s="31">
        <f>VLOOKUP($A901,kurspris!$A$1:$Q$835,11,FALSE)</f>
        <v>1</v>
      </c>
      <c r="AM901" s="31">
        <f>VLOOKUP($A901,kurspris!$A$1:$Q$835,12,FALSE)</f>
        <v>0</v>
      </c>
      <c r="AN901" s="31">
        <f>VLOOKUP($A901,kurspris!$A$1:$Q$835,13,FALSE)</f>
        <v>0</v>
      </c>
      <c r="AO901" s="31">
        <f>VLOOKUP($A901,kurspris!$A$1:$Q$835,14,FALSE)</f>
        <v>0</v>
      </c>
      <c r="AP901" s="39" t="s">
        <v>2204</v>
      </c>
      <c r="AQ901"/>
      <c r="AR901" s="31">
        <f t="shared" si="501"/>
        <v>0</v>
      </c>
      <c r="AS901" s="255">
        <f t="shared" si="502"/>
        <v>0</v>
      </c>
      <c r="AT901" s="31">
        <f t="shared" si="503"/>
        <v>0</v>
      </c>
      <c r="AU901" s="255">
        <f t="shared" si="504"/>
        <v>0</v>
      </c>
      <c r="AV901" s="31">
        <f t="shared" si="505"/>
        <v>0</v>
      </c>
      <c r="AW901" s="31">
        <f t="shared" si="506"/>
        <v>0</v>
      </c>
      <c r="AX901" s="31">
        <f t="shared" si="507"/>
        <v>0</v>
      </c>
      <c r="AY901" s="255">
        <f t="shared" si="508"/>
        <v>0</v>
      </c>
      <c r="AZ901" s="232">
        <f t="shared" si="509"/>
        <v>0</v>
      </c>
      <c r="BA901" s="255">
        <f t="shared" si="510"/>
        <v>0</v>
      </c>
      <c r="BB901" s="31">
        <f t="shared" si="511"/>
        <v>0</v>
      </c>
      <c r="BC901" s="255">
        <f t="shared" si="512"/>
        <v>0</v>
      </c>
      <c r="BD901" s="31">
        <f t="shared" si="513"/>
        <v>0</v>
      </c>
      <c r="BE901" s="255">
        <f t="shared" si="514"/>
        <v>0</v>
      </c>
      <c r="BF901" s="31">
        <f t="shared" si="515"/>
        <v>0</v>
      </c>
      <c r="BG901" s="255">
        <f t="shared" si="516"/>
        <v>0</v>
      </c>
      <c r="BH901" s="31">
        <f t="shared" si="517"/>
        <v>2.625</v>
      </c>
      <c r="BI901" s="255">
        <f t="shared" si="518"/>
        <v>2.2312499999999997</v>
      </c>
      <c r="BJ901" s="31">
        <f t="shared" si="519"/>
        <v>0</v>
      </c>
      <c r="BK901" s="31">
        <f t="shared" si="520"/>
        <v>0</v>
      </c>
      <c r="BL901" s="255">
        <f t="shared" si="521"/>
        <v>0</v>
      </c>
      <c r="BM901" s="31">
        <f t="shared" si="522"/>
        <v>0</v>
      </c>
      <c r="BN901" s="255">
        <f t="shared" si="523"/>
        <v>0</v>
      </c>
    </row>
    <row r="902" spans="1:66" x14ac:dyDescent="0.25">
      <c r="A902" t="s">
        <v>1865</v>
      </c>
      <c r="B902" s="186" t="str">
        <f>VLOOKUP(A902,kurspris!$A$1:$B$877,2,FALSE)</f>
        <v>Samhällsorientering för förskolan</v>
      </c>
      <c r="C902"/>
      <c r="D902" t="s">
        <v>484</v>
      </c>
      <c r="E902" t="s">
        <v>1976</v>
      </c>
      <c r="F902" s="39" t="s">
        <v>1930</v>
      </c>
      <c r="G902" t="s">
        <v>1979</v>
      </c>
      <c r="H902" t="s">
        <v>1910</v>
      </c>
      <c r="I902"/>
      <c r="J902"/>
      <c r="K902"/>
      <c r="L902">
        <v>100</v>
      </c>
      <c r="M902">
        <v>15</v>
      </c>
      <c r="N902"/>
      <c r="O902"/>
      <c r="P902" s="31">
        <v>1</v>
      </c>
      <c r="Q902" s="232">
        <f t="shared" si="496"/>
        <v>0.25</v>
      </c>
      <c r="R902" s="40">
        <v>0.85</v>
      </c>
      <c r="S902" s="334">
        <f t="shared" si="497"/>
        <v>0.21249999999999999</v>
      </c>
      <c r="T902" s="31">
        <f>VLOOKUP(A902,'Ansvar kurs'!$A$1:$C$1010,2,FALSE)</f>
        <v>2193</v>
      </c>
      <c r="U902" s="31" t="str">
        <f>VLOOKUP(T902,Orgenheter!$A$1:$C$165,2,FALSE)</f>
        <v xml:space="preserve">TUV </v>
      </c>
      <c r="V902" s="31" t="str">
        <f>VLOOKUP(T902,Orgenheter!$A$1:$C$165,3,FALSE)</f>
        <v>Sam</v>
      </c>
      <c r="W902" s="37" t="str">
        <f>VLOOKUP(D902,Program!$A$1:$B$34,2,FALSE)</f>
        <v>Förskollärarprogrammet</v>
      </c>
      <c r="X902" s="42">
        <f>VLOOKUP(A902,kurspris!$A$1:$Q$798,15,FALSE)</f>
        <v>18405</v>
      </c>
      <c r="Y902" s="42">
        <f>VLOOKUP(A902,kurspris!$A$1:$Q$798,16,FALSE)</f>
        <v>15773</v>
      </c>
      <c r="Z902" s="42">
        <f t="shared" si="498"/>
        <v>7953.0124999999998</v>
      </c>
      <c r="AA902" s="42">
        <f>VLOOKUP(A902,kurspris!$A$1:$Q$798,17,FALSE)</f>
        <v>5800</v>
      </c>
      <c r="AB902" s="42">
        <f t="shared" si="499"/>
        <v>1450</v>
      </c>
      <c r="AC902" s="42">
        <f t="shared" si="500"/>
        <v>9403.0125000000007</v>
      </c>
      <c r="AD902" s="31">
        <f>VLOOKUP($A902,kurspris!$A$1:$Q$835,3,FALSE)</f>
        <v>0</v>
      </c>
      <c r="AE902" s="31">
        <f>VLOOKUP($A902,kurspris!$A$1:$Q$835,4,FALSE)</f>
        <v>0</v>
      </c>
      <c r="AF902" s="31">
        <f>VLOOKUP($A902,kurspris!$A$1:$Q$835,5,FALSE)</f>
        <v>0</v>
      </c>
      <c r="AG902" s="31">
        <f>VLOOKUP($A902,kurspris!$A$1:$Q$835,6,FALSE)</f>
        <v>0</v>
      </c>
      <c r="AH902" s="31">
        <f>VLOOKUP($A902,kurspris!$A$1:$Q$835,7,FALSE)</f>
        <v>0</v>
      </c>
      <c r="AI902" s="31">
        <f>VLOOKUP($A902,kurspris!$A$1:$Q$835,8,FALSE)</f>
        <v>0</v>
      </c>
      <c r="AJ902" s="31">
        <f>VLOOKUP($A902,kurspris!$A$1:$Q$835,9,FALSE)</f>
        <v>1</v>
      </c>
      <c r="AK902" s="31">
        <f>VLOOKUP($A902,kurspris!$A$1:$Q$835,10,FALSE)</f>
        <v>0</v>
      </c>
      <c r="AL902" s="31">
        <f>VLOOKUP($A902,kurspris!$A$1:$Q$835,11,FALSE)</f>
        <v>0</v>
      </c>
      <c r="AM902" s="31">
        <f>VLOOKUP($A902,kurspris!$A$1:$Q$835,12,FALSE)</f>
        <v>0</v>
      </c>
      <c r="AN902" s="31">
        <f>VLOOKUP($A902,kurspris!$A$1:$Q$835,13,FALSE)</f>
        <v>0</v>
      </c>
      <c r="AO902" s="31">
        <f>VLOOKUP($A902,kurspris!$A$1:$Q$835,14,FALSE)</f>
        <v>0</v>
      </c>
      <c r="AP902" s="39" t="s">
        <v>2204</v>
      </c>
      <c r="AQ902"/>
      <c r="AR902" s="31">
        <f t="shared" si="501"/>
        <v>0</v>
      </c>
      <c r="AS902" s="255">
        <f t="shared" si="502"/>
        <v>0</v>
      </c>
      <c r="AT902" s="31">
        <f t="shared" si="503"/>
        <v>0</v>
      </c>
      <c r="AU902" s="255">
        <f t="shared" si="504"/>
        <v>0</v>
      </c>
      <c r="AV902" s="31">
        <f t="shared" si="505"/>
        <v>0</v>
      </c>
      <c r="AW902" s="31">
        <f t="shared" si="506"/>
        <v>0</v>
      </c>
      <c r="AX902" s="31">
        <f t="shared" si="507"/>
        <v>0</v>
      </c>
      <c r="AY902" s="255">
        <f t="shared" si="508"/>
        <v>0</v>
      </c>
      <c r="AZ902" s="232">
        <f t="shared" si="509"/>
        <v>0</v>
      </c>
      <c r="BA902" s="255">
        <f t="shared" si="510"/>
        <v>0</v>
      </c>
      <c r="BB902" s="31">
        <f t="shared" si="511"/>
        <v>0</v>
      </c>
      <c r="BC902" s="255">
        <f t="shared" si="512"/>
        <v>0</v>
      </c>
      <c r="BD902" s="31">
        <f t="shared" si="513"/>
        <v>0.25</v>
      </c>
      <c r="BE902" s="255">
        <f t="shared" si="514"/>
        <v>0.21249999999999999</v>
      </c>
      <c r="BF902" s="31">
        <f t="shared" si="515"/>
        <v>0</v>
      </c>
      <c r="BG902" s="255">
        <f t="shared" si="516"/>
        <v>0</v>
      </c>
      <c r="BH902" s="31">
        <f t="shared" si="517"/>
        <v>0</v>
      </c>
      <c r="BI902" s="255">
        <f t="shared" si="518"/>
        <v>0</v>
      </c>
      <c r="BJ902" s="31">
        <f t="shared" si="519"/>
        <v>0</v>
      </c>
      <c r="BK902" s="31">
        <f t="shared" si="520"/>
        <v>0</v>
      </c>
      <c r="BL902" s="255">
        <f t="shared" si="521"/>
        <v>0</v>
      </c>
      <c r="BM902" s="31">
        <f t="shared" si="522"/>
        <v>0</v>
      </c>
      <c r="BN902" s="255">
        <f t="shared" si="523"/>
        <v>0</v>
      </c>
    </row>
    <row r="903" spans="1:66" x14ac:dyDescent="0.25">
      <c r="A903" t="s">
        <v>1865</v>
      </c>
      <c r="B903" s="186" t="str">
        <f>VLOOKUP(A903,kurspris!$A$1:$B$877,2,FALSE)</f>
        <v>Samhällsorientering för förskolan</v>
      </c>
      <c r="C903"/>
      <c r="D903" t="s">
        <v>484</v>
      </c>
      <c r="E903" t="s">
        <v>1973</v>
      </c>
      <c r="F903" s="39" t="s">
        <v>1930</v>
      </c>
      <c r="G903" t="s">
        <v>1979</v>
      </c>
      <c r="H903" t="s">
        <v>1910</v>
      </c>
      <c r="I903"/>
      <c r="J903"/>
      <c r="K903"/>
      <c r="L903">
        <v>100</v>
      </c>
      <c r="M903">
        <v>15</v>
      </c>
      <c r="N903"/>
      <c r="O903"/>
      <c r="P903" s="31">
        <v>58</v>
      </c>
      <c r="Q903" s="232">
        <f t="shared" si="496"/>
        <v>14.5</v>
      </c>
      <c r="R903" s="40">
        <v>0.85</v>
      </c>
      <c r="S903" s="334">
        <f t="shared" si="497"/>
        <v>12.324999999999999</v>
      </c>
      <c r="T903" s="31">
        <f>VLOOKUP(A903,'Ansvar kurs'!$A$1:$C$1010,2,FALSE)</f>
        <v>2193</v>
      </c>
      <c r="U903" s="31" t="str">
        <f>VLOOKUP(T903,Orgenheter!$A$1:$C$165,2,FALSE)</f>
        <v xml:space="preserve">TUV </v>
      </c>
      <c r="V903" s="31" t="str">
        <f>VLOOKUP(T903,Orgenheter!$A$1:$C$165,3,FALSE)</f>
        <v>Sam</v>
      </c>
      <c r="W903" s="37" t="str">
        <f>VLOOKUP(D903,Program!$A$1:$B$34,2,FALSE)</f>
        <v>Förskollärarprogrammet</v>
      </c>
      <c r="X903" s="42">
        <f>VLOOKUP(A903,kurspris!$A$1:$Q$798,15,FALSE)</f>
        <v>18405</v>
      </c>
      <c r="Y903" s="42">
        <f>VLOOKUP(A903,kurspris!$A$1:$Q$798,16,FALSE)</f>
        <v>15773</v>
      </c>
      <c r="Z903" s="42">
        <f t="shared" si="498"/>
        <v>461274.72499999998</v>
      </c>
      <c r="AA903" s="42">
        <f>VLOOKUP(A903,kurspris!$A$1:$Q$798,17,FALSE)</f>
        <v>5800</v>
      </c>
      <c r="AB903" s="42">
        <f t="shared" si="499"/>
        <v>84100</v>
      </c>
      <c r="AC903" s="42">
        <f t="shared" si="500"/>
        <v>545374.72499999998</v>
      </c>
      <c r="AD903" s="31">
        <f>VLOOKUP($A903,kurspris!$A$1:$Q$835,3,FALSE)</f>
        <v>0</v>
      </c>
      <c r="AE903" s="31">
        <f>VLOOKUP($A903,kurspris!$A$1:$Q$835,4,FALSE)</f>
        <v>0</v>
      </c>
      <c r="AF903" s="31">
        <f>VLOOKUP($A903,kurspris!$A$1:$Q$835,5,FALSE)</f>
        <v>0</v>
      </c>
      <c r="AG903" s="31">
        <f>VLOOKUP($A903,kurspris!$A$1:$Q$835,6,FALSE)</f>
        <v>0</v>
      </c>
      <c r="AH903" s="31">
        <f>VLOOKUP($A903,kurspris!$A$1:$Q$835,7,FALSE)</f>
        <v>0</v>
      </c>
      <c r="AI903" s="31">
        <f>VLOOKUP($A903,kurspris!$A$1:$Q$835,8,FALSE)</f>
        <v>0</v>
      </c>
      <c r="AJ903" s="31">
        <f>VLOOKUP($A903,kurspris!$A$1:$Q$835,9,FALSE)</f>
        <v>1</v>
      </c>
      <c r="AK903" s="31">
        <f>VLOOKUP($A903,kurspris!$A$1:$Q$835,10,FALSE)</f>
        <v>0</v>
      </c>
      <c r="AL903" s="31">
        <f>VLOOKUP($A903,kurspris!$A$1:$Q$835,11,FALSE)</f>
        <v>0</v>
      </c>
      <c r="AM903" s="31">
        <f>VLOOKUP($A903,kurspris!$A$1:$Q$835,12,FALSE)</f>
        <v>0</v>
      </c>
      <c r="AN903" s="31">
        <f>VLOOKUP($A903,kurspris!$A$1:$Q$835,13,FALSE)</f>
        <v>0</v>
      </c>
      <c r="AO903" s="31">
        <f>VLOOKUP($A903,kurspris!$A$1:$Q$835,14,FALSE)</f>
        <v>0</v>
      </c>
      <c r="AP903" s="39" t="s">
        <v>2204</v>
      </c>
      <c r="AQ903"/>
      <c r="AR903" s="31">
        <f t="shared" si="501"/>
        <v>0</v>
      </c>
      <c r="AS903" s="255">
        <f t="shared" si="502"/>
        <v>0</v>
      </c>
      <c r="AT903" s="31">
        <f t="shared" si="503"/>
        <v>0</v>
      </c>
      <c r="AU903" s="255">
        <f t="shared" si="504"/>
        <v>0</v>
      </c>
      <c r="AV903" s="31">
        <f t="shared" si="505"/>
        <v>0</v>
      </c>
      <c r="AW903" s="31">
        <f t="shared" si="506"/>
        <v>0</v>
      </c>
      <c r="AX903" s="31">
        <f t="shared" si="507"/>
        <v>0</v>
      </c>
      <c r="AY903" s="255">
        <f t="shared" si="508"/>
        <v>0</v>
      </c>
      <c r="AZ903" s="232">
        <f t="shared" si="509"/>
        <v>0</v>
      </c>
      <c r="BA903" s="255">
        <f t="shared" si="510"/>
        <v>0</v>
      </c>
      <c r="BB903" s="31">
        <f t="shared" si="511"/>
        <v>0</v>
      </c>
      <c r="BC903" s="255">
        <f t="shared" si="512"/>
        <v>0</v>
      </c>
      <c r="BD903" s="31">
        <f t="shared" si="513"/>
        <v>14.5</v>
      </c>
      <c r="BE903" s="255">
        <f t="shared" si="514"/>
        <v>12.324999999999999</v>
      </c>
      <c r="BF903" s="31">
        <f t="shared" si="515"/>
        <v>0</v>
      </c>
      <c r="BG903" s="255">
        <f t="shared" si="516"/>
        <v>0</v>
      </c>
      <c r="BH903" s="31">
        <f t="shared" si="517"/>
        <v>0</v>
      </c>
      <c r="BI903" s="255">
        <f t="shared" si="518"/>
        <v>0</v>
      </c>
      <c r="BJ903" s="31">
        <f t="shared" si="519"/>
        <v>0</v>
      </c>
      <c r="BK903" s="31">
        <f t="shared" si="520"/>
        <v>0</v>
      </c>
      <c r="BL903" s="255">
        <f t="shared" si="521"/>
        <v>0</v>
      </c>
      <c r="BM903" s="31">
        <f t="shared" si="522"/>
        <v>0</v>
      </c>
      <c r="BN903" s="255">
        <f t="shared" si="523"/>
        <v>0</v>
      </c>
    </row>
    <row r="904" spans="1:66" x14ac:dyDescent="0.25">
      <c r="A904" s="18" t="s">
        <v>1865</v>
      </c>
      <c r="B904" s="186" t="str">
        <f>VLOOKUP(A904,kurspris!$A$1:$B$877,2,FALSE)</f>
        <v>Samhällsorientering för förskolan</v>
      </c>
      <c r="C904" s="37"/>
      <c r="D904" s="31" t="s">
        <v>484</v>
      </c>
      <c r="E904" s="31" t="s">
        <v>1973</v>
      </c>
      <c r="F904" s="59" t="s">
        <v>1931</v>
      </c>
      <c r="G904" s="31" t="s">
        <v>2270</v>
      </c>
      <c r="L904" s="31">
        <v>100</v>
      </c>
      <c r="M904" s="31">
        <v>15</v>
      </c>
      <c r="P904" s="31">
        <v>3</v>
      </c>
      <c r="Q904" s="232">
        <f t="shared" si="496"/>
        <v>0.75</v>
      </c>
      <c r="R904" s="40">
        <v>0.85</v>
      </c>
      <c r="S904" s="334">
        <f t="shared" si="497"/>
        <v>0.63749999999999996</v>
      </c>
      <c r="T904" s="31">
        <f>VLOOKUP(A904,'Ansvar kurs'!$A$1:$C$1010,2,FALSE)</f>
        <v>2193</v>
      </c>
      <c r="U904" s="31" t="str">
        <f>VLOOKUP(T904,Orgenheter!$A$1:$C$165,2,FALSE)</f>
        <v xml:space="preserve">TUV </v>
      </c>
      <c r="V904" s="31" t="str">
        <f>VLOOKUP(T904,Orgenheter!$A$1:$C$165,3,FALSE)</f>
        <v>Sam</v>
      </c>
      <c r="W904" s="37" t="str">
        <f>VLOOKUP(D904,Program!$A$1:$B$34,2,FALSE)</f>
        <v>Förskollärarprogrammet</v>
      </c>
      <c r="X904" s="42">
        <f>VLOOKUP(A904,kurspris!$A$1:$Q$798,15,FALSE)</f>
        <v>18405</v>
      </c>
      <c r="Y904" s="42">
        <f>VLOOKUP(A904,kurspris!$A$1:$Q$798,16,FALSE)</f>
        <v>15773</v>
      </c>
      <c r="Z904" s="42">
        <f t="shared" si="498"/>
        <v>23859.037499999999</v>
      </c>
      <c r="AA904" s="42">
        <f>VLOOKUP(A904,kurspris!$A$1:$Q$798,17,FALSE)</f>
        <v>5800</v>
      </c>
      <c r="AB904" s="42">
        <f t="shared" si="499"/>
        <v>4350</v>
      </c>
      <c r="AC904" s="42">
        <f t="shared" si="500"/>
        <v>28209.037499999999</v>
      </c>
      <c r="AD904" s="31">
        <f>VLOOKUP($A904,kurspris!$A$1:$Q$835,3,FALSE)</f>
        <v>0</v>
      </c>
      <c r="AE904" s="31">
        <f>VLOOKUP($A904,kurspris!$A$1:$Q$835,4,FALSE)</f>
        <v>0</v>
      </c>
      <c r="AF904" s="31">
        <f>VLOOKUP($A904,kurspris!$A$1:$Q$835,5,FALSE)</f>
        <v>0</v>
      </c>
      <c r="AG904" s="31">
        <f>VLOOKUP($A904,kurspris!$A$1:$Q$835,6,FALSE)</f>
        <v>0</v>
      </c>
      <c r="AH904" s="31">
        <f>VLOOKUP($A904,kurspris!$A$1:$Q$835,7,FALSE)</f>
        <v>0</v>
      </c>
      <c r="AI904" s="31">
        <f>VLOOKUP($A904,kurspris!$A$1:$Q$835,8,FALSE)</f>
        <v>0</v>
      </c>
      <c r="AJ904" s="31">
        <f>VLOOKUP($A904,kurspris!$A$1:$Q$835,9,FALSE)</f>
        <v>1</v>
      </c>
      <c r="AK904" s="31">
        <f>VLOOKUP($A904,kurspris!$A$1:$Q$835,10,FALSE)</f>
        <v>0</v>
      </c>
      <c r="AL904" s="31">
        <f>VLOOKUP($A904,kurspris!$A$1:$Q$835,11,FALSE)</f>
        <v>0</v>
      </c>
      <c r="AM904" s="31">
        <f>VLOOKUP($A904,kurspris!$A$1:$Q$835,12,FALSE)</f>
        <v>0</v>
      </c>
      <c r="AN904" s="31">
        <f>VLOOKUP($A904,kurspris!$A$1:$Q$835,13,FALSE)</f>
        <v>0</v>
      </c>
      <c r="AO904" s="31">
        <f>VLOOKUP($A904,kurspris!$A$1:$Q$835,14,FALSE)</f>
        <v>0</v>
      </c>
      <c r="AP904" s="39" t="s">
        <v>2326</v>
      </c>
      <c r="AQ904"/>
      <c r="AR904" s="31">
        <f t="shared" si="501"/>
        <v>0</v>
      </c>
      <c r="AS904" s="255">
        <f t="shared" si="502"/>
        <v>0</v>
      </c>
      <c r="AT904" s="31">
        <f t="shared" si="503"/>
        <v>0</v>
      </c>
      <c r="AU904" s="255">
        <f t="shared" si="504"/>
        <v>0</v>
      </c>
      <c r="AV904" s="31">
        <f t="shared" si="505"/>
        <v>0</v>
      </c>
      <c r="AW904" s="31">
        <f t="shared" si="506"/>
        <v>0</v>
      </c>
      <c r="AX904" s="31">
        <f t="shared" si="507"/>
        <v>0</v>
      </c>
      <c r="AY904" s="255">
        <f t="shared" si="508"/>
        <v>0</v>
      </c>
      <c r="AZ904" s="232">
        <f t="shared" si="509"/>
        <v>0</v>
      </c>
      <c r="BA904" s="255">
        <f t="shared" si="510"/>
        <v>0</v>
      </c>
      <c r="BB904" s="31">
        <f t="shared" si="511"/>
        <v>0</v>
      </c>
      <c r="BC904" s="255">
        <f t="shared" si="512"/>
        <v>0</v>
      </c>
      <c r="BD904" s="31">
        <f t="shared" si="513"/>
        <v>0.75</v>
      </c>
      <c r="BE904" s="255">
        <f t="shared" si="514"/>
        <v>0.63749999999999996</v>
      </c>
      <c r="BF904" s="31">
        <f t="shared" si="515"/>
        <v>0</v>
      </c>
      <c r="BG904" s="255">
        <f t="shared" si="516"/>
        <v>0</v>
      </c>
      <c r="BH904" s="31">
        <f t="shared" si="517"/>
        <v>0</v>
      </c>
      <c r="BI904" s="255">
        <f t="shared" si="518"/>
        <v>0</v>
      </c>
      <c r="BJ904" s="31">
        <f t="shared" si="519"/>
        <v>0</v>
      </c>
      <c r="BK904" s="31">
        <f t="shared" si="520"/>
        <v>0</v>
      </c>
      <c r="BL904" s="255">
        <f t="shared" si="521"/>
        <v>0</v>
      </c>
      <c r="BM904" s="31">
        <f t="shared" si="522"/>
        <v>0</v>
      </c>
      <c r="BN904" s="255">
        <f t="shared" si="523"/>
        <v>0</v>
      </c>
    </row>
    <row r="905" spans="1:66" x14ac:dyDescent="0.25">
      <c r="A905" t="s">
        <v>1865</v>
      </c>
      <c r="B905" s="186" t="str">
        <f>VLOOKUP(A905,kurspris!$A$1:$B$877,2,FALSE)</f>
        <v>Samhällsorientering för förskolan</v>
      </c>
      <c r="C905"/>
      <c r="D905" t="s">
        <v>484</v>
      </c>
      <c r="E905" t="s">
        <v>1974</v>
      </c>
      <c r="F905" s="39" t="s">
        <v>1930</v>
      </c>
      <c r="G905" t="s">
        <v>1979</v>
      </c>
      <c r="H905" t="s">
        <v>1910</v>
      </c>
      <c r="I905"/>
      <c r="J905"/>
      <c r="K905"/>
      <c r="L905">
        <v>100</v>
      </c>
      <c r="M905">
        <v>15</v>
      </c>
      <c r="N905"/>
      <c r="O905"/>
      <c r="P905" s="31">
        <v>1</v>
      </c>
      <c r="Q905" s="232">
        <f t="shared" si="496"/>
        <v>0.25</v>
      </c>
      <c r="R905" s="40">
        <v>0.85</v>
      </c>
      <c r="S905" s="334">
        <f t="shared" si="497"/>
        <v>0.21249999999999999</v>
      </c>
      <c r="T905" s="31">
        <f>VLOOKUP(A905,'Ansvar kurs'!$A$1:$C$1010,2,FALSE)</f>
        <v>2193</v>
      </c>
      <c r="U905" s="31" t="str">
        <f>VLOOKUP(T905,Orgenheter!$A$1:$C$165,2,FALSE)</f>
        <v xml:space="preserve">TUV </v>
      </c>
      <c r="V905" s="31" t="str">
        <f>VLOOKUP(T905,Orgenheter!$A$1:$C$165,3,FALSE)</f>
        <v>Sam</v>
      </c>
      <c r="W905" s="37" t="str">
        <f>VLOOKUP(D905,Program!$A$1:$B$34,2,FALSE)</f>
        <v>Förskollärarprogrammet</v>
      </c>
      <c r="X905" s="42">
        <f>VLOOKUP(A905,kurspris!$A$1:$Q$798,15,FALSE)</f>
        <v>18405</v>
      </c>
      <c r="Y905" s="42">
        <f>VLOOKUP(A905,kurspris!$A$1:$Q$798,16,FALSE)</f>
        <v>15773</v>
      </c>
      <c r="Z905" s="42">
        <f t="shared" si="498"/>
        <v>7953.0124999999998</v>
      </c>
      <c r="AA905" s="42">
        <f>VLOOKUP(A905,kurspris!$A$1:$Q$798,17,FALSE)</f>
        <v>5800</v>
      </c>
      <c r="AB905" s="42">
        <f t="shared" si="499"/>
        <v>1450</v>
      </c>
      <c r="AC905" s="42">
        <f t="shared" si="500"/>
        <v>9403.0125000000007</v>
      </c>
      <c r="AD905" s="31">
        <f>VLOOKUP($A905,kurspris!$A$1:$Q$835,3,FALSE)</f>
        <v>0</v>
      </c>
      <c r="AE905" s="31">
        <f>VLOOKUP($A905,kurspris!$A$1:$Q$835,4,FALSE)</f>
        <v>0</v>
      </c>
      <c r="AF905" s="31">
        <f>VLOOKUP($A905,kurspris!$A$1:$Q$835,5,FALSE)</f>
        <v>0</v>
      </c>
      <c r="AG905" s="31">
        <f>VLOOKUP($A905,kurspris!$A$1:$Q$835,6,FALSE)</f>
        <v>0</v>
      </c>
      <c r="AH905" s="31">
        <f>VLOOKUP($A905,kurspris!$A$1:$Q$835,7,FALSE)</f>
        <v>0</v>
      </c>
      <c r="AI905" s="31">
        <f>VLOOKUP($A905,kurspris!$A$1:$Q$835,8,FALSE)</f>
        <v>0</v>
      </c>
      <c r="AJ905" s="31">
        <f>VLOOKUP($A905,kurspris!$A$1:$Q$835,9,FALSE)</f>
        <v>1</v>
      </c>
      <c r="AK905" s="31">
        <f>VLOOKUP($A905,kurspris!$A$1:$Q$835,10,FALSE)</f>
        <v>0</v>
      </c>
      <c r="AL905" s="31">
        <f>VLOOKUP($A905,kurspris!$A$1:$Q$835,11,FALSE)</f>
        <v>0</v>
      </c>
      <c r="AM905" s="31">
        <f>VLOOKUP($A905,kurspris!$A$1:$Q$835,12,FALSE)</f>
        <v>0</v>
      </c>
      <c r="AN905" s="31">
        <f>VLOOKUP($A905,kurspris!$A$1:$Q$835,13,FALSE)</f>
        <v>0</v>
      </c>
      <c r="AO905" s="31">
        <f>VLOOKUP($A905,kurspris!$A$1:$Q$835,14,FALSE)</f>
        <v>0</v>
      </c>
      <c r="AP905" s="39" t="s">
        <v>2204</v>
      </c>
      <c r="AQ905"/>
      <c r="AR905" s="31">
        <f t="shared" si="501"/>
        <v>0</v>
      </c>
      <c r="AS905" s="255">
        <f t="shared" si="502"/>
        <v>0</v>
      </c>
      <c r="AT905" s="31">
        <f t="shared" si="503"/>
        <v>0</v>
      </c>
      <c r="AU905" s="255">
        <f t="shared" si="504"/>
        <v>0</v>
      </c>
      <c r="AV905" s="31">
        <f t="shared" si="505"/>
        <v>0</v>
      </c>
      <c r="AW905" s="31">
        <f t="shared" si="506"/>
        <v>0</v>
      </c>
      <c r="AX905" s="31">
        <f t="shared" si="507"/>
        <v>0</v>
      </c>
      <c r="AY905" s="255">
        <f t="shared" si="508"/>
        <v>0</v>
      </c>
      <c r="AZ905" s="232">
        <f t="shared" si="509"/>
        <v>0</v>
      </c>
      <c r="BA905" s="255">
        <f t="shared" si="510"/>
        <v>0</v>
      </c>
      <c r="BB905" s="31">
        <f t="shared" si="511"/>
        <v>0</v>
      </c>
      <c r="BC905" s="255">
        <f t="shared" si="512"/>
        <v>0</v>
      </c>
      <c r="BD905" s="31">
        <f t="shared" si="513"/>
        <v>0.25</v>
      </c>
      <c r="BE905" s="255">
        <f t="shared" si="514"/>
        <v>0.21249999999999999</v>
      </c>
      <c r="BF905" s="31">
        <f t="shared" si="515"/>
        <v>0</v>
      </c>
      <c r="BG905" s="255">
        <f t="shared" si="516"/>
        <v>0</v>
      </c>
      <c r="BH905" s="31">
        <f t="shared" si="517"/>
        <v>0</v>
      </c>
      <c r="BI905" s="255">
        <f t="shared" si="518"/>
        <v>0</v>
      </c>
      <c r="BJ905" s="31">
        <f t="shared" si="519"/>
        <v>0</v>
      </c>
      <c r="BK905" s="31">
        <f t="shared" si="520"/>
        <v>0</v>
      </c>
      <c r="BL905" s="255">
        <f t="shared" si="521"/>
        <v>0</v>
      </c>
      <c r="BM905" s="31">
        <f t="shared" si="522"/>
        <v>0</v>
      </c>
      <c r="BN905" s="255">
        <f t="shared" si="523"/>
        <v>0</v>
      </c>
    </row>
    <row r="906" spans="1:66" x14ac:dyDescent="0.25">
      <c r="A906" t="s">
        <v>1865</v>
      </c>
      <c r="B906" s="186" t="str">
        <f>VLOOKUP(A906,kurspris!$A$1:$B$877,2,FALSE)</f>
        <v>Samhällsorientering för förskolan</v>
      </c>
      <c r="C906"/>
      <c r="D906" t="s">
        <v>484</v>
      </c>
      <c r="E906" t="s">
        <v>1974</v>
      </c>
      <c r="F906" s="39" t="s">
        <v>1930</v>
      </c>
      <c r="G906" t="s">
        <v>1979</v>
      </c>
      <c r="H906" t="s">
        <v>1910</v>
      </c>
      <c r="I906"/>
      <c r="J906"/>
      <c r="K906"/>
      <c r="L906">
        <v>100</v>
      </c>
      <c r="M906">
        <v>15</v>
      </c>
      <c r="N906"/>
      <c r="O906"/>
      <c r="P906" s="31">
        <v>2</v>
      </c>
      <c r="Q906" s="232">
        <f t="shared" si="496"/>
        <v>0.5</v>
      </c>
      <c r="R906" s="40">
        <v>0.85</v>
      </c>
      <c r="S906" s="334">
        <f t="shared" si="497"/>
        <v>0.42499999999999999</v>
      </c>
      <c r="T906" s="31">
        <f>VLOOKUP(A906,'Ansvar kurs'!$A$1:$C$1010,2,FALSE)</f>
        <v>2193</v>
      </c>
      <c r="U906" s="31" t="str">
        <f>VLOOKUP(T906,Orgenheter!$A$1:$C$165,2,FALSE)</f>
        <v xml:space="preserve">TUV </v>
      </c>
      <c r="V906" s="31" t="str">
        <f>VLOOKUP(T906,Orgenheter!$A$1:$C$165,3,FALSE)</f>
        <v>Sam</v>
      </c>
      <c r="W906" s="37" t="str">
        <f>VLOOKUP(D906,Program!$A$1:$B$34,2,FALSE)</f>
        <v>Förskollärarprogrammet</v>
      </c>
      <c r="X906" s="42">
        <f>VLOOKUP(A906,kurspris!$A$1:$Q$798,15,FALSE)</f>
        <v>18405</v>
      </c>
      <c r="Y906" s="42">
        <f>VLOOKUP(A906,kurspris!$A$1:$Q$798,16,FALSE)</f>
        <v>15773</v>
      </c>
      <c r="Z906" s="42">
        <f t="shared" si="498"/>
        <v>15906.025</v>
      </c>
      <c r="AA906" s="42">
        <f>VLOOKUP(A906,kurspris!$A$1:$Q$798,17,FALSE)</f>
        <v>5800</v>
      </c>
      <c r="AB906" s="42">
        <f t="shared" si="499"/>
        <v>2900</v>
      </c>
      <c r="AC906" s="42">
        <f t="shared" si="500"/>
        <v>18806.025000000001</v>
      </c>
      <c r="AD906" s="31">
        <f>VLOOKUP($A906,kurspris!$A$1:$Q$835,3,FALSE)</f>
        <v>0</v>
      </c>
      <c r="AE906" s="31">
        <f>VLOOKUP($A906,kurspris!$A$1:$Q$835,4,FALSE)</f>
        <v>0</v>
      </c>
      <c r="AF906" s="31">
        <f>VLOOKUP($A906,kurspris!$A$1:$Q$835,5,FALSE)</f>
        <v>0</v>
      </c>
      <c r="AG906" s="31">
        <f>VLOOKUP($A906,kurspris!$A$1:$Q$835,6,FALSE)</f>
        <v>0</v>
      </c>
      <c r="AH906" s="31">
        <f>VLOOKUP($A906,kurspris!$A$1:$Q$835,7,FALSE)</f>
        <v>0</v>
      </c>
      <c r="AI906" s="31">
        <f>VLOOKUP($A906,kurspris!$A$1:$Q$835,8,FALSE)</f>
        <v>0</v>
      </c>
      <c r="AJ906" s="31">
        <f>VLOOKUP($A906,kurspris!$A$1:$Q$835,9,FALSE)</f>
        <v>1</v>
      </c>
      <c r="AK906" s="31">
        <f>VLOOKUP($A906,kurspris!$A$1:$Q$835,10,FALSE)</f>
        <v>0</v>
      </c>
      <c r="AL906" s="31">
        <f>VLOOKUP($A906,kurspris!$A$1:$Q$835,11,FALSE)</f>
        <v>0</v>
      </c>
      <c r="AM906" s="31">
        <f>VLOOKUP($A906,kurspris!$A$1:$Q$835,12,FALSE)</f>
        <v>0</v>
      </c>
      <c r="AN906" s="31">
        <f>VLOOKUP($A906,kurspris!$A$1:$Q$835,13,FALSE)</f>
        <v>0</v>
      </c>
      <c r="AO906" s="31">
        <f>VLOOKUP($A906,kurspris!$A$1:$Q$835,14,FALSE)</f>
        <v>0</v>
      </c>
      <c r="AP906" s="39" t="s">
        <v>2204</v>
      </c>
      <c r="AQ906"/>
      <c r="AR906" s="31">
        <f t="shared" si="501"/>
        <v>0</v>
      </c>
      <c r="AS906" s="255">
        <f t="shared" si="502"/>
        <v>0</v>
      </c>
      <c r="AT906" s="31">
        <f t="shared" si="503"/>
        <v>0</v>
      </c>
      <c r="AU906" s="255">
        <f t="shared" si="504"/>
        <v>0</v>
      </c>
      <c r="AV906" s="31">
        <f t="shared" si="505"/>
        <v>0</v>
      </c>
      <c r="AW906" s="31">
        <f t="shared" si="506"/>
        <v>0</v>
      </c>
      <c r="AX906" s="31">
        <f t="shared" si="507"/>
        <v>0</v>
      </c>
      <c r="AY906" s="255">
        <f t="shared" si="508"/>
        <v>0</v>
      </c>
      <c r="AZ906" s="232">
        <f t="shared" si="509"/>
        <v>0</v>
      </c>
      <c r="BA906" s="255">
        <f t="shared" si="510"/>
        <v>0</v>
      </c>
      <c r="BB906" s="31">
        <f t="shared" si="511"/>
        <v>0</v>
      </c>
      <c r="BC906" s="255">
        <f t="shared" si="512"/>
        <v>0</v>
      </c>
      <c r="BD906" s="31">
        <f t="shared" si="513"/>
        <v>0.5</v>
      </c>
      <c r="BE906" s="255">
        <f t="shared" si="514"/>
        <v>0.42499999999999999</v>
      </c>
      <c r="BF906" s="31">
        <f t="shared" si="515"/>
        <v>0</v>
      </c>
      <c r="BG906" s="255">
        <f t="shared" si="516"/>
        <v>0</v>
      </c>
      <c r="BH906" s="31">
        <f t="shared" si="517"/>
        <v>0</v>
      </c>
      <c r="BI906" s="255">
        <f t="shared" si="518"/>
        <v>0</v>
      </c>
      <c r="BJ906" s="31">
        <f t="shared" si="519"/>
        <v>0</v>
      </c>
      <c r="BK906" s="31">
        <f t="shared" si="520"/>
        <v>0</v>
      </c>
      <c r="BL906" s="255">
        <f t="shared" si="521"/>
        <v>0</v>
      </c>
      <c r="BM906" s="31">
        <f t="shared" si="522"/>
        <v>0</v>
      </c>
      <c r="BN906" s="255">
        <f t="shared" si="523"/>
        <v>0</v>
      </c>
    </row>
    <row r="907" spans="1:66" x14ac:dyDescent="0.25">
      <c r="A907" s="18" t="s">
        <v>1865</v>
      </c>
      <c r="B907" s="186" t="str">
        <f>VLOOKUP(A907,kurspris!$A$1:$B$877,2,FALSE)</f>
        <v>Samhällsorientering för förskolan</v>
      </c>
      <c r="C907" s="37"/>
      <c r="D907" s="31" t="s">
        <v>484</v>
      </c>
      <c r="E907" s="31" t="s">
        <v>1974</v>
      </c>
      <c r="F907" s="59" t="s">
        <v>1931</v>
      </c>
      <c r="G907" s="31" t="s">
        <v>2270</v>
      </c>
      <c r="L907" s="31">
        <v>100</v>
      </c>
      <c r="M907" s="31">
        <v>15</v>
      </c>
      <c r="P907" s="31">
        <v>1</v>
      </c>
      <c r="Q907" s="232">
        <f t="shared" si="496"/>
        <v>0.25</v>
      </c>
      <c r="R907" s="40">
        <v>0.85</v>
      </c>
      <c r="S907" s="334">
        <f t="shared" si="497"/>
        <v>0.21249999999999999</v>
      </c>
      <c r="T907" s="31">
        <f>VLOOKUP(A907,'Ansvar kurs'!$A$1:$C$1010,2,FALSE)</f>
        <v>2193</v>
      </c>
      <c r="U907" s="31" t="str">
        <f>VLOOKUP(T907,Orgenheter!$A$1:$C$165,2,FALSE)</f>
        <v xml:space="preserve">TUV </v>
      </c>
      <c r="V907" s="31" t="str">
        <f>VLOOKUP(T907,Orgenheter!$A$1:$C$165,3,FALSE)</f>
        <v>Sam</v>
      </c>
      <c r="W907" s="37" t="str">
        <f>VLOOKUP(D907,Program!$A$1:$B$34,2,FALSE)</f>
        <v>Förskollärarprogrammet</v>
      </c>
      <c r="X907" s="42">
        <f>VLOOKUP(A907,kurspris!$A$1:$Q$798,15,FALSE)</f>
        <v>18405</v>
      </c>
      <c r="Y907" s="42">
        <f>VLOOKUP(A907,kurspris!$A$1:$Q$798,16,FALSE)</f>
        <v>15773</v>
      </c>
      <c r="Z907" s="42">
        <f t="shared" si="498"/>
        <v>7953.0124999999998</v>
      </c>
      <c r="AA907" s="42">
        <f>VLOOKUP(A907,kurspris!$A$1:$Q$798,17,FALSE)</f>
        <v>5800</v>
      </c>
      <c r="AB907" s="42">
        <f t="shared" si="499"/>
        <v>1450</v>
      </c>
      <c r="AC907" s="42">
        <f t="shared" si="500"/>
        <v>9403.0125000000007</v>
      </c>
      <c r="AD907" s="31">
        <f>VLOOKUP($A907,kurspris!$A$1:$Q$835,3,FALSE)</f>
        <v>0</v>
      </c>
      <c r="AE907" s="31">
        <f>VLOOKUP($A907,kurspris!$A$1:$Q$835,4,FALSE)</f>
        <v>0</v>
      </c>
      <c r="AF907" s="31">
        <f>VLOOKUP($A907,kurspris!$A$1:$Q$835,5,FALSE)</f>
        <v>0</v>
      </c>
      <c r="AG907" s="31">
        <f>VLOOKUP($A907,kurspris!$A$1:$Q$835,6,FALSE)</f>
        <v>0</v>
      </c>
      <c r="AH907" s="31">
        <f>VLOOKUP($A907,kurspris!$A$1:$Q$835,7,FALSE)</f>
        <v>0</v>
      </c>
      <c r="AI907" s="31">
        <f>VLOOKUP($A907,kurspris!$A$1:$Q$835,8,FALSE)</f>
        <v>0</v>
      </c>
      <c r="AJ907" s="31">
        <f>VLOOKUP($A907,kurspris!$A$1:$Q$835,9,FALSE)</f>
        <v>1</v>
      </c>
      <c r="AK907" s="31">
        <f>VLOOKUP($A907,kurspris!$A$1:$Q$835,10,FALSE)</f>
        <v>0</v>
      </c>
      <c r="AL907" s="31">
        <f>VLOOKUP($A907,kurspris!$A$1:$Q$835,11,FALSE)</f>
        <v>0</v>
      </c>
      <c r="AM907" s="31">
        <f>VLOOKUP($A907,kurspris!$A$1:$Q$835,12,FALSE)</f>
        <v>0</v>
      </c>
      <c r="AN907" s="31">
        <f>VLOOKUP($A907,kurspris!$A$1:$Q$835,13,FALSE)</f>
        <v>0</v>
      </c>
      <c r="AO907" s="31">
        <f>VLOOKUP($A907,kurspris!$A$1:$Q$835,14,FALSE)</f>
        <v>0</v>
      </c>
      <c r="AP907" s="39" t="s">
        <v>2326</v>
      </c>
      <c r="AQ907"/>
      <c r="AR907" s="31">
        <f t="shared" si="501"/>
        <v>0</v>
      </c>
      <c r="AS907" s="255">
        <f t="shared" si="502"/>
        <v>0</v>
      </c>
      <c r="AT907" s="31">
        <f t="shared" si="503"/>
        <v>0</v>
      </c>
      <c r="AU907" s="255">
        <f t="shared" si="504"/>
        <v>0</v>
      </c>
      <c r="AV907" s="31">
        <f t="shared" si="505"/>
        <v>0</v>
      </c>
      <c r="AW907" s="31">
        <f t="shared" si="506"/>
        <v>0</v>
      </c>
      <c r="AX907" s="31">
        <f t="shared" si="507"/>
        <v>0</v>
      </c>
      <c r="AY907" s="255">
        <f t="shared" si="508"/>
        <v>0</v>
      </c>
      <c r="AZ907" s="232">
        <f t="shared" si="509"/>
        <v>0</v>
      </c>
      <c r="BA907" s="255">
        <f t="shared" si="510"/>
        <v>0</v>
      </c>
      <c r="BB907" s="31">
        <f t="shared" si="511"/>
        <v>0</v>
      </c>
      <c r="BC907" s="255">
        <f t="shared" si="512"/>
        <v>0</v>
      </c>
      <c r="BD907" s="31">
        <f t="shared" si="513"/>
        <v>0.25</v>
      </c>
      <c r="BE907" s="255">
        <f t="shared" si="514"/>
        <v>0.21249999999999999</v>
      </c>
      <c r="BF907" s="31">
        <f t="shared" si="515"/>
        <v>0</v>
      </c>
      <c r="BG907" s="255">
        <f t="shared" si="516"/>
        <v>0</v>
      </c>
      <c r="BH907" s="31">
        <f t="shared" si="517"/>
        <v>0</v>
      </c>
      <c r="BI907" s="255">
        <f t="shared" si="518"/>
        <v>0</v>
      </c>
      <c r="BJ907" s="31">
        <f t="shared" si="519"/>
        <v>0</v>
      </c>
      <c r="BK907" s="31">
        <f t="shared" si="520"/>
        <v>0</v>
      </c>
      <c r="BL907" s="255">
        <f t="shared" si="521"/>
        <v>0</v>
      </c>
      <c r="BM907" s="31">
        <f t="shared" si="522"/>
        <v>0</v>
      </c>
      <c r="BN907" s="255">
        <f t="shared" si="523"/>
        <v>0</v>
      </c>
    </row>
    <row r="908" spans="1:66" x14ac:dyDescent="0.25">
      <c r="A908" s="18" t="s">
        <v>1865</v>
      </c>
      <c r="B908" s="186" t="str">
        <f>VLOOKUP(A908,kurspris!$A$1:$B$877,2,FALSE)</f>
        <v>Samhällsorientering för förskolan</v>
      </c>
      <c r="C908" s="37"/>
      <c r="D908" s="31" t="s">
        <v>484</v>
      </c>
      <c r="E908" s="31" t="s">
        <v>1608</v>
      </c>
      <c r="F908" s="59" t="s">
        <v>1931</v>
      </c>
      <c r="G908" s="31" t="s">
        <v>2270</v>
      </c>
      <c r="L908" s="31">
        <v>100</v>
      </c>
      <c r="M908" s="31">
        <v>15</v>
      </c>
      <c r="P908" s="31">
        <v>20</v>
      </c>
      <c r="Q908" s="232">
        <f t="shared" si="496"/>
        <v>5</v>
      </c>
      <c r="R908" s="40">
        <v>0.85</v>
      </c>
      <c r="S908" s="334">
        <f t="shared" si="497"/>
        <v>4.25</v>
      </c>
      <c r="T908" s="31">
        <f>VLOOKUP(A908,'Ansvar kurs'!$A$1:$C$1010,2,FALSE)</f>
        <v>2193</v>
      </c>
      <c r="U908" s="31" t="str">
        <f>VLOOKUP(T908,Orgenheter!$A$1:$C$165,2,FALSE)</f>
        <v xml:space="preserve">TUV </v>
      </c>
      <c r="V908" s="31" t="str">
        <f>VLOOKUP(T908,Orgenheter!$A$1:$C$165,3,FALSE)</f>
        <v>Sam</v>
      </c>
      <c r="W908" s="37" t="str">
        <f>VLOOKUP(D908,Program!$A$1:$B$34,2,FALSE)</f>
        <v>Förskollärarprogrammet</v>
      </c>
      <c r="X908" s="42">
        <f>VLOOKUP(A908,kurspris!$A$1:$Q$798,15,FALSE)</f>
        <v>18405</v>
      </c>
      <c r="Y908" s="42">
        <f>VLOOKUP(A908,kurspris!$A$1:$Q$798,16,FALSE)</f>
        <v>15773</v>
      </c>
      <c r="Z908" s="42">
        <f t="shared" si="498"/>
        <v>159060.25</v>
      </c>
      <c r="AA908" s="42">
        <f>VLOOKUP(A908,kurspris!$A$1:$Q$798,17,FALSE)</f>
        <v>5800</v>
      </c>
      <c r="AB908" s="42">
        <f t="shared" si="499"/>
        <v>29000</v>
      </c>
      <c r="AC908" s="42">
        <f t="shared" si="500"/>
        <v>188060.25</v>
      </c>
      <c r="AD908" s="31">
        <f>VLOOKUP($A908,kurspris!$A$1:$Q$835,3,FALSE)</f>
        <v>0</v>
      </c>
      <c r="AE908" s="31">
        <f>VLOOKUP($A908,kurspris!$A$1:$Q$835,4,FALSE)</f>
        <v>0</v>
      </c>
      <c r="AF908" s="31">
        <f>VLOOKUP($A908,kurspris!$A$1:$Q$835,5,FALSE)</f>
        <v>0</v>
      </c>
      <c r="AG908" s="31">
        <f>VLOOKUP($A908,kurspris!$A$1:$Q$835,6,FALSE)</f>
        <v>0</v>
      </c>
      <c r="AH908" s="31">
        <f>VLOOKUP($A908,kurspris!$A$1:$Q$835,7,FALSE)</f>
        <v>0</v>
      </c>
      <c r="AI908" s="31">
        <f>VLOOKUP($A908,kurspris!$A$1:$Q$835,8,FALSE)</f>
        <v>0</v>
      </c>
      <c r="AJ908" s="31">
        <f>VLOOKUP($A908,kurspris!$A$1:$Q$835,9,FALSE)</f>
        <v>1</v>
      </c>
      <c r="AK908" s="31">
        <f>VLOOKUP($A908,kurspris!$A$1:$Q$835,10,FALSE)</f>
        <v>0</v>
      </c>
      <c r="AL908" s="31">
        <f>VLOOKUP($A908,kurspris!$A$1:$Q$835,11,FALSE)</f>
        <v>0</v>
      </c>
      <c r="AM908" s="31">
        <f>VLOOKUP($A908,kurspris!$A$1:$Q$835,12,FALSE)</f>
        <v>0</v>
      </c>
      <c r="AN908" s="31">
        <f>VLOOKUP($A908,kurspris!$A$1:$Q$835,13,FALSE)</f>
        <v>0</v>
      </c>
      <c r="AO908" s="31">
        <f>VLOOKUP($A908,kurspris!$A$1:$Q$835,14,FALSE)</f>
        <v>0</v>
      </c>
      <c r="AP908" s="39" t="s">
        <v>2326</v>
      </c>
      <c r="AQ908"/>
      <c r="AR908" s="31">
        <f t="shared" si="501"/>
        <v>0</v>
      </c>
      <c r="AS908" s="255">
        <f t="shared" si="502"/>
        <v>0</v>
      </c>
      <c r="AT908" s="31">
        <f t="shared" si="503"/>
        <v>0</v>
      </c>
      <c r="AU908" s="255">
        <f t="shared" si="504"/>
        <v>0</v>
      </c>
      <c r="AV908" s="31">
        <f t="shared" si="505"/>
        <v>0</v>
      </c>
      <c r="AW908" s="31">
        <f t="shared" si="506"/>
        <v>0</v>
      </c>
      <c r="AX908" s="31">
        <f t="shared" si="507"/>
        <v>0</v>
      </c>
      <c r="AY908" s="255">
        <f t="shared" si="508"/>
        <v>0</v>
      </c>
      <c r="AZ908" s="232">
        <f t="shared" si="509"/>
        <v>0</v>
      </c>
      <c r="BA908" s="255">
        <f t="shared" si="510"/>
        <v>0</v>
      </c>
      <c r="BB908" s="31">
        <f t="shared" si="511"/>
        <v>0</v>
      </c>
      <c r="BC908" s="255">
        <f t="shared" si="512"/>
        <v>0</v>
      </c>
      <c r="BD908" s="31">
        <f t="shared" si="513"/>
        <v>5</v>
      </c>
      <c r="BE908" s="255">
        <f t="shared" si="514"/>
        <v>4.25</v>
      </c>
      <c r="BF908" s="31">
        <f t="shared" si="515"/>
        <v>0</v>
      </c>
      <c r="BG908" s="255">
        <f t="shared" si="516"/>
        <v>0</v>
      </c>
      <c r="BH908" s="31">
        <f t="shared" si="517"/>
        <v>0</v>
      </c>
      <c r="BI908" s="255">
        <f t="shared" si="518"/>
        <v>0</v>
      </c>
      <c r="BJ908" s="31">
        <f t="shared" si="519"/>
        <v>0</v>
      </c>
      <c r="BK908" s="31">
        <f t="shared" si="520"/>
        <v>0</v>
      </c>
      <c r="BL908" s="255">
        <f t="shared" si="521"/>
        <v>0</v>
      </c>
      <c r="BM908" s="31">
        <f t="shared" si="522"/>
        <v>0</v>
      </c>
      <c r="BN908" s="255">
        <f t="shared" si="523"/>
        <v>0</v>
      </c>
    </row>
    <row r="909" spans="1:66" x14ac:dyDescent="0.25">
      <c r="A909" t="s">
        <v>1866</v>
      </c>
      <c r="B909" s="186" t="str">
        <f>VLOOKUP(A909,kurspris!$A$1:$B$877,2,FALSE)</f>
        <v>Profession och vetenskap för förskolan (UK)</v>
      </c>
      <c r="C909"/>
      <c r="D909" t="s">
        <v>484</v>
      </c>
      <c r="E909" t="s">
        <v>1975</v>
      </c>
      <c r="F909" s="39" t="s">
        <v>1930</v>
      </c>
      <c r="G909" t="s">
        <v>1933</v>
      </c>
      <c r="H909" t="s">
        <v>1910</v>
      </c>
      <c r="I909"/>
      <c r="J909"/>
      <c r="K909"/>
      <c r="L909">
        <v>100</v>
      </c>
      <c r="M909">
        <v>7.5</v>
      </c>
      <c r="N909"/>
      <c r="O909"/>
      <c r="P909" s="31">
        <v>1</v>
      </c>
      <c r="Q909" s="232">
        <f t="shared" si="496"/>
        <v>0.125</v>
      </c>
      <c r="R909" s="40">
        <v>0.85</v>
      </c>
      <c r="S909" s="334">
        <f t="shared" si="497"/>
        <v>0.10625</v>
      </c>
      <c r="T909" s="31">
        <f>VLOOKUP(A909,'Ansvar kurs'!$A$1:$C$1010,2,FALSE)</f>
        <v>2193</v>
      </c>
      <c r="U909" s="31" t="str">
        <f>VLOOKUP(T909,Orgenheter!$A$1:$C$165,2,FALSE)</f>
        <v xml:space="preserve">TUV </v>
      </c>
      <c r="V909" s="31" t="str">
        <f>VLOOKUP(T909,Orgenheter!$A$1:$C$165,3,FALSE)</f>
        <v>Sam</v>
      </c>
      <c r="W909" s="37" t="str">
        <f>VLOOKUP(D909,Program!$A$1:$B$34,2,FALSE)</f>
        <v>Förskollärarprogrammet</v>
      </c>
      <c r="X909" s="42">
        <f>VLOOKUP(A909,kurspris!$A$1:$Q$798,15,FALSE)</f>
        <v>23641</v>
      </c>
      <c r="Y909" s="42">
        <f>VLOOKUP(A909,kurspris!$A$1:$Q$798,16,FALSE)</f>
        <v>28786</v>
      </c>
      <c r="Z909" s="42">
        <f t="shared" si="498"/>
        <v>6013.6374999999998</v>
      </c>
      <c r="AA909" s="42">
        <f>VLOOKUP(A909,kurspris!$A$1:$Q$798,17,FALSE)</f>
        <v>5800</v>
      </c>
      <c r="AB909" s="42">
        <f t="shared" si="499"/>
        <v>725</v>
      </c>
      <c r="AC909" s="42">
        <f t="shared" si="500"/>
        <v>6738.6374999999998</v>
      </c>
      <c r="AD909" s="31">
        <f>VLOOKUP($A909,kurspris!$A$1:$Q$835,3,FALSE)</f>
        <v>0</v>
      </c>
      <c r="AE909" s="31">
        <f>VLOOKUP($A909,kurspris!$A$1:$Q$835,4,FALSE)</f>
        <v>0</v>
      </c>
      <c r="AF909" s="31">
        <f>VLOOKUP($A909,kurspris!$A$1:$Q$835,5,FALSE)</f>
        <v>0</v>
      </c>
      <c r="AG909" s="31">
        <f>VLOOKUP($A909,kurspris!$A$1:$Q$835,6,FALSE)</f>
        <v>1</v>
      </c>
      <c r="AH909" s="31">
        <f>VLOOKUP($A909,kurspris!$A$1:$Q$835,7,FALSE)</f>
        <v>0</v>
      </c>
      <c r="AI909" s="31">
        <f>VLOOKUP($A909,kurspris!$A$1:$Q$835,8,FALSE)</f>
        <v>0</v>
      </c>
      <c r="AJ909" s="31">
        <f>VLOOKUP($A909,kurspris!$A$1:$Q$835,9,FALSE)</f>
        <v>0</v>
      </c>
      <c r="AK909" s="31">
        <f>VLOOKUP($A909,kurspris!$A$1:$Q$835,10,FALSE)</f>
        <v>0</v>
      </c>
      <c r="AL909" s="31">
        <f>VLOOKUP($A909,kurspris!$A$1:$Q$835,11,FALSE)</f>
        <v>0</v>
      </c>
      <c r="AM909" s="31">
        <f>VLOOKUP($A909,kurspris!$A$1:$Q$835,12,FALSE)</f>
        <v>0</v>
      </c>
      <c r="AN909" s="31">
        <f>VLOOKUP($A909,kurspris!$A$1:$Q$835,13,FALSE)</f>
        <v>0</v>
      </c>
      <c r="AO909" s="31">
        <f>VLOOKUP($A909,kurspris!$A$1:$Q$835,14,FALSE)</f>
        <v>0</v>
      </c>
      <c r="AP909" s="39" t="s">
        <v>2235</v>
      </c>
      <c r="AQ909"/>
      <c r="AR909" s="31">
        <f t="shared" si="501"/>
        <v>0</v>
      </c>
      <c r="AS909" s="255">
        <f t="shared" si="502"/>
        <v>0</v>
      </c>
      <c r="AT909" s="31">
        <f t="shared" si="503"/>
        <v>0</v>
      </c>
      <c r="AU909" s="255">
        <f t="shared" si="504"/>
        <v>0</v>
      </c>
      <c r="AV909" s="31">
        <f t="shared" si="505"/>
        <v>0</v>
      </c>
      <c r="AW909" s="31">
        <f t="shared" si="506"/>
        <v>0</v>
      </c>
      <c r="AX909" s="31">
        <f t="shared" si="507"/>
        <v>0.125</v>
      </c>
      <c r="AY909" s="255">
        <f t="shared" si="508"/>
        <v>0.10625</v>
      </c>
      <c r="AZ909" s="232">
        <f t="shared" si="509"/>
        <v>0</v>
      </c>
      <c r="BA909" s="255">
        <f t="shared" si="510"/>
        <v>0</v>
      </c>
      <c r="BB909" s="31">
        <f t="shared" si="511"/>
        <v>0</v>
      </c>
      <c r="BC909" s="255">
        <f t="shared" si="512"/>
        <v>0</v>
      </c>
      <c r="BD909" s="31">
        <f t="shared" si="513"/>
        <v>0</v>
      </c>
      <c r="BE909" s="255">
        <f t="shared" si="514"/>
        <v>0</v>
      </c>
      <c r="BF909" s="31">
        <f t="shared" si="515"/>
        <v>0</v>
      </c>
      <c r="BG909" s="255">
        <f t="shared" si="516"/>
        <v>0</v>
      </c>
      <c r="BH909" s="31">
        <f t="shared" si="517"/>
        <v>0</v>
      </c>
      <c r="BI909" s="255">
        <f t="shared" si="518"/>
        <v>0</v>
      </c>
      <c r="BJ909" s="31">
        <f t="shared" si="519"/>
        <v>0</v>
      </c>
      <c r="BK909" s="31">
        <f t="shared" si="520"/>
        <v>0</v>
      </c>
      <c r="BL909" s="255">
        <f t="shared" si="521"/>
        <v>0</v>
      </c>
      <c r="BM909" s="31">
        <f t="shared" si="522"/>
        <v>0</v>
      </c>
      <c r="BN909" s="255">
        <f t="shared" si="523"/>
        <v>0</v>
      </c>
    </row>
    <row r="910" spans="1:66" x14ac:dyDescent="0.25">
      <c r="A910" t="s">
        <v>1866</v>
      </c>
      <c r="B910" s="186" t="str">
        <f>VLOOKUP(A910,kurspris!$A$1:$B$877,2,FALSE)</f>
        <v>Profession och vetenskap för förskolan (UK)</v>
      </c>
      <c r="C910"/>
      <c r="D910" t="s">
        <v>484</v>
      </c>
      <c r="E910" t="s">
        <v>1975</v>
      </c>
      <c r="F910" s="39" t="s">
        <v>1930</v>
      </c>
      <c r="G910" t="s">
        <v>1933</v>
      </c>
      <c r="H910" t="s">
        <v>1910</v>
      </c>
      <c r="I910"/>
      <c r="J910"/>
      <c r="K910"/>
      <c r="L910">
        <v>100</v>
      </c>
      <c r="M910">
        <v>7.5</v>
      </c>
      <c r="N910"/>
      <c r="O910"/>
      <c r="P910" s="31">
        <v>1</v>
      </c>
      <c r="Q910" s="232">
        <f t="shared" si="496"/>
        <v>0.125</v>
      </c>
      <c r="R910" s="40">
        <v>0.85</v>
      </c>
      <c r="S910" s="334">
        <f t="shared" si="497"/>
        <v>0.10625</v>
      </c>
      <c r="T910" s="31">
        <f>VLOOKUP(A910,'Ansvar kurs'!$A$1:$C$1010,2,FALSE)</f>
        <v>2193</v>
      </c>
      <c r="U910" s="31" t="str">
        <f>VLOOKUP(T910,Orgenheter!$A$1:$C$165,2,FALSE)</f>
        <v xml:space="preserve">TUV </v>
      </c>
      <c r="V910" s="31" t="str">
        <f>VLOOKUP(T910,Orgenheter!$A$1:$C$165,3,FALSE)</f>
        <v>Sam</v>
      </c>
      <c r="W910" s="37" t="str">
        <f>VLOOKUP(D910,Program!$A$1:$B$34,2,FALSE)</f>
        <v>Förskollärarprogrammet</v>
      </c>
      <c r="X910" s="42">
        <f>VLOOKUP(A910,kurspris!$A$1:$Q$798,15,FALSE)</f>
        <v>23641</v>
      </c>
      <c r="Y910" s="42">
        <f>VLOOKUP(A910,kurspris!$A$1:$Q$798,16,FALSE)</f>
        <v>28786</v>
      </c>
      <c r="Z910" s="42">
        <f t="shared" si="498"/>
        <v>6013.6374999999998</v>
      </c>
      <c r="AA910" s="42">
        <f>VLOOKUP(A910,kurspris!$A$1:$Q$798,17,FALSE)</f>
        <v>5800</v>
      </c>
      <c r="AB910" s="42">
        <f t="shared" si="499"/>
        <v>725</v>
      </c>
      <c r="AC910" s="42">
        <f t="shared" si="500"/>
        <v>6738.6374999999998</v>
      </c>
      <c r="AD910" s="31">
        <f>VLOOKUP($A910,kurspris!$A$1:$Q$835,3,FALSE)</f>
        <v>0</v>
      </c>
      <c r="AE910" s="31">
        <f>VLOOKUP($A910,kurspris!$A$1:$Q$835,4,FALSE)</f>
        <v>0</v>
      </c>
      <c r="AF910" s="31">
        <f>VLOOKUP($A910,kurspris!$A$1:$Q$835,5,FALSE)</f>
        <v>0</v>
      </c>
      <c r="AG910" s="31">
        <f>VLOOKUP($A910,kurspris!$A$1:$Q$835,6,FALSE)</f>
        <v>1</v>
      </c>
      <c r="AH910" s="31">
        <f>VLOOKUP($A910,kurspris!$A$1:$Q$835,7,FALSE)</f>
        <v>0</v>
      </c>
      <c r="AI910" s="31">
        <f>VLOOKUP($A910,kurspris!$A$1:$Q$835,8,FALSE)</f>
        <v>0</v>
      </c>
      <c r="AJ910" s="31">
        <f>VLOOKUP($A910,kurspris!$A$1:$Q$835,9,FALSE)</f>
        <v>0</v>
      </c>
      <c r="AK910" s="31">
        <f>VLOOKUP($A910,kurspris!$A$1:$Q$835,10,FALSE)</f>
        <v>0</v>
      </c>
      <c r="AL910" s="31">
        <f>VLOOKUP($A910,kurspris!$A$1:$Q$835,11,FALSE)</f>
        <v>0</v>
      </c>
      <c r="AM910" s="31">
        <f>VLOOKUP($A910,kurspris!$A$1:$Q$835,12,FALSE)</f>
        <v>0</v>
      </c>
      <c r="AN910" s="31">
        <f>VLOOKUP($A910,kurspris!$A$1:$Q$835,13,FALSE)</f>
        <v>0</v>
      </c>
      <c r="AO910" s="31">
        <f>VLOOKUP($A910,kurspris!$A$1:$Q$835,14,FALSE)</f>
        <v>0</v>
      </c>
      <c r="AP910" s="39" t="s">
        <v>2235</v>
      </c>
      <c r="AQ910"/>
      <c r="AR910" s="31">
        <f t="shared" si="501"/>
        <v>0</v>
      </c>
      <c r="AS910" s="255">
        <f t="shared" si="502"/>
        <v>0</v>
      </c>
      <c r="AT910" s="31">
        <f t="shared" si="503"/>
        <v>0</v>
      </c>
      <c r="AU910" s="255">
        <f t="shared" si="504"/>
        <v>0</v>
      </c>
      <c r="AV910" s="31">
        <f t="shared" si="505"/>
        <v>0</v>
      </c>
      <c r="AW910" s="31">
        <f t="shared" si="506"/>
        <v>0</v>
      </c>
      <c r="AX910" s="31">
        <f t="shared" si="507"/>
        <v>0.125</v>
      </c>
      <c r="AY910" s="255">
        <f t="shared" si="508"/>
        <v>0.10625</v>
      </c>
      <c r="AZ910" s="232">
        <f t="shared" si="509"/>
        <v>0</v>
      </c>
      <c r="BA910" s="255">
        <f t="shared" si="510"/>
        <v>0</v>
      </c>
      <c r="BB910" s="31">
        <f t="shared" si="511"/>
        <v>0</v>
      </c>
      <c r="BC910" s="255">
        <f t="shared" si="512"/>
        <v>0</v>
      </c>
      <c r="BD910" s="31">
        <f t="shared" si="513"/>
        <v>0</v>
      </c>
      <c r="BE910" s="255">
        <f t="shared" si="514"/>
        <v>0</v>
      </c>
      <c r="BF910" s="31">
        <f t="shared" si="515"/>
        <v>0</v>
      </c>
      <c r="BG910" s="255">
        <f t="shared" si="516"/>
        <v>0</v>
      </c>
      <c r="BH910" s="31">
        <f t="shared" si="517"/>
        <v>0</v>
      </c>
      <c r="BI910" s="255">
        <f t="shared" si="518"/>
        <v>0</v>
      </c>
      <c r="BJ910" s="31">
        <f t="shared" si="519"/>
        <v>0</v>
      </c>
      <c r="BK910" s="31">
        <f t="shared" si="520"/>
        <v>0</v>
      </c>
      <c r="BL910" s="255">
        <f t="shared" si="521"/>
        <v>0</v>
      </c>
      <c r="BM910" s="31">
        <f t="shared" si="522"/>
        <v>0</v>
      </c>
      <c r="BN910" s="255">
        <f t="shared" si="523"/>
        <v>0</v>
      </c>
    </row>
    <row r="911" spans="1:66" x14ac:dyDescent="0.25">
      <c r="A911" t="s">
        <v>1866</v>
      </c>
      <c r="B911" s="186" t="str">
        <f>VLOOKUP(A911,kurspris!$A$1:$B$877,2,FALSE)</f>
        <v>Profession och vetenskap för förskolan (UK)</v>
      </c>
      <c r="C911"/>
      <c r="D911" t="s">
        <v>484</v>
      </c>
      <c r="E911" t="s">
        <v>1976</v>
      </c>
      <c r="F911" s="39" t="s">
        <v>1930</v>
      </c>
      <c r="G911" t="s">
        <v>1933</v>
      </c>
      <c r="H911" t="s">
        <v>1910</v>
      </c>
      <c r="I911"/>
      <c r="J911"/>
      <c r="K911"/>
      <c r="L911">
        <v>100</v>
      </c>
      <c r="M911">
        <v>7.5</v>
      </c>
      <c r="N911"/>
      <c r="O911"/>
      <c r="P911" s="31">
        <v>1</v>
      </c>
      <c r="Q911" s="232">
        <f t="shared" si="496"/>
        <v>0.125</v>
      </c>
      <c r="R911" s="40">
        <v>0.85</v>
      </c>
      <c r="S911" s="334">
        <f t="shared" si="497"/>
        <v>0.10625</v>
      </c>
      <c r="T911" s="31">
        <f>VLOOKUP(A911,'Ansvar kurs'!$A$1:$C$1010,2,FALSE)</f>
        <v>2193</v>
      </c>
      <c r="U911" s="31" t="str">
        <f>VLOOKUP(T911,Orgenheter!$A$1:$C$165,2,FALSE)</f>
        <v xml:space="preserve">TUV </v>
      </c>
      <c r="V911" s="31" t="str">
        <f>VLOOKUP(T911,Orgenheter!$A$1:$C$165,3,FALSE)</f>
        <v>Sam</v>
      </c>
      <c r="W911" s="37" t="str">
        <f>VLOOKUP(D911,Program!$A$1:$B$34,2,FALSE)</f>
        <v>Förskollärarprogrammet</v>
      </c>
      <c r="X911" s="42">
        <f>VLOOKUP(A911,kurspris!$A$1:$Q$798,15,FALSE)</f>
        <v>23641</v>
      </c>
      <c r="Y911" s="42">
        <f>VLOOKUP(A911,kurspris!$A$1:$Q$798,16,FALSE)</f>
        <v>28786</v>
      </c>
      <c r="Z911" s="42">
        <f t="shared" si="498"/>
        <v>6013.6374999999998</v>
      </c>
      <c r="AA911" s="42">
        <f>VLOOKUP(A911,kurspris!$A$1:$Q$798,17,FALSE)</f>
        <v>5800</v>
      </c>
      <c r="AB911" s="42">
        <f t="shared" si="499"/>
        <v>725</v>
      </c>
      <c r="AC911" s="42">
        <f t="shared" si="500"/>
        <v>6738.6374999999998</v>
      </c>
      <c r="AD911" s="31">
        <f>VLOOKUP($A911,kurspris!$A$1:$Q$835,3,FALSE)</f>
        <v>0</v>
      </c>
      <c r="AE911" s="31">
        <f>VLOOKUP($A911,kurspris!$A$1:$Q$835,4,FALSE)</f>
        <v>0</v>
      </c>
      <c r="AF911" s="31">
        <f>VLOOKUP($A911,kurspris!$A$1:$Q$835,5,FALSE)</f>
        <v>0</v>
      </c>
      <c r="AG911" s="31">
        <f>VLOOKUP($A911,kurspris!$A$1:$Q$835,6,FALSE)</f>
        <v>1</v>
      </c>
      <c r="AH911" s="31">
        <f>VLOOKUP($A911,kurspris!$A$1:$Q$835,7,FALSE)</f>
        <v>0</v>
      </c>
      <c r="AI911" s="31">
        <f>VLOOKUP($A911,kurspris!$A$1:$Q$835,8,FALSE)</f>
        <v>0</v>
      </c>
      <c r="AJ911" s="31">
        <f>VLOOKUP($A911,kurspris!$A$1:$Q$835,9,FALSE)</f>
        <v>0</v>
      </c>
      <c r="AK911" s="31">
        <f>VLOOKUP($A911,kurspris!$A$1:$Q$835,10,FALSE)</f>
        <v>0</v>
      </c>
      <c r="AL911" s="31">
        <f>VLOOKUP($A911,kurspris!$A$1:$Q$835,11,FALSE)</f>
        <v>0</v>
      </c>
      <c r="AM911" s="31">
        <f>VLOOKUP($A911,kurspris!$A$1:$Q$835,12,FALSE)</f>
        <v>0</v>
      </c>
      <c r="AN911" s="31">
        <f>VLOOKUP($A911,kurspris!$A$1:$Q$835,13,FALSE)</f>
        <v>0</v>
      </c>
      <c r="AO911" s="31">
        <f>VLOOKUP($A911,kurspris!$A$1:$Q$835,14,FALSE)</f>
        <v>0</v>
      </c>
      <c r="AP911" s="39" t="s">
        <v>2235</v>
      </c>
      <c r="AQ911"/>
      <c r="AR911" s="31">
        <f t="shared" si="501"/>
        <v>0</v>
      </c>
      <c r="AS911" s="255">
        <f t="shared" si="502"/>
        <v>0</v>
      </c>
      <c r="AT911" s="31">
        <f t="shared" si="503"/>
        <v>0</v>
      </c>
      <c r="AU911" s="255">
        <f t="shared" si="504"/>
        <v>0</v>
      </c>
      <c r="AV911" s="31">
        <f t="shared" si="505"/>
        <v>0</v>
      </c>
      <c r="AW911" s="31">
        <f t="shared" si="506"/>
        <v>0</v>
      </c>
      <c r="AX911" s="31">
        <f t="shared" si="507"/>
        <v>0.125</v>
      </c>
      <c r="AY911" s="255">
        <f t="shared" si="508"/>
        <v>0.10625</v>
      </c>
      <c r="AZ911" s="232">
        <f t="shared" si="509"/>
        <v>0</v>
      </c>
      <c r="BA911" s="255">
        <f t="shared" si="510"/>
        <v>0</v>
      </c>
      <c r="BB911" s="31">
        <f t="shared" si="511"/>
        <v>0</v>
      </c>
      <c r="BC911" s="255">
        <f t="shared" si="512"/>
        <v>0</v>
      </c>
      <c r="BD911" s="31">
        <f t="shared" si="513"/>
        <v>0</v>
      </c>
      <c r="BE911" s="255">
        <f t="shared" si="514"/>
        <v>0</v>
      </c>
      <c r="BF911" s="31">
        <f t="shared" si="515"/>
        <v>0</v>
      </c>
      <c r="BG911" s="255">
        <f t="shared" si="516"/>
        <v>0</v>
      </c>
      <c r="BH911" s="31">
        <f t="shared" si="517"/>
        <v>0</v>
      </c>
      <c r="BI911" s="255">
        <f t="shared" si="518"/>
        <v>0</v>
      </c>
      <c r="BJ911" s="31">
        <f t="shared" si="519"/>
        <v>0</v>
      </c>
      <c r="BK911" s="31">
        <f t="shared" si="520"/>
        <v>0</v>
      </c>
      <c r="BL911" s="255">
        <f t="shared" si="521"/>
        <v>0</v>
      </c>
      <c r="BM911" s="31">
        <f t="shared" si="522"/>
        <v>0</v>
      </c>
      <c r="BN911" s="255">
        <f t="shared" si="523"/>
        <v>0</v>
      </c>
    </row>
    <row r="912" spans="1:66" x14ac:dyDescent="0.25">
      <c r="A912" s="18" t="s">
        <v>1866</v>
      </c>
      <c r="B912" s="186" t="str">
        <f>VLOOKUP(A912,kurspris!$A$1:$B$877,2,FALSE)</f>
        <v>Profession och vetenskap för förskolan (UK)</v>
      </c>
      <c r="C912" s="37"/>
      <c r="D912" s="31" t="s">
        <v>484</v>
      </c>
      <c r="E912" s="31" t="s">
        <v>1973</v>
      </c>
      <c r="F912" s="59" t="s">
        <v>1931</v>
      </c>
      <c r="G912" s="31" t="s">
        <v>2269</v>
      </c>
      <c r="L912" s="31">
        <v>100</v>
      </c>
      <c r="M912" s="31">
        <v>7.5</v>
      </c>
      <c r="P912" s="31">
        <v>57</v>
      </c>
      <c r="Q912" s="232">
        <f t="shared" si="496"/>
        <v>7.125</v>
      </c>
      <c r="R912" s="40">
        <v>0.85</v>
      </c>
      <c r="S912" s="334">
        <f t="shared" si="497"/>
        <v>6.0562499999999995</v>
      </c>
      <c r="T912" s="31">
        <f>VLOOKUP(A912,'Ansvar kurs'!$A$1:$C$1010,2,FALSE)</f>
        <v>2193</v>
      </c>
      <c r="U912" s="31" t="str">
        <f>VLOOKUP(T912,Orgenheter!$A$1:$C$165,2,FALSE)</f>
        <v xml:space="preserve">TUV </v>
      </c>
      <c r="V912" s="31" t="str">
        <f>VLOOKUP(T912,Orgenheter!$A$1:$C$165,3,FALSE)</f>
        <v>Sam</v>
      </c>
      <c r="W912" s="37" t="str">
        <f>VLOOKUP(D912,Program!$A$1:$B$34,2,FALSE)</f>
        <v>Förskollärarprogrammet</v>
      </c>
      <c r="X912" s="42">
        <f>VLOOKUP(A912,kurspris!$A$1:$Q$798,15,FALSE)</f>
        <v>23641</v>
      </c>
      <c r="Y912" s="42">
        <f>VLOOKUP(A912,kurspris!$A$1:$Q$798,16,FALSE)</f>
        <v>28786</v>
      </c>
      <c r="Z912" s="42">
        <f t="shared" si="498"/>
        <v>342777.33750000002</v>
      </c>
      <c r="AA912" s="42">
        <f>VLOOKUP(A912,kurspris!$A$1:$Q$798,17,FALSE)</f>
        <v>5800</v>
      </c>
      <c r="AB912" s="42">
        <f t="shared" si="499"/>
        <v>41325</v>
      </c>
      <c r="AC912" s="42">
        <f t="shared" si="500"/>
        <v>384102.33750000002</v>
      </c>
      <c r="AD912" s="31">
        <f>VLOOKUP($A912,kurspris!$A$1:$Q$835,3,FALSE)</f>
        <v>0</v>
      </c>
      <c r="AE912" s="31">
        <f>VLOOKUP($A912,kurspris!$A$1:$Q$835,4,FALSE)</f>
        <v>0</v>
      </c>
      <c r="AF912" s="31">
        <f>VLOOKUP($A912,kurspris!$A$1:$Q$835,5,FALSE)</f>
        <v>0</v>
      </c>
      <c r="AG912" s="31">
        <f>VLOOKUP($A912,kurspris!$A$1:$Q$835,6,FALSE)</f>
        <v>1</v>
      </c>
      <c r="AH912" s="31">
        <f>VLOOKUP($A912,kurspris!$A$1:$Q$835,7,FALSE)</f>
        <v>0</v>
      </c>
      <c r="AI912" s="31">
        <f>VLOOKUP($A912,kurspris!$A$1:$Q$835,8,FALSE)</f>
        <v>0</v>
      </c>
      <c r="AJ912" s="31">
        <f>VLOOKUP($A912,kurspris!$A$1:$Q$835,9,FALSE)</f>
        <v>0</v>
      </c>
      <c r="AK912" s="31">
        <f>VLOOKUP($A912,kurspris!$A$1:$Q$835,10,FALSE)</f>
        <v>0</v>
      </c>
      <c r="AL912" s="31">
        <f>VLOOKUP($A912,kurspris!$A$1:$Q$835,11,FALSE)</f>
        <v>0</v>
      </c>
      <c r="AM912" s="31">
        <f>VLOOKUP($A912,kurspris!$A$1:$Q$835,12,FALSE)</f>
        <v>0</v>
      </c>
      <c r="AN912" s="31">
        <f>VLOOKUP($A912,kurspris!$A$1:$Q$835,13,FALSE)</f>
        <v>0</v>
      </c>
      <c r="AO912" s="31">
        <f>VLOOKUP($A912,kurspris!$A$1:$Q$835,14,FALSE)</f>
        <v>0</v>
      </c>
      <c r="AP912" s="39" t="s">
        <v>2326</v>
      </c>
      <c r="AQ912"/>
      <c r="AR912" s="31">
        <f t="shared" si="501"/>
        <v>0</v>
      </c>
      <c r="AS912" s="255">
        <f t="shared" si="502"/>
        <v>0</v>
      </c>
      <c r="AT912" s="31">
        <f t="shared" si="503"/>
        <v>0</v>
      </c>
      <c r="AU912" s="255">
        <f t="shared" si="504"/>
        <v>0</v>
      </c>
      <c r="AV912" s="31">
        <f t="shared" si="505"/>
        <v>0</v>
      </c>
      <c r="AW912" s="31">
        <f t="shared" si="506"/>
        <v>0</v>
      </c>
      <c r="AX912" s="31">
        <f t="shared" si="507"/>
        <v>7.125</v>
      </c>
      <c r="AY912" s="255">
        <f t="shared" si="508"/>
        <v>6.0562499999999995</v>
      </c>
      <c r="AZ912" s="232">
        <f t="shared" si="509"/>
        <v>0</v>
      </c>
      <c r="BA912" s="255">
        <f t="shared" si="510"/>
        <v>0</v>
      </c>
      <c r="BB912" s="31">
        <f t="shared" si="511"/>
        <v>0</v>
      </c>
      <c r="BC912" s="255">
        <f t="shared" si="512"/>
        <v>0</v>
      </c>
      <c r="BD912" s="31">
        <f t="shared" si="513"/>
        <v>0</v>
      </c>
      <c r="BE912" s="255">
        <f t="shared" si="514"/>
        <v>0</v>
      </c>
      <c r="BF912" s="31">
        <f t="shared" si="515"/>
        <v>0</v>
      </c>
      <c r="BG912" s="255">
        <f t="shared" si="516"/>
        <v>0</v>
      </c>
      <c r="BH912" s="31">
        <f t="shared" si="517"/>
        <v>0</v>
      </c>
      <c r="BI912" s="255">
        <f t="shared" si="518"/>
        <v>0</v>
      </c>
      <c r="BJ912" s="31">
        <f t="shared" si="519"/>
        <v>0</v>
      </c>
      <c r="BK912" s="31">
        <f t="shared" si="520"/>
        <v>0</v>
      </c>
      <c r="BL912" s="255">
        <f t="shared" si="521"/>
        <v>0</v>
      </c>
      <c r="BM912" s="31">
        <f t="shared" si="522"/>
        <v>0</v>
      </c>
      <c r="BN912" s="255">
        <f t="shared" si="523"/>
        <v>0</v>
      </c>
    </row>
    <row r="913" spans="1:66" x14ac:dyDescent="0.25">
      <c r="A913" t="s">
        <v>1866</v>
      </c>
      <c r="B913" s="186" t="str">
        <f>VLOOKUP(A913,kurspris!$A$1:$B$877,2,FALSE)</f>
        <v>Profession och vetenskap för förskolan (UK)</v>
      </c>
      <c r="C913"/>
      <c r="D913" t="s">
        <v>484</v>
      </c>
      <c r="E913" t="s">
        <v>1974</v>
      </c>
      <c r="F913" s="39" t="s">
        <v>1930</v>
      </c>
      <c r="G913" t="s">
        <v>1933</v>
      </c>
      <c r="H913" t="s">
        <v>1910</v>
      </c>
      <c r="I913"/>
      <c r="J913"/>
      <c r="K913"/>
      <c r="L913">
        <v>100</v>
      </c>
      <c r="M913">
        <v>7.5</v>
      </c>
      <c r="N913"/>
      <c r="O913"/>
      <c r="P913" s="31">
        <v>23</v>
      </c>
      <c r="Q913" s="232">
        <f t="shared" si="496"/>
        <v>2.875</v>
      </c>
      <c r="R913" s="40">
        <v>0.85</v>
      </c>
      <c r="S913" s="334">
        <f t="shared" si="497"/>
        <v>2.4437500000000001</v>
      </c>
      <c r="T913" s="31">
        <f>VLOOKUP(A913,'Ansvar kurs'!$A$1:$C$1010,2,FALSE)</f>
        <v>2193</v>
      </c>
      <c r="U913" s="31" t="str">
        <f>VLOOKUP(T913,Orgenheter!$A$1:$C$165,2,FALSE)</f>
        <v xml:space="preserve">TUV </v>
      </c>
      <c r="V913" s="31" t="str">
        <f>VLOOKUP(T913,Orgenheter!$A$1:$C$165,3,FALSE)</f>
        <v>Sam</v>
      </c>
      <c r="W913" s="37" t="str">
        <f>VLOOKUP(D913,Program!$A$1:$B$34,2,FALSE)</f>
        <v>Förskollärarprogrammet</v>
      </c>
      <c r="X913" s="42">
        <f>VLOOKUP(A913,kurspris!$A$1:$Q$798,15,FALSE)</f>
        <v>23641</v>
      </c>
      <c r="Y913" s="42">
        <f>VLOOKUP(A913,kurspris!$A$1:$Q$798,16,FALSE)</f>
        <v>28786</v>
      </c>
      <c r="Z913" s="42">
        <f t="shared" si="498"/>
        <v>138313.66250000001</v>
      </c>
      <c r="AA913" s="42">
        <f>VLOOKUP(A913,kurspris!$A$1:$Q$798,17,FALSE)</f>
        <v>5800</v>
      </c>
      <c r="AB913" s="42">
        <f t="shared" si="499"/>
        <v>16675</v>
      </c>
      <c r="AC913" s="42">
        <f t="shared" si="500"/>
        <v>154988.66250000001</v>
      </c>
      <c r="AD913" s="31">
        <f>VLOOKUP($A913,kurspris!$A$1:$Q$835,3,FALSE)</f>
        <v>0</v>
      </c>
      <c r="AE913" s="31">
        <f>VLOOKUP($A913,kurspris!$A$1:$Q$835,4,FALSE)</f>
        <v>0</v>
      </c>
      <c r="AF913" s="31">
        <f>VLOOKUP($A913,kurspris!$A$1:$Q$835,5,FALSE)</f>
        <v>0</v>
      </c>
      <c r="AG913" s="31">
        <f>VLOOKUP($A913,kurspris!$A$1:$Q$835,6,FALSE)</f>
        <v>1</v>
      </c>
      <c r="AH913" s="31">
        <f>VLOOKUP($A913,kurspris!$A$1:$Q$835,7,FALSE)</f>
        <v>0</v>
      </c>
      <c r="AI913" s="31">
        <f>VLOOKUP($A913,kurspris!$A$1:$Q$835,8,FALSE)</f>
        <v>0</v>
      </c>
      <c r="AJ913" s="31">
        <f>VLOOKUP($A913,kurspris!$A$1:$Q$835,9,FALSE)</f>
        <v>0</v>
      </c>
      <c r="AK913" s="31">
        <f>VLOOKUP($A913,kurspris!$A$1:$Q$835,10,FALSE)</f>
        <v>0</v>
      </c>
      <c r="AL913" s="31">
        <f>VLOOKUP($A913,kurspris!$A$1:$Q$835,11,FALSE)</f>
        <v>0</v>
      </c>
      <c r="AM913" s="31">
        <f>VLOOKUP($A913,kurspris!$A$1:$Q$835,12,FALSE)</f>
        <v>0</v>
      </c>
      <c r="AN913" s="31">
        <f>VLOOKUP($A913,kurspris!$A$1:$Q$835,13,FALSE)</f>
        <v>0</v>
      </c>
      <c r="AO913" s="31">
        <f>VLOOKUP($A913,kurspris!$A$1:$Q$835,14,FALSE)</f>
        <v>0</v>
      </c>
      <c r="AP913" s="39" t="s">
        <v>2235</v>
      </c>
      <c r="AQ913"/>
      <c r="AR913" s="31">
        <f t="shared" si="501"/>
        <v>0</v>
      </c>
      <c r="AS913" s="255">
        <f t="shared" si="502"/>
        <v>0</v>
      </c>
      <c r="AT913" s="31">
        <f t="shared" si="503"/>
        <v>0</v>
      </c>
      <c r="AU913" s="255">
        <f t="shared" si="504"/>
        <v>0</v>
      </c>
      <c r="AV913" s="31">
        <f t="shared" si="505"/>
        <v>0</v>
      </c>
      <c r="AW913" s="31">
        <f t="shared" si="506"/>
        <v>0</v>
      </c>
      <c r="AX913" s="31">
        <f t="shared" si="507"/>
        <v>2.875</v>
      </c>
      <c r="AY913" s="255">
        <f t="shared" si="508"/>
        <v>2.4437500000000001</v>
      </c>
      <c r="AZ913" s="232">
        <f t="shared" si="509"/>
        <v>0</v>
      </c>
      <c r="BA913" s="255">
        <f t="shared" si="510"/>
        <v>0</v>
      </c>
      <c r="BB913" s="31">
        <f t="shared" si="511"/>
        <v>0</v>
      </c>
      <c r="BC913" s="255">
        <f t="shared" si="512"/>
        <v>0</v>
      </c>
      <c r="BD913" s="31">
        <f t="shared" si="513"/>
        <v>0</v>
      </c>
      <c r="BE913" s="255">
        <f t="shared" si="514"/>
        <v>0</v>
      </c>
      <c r="BF913" s="31">
        <f t="shared" si="515"/>
        <v>0</v>
      </c>
      <c r="BG913" s="255">
        <f t="shared" si="516"/>
        <v>0</v>
      </c>
      <c r="BH913" s="31">
        <f t="shared" si="517"/>
        <v>0</v>
      </c>
      <c r="BI913" s="255">
        <f t="shared" si="518"/>
        <v>0</v>
      </c>
      <c r="BJ913" s="31">
        <f t="shared" si="519"/>
        <v>0</v>
      </c>
      <c r="BK913" s="31">
        <f t="shared" si="520"/>
        <v>0</v>
      </c>
      <c r="BL913" s="255">
        <f t="shared" si="521"/>
        <v>0</v>
      </c>
      <c r="BM913" s="31">
        <f t="shared" si="522"/>
        <v>0</v>
      </c>
      <c r="BN913" s="255">
        <f t="shared" si="523"/>
        <v>0</v>
      </c>
    </row>
    <row r="914" spans="1:66" x14ac:dyDescent="0.25">
      <c r="A914" t="s">
        <v>1866</v>
      </c>
      <c r="B914" s="186" t="str">
        <f>VLOOKUP(A914,kurspris!$A$1:$B$877,2,FALSE)</f>
        <v>Profession och vetenskap för förskolan (UK)</v>
      </c>
      <c r="C914"/>
      <c r="D914" t="s">
        <v>484</v>
      </c>
      <c r="E914" t="s">
        <v>1974</v>
      </c>
      <c r="F914" s="39" t="s">
        <v>1930</v>
      </c>
      <c r="G914" t="s">
        <v>1933</v>
      </c>
      <c r="H914" t="s">
        <v>1910</v>
      </c>
      <c r="I914"/>
      <c r="J914"/>
      <c r="K914"/>
      <c r="L914">
        <v>100</v>
      </c>
      <c r="M914">
        <v>7.5</v>
      </c>
      <c r="N914"/>
      <c r="O914"/>
      <c r="P914" s="31">
        <v>1</v>
      </c>
      <c r="Q914" s="232">
        <f t="shared" si="496"/>
        <v>0.125</v>
      </c>
      <c r="R914" s="40">
        <v>0.85</v>
      </c>
      <c r="S914" s="334">
        <f t="shared" si="497"/>
        <v>0.10625</v>
      </c>
      <c r="T914" s="31">
        <f>VLOOKUP(A914,'Ansvar kurs'!$A$1:$C$1010,2,FALSE)</f>
        <v>2193</v>
      </c>
      <c r="U914" s="31" t="str">
        <f>VLOOKUP(T914,Orgenheter!$A$1:$C$165,2,FALSE)</f>
        <v xml:space="preserve">TUV </v>
      </c>
      <c r="V914" s="31" t="str">
        <f>VLOOKUP(T914,Orgenheter!$A$1:$C$165,3,FALSE)</f>
        <v>Sam</v>
      </c>
      <c r="W914" s="37" t="str">
        <f>VLOOKUP(D914,Program!$A$1:$B$34,2,FALSE)</f>
        <v>Förskollärarprogrammet</v>
      </c>
      <c r="X914" s="42">
        <f>VLOOKUP(A914,kurspris!$A$1:$Q$798,15,FALSE)</f>
        <v>23641</v>
      </c>
      <c r="Y914" s="42">
        <f>VLOOKUP(A914,kurspris!$A$1:$Q$798,16,FALSE)</f>
        <v>28786</v>
      </c>
      <c r="Z914" s="42">
        <f t="shared" si="498"/>
        <v>6013.6374999999998</v>
      </c>
      <c r="AA914" s="42">
        <f>VLOOKUP(A914,kurspris!$A$1:$Q$798,17,FALSE)</f>
        <v>5800</v>
      </c>
      <c r="AB914" s="42">
        <f t="shared" si="499"/>
        <v>725</v>
      </c>
      <c r="AC914" s="42">
        <f t="shared" si="500"/>
        <v>6738.6374999999998</v>
      </c>
      <c r="AD914" s="31">
        <f>VLOOKUP($A914,kurspris!$A$1:$Q$835,3,FALSE)</f>
        <v>0</v>
      </c>
      <c r="AE914" s="31">
        <f>VLOOKUP($A914,kurspris!$A$1:$Q$835,4,FALSE)</f>
        <v>0</v>
      </c>
      <c r="AF914" s="31">
        <f>VLOOKUP($A914,kurspris!$A$1:$Q$835,5,FALSE)</f>
        <v>0</v>
      </c>
      <c r="AG914" s="31">
        <f>VLOOKUP($A914,kurspris!$A$1:$Q$835,6,FALSE)</f>
        <v>1</v>
      </c>
      <c r="AH914" s="31">
        <f>VLOOKUP($A914,kurspris!$A$1:$Q$835,7,FALSE)</f>
        <v>0</v>
      </c>
      <c r="AI914" s="31">
        <f>VLOOKUP($A914,kurspris!$A$1:$Q$835,8,FALSE)</f>
        <v>0</v>
      </c>
      <c r="AJ914" s="31">
        <f>VLOOKUP($A914,kurspris!$A$1:$Q$835,9,FALSE)</f>
        <v>0</v>
      </c>
      <c r="AK914" s="31">
        <f>VLOOKUP($A914,kurspris!$A$1:$Q$835,10,FALSE)</f>
        <v>0</v>
      </c>
      <c r="AL914" s="31">
        <f>VLOOKUP($A914,kurspris!$A$1:$Q$835,11,FALSE)</f>
        <v>0</v>
      </c>
      <c r="AM914" s="31">
        <f>VLOOKUP($A914,kurspris!$A$1:$Q$835,12,FALSE)</f>
        <v>0</v>
      </c>
      <c r="AN914" s="31">
        <f>VLOOKUP($A914,kurspris!$A$1:$Q$835,13,FALSE)</f>
        <v>0</v>
      </c>
      <c r="AO914" s="31">
        <f>VLOOKUP($A914,kurspris!$A$1:$Q$835,14,FALSE)</f>
        <v>0</v>
      </c>
      <c r="AP914" s="39" t="s">
        <v>2235</v>
      </c>
      <c r="AQ914"/>
      <c r="AR914" s="31">
        <f t="shared" si="501"/>
        <v>0</v>
      </c>
      <c r="AS914" s="255">
        <f t="shared" si="502"/>
        <v>0</v>
      </c>
      <c r="AT914" s="31">
        <f t="shared" si="503"/>
        <v>0</v>
      </c>
      <c r="AU914" s="255">
        <f t="shared" si="504"/>
        <v>0</v>
      </c>
      <c r="AV914" s="31">
        <f t="shared" si="505"/>
        <v>0</v>
      </c>
      <c r="AW914" s="31">
        <f t="shared" si="506"/>
        <v>0</v>
      </c>
      <c r="AX914" s="31">
        <f t="shared" si="507"/>
        <v>0.125</v>
      </c>
      <c r="AY914" s="255">
        <f t="shared" si="508"/>
        <v>0.10625</v>
      </c>
      <c r="AZ914" s="232">
        <f t="shared" si="509"/>
        <v>0</v>
      </c>
      <c r="BA914" s="255">
        <f t="shared" si="510"/>
        <v>0</v>
      </c>
      <c r="BB914" s="31">
        <f t="shared" si="511"/>
        <v>0</v>
      </c>
      <c r="BC914" s="255">
        <f t="shared" si="512"/>
        <v>0</v>
      </c>
      <c r="BD914" s="31">
        <f t="shared" si="513"/>
        <v>0</v>
      </c>
      <c r="BE914" s="255">
        <f t="shared" si="514"/>
        <v>0</v>
      </c>
      <c r="BF914" s="31">
        <f t="shared" si="515"/>
        <v>0</v>
      </c>
      <c r="BG914" s="255">
        <f t="shared" si="516"/>
        <v>0</v>
      </c>
      <c r="BH914" s="31">
        <f t="shared" si="517"/>
        <v>0</v>
      </c>
      <c r="BI914" s="255">
        <f t="shared" si="518"/>
        <v>0</v>
      </c>
      <c r="BJ914" s="31">
        <f t="shared" si="519"/>
        <v>0</v>
      </c>
      <c r="BK914" s="31">
        <f t="shared" si="520"/>
        <v>0</v>
      </c>
      <c r="BL914" s="255">
        <f t="shared" si="521"/>
        <v>0</v>
      </c>
      <c r="BM914" s="31">
        <f t="shared" si="522"/>
        <v>0</v>
      </c>
      <c r="BN914" s="255">
        <f t="shared" si="523"/>
        <v>0</v>
      </c>
    </row>
    <row r="915" spans="1:66" x14ac:dyDescent="0.25">
      <c r="A915" s="18" t="s">
        <v>1866</v>
      </c>
      <c r="B915" s="186" t="str">
        <f>VLOOKUP(A915,kurspris!$A$1:$B$877,2,FALSE)</f>
        <v>Profession och vetenskap för förskolan (UK)</v>
      </c>
      <c r="C915" s="37"/>
      <c r="D915" s="31" t="s">
        <v>484</v>
      </c>
      <c r="E915" s="31" t="s">
        <v>1974</v>
      </c>
      <c r="F915" s="59" t="s">
        <v>1931</v>
      </c>
      <c r="G915" s="31" t="s">
        <v>2269</v>
      </c>
      <c r="L915" s="31">
        <v>100</v>
      </c>
      <c r="M915" s="31">
        <v>7.5</v>
      </c>
      <c r="P915" s="31">
        <v>3</v>
      </c>
      <c r="Q915" s="232">
        <f t="shared" si="496"/>
        <v>0.375</v>
      </c>
      <c r="R915" s="40">
        <v>0.85</v>
      </c>
      <c r="S915" s="334">
        <f t="shared" si="497"/>
        <v>0.31874999999999998</v>
      </c>
      <c r="T915" s="31">
        <f>VLOOKUP(A915,'Ansvar kurs'!$A$1:$C$1010,2,FALSE)</f>
        <v>2193</v>
      </c>
      <c r="U915" s="31" t="str">
        <f>VLOOKUP(T915,Orgenheter!$A$1:$C$165,2,FALSE)</f>
        <v xml:space="preserve">TUV </v>
      </c>
      <c r="V915" s="31" t="str">
        <f>VLOOKUP(T915,Orgenheter!$A$1:$C$165,3,FALSE)</f>
        <v>Sam</v>
      </c>
      <c r="W915" s="37" t="str">
        <f>VLOOKUP(D915,Program!$A$1:$B$34,2,FALSE)</f>
        <v>Förskollärarprogrammet</v>
      </c>
      <c r="X915" s="42">
        <f>VLOOKUP(A915,kurspris!$A$1:$Q$798,15,FALSE)</f>
        <v>23641</v>
      </c>
      <c r="Y915" s="42">
        <f>VLOOKUP(A915,kurspris!$A$1:$Q$798,16,FALSE)</f>
        <v>28786</v>
      </c>
      <c r="Z915" s="42">
        <f t="shared" si="498"/>
        <v>18040.912499999999</v>
      </c>
      <c r="AA915" s="42">
        <f>VLOOKUP(A915,kurspris!$A$1:$Q$798,17,FALSE)</f>
        <v>5800</v>
      </c>
      <c r="AB915" s="42">
        <f t="shared" si="499"/>
        <v>2175</v>
      </c>
      <c r="AC915" s="42">
        <f t="shared" si="500"/>
        <v>20215.912499999999</v>
      </c>
      <c r="AD915" s="31">
        <f>VLOOKUP($A915,kurspris!$A$1:$Q$835,3,FALSE)</f>
        <v>0</v>
      </c>
      <c r="AE915" s="31">
        <f>VLOOKUP($A915,kurspris!$A$1:$Q$835,4,FALSE)</f>
        <v>0</v>
      </c>
      <c r="AF915" s="31">
        <f>VLOOKUP($A915,kurspris!$A$1:$Q$835,5,FALSE)</f>
        <v>0</v>
      </c>
      <c r="AG915" s="31">
        <f>VLOOKUP($A915,kurspris!$A$1:$Q$835,6,FALSE)</f>
        <v>1</v>
      </c>
      <c r="AH915" s="31">
        <f>VLOOKUP($A915,kurspris!$A$1:$Q$835,7,FALSE)</f>
        <v>0</v>
      </c>
      <c r="AI915" s="31">
        <f>VLOOKUP($A915,kurspris!$A$1:$Q$835,8,FALSE)</f>
        <v>0</v>
      </c>
      <c r="AJ915" s="31">
        <f>VLOOKUP($A915,kurspris!$A$1:$Q$835,9,FALSE)</f>
        <v>0</v>
      </c>
      <c r="AK915" s="31">
        <f>VLOOKUP($A915,kurspris!$A$1:$Q$835,10,FALSE)</f>
        <v>0</v>
      </c>
      <c r="AL915" s="31">
        <f>VLOOKUP($A915,kurspris!$A$1:$Q$835,11,FALSE)</f>
        <v>0</v>
      </c>
      <c r="AM915" s="31">
        <f>VLOOKUP($A915,kurspris!$A$1:$Q$835,12,FALSE)</f>
        <v>0</v>
      </c>
      <c r="AN915" s="31">
        <f>VLOOKUP($A915,kurspris!$A$1:$Q$835,13,FALSE)</f>
        <v>0</v>
      </c>
      <c r="AO915" s="31">
        <f>VLOOKUP($A915,kurspris!$A$1:$Q$835,14,FALSE)</f>
        <v>0</v>
      </c>
      <c r="AP915" s="39" t="s">
        <v>2326</v>
      </c>
      <c r="AQ915"/>
      <c r="AR915" s="31">
        <f t="shared" si="501"/>
        <v>0</v>
      </c>
      <c r="AS915" s="255">
        <f t="shared" si="502"/>
        <v>0</v>
      </c>
      <c r="AT915" s="31">
        <f t="shared" si="503"/>
        <v>0</v>
      </c>
      <c r="AU915" s="255">
        <f t="shared" si="504"/>
        <v>0</v>
      </c>
      <c r="AV915" s="31">
        <f t="shared" si="505"/>
        <v>0</v>
      </c>
      <c r="AW915" s="31">
        <f t="shared" si="506"/>
        <v>0</v>
      </c>
      <c r="AX915" s="31">
        <f t="shared" si="507"/>
        <v>0.375</v>
      </c>
      <c r="AY915" s="255">
        <f t="shared" si="508"/>
        <v>0.31874999999999998</v>
      </c>
      <c r="AZ915" s="232">
        <f t="shared" si="509"/>
        <v>0</v>
      </c>
      <c r="BA915" s="255">
        <f t="shared" si="510"/>
        <v>0</v>
      </c>
      <c r="BB915" s="31">
        <f t="shared" si="511"/>
        <v>0</v>
      </c>
      <c r="BC915" s="255">
        <f t="shared" si="512"/>
        <v>0</v>
      </c>
      <c r="BD915" s="31">
        <f t="shared" si="513"/>
        <v>0</v>
      </c>
      <c r="BE915" s="255">
        <f t="shared" si="514"/>
        <v>0</v>
      </c>
      <c r="BF915" s="31">
        <f t="shared" si="515"/>
        <v>0</v>
      </c>
      <c r="BG915" s="255">
        <f t="shared" si="516"/>
        <v>0</v>
      </c>
      <c r="BH915" s="31">
        <f t="shared" si="517"/>
        <v>0</v>
      </c>
      <c r="BI915" s="255">
        <f t="shared" si="518"/>
        <v>0</v>
      </c>
      <c r="BJ915" s="31">
        <f t="shared" si="519"/>
        <v>0</v>
      </c>
      <c r="BK915" s="31">
        <f t="shared" si="520"/>
        <v>0</v>
      </c>
      <c r="BL915" s="255">
        <f t="shared" si="521"/>
        <v>0</v>
      </c>
      <c r="BM915" s="31">
        <f t="shared" si="522"/>
        <v>0</v>
      </c>
      <c r="BN915" s="255">
        <f t="shared" si="523"/>
        <v>0</v>
      </c>
    </row>
    <row r="916" spans="1:66" x14ac:dyDescent="0.25">
      <c r="A916" t="s">
        <v>1867</v>
      </c>
      <c r="B916" s="186" t="str">
        <f>VLOOKUP(A916,kurspris!$A$1:$B$877,2,FALSE)</f>
        <v>Profession och vetenskap för fritidshem (UK)</v>
      </c>
      <c r="C916"/>
      <c r="D916" t="s">
        <v>485</v>
      </c>
      <c r="E916" t="s">
        <v>1973</v>
      </c>
      <c r="F916" s="59" t="s">
        <v>1930</v>
      </c>
      <c r="G916" t="s">
        <v>1933</v>
      </c>
      <c r="H916" t="s">
        <v>1910</v>
      </c>
      <c r="I916"/>
      <c r="J916"/>
      <c r="K916"/>
      <c r="L916">
        <v>100</v>
      </c>
      <c r="M916">
        <v>7.5</v>
      </c>
      <c r="N916"/>
      <c r="O916"/>
      <c r="P916" s="31">
        <v>1</v>
      </c>
      <c r="Q916" s="232">
        <f t="shared" si="496"/>
        <v>0.125</v>
      </c>
      <c r="R916" s="40">
        <v>0.85</v>
      </c>
      <c r="S916" s="334">
        <f t="shared" si="497"/>
        <v>0.10625</v>
      </c>
      <c r="T916" s="31">
        <f>VLOOKUP(A916,'Ansvar kurs'!$A$1:$C$1010,2,FALSE)</f>
        <v>2193</v>
      </c>
      <c r="U916" s="31" t="str">
        <f>VLOOKUP(T916,Orgenheter!$A$1:$C$165,2,FALSE)</f>
        <v xml:space="preserve">TUV </v>
      </c>
      <c r="V916" s="31" t="str">
        <f>VLOOKUP(T916,Orgenheter!$A$1:$C$165,3,FALSE)</f>
        <v>Sam</v>
      </c>
      <c r="W916" s="37" t="str">
        <f>VLOOKUP(D916,Program!$A$1:$B$34,2,FALSE)</f>
        <v>Grundlärarprogrammet - fritidshem</v>
      </c>
      <c r="X916" s="42">
        <f>VLOOKUP(A916,kurspris!$A$1:$Q$798,15,FALSE)</f>
        <v>23641</v>
      </c>
      <c r="Y916" s="42">
        <f>VLOOKUP(A916,kurspris!$A$1:$Q$798,16,FALSE)</f>
        <v>28786</v>
      </c>
      <c r="Z916" s="42">
        <f t="shared" si="498"/>
        <v>6013.6374999999998</v>
      </c>
      <c r="AA916" s="42">
        <f>VLOOKUP(A916,kurspris!$A$1:$Q$798,17,FALSE)</f>
        <v>5800</v>
      </c>
      <c r="AB916" s="42">
        <f t="shared" si="499"/>
        <v>725</v>
      </c>
      <c r="AC916" s="42">
        <f t="shared" si="500"/>
        <v>6738.6374999999998</v>
      </c>
      <c r="AD916" s="31">
        <f>VLOOKUP($A916,kurspris!$A$1:$Q$835,3,FALSE)</f>
        <v>0</v>
      </c>
      <c r="AE916" s="31">
        <f>VLOOKUP($A916,kurspris!$A$1:$Q$835,4,FALSE)</f>
        <v>0</v>
      </c>
      <c r="AF916" s="31">
        <f>VLOOKUP($A916,kurspris!$A$1:$Q$835,5,FALSE)</f>
        <v>0</v>
      </c>
      <c r="AG916" s="31">
        <f>VLOOKUP($A916,kurspris!$A$1:$Q$835,6,FALSE)</f>
        <v>1</v>
      </c>
      <c r="AH916" s="31">
        <f>VLOOKUP($A916,kurspris!$A$1:$Q$835,7,FALSE)</f>
        <v>0</v>
      </c>
      <c r="AI916" s="31">
        <f>VLOOKUP($A916,kurspris!$A$1:$Q$835,8,FALSE)</f>
        <v>0</v>
      </c>
      <c r="AJ916" s="31">
        <f>VLOOKUP($A916,kurspris!$A$1:$Q$835,9,FALSE)</f>
        <v>0</v>
      </c>
      <c r="AK916" s="31">
        <f>VLOOKUP($A916,kurspris!$A$1:$Q$835,10,FALSE)</f>
        <v>0</v>
      </c>
      <c r="AL916" s="31">
        <f>VLOOKUP($A916,kurspris!$A$1:$Q$835,11,FALSE)</f>
        <v>0</v>
      </c>
      <c r="AM916" s="31">
        <f>VLOOKUP($A916,kurspris!$A$1:$Q$835,12,FALSE)</f>
        <v>0</v>
      </c>
      <c r="AN916" s="31">
        <f>VLOOKUP($A916,kurspris!$A$1:$Q$835,13,FALSE)</f>
        <v>0</v>
      </c>
      <c r="AO916" s="31">
        <f>VLOOKUP($A916,kurspris!$A$1:$Q$835,14,FALSE)</f>
        <v>0</v>
      </c>
      <c r="AP916" s="39" t="s">
        <v>2235</v>
      </c>
      <c r="AQ916"/>
      <c r="AR916" s="31">
        <f t="shared" si="501"/>
        <v>0</v>
      </c>
      <c r="AS916" s="255">
        <f t="shared" si="502"/>
        <v>0</v>
      </c>
      <c r="AT916" s="31">
        <f t="shared" si="503"/>
        <v>0</v>
      </c>
      <c r="AU916" s="255">
        <f t="shared" si="504"/>
        <v>0</v>
      </c>
      <c r="AV916" s="31">
        <f t="shared" si="505"/>
        <v>0</v>
      </c>
      <c r="AW916" s="31">
        <f t="shared" si="506"/>
        <v>0</v>
      </c>
      <c r="AX916" s="31">
        <f t="shared" si="507"/>
        <v>0.125</v>
      </c>
      <c r="AY916" s="255">
        <f t="shared" si="508"/>
        <v>0.10625</v>
      </c>
      <c r="AZ916" s="232">
        <f t="shared" si="509"/>
        <v>0</v>
      </c>
      <c r="BA916" s="255">
        <f t="shared" si="510"/>
        <v>0</v>
      </c>
      <c r="BB916" s="31">
        <f t="shared" si="511"/>
        <v>0</v>
      </c>
      <c r="BC916" s="255">
        <f t="shared" si="512"/>
        <v>0</v>
      </c>
      <c r="BD916" s="31">
        <f t="shared" si="513"/>
        <v>0</v>
      </c>
      <c r="BE916" s="255">
        <f t="shared" si="514"/>
        <v>0</v>
      </c>
      <c r="BF916" s="31">
        <f t="shared" si="515"/>
        <v>0</v>
      </c>
      <c r="BG916" s="255">
        <f t="shared" si="516"/>
        <v>0</v>
      </c>
      <c r="BH916" s="31">
        <f t="shared" si="517"/>
        <v>0</v>
      </c>
      <c r="BI916" s="255">
        <f t="shared" si="518"/>
        <v>0</v>
      </c>
      <c r="BJ916" s="31">
        <f t="shared" si="519"/>
        <v>0</v>
      </c>
      <c r="BK916" s="31">
        <f t="shared" si="520"/>
        <v>0</v>
      </c>
      <c r="BL916" s="255">
        <f t="shared" si="521"/>
        <v>0</v>
      </c>
      <c r="BM916" s="31">
        <f t="shared" si="522"/>
        <v>0</v>
      </c>
      <c r="BN916" s="255">
        <f t="shared" si="523"/>
        <v>0</v>
      </c>
    </row>
    <row r="917" spans="1:66" x14ac:dyDescent="0.25">
      <c r="A917" t="s">
        <v>1867</v>
      </c>
      <c r="B917" s="186" t="str">
        <f>VLOOKUP(A917,kurspris!$A$1:$B$877,2,FALSE)</f>
        <v>Profession och vetenskap för fritidshem (UK)</v>
      </c>
      <c r="C917"/>
      <c r="D917" t="s">
        <v>485</v>
      </c>
      <c r="E917" t="s">
        <v>1973</v>
      </c>
      <c r="F917" s="59" t="s">
        <v>1930</v>
      </c>
      <c r="G917" t="s">
        <v>1933</v>
      </c>
      <c r="H917" t="s">
        <v>1910</v>
      </c>
      <c r="I917"/>
      <c r="J917"/>
      <c r="K917"/>
      <c r="L917">
        <v>100</v>
      </c>
      <c r="M917">
        <v>7.5</v>
      </c>
      <c r="N917"/>
      <c r="O917"/>
      <c r="P917" s="31">
        <v>21</v>
      </c>
      <c r="Q917" s="232">
        <f t="shared" si="496"/>
        <v>2.625</v>
      </c>
      <c r="R917" s="40">
        <v>0.85</v>
      </c>
      <c r="S917" s="334">
        <f t="shared" si="497"/>
        <v>2.2312499999999997</v>
      </c>
      <c r="T917" s="31">
        <f>VLOOKUP(A917,'Ansvar kurs'!$A$1:$C$1010,2,FALSE)</f>
        <v>2193</v>
      </c>
      <c r="U917" s="31" t="str">
        <f>VLOOKUP(T917,Orgenheter!$A$1:$C$165,2,FALSE)</f>
        <v xml:space="preserve">TUV </v>
      </c>
      <c r="V917" s="31" t="str">
        <f>VLOOKUP(T917,Orgenheter!$A$1:$C$165,3,FALSE)</f>
        <v>Sam</v>
      </c>
      <c r="W917" s="37" t="str">
        <f>VLOOKUP(D917,Program!$A$1:$B$34,2,FALSE)</f>
        <v>Grundlärarprogrammet - fritidshem</v>
      </c>
      <c r="X917" s="42">
        <f>VLOOKUP(A917,kurspris!$A$1:$Q$798,15,FALSE)</f>
        <v>23641</v>
      </c>
      <c r="Y917" s="42">
        <f>VLOOKUP(A917,kurspris!$A$1:$Q$798,16,FALSE)</f>
        <v>28786</v>
      </c>
      <c r="Z917" s="42">
        <f t="shared" si="498"/>
        <v>126286.38749999998</v>
      </c>
      <c r="AA917" s="42">
        <f>VLOOKUP(A917,kurspris!$A$1:$Q$798,17,FALSE)</f>
        <v>5800</v>
      </c>
      <c r="AB917" s="42">
        <f t="shared" si="499"/>
        <v>15225</v>
      </c>
      <c r="AC917" s="42">
        <f t="shared" si="500"/>
        <v>141511.38749999998</v>
      </c>
      <c r="AD917" s="31">
        <f>VLOOKUP($A917,kurspris!$A$1:$Q$835,3,FALSE)</f>
        <v>0</v>
      </c>
      <c r="AE917" s="31">
        <f>VLOOKUP($A917,kurspris!$A$1:$Q$835,4,FALSE)</f>
        <v>0</v>
      </c>
      <c r="AF917" s="31">
        <f>VLOOKUP($A917,kurspris!$A$1:$Q$835,5,FALSE)</f>
        <v>0</v>
      </c>
      <c r="AG917" s="31">
        <f>VLOOKUP($A917,kurspris!$A$1:$Q$835,6,FALSE)</f>
        <v>1</v>
      </c>
      <c r="AH917" s="31">
        <f>VLOOKUP($A917,kurspris!$A$1:$Q$835,7,FALSE)</f>
        <v>0</v>
      </c>
      <c r="AI917" s="31">
        <f>VLOOKUP($A917,kurspris!$A$1:$Q$835,8,FALSE)</f>
        <v>0</v>
      </c>
      <c r="AJ917" s="31">
        <f>VLOOKUP($A917,kurspris!$A$1:$Q$835,9,FALSE)</f>
        <v>0</v>
      </c>
      <c r="AK917" s="31">
        <f>VLOOKUP($A917,kurspris!$A$1:$Q$835,10,FALSE)</f>
        <v>0</v>
      </c>
      <c r="AL917" s="31">
        <f>VLOOKUP($A917,kurspris!$A$1:$Q$835,11,FALSE)</f>
        <v>0</v>
      </c>
      <c r="AM917" s="31">
        <f>VLOOKUP($A917,kurspris!$A$1:$Q$835,12,FALSE)</f>
        <v>0</v>
      </c>
      <c r="AN917" s="31">
        <f>VLOOKUP($A917,kurspris!$A$1:$Q$835,13,FALSE)</f>
        <v>0</v>
      </c>
      <c r="AO917" s="31">
        <f>VLOOKUP($A917,kurspris!$A$1:$Q$835,14,FALSE)</f>
        <v>0</v>
      </c>
      <c r="AP917" s="39" t="s">
        <v>2235</v>
      </c>
      <c r="AQ917"/>
      <c r="AR917" s="31">
        <f t="shared" si="501"/>
        <v>0</v>
      </c>
      <c r="AS917" s="255">
        <f t="shared" si="502"/>
        <v>0</v>
      </c>
      <c r="AT917" s="31">
        <f t="shared" si="503"/>
        <v>0</v>
      </c>
      <c r="AU917" s="255">
        <f t="shared" si="504"/>
        <v>0</v>
      </c>
      <c r="AV917" s="31">
        <f t="shared" si="505"/>
        <v>0</v>
      </c>
      <c r="AW917" s="31">
        <f t="shared" si="506"/>
        <v>0</v>
      </c>
      <c r="AX917" s="31">
        <f t="shared" si="507"/>
        <v>2.625</v>
      </c>
      <c r="AY917" s="255">
        <f t="shared" si="508"/>
        <v>2.2312499999999997</v>
      </c>
      <c r="AZ917" s="232">
        <f t="shared" si="509"/>
        <v>0</v>
      </c>
      <c r="BA917" s="255">
        <f t="shared" si="510"/>
        <v>0</v>
      </c>
      <c r="BB917" s="31">
        <f t="shared" si="511"/>
        <v>0</v>
      </c>
      <c r="BC917" s="255">
        <f t="shared" si="512"/>
        <v>0</v>
      </c>
      <c r="BD917" s="31">
        <f t="shared" si="513"/>
        <v>0</v>
      </c>
      <c r="BE917" s="255">
        <f t="shared" si="514"/>
        <v>0</v>
      </c>
      <c r="BF917" s="31">
        <f t="shared" si="515"/>
        <v>0</v>
      </c>
      <c r="BG917" s="255">
        <f t="shared" si="516"/>
        <v>0</v>
      </c>
      <c r="BH917" s="31">
        <f t="shared" si="517"/>
        <v>0</v>
      </c>
      <c r="BI917" s="255">
        <f t="shared" si="518"/>
        <v>0</v>
      </c>
      <c r="BJ917" s="31">
        <f t="shared" si="519"/>
        <v>0</v>
      </c>
      <c r="BK917" s="31">
        <f t="shared" si="520"/>
        <v>0</v>
      </c>
      <c r="BL917" s="255">
        <f t="shared" si="521"/>
        <v>0</v>
      </c>
      <c r="BM917" s="31">
        <f t="shared" si="522"/>
        <v>0</v>
      </c>
      <c r="BN917" s="255">
        <f t="shared" si="523"/>
        <v>0</v>
      </c>
    </row>
    <row r="918" spans="1:66" x14ac:dyDescent="0.25">
      <c r="A918" s="18" t="s">
        <v>1907</v>
      </c>
      <c r="B918" s="186" t="str">
        <f>VLOOKUP(A918,kurspris!$A$1:$B$877,2,FALSE)</f>
        <v>Utbildningspolicy i nationell och internationell kontext</v>
      </c>
      <c r="C918" s="37"/>
      <c r="D918" t="s">
        <v>117</v>
      </c>
      <c r="E918"/>
      <c r="F918" s="59" t="s">
        <v>1930</v>
      </c>
      <c r="G918"/>
      <c r="H918"/>
      <c r="I918" t="s">
        <v>1634</v>
      </c>
      <c r="L918">
        <v>100</v>
      </c>
      <c r="M918">
        <v>7.5</v>
      </c>
      <c r="P918" s="31">
        <v>0</v>
      </c>
      <c r="Q918" s="232">
        <f t="shared" si="496"/>
        <v>0</v>
      </c>
      <c r="R918" s="40">
        <v>0.8</v>
      </c>
      <c r="S918" s="334">
        <f t="shared" si="497"/>
        <v>0</v>
      </c>
      <c r="T918" s="31">
        <f>VLOOKUP(A918,'Ansvar kurs'!$A$1:$C$1010,2,FALSE)</f>
        <v>2193</v>
      </c>
      <c r="U918" s="31" t="str">
        <f>VLOOKUP(T918,Orgenheter!$A$1:$C$165,2,FALSE)</f>
        <v xml:space="preserve">TUV </v>
      </c>
      <c r="V918" s="31" t="str">
        <f>VLOOKUP(T918,Orgenheter!$A$1:$C$165,3,FALSE)</f>
        <v>Sam</v>
      </c>
      <c r="W918" s="37" t="str">
        <f>VLOOKUP(D918,Program!$A$1:$B$34,2,FALSE)</f>
        <v>Fristående och övriga kurser</v>
      </c>
      <c r="X918" s="42">
        <f>VLOOKUP(A918,kurspris!$A$1:$Q$798,15,FALSE)</f>
        <v>18405</v>
      </c>
      <c r="Y918" s="42">
        <f>VLOOKUP(A918,kurspris!$A$1:$Q$798,16,FALSE)</f>
        <v>15773</v>
      </c>
      <c r="Z918" s="42">
        <f t="shared" si="498"/>
        <v>0</v>
      </c>
      <c r="AA918" s="42">
        <f>VLOOKUP(A918,kurspris!$A$1:$Q$798,17,FALSE)</f>
        <v>5800</v>
      </c>
      <c r="AB918" s="42">
        <f t="shared" si="499"/>
        <v>0</v>
      </c>
      <c r="AC918" s="42">
        <f t="shared" si="500"/>
        <v>0</v>
      </c>
      <c r="AD918" s="31">
        <f>VLOOKUP($A918,kurspris!$A$1:$Q$835,3,FALSE)</f>
        <v>0</v>
      </c>
      <c r="AE918" s="31">
        <f>VLOOKUP($A918,kurspris!$A$1:$Q$835,4,FALSE)</f>
        <v>0</v>
      </c>
      <c r="AF918" s="31">
        <f>VLOOKUP($A918,kurspris!$A$1:$Q$835,5,FALSE)</f>
        <v>0</v>
      </c>
      <c r="AG918" s="31">
        <f>VLOOKUP($A918,kurspris!$A$1:$Q$835,6,FALSE)</f>
        <v>0</v>
      </c>
      <c r="AH918" s="31">
        <f>VLOOKUP($A918,kurspris!$A$1:$Q$835,7,FALSE)</f>
        <v>0</v>
      </c>
      <c r="AI918" s="31">
        <f>VLOOKUP($A918,kurspris!$A$1:$Q$835,8,FALSE)</f>
        <v>0</v>
      </c>
      <c r="AJ918" s="31">
        <f>VLOOKUP($A918,kurspris!$A$1:$Q$835,9,FALSE)</f>
        <v>1</v>
      </c>
      <c r="AK918" s="31">
        <f>VLOOKUP($A918,kurspris!$A$1:$Q$835,10,FALSE)</f>
        <v>0</v>
      </c>
      <c r="AL918" s="31">
        <f>VLOOKUP($A918,kurspris!$A$1:$Q$835,11,FALSE)</f>
        <v>0</v>
      </c>
      <c r="AM918" s="31">
        <f>VLOOKUP($A918,kurspris!$A$1:$Q$835,12,FALSE)</f>
        <v>0</v>
      </c>
      <c r="AN918" s="31">
        <f>VLOOKUP($A918,kurspris!$A$1:$Q$835,13,FALSE)</f>
        <v>0</v>
      </c>
      <c r="AO918" s="31">
        <f>VLOOKUP($A918,kurspris!$A$1:$Q$835,14,FALSE)</f>
        <v>0</v>
      </c>
      <c r="AP918" s="39" t="s">
        <v>2232</v>
      </c>
      <c r="AQ918" s="39" t="s">
        <v>2095</v>
      </c>
      <c r="AR918" s="31">
        <f t="shared" si="501"/>
        <v>0</v>
      </c>
      <c r="AS918" s="255">
        <f t="shared" si="502"/>
        <v>0</v>
      </c>
      <c r="AT918" s="31">
        <f t="shared" si="503"/>
        <v>0</v>
      </c>
      <c r="AU918" s="255">
        <f t="shared" si="504"/>
        <v>0</v>
      </c>
      <c r="AV918" s="31">
        <f t="shared" si="505"/>
        <v>0</v>
      </c>
      <c r="AW918" s="31">
        <f t="shared" si="506"/>
        <v>0</v>
      </c>
      <c r="AX918" s="31">
        <f t="shared" si="507"/>
        <v>0</v>
      </c>
      <c r="AY918" s="255">
        <f t="shared" si="508"/>
        <v>0</v>
      </c>
      <c r="AZ918" s="232">
        <f t="shared" si="509"/>
        <v>0</v>
      </c>
      <c r="BA918" s="255">
        <f t="shared" si="510"/>
        <v>0</v>
      </c>
      <c r="BB918" s="31">
        <f t="shared" si="511"/>
        <v>0</v>
      </c>
      <c r="BC918" s="255">
        <f t="shared" si="512"/>
        <v>0</v>
      </c>
      <c r="BD918" s="31">
        <f t="shared" si="513"/>
        <v>0</v>
      </c>
      <c r="BE918" s="255">
        <f t="shared" si="514"/>
        <v>0</v>
      </c>
      <c r="BF918" s="31">
        <f t="shared" si="515"/>
        <v>0</v>
      </c>
      <c r="BG918" s="255">
        <f t="shared" si="516"/>
        <v>0</v>
      </c>
      <c r="BH918" s="31">
        <f t="shared" si="517"/>
        <v>0</v>
      </c>
      <c r="BI918" s="255">
        <f t="shared" si="518"/>
        <v>0</v>
      </c>
      <c r="BJ918" s="31">
        <f t="shared" si="519"/>
        <v>0</v>
      </c>
      <c r="BK918" s="31">
        <f t="shared" si="520"/>
        <v>0</v>
      </c>
      <c r="BL918" s="255">
        <f t="shared" si="521"/>
        <v>0</v>
      </c>
      <c r="BM918" s="31">
        <f t="shared" si="522"/>
        <v>0</v>
      </c>
      <c r="BN918" s="255">
        <f t="shared" si="523"/>
        <v>0</v>
      </c>
    </row>
    <row r="919" spans="1:66" x14ac:dyDescent="0.25">
      <c r="A919" s="18" t="s">
        <v>1889</v>
      </c>
      <c r="B919" s="186" t="str">
        <f>VLOOKUP(A919,kurspris!$A$1:$B$877,2,FALSE)</f>
        <v>Grundlärare som profession (UK)</v>
      </c>
      <c r="C919" s="37"/>
      <c r="D919" s="31" t="s">
        <v>485</v>
      </c>
      <c r="E919" s="31" t="s">
        <v>1931</v>
      </c>
      <c r="F919" s="59" t="s">
        <v>1931</v>
      </c>
      <c r="G919" s="31" t="s">
        <v>2279</v>
      </c>
      <c r="L919" s="31">
        <v>100</v>
      </c>
      <c r="M919" s="31">
        <v>6</v>
      </c>
      <c r="P919" s="31">
        <v>25</v>
      </c>
      <c r="Q919" s="232">
        <f t="shared" si="496"/>
        <v>2.5</v>
      </c>
      <c r="R919" s="40">
        <v>0.85</v>
      </c>
      <c r="S919" s="334">
        <f t="shared" si="497"/>
        <v>2.125</v>
      </c>
      <c r="T919" s="31">
        <f>VLOOKUP(A919,'Ansvar kurs'!$A$1:$C$1010,2,FALSE)</f>
        <v>5740</v>
      </c>
      <c r="U919" s="31" t="str">
        <f>VLOOKUP(T919,Orgenheter!$A$1:$C$165,2,FALSE)</f>
        <v>NMD</v>
      </c>
      <c r="V919" s="31" t="str">
        <f>VLOOKUP(T919,Orgenheter!$A$1:$C$165,3,FALSE)</f>
        <v>TekNat</v>
      </c>
      <c r="W919" s="37" t="str">
        <f>VLOOKUP(D919,Program!$A$1:$B$34,2,FALSE)</f>
        <v>Grundlärarprogrammet - fritidshem</v>
      </c>
      <c r="X919" s="42">
        <f>VLOOKUP(A919,kurspris!$A$1:$Q$798,15,FALSE)</f>
        <v>23641</v>
      </c>
      <c r="Y919" s="42">
        <f>VLOOKUP(A919,kurspris!$A$1:$Q$798,16,FALSE)</f>
        <v>28786</v>
      </c>
      <c r="Z919" s="42">
        <f t="shared" si="498"/>
        <v>120272.75</v>
      </c>
      <c r="AA919" s="42">
        <f>VLOOKUP(A919,kurspris!$A$1:$Q$798,17,FALSE)</f>
        <v>5800</v>
      </c>
      <c r="AB919" s="42">
        <f t="shared" si="499"/>
        <v>14500</v>
      </c>
      <c r="AC919" s="42">
        <f t="shared" si="500"/>
        <v>134772.75</v>
      </c>
      <c r="AD919" s="31">
        <f>VLOOKUP($A919,kurspris!$A$1:$Q$835,3,FALSE)</f>
        <v>0</v>
      </c>
      <c r="AE919" s="31">
        <f>VLOOKUP($A919,kurspris!$A$1:$Q$835,4,FALSE)</f>
        <v>0</v>
      </c>
      <c r="AF919" s="31">
        <f>VLOOKUP($A919,kurspris!$A$1:$Q$835,5,FALSE)</f>
        <v>0</v>
      </c>
      <c r="AG919" s="31">
        <f>VLOOKUP($A919,kurspris!$A$1:$Q$835,6,FALSE)</f>
        <v>1</v>
      </c>
      <c r="AH919" s="31">
        <f>VLOOKUP($A919,kurspris!$A$1:$Q$835,7,FALSE)</f>
        <v>0</v>
      </c>
      <c r="AI919" s="31">
        <f>VLOOKUP($A919,kurspris!$A$1:$Q$835,8,FALSE)</f>
        <v>0</v>
      </c>
      <c r="AJ919" s="31">
        <f>VLOOKUP($A919,kurspris!$A$1:$Q$835,9,FALSE)</f>
        <v>0</v>
      </c>
      <c r="AK919" s="31">
        <f>VLOOKUP($A919,kurspris!$A$1:$Q$835,10,FALSE)</f>
        <v>0</v>
      </c>
      <c r="AL919" s="31">
        <f>VLOOKUP($A919,kurspris!$A$1:$Q$835,11,FALSE)</f>
        <v>0</v>
      </c>
      <c r="AM919" s="31">
        <f>VLOOKUP($A919,kurspris!$A$1:$Q$835,12,FALSE)</f>
        <v>0</v>
      </c>
      <c r="AN919" s="31">
        <f>VLOOKUP($A919,kurspris!$A$1:$Q$835,13,FALSE)</f>
        <v>0</v>
      </c>
      <c r="AO919" s="31">
        <f>VLOOKUP($A919,kurspris!$A$1:$Q$835,14,FALSE)</f>
        <v>0</v>
      </c>
      <c r="AP919" s="39" t="s">
        <v>2326</v>
      </c>
      <c r="AQ919"/>
      <c r="AR919" s="31">
        <f t="shared" si="501"/>
        <v>0</v>
      </c>
      <c r="AS919" s="255">
        <f t="shared" si="502"/>
        <v>0</v>
      </c>
      <c r="AT919" s="31">
        <f t="shared" si="503"/>
        <v>0</v>
      </c>
      <c r="AU919" s="255">
        <f t="shared" si="504"/>
        <v>0</v>
      </c>
      <c r="AV919" s="31">
        <f t="shared" si="505"/>
        <v>0</v>
      </c>
      <c r="AW919" s="31">
        <f t="shared" si="506"/>
        <v>0</v>
      </c>
      <c r="AX919" s="31">
        <f t="shared" si="507"/>
        <v>2.5</v>
      </c>
      <c r="AY919" s="255">
        <f t="shared" si="508"/>
        <v>2.125</v>
      </c>
      <c r="AZ919" s="232">
        <f t="shared" si="509"/>
        <v>0</v>
      </c>
      <c r="BA919" s="255">
        <f t="shared" si="510"/>
        <v>0</v>
      </c>
      <c r="BB919" s="31">
        <f t="shared" si="511"/>
        <v>0</v>
      </c>
      <c r="BC919" s="255">
        <f t="shared" si="512"/>
        <v>0</v>
      </c>
      <c r="BD919" s="31">
        <f t="shared" si="513"/>
        <v>0</v>
      </c>
      <c r="BE919" s="255">
        <f t="shared" si="514"/>
        <v>0</v>
      </c>
      <c r="BF919" s="31">
        <f t="shared" si="515"/>
        <v>0</v>
      </c>
      <c r="BG919" s="255">
        <f t="shared" si="516"/>
        <v>0</v>
      </c>
      <c r="BH919" s="31">
        <f t="shared" si="517"/>
        <v>0</v>
      </c>
      <c r="BI919" s="255">
        <f t="shared" si="518"/>
        <v>0</v>
      </c>
      <c r="BJ919" s="31">
        <f t="shared" si="519"/>
        <v>0</v>
      </c>
      <c r="BK919" s="31">
        <f t="shared" si="520"/>
        <v>0</v>
      </c>
      <c r="BL919" s="255">
        <f t="shared" si="521"/>
        <v>0</v>
      </c>
      <c r="BM919" s="31">
        <f t="shared" si="522"/>
        <v>0</v>
      </c>
      <c r="BN919" s="255">
        <f t="shared" si="523"/>
        <v>0</v>
      </c>
    </row>
    <row r="920" spans="1:66" x14ac:dyDescent="0.25">
      <c r="A920" s="18" t="s">
        <v>1889</v>
      </c>
      <c r="B920" s="186" t="str">
        <f>VLOOKUP(A920,kurspris!$A$1:$B$877,2,FALSE)</f>
        <v>Grundlärare som profession (UK)</v>
      </c>
      <c r="C920" s="37"/>
      <c r="D920" s="31" t="s">
        <v>486</v>
      </c>
      <c r="E920" s="31" t="s">
        <v>1975</v>
      </c>
      <c r="F920" s="59" t="s">
        <v>1931</v>
      </c>
      <c r="G920" s="31" t="s">
        <v>2279</v>
      </c>
      <c r="L920" s="31">
        <v>100</v>
      </c>
      <c r="M920" s="31">
        <v>6</v>
      </c>
      <c r="P920" s="31">
        <v>1</v>
      </c>
      <c r="Q920" s="232">
        <f t="shared" si="496"/>
        <v>0.1</v>
      </c>
      <c r="R920" s="40">
        <v>0.85</v>
      </c>
      <c r="S920" s="334">
        <f t="shared" si="497"/>
        <v>8.5000000000000006E-2</v>
      </c>
      <c r="T920" s="31">
        <f>VLOOKUP(A920,'Ansvar kurs'!$A$1:$C$1010,2,FALSE)</f>
        <v>5740</v>
      </c>
      <c r="U920" s="31" t="str">
        <f>VLOOKUP(T920,Orgenheter!$A$1:$C$165,2,FALSE)</f>
        <v>NMD</v>
      </c>
      <c r="V920" s="31" t="str">
        <f>VLOOKUP(T920,Orgenheter!$A$1:$C$165,3,FALSE)</f>
        <v>TekNat</v>
      </c>
      <c r="W920" s="37" t="str">
        <f>VLOOKUP(D920,Program!$A$1:$B$34,2,FALSE)</f>
        <v>Grundlärarprogrammet - förskoleklass och åk 1-3</v>
      </c>
      <c r="X920" s="42">
        <f>VLOOKUP(A920,kurspris!$A$1:$Q$798,15,FALSE)</f>
        <v>23641</v>
      </c>
      <c r="Y920" s="42">
        <f>VLOOKUP(A920,kurspris!$A$1:$Q$798,16,FALSE)</f>
        <v>28786</v>
      </c>
      <c r="Z920" s="42">
        <f t="shared" si="498"/>
        <v>4810.91</v>
      </c>
      <c r="AA920" s="42">
        <f>VLOOKUP(A920,kurspris!$A$1:$Q$798,17,FALSE)</f>
        <v>5800</v>
      </c>
      <c r="AB920" s="42">
        <f t="shared" si="499"/>
        <v>580</v>
      </c>
      <c r="AC920" s="42">
        <f t="shared" si="500"/>
        <v>5390.91</v>
      </c>
      <c r="AD920" s="31">
        <f>VLOOKUP($A920,kurspris!$A$1:$Q$835,3,FALSE)</f>
        <v>0</v>
      </c>
      <c r="AE920" s="31">
        <f>VLOOKUP($A920,kurspris!$A$1:$Q$835,4,FALSE)</f>
        <v>0</v>
      </c>
      <c r="AF920" s="31">
        <f>VLOOKUP($A920,kurspris!$A$1:$Q$835,5,FALSE)</f>
        <v>0</v>
      </c>
      <c r="AG920" s="31">
        <f>VLOOKUP($A920,kurspris!$A$1:$Q$835,6,FALSE)</f>
        <v>1</v>
      </c>
      <c r="AH920" s="31">
        <f>VLOOKUP($A920,kurspris!$A$1:$Q$835,7,FALSE)</f>
        <v>0</v>
      </c>
      <c r="AI920" s="31">
        <f>VLOOKUP($A920,kurspris!$A$1:$Q$835,8,FALSE)</f>
        <v>0</v>
      </c>
      <c r="AJ920" s="31">
        <f>VLOOKUP($A920,kurspris!$A$1:$Q$835,9,FALSE)</f>
        <v>0</v>
      </c>
      <c r="AK920" s="31">
        <f>VLOOKUP($A920,kurspris!$A$1:$Q$835,10,FALSE)</f>
        <v>0</v>
      </c>
      <c r="AL920" s="31">
        <f>VLOOKUP($A920,kurspris!$A$1:$Q$835,11,FALSE)</f>
        <v>0</v>
      </c>
      <c r="AM920" s="31">
        <f>VLOOKUP($A920,kurspris!$A$1:$Q$835,12,FALSE)</f>
        <v>0</v>
      </c>
      <c r="AN920" s="31">
        <f>VLOOKUP($A920,kurspris!$A$1:$Q$835,13,FALSE)</f>
        <v>0</v>
      </c>
      <c r="AO920" s="31">
        <f>VLOOKUP($A920,kurspris!$A$1:$Q$835,14,FALSE)</f>
        <v>0</v>
      </c>
      <c r="AP920" s="39" t="s">
        <v>2326</v>
      </c>
      <c r="AQ920"/>
      <c r="AR920" s="31">
        <f t="shared" si="501"/>
        <v>0</v>
      </c>
      <c r="AS920" s="255">
        <f t="shared" si="502"/>
        <v>0</v>
      </c>
      <c r="AT920" s="31">
        <f t="shared" si="503"/>
        <v>0</v>
      </c>
      <c r="AU920" s="255">
        <f t="shared" si="504"/>
        <v>0</v>
      </c>
      <c r="AV920" s="31">
        <f t="shared" si="505"/>
        <v>0</v>
      </c>
      <c r="AW920" s="31">
        <f t="shared" si="506"/>
        <v>0</v>
      </c>
      <c r="AX920" s="31">
        <f t="shared" si="507"/>
        <v>0.1</v>
      </c>
      <c r="AY920" s="255">
        <f t="shared" si="508"/>
        <v>8.5000000000000006E-2</v>
      </c>
      <c r="AZ920" s="232">
        <f t="shared" si="509"/>
        <v>0</v>
      </c>
      <c r="BA920" s="255">
        <f t="shared" si="510"/>
        <v>0</v>
      </c>
      <c r="BB920" s="31">
        <f t="shared" si="511"/>
        <v>0</v>
      </c>
      <c r="BC920" s="255">
        <f t="shared" si="512"/>
        <v>0</v>
      </c>
      <c r="BD920" s="31">
        <f t="shared" si="513"/>
        <v>0</v>
      </c>
      <c r="BE920" s="255">
        <f t="shared" si="514"/>
        <v>0</v>
      </c>
      <c r="BF920" s="31">
        <f t="shared" si="515"/>
        <v>0</v>
      </c>
      <c r="BG920" s="255">
        <f t="shared" si="516"/>
        <v>0</v>
      </c>
      <c r="BH920" s="31">
        <f t="shared" si="517"/>
        <v>0</v>
      </c>
      <c r="BI920" s="255">
        <f t="shared" si="518"/>
        <v>0</v>
      </c>
      <c r="BJ920" s="31">
        <f t="shared" si="519"/>
        <v>0</v>
      </c>
      <c r="BK920" s="31">
        <f t="shared" si="520"/>
        <v>0</v>
      </c>
      <c r="BL920" s="255">
        <f t="shared" si="521"/>
        <v>0</v>
      </c>
      <c r="BM920" s="31">
        <f t="shared" si="522"/>
        <v>0</v>
      </c>
      <c r="BN920" s="255">
        <f t="shared" si="523"/>
        <v>0</v>
      </c>
    </row>
    <row r="921" spans="1:66" x14ac:dyDescent="0.25">
      <c r="A921" s="18" t="s">
        <v>1889</v>
      </c>
      <c r="B921" s="186" t="str">
        <f>VLOOKUP(A921,kurspris!$A$1:$B$877,2,FALSE)</f>
        <v>Grundlärare som profession (UK)</v>
      </c>
      <c r="C921" s="37"/>
      <c r="D921" s="31" t="s">
        <v>486</v>
      </c>
      <c r="E921" s="31" t="s">
        <v>1788</v>
      </c>
      <c r="F921" s="59" t="s">
        <v>1931</v>
      </c>
      <c r="G921" s="31" t="s">
        <v>2279</v>
      </c>
      <c r="L921" s="31">
        <v>100</v>
      </c>
      <c r="M921" s="31">
        <v>6</v>
      </c>
      <c r="P921" s="31">
        <v>1</v>
      </c>
      <c r="Q921" s="232">
        <f t="shared" si="496"/>
        <v>0.1</v>
      </c>
      <c r="R921" s="40">
        <v>0.85</v>
      </c>
      <c r="S921" s="334">
        <f t="shared" si="497"/>
        <v>8.5000000000000006E-2</v>
      </c>
      <c r="T921" s="31">
        <f>VLOOKUP(A921,'Ansvar kurs'!$A$1:$C$1010,2,FALSE)</f>
        <v>5740</v>
      </c>
      <c r="U921" s="31" t="str">
        <f>VLOOKUP(T921,Orgenheter!$A$1:$C$165,2,FALSE)</f>
        <v>NMD</v>
      </c>
      <c r="V921" s="31" t="str">
        <f>VLOOKUP(T921,Orgenheter!$A$1:$C$165,3,FALSE)</f>
        <v>TekNat</v>
      </c>
      <c r="W921" s="37" t="str">
        <f>VLOOKUP(D921,Program!$A$1:$B$34,2,FALSE)</f>
        <v>Grundlärarprogrammet - förskoleklass och åk 1-3</v>
      </c>
      <c r="X921" s="42">
        <f>VLOOKUP(A921,kurspris!$A$1:$Q$798,15,FALSE)</f>
        <v>23641</v>
      </c>
      <c r="Y921" s="42">
        <f>VLOOKUP(A921,kurspris!$A$1:$Q$798,16,FALSE)</f>
        <v>28786</v>
      </c>
      <c r="Z921" s="42">
        <f t="shared" si="498"/>
        <v>4810.91</v>
      </c>
      <c r="AA921" s="42">
        <f>VLOOKUP(A921,kurspris!$A$1:$Q$798,17,FALSE)</f>
        <v>5800</v>
      </c>
      <c r="AB921" s="42">
        <f t="shared" si="499"/>
        <v>580</v>
      </c>
      <c r="AC921" s="42">
        <f t="shared" si="500"/>
        <v>5390.91</v>
      </c>
      <c r="AD921" s="31">
        <f>VLOOKUP($A921,kurspris!$A$1:$Q$835,3,FALSE)</f>
        <v>0</v>
      </c>
      <c r="AE921" s="31">
        <f>VLOOKUP($A921,kurspris!$A$1:$Q$835,4,FALSE)</f>
        <v>0</v>
      </c>
      <c r="AF921" s="31">
        <f>VLOOKUP($A921,kurspris!$A$1:$Q$835,5,FALSE)</f>
        <v>0</v>
      </c>
      <c r="AG921" s="31">
        <f>VLOOKUP($A921,kurspris!$A$1:$Q$835,6,FALSE)</f>
        <v>1</v>
      </c>
      <c r="AH921" s="31">
        <f>VLOOKUP($A921,kurspris!$A$1:$Q$835,7,FALSE)</f>
        <v>0</v>
      </c>
      <c r="AI921" s="31">
        <f>VLOOKUP($A921,kurspris!$A$1:$Q$835,8,FALSE)</f>
        <v>0</v>
      </c>
      <c r="AJ921" s="31">
        <f>VLOOKUP($A921,kurspris!$A$1:$Q$835,9,FALSE)</f>
        <v>0</v>
      </c>
      <c r="AK921" s="31">
        <f>VLOOKUP($A921,kurspris!$A$1:$Q$835,10,FALSE)</f>
        <v>0</v>
      </c>
      <c r="AL921" s="31">
        <f>VLOOKUP($A921,kurspris!$A$1:$Q$835,11,FALSE)</f>
        <v>0</v>
      </c>
      <c r="AM921" s="31">
        <f>VLOOKUP($A921,kurspris!$A$1:$Q$835,12,FALSE)</f>
        <v>0</v>
      </c>
      <c r="AN921" s="31">
        <f>VLOOKUP($A921,kurspris!$A$1:$Q$835,13,FALSE)</f>
        <v>0</v>
      </c>
      <c r="AO921" s="31">
        <f>VLOOKUP($A921,kurspris!$A$1:$Q$835,14,FALSE)</f>
        <v>0</v>
      </c>
      <c r="AP921" s="39" t="s">
        <v>2326</v>
      </c>
      <c r="AQ921"/>
      <c r="AR921" s="31">
        <f t="shared" si="501"/>
        <v>0</v>
      </c>
      <c r="AS921" s="255">
        <f t="shared" si="502"/>
        <v>0</v>
      </c>
      <c r="AT921" s="31">
        <f t="shared" si="503"/>
        <v>0</v>
      </c>
      <c r="AU921" s="255">
        <f t="shared" si="504"/>
        <v>0</v>
      </c>
      <c r="AV921" s="31">
        <f t="shared" si="505"/>
        <v>0</v>
      </c>
      <c r="AW921" s="31">
        <f t="shared" si="506"/>
        <v>0</v>
      </c>
      <c r="AX921" s="31">
        <f t="shared" si="507"/>
        <v>0.1</v>
      </c>
      <c r="AY921" s="255">
        <f t="shared" si="508"/>
        <v>8.5000000000000006E-2</v>
      </c>
      <c r="AZ921" s="232">
        <f t="shared" si="509"/>
        <v>0</v>
      </c>
      <c r="BA921" s="255">
        <f t="shared" si="510"/>
        <v>0</v>
      </c>
      <c r="BB921" s="31">
        <f t="shared" si="511"/>
        <v>0</v>
      </c>
      <c r="BC921" s="255">
        <f t="shared" si="512"/>
        <v>0</v>
      </c>
      <c r="BD921" s="31">
        <f t="shared" si="513"/>
        <v>0</v>
      </c>
      <c r="BE921" s="255">
        <f t="shared" si="514"/>
        <v>0</v>
      </c>
      <c r="BF921" s="31">
        <f t="shared" si="515"/>
        <v>0</v>
      </c>
      <c r="BG921" s="255">
        <f t="shared" si="516"/>
        <v>0</v>
      </c>
      <c r="BH921" s="31">
        <f t="shared" si="517"/>
        <v>0</v>
      </c>
      <c r="BI921" s="255">
        <f t="shared" si="518"/>
        <v>0</v>
      </c>
      <c r="BJ921" s="31">
        <f t="shared" si="519"/>
        <v>0</v>
      </c>
      <c r="BK921" s="31">
        <f t="shared" si="520"/>
        <v>0</v>
      </c>
      <c r="BL921" s="255">
        <f t="shared" si="521"/>
        <v>0</v>
      </c>
      <c r="BM921" s="31">
        <f t="shared" si="522"/>
        <v>0</v>
      </c>
      <c r="BN921" s="255">
        <f t="shared" si="523"/>
        <v>0</v>
      </c>
    </row>
    <row r="922" spans="1:66" x14ac:dyDescent="0.25">
      <c r="A922" s="18" t="s">
        <v>1889</v>
      </c>
      <c r="B922" s="186" t="str">
        <f>VLOOKUP(A922,kurspris!$A$1:$B$877,2,FALSE)</f>
        <v>Grundlärare som profession (UK)</v>
      </c>
      <c r="C922" s="37"/>
      <c r="D922" s="31" t="s">
        <v>486</v>
      </c>
      <c r="E922" s="31" t="s">
        <v>1931</v>
      </c>
      <c r="F922" s="59" t="s">
        <v>1931</v>
      </c>
      <c r="G922" s="31" t="s">
        <v>2279</v>
      </c>
      <c r="L922" s="31">
        <v>100</v>
      </c>
      <c r="M922" s="31">
        <v>6</v>
      </c>
      <c r="P922" s="31">
        <v>52</v>
      </c>
      <c r="Q922" s="232">
        <f t="shared" si="496"/>
        <v>5.2</v>
      </c>
      <c r="R922" s="40">
        <v>0.85</v>
      </c>
      <c r="S922" s="334">
        <f t="shared" si="497"/>
        <v>4.42</v>
      </c>
      <c r="T922" s="31">
        <f>VLOOKUP(A922,'Ansvar kurs'!$A$1:$C$1010,2,FALSE)</f>
        <v>5740</v>
      </c>
      <c r="U922" s="31" t="str">
        <f>VLOOKUP(T922,Orgenheter!$A$1:$C$165,2,FALSE)</f>
        <v>NMD</v>
      </c>
      <c r="V922" s="31" t="str">
        <f>VLOOKUP(T922,Orgenheter!$A$1:$C$165,3,FALSE)</f>
        <v>TekNat</v>
      </c>
      <c r="W922" s="37" t="str">
        <f>VLOOKUP(D922,Program!$A$1:$B$34,2,FALSE)</f>
        <v>Grundlärarprogrammet - förskoleklass och åk 1-3</v>
      </c>
      <c r="X922" s="42">
        <f>VLOOKUP(A922,kurspris!$A$1:$Q$798,15,FALSE)</f>
        <v>23641</v>
      </c>
      <c r="Y922" s="42">
        <f>VLOOKUP(A922,kurspris!$A$1:$Q$798,16,FALSE)</f>
        <v>28786</v>
      </c>
      <c r="Z922" s="42">
        <f t="shared" si="498"/>
        <v>250167.32</v>
      </c>
      <c r="AA922" s="42">
        <f>VLOOKUP(A922,kurspris!$A$1:$Q$798,17,FALSE)</f>
        <v>5800</v>
      </c>
      <c r="AB922" s="42">
        <f t="shared" si="499"/>
        <v>30160</v>
      </c>
      <c r="AC922" s="42">
        <f t="shared" si="500"/>
        <v>280327.32</v>
      </c>
      <c r="AD922" s="31">
        <f>VLOOKUP($A922,kurspris!$A$1:$Q$835,3,FALSE)</f>
        <v>0</v>
      </c>
      <c r="AE922" s="31">
        <f>VLOOKUP($A922,kurspris!$A$1:$Q$835,4,FALSE)</f>
        <v>0</v>
      </c>
      <c r="AF922" s="31">
        <f>VLOOKUP($A922,kurspris!$A$1:$Q$835,5,FALSE)</f>
        <v>0</v>
      </c>
      <c r="AG922" s="31">
        <f>VLOOKUP($A922,kurspris!$A$1:$Q$835,6,FALSE)</f>
        <v>1</v>
      </c>
      <c r="AH922" s="31">
        <f>VLOOKUP($A922,kurspris!$A$1:$Q$835,7,FALSE)</f>
        <v>0</v>
      </c>
      <c r="AI922" s="31">
        <f>VLOOKUP($A922,kurspris!$A$1:$Q$835,8,FALSE)</f>
        <v>0</v>
      </c>
      <c r="AJ922" s="31">
        <f>VLOOKUP($A922,kurspris!$A$1:$Q$835,9,FALSE)</f>
        <v>0</v>
      </c>
      <c r="AK922" s="31">
        <f>VLOOKUP($A922,kurspris!$A$1:$Q$835,10,FALSE)</f>
        <v>0</v>
      </c>
      <c r="AL922" s="31">
        <f>VLOOKUP($A922,kurspris!$A$1:$Q$835,11,FALSE)</f>
        <v>0</v>
      </c>
      <c r="AM922" s="31">
        <f>VLOOKUP($A922,kurspris!$A$1:$Q$835,12,FALSE)</f>
        <v>0</v>
      </c>
      <c r="AN922" s="31">
        <f>VLOOKUP($A922,kurspris!$A$1:$Q$835,13,FALSE)</f>
        <v>0</v>
      </c>
      <c r="AO922" s="31">
        <f>VLOOKUP($A922,kurspris!$A$1:$Q$835,14,FALSE)</f>
        <v>0</v>
      </c>
      <c r="AP922" s="39" t="s">
        <v>2326</v>
      </c>
      <c r="AQ922"/>
      <c r="AR922" s="31">
        <f t="shared" si="501"/>
        <v>0</v>
      </c>
      <c r="AS922" s="255">
        <f t="shared" si="502"/>
        <v>0</v>
      </c>
      <c r="AT922" s="31">
        <f t="shared" si="503"/>
        <v>0</v>
      </c>
      <c r="AU922" s="255">
        <f t="shared" si="504"/>
        <v>0</v>
      </c>
      <c r="AV922" s="31">
        <f t="shared" si="505"/>
        <v>0</v>
      </c>
      <c r="AW922" s="31">
        <f t="shared" si="506"/>
        <v>0</v>
      </c>
      <c r="AX922" s="31">
        <f t="shared" si="507"/>
        <v>5.2</v>
      </c>
      <c r="AY922" s="255">
        <f t="shared" si="508"/>
        <v>4.42</v>
      </c>
      <c r="AZ922" s="232">
        <f t="shared" si="509"/>
        <v>0</v>
      </c>
      <c r="BA922" s="255">
        <f t="shared" si="510"/>
        <v>0</v>
      </c>
      <c r="BB922" s="31">
        <f t="shared" si="511"/>
        <v>0</v>
      </c>
      <c r="BC922" s="255">
        <f t="shared" si="512"/>
        <v>0</v>
      </c>
      <c r="BD922" s="31">
        <f t="shared" si="513"/>
        <v>0</v>
      </c>
      <c r="BE922" s="255">
        <f t="shared" si="514"/>
        <v>0</v>
      </c>
      <c r="BF922" s="31">
        <f t="shared" si="515"/>
        <v>0</v>
      </c>
      <c r="BG922" s="255">
        <f t="shared" si="516"/>
        <v>0</v>
      </c>
      <c r="BH922" s="31">
        <f t="shared" si="517"/>
        <v>0</v>
      </c>
      <c r="BI922" s="255">
        <f t="shared" si="518"/>
        <v>0</v>
      </c>
      <c r="BJ922" s="31">
        <f t="shared" si="519"/>
        <v>0</v>
      </c>
      <c r="BK922" s="31">
        <f t="shared" si="520"/>
        <v>0</v>
      </c>
      <c r="BL922" s="255">
        <f t="shared" si="521"/>
        <v>0</v>
      </c>
      <c r="BM922" s="31">
        <f t="shared" si="522"/>
        <v>0</v>
      </c>
      <c r="BN922" s="255">
        <f t="shared" si="523"/>
        <v>0</v>
      </c>
    </row>
    <row r="923" spans="1:66" x14ac:dyDescent="0.25">
      <c r="A923" s="18" t="s">
        <v>1889</v>
      </c>
      <c r="B923" s="186" t="str">
        <f>VLOOKUP(A923,kurspris!$A$1:$B$877,2,FALSE)</f>
        <v>Grundlärare som profession (UK)</v>
      </c>
      <c r="C923" s="37"/>
      <c r="D923" s="31" t="s">
        <v>486</v>
      </c>
      <c r="E923" s="31" t="s">
        <v>1787</v>
      </c>
      <c r="F923" s="59" t="s">
        <v>1931</v>
      </c>
      <c r="G923" s="31" t="s">
        <v>2279</v>
      </c>
      <c r="L923" s="31">
        <v>100</v>
      </c>
      <c r="M923" s="31">
        <v>6</v>
      </c>
      <c r="P923" s="31">
        <v>1</v>
      </c>
      <c r="Q923" s="232">
        <f t="shared" si="496"/>
        <v>0.1</v>
      </c>
      <c r="R923" s="40">
        <v>0.85</v>
      </c>
      <c r="S923" s="334">
        <f t="shared" si="497"/>
        <v>8.5000000000000006E-2</v>
      </c>
      <c r="T923" s="31">
        <f>VLOOKUP(A923,'Ansvar kurs'!$A$1:$C$1010,2,FALSE)</f>
        <v>5740</v>
      </c>
      <c r="U923" s="31" t="str">
        <f>VLOOKUP(T923,Orgenheter!$A$1:$C$165,2,FALSE)</f>
        <v>NMD</v>
      </c>
      <c r="V923" s="31" t="str">
        <f>VLOOKUP(T923,Orgenheter!$A$1:$C$165,3,FALSE)</f>
        <v>TekNat</v>
      </c>
      <c r="W923" s="37" t="str">
        <f>VLOOKUP(D923,Program!$A$1:$B$34,2,FALSE)</f>
        <v>Grundlärarprogrammet - förskoleklass och åk 1-3</v>
      </c>
      <c r="X923" s="42">
        <f>VLOOKUP(A923,kurspris!$A$1:$Q$798,15,FALSE)</f>
        <v>23641</v>
      </c>
      <c r="Y923" s="42">
        <f>VLOOKUP(A923,kurspris!$A$1:$Q$798,16,FALSE)</f>
        <v>28786</v>
      </c>
      <c r="Z923" s="42">
        <f t="shared" si="498"/>
        <v>4810.91</v>
      </c>
      <c r="AA923" s="42">
        <f>VLOOKUP(A923,kurspris!$A$1:$Q$798,17,FALSE)</f>
        <v>5800</v>
      </c>
      <c r="AB923" s="42">
        <f t="shared" si="499"/>
        <v>580</v>
      </c>
      <c r="AC923" s="42">
        <f t="shared" si="500"/>
        <v>5390.91</v>
      </c>
      <c r="AD923" s="31">
        <f>VLOOKUP($A923,kurspris!$A$1:$Q$835,3,FALSE)</f>
        <v>0</v>
      </c>
      <c r="AE923" s="31">
        <f>VLOOKUP($A923,kurspris!$A$1:$Q$835,4,FALSE)</f>
        <v>0</v>
      </c>
      <c r="AF923" s="31">
        <f>VLOOKUP($A923,kurspris!$A$1:$Q$835,5,FALSE)</f>
        <v>0</v>
      </c>
      <c r="AG923" s="31">
        <f>VLOOKUP($A923,kurspris!$A$1:$Q$835,6,FALSE)</f>
        <v>1</v>
      </c>
      <c r="AH923" s="31">
        <f>VLOOKUP($A923,kurspris!$A$1:$Q$835,7,FALSE)</f>
        <v>0</v>
      </c>
      <c r="AI923" s="31">
        <f>VLOOKUP($A923,kurspris!$A$1:$Q$835,8,FALSE)</f>
        <v>0</v>
      </c>
      <c r="AJ923" s="31">
        <f>VLOOKUP($A923,kurspris!$A$1:$Q$835,9,FALSE)</f>
        <v>0</v>
      </c>
      <c r="AK923" s="31">
        <f>VLOOKUP($A923,kurspris!$A$1:$Q$835,10,FALSE)</f>
        <v>0</v>
      </c>
      <c r="AL923" s="31">
        <f>VLOOKUP($A923,kurspris!$A$1:$Q$835,11,FALSE)</f>
        <v>0</v>
      </c>
      <c r="AM923" s="31">
        <f>VLOOKUP($A923,kurspris!$A$1:$Q$835,12,FALSE)</f>
        <v>0</v>
      </c>
      <c r="AN923" s="31">
        <f>VLOOKUP($A923,kurspris!$A$1:$Q$835,13,FALSE)</f>
        <v>0</v>
      </c>
      <c r="AO923" s="31">
        <f>VLOOKUP($A923,kurspris!$A$1:$Q$835,14,FALSE)</f>
        <v>0</v>
      </c>
      <c r="AP923" s="39" t="s">
        <v>2326</v>
      </c>
      <c r="AQ923"/>
      <c r="AR923" s="31">
        <f t="shared" si="501"/>
        <v>0</v>
      </c>
      <c r="AS923" s="255">
        <f t="shared" si="502"/>
        <v>0</v>
      </c>
      <c r="AT923" s="31">
        <f t="shared" si="503"/>
        <v>0</v>
      </c>
      <c r="AU923" s="255">
        <f t="shared" si="504"/>
        <v>0</v>
      </c>
      <c r="AV923" s="31">
        <f t="shared" si="505"/>
        <v>0</v>
      </c>
      <c r="AW923" s="31">
        <f t="shared" si="506"/>
        <v>0</v>
      </c>
      <c r="AX923" s="31">
        <f t="shared" si="507"/>
        <v>0.1</v>
      </c>
      <c r="AY923" s="255">
        <f t="shared" si="508"/>
        <v>8.5000000000000006E-2</v>
      </c>
      <c r="AZ923" s="232">
        <f t="shared" si="509"/>
        <v>0</v>
      </c>
      <c r="BA923" s="255">
        <f t="shared" si="510"/>
        <v>0</v>
      </c>
      <c r="BB923" s="31">
        <f t="shared" si="511"/>
        <v>0</v>
      </c>
      <c r="BC923" s="255">
        <f t="shared" si="512"/>
        <v>0</v>
      </c>
      <c r="BD923" s="31">
        <f t="shared" si="513"/>
        <v>0</v>
      </c>
      <c r="BE923" s="255">
        <f t="shared" si="514"/>
        <v>0</v>
      </c>
      <c r="BF923" s="31">
        <f t="shared" si="515"/>
        <v>0</v>
      </c>
      <c r="BG923" s="255">
        <f t="shared" si="516"/>
        <v>0</v>
      </c>
      <c r="BH923" s="31">
        <f t="shared" si="517"/>
        <v>0</v>
      </c>
      <c r="BI923" s="255">
        <f t="shared" si="518"/>
        <v>0</v>
      </c>
      <c r="BJ923" s="31">
        <f t="shared" si="519"/>
        <v>0</v>
      </c>
      <c r="BK923" s="31">
        <f t="shared" si="520"/>
        <v>0</v>
      </c>
      <c r="BL923" s="255">
        <f t="shared" si="521"/>
        <v>0</v>
      </c>
      <c r="BM923" s="31">
        <f t="shared" si="522"/>
        <v>0</v>
      </c>
      <c r="BN923" s="255">
        <f t="shared" si="523"/>
        <v>0</v>
      </c>
    </row>
    <row r="924" spans="1:66" x14ac:dyDescent="0.25">
      <c r="A924" s="18" t="s">
        <v>1889</v>
      </c>
      <c r="B924" s="186" t="str">
        <f>VLOOKUP(A924,kurspris!$A$1:$B$877,2,FALSE)</f>
        <v>Grundlärare som profession (UK)</v>
      </c>
      <c r="C924" s="37"/>
      <c r="D924" s="31" t="s">
        <v>524</v>
      </c>
      <c r="E924" s="31" t="s">
        <v>1931</v>
      </c>
      <c r="F924" s="59" t="s">
        <v>1931</v>
      </c>
      <c r="G924" s="31" t="s">
        <v>2279</v>
      </c>
      <c r="L924" s="31">
        <v>100</v>
      </c>
      <c r="M924" s="31">
        <v>6</v>
      </c>
      <c r="P924" s="31">
        <v>35</v>
      </c>
      <c r="Q924" s="232">
        <f t="shared" si="496"/>
        <v>3.5</v>
      </c>
      <c r="R924" s="40">
        <v>0.85</v>
      </c>
      <c r="S924" s="334">
        <f t="shared" si="497"/>
        <v>2.9750000000000001</v>
      </c>
      <c r="T924" s="31">
        <f>VLOOKUP(A924,'Ansvar kurs'!$A$1:$C$1010,2,FALSE)</f>
        <v>5740</v>
      </c>
      <c r="U924" s="31" t="str">
        <f>VLOOKUP(T924,Orgenheter!$A$1:$C$165,2,FALSE)</f>
        <v>NMD</v>
      </c>
      <c r="V924" s="31" t="str">
        <f>VLOOKUP(T924,Orgenheter!$A$1:$C$165,3,FALSE)</f>
        <v>TekNat</v>
      </c>
      <c r="W924" s="37" t="str">
        <f>VLOOKUP(D924,Program!$A$1:$B$34,2,FALSE)</f>
        <v>Grundlärarprogrammet - grundskolans åk 4-6</v>
      </c>
      <c r="X924" s="42">
        <f>VLOOKUP(A924,kurspris!$A$1:$Q$798,15,FALSE)</f>
        <v>23641</v>
      </c>
      <c r="Y924" s="42">
        <f>VLOOKUP(A924,kurspris!$A$1:$Q$798,16,FALSE)</f>
        <v>28786</v>
      </c>
      <c r="Z924" s="42">
        <f t="shared" si="498"/>
        <v>168381.85</v>
      </c>
      <c r="AA924" s="42">
        <f>VLOOKUP(A924,kurspris!$A$1:$Q$798,17,FALSE)</f>
        <v>5800</v>
      </c>
      <c r="AB924" s="42">
        <f t="shared" si="499"/>
        <v>20300</v>
      </c>
      <c r="AC924" s="42">
        <f t="shared" si="500"/>
        <v>188681.85</v>
      </c>
      <c r="AD924" s="31">
        <f>VLOOKUP($A924,kurspris!$A$1:$Q$835,3,FALSE)</f>
        <v>0</v>
      </c>
      <c r="AE924" s="31">
        <f>VLOOKUP($A924,kurspris!$A$1:$Q$835,4,FALSE)</f>
        <v>0</v>
      </c>
      <c r="AF924" s="31">
        <f>VLOOKUP($A924,kurspris!$A$1:$Q$835,5,FALSE)</f>
        <v>0</v>
      </c>
      <c r="AG924" s="31">
        <f>VLOOKUP($A924,kurspris!$A$1:$Q$835,6,FALSE)</f>
        <v>1</v>
      </c>
      <c r="AH924" s="31">
        <f>VLOOKUP($A924,kurspris!$A$1:$Q$835,7,FALSE)</f>
        <v>0</v>
      </c>
      <c r="AI924" s="31">
        <f>VLOOKUP($A924,kurspris!$A$1:$Q$835,8,FALSE)</f>
        <v>0</v>
      </c>
      <c r="AJ924" s="31">
        <f>VLOOKUP($A924,kurspris!$A$1:$Q$835,9,FALSE)</f>
        <v>0</v>
      </c>
      <c r="AK924" s="31">
        <f>VLOOKUP($A924,kurspris!$A$1:$Q$835,10,FALSE)</f>
        <v>0</v>
      </c>
      <c r="AL924" s="31">
        <f>VLOOKUP($A924,kurspris!$A$1:$Q$835,11,FALSE)</f>
        <v>0</v>
      </c>
      <c r="AM924" s="31">
        <f>VLOOKUP($A924,kurspris!$A$1:$Q$835,12,FALSE)</f>
        <v>0</v>
      </c>
      <c r="AN924" s="31">
        <f>VLOOKUP($A924,kurspris!$A$1:$Q$835,13,FALSE)</f>
        <v>0</v>
      </c>
      <c r="AO924" s="31">
        <f>VLOOKUP($A924,kurspris!$A$1:$Q$835,14,FALSE)</f>
        <v>0</v>
      </c>
      <c r="AP924" s="39" t="s">
        <v>2326</v>
      </c>
      <c r="AQ924"/>
      <c r="AR924" s="31">
        <f t="shared" si="501"/>
        <v>0</v>
      </c>
      <c r="AS924" s="255">
        <f t="shared" si="502"/>
        <v>0</v>
      </c>
      <c r="AT924" s="31">
        <f t="shared" si="503"/>
        <v>0</v>
      </c>
      <c r="AU924" s="255">
        <f t="shared" si="504"/>
        <v>0</v>
      </c>
      <c r="AV924" s="31">
        <f t="shared" si="505"/>
        <v>0</v>
      </c>
      <c r="AW924" s="31">
        <f t="shared" si="506"/>
        <v>0</v>
      </c>
      <c r="AX924" s="31">
        <f t="shared" si="507"/>
        <v>3.5</v>
      </c>
      <c r="AY924" s="255">
        <f t="shared" si="508"/>
        <v>2.9750000000000001</v>
      </c>
      <c r="AZ924" s="232">
        <f t="shared" si="509"/>
        <v>0</v>
      </c>
      <c r="BA924" s="255">
        <f t="shared" si="510"/>
        <v>0</v>
      </c>
      <c r="BB924" s="31">
        <f t="shared" si="511"/>
        <v>0</v>
      </c>
      <c r="BC924" s="255">
        <f t="shared" si="512"/>
        <v>0</v>
      </c>
      <c r="BD924" s="31">
        <f t="shared" si="513"/>
        <v>0</v>
      </c>
      <c r="BE924" s="255">
        <f t="shared" si="514"/>
        <v>0</v>
      </c>
      <c r="BF924" s="31">
        <f t="shared" si="515"/>
        <v>0</v>
      </c>
      <c r="BG924" s="255">
        <f t="shared" si="516"/>
        <v>0</v>
      </c>
      <c r="BH924" s="31">
        <f t="shared" si="517"/>
        <v>0</v>
      </c>
      <c r="BI924" s="255">
        <f t="shared" si="518"/>
        <v>0</v>
      </c>
      <c r="BJ924" s="31">
        <f t="shared" si="519"/>
        <v>0</v>
      </c>
      <c r="BK924" s="31">
        <f t="shared" si="520"/>
        <v>0</v>
      </c>
      <c r="BL924" s="255">
        <f t="shared" si="521"/>
        <v>0</v>
      </c>
      <c r="BM924" s="31">
        <f t="shared" si="522"/>
        <v>0</v>
      </c>
      <c r="BN924" s="255">
        <f t="shared" si="523"/>
        <v>0</v>
      </c>
    </row>
    <row r="925" spans="1:66" x14ac:dyDescent="0.25">
      <c r="A925" t="s">
        <v>1887</v>
      </c>
      <c r="B925" s="186" t="str">
        <f>VLOOKUP(A925,kurspris!$A$1:$B$877,2,FALSE)</f>
        <v>Profession och vetenskap för åk 4-6 (UK III)</v>
      </c>
      <c r="C925"/>
      <c r="D925" t="s">
        <v>524</v>
      </c>
      <c r="E925" t="s">
        <v>1994</v>
      </c>
      <c r="F925" s="39" t="s">
        <v>1930</v>
      </c>
      <c r="G925" t="s">
        <v>1933</v>
      </c>
      <c r="H925" t="s">
        <v>1910</v>
      </c>
      <c r="I925"/>
      <c r="J925"/>
      <c r="K925"/>
      <c r="L925">
        <v>100</v>
      </c>
      <c r="M925">
        <v>7.5</v>
      </c>
      <c r="N925"/>
      <c r="O925"/>
      <c r="P925" s="31">
        <v>1</v>
      </c>
      <c r="Q925" s="232">
        <f t="shared" si="496"/>
        <v>0.125</v>
      </c>
      <c r="R925" s="40">
        <v>0.85</v>
      </c>
      <c r="S925" s="334">
        <f t="shared" si="497"/>
        <v>0.10625</v>
      </c>
      <c r="T925" s="31">
        <f>VLOOKUP(A925,'Ansvar kurs'!$A$1:$C$1010,2,FALSE)</f>
        <v>5740</v>
      </c>
      <c r="U925" s="31" t="str">
        <f>VLOOKUP(T925,Orgenheter!$A$1:$C$165,2,FALSE)</f>
        <v>NMD</v>
      </c>
      <c r="V925" s="31" t="str">
        <f>VLOOKUP(T925,Orgenheter!$A$1:$C$165,3,FALSE)</f>
        <v>TekNat</v>
      </c>
      <c r="W925" s="37" t="str">
        <f>VLOOKUP(D925,Program!$A$1:$B$34,2,FALSE)</f>
        <v>Grundlärarprogrammet - grundskolans åk 4-6</v>
      </c>
      <c r="X925" s="42">
        <f>VLOOKUP(A925,kurspris!$A$1:$Q$798,15,FALSE)</f>
        <v>23641</v>
      </c>
      <c r="Y925" s="42">
        <f>VLOOKUP(A925,kurspris!$A$1:$Q$798,16,FALSE)</f>
        <v>28786</v>
      </c>
      <c r="Z925" s="42">
        <f t="shared" si="498"/>
        <v>6013.6374999999998</v>
      </c>
      <c r="AA925" s="42">
        <f>VLOOKUP(A925,kurspris!$A$1:$Q$798,17,FALSE)</f>
        <v>5800</v>
      </c>
      <c r="AB925" s="42">
        <f t="shared" si="499"/>
        <v>725</v>
      </c>
      <c r="AC925" s="42">
        <f t="shared" si="500"/>
        <v>6738.6374999999998</v>
      </c>
      <c r="AD925" s="31">
        <f>VLOOKUP($A925,kurspris!$A$1:$Q$835,3,FALSE)</f>
        <v>0</v>
      </c>
      <c r="AE925" s="31">
        <f>VLOOKUP($A925,kurspris!$A$1:$Q$835,4,FALSE)</f>
        <v>0</v>
      </c>
      <c r="AF925" s="31">
        <f>VLOOKUP($A925,kurspris!$A$1:$Q$835,5,FALSE)</f>
        <v>0</v>
      </c>
      <c r="AG925" s="31">
        <f>VLOOKUP($A925,kurspris!$A$1:$Q$835,6,FALSE)</f>
        <v>1</v>
      </c>
      <c r="AH925" s="31">
        <f>VLOOKUP($A925,kurspris!$A$1:$Q$835,7,FALSE)</f>
        <v>0</v>
      </c>
      <c r="AI925" s="31">
        <f>VLOOKUP($A925,kurspris!$A$1:$Q$835,8,FALSE)</f>
        <v>0</v>
      </c>
      <c r="AJ925" s="31">
        <f>VLOOKUP($A925,kurspris!$A$1:$Q$835,9,FALSE)</f>
        <v>0</v>
      </c>
      <c r="AK925" s="31">
        <f>VLOOKUP($A925,kurspris!$A$1:$Q$835,10,FALSE)</f>
        <v>0</v>
      </c>
      <c r="AL925" s="31">
        <f>VLOOKUP($A925,kurspris!$A$1:$Q$835,11,FALSE)</f>
        <v>0</v>
      </c>
      <c r="AM925" s="31">
        <f>VLOOKUP($A925,kurspris!$A$1:$Q$835,12,FALSE)</f>
        <v>0</v>
      </c>
      <c r="AN925" s="31">
        <f>VLOOKUP($A925,kurspris!$A$1:$Q$835,13,FALSE)</f>
        <v>0</v>
      </c>
      <c r="AO925" s="31">
        <f>VLOOKUP($A925,kurspris!$A$1:$Q$835,14,FALSE)</f>
        <v>0</v>
      </c>
      <c r="AP925" s="39" t="s">
        <v>2235</v>
      </c>
      <c r="AQ925"/>
      <c r="AR925" s="31">
        <f t="shared" si="501"/>
        <v>0</v>
      </c>
      <c r="AS925" s="255">
        <f t="shared" si="502"/>
        <v>0</v>
      </c>
      <c r="AT925" s="31">
        <f t="shared" si="503"/>
        <v>0</v>
      </c>
      <c r="AU925" s="255">
        <f t="shared" si="504"/>
        <v>0</v>
      </c>
      <c r="AV925" s="31">
        <f t="shared" si="505"/>
        <v>0</v>
      </c>
      <c r="AW925" s="31">
        <f t="shared" si="506"/>
        <v>0</v>
      </c>
      <c r="AX925" s="31">
        <f t="shared" si="507"/>
        <v>0.125</v>
      </c>
      <c r="AY925" s="255">
        <f t="shared" si="508"/>
        <v>0.10625</v>
      </c>
      <c r="AZ925" s="232">
        <f t="shared" si="509"/>
        <v>0</v>
      </c>
      <c r="BA925" s="255">
        <f t="shared" si="510"/>
        <v>0</v>
      </c>
      <c r="BB925" s="31">
        <f t="shared" si="511"/>
        <v>0</v>
      </c>
      <c r="BC925" s="255">
        <f t="shared" si="512"/>
        <v>0</v>
      </c>
      <c r="BD925" s="31">
        <f t="shared" si="513"/>
        <v>0</v>
      </c>
      <c r="BE925" s="255">
        <f t="shared" si="514"/>
        <v>0</v>
      </c>
      <c r="BF925" s="31">
        <f t="shared" si="515"/>
        <v>0</v>
      </c>
      <c r="BG925" s="255">
        <f t="shared" si="516"/>
        <v>0</v>
      </c>
      <c r="BH925" s="31">
        <f t="shared" si="517"/>
        <v>0</v>
      </c>
      <c r="BI925" s="255">
        <f t="shared" si="518"/>
        <v>0</v>
      </c>
      <c r="BJ925" s="31">
        <f t="shared" si="519"/>
        <v>0</v>
      </c>
      <c r="BK925" s="31">
        <f t="shared" si="520"/>
        <v>0</v>
      </c>
      <c r="BL925" s="255">
        <f t="shared" si="521"/>
        <v>0</v>
      </c>
      <c r="BM925" s="31">
        <f t="shared" si="522"/>
        <v>0</v>
      </c>
      <c r="BN925" s="255">
        <f t="shared" si="523"/>
        <v>0</v>
      </c>
    </row>
    <row r="926" spans="1:66" x14ac:dyDescent="0.25">
      <c r="A926" t="s">
        <v>1887</v>
      </c>
      <c r="B926" s="186" t="str">
        <f>VLOOKUP(A926,kurspris!$A$1:$B$877,2,FALSE)</f>
        <v>Profession och vetenskap för åk 4-6 (UK III)</v>
      </c>
      <c r="C926"/>
      <c r="D926" t="s">
        <v>524</v>
      </c>
      <c r="E926" t="s">
        <v>1976</v>
      </c>
      <c r="F926" s="39" t="s">
        <v>1930</v>
      </c>
      <c r="G926" t="s">
        <v>1933</v>
      </c>
      <c r="H926" t="s">
        <v>1910</v>
      </c>
      <c r="I926"/>
      <c r="J926"/>
      <c r="K926"/>
      <c r="L926">
        <v>100</v>
      </c>
      <c r="M926">
        <v>7.5</v>
      </c>
      <c r="N926"/>
      <c r="O926"/>
      <c r="P926" s="31">
        <v>24</v>
      </c>
      <c r="Q926" s="232">
        <f t="shared" si="496"/>
        <v>3</v>
      </c>
      <c r="R926" s="40">
        <v>0.85</v>
      </c>
      <c r="S926" s="334">
        <f t="shared" si="497"/>
        <v>2.5499999999999998</v>
      </c>
      <c r="T926" s="31">
        <f>VLOOKUP(A926,'Ansvar kurs'!$A$1:$C$1010,2,FALSE)</f>
        <v>5740</v>
      </c>
      <c r="U926" s="31" t="str">
        <f>VLOOKUP(T926,Orgenheter!$A$1:$C$165,2,FALSE)</f>
        <v>NMD</v>
      </c>
      <c r="V926" s="31" t="str">
        <f>VLOOKUP(T926,Orgenheter!$A$1:$C$165,3,FALSE)</f>
        <v>TekNat</v>
      </c>
      <c r="W926" s="37" t="str">
        <f>VLOOKUP(D926,Program!$A$1:$B$34,2,FALSE)</f>
        <v>Grundlärarprogrammet - grundskolans åk 4-6</v>
      </c>
      <c r="X926" s="42">
        <f>VLOOKUP(A926,kurspris!$A$1:$Q$798,15,FALSE)</f>
        <v>23641</v>
      </c>
      <c r="Y926" s="42">
        <f>VLOOKUP(A926,kurspris!$A$1:$Q$798,16,FALSE)</f>
        <v>28786</v>
      </c>
      <c r="Z926" s="42">
        <f t="shared" si="498"/>
        <v>144327.29999999999</v>
      </c>
      <c r="AA926" s="42">
        <f>VLOOKUP(A926,kurspris!$A$1:$Q$798,17,FALSE)</f>
        <v>5800</v>
      </c>
      <c r="AB926" s="42">
        <f t="shared" si="499"/>
        <v>17400</v>
      </c>
      <c r="AC926" s="42">
        <f t="shared" si="500"/>
        <v>161727.29999999999</v>
      </c>
      <c r="AD926" s="31">
        <f>VLOOKUP($A926,kurspris!$A$1:$Q$835,3,FALSE)</f>
        <v>0</v>
      </c>
      <c r="AE926" s="31">
        <f>VLOOKUP($A926,kurspris!$A$1:$Q$835,4,FALSE)</f>
        <v>0</v>
      </c>
      <c r="AF926" s="31">
        <f>VLOOKUP($A926,kurspris!$A$1:$Q$835,5,FALSE)</f>
        <v>0</v>
      </c>
      <c r="AG926" s="31">
        <f>VLOOKUP($A926,kurspris!$A$1:$Q$835,6,FALSE)</f>
        <v>1</v>
      </c>
      <c r="AH926" s="31">
        <f>VLOOKUP($A926,kurspris!$A$1:$Q$835,7,FALSE)</f>
        <v>0</v>
      </c>
      <c r="AI926" s="31">
        <f>VLOOKUP($A926,kurspris!$A$1:$Q$835,8,FALSE)</f>
        <v>0</v>
      </c>
      <c r="AJ926" s="31">
        <f>VLOOKUP($A926,kurspris!$A$1:$Q$835,9,FALSE)</f>
        <v>0</v>
      </c>
      <c r="AK926" s="31">
        <f>VLOOKUP($A926,kurspris!$A$1:$Q$835,10,FALSE)</f>
        <v>0</v>
      </c>
      <c r="AL926" s="31">
        <f>VLOOKUP($A926,kurspris!$A$1:$Q$835,11,FALSE)</f>
        <v>0</v>
      </c>
      <c r="AM926" s="31">
        <f>VLOOKUP($A926,kurspris!$A$1:$Q$835,12,FALSE)</f>
        <v>0</v>
      </c>
      <c r="AN926" s="31">
        <f>VLOOKUP($A926,kurspris!$A$1:$Q$835,13,FALSE)</f>
        <v>0</v>
      </c>
      <c r="AO926" s="31">
        <f>VLOOKUP($A926,kurspris!$A$1:$Q$835,14,FALSE)</f>
        <v>0</v>
      </c>
      <c r="AP926" s="39" t="s">
        <v>2235</v>
      </c>
      <c r="AQ926"/>
      <c r="AR926" s="31">
        <f t="shared" si="501"/>
        <v>0</v>
      </c>
      <c r="AS926" s="255">
        <f t="shared" si="502"/>
        <v>0</v>
      </c>
      <c r="AT926" s="31">
        <f t="shared" si="503"/>
        <v>0</v>
      </c>
      <c r="AU926" s="255">
        <f t="shared" si="504"/>
        <v>0</v>
      </c>
      <c r="AV926" s="31">
        <f t="shared" si="505"/>
        <v>0</v>
      </c>
      <c r="AW926" s="31">
        <f t="shared" si="506"/>
        <v>0</v>
      </c>
      <c r="AX926" s="31">
        <f t="shared" si="507"/>
        <v>3</v>
      </c>
      <c r="AY926" s="255">
        <f t="shared" si="508"/>
        <v>2.5499999999999998</v>
      </c>
      <c r="AZ926" s="232">
        <f t="shared" si="509"/>
        <v>0</v>
      </c>
      <c r="BA926" s="255">
        <f t="shared" si="510"/>
        <v>0</v>
      </c>
      <c r="BB926" s="31">
        <f t="shared" si="511"/>
        <v>0</v>
      </c>
      <c r="BC926" s="255">
        <f t="shared" si="512"/>
        <v>0</v>
      </c>
      <c r="BD926" s="31">
        <f t="shared" si="513"/>
        <v>0</v>
      </c>
      <c r="BE926" s="255">
        <f t="shared" si="514"/>
        <v>0</v>
      </c>
      <c r="BF926" s="31">
        <f t="shared" si="515"/>
        <v>0</v>
      </c>
      <c r="BG926" s="255">
        <f t="shared" si="516"/>
        <v>0</v>
      </c>
      <c r="BH926" s="31">
        <f t="shared" si="517"/>
        <v>0</v>
      </c>
      <c r="BI926" s="255">
        <f t="shared" si="518"/>
        <v>0</v>
      </c>
      <c r="BJ926" s="31">
        <f t="shared" si="519"/>
        <v>0</v>
      </c>
      <c r="BK926" s="31">
        <f t="shared" si="520"/>
        <v>0</v>
      </c>
      <c r="BL926" s="255">
        <f t="shared" si="521"/>
        <v>0</v>
      </c>
      <c r="BM926" s="31">
        <f t="shared" si="522"/>
        <v>0</v>
      </c>
      <c r="BN926" s="255">
        <f t="shared" si="523"/>
        <v>0</v>
      </c>
    </row>
    <row r="927" spans="1:66" x14ac:dyDescent="0.25">
      <c r="A927" t="s">
        <v>1887</v>
      </c>
      <c r="B927" s="186" t="str">
        <f>VLOOKUP(A927,kurspris!$A$1:$B$877,2,FALSE)</f>
        <v>Profession och vetenskap för åk 4-6 (UK III)</v>
      </c>
      <c r="C927"/>
      <c r="D927" t="s">
        <v>524</v>
      </c>
      <c r="E927" t="s">
        <v>1973</v>
      </c>
      <c r="F927" s="39" t="s">
        <v>1930</v>
      </c>
      <c r="G927" t="s">
        <v>1933</v>
      </c>
      <c r="H927" t="s">
        <v>1910</v>
      </c>
      <c r="I927"/>
      <c r="J927"/>
      <c r="K927"/>
      <c r="L927">
        <v>100</v>
      </c>
      <c r="M927">
        <v>7.5</v>
      </c>
      <c r="N927"/>
      <c r="O927"/>
      <c r="P927" s="31">
        <v>2</v>
      </c>
      <c r="Q927" s="232">
        <f t="shared" si="496"/>
        <v>0.25</v>
      </c>
      <c r="R927" s="40">
        <v>0.85</v>
      </c>
      <c r="S927" s="334">
        <f t="shared" si="497"/>
        <v>0.21249999999999999</v>
      </c>
      <c r="T927" s="31">
        <f>VLOOKUP(A927,'Ansvar kurs'!$A$1:$C$1010,2,FALSE)</f>
        <v>5740</v>
      </c>
      <c r="U927" s="31" t="str">
        <f>VLOOKUP(T927,Orgenheter!$A$1:$C$165,2,FALSE)</f>
        <v>NMD</v>
      </c>
      <c r="V927" s="31" t="str">
        <f>VLOOKUP(T927,Orgenheter!$A$1:$C$165,3,FALSE)</f>
        <v>TekNat</v>
      </c>
      <c r="W927" s="37" t="str">
        <f>VLOOKUP(D927,Program!$A$1:$B$34,2,FALSE)</f>
        <v>Grundlärarprogrammet - grundskolans åk 4-6</v>
      </c>
      <c r="X927" s="42">
        <f>VLOOKUP(A927,kurspris!$A$1:$Q$798,15,FALSE)</f>
        <v>23641</v>
      </c>
      <c r="Y927" s="42">
        <f>VLOOKUP(A927,kurspris!$A$1:$Q$798,16,FALSE)</f>
        <v>28786</v>
      </c>
      <c r="Z927" s="42">
        <f t="shared" si="498"/>
        <v>12027.275</v>
      </c>
      <c r="AA927" s="42">
        <f>VLOOKUP(A927,kurspris!$A$1:$Q$798,17,FALSE)</f>
        <v>5800</v>
      </c>
      <c r="AB927" s="42">
        <f t="shared" si="499"/>
        <v>1450</v>
      </c>
      <c r="AC927" s="42">
        <f t="shared" si="500"/>
        <v>13477.275</v>
      </c>
      <c r="AD927" s="31">
        <f>VLOOKUP($A927,kurspris!$A$1:$Q$835,3,FALSE)</f>
        <v>0</v>
      </c>
      <c r="AE927" s="31">
        <f>VLOOKUP($A927,kurspris!$A$1:$Q$835,4,FALSE)</f>
        <v>0</v>
      </c>
      <c r="AF927" s="31">
        <f>VLOOKUP($A927,kurspris!$A$1:$Q$835,5,FALSE)</f>
        <v>0</v>
      </c>
      <c r="AG927" s="31">
        <f>VLOOKUP($A927,kurspris!$A$1:$Q$835,6,FALSE)</f>
        <v>1</v>
      </c>
      <c r="AH927" s="31">
        <f>VLOOKUP($A927,kurspris!$A$1:$Q$835,7,FALSE)</f>
        <v>0</v>
      </c>
      <c r="AI927" s="31">
        <f>VLOOKUP($A927,kurspris!$A$1:$Q$835,8,FALSE)</f>
        <v>0</v>
      </c>
      <c r="AJ927" s="31">
        <f>VLOOKUP($A927,kurspris!$A$1:$Q$835,9,FALSE)</f>
        <v>0</v>
      </c>
      <c r="AK927" s="31">
        <f>VLOOKUP($A927,kurspris!$A$1:$Q$835,10,FALSE)</f>
        <v>0</v>
      </c>
      <c r="AL927" s="31">
        <f>VLOOKUP($A927,kurspris!$A$1:$Q$835,11,FALSE)</f>
        <v>0</v>
      </c>
      <c r="AM927" s="31">
        <f>VLOOKUP($A927,kurspris!$A$1:$Q$835,12,FALSE)</f>
        <v>0</v>
      </c>
      <c r="AN927" s="31">
        <f>VLOOKUP($A927,kurspris!$A$1:$Q$835,13,FALSE)</f>
        <v>0</v>
      </c>
      <c r="AO927" s="31">
        <f>VLOOKUP($A927,kurspris!$A$1:$Q$835,14,FALSE)</f>
        <v>0</v>
      </c>
      <c r="AP927" s="39" t="s">
        <v>2235</v>
      </c>
      <c r="AQ927"/>
      <c r="AR927" s="31">
        <f t="shared" si="501"/>
        <v>0</v>
      </c>
      <c r="AS927" s="255">
        <f t="shared" si="502"/>
        <v>0</v>
      </c>
      <c r="AT927" s="31">
        <f t="shared" si="503"/>
        <v>0</v>
      </c>
      <c r="AU927" s="255">
        <f t="shared" si="504"/>
        <v>0</v>
      </c>
      <c r="AV927" s="31">
        <f t="shared" si="505"/>
        <v>0</v>
      </c>
      <c r="AW927" s="31">
        <f t="shared" si="506"/>
        <v>0</v>
      </c>
      <c r="AX927" s="31">
        <f t="shared" si="507"/>
        <v>0.25</v>
      </c>
      <c r="AY927" s="255">
        <f t="shared" si="508"/>
        <v>0.21249999999999999</v>
      </c>
      <c r="AZ927" s="232">
        <f t="shared" si="509"/>
        <v>0</v>
      </c>
      <c r="BA927" s="255">
        <f t="shared" si="510"/>
        <v>0</v>
      </c>
      <c r="BB927" s="31">
        <f t="shared" si="511"/>
        <v>0</v>
      </c>
      <c r="BC927" s="255">
        <f t="shared" si="512"/>
        <v>0</v>
      </c>
      <c r="BD927" s="31">
        <f t="shared" si="513"/>
        <v>0</v>
      </c>
      <c r="BE927" s="255">
        <f t="shared" si="514"/>
        <v>0</v>
      </c>
      <c r="BF927" s="31">
        <f t="shared" si="515"/>
        <v>0</v>
      </c>
      <c r="BG927" s="255">
        <f t="shared" si="516"/>
        <v>0</v>
      </c>
      <c r="BH927" s="31">
        <f t="shared" si="517"/>
        <v>0</v>
      </c>
      <c r="BI927" s="255">
        <f t="shared" si="518"/>
        <v>0</v>
      </c>
      <c r="BJ927" s="31">
        <f t="shared" si="519"/>
        <v>0</v>
      </c>
      <c r="BK927" s="31">
        <f t="shared" si="520"/>
        <v>0</v>
      </c>
      <c r="BL927" s="255">
        <f t="shared" si="521"/>
        <v>0</v>
      </c>
      <c r="BM927" s="31">
        <f t="shared" si="522"/>
        <v>0</v>
      </c>
      <c r="BN927" s="255">
        <f t="shared" si="523"/>
        <v>0</v>
      </c>
    </row>
    <row r="928" spans="1:66" x14ac:dyDescent="0.25">
      <c r="A928" t="s">
        <v>1888</v>
      </c>
      <c r="B928" s="186" t="str">
        <f>VLOOKUP(A928,kurspris!$A$1:$B$877,2,FALSE)</f>
        <v>Profession och vetenskap för F-3 (UK III)</v>
      </c>
      <c r="C928"/>
      <c r="D928" t="s">
        <v>486</v>
      </c>
      <c r="E928" t="s">
        <v>1975</v>
      </c>
      <c r="F928" s="59" t="s">
        <v>1930</v>
      </c>
      <c r="G928" t="s">
        <v>1933</v>
      </c>
      <c r="H928" t="s">
        <v>1910</v>
      </c>
      <c r="I928"/>
      <c r="J928"/>
      <c r="K928"/>
      <c r="L928">
        <v>100</v>
      </c>
      <c r="M928">
        <v>7.5</v>
      </c>
      <c r="N928"/>
      <c r="O928"/>
      <c r="P928" s="31">
        <v>2</v>
      </c>
      <c r="Q928" s="232">
        <f t="shared" si="496"/>
        <v>0.25</v>
      </c>
      <c r="R928" s="40">
        <v>0.85</v>
      </c>
      <c r="S928" s="334">
        <f t="shared" si="497"/>
        <v>0.21249999999999999</v>
      </c>
      <c r="T928" s="31">
        <f>VLOOKUP(A928,'Ansvar kurs'!$A$1:$C$1010,2,FALSE)</f>
        <v>5740</v>
      </c>
      <c r="U928" s="31" t="str">
        <f>VLOOKUP(T928,Orgenheter!$A$1:$C$165,2,FALSE)</f>
        <v>NMD</v>
      </c>
      <c r="V928" s="31" t="str">
        <f>VLOOKUP(T928,Orgenheter!$A$1:$C$165,3,FALSE)</f>
        <v>TekNat</v>
      </c>
      <c r="W928" s="37" t="str">
        <f>VLOOKUP(D928,Program!$A$1:$B$34,2,FALSE)</f>
        <v>Grundlärarprogrammet - förskoleklass och åk 1-3</v>
      </c>
      <c r="X928" s="42">
        <f>VLOOKUP(A928,kurspris!$A$1:$Q$798,15,FALSE)</f>
        <v>23641</v>
      </c>
      <c r="Y928" s="42">
        <f>VLOOKUP(A928,kurspris!$A$1:$Q$798,16,FALSE)</f>
        <v>28786</v>
      </c>
      <c r="Z928" s="42">
        <f t="shared" si="498"/>
        <v>12027.275</v>
      </c>
      <c r="AA928" s="42">
        <f>VLOOKUP(A928,kurspris!$A$1:$Q$798,17,FALSE)</f>
        <v>5800</v>
      </c>
      <c r="AB928" s="42">
        <f t="shared" si="499"/>
        <v>1450</v>
      </c>
      <c r="AC928" s="42">
        <f t="shared" si="500"/>
        <v>13477.275</v>
      </c>
      <c r="AD928" s="31">
        <f>VLOOKUP($A928,kurspris!$A$1:$Q$835,3,FALSE)</f>
        <v>0</v>
      </c>
      <c r="AE928" s="31">
        <f>VLOOKUP($A928,kurspris!$A$1:$Q$835,4,FALSE)</f>
        <v>0</v>
      </c>
      <c r="AF928" s="31">
        <f>VLOOKUP($A928,kurspris!$A$1:$Q$835,5,FALSE)</f>
        <v>0</v>
      </c>
      <c r="AG928" s="31">
        <f>VLOOKUP($A928,kurspris!$A$1:$Q$835,6,FALSE)</f>
        <v>1</v>
      </c>
      <c r="AH928" s="31">
        <f>VLOOKUP($A928,kurspris!$A$1:$Q$835,7,FALSE)</f>
        <v>0</v>
      </c>
      <c r="AI928" s="31">
        <f>VLOOKUP($A928,kurspris!$A$1:$Q$835,8,FALSE)</f>
        <v>0</v>
      </c>
      <c r="AJ928" s="31">
        <f>VLOOKUP($A928,kurspris!$A$1:$Q$835,9,FALSE)</f>
        <v>0</v>
      </c>
      <c r="AK928" s="31">
        <f>VLOOKUP($A928,kurspris!$A$1:$Q$835,10,FALSE)</f>
        <v>0</v>
      </c>
      <c r="AL928" s="31">
        <f>VLOOKUP($A928,kurspris!$A$1:$Q$835,11,FALSE)</f>
        <v>0</v>
      </c>
      <c r="AM928" s="31">
        <f>VLOOKUP($A928,kurspris!$A$1:$Q$835,12,FALSE)</f>
        <v>0</v>
      </c>
      <c r="AN928" s="31">
        <f>VLOOKUP($A928,kurspris!$A$1:$Q$835,13,FALSE)</f>
        <v>0</v>
      </c>
      <c r="AO928" s="31">
        <f>VLOOKUP($A928,kurspris!$A$1:$Q$835,14,FALSE)</f>
        <v>0</v>
      </c>
      <c r="AP928" s="39" t="s">
        <v>2235</v>
      </c>
      <c r="AQ928"/>
      <c r="AR928" s="31">
        <f t="shared" si="501"/>
        <v>0</v>
      </c>
      <c r="AS928" s="255">
        <f t="shared" si="502"/>
        <v>0</v>
      </c>
      <c r="AT928" s="31">
        <f t="shared" si="503"/>
        <v>0</v>
      </c>
      <c r="AU928" s="255">
        <f t="shared" si="504"/>
        <v>0</v>
      </c>
      <c r="AV928" s="31">
        <f t="shared" si="505"/>
        <v>0</v>
      </c>
      <c r="AW928" s="31">
        <f t="shared" si="506"/>
        <v>0</v>
      </c>
      <c r="AX928" s="31">
        <f t="shared" si="507"/>
        <v>0.25</v>
      </c>
      <c r="AY928" s="255">
        <f t="shared" si="508"/>
        <v>0.21249999999999999</v>
      </c>
      <c r="AZ928" s="232">
        <f t="shared" si="509"/>
        <v>0</v>
      </c>
      <c r="BA928" s="255">
        <f t="shared" si="510"/>
        <v>0</v>
      </c>
      <c r="BB928" s="31">
        <f t="shared" si="511"/>
        <v>0</v>
      </c>
      <c r="BC928" s="255">
        <f t="shared" si="512"/>
        <v>0</v>
      </c>
      <c r="BD928" s="31">
        <f t="shared" si="513"/>
        <v>0</v>
      </c>
      <c r="BE928" s="255">
        <f t="shared" si="514"/>
        <v>0</v>
      </c>
      <c r="BF928" s="31">
        <f t="shared" si="515"/>
        <v>0</v>
      </c>
      <c r="BG928" s="255">
        <f t="shared" si="516"/>
        <v>0</v>
      </c>
      <c r="BH928" s="31">
        <f t="shared" si="517"/>
        <v>0</v>
      </c>
      <c r="BI928" s="255">
        <f t="shared" si="518"/>
        <v>0</v>
      </c>
      <c r="BJ928" s="31">
        <f t="shared" si="519"/>
        <v>0</v>
      </c>
      <c r="BK928" s="31">
        <f t="shared" si="520"/>
        <v>0</v>
      </c>
      <c r="BL928" s="255">
        <f t="shared" si="521"/>
        <v>0</v>
      </c>
      <c r="BM928" s="31">
        <f t="shared" si="522"/>
        <v>0</v>
      </c>
      <c r="BN928" s="255">
        <f t="shared" si="523"/>
        <v>0</v>
      </c>
    </row>
    <row r="929" spans="1:66" x14ac:dyDescent="0.25">
      <c r="A929" t="s">
        <v>1888</v>
      </c>
      <c r="B929" s="186" t="str">
        <f>VLOOKUP(A929,kurspris!$A$1:$B$877,2,FALSE)</f>
        <v>Profession och vetenskap för F-3 (UK III)</v>
      </c>
      <c r="C929"/>
      <c r="D929" t="s">
        <v>486</v>
      </c>
      <c r="E929" t="s">
        <v>1976</v>
      </c>
      <c r="F929" s="59" t="s">
        <v>1930</v>
      </c>
      <c r="G929" t="s">
        <v>1933</v>
      </c>
      <c r="H929" t="s">
        <v>1910</v>
      </c>
      <c r="I929"/>
      <c r="J929"/>
      <c r="K929"/>
      <c r="L929">
        <v>100</v>
      </c>
      <c r="M929">
        <v>7.5</v>
      </c>
      <c r="N929"/>
      <c r="O929"/>
      <c r="P929" s="31">
        <v>1</v>
      </c>
      <c r="Q929" s="232">
        <f t="shared" si="496"/>
        <v>0.125</v>
      </c>
      <c r="R929" s="40">
        <v>0.85</v>
      </c>
      <c r="S929" s="334">
        <f t="shared" si="497"/>
        <v>0.10625</v>
      </c>
      <c r="T929" s="31">
        <f>VLOOKUP(A929,'Ansvar kurs'!$A$1:$C$1010,2,FALSE)</f>
        <v>5740</v>
      </c>
      <c r="U929" s="31" t="str">
        <f>VLOOKUP(T929,Orgenheter!$A$1:$C$165,2,FALSE)</f>
        <v>NMD</v>
      </c>
      <c r="V929" s="31" t="str">
        <f>VLOOKUP(T929,Orgenheter!$A$1:$C$165,3,FALSE)</f>
        <v>TekNat</v>
      </c>
      <c r="W929" s="37" t="str">
        <f>VLOOKUP(D929,Program!$A$1:$B$34,2,FALSE)</f>
        <v>Grundlärarprogrammet - förskoleklass och åk 1-3</v>
      </c>
      <c r="X929" s="42">
        <f>VLOOKUP(A929,kurspris!$A$1:$Q$798,15,FALSE)</f>
        <v>23641</v>
      </c>
      <c r="Y929" s="42">
        <f>VLOOKUP(A929,kurspris!$A$1:$Q$798,16,FALSE)</f>
        <v>28786</v>
      </c>
      <c r="Z929" s="42">
        <f t="shared" si="498"/>
        <v>6013.6374999999998</v>
      </c>
      <c r="AA929" s="42">
        <f>VLOOKUP(A929,kurspris!$A$1:$Q$798,17,FALSE)</f>
        <v>5800</v>
      </c>
      <c r="AB929" s="42">
        <f t="shared" si="499"/>
        <v>725</v>
      </c>
      <c r="AC929" s="42">
        <f t="shared" si="500"/>
        <v>6738.6374999999998</v>
      </c>
      <c r="AD929" s="31">
        <f>VLOOKUP($A929,kurspris!$A$1:$Q$835,3,FALSE)</f>
        <v>0</v>
      </c>
      <c r="AE929" s="31">
        <f>VLOOKUP($A929,kurspris!$A$1:$Q$835,4,FALSE)</f>
        <v>0</v>
      </c>
      <c r="AF929" s="31">
        <f>VLOOKUP($A929,kurspris!$A$1:$Q$835,5,FALSE)</f>
        <v>0</v>
      </c>
      <c r="AG929" s="31">
        <f>VLOOKUP($A929,kurspris!$A$1:$Q$835,6,FALSE)</f>
        <v>1</v>
      </c>
      <c r="AH929" s="31">
        <f>VLOOKUP($A929,kurspris!$A$1:$Q$835,7,FALSE)</f>
        <v>0</v>
      </c>
      <c r="AI929" s="31">
        <f>VLOOKUP($A929,kurspris!$A$1:$Q$835,8,FALSE)</f>
        <v>0</v>
      </c>
      <c r="AJ929" s="31">
        <f>VLOOKUP($A929,kurspris!$A$1:$Q$835,9,FALSE)</f>
        <v>0</v>
      </c>
      <c r="AK929" s="31">
        <f>VLOOKUP($A929,kurspris!$A$1:$Q$835,10,FALSE)</f>
        <v>0</v>
      </c>
      <c r="AL929" s="31">
        <f>VLOOKUP($A929,kurspris!$A$1:$Q$835,11,FALSE)</f>
        <v>0</v>
      </c>
      <c r="AM929" s="31">
        <f>VLOOKUP($A929,kurspris!$A$1:$Q$835,12,FALSE)</f>
        <v>0</v>
      </c>
      <c r="AN929" s="31">
        <f>VLOOKUP($A929,kurspris!$A$1:$Q$835,13,FALSE)</f>
        <v>0</v>
      </c>
      <c r="AO929" s="31">
        <f>VLOOKUP($A929,kurspris!$A$1:$Q$835,14,FALSE)</f>
        <v>0</v>
      </c>
      <c r="AP929" s="39" t="s">
        <v>2235</v>
      </c>
      <c r="AQ929"/>
      <c r="AR929" s="31">
        <f t="shared" si="501"/>
        <v>0</v>
      </c>
      <c r="AS929" s="255">
        <f t="shared" si="502"/>
        <v>0</v>
      </c>
      <c r="AT929" s="31">
        <f t="shared" si="503"/>
        <v>0</v>
      </c>
      <c r="AU929" s="255">
        <f t="shared" si="504"/>
        <v>0</v>
      </c>
      <c r="AV929" s="31">
        <f t="shared" si="505"/>
        <v>0</v>
      </c>
      <c r="AW929" s="31">
        <f t="shared" si="506"/>
        <v>0</v>
      </c>
      <c r="AX929" s="31">
        <f t="shared" si="507"/>
        <v>0.125</v>
      </c>
      <c r="AY929" s="255">
        <f t="shared" si="508"/>
        <v>0.10625</v>
      </c>
      <c r="AZ929" s="232">
        <f t="shared" si="509"/>
        <v>0</v>
      </c>
      <c r="BA929" s="255">
        <f t="shared" si="510"/>
        <v>0</v>
      </c>
      <c r="BB929" s="31">
        <f t="shared" si="511"/>
        <v>0</v>
      </c>
      <c r="BC929" s="255">
        <f t="shared" si="512"/>
        <v>0</v>
      </c>
      <c r="BD929" s="31">
        <f t="shared" si="513"/>
        <v>0</v>
      </c>
      <c r="BE929" s="255">
        <f t="shared" si="514"/>
        <v>0</v>
      </c>
      <c r="BF929" s="31">
        <f t="shared" si="515"/>
        <v>0</v>
      </c>
      <c r="BG929" s="255">
        <f t="shared" si="516"/>
        <v>0</v>
      </c>
      <c r="BH929" s="31">
        <f t="shared" si="517"/>
        <v>0</v>
      </c>
      <c r="BI929" s="255">
        <f t="shared" si="518"/>
        <v>0</v>
      </c>
      <c r="BJ929" s="31">
        <f t="shared" si="519"/>
        <v>0</v>
      </c>
      <c r="BK929" s="31">
        <f t="shared" si="520"/>
        <v>0</v>
      </c>
      <c r="BL929" s="255">
        <f t="shared" si="521"/>
        <v>0</v>
      </c>
      <c r="BM929" s="31">
        <f t="shared" si="522"/>
        <v>0</v>
      </c>
      <c r="BN929" s="255">
        <f t="shared" si="523"/>
        <v>0</v>
      </c>
    </row>
    <row r="930" spans="1:66" x14ac:dyDescent="0.25">
      <c r="A930" t="s">
        <v>1888</v>
      </c>
      <c r="B930" s="186" t="str">
        <f>VLOOKUP(A930,kurspris!$A$1:$B$877,2,FALSE)</f>
        <v>Profession och vetenskap för F-3 (UK III)</v>
      </c>
      <c r="C930"/>
      <c r="D930" t="s">
        <v>486</v>
      </c>
      <c r="E930" t="s">
        <v>1976</v>
      </c>
      <c r="F930" s="59" t="s">
        <v>1930</v>
      </c>
      <c r="G930" t="s">
        <v>1933</v>
      </c>
      <c r="H930" t="s">
        <v>1910</v>
      </c>
      <c r="I930"/>
      <c r="J930"/>
      <c r="K930"/>
      <c r="L930">
        <v>100</v>
      </c>
      <c r="M930">
        <v>7.5</v>
      </c>
      <c r="N930"/>
      <c r="O930"/>
      <c r="P930" s="31">
        <v>43</v>
      </c>
      <c r="Q930" s="232">
        <f t="shared" si="496"/>
        <v>5.375</v>
      </c>
      <c r="R930" s="40">
        <v>0.85</v>
      </c>
      <c r="S930" s="334">
        <f t="shared" si="497"/>
        <v>4.5687499999999996</v>
      </c>
      <c r="T930" s="31">
        <f>VLOOKUP(A930,'Ansvar kurs'!$A$1:$C$1010,2,FALSE)</f>
        <v>5740</v>
      </c>
      <c r="U930" s="31" t="str">
        <f>VLOOKUP(T930,Orgenheter!$A$1:$C$165,2,FALSE)</f>
        <v>NMD</v>
      </c>
      <c r="V930" s="31" t="str">
        <f>VLOOKUP(T930,Orgenheter!$A$1:$C$165,3,FALSE)</f>
        <v>TekNat</v>
      </c>
      <c r="W930" s="37" t="str">
        <f>VLOOKUP(D930,Program!$A$1:$B$34,2,FALSE)</f>
        <v>Grundlärarprogrammet - förskoleklass och åk 1-3</v>
      </c>
      <c r="X930" s="42">
        <f>VLOOKUP(A930,kurspris!$A$1:$Q$798,15,FALSE)</f>
        <v>23641</v>
      </c>
      <c r="Y930" s="42">
        <f>VLOOKUP(A930,kurspris!$A$1:$Q$798,16,FALSE)</f>
        <v>28786</v>
      </c>
      <c r="Z930" s="42">
        <f t="shared" si="498"/>
        <v>258586.41249999998</v>
      </c>
      <c r="AA930" s="42">
        <f>VLOOKUP(A930,kurspris!$A$1:$Q$798,17,FALSE)</f>
        <v>5800</v>
      </c>
      <c r="AB930" s="42">
        <f t="shared" si="499"/>
        <v>31175</v>
      </c>
      <c r="AC930" s="42">
        <f t="shared" si="500"/>
        <v>289761.41249999998</v>
      </c>
      <c r="AD930" s="31">
        <f>VLOOKUP($A930,kurspris!$A$1:$Q$835,3,FALSE)</f>
        <v>0</v>
      </c>
      <c r="AE930" s="31">
        <f>VLOOKUP($A930,kurspris!$A$1:$Q$835,4,FALSE)</f>
        <v>0</v>
      </c>
      <c r="AF930" s="31">
        <f>VLOOKUP($A930,kurspris!$A$1:$Q$835,5,FALSE)</f>
        <v>0</v>
      </c>
      <c r="AG930" s="31">
        <f>VLOOKUP($A930,kurspris!$A$1:$Q$835,6,FALSE)</f>
        <v>1</v>
      </c>
      <c r="AH930" s="31">
        <f>VLOOKUP($A930,kurspris!$A$1:$Q$835,7,FALSE)</f>
        <v>0</v>
      </c>
      <c r="AI930" s="31">
        <f>VLOOKUP($A930,kurspris!$A$1:$Q$835,8,FALSE)</f>
        <v>0</v>
      </c>
      <c r="AJ930" s="31">
        <f>VLOOKUP($A930,kurspris!$A$1:$Q$835,9,FALSE)</f>
        <v>0</v>
      </c>
      <c r="AK930" s="31">
        <f>VLOOKUP($A930,kurspris!$A$1:$Q$835,10,FALSE)</f>
        <v>0</v>
      </c>
      <c r="AL930" s="31">
        <f>VLOOKUP($A930,kurspris!$A$1:$Q$835,11,FALSE)</f>
        <v>0</v>
      </c>
      <c r="AM930" s="31">
        <f>VLOOKUP($A930,kurspris!$A$1:$Q$835,12,FALSE)</f>
        <v>0</v>
      </c>
      <c r="AN930" s="31">
        <f>VLOOKUP($A930,kurspris!$A$1:$Q$835,13,FALSE)</f>
        <v>0</v>
      </c>
      <c r="AO930" s="31">
        <f>VLOOKUP($A930,kurspris!$A$1:$Q$835,14,FALSE)</f>
        <v>0</v>
      </c>
      <c r="AP930" s="39" t="s">
        <v>2235</v>
      </c>
      <c r="AQ930"/>
      <c r="AR930" s="31">
        <f t="shared" si="501"/>
        <v>0</v>
      </c>
      <c r="AS930" s="255">
        <f t="shared" si="502"/>
        <v>0</v>
      </c>
      <c r="AT930" s="31">
        <f t="shared" si="503"/>
        <v>0</v>
      </c>
      <c r="AU930" s="255">
        <f t="shared" si="504"/>
        <v>0</v>
      </c>
      <c r="AV930" s="31">
        <f t="shared" si="505"/>
        <v>0</v>
      </c>
      <c r="AW930" s="31">
        <f t="shared" si="506"/>
        <v>0</v>
      </c>
      <c r="AX930" s="31">
        <f t="shared" si="507"/>
        <v>5.375</v>
      </c>
      <c r="AY930" s="255">
        <f t="shared" si="508"/>
        <v>4.5687499999999996</v>
      </c>
      <c r="AZ930" s="232">
        <f t="shared" si="509"/>
        <v>0</v>
      </c>
      <c r="BA930" s="255">
        <f t="shared" si="510"/>
        <v>0</v>
      </c>
      <c r="BB930" s="31">
        <f t="shared" si="511"/>
        <v>0</v>
      </c>
      <c r="BC930" s="255">
        <f t="shared" si="512"/>
        <v>0</v>
      </c>
      <c r="BD930" s="31">
        <f t="shared" si="513"/>
        <v>0</v>
      </c>
      <c r="BE930" s="255">
        <f t="shared" si="514"/>
        <v>0</v>
      </c>
      <c r="BF930" s="31">
        <f t="shared" si="515"/>
        <v>0</v>
      </c>
      <c r="BG930" s="255">
        <f t="shared" si="516"/>
        <v>0</v>
      </c>
      <c r="BH930" s="31">
        <f t="shared" si="517"/>
        <v>0</v>
      </c>
      <c r="BI930" s="255">
        <f t="shared" si="518"/>
        <v>0</v>
      </c>
      <c r="BJ930" s="31">
        <f t="shared" si="519"/>
        <v>0</v>
      </c>
      <c r="BK930" s="31">
        <f t="shared" si="520"/>
        <v>0</v>
      </c>
      <c r="BL930" s="255">
        <f t="shared" si="521"/>
        <v>0</v>
      </c>
      <c r="BM930" s="31">
        <f t="shared" si="522"/>
        <v>0</v>
      </c>
      <c r="BN930" s="255">
        <f t="shared" si="523"/>
        <v>0</v>
      </c>
    </row>
    <row r="931" spans="1:66" x14ac:dyDescent="0.25">
      <c r="A931" t="s">
        <v>1888</v>
      </c>
      <c r="B931" s="186" t="str">
        <f>VLOOKUP(A931,kurspris!$A$1:$B$877,2,FALSE)</f>
        <v>Profession och vetenskap för F-3 (UK III)</v>
      </c>
      <c r="C931"/>
      <c r="D931" t="s">
        <v>486</v>
      </c>
      <c r="E931" t="s">
        <v>1976</v>
      </c>
      <c r="F931" s="59" t="s">
        <v>1930</v>
      </c>
      <c r="G931" t="s">
        <v>1933</v>
      </c>
      <c r="H931" t="s">
        <v>1910</v>
      </c>
      <c r="I931"/>
      <c r="J931"/>
      <c r="K931"/>
      <c r="L931">
        <v>100</v>
      </c>
      <c r="M931">
        <v>7.5</v>
      </c>
      <c r="N931"/>
      <c r="O931"/>
      <c r="P931" s="31">
        <v>1</v>
      </c>
      <c r="Q931" s="232">
        <f t="shared" si="496"/>
        <v>0.125</v>
      </c>
      <c r="R931" s="40">
        <v>0.85</v>
      </c>
      <c r="S931" s="334">
        <f t="shared" si="497"/>
        <v>0.10625</v>
      </c>
      <c r="T931" s="31">
        <f>VLOOKUP(A931,'Ansvar kurs'!$A$1:$C$1010,2,FALSE)</f>
        <v>5740</v>
      </c>
      <c r="U931" s="31" t="str">
        <f>VLOOKUP(T931,Orgenheter!$A$1:$C$165,2,FALSE)</f>
        <v>NMD</v>
      </c>
      <c r="V931" s="31" t="str">
        <f>VLOOKUP(T931,Orgenheter!$A$1:$C$165,3,FALSE)</f>
        <v>TekNat</v>
      </c>
      <c r="W931" s="37" t="str">
        <f>VLOOKUP(D931,Program!$A$1:$B$34,2,FALSE)</f>
        <v>Grundlärarprogrammet - förskoleklass och åk 1-3</v>
      </c>
      <c r="X931" s="42">
        <f>VLOOKUP(A931,kurspris!$A$1:$Q$798,15,FALSE)</f>
        <v>23641</v>
      </c>
      <c r="Y931" s="42">
        <f>VLOOKUP(A931,kurspris!$A$1:$Q$798,16,FALSE)</f>
        <v>28786</v>
      </c>
      <c r="Z931" s="42">
        <f t="shared" si="498"/>
        <v>6013.6374999999998</v>
      </c>
      <c r="AA931" s="42">
        <f>VLOOKUP(A931,kurspris!$A$1:$Q$798,17,FALSE)</f>
        <v>5800</v>
      </c>
      <c r="AB931" s="42">
        <f t="shared" si="499"/>
        <v>725</v>
      </c>
      <c r="AC931" s="42">
        <f t="shared" si="500"/>
        <v>6738.6374999999998</v>
      </c>
      <c r="AD931" s="31">
        <f>VLOOKUP($A931,kurspris!$A$1:$Q$835,3,FALSE)</f>
        <v>0</v>
      </c>
      <c r="AE931" s="31">
        <f>VLOOKUP($A931,kurspris!$A$1:$Q$835,4,FALSE)</f>
        <v>0</v>
      </c>
      <c r="AF931" s="31">
        <f>VLOOKUP($A931,kurspris!$A$1:$Q$835,5,FALSE)</f>
        <v>0</v>
      </c>
      <c r="AG931" s="31">
        <f>VLOOKUP($A931,kurspris!$A$1:$Q$835,6,FALSE)</f>
        <v>1</v>
      </c>
      <c r="AH931" s="31">
        <f>VLOOKUP($A931,kurspris!$A$1:$Q$835,7,FALSE)</f>
        <v>0</v>
      </c>
      <c r="AI931" s="31">
        <f>VLOOKUP($A931,kurspris!$A$1:$Q$835,8,FALSE)</f>
        <v>0</v>
      </c>
      <c r="AJ931" s="31">
        <f>VLOOKUP($A931,kurspris!$A$1:$Q$835,9,FALSE)</f>
        <v>0</v>
      </c>
      <c r="AK931" s="31">
        <f>VLOOKUP($A931,kurspris!$A$1:$Q$835,10,FALSE)</f>
        <v>0</v>
      </c>
      <c r="AL931" s="31">
        <f>VLOOKUP($A931,kurspris!$A$1:$Q$835,11,FALSE)</f>
        <v>0</v>
      </c>
      <c r="AM931" s="31">
        <f>VLOOKUP($A931,kurspris!$A$1:$Q$835,12,FALSE)</f>
        <v>0</v>
      </c>
      <c r="AN931" s="31">
        <f>VLOOKUP($A931,kurspris!$A$1:$Q$835,13,FALSE)</f>
        <v>0</v>
      </c>
      <c r="AO931" s="31">
        <f>VLOOKUP($A931,kurspris!$A$1:$Q$835,14,FALSE)</f>
        <v>0</v>
      </c>
      <c r="AP931" s="39" t="s">
        <v>2235</v>
      </c>
      <c r="AQ931"/>
      <c r="AR931" s="31">
        <f t="shared" si="501"/>
        <v>0</v>
      </c>
      <c r="AS931" s="255">
        <f t="shared" si="502"/>
        <v>0</v>
      </c>
      <c r="AT931" s="31">
        <f t="shared" si="503"/>
        <v>0</v>
      </c>
      <c r="AU931" s="255">
        <f t="shared" si="504"/>
        <v>0</v>
      </c>
      <c r="AV931" s="31">
        <f t="shared" si="505"/>
        <v>0</v>
      </c>
      <c r="AW931" s="31">
        <f t="shared" si="506"/>
        <v>0</v>
      </c>
      <c r="AX931" s="31">
        <f t="shared" si="507"/>
        <v>0.125</v>
      </c>
      <c r="AY931" s="255">
        <f t="shared" si="508"/>
        <v>0.10625</v>
      </c>
      <c r="AZ931" s="232">
        <f t="shared" si="509"/>
        <v>0</v>
      </c>
      <c r="BA931" s="255">
        <f t="shared" si="510"/>
        <v>0</v>
      </c>
      <c r="BB931" s="31">
        <f t="shared" si="511"/>
        <v>0</v>
      </c>
      <c r="BC931" s="255">
        <f t="shared" si="512"/>
        <v>0</v>
      </c>
      <c r="BD931" s="31">
        <f t="shared" si="513"/>
        <v>0</v>
      </c>
      <c r="BE931" s="255">
        <f t="shared" si="514"/>
        <v>0</v>
      </c>
      <c r="BF931" s="31">
        <f t="shared" si="515"/>
        <v>0</v>
      </c>
      <c r="BG931" s="255">
        <f t="shared" si="516"/>
        <v>0</v>
      </c>
      <c r="BH931" s="31">
        <f t="shared" si="517"/>
        <v>0</v>
      </c>
      <c r="BI931" s="255">
        <f t="shared" si="518"/>
        <v>0</v>
      </c>
      <c r="BJ931" s="31">
        <f t="shared" si="519"/>
        <v>0</v>
      </c>
      <c r="BK931" s="31">
        <f t="shared" si="520"/>
        <v>0</v>
      </c>
      <c r="BL931" s="255">
        <f t="shared" si="521"/>
        <v>0</v>
      </c>
      <c r="BM931" s="31">
        <f t="shared" si="522"/>
        <v>0</v>
      </c>
      <c r="BN931" s="255">
        <f t="shared" si="523"/>
        <v>0</v>
      </c>
    </row>
    <row r="932" spans="1:66" x14ac:dyDescent="0.25">
      <c r="A932" t="s">
        <v>1912</v>
      </c>
      <c r="B932" s="186" t="str">
        <f>VLOOKUP(A932,kurspris!$A$1:$B$877,2,FALSE)</f>
        <v>Ämnesdidaktik (UK)</v>
      </c>
      <c r="C932"/>
      <c r="D932" t="s">
        <v>1632</v>
      </c>
      <c r="E932" s="39" t="s">
        <v>1930</v>
      </c>
      <c r="F932" s="59" t="s">
        <v>1930</v>
      </c>
      <c r="G932" t="s">
        <v>1943</v>
      </c>
      <c r="H932" t="s">
        <v>1910</v>
      </c>
      <c r="I932"/>
      <c r="J932"/>
      <c r="K932"/>
      <c r="L932" s="423">
        <v>100</v>
      </c>
      <c r="M932">
        <v>7.5</v>
      </c>
      <c r="N932"/>
      <c r="O932"/>
      <c r="P932" s="31">
        <v>15</v>
      </c>
      <c r="Q932" s="232">
        <f t="shared" si="496"/>
        <v>1.875</v>
      </c>
      <c r="R932" s="40">
        <v>0.85</v>
      </c>
      <c r="S932" s="334">
        <f t="shared" si="497"/>
        <v>1.59375</v>
      </c>
      <c r="T932" s="31">
        <f>VLOOKUP(A932,'Ansvar kurs'!$A$1:$C$1010,2,FALSE)</f>
        <v>5740</v>
      </c>
      <c r="U932" s="31" t="str">
        <f>VLOOKUP(T932,Orgenheter!$A$1:$C$165,2,FALSE)</f>
        <v>NMD</v>
      </c>
      <c r="V932" s="31" t="str">
        <f>VLOOKUP(T932,Orgenheter!$A$1:$C$165,3,FALSE)</f>
        <v>TekNat</v>
      </c>
      <c r="W932" s="37" t="str">
        <f>VLOOKUP(D932,Program!$A$1:$B$34,2,FALSE)</f>
        <v>KPU - Förhöjd studietakt - utbildningsbidrag</v>
      </c>
      <c r="X932" s="42">
        <f>VLOOKUP(A932,kurspris!$A$1:$Q$798,15,FALSE)</f>
        <v>23641</v>
      </c>
      <c r="Y932" s="42">
        <f>VLOOKUP(A932,kurspris!$A$1:$Q$798,16,FALSE)</f>
        <v>28786</v>
      </c>
      <c r="Z932" s="42">
        <f t="shared" si="498"/>
        <v>90204.5625</v>
      </c>
      <c r="AA932" s="42">
        <f>VLOOKUP(A932,kurspris!$A$1:$Q$798,17,FALSE)</f>
        <v>5800</v>
      </c>
      <c r="AB932" s="42">
        <f t="shared" si="499"/>
        <v>10875</v>
      </c>
      <c r="AC932" s="42">
        <f t="shared" si="500"/>
        <v>101079.5625</v>
      </c>
      <c r="AD932" s="31">
        <f>VLOOKUP($A932,kurspris!$A$1:$Q$835,3,FALSE)</f>
        <v>0</v>
      </c>
      <c r="AE932" s="31">
        <f>VLOOKUP($A932,kurspris!$A$1:$Q$835,4,FALSE)</f>
        <v>0</v>
      </c>
      <c r="AF932" s="31">
        <f>VLOOKUP($A932,kurspris!$A$1:$Q$835,5,FALSE)</f>
        <v>0</v>
      </c>
      <c r="AG932" s="31">
        <f>VLOOKUP($A932,kurspris!$A$1:$Q$835,6,FALSE)</f>
        <v>1</v>
      </c>
      <c r="AH932" s="31">
        <f>VLOOKUP($A932,kurspris!$A$1:$Q$835,7,FALSE)</f>
        <v>0</v>
      </c>
      <c r="AI932" s="31">
        <f>VLOOKUP($A932,kurspris!$A$1:$Q$835,8,FALSE)</f>
        <v>0</v>
      </c>
      <c r="AJ932" s="31">
        <f>VLOOKUP($A932,kurspris!$A$1:$Q$835,9,FALSE)</f>
        <v>0</v>
      </c>
      <c r="AK932" s="31">
        <f>VLOOKUP($A932,kurspris!$A$1:$Q$835,10,FALSE)</f>
        <v>0</v>
      </c>
      <c r="AL932" s="31">
        <f>VLOOKUP($A932,kurspris!$A$1:$Q$835,11,FALSE)</f>
        <v>0</v>
      </c>
      <c r="AM932" s="31">
        <f>VLOOKUP($A932,kurspris!$A$1:$Q$835,12,FALSE)</f>
        <v>0</v>
      </c>
      <c r="AN932" s="31">
        <f>VLOOKUP($A932,kurspris!$A$1:$Q$835,13,FALSE)</f>
        <v>0</v>
      </c>
      <c r="AO932" s="31">
        <f>VLOOKUP($A932,kurspris!$A$1:$Q$835,14,FALSE)</f>
        <v>0</v>
      </c>
      <c r="AP932" s="39" t="s">
        <v>2235</v>
      </c>
      <c r="AQ932"/>
      <c r="AR932" s="31">
        <f t="shared" si="501"/>
        <v>0</v>
      </c>
      <c r="AS932" s="255">
        <f t="shared" si="502"/>
        <v>0</v>
      </c>
      <c r="AT932" s="31">
        <f t="shared" si="503"/>
        <v>0</v>
      </c>
      <c r="AU932" s="255">
        <f t="shared" si="504"/>
        <v>0</v>
      </c>
      <c r="AV932" s="31">
        <f t="shared" si="505"/>
        <v>0</v>
      </c>
      <c r="AW932" s="31">
        <f t="shared" si="506"/>
        <v>0</v>
      </c>
      <c r="AX932" s="31">
        <f t="shared" si="507"/>
        <v>1.875</v>
      </c>
      <c r="AY932" s="255">
        <f t="shared" si="508"/>
        <v>1.59375</v>
      </c>
      <c r="AZ932" s="232">
        <f t="shared" si="509"/>
        <v>0</v>
      </c>
      <c r="BA932" s="255">
        <f t="shared" si="510"/>
        <v>0</v>
      </c>
      <c r="BB932" s="31">
        <f t="shared" si="511"/>
        <v>0</v>
      </c>
      <c r="BC932" s="255">
        <f t="shared" si="512"/>
        <v>0</v>
      </c>
      <c r="BD932" s="31">
        <f t="shared" si="513"/>
        <v>0</v>
      </c>
      <c r="BE932" s="255">
        <f t="shared" si="514"/>
        <v>0</v>
      </c>
      <c r="BF932" s="31">
        <f t="shared" si="515"/>
        <v>0</v>
      </c>
      <c r="BG932" s="255">
        <f t="shared" si="516"/>
        <v>0</v>
      </c>
      <c r="BH932" s="31">
        <f t="shared" si="517"/>
        <v>0</v>
      </c>
      <c r="BI932" s="255">
        <f t="shared" si="518"/>
        <v>0</v>
      </c>
      <c r="BJ932" s="31">
        <f t="shared" si="519"/>
        <v>0</v>
      </c>
      <c r="BK932" s="31">
        <f t="shared" si="520"/>
        <v>0</v>
      </c>
      <c r="BL932" s="255">
        <f t="shared" si="521"/>
        <v>0</v>
      </c>
      <c r="BM932" s="31">
        <f t="shared" si="522"/>
        <v>0</v>
      </c>
      <c r="BN932" s="255">
        <f t="shared" si="523"/>
        <v>0</v>
      </c>
    </row>
    <row r="933" spans="1:66" x14ac:dyDescent="0.25">
      <c r="A933" s="59" t="s">
        <v>1912</v>
      </c>
      <c r="B933" s="186" t="str">
        <f>VLOOKUP(A933,kurspris!$A$1:$B$877,2,FALSE)</f>
        <v>Ämnesdidaktik (UK)</v>
      </c>
      <c r="C933" s="37"/>
      <c r="D933" s="59" t="s">
        <v>629</v>
      </c>
      <c r="E933" s="62" t="s">
        <v>1931</v>
      </c>
      <c r="F933" s="59" t="s">
        <v>1931</v>
      </c>
      <c r="G933" s="31" t="s">
        <v>2296</v>
      </c>
      <c r="I933" s="62"/>
      <c r="J933" t="s">
        <v>2304</v>
      </c>
      <c r="L933" s="295">
        <v>150</v>
      </c>
      <c r="M933" s="378">
        <v>7.5</v>
      </c>
      <c r="N933" s="40"/>
      <c r="P933" s="377">
        <v>2</v>
      </c>
      <c r="Q933" s="232">
        <f t="shared" si="496"/>
        <v>0.25</v>
      </c>
      <c r="R933" s="40">
        <v>0.85</v>
      </c>
      <c r="S933" s="334">
        <f t="shared" si="497"/>
        <v>0.21249999999999999</v>
      </c>
      <c r="T933" s="31">
        <f>VLOOKUP(A933,'Ansvar kurs'!$A$1:$C$1010,2,FALSE)</f>
        <v>5740</v>
      </c>
      <c r="U933" s="31" t="str">
        <f>VLOOKUP(T933,Orgenheter!$A$1:$C$165,2,FALSE)</f>
        <v>NMD</v>
      </c>
      <c r="V933" s="31" t="str">
        <f>VLOOKUP(T933,Orgenheter!$A$1:$C$165,3,FALSE)</f>
        <v>TekNat</v>
      </c>
      <c r="W933" s="37" t="str">
        <f>VLOOKUP(D933,Program!$A$1:$B$34,2,FALSE)</f>
        <v>KPU - åk 7-9</v>
      </c>
      <c r="X933" s="42">
        <f>VLOOKUP(A933,kurspris!$A$1:$Q$798,15,FALSE)</f>
        <v>23641</v>
      </c>
      <c r="Y933" s="42">
        <f>VLOOKUP(A933,kurspris!$A$1:$Q$798,16,FALSE)</f>
        <v>28786</v>
      </c>
      <c r="Z933" s="42">
        <f t="shared" si="498"/>
        <v>12027.275</v>
      </c>
      <c r="AA933" s="42">
        <f>VLOOKUP(A933,kurspris!$A$1:$Q$798,17,FALSE)</f>
        <v>5800</v>
      </c>
      <c r="AB933" s="42">
        <f t="shared" si="499"/>
        <v>1450</v>
      </c>
      <c r="AC933" s="42">
        <f t="shared" si="500"/>
        <v>13477.275</v>
      </c>
      <c r="AD933" s="31">
        <f>VLOOKUP($A933,kurspris!$A$1:$Q$835,3,FALSE)</f>
        <v>0</v>
      </c>
      <c r="AE933" s="31">
        <f>VLOOKUP($A933,kurspris!$A$1:$Q$835,4,FALSE)</f>
        <v>0</v>
      </c>
      <c r="AF933" s="31">
        <f>VLOOKUP($A933,kurspris!$A$1:$Q$835,5,FALSE)</f>
        <v>0</v>
      </c>
      <c r="AG933" s="31">
        <f>VLOOKUP($A933,kurspris!$A$1:$Q$835,6,FALSE)</f>
        <v>1</v>
      </c>
      <c r="AH933" s="31">
        <f>VLOOKUP($A933,kurspris!$A$1:$Q$835,7,FALSE)</f>
        <v>0</v>
      </c>
      <c r="AI933" s="31">
        <f>VLOOKUP($A933,kurspris!$A$1:$Q$835,8,FALSE)</f>
        <v>0</v>
      </c>
      <c r="AJ933" s="31">
        <f>VLOOKUP($A933,kurspris!$A$1:$Q$835,9,FALSE)</f>
        <v>0</v>
      </c>
      <c r="AK933" s="31">
        <f>VLOOKUP($A933,kurspris!$A$1:$Q$835,10,FALSE)</f>
        <v>0</v>
      </c>
      <c r="AL933" s="31">
        <f>VLOOKUP($A933,kurspris!$A$1:$Q$835,11,FALSE)</f>
        <v>0</v>
      </c>
      <c r="AM933" s="31">
        <f>VLOOKUP($A933,kurspris!$A$1:$Q$835,12,FALSE)</f>
        <v>0</v>
      </c>
      <c r="AN933" s="31">
        <f>VLOOKUP($A933,kurspris!$A$1:$Q$835,13,FALSE)</f>
        <v>0</v>
      </c>
      <c r="AO933" s="31">
        <f>VLOOKUP($A933,kurspris!$A$1:$Q$835,14,FALSE)</f>
        <v>0</v>
      </c>
      <c r="AP933" s="39" t="s">
        <v>2326</v>
      </c>
      <c r="AQ933"/>
      <c r="AR933" s="31">
        <f t="shared" si="501"/>
        <v>0</v>
      </c>
      <c r="AS933" s="255">
        <f t="shared" si="502"/>
        <v>0</v>
      </c>
      <c r="AT933" s="31">
        <f t="shared" si="503"/>
        <v>0</v>
      </c>
      <c r="AU933" s="255">
        <f t="shared" si="504"/>
        <v>0</v>
      </c>
      <c r="AV933" s="31">
        <f t="shared" si="505"/>
        <v>0</v>
      </c>
      <c r="AW933" s="31">
        <f t="shared" si="506"/>
        <v>0</v>
      </c>
      <c r="AX933" s="31">
        <f t="shared" si="507"/>
        <v>0.25</v>
      </c>
      <c r="AY933" s="255">
        <f t="shared" si="508"/>
        <v>0.21249999999999999</v>
      </c>
      <c r="AZ933" s="232">
        <f t="shared" si="509"/>
        <v>0</v>
      </c>
      <c r="BA933" s="255">
        <f t="shared" si="510"/>
        <v>0</v>
      </c>
      <c r="BB933" s="31">
        <f t="shared" si="511"/>
        <v>0</v>
      </c>
      <c r="BC933" s="255">
        <f t="shared" si="512"/>
        <v>0</v>
      </c>
      <c r="BD933" s="31">
        <f t="shared" si="513"/>
        <v>0</v>
      </c>
      <c r="BE933" s="255">
        <f t="shared" si="514"/>
        <v>0</v>
      </c>
      <c r="BF933" s="31">
        <f t="shared" si="515"/>
        <v>0</v>
      </c>
      <c r="BG933" s="255">
        <f t="shared" si="516"/>
        <v>0</v>
      </c>
      <c r="BH933" s="31">
        <f t="shared" si="517"/>
        <v>0</v>
      </c>
      <c r="BI933" s="255">
        <f t="shared" si="518"/>
        <v>0</v>
      </c>
      <c r="BJ933" s="31">
        <f t="shared" si="519"/>
        <v>0</v>
      </c>
      <c r="BK933" s="31">
        <f t="shared" si="520"/>
        <v>0</v>
      </c>
      <c r="BL933" s="255">
        <f t="shared" si="521"/>
        <v>0</v>
      </c>
      <c r="BM933" s="31">
        <f t="shared" si="522"/>
        <v>0</v>
      </c>
      <c r="BN933" s="255">
        <f t="shared" si="523"/>
        <v>0</v>
      </c>
    </row>
    <row r="934" spans="1:66" x14ac:dyDescent="0.25">
      <c r="A934" s="59" t="s">
        <v>1912</v>
      </c>
      <c r="B934" s="186" t="str">
        <f>VLOOKUP(A934,kurspris!$A$1:$B$877,2,FALSE)</f>
        <v>Ämnesdidaktik (UK)</v>
      </c>
      <c r="C934" s="37"/>
      <c r="D934" s="59" t="s">
        <v>629</v>
      </c>
      <c r="E934" s="62" t="s">
        <v>1931</v>
      </c>
      <c r="F934" s="59" t="s">
        <v>1931</v>
      </c>
      <c r="G934" s="31" t="s">
        <v>2296</v>
      </c>
      <c r="I934" s="62"/>
      <c r="J934" t="s">
        <v>2302</v>
      </c>
      <c r="L934" s="295">
        <v>150</v>
      </c>
      <c r="M934" s="378">
        <v>7.5</v>
      </c>
      <c r="N934" s="40"/>
      <c r="P934" s="377">
        <v>12</v>
      </c>
      <c r="Q934" s="232">
        <f t="shared" si="496"/>
        <v>1.5</v>
      </c>
      <c r="R934" s="40">
        <v>0.85</v>
      </c>
      <c r="S934" s="334">
        <f t="shared" si="497"/>
        <v>1.2749999999999999</v>
      </c>
      <c r="T934" s="31">
        <f>VLOOKUP(A934,'Ansvar kurs'!$A$1:$C$1010,2,FALSE)</f>
        <v>5740</v>
      </c>
      <c r="U934" s="31" t="str">
        <f>VLOOKUP(T934,Orgenheter!$A$1:$C$165,2,FALSE)</f>
        <v>NMD</v>
      </c>
      <c r="V934" s="31" t="str">
        <f>VLOOKUP(T934,Orgenheter!$A$1:$C$165,3,FALSE)</f>
        <v>TekNat</v>
      </c>
      <c r="W934" s="37" t="str">
        <f>VLOOKUP(D934,Program!$A$1:$B$34,2,FALSE)</f>
        <v>KPU - åk 7-9</v>
      </c>
      <c r="X934" s="42">
        <f>VLOOKUP(A934,kurspris!$A$1:$Q$798,15,FALSE)</f>
        <v>23641</v>
      </c>
      <c r="Y934" s="42">
        <f>VLOOKUP(A934,kurspris!$A$1:$Q$798,16,FALSE)</f>
        <v>28786</v>
      </c>
      <c r="Z934" s="42">
        <f t="shared" si="498"/>
        <v>72163.649999999994</v>
      </c>
      <c r="AA934" s="42">
        <f>VLOOKUP(A934,kurspris!$A$1:$Q$798,17,FALSE)</f>
        <v>5800</v>
      </c>
      <c r="AB934" s="42">
        <f t="shared" si="499"/>
        <v>8700</v>
      </c>
      <c r="AC934" s="42">
        <f t="shared" si="500"/>
        <v>80863.649999999994</v>
      </c>
      <c r="AD934" s="31">
        <f>VLOOKUP($A934,kurspris!$A$1:$Q$835,3,FALSE)</f>
        <v>0</v>
      </c>
      <c r="AE934" s="31">
        <f>VLOOKUP($A934,kurspris!$A$1:$Q$835,4,FALSE)</f>
        <v>0</v>
      </c>
      <c r="AF934" s="31">
        <f>VLOOKUP($A934,kurspris!$A$1:$Q$835,5,FALSE)</f>
        <v>0</v>
      </c>
      <c r="AG934" s="31">
        <f>VLOOKUP($A934,kurspris!$A$1:$Q$835,6,FALSE)</f>
        <v>1</v>
      </c>
      <c r="AH934" s="31">
        <f>VLOOKUP($A934,kurspris!$A$1:$Q$835,7,FALSE)</f>
        <v>0</v>
      </c>
      <c r="AI934" s="31">
        <f>VLOOKUP($A934,kurspris!$A$1:$Q$835,8,FALSE)</f>
        <v>0</v>
      </c>
      <c r="AJ934" s="31">
        <f>VLOOKUP($A934,kurspris!$A$1:$Q$835,9,FALSE)</f>
        <v>0</v>
      </c>
      <c r="AK934" s="31">
        <f>VLOOKUP($A934,kurspris!$A$1:$Q$835,10,FALSE)</f>
        <v>0</v>
      </c>
      <c r="AL934" s="31">
        <f>VLOOKUP($A934,kurspris!$A$1:$Q$835,11,FALSE)</f>
        <v>0</v>
      </c>
      <c r="AM934" s="31">
        <f>VLOOKUP($A934,kurspris!$A$1:$Q$835,12,FALSE)</f>
        <v>0</v>
      </c>
      <c r="AN934" s="31">
        <f>VLOOKUP($A934,kurspris!$A$1:$Q$835,13,FALSE)</f>
        <v>0</v>
      </c>
      <c r="AO934" s="31">
        <f>VLOOKUP($A934,kurspris!$A$1:$Q$835,14,FALSE)</f>
        <v>0</v>
      </c>
      <c r="AP934" s="39" t="s">
        <v>2326</v>
      </c>
      <c r="AQ934"/>
      <c r="AR934" s="31">
        <f t="shared" si="501"/>
        <v>0</v>
      </c>
      <c r="AS934" s="255">
        <f t="shared" si="502"/>
        <v>0</v>
      </c>
      <c r="AT934" s="31">
        <f t="shared" si="503"/>
        <v>0</v>
      </c>
      <c r="AU934" s="255">
        <f t="shared" si="504"/>
        <v>0</v>
      </c>
      <c r="AV934" s="31">
        <f t="shared" si="505"/>
        <v>0</v>
      </c>
      <c r="AW934" s="31">
        <f t="shared" si="506"/>
        <v>0</v>
      </c>
      <c r="AX934" s="31">
        <f t="shared" si="507"/>
        <v>1.5</v>
      </c>
      <c r="AY934" s="255">
        <f t="shared" si="508"/>
        <v>1.2749999999999999</v>
      </c>
      <c r="AZ934" s="232">
        <f t="shared" si="509"/>
        <v>0</v>
      </c>
      <c r="BA934" s="255">
        <f t="shared" si="510"/>
        <v>0</v>
      </c>
      <c r="BB934" s="31">
        <f t="shared" si="511"/>
        <v>0</v>
      </c>
      <c r="BC934" s="255">
        <f t="shared" si="512"/>
        <v>0</v>
      </c>
      <c r="BD934" s="31">
        <f t="shared" si="513"/>
        <v>0</v>
      </c>
      <c r="BE934" s="255">
        <f t="shared" si="514"/>
        <v>0</v>
      </c>
      <c r="BF934" s="31">
        <f t="shared" si="515"/>
        <v>0</v>
      </c>
      <c r="BG934" s="255">
        <f t="shared" si="516"/>
        <v>0</v>
      </c>
      <c r="BH934" s="31">
        <f t="shared" si="517"/>
        <v>0</v>
      </c>
      <c r="BI934" s="255">
        <f t="shared" si="518"/>
        <v>0</v>
      </c>
      <c r="BJ934" s="31">
        <f t="shared" si="519"/>
        <v>0</v>
      </c>
      <c r="BK934" s="31">
        <f t="shared" si="520"/>
        <v>0</v>
      </c>
      <c r="BL934" s="255">
        <f t="shared" si="521"/>
        <v>0</v>
      </c>
      <c r="BM934" s="31">
        <f t="shared" si="522"/>
        <v>0</v>
      </c>
      <c r="BN934" s="255">
        <f t="shared" si="523"/>
        <v>0</v>
      </c>
    </row>
    <row r="935" spans="1:66" x14ac:dyDescent="0.25">
      <c r="A935" s="59" t="s">
        <v>1912</v>
      </c>
      <c r="B935" s="186" t="str">
        <f>VLOOKUP(A935,kurspris!$A$1:$B$877,2,FALSE)</f>
        <v>Ämnesdidaktik (UK)</v>
      </c>
      <c r="C935" s="37"/>
      <c r="D935" s="59" t="s">
        <v>629</v>
      </c>
      <c r="E935" s="62" t="s">
        <v>1931</v>
      </c>
      <c r="F935" s="59" t="s">
        <v>1931</v>
      </c>
      <c r="G935" s="31" t="s">
        <v>2296</v>
      </c>
      <c r="I935" s="62"/>
      <c r="J935" t="s">
        <v>2305</v>
      </c>
      <c r="L935" s="295">
        <v>150</v>
      </c>
      <c r="M935" s="378">
        <v>7.5</v>
      </c>
      <c r="N935" s="40"/>
      <c r="P935" s="377">
        <v>4</v>
      </c>
      <c r="Q935" s="232">
        <f t="shared" si="496"/>
        <v>0.5</v>
      </c>
      <c r="R935" s="40">
        <v>0.85</v>
      </c>
      <c r="S935" s="334">
        <f t="shared" si="497"/>
        <v>0.42499999999999999</v>
      </c>
      <c r="T935" s="31">
        <f>VLOOKUP(A935,'Ansvar kurs'!$A$1:$C$1010,2,FALSE)</f>
        <v>5740</v>
      </c>
      <c r="U935" s="31" t="str">
        <f>VLOOKUP(T935,Orgenheter!$A$1:$C$165,2,FALSE)</f>
        <v>NMD</v>
      </c>
      <c r="V935" s="31" t="str">
        <f>VLOOKUP(T935,Orgenheter!$A$1:$C$165,3,FALSE)</f>
        <v>TekNat</v>
      </c>
      <c r="W935" s="37" t="str">
        <f>VLOOKUP(D935,Program!$A$1:$B$34,2,FALSE)</f>
        <v>KPU - åk 7-9</v>
      </c>
      <c r="X935" s="42">
        <f>VLOOKUP(A935,kurspris!$A$1:$Q$798,15,FALSE)</f>
        <v>23641</v>
      </c>
      <c r="Y935" s="42">
        <f>VLOOKUP(A935,kurspris!$A$1:$Q$798,16,FALSE)</f>
        <v>28786</v>
      </c>
      <c r="Z935" s="42">
        <f t="shared" si="498"/>
        <v>24054.55</v>
      </c>
      <c r="AA935" s="42">
        <f>VLOOKUP(A935,kurspris!$A$1:$Q$798,17,FALSE)</f>
        <v>5800</v>
      </c>
      <c r="AB935" s="42">
        <f t="shared" si="499"/>
        <v>2900</v>
      </c>
      <c r="AC935" s="42">
        <f t="shared" si="500"/>
        <v>26954.55</v>
      </c>
      <c r="AD935" s="31">
        <f>VLOOKUP($A935,kurspris!$A$1:$Q$835,3,FALSE)</f>
        <v>0</v>
      </c>
      <c r="AE935" s="31">
        <f>VLOOKUP($A935,kurspris!$A$1:$Q$835,4,FALSE)</f>
        <v>0</v>
      </c>
      <c r="AF935" s="31">
        <f>VLOOKUP($A935,kurspris!$A$1:$Q$835,5,FALSE)</f>
        <v>0</v>
      </c>
      <c r="AG935" s="31">
        <f>VLOOKUP($A935,kurspris!$A$1:$Q$835,6,FALSE)</f>
        <v>1</v>
      </c>
      <c r="AH935" s="31">
        <f>VLOOKUP($A935,kurspris!$A$1:$Q$835,7,FALSE)</f>
        <v>0</v>
      </c>
      <c r="AI935" s="31">
        <f>VLOOKUP($A935,kurspris!$A$1:$Q$835,8,FALSE)</f>
        <v>0</v>
      </c>
      <c r="AJ935" s="31">
        <f>VLOOKUP($A935,kurspris!$A$1:$Q$835,9,FALSE)</f>
        <v>0</v>
      </c>
      <c r="AK935" s="31">
        <f>VLOOKUP($A935,kurspris!$A$1:$Q$835,10,FALSE)</f>
        <v>0</v>
      </c>
      <c r="AL935" s="31">
        <f>VLOOKUP($A935,kurspris!$A$1:$Q$835,11,FALSE)</f>
        <v>0</v>
      </c>
      <c r="AM935" s="31">
        <f>VLOOKUP($A935,kurspris!$A$1:$Q$835,12,FALSE)</f>
        <v>0</v>
      </c>
      <c r="AN935" s="31">
        <f>VLOOKUP($A935,kurspris!$A$1:$Q$835,13,FALSE)</f>
        <v>0</v>
      </c>
      <c r="AO935" s="31">
        <f>VLOOKUP($A935,kurspris!$A$1:$Q$835,14,FALSE)</f>
        <v>0</v>
      </c>
      <c r="AP935" s="39" t="s">
        <v>2326</v>
      </c>
      <c r="AQ935"/>
      <c r="AR935" s="31">
        <f t="shared" si="501"/>
        <v>0</v>
      </c>
      <c r="AS935" s="255">
        <f t="shared" si="502"/>
        <v>0</v>
      </c>
      <c r="AT935" s="31">
        <f t="shared" si="503"/>
        <v>0</v>
      </c>
      <c r="AU935" s="255">
        <f t="shared" si="504"/>
        <v>0</v>
      </c>
      <c r="AV935" s="31">
        <f t="shared" si="505"/>
        <v>0</v>
      </c>
      <c r="AW935" s="31">
        <f t="shared" si="506"/>
        <v>0</v>
      </c>
      <c r="AX935" s="31">
        <f t="shared" si="507"/>
        <v>0.5</v>
      </c>
      <c r="AY935" s="255">
        <f t="shared" si="508"/>
        <v>0.42499999999999999</v>
      </c>
      <c r="AZ935" s="232">
        <f t="shared" si="509"/>
        <v>0</v>
      </c>
      <c r="BA935" s="255">
        <f t="shared" si="510"/>
        <v>0</v>
      </c>
      <c r="BB935" s="31">
        <f t="shared" si="511"/>
        <v>0</v>
      </c>
      <c r="BC935" s="255">
        <f t="shared" si="512"/>
        <v>0</v>
      </c>
      <c r="BD935" s="31">
        <f t="shared" si="513"/>
        <v>0</v>
      </c>
      <c r="BE935" s="255">
        <f t="shared" si="514"/>
        <v>0</v>
      </c>
      <c r="BF935" s="31">
        <f t="shared" si="515"/>
        <v>0</v>
      </c>
      <c r="BG935" s="255">
        <f t="shared" si="516"/>
        <v>0</v>
      </c>
      <c r="BH935" s="31">
        <f t="shared" si="517"/>
        <v>0</v>
      </c>
      <c r="BI935" s="255">
        <f t="shared" si="518"/>
        <v>0</v>
      </c>
      <c r="BJ935" s="31">
        <f t="shared" si="519"/>
        <v>0</v>
      </c>
      <c r="BK935" s="31">
        <f t="shared" si="520"/>
        <v>0</v>
      </c>
      <c r="BL935" s="255">
        <f t="shared" si="521"/>
        <v>0</v>
      </c>
      <c r="BM935" s="31">
        <f t="shared" si="522"/>
        <v>0</v>
      </c>
      <c r="BN935" s="255">
        <f t="shared" si="523"/>
        <v>0</v>
      </c>
    </row>
    <row r="936" spans="1:66" x14ac:dyDescent="0.25">
      <c r="A936" s="59" t="s">
        <v>1912</v>
      </c>
      <c r="B936" s="186" t="str">
        <f>VLOOKUP(A936,kurspris!$A$1:$B$877,2,FALSE)</f>
        <v>Ämnesdidaktik (UK)</v>
      </c>
      <c r="C936" s="37"/>
      <c r="D936" s="59" t="s">
        <v>630</v>
      </c>
      <c r="E936" s="62" t="s">
        <v>2263</v>
      </c>
      <c r="F936" s="59" t="s">
        <v>1931</v>
      </c>
      <c r="G936" s="31" t="s">
        <v>2296</v>
      </c>
      <c r="I936" s="62"/>
      <c r="J936" t="s">
        <v>2302</v>
      </c>
      <c r="L936" s="295">
        <v>150</v>
      </c>
      <c r="M936" s="378">
        <v>7.5</v>
      </c>
      <c r="N936" s="40"/>
      <c r="P936" s="377">
        <v>1</v>
      </c>
      <c r="Q936" s="232">
        <f t="shared" si="496"/>
        <v>0.125</v>
      </c>
      <c r="R936" s="40">
        <v>0.85</v>
      </c>
      <c r="S936" s="334">
        <f t="shared" si="497"/>
        <v>0.10625</v>
      </c>
      <c r="T936" s="31">
        <f>VLOOKUP(A936,'Ansvar kurs'!$A$1:$C$1010,2,FALSE)</f>
        <v>5740</v>
      </c>
      <c r="U936" s="31" t="str">
        <f>VLOOKUP(T936,Orgenheter!$A$1:$C$165,2,FALSE)</f>
        <v>NMD</v>
      </c>
      <c r="V936" s="31" t="str">
        <f>VLOOKUP(T936,Orgenheter!$A$1:$C$165,3,FALSE)</f>
        <v>TekNat</v>
      </c>
      <c r="W936" s="37" t="str">
        <f>VLOOKUP(D936,Program!$A$1:$B$34,2,FALSE)</f>
        <v>KPU - Gy</v>
      </c>
      <c r="X936" s="42">
        <f>VLOOKUP(A936,kurspris!$A$1:$Q$798,15,FALSE)</f>
        <v>23641</v>
      </c>
      <c r="Y936" s="42">
        <f>VLOOKUP(A936,kurspris!$A$1:$Q$798,16,FALSE)</f>
        <v>28786</v>
      </c>
      <c r="Z936" s="42">
        <f t="shared" si="498"/>
        <v>6013.6374999999998</v>
      </c>
      <c r="AA936" s="42">
        <f>VLOOKUP(A936,kurspris!$A$1:$Q$798,17,FALSE)</f>
        <v>5800</v>
      </c>
      <c r="AB936" s="42">
        <f t="shared" si="499"/>
        <v>725</v>
      </c>
      <c r="AC936" s="42">
        <f t="shared" si="500"/>
        <v>6738.6374999999998</v>
      </c>
      <c r="AD936" s="31">
        <f>VLOOKUP($A936,kurspris!$A$1:$Q$835,3,FALSE)</f>
        <v>0</v>
      </c>
      <c r="AE936" s="31">
        <f>VLOOKUP($A936,kurspris!$A$1:$Q$835,4,FALSE)</f>
        <v>0</v>
      </c>
      <c r="AF936" s="31">
        <f>VLOOKUP($A936,kurspris!$A$1:$Q$835,5,FALSE)</f>
        <v>0</v>
      </c>
      <c r="AG936" s="31">
        <f>VLOOKUP($A936,kurspris!$A$1:$Q$835,6,FALSE)</f>
        <v>1</v>
      </c>
      <c r="AH936" s="31">
        <f>VLOOKUP($A936,kurspris!$A$1:$Q$835,7,FALSE)</f>
        <v>0</v>
      </c>
      <c r="AI936" s="31">
        <f>VLOOKUP($A936,kurspris!$A$1:$Q$835,8,FALSE)</f>
        <v>0</v>
      </c>
      <c r="AJ936" s="31">
        <f>VLOOKUP($A936,kurspris!$A$1:$Q$835,9,FALSE)</f>
        <v>0</v>
      </c>
      <c r="AK936" s="31">
        <f>VLOOKUP($A936,kurspris!$A$1:$Q$835,10,FALSE)</f>
        <v>0</v>
      </c>
      <c r="AL936" s="31">
        <f>VLOOKUP($A936,kurspris!$A$1:$Q$835,11,FALSE)</f>
        <v>0</v>
      </c>
      <c r="AM936" s="31">
        <f>VLOOKUP($A936,kurspris!$A$1:$Q$835,12,FALSE)</f>
        <v>0</v>
      </c>
      <c r="AN936" s="31">
        <f>VLOOKUP($A936,kurspris!$A$1:$Q$835,13,FALSE)</f>
        <v>0</v>
      </c>
      <c r="AO936" s="31">
        <f>VLOOKUP($A936,kurspris!$A$1:$Q$835,14,FALSE)</f>
        <v>0</v>
      </c>
      <c r="AP936" s="39" t="s">
        <v>2326</v>
      </c>
      <c r="AQ936"/>
      <c r="AR936" s="31">
        <f t="shared" si="501"/>
        <v>0</v>
      </c>
      <c r="AS936" s="255">
        <f t="shared" si="502"/>
        <v>0</v>
      </c>
      <c r="AT936" s="31">
        <f t="shared" si="503"/>
        <v>0</v>
      </c>
      <c r="AU936" s="255">
        <f t="shared" si="504"/>
        <v>0</v>
      </c>
      <c r="AV936" s="31">
        <f t="shared" si="505"/>
        <v>0</v>
      </c>
      <c r="AW936" s="31">
        <f t="shared" si="506"/>
        <v>0</v>
      </c>
      <c r="AX936" s="31">
        <f t="shared" si="507"/>
        <v>0.125</v>
      </c>
      <c r="AY936" s="255">
        <f t="shared" si="508"/>
        <v>0.10625</v>
      </c>
      <c r="AZ936" s="232">
        <f t="shared" si="509"/>
        <v>0</v>
      </c>
      <c r="BA936" s="255">
        <f t="shared" si="510"/>
        <v>0</v>
      </c>
      <c r="BB936" s="31">
        <f t="shared" si="511"/>
        <v>0</v>
      </c>
      <c r="BC936" s="255">
        <f t="shared" si="512"/>
        <v>0</v>
      </c>
      <c r="BD936" s="31">
        <f t="shared" si="513"/>
        <v>0</v>
      </c>
      <c r="BE936" s="255">
        <f t="shared" si="514"/>
        <v>0</v>
      </c>
      <c r="BF936" s="31">
        <f t="shared" si="515"/>
        <v>0</v>
      </c>
      <c r="BG936" s="255">
        <f t="shared" si="516"/>
        <v>0</v>
      </c>
      <c r="BH936" s="31">
        <f t="shared" si="517"/>
        <v>0</v>
      </c>
      <c r="BI936" s="255">
        <f t="shared" si="518"/>
        <v>0</v>
      </c>
      <c r="BJ936" s="31">
        <f t="shared" si="519"/>
        <v>0</v>
      </c>
      <c r="BK936" s="31">
        <f t="shared" si="520"/>
        <v>0</v>
      </c>
      <c r="BL936" s="255">
        <f t="shared" si="521"/>
        <v>0</v>
      </c>
      <c r="BM936" s="31">
        <f t="shared" si="522"/>
        <v>0</v>
      </c>
      <c r="BN936" s="255">
        <f t="shared" si="523"/>
        <v>0</v>
      </c>
    </row>
    <row r="937" spans="1:66" x14ac:dyDescent="0.25">
      <c r="A937" s="59" t="s">
        <v>1912</v>
      </c>
      <c r="B937" s="186" t="str">
        <f>VLOOKUP(A937,kurspris!$A$1:$B$877,2,FALSE)</f>
        <v>Ämnesdidaktik (UK)</v>
      </c>
      <c r="C937" s="37"/>
      <c r="D937" s="59" t="s">
        <v>630</v>
      </c>
      <c r="E937" s="62" t="s">
        <v>1931</v>
      </c>
      <c r="F937" s="59" t="s">
        <v>1931</v>
      </c>
      <c r="G937" s="31" t="s">
        <v>2296</v>
      </c>
      <c r="I937" s="62"/>
      <c r="J937" t="s">
        <v>2308</v>
      </c>
      <c r="L937" s="295">
        <v>150</v>
      </c>
      <c r="M937" s="378">
        <v>7.5</v>
      </c>
      <c r="N937" s="40"/>
      <c r="P937" s="377">
        <v>4</v>
      </c>
      <c r="Q937" s="232">
        <f t="shared" si="496"/>
        <v>0.5</v>
      </c>
      <c r="R937" s="40">
        <v>0.85</v>
      </c>
      <c r="S937" s="334">
        <f t="shared" si="497"/>
        <v>0.42499999999999999</v>
      </c>
      <c r="T937" s="31">
        <f>VLOOKUP(A937,'Ansvar kurs'!$A$1:$C$1010,2,FALSE)</f>
        <v>5740</v>
      </c>
      <c r="U937" s="31" t="str">
        <f>VLOOKUP(T937,Orgenheter!$A$1:$C$165,2,FALSE)</f>
        <v>NMD</v>
      </c>
      <c r="V937" s="31" t="str">
        <f>VLOOKUP(T937,Orgenheter!$A$1:$C$165,3,FALSE)</f>
        <v>TekNat</v>
      </c>
      <c r="W937" s="37" t="str">
        <f>VLOOKUP(D937,Program!$A$1:$B$34,2,FALSE)</f>
        <v>KPU - Gy</v>
      </c>
      <c r="X937" s="42">
        <f>VLOOKUP(A937,kurspris!$A$1:$Q$798,15,FALSE)</f>
        <v>23641</v>
      </c>
      <c r="Y937" s="42">
        <f>VLOOKUP(A937,kurspris!$A$1:$Q$798,16,FALSE)</f>
        <v>28786</v>
      </c>
      <c r="Z937" s="42">
        <f t="shared" si="498"/>
        <v>24054.55</v>
      </c>
      <c r="AA937" s="42">
        <f>VLOOKUP(A937,kurspris!$A$1:$Q$798,17,FALSE)</f>
        <v>5800</v>
      </c>
      <c r="AB937" s="42">
        <f t="shared" si="499"/>
        <v>2900</v>
      </c>
      <c r="AC937" s="42">
        <f t="shared" si="500"/>
        <v>26954.55</v>
      </c>
      <c r="AD937" s="31">
        <f>VLOOKUP($A937,kurspris!$A$1:$Q$835,3,FALSE)</f>
        <v>0</v>
      </c>
      <c r="AE937" s="31">
        <f>VLOOKUP($A937,kurspris!$A$1:$Q$835,4,FALSE)</f>
        <v>0</v>
      </c>
      <c r="AF937" s="31">
        <f>VLOOKUP($A937,kurspris!$A$1:$Q$835,5,FALSE)</f>
        <v>0</v>
      </c>
      <c r="AG937" s="31">
        <f>VLOOKUP($A937,kurspris!$A$1:$Q$835,6,FALSE)</f>
        <v>1</v>
      </c>
      <c r="AH937" s="31">
        <f>VLOOKUP($A937,kurspris!$A$1:$Q$835,7,FALSE)</f>
        <v>0</v>
      </c>
      <c r="AI937" s="31">
        <f>VLOOKUP($A937,kurspris!$A$1:$Q$835,8,FALSE)</f>
        <v>0</v>
      </c>
      <c r="AJ937" s="31">
        <f>VLOOKUP($A937,kurspris!$A$1:$Q$835,9,FALSE)</f>
        <v>0</v>
      </c>
      <c r="AK937" s="31">
        <f>VLOOKUP($A937,kurspris!$A$1:$Q$835,10,FALSE)</f>
        <v>0</v>
      </c>
      <c r="AL937" s="31">
        <f>VLOOKUP($A937,kurspris!$A$1:$Q$835,11,FALSE)</f>
        <v>0</v>
      </c>
      <c r="AM937" s="31">
        <f>VLOOKUP($A937,kurspris!$A$1:$Q$835,12,FALSE)</f>
        <v>0</v>
      </c>
      <c r="AN937" s="31">
        <f>VLOOKUP($A937,kurspris!$A$1:$Q$835,13,FALSE)</f>
        <v>0</v>
      </c>
      <c r="AO937" s="31">
        <f>VLOOKUP($A937,kurspris!$A$1:$Q$835,14,FALSE)</f>
        <v>0</v>
      </c>
      <c r="AP937" s="39" t="s">
        <v>2326</v>
      </c>
      <c r="AQ937"/>
      <c r="AR937" s="31">
        <f t="shared" si="501"/>
        <v>0</v>
      </c>
      <c r="AS937" s="255">
        <f t="shared" si="502"/>
        <v>0</v>
      </c>
      <c r="AT937" s="31">
        <f t="shared" si="503"/>
        <v>0</v>
      </c>
      <c r="AU937" s="255">
        <f t="shared" si="504"/>
        <v>0</v>
      </c>
      <c r="AV937" s="31">
        <f t="shared" si="505"/>
        <v>0</v>
      </c>
      <c r="AW937" s="31">
        <f t="shared" si="506"/>
        <v>0</v>
      </c>
      <c r="AX937" s="31">
        <f t="shared" si="507"/>
        <v>0.5</v>
      </c>
      <c r="AY937" s="255">
        <f t="shared" si="508"/>
        <v>0.42499999999999999</v>
      </c>
      <c r="AZ937" s="232">
        <f t="shared" si="509"/>
        <v>0</v>
      </c>
      <c r="BA937" s="255">
        <f t="shared" si="510"/>
        <v>0</v>
      </c>
      <c r="BB937" s="31">
        <f t="shared" si="511"/>
        <v>0</v>
      </c>
      <c r="BC937" s="255">
        <f t="shared" si="512"/>
        <v>0</v>
      </c>
      <c r="BD937" s="31">
        <f t="shared" si="513"/>
        <v>0</v>
      </c>
      <c r="BE937" s="255">
        <f t="shared" si="514"/>
        <v>0</v>
      </c>
      <c r="BF937" s="31">
        <f t="shared" si="515"/>
        <v>0</v>
      </c>
      <c r="BG937" s="255">
        <f t="shared" si="516"/>
        <v>0</v>
      </c>
      <c r="BH937" s="31">
        <f t="shared" si="517"/>
        <v>0</v>
      </c>
      <c r="BI937" s="255">
        <f t="shared" si="518"/>
        <v>0</v>
      </c>
      <c r="BJ937" s="31">
        <f t="shared" si="519"/>
        <v>0</v>
      </c>
      <c r="BK937" s="31">
        <f t="shared" si="520"/>
        <v>0</v>
      </c>
      <c r="BL937" s="255">
        <f t="shared" si="521"/>
        <v>0</v>
      </c>
      <c r="BM937" s="31">
        <f t="shared" si="522"/>
        <v>0</v>
      </c>
      <c r="BN937" s="255">
        <f t="shared" si="523"/>
        <v>0</v>
      </c>
    </row>
    <row r="938" spans="1:66" x14ac:dyDescent="0.25">
      <c r="A938" s="18" t="s">
        <v>1912</v>
      </c>
      <c r="B938" s="186" t="str">
        <f>VLOOKUP(A938,kurspris!$A$1:$B$877,2,FALSE)</f>
        <v>Ämnesdidaktik (UK)</v>
      </c>
      <c r="C938" s="37"/>
      <c r="D938" s="31" t="s">
        <v>630</v>
      </c>
      <c r="E938" s="31" t="s">
        <v>1931</v>
      </c>
      <c r="F938" s="59" t="s">
        <v>1931</v>
      </c>
      <c r="G938" s="31" t="s">
        <v>2296</v>
      </c>
      <c r="J938" t="s">
        <v>2302</v>
      </c>
      <c r="L938" s="295">
        <v>150</v>
      </c>
      <c r="M938" s="31">
        <v>7.5</v>
      </c>
      <c r="P938" s="31">
        <v>18</v>
      </c>
      <c r="Q938" s="232">
        <f t="shared" si="496"/>
        <v>2.25</v>
      </c>
      <c r="R938" s="40">
        <v>0.85</v>
      </c>
      <c r="S938" s="334">
        <f t="shared" si="497"/>
        <v>1.9124999999999999</v>
      </c>
      <c r="T938" s="31">
        <f>VLOOKUP(A938,'Ansvar kurs'!$A$1:$C$1010,2,FALSE)</f>
        <v>5740</v>
      </c>
      <c r="U938" s="31" t="str">
        <f>VLOOKUP(T938,Orgenheter!$A$1:$C$165,2,FALSE)</f>
        <v>NMD</v>
      </c>
      <c r="V938" s="31" t="str">
        <f>VLOOKUP(T938,Orgenheter!$A$1:$C$165,3,FALSE)</f>
        <v>TekNat</v>
      </c>
      <c r="W938" s="37" t="str">
        <f>VLOOKUP(D938,Program!$A$1:$B$34,2,FALSE)</f>
        <v>KPU - Gy</v>
      </c>
      <c r="X938" s="42">
        <f>VLOOKUP(A938,kurspris!$A$1:$Q$798,15,FALSE)</f>
        <v>23641</v>
      </c>
      <c r="Y938" s="42">
        <f>VLOOKUP(A938,kurspris!$A$1:$Q$798,16,FALSE)</f>
        <v>28786</v>
      </c>
      <c r="Z938" s="42">
        <f t="shared" si="498"/>
        <v>108245.47500000001</v>
      </c>
      <c r="AA938" s="42">
        <f>VLOOKUP(A938,kurspris!$A$1:$Q$798,17,FALSE)</f>
        <v>5800</v>
      </c>
      <c r="AB938" s="42">
        <f t="shared" si="499"/>
        <v>13050</v>
      </c>
      <c r="AC938" s="42">
        <f t="shared" si="500"/>
        <v>121295.47500000001</v>
      </c>
      <c r="AD938" s="31">
        <f>VLOOKUP($A938,kurspris!$A$1:$Q$835,3,FALSE)</f>
        <v>0</v>
      </c>
      <c r="AE938" s="31">
        <f>VLOOKUP($A938,kurspris!$A$1:$Q$835,4,FALSE)</f>
        <v>0</v>
      </c>
      <c r="AF938" s="31">
        <f>VLOOKUP($A938,kurspris!$A$1:$Q$835,5,FALSE)</f>
        <v>0</v>
      </c>
      <c r="AG938" s="31">
        <f>VLOOKUP($A938,kurspris!$A$1:$Q$835,6,FALSE)</f>
        <v>1</v>
      </c>
      <c r="AH938" s="31">
        <f>VLOOKUP($A938,kurspris!$A$1:$Q$835,7,FALSE)</f>
        <v>0</v>
      </c>
      <c r="AI938" s="31">
        <f>VLOOKUP($A938,kurspris!$A$1:$Q$835,8,FALSE)</f>
        <v>0</v>
      </c>
      <c r="AJ938" s="31">
        <f>VLOOKUP($A938,kurspris!$A$1:$Q$835,9,FALSE)</f>
        <v>0</v>
      </c>
      <c r="AK938" s="31">
        <f>VLOOKUP($A938,kurspris!$A$1:$Q$835,10,FALSE)</f>
        <v>0</v>
      </c>
      <c r="AL938" s="31">
        <f>VLOOKUP($A938,kurspris!$A$1:$Q$835,11,FALSE)</f>
        <v>0</v>
      </c>
      <c r="AM938" s="31">
        <f>VLOOKUP($A938,kurspris!$A$1:$Q$835,12,FALSE)</f>
        <v>0</v>
      </c>
      <c r="AN938" s="31">
        <f>VLOOKUP($A938,kurspris!$A$1:$Q$835,13,FALSE)</f>
        <v>0</v>
      </c>
      <c r="AO938" s="31">
        <f>VLOOKUP($A938,kurspris!$A$1:$Q$835,14,FALSE)</f>
        <v>0</v>
      </c>
      <c r="AP938" s="39" t="s">
        <v>2326</v>
      </c>
      <c r="AQ938"/>
      <c r="AR938" s="31">
        <f t="shared" si="501"/>
        <v>0</v>
      </c>
      <c r="AS938" s="255">
        <f t="shared" si="502"/>
        <v>0</v>
      </c>
      <c r="AT938" s="31">
        <f t="shared" si="503"/>
        <v>0</v>
      </c>
      <c r="AU938" s="255">
        <f t="shared" si="504"/>
        <v>0</v>
      </c>
      <c r="AV938" s="31">
        <f t="shared" si="505"/>
        <v>0</v>
      </c>
      <c r="AW938" s="31">
        <f t="shared" si="506"/>
        <v>0</v>
      </c>
      <c r="AX938" s="31">
        <f t="shared" si="507"/>
        <v>2.25</v>
      </c>
      <c r="AY938" s="255">
        <f t="shared" si="508"/>
        <v>1.9124999999999999</v>
      </c>
      <c r="AZ938" s="232">
        <f t="shared" si="509"/>
        <v>0</v>
      </c>
      <c r="BA938" s="255">
        <f t="shared" si="510"/>
        <v>0</v>
      </c>
      <c r="BB938" s="31">
        <f t="shared" si="511"/>
        <v>0</v>
      </c>
      <c r="BC938" s="255">
        <f t="shared" si="512"/>
        <v>0</v>
      </c>
      <c r="BD938" s="31">
        <f t="shared" si="513"/>
        <v>0</v>
      </c>
      <c r="BE938" s="255">
        <f t="shared" si="514"/>
        <v>0</v>
      </c>
      <c r="BF938" s="31">
        <f t="shared" si="515"/>
        <v>0</v>
      </c>
      <c r="BG938" s="255">
        <f t="shared" si="516"/>
        <v>0</v>
      </c>
      <c r="BH938" s="31">
        <f t="shared" si="517"/>
        <v>0</v>
      </c>
      <c r="BI938" s="255">
        <f t="shared" si="518"/>
        <v>0</v>
      </c>
      <c r="BJ938" s="31">
        <f t="shared" si="519"/>
        <v>0</v>
      </c>
      <c r="BK938" s="31">
        <f t="shared" si="520"/>
        <v>0</v>
      </c>
      <c r="BL938" s="255">
        <f t="shared" si="521"/>
        <v>0</v>
      </c>
      <c r="BM938" s="31">
        <f t="shared" si="522"/>
        <v>0</v>
      </c>
      <c r="BN938" s="255">
        <f t="shared" si="523"/>
        <v>0</v>
      </c>
    </row>
    <row r="939" spans="1:66" x14ac:dyDescent="0.25">
      <c r="A939" s="59" t="s">
        <v>1912</v>
      </c>
      <c r="B939" s="186" t="str">
        <f>VLOOKUP(A939,kurspris!$A$1:$B$877,2,FALSE)</f>
        <v>Ämnesdidaktik (UK)</v>
      </c>
      <c r="D939" s="59" t="s">
        <v>630</v>
      </c>
      <c r="E939" s="62" t="s">
        <v>1931</v>
      </c>
      <c r="F939" s="59" t="s">
        <v>1931</v>
      </c>
      <c r="G939" s="31" t="s">
        <v>2296</v>
      </c>
      <c r="I939" s="62"/>
      <c r="J939" t="s">
        <v>2309</v>
      </c>
      <c r="L939" s="295">
        <v>150</v>
      </c>
      <c r="M939" s="378">
        <v>7.5</v>
      </c>
      <c r="P939" s="377">
        <v>2</v>
      </c>
      <c r="Q939" s="232">
        <f t="shared" si="496"/>
        <v>0.25</v>
      </c>
      <c r="R939" s="40">
        <v>0.85</v>
      </c>
      <c r="S939" s="334">
        <f t="shared" si="497"/>
        <v>0.21249999999999999</v>
      </c>
      <c r="T939" s="31">
        <f>VLOOKUP(A939,'Ansvar kurs'!$A$1:$C$1010,2,FALSE)</f>
        <v>5740</v>
      </c>
      <c r="U939" s="31" t="str">
        <f>VLOOKUP(T939,Orgenheter!$A$1:$C$165,2,FALSE)</f>
        <v>NMD</v>
      </c>
      <c r="V939" s="31" t="str">
        <f>VLOOKUP(T939,Orgenheter!$A$1:$C$165,3,FALSE)</f>
        <v>TekNat</v>
      </c>
      <c r="W939" s="37" t="str">
        <f>VLOOKUP(D939,Program!$A$1:$B$34,2,FALSE)</f>
        <v>KPU - Gy</v>
      </c>
      <c r="X939" s="42">
        <f>VLOOKUP(A939,kurspris!$A$1:$Q$798,15,FALSE)</f>
        <v>23641</v>
      </c>
      <c r="Y939" s="42">
        <f>VLOOKUP(A939,kurspris!$A$1:$Q$798,16,FALSE)</f>
        <v>28786</v>
      </c>
      <c r="Z939" s="42">
        <f t="shared" si="498"/>
        <v>12027.275</v>
      </c>
      <c r="AA939" s="42">
        <f>VLOOKUP(A939,kurspris!$A$1:$Q$798,17,FALSE)</f>
        <v>5800</v>
      </c>
      <c r="AB939" s="42">
        <f t="shared" si="499"/>
        <v>1450</v>
      </c>
      <c r="AC939" s="42">
        <f t="shared" si="500"/>
        <v>13477.275</v>
      </c>
      <c r="AD939" s="31">
        <f>VLOOKUP($A939,kurspris!$A$1:$Q$835,3,FALSE)</f>
        <v>0</v>
      </c>
      <c r="AE939" s="31">
        <f>VLOOKUP($A939,kurspris!$A$1:$Q$835,4,FALSE)</f>
        <v>0</v>
      </c>
      <c r="AF939" s="31">
        <f>VLOOKUP($A939,kurspris!$A$1:$Q$835,5,FALSE)</f>
        <v>0</v>
      </c>
      <c r="AG939" s="31">
        <f>VLOOKUP($A939,kurspris!$A$1:$Q$835,6,FALSE)</f>
        <v>1</v>
      </c>
      <c r="AH939" s="31">
        <f>VLOOKUP($A939,kurspris!$A$1:$Q$835,7,FALSE)</f>
        <v>0</v>
      </c>
      <c r="AI939" s="31">
        <f>VLOOKUP($A939,kurspris!$A$1:$Q$835,8,FALSE)</f>
        <v>0</v>
      </c>
      <c r="AJ939" s="31">
        <f>VLOOKUP($A939,kurspris!$A$1:$Q$835,9,FALSE)</f>
        <v>0</v>
      </c>
      <c r="AK939" s="31">
        <f>VLOOKUP($A939,kurspris!$A$1:$Q$835,10,FALSE)</f>
        <v>0</v>
      </c>
      <c r="AL939" s="31">
        <f>VLOOKUP($A939,kurspris!$A$1:$Q$835,11,FALSE)</f>
        <v>0</v>
      </c>
      <c r="AM939" s="31">
        <f>VLOOKUP($A939,kurspris!$A$1:$Q$835,12,FALSE)</f>
        <v>0</v>
      </c>
      <c r="AN939" s="31">
        <f>VLOOKUP($A939,kurspris!$A$1:$Q$835,13,FALSE)</f>
        <v>0</v>
      </c>
      <c r="AO939" s="31">
        <f>VLOOKUP($A939,kurspris!$A$1:$Q$835,14,FALSE)</f>
        <v>0</v>
      </c>
      <c r="AP939" s="39" t="s">
        <v>2326</v>
      </c>
      <c r="AQ939"/>
      <c r="AR939" s="31">
        <f t="shared" si="501"/>
        <v>0</v>
      </c>
      <c r="AS939" s="255">
        <f t="shared" si="502"/>
        <v>0</v>
      </c>
      <c r="AT939" s="31">
        <f t="shared" si="503"/>
        <v>0</v>
      </c>
      <c r="AU939" s="255">
        <f t="shared" si="504"/>
        <v>0</v>
      </c>
      <c r="AV939" s="31">
        <f t="shared" si="505"/>
        <v>0</v>
      </c>
      <c r="AW939" s="31">
        <f t="shared" si="506"/>
        <v>0</v>
      </c>
      <c r="AX939" s="31">
        <f t="shared" si="507"/>
        <v>0.25</v>
      </c>
      <c r="AY939" s="255">
        <f t="shared" si="508"/>
        <v>0.21249999999999999</v>
      </c>
      <c r="AZ939" s="232">
        <f t="shared" si="509"/>
        <v>0</v>
      </c>
      <c r="BA939" s="255">
        <f t="shared" si="510"/>
        <v>0</v>
      </c>
      <c r="BB939" s="31">
        <f t="shared" si="511"/>
        <v>0</v>
      </c>
      <c r="BC939" s="255">
        <f t="shared" si="512"/>
        <v>0</v>
      </c>
      <c r="BD939" s="31">
        <f t="shared" si="513"/>
        <v>0</v>
      </c>
      <c r="BE939" s="255">
        <f t="shared" si="514"/>
        <v>0</v>
      </c>
      <c r="BF939" s="31">
        <f t="shared" si="515"/>
        <v>0</v>
      </c>
      <c r="BG939" s="255">
        <f t="shared" si="516"/>
        <v>0</v>
      </c>
      <c r="BH939" s="31">
        <f t="shared" si="517"/>
        <v>0</v>
      </c>
      <c r="BI939" s="255">
        <f t="shared" si="518"/>
        <v>0</v>
      </c>
      <c r="BJ939" s="31">
        <f t="shared" si="519"/>
        <v>0</v>
      </c>
      <c r="BK939" s="31">
        <f t="shared" si="520"/>
        <v>0</v>
      </c>
      <c r="BL939" s="255">
        <f t="shared" si="521"/>
        <v>0</v>
      </c>
      <c r="BM939" s="31">
        <f t="shared" si="522"/>
        <v>0</v>
      </c>
      <c r="BN939" s="255">
        <f t="shared" si="523"/>
        <v>0</v>
      </c>
    </row>
    <row r="940" spans="1:66" x14ac:dyDescent="0.25">
      <c r="A940" s="18" t="s">
        <v>1891</v>
      </c>
      <c r="B940" s="186" t="str">
        <f>VLOOKUP(A940,kurspris!$A$1:$B$877,2,FALSE)</f>
        <v>Att vara grundlärare (VFU)</v>
      </c>
      <c r="C940" s="37"/>
      <c r="D940" s="31" t="s">
        <v>485</v>
      </c>
      <c r="E940" s="31" t="s">
        <v>1931</v>
      </c>
      <c r="F940" s="59" t="s">
        <v>1931</v>
      </c>
      <c r="G940" s="31" t="s">
        <v>2280</v>
      </c>
      <c r="L940" s="31">
        <v>100</v>
      </c>
      <c r="M940" s="31">
        <v>1.5</v>
      </c>
      <c r="N940" s="40">
        <v>-0.08</v>
      </c>
      <c r="O940" s="31">
        <v>25</v>
      </c>
      <c r="P940" s="377">
        <f>O940+(O940*N940)</f>
        <v>23</v>
      </c>
      <c r="Q940" s="232">
        <f t="shared" si="496"/>
        <v>0.57500000000000007</v>
      </c>
      <c r="R940" s="40">
        <v>0.85</v>
      </c>
      <c r="S940" s="334">
        <f t="shared" si="497"/>
        <v>0.48875000000000002</v>
      </c>
      <c r="T940" s="31">
        <f>VLOOKUP(A940,'Ansvar kurs'!$A$1:$C$1010,2,FALSE)</f>
        <v>5740</v>
      </c>
      <c r="U940" s="31" t="str">
        <f>VLOOKUP(T940,Orgenheter!$A$1:$C$165,2,FALSE)</f>
        <v>NMD</v>
      </c>
      <c r="V940" s="31" t="str">
        <f>VLOOKUP(T940,Orgenheter!$A$1:$C$165,3,FALSE)</f>
        <v>TekNat</v>
      </c>
      <c r="W940" s="37" t="str">
        <f>VLOOKUP(D940,Program!$A$1:$B$34,2,FALSE)</f>
        <v>Grundlärarprogrammet - fritidshem</v>
      </c>
      <c r="X940" s="42">
        <f>VLOOKUP(A940,kurspris!$A$1:$Q$798,15,FALSE)</f>
        <v>21634</v>
      </c>
      <c r="Y940" s="42">
        <f>VLOOKUP(A940,kurspris!$A$1:$Q$798,16,FALSE)</f>
        <v>26986</v>
      </c>
      <c r="Z940" s="42">
        <f t="shared" si="498"/>
        <v>25628.957500000004</v>
      </c>
      <c r="AA940" s="42">
        <f>VLOOKUP(A940,kurspris!$A$1:$Q$798,17,FALSE)</f>
        <v>3400</v>
      </c>
      <c r="AB940" s="42">
        <f t="shared" si="499"/>
        <v>1955.0000000000002</v>
      </c>
      <c r="AC940" s="42">
        <f t="shared" si="500"/>
        <v>27583.957500000004</v>
      </c>
      <c r="AD940" s="31">
        <f>VLOOKUP($A940,kurspris!$A$1:$Q$835,3,FALSE)</f>
        <v>0</v>
      </c>
      <c r="AE940" s="31">
        <f>VLOOKUP($A940,kurspris!$A$1:$Q$835,4,FALSE)</f>
        <v>0</v>
      </c>
      <c r="AF940" s="31">
        <f>VLOOKUP($A940,kurspris!$A$1:$Q$835,5,FALSE)</f>
        <v>0</v>
      </c>
      <c r="AG940" s="31">
        <f>VLOOKUP($A940,kurspris!$A$1:$Q$835,6,FALSE)</f>
        <v>0</v>
      </c>
      <c r="AH940" s="31">
        <f>VLOOKUP($A940,kurspris!$A$1:$Q$835,7,FALSE)</f>
        <v>0</v>
      </c>
      <c r="AI940" s="31">
        <f>VLOOKUP($A940,kurspris!$A$1:$Q$835,8,FALSE)</f>
        <v>0</v>
      </c>
      <c r="AJ940" s="31">
        <f>VLOOKUP($A940,kurspris!$A$1:$Q$835,9,FALSE)</f>
        <v>0</v>
      </c>
      <c r="AK940" s="31">
        <f>VLOOKUP($A940,kurspris!$A$1:$Q$835,10,FALSE)</f>
        <v>0</v>
      </c>
      <c r="AL940" s="31">
        <f>VLOOKUP($A940,kurspris!$A$1:$Q$835,11,FALSE)</f>
        <v>1</v>
      </c>
      <c r="AM940" s="31">
        <f>VLOOKUP($A940,kurspris!$A$1:$Q$835,12,FALSE)</f>
        <v>0</v>
      </c>
      <c r="AN940" s="31">
        <f>VLOOKUP($A940,kurspris!$A$1:$Q$835,13,FALSE)</f>
        <v>0</v>
      </c>
      <c r="AO940" s="31">
        <f>VLOOKUP($A940,kurspris!$A$1:$Q$835,14,FALSE)</f>
        <v>0</v>
      </c>
      <c r="AP940" s="39" t="s">
        <v>1631</v>
      </c>
      <c r="AQ940"/>
      <c r="AR940" s="31">
        <f t="shared" si="501"/>
        <v>0</v>
      </c>
      <c r="AS940" s="255">
        <f t="shared" si="502"/>
        <v>0</v>
      </c>
      <c r="AT940" s="31">
        <f t="shared" si="503"/>
        <v>0</v>
      </c>
      <c r="AU940" s="255">
        <f t="shared" si="504"/>
        <v>0</v>
      </c>
      <c r="AV940" s="31">
        <f t="shared" si="505"/>
        <v>0</v>
      </c>
      <c r="AW940" s="31">
        <f t="shared" si="506"/>
        <v>0</v>
      </c>
      <c r="AX940" s="31">
        <f t="shared" si="507"/>
        <v>0</v>
      </c>
      <c r="AY940" s="255">
        <f t="shared" si="508"/>
        <v>0</v>
      </c>
      <c r="AZ940" s="232">
        <f t="shared" si="509"/>
        <v>0</v>
      </c>
      <c r="BA940" s="255">
        <f t="shared" si="510"/>
        <v>0</v>
      </c>
      <c r="BB940" s="31">
        <f t="shared" si="511"/>
        <v>0</v>
      </c>
      <c r="BC940" s="255">
        <f t="shared" si="512"/>
        <v>0</v>
      </c>
      <c r="BD940" s="31">
        <f t="shared" si="513"/>
        <v>0</v>
      </c>
      <c r="BE940" s="255">
        <f t="shared" si="514"/>
        <v>0</v>
      </c>
      <c r="BF940" s="31">
        <f t="shared" si="515"/>
        <v>0</v>
      </c>
      <c r="BG940" s="255">
        <f t="shared" si="516"/>
        <v>0</v>
      </c>
      <c r="BH940" s="31">
        <f t="shared" si="517"/>
        <v>0.57500000000000007</v>
      </c>
      <c r="BI940" s="255">
        <f t="shared" si="518"/>
        <v>0.48875000000000002</v>
      </c>
      <c r="BJ940" s="31">
        <f t="shared" si="519"/>
        <v>0</v>
      </c>
      <c r="BK940" s="31">
        <f t="shared" si="520"/>
        <v>0</v>
      </c>
      <c r="BL940" s="255">
        <f t="shared" si="521"/>
        <v>0</v>
      </c>
      <c r="BM940" s="31">
        <f t="shared" si="522"/>
        <v>0</v>
      </c>
      <c r="BN940" s="255">
        <f t="shared" si="523"/>
        <v>0</v>
      </c>
    </row>
    <row r="941" spans="1:66" x14ac:dyDescent="0.25">
      <c r="A941" s="18" t="s">
        <v>1891</v>
      </c>
      <c r="B941" s="186" t="str">
        <f>VLOOKUP(A941,kurspris!$A$1:$B$877,2,FALSE)</f>
        <v>Att vara grundlärare (VFU)</v>
      </c>
      <c r="C941" s="37"/>
      <c r="D941" s="31" t="s">
        <v>486</v>
      </c>
      <c r="E941" s="31" t="s">
        <v>1975</v>
      </c>
      <c r="F941" s="59" t="s">
        <v>1931</v>
      </c>
      <c r="G941" s="31" t="s">
        <v>2280</v>
      </c>
      <c r="L941" s="31">
        <v>100</v>
      </c>
      <c r="M941" s="31">
        <v>1.5</v>
      </c>
      <c r="P941" s="31">
        <v>1</v>
      </c>
      <c r="Q941" s="232">
        <f t="shared" si="496"/>
        <v>2.5000000000000001E-2</v>
      </c>
      <c r="R941" s="40">
        <v>0.85</v>
      </c>
      <c r="S941" s="334">
        <f t="shared" si="497"/>
        <v>2.1250000000000002E-2</v>
      </c>
      <c r="T941" s="31">
        <f>VLOOKUP(A941,'Ansvar kurs'!$A$1:$C$1010,2,FALSE)</f>
        <v>5740</v>
      </c>
      <c r="U941" s="31" t="str">
        <f>VLOOKUP(T941,Orgenheter!$A$1:$C$165,2,FALSE)</f>
        <v>NMD</v>
      </c>
      <c r="V941" s="31" t="str">
        <f>VLOOKUP(T941,Orgenheter!$A$1:$C$165,3,FALSE)</f>
        <v>TekNat</v>
      </c>
      <c r="W941" s="37" t="str">
        <f>VLOOKUP(D941,Program!$A$1:$B$34,2,FALSE)</f>
        <v>Grundlärarprogrammet - förskoleklass och åk 1-3</v>
      </c>
      <c r="X941" s="42">
        <f>VLOOKUP(A941,kurspris!$A$1:$Q$798,15,FALSE)</f>
        <v>21634</v>
      </c>
      <c r="Y941" s="42">
        <f>VLOOKUP(A941,kurspris!$A$1:$Q$798,16,FALSE)</f>
        <v>26986</v>
      </c>
      <c r="Z941" s="42">
        <f t="shared" si="498"/>
        <v>1114.3025</v>
      </c>
      <c r="AA941" s="42">
        <f>VLOOKUP(A941,kurspris!$A$1:$Q$798,17,FALSE)</f>
        <v>3400</v>
      </c>
      <c r="AB941" s="42">
        <f t="shared" si="499"/>
        <v>85</v>
      </c>
      <c r="AC941" s="42">
        <f t="shared" si="500"/>
        <v>1199.3025</v>
      </c>
      <c r="AD941" s="31">
        <f>VLOOKUP($A941,kurspris!$A$1:$Q$835,3,FALSE)</f>
        <v>0</v>
      </c>
      <c r="AE941" s="31">
        <f>VLOOKUP($A941,kurspris!$A$1:$Q$835,4,FALSE)</f>
        <v>0</v>
      </c>
      <c r="AF941" s="31">
        <f>VLOOKUP($A941,kurspris!$A$1:$Q$835,5,FALSE)</f>
        <v>0</v>
      </c>
      <c r="AG941" s="31">
        <f>VLOOKUP($A941,kurspris!$A$1:$Q$835,6,FALSE)</f>
        <v>0</v>
      </c>
      <c r="AH941" s="31">
        <f>VLOOKUP($A941,kurspris!$A$1:$Q$835,7,FALSE)</f>
        <v>0</v>
      </c>
      <c r="AI941" s="31">
        <f>VLOOKUP($A941,kurspris!$A$1:$Q$835,8,FALSE)</f>
        <v>0</v>
      </c>
      <c r="AJ941" s="31">
        <f>VLOOKUP($A941,kurspris!$A$1:$Q$835,9,FALSE)</f>
        <v>0</v>
      </c>
      <c r="AK941" s="31">
        <f>VLOOKUP($A941,kurspris!$A$1:$Q$835,10,FALSE)</f>
        <v>0</v>
      </c>
      <c r="AL941" s="31">
        <f>VLOOKUP($A941,kurspris!$A$1:$Q$835,11,FALSE)</f>
        <v>1</v>
      </c>
      <c r="AM941" s="31">
        <f>VLOOKUP($A941,kurspris!$A$1:$Q$835,12,FALSE)</f>
        <v>0</v>
      </c>
      <c r="AN941" s="31">
        <f>VLOOKUP($A941,kurspris!$A$1:$Q$835,13,FALSE)</f>
        <v>0</v>
      </c>
      <c r="AO941" s="31">
        <f>VLOOKUP($A941,kurspris!$A$1:$Q$835,14,FALSE)</f>
        <v>0</v>
      </c>
      <c r="AP941" s="39" t="s">
        <v>2326</v>
      </c>
      <c r="AQ941"/>
      <c r="AR941" s="31">
        <f t="shared" si="501"/>
        <v>0</v>
      </c>
      <c r="AS941" s="255">
        <f t="shared" si="502"/>
        <v>0</v>
      </c>
      <c r="AT941" s="31">
        <f t="shared" si="503"/>
        <v>0</v>
      </c>
      <c r="AU941" s="255">
        <f t="shared" si="504"/>
        <v>0</v>
      </c>
      <c r="AV941" s="31">
        <f t="shared" si="505"/>
        <v>0</v>
      </c>
      <c r="AW941" s="31">
        <f t="shared" si="506"/>
        <v>0</v>
      </c>
      <c r="AX941" s="31">
        <f t="shared" si="507"/>
        <v>0</v>
      </c>
      <c r="AY941" s="255">
        <f t="shared" si="508"/>
        <v>0</v>
      </c>
      <c r="AZ941" s="232">
        <f t="shared" si="509"/>
        <v>0</v>
      </c>
      <c r="BA941" s="255">
        <f t="shared" si="510"/>
        <v>0</v>
      </c>
      <c r="BB941" s="31">
        <f t="shared" si="511"/>
        <v>0</v>
      </c>
      <c r="BC941" s="255">
        <f t="shared" si="512"/>
        <v>0</v>
      </c>
      <c r="BD941" s="31">
        <f t="shared" si="513"/>
        <v>0</v>
      </c>
      <c r="BE941" s="255">
        <f t="shared" si="514"/>
        <v>0</v>
      </c>
      <c r="BF941" s="31">
        <f t="shared" si="515"/>
        <v>0</v>
      </c>
      <c r="BG941" s="255">
        <f t="shared" si="516"/>
        <v>0</v>
      </c>
      <c r="BH941" s="31">
        <f t="shared" si="517"/>
        <v>2.5000000000000001E-2</v>
      </c>
      <c r="BI941" s="255">
        <f t="shared" si="518"/>
        <v>2.1250000000000002E-2</v>
      </c>
      <c r="BJ941" s="31">
        <f t="shared" si="519"/>
        <v>0</v>
      </c>
      <c r="BK941" s="31">
        <f t="shared" si="520"/>
        <v>0</v>
      </c>
      <c r="BL941" s="255">
        <f t="shared" si="521"/>
        <v>0</v>
      </c>
      <c r="BM941" s="31">
        <f t="shared" si="522"/>
        <v>0</v>
      </c>
      <c r="BN941" s="255">
        <f t="shared" si="523"/>
        <v>0</v>
      </c>
    </row>
    <row r="942" spans="1:66" x14ac:dyDescent="0.25">
      <c r="A942" s="18" t="s">
        <v>1891</v>
      </c>
      <c r="B942" s="186" t="str">
        <f>VLOOKUP(A942,kurspris!$A$1:$B$877,2,FALSE)</f>
        <v>Att vara grundlärare (VFU)</v>
      </c>
      <c r="C942" s="37"/>
      <c r="D942" s="31" t="s">
        <v>486</v>
      </c>
      <c r="E942" s="31" t="s">
        <v>1788</v>
      </c>
      <c r="F942" s="59" t="s">
        <v>1931</v>
      </c>
      <c r="G942" s="31" t="s">
        <v>2280</v>
      </c>
      <c r="L942" s="31">
        <v>100</v>
      </c>
      <c r="M942" s="31">
        <v>1.5</v>
      </c>
      <c r="P942" s="31">
        <v>1</v>
      </c>
      <c r="Q942" s="232">
        <f t="shared" si="496"/>
        <v>2.5000000000000001E-2</v>
      </c>
      <c r="R942" s="40">
        <v>0.85</v>
      </c>
      <c r="S942" s="334">
        <f t="shared" si="497"/>
        <v>2.1250000000000002E-2</v>
      </c>
      <c r="T942" s="31">
        <f>VLOOKUP(A942,'Ansvar kurs'!$A$1:$C$1010,2,FALSE)</f>
        <v>5740</v>
      </c>
      <c r="U942" s="31" t="str">
        <f>VLOOKUP(T942,Orgenheter!$A$1:$C$165,2,FALSE)</f>
        <v>NMD</v>
      </c>
      <c r="V942" s="31" t="str">
        <f>VLOOKUP(T942,Orgenheter!$A$1:$C$165,3,FALSE)</f>
        <v>TekNat</v>
      </c>
      <c r="W942" s="37" t="str">
        <f>VLOOKUP(D942,Program!$A$1:$B$34,2,FALSE)</f>
        <v>Grundlärarprogrammet - förskoleklass och åk 1-3</v>
      </c>
      <c r="X942" s="42">
        <f>VLOOKUP(A942,kurspris!$A$1:$Q$798,15,FALSE)</f>
        <v>21634</v>
      </c>
      <c r="Y942" s="42">
        <f>VLOOKUP(A942,kurspris!$A$1:$Q$798,16,FALSE)</f>
        <v>26986</v>
      </c>
      <c r="Z942" s="42">
        <f t="shared" si="498"/>
        <v>1114.3025</v>
      </c>
      <c r="AA942" s="42">
        <f>VLOOKUP(A942,kurspris!$A$1:$Q$798,17,FALSE)</f>
        <v>3400</v>
      </c>
      <c r="AB942" s="42">
        <f t="shared" si="499"/>
        <v>85</v>
      </c>
      <c r="AC942" s="42">
        <f t="shared" si="500"/>
        <v>1199.3025</v>
      </c>
      <c r="AD942" s="31">
        <f>VLOOKUP($A942,kurspris!$A$1:$Q$835,3,FALSE)</f>
        <v>0</v>
      </c>
      <c r="AE942" s="31">
        <f>VLOOKUP($A942,kurspris!$A$1:$Q$835,4,FALSE)</f>
        <v>0</v>
      </c>
      <c r="AF942" s="31">
        <f>VLOOKUP($A942,kurspris!$A$1:$Q$835,5,FALSE)</f>
        <v>0</v>
      </c>
      <c r="AG942" s="31">
        <f>VLOOKUP($A942,kurspris!$A$1:$Q$835,6,FALSE)</f>
        <v>0</v>
      </c>
      <c r="AH942" s="31">
        <f>VLOOKUP($A942,kurspris!$A$1:$Q$835,7,FALSE)</f>
        <v>0</v>
      </c>
      <c r="AI942" s="31">
        <f>VLOOKUP($A942,kurspris!$A$1:$Q$835,8,FALSE)</f>
        <v>0</v>
      </c>
      <c r="AJ942" s="31">
        <f>VLOOKUP($A942,kurspris!$A$1:$Q$835,9,FALSE)</f>
        <v>0</v>
      </c>
      <c r="AK942" s="31">
        <f>VLOOKUP($A942,kurspris!$A$1:$Q$835,10,FALSE)</f>
        <v>0</v>
      </c>
      <c r="AL942" s="31">
        <f>VLOOKUP($A942,kurspris!$A$1:$Q$835,11,FALSE)</f>
        <v>1</v>
      </c>
      <c r="AM942" s="31">
        <f>VLOOKUP($A942,kurspris!$A$1:$Q$835,12,FALSE)</f>
        <v>0</v>
      </c>
      <c r="AN942" s="31">
        <f>VLOOKUP($A942,kurspris!$A$1:$Q$835,13,FALSE)</f>
        <v>0</v>
      </c>
      <c r="AO942" s="31">
        <f>VLOOKUP($A942,kurspris!$A$1:$Q$835,14,FALSE)</f>
        <v>0</v>
      </c>
      <c r="AP942" s="39" t="s">
        <v>2326</v>
      </c>
      <c r="AQ942"/>
      <c r="AR942" s="31">
        <f t="shared" si="501"/>
        <v>0</v>
      </c>
      <c r="AS942" s="255">
        <f t="shared" si="502"/>
        <v>0</v>
      </c>
      <c r="AT942" s="31">
        <f t="shared" si="503"/>
        <v>0</v>
      </c>
      <c r="AU942" s="255">
        <f t="shared" si="504"/>
        <v>0</v>
      </c>
      <c r="AV942" s="31">
        <f t="shared" si="505"/>
        <v>0</v>
      </c>
      <c r="AW942" s="31">
        <f t="shared" si="506"/>
        <v>0</v>
      </c>
      <c r="AX942" s="31">
        <f t="shared" si="507"/>
        <v>0</v>
      </c>
      <c r="AY942" s="255">
        <f t="shared" si="508"/>
        <v>0</v>
      </c>
      <c r="AZ942" s="232">
        <f t="shared" si="509"/>
        <v>0</v>
      </c>
      <c r="BA942" s="255">
        <f t="shared" si="510"/>
        <v>0</v>
      </c>
      <c r="BB942" s="31">
        <f t="shared" si="511"/>
        <v>0</v>
      </c>
      <c r="BC942" s="255">
        <f t="shared" si="512"/>
        <v>0</v>
      </c>
      <c r="BD942" s="31">
        <f t="shared" si="513"/>
        <v>0</v>
      </c>
      <c r="BE942" s="255">
        <f t="shared" si="514"/>
        <v>0</v>
      </c>
      <c r="BF942" s="31">
        <f t="shared" si="515"/>
        <v>0</v>
      </c>
      <c r="BG942" s="255">
        <f t="shared" si="516"/>
        <v>0</v>
      </c>
      <c r="BH942" s="31">
        <f t="shared" si="517"/>
        <v>2.5000000000000001E-2</v>
      </c>
      <c r="BI942" s="255">
        <f t="shared" si="518"/>
        <v>2.1250000000000002E-2</v>
      </c>
      <c r="BJ942" s="31">
        <f t="shared" si="519"/>
        <v>0</v>
      </c>
      <c r="BK942" s="31">
        <f t="shared" si="520"/>
        <v>0</v>
      </c>
      <c r="BL942" s="255">
        <f t="shared" si="521"/>
        <v>0</v>
      </c>
      <c r="BM942" s="31">
        <f t="shared" si="522"/>
        <v>0</v>
      </c>
      <c r="BN942" s="255">
        <f t="shared" si="523"/>
        <v>0</v>
      </c>
    </row>
    <row r="943" spans="1:66" x14ac:dyDescent="0.25">
      <c r="A943" s="18" t="s">
        <v>1891</v>
      </c>
      <c r="B943" s="186" t="str">
        <f>VLOOKUP(A943,kurspris!$A$1:$B$877,2,FALSE)</f>
        <v>Att vara grundlärare (VFU)</v>
      </c>
      <c r="C943" s="37"/>
      <c r="D943" s="31" t="s">
        <v>486</v>
      </c>
      <c r="E943" s="31" t="s">
        <v>1931</v>
      </c>
      <c r="F943" s="59" t="s">
        <v>1931</v>
      </c>
      <c r="G943" s="31" t="s">
        <v>2280</v>
      </c>
      <c r="L943" s="31">
        <v>100</v>
      </c>
      <c r="M943" s="31">
        <v>1.5</v>
      </c>
      <c r="N943" s="40">
        <v>-0.05</v>
      </c>
      <c r="O943" s="31">
        <v>51</v>
      </c>
      <c r="P943" s="377">
        <f>O943+(O943*N943)</f>
        <v>48.45</v>
      </c>
      <c r="Q943" s="232">
        <f t="shared" si="496"/>
        <v>1.2112500000000002</v>
      </c>
      <c r="R943" s="40">
        <v>0.85</v>
      </c>
      <c r="S943" s="334">
        <f t="shared" si="497"/>
        <v>1.0295625000000002</v>
      </c>
      <c r="T943" s="31">
        <f>VLOOKUP(A943,'Ansvar kurs'!$A$1:$C$1010,2,FALSE)</f>
        <v>5740</v>
      </c>
      <c r="U943" s="31" t="str">
        <f>VLOOKUP(T943,Orgenheter!$A$1:$C$165,2,FALSE)</f>
        <v>NMD</v>
      </c>
      <c r="V943" s="31" t="str">
        <f>VLOOKUP(T943,Orgenheter!$A$1:$C$165,3,FALSE)</f>
        <v>TekNat</v>
      </c>
      <c r="W943" s="37" t="str">
        <f>VLOOKUP(D943,Program!$A$1:$B$34,2,FALSE)</f>
        <v>Grundlärarprogrammet - förskoleklass och åk 1-3</v>
      </c>
      <c r="X943" s="42">
        <f>VLOOKUP(A943,kurspris!$A$1:$Q$798,15,FALSE)</f>
        <v>21634</v>
      </c>
      <c r="Y943" s="42">
        <f>VLOOKUP(A943,kurspris!$A$1:$Q$798,16,FALSE)</f>
        <v>26986</v>
      </c>
      <c r="Z943" s="42">
        <f t="shared" si="498"/>
        <v>53987.956125000012</v>
      </c>
      <c r="AA943" s="42">
        <f>VLOOKUP(A943,kurspris!$A$1:$Q$798,17,FALSE)</f>
        <v>3400</v>
      </c>
      <c r="AB943" s="42">
        <f t="shared" si="499"/>
        <v>4118.2500000000009</v>
      </c>
      <c r="AC943" s="42">
        <f t="shared" si="500"/>
        <v>58106.206125000012</v>
      </c>
      <c r="AD943" s="31">
        <f>VLOOKUP($A943,kurspris!$A$1:$Q$835,3,FALSE)</f>
        <v>0</v>
      </c>
      <c r="AE943" s="31">
        <f>VLOOKUP($A943,kurspris!$A$1:$Q$835,4,FALSE)</f>
        <v>0</v>
      </c>
      <c r="AF943" s="31">
        <f>VLOOKUP($A943,kurspris!$A$1:$Q$835,5,FALSE)</f>
        <v>0</v>
      </c>
      <c r="AG943" s="31">
        <f>VLOOKUP($A943,kurspris!$A$1:$Q$835,6,FALSE)</f>
        <v>0</v>
      </c>
      <c r="AH943" s="31">
        <f>VLOOKUP($A943,kurspris!$A$1:$Q$835,7,FALSE)</f>
        <v>0</v>
      </c>
      <c r="AI943" s="31">
        <f>VLOOKUP($A943,kurspris!$A$1:$Q$835,8,FALSE)</f>
        <v>0</v>
      </c>
      <c r="AJ943" s="31">
        <f>VLOOKUP($A943,kurspris!$A$1:$Q$835,9,FALSE)</f>
        <v>0</v>
      </c>
      <c r="AK943" s="31">
        <f>VLOOKUP($A943,kurspris!$A$1:$Q$835,10,FALSE)</f>
        <v>0</v>
      </c>
      <c r="AL943" s="31">
        <f>VLOOKUP($A943,kurspris!$A$1:$Q$835,11,FALSE)</f>
        <v>1</v>
      </c>
      <c r="AM943" s="31">
        <f>VLOOKUP($A943,kurspris!$A$1:$Q$835,12,FALSE)</f>
        <v>0</v>
      </c>
      <c r="AN943" s="31">
        <f>VLOOKUP($A943,kurspris!$A$1:$Q$835,13,FALSE)</f>
        <v>0</v>
      </c>
      <c r="AO943" s="31">
        <f>VLOOKUP($A943,kurspris!$A$1:$Q$835,14,FALSE)</f>
        <v>0</v>
      </c>
      <c r="AP943" s="39" t="s">
        <v>1631</v>
      </c>
      <c r="AQ943"/>
      <c r="AR943" s="31">
        <f t="shared" si="501"/>
        <v>0</v>
      </c>
      <c r="AS943" s="255">
        <f t="shared" si="502"/>
        <v>0</v>
      </c>
      <c r="AT943" s="31">
        <f t="shared" si="503"/>
        <v>0</v>
      </c>
      <c r="AU943" s="255">
        <f t="shared" si="504"/>
        <v>0</v>
      </c>
      <c r="AV943" s="31">
        <f t="shared" si="505"/>
        <v>0</v>
      </c>
      <c r="AW943" s="31">
        <f t="shared" si="506"/>
        <v>0</v>
      </c>
      <c r="AX943" s="31">
        <f t="shared" si="507"/>
        <v>0</v>
      </c>
      <c r="AY943" s="255">
        <f t="shared" si="508"/>
        <v>0</v>
      </c>
      <c r="AZ943" s="232">
        <f t="shared" si="509"/>
        <v>0</v>
      </c>
      <c r="BA943" s="255">
        <f t="shared" si="510"/>
        <v>0</v>
      </c>
      <c r="BB943" s="31">
        <f t="shared" si="511"/>
        <v>0</v>
      </c>
      <c r="BC943" s="255">
        <f t="shared" si="512"/>
        <v>0</v>
      </c>
      <c r="BD943" s="31">
        <f t="shared" si="513"/>
        <v>0</v>
      </c>
      <c r="BE943" s="255">
        <f t="shared" si="514"/>
        <v>0</v>
      </c>
      <c r="BF943" s="31">
        <f t="shared" si="515"/>
        <v>0</v>
      </c>
      <c r="BG943" s="255">
        <f t="shared" si="516"/>
        <v>0</v>
      </c>
      <c r="BH943" s="31">
        <f t="shared" si="517"/>
        <v>1.2112500000000002</v>
      </c>
      <c r="BI943" s="255">
        <f t="shared" si="518"/>
        <v>1.0295625000000002</v>
      </c>
      <c r="BJ943" s="31">
        <f t="shared" si="519"/>
        <v>0</v>
      </c>
      <c r="BK943" s="31">
        <f t="shared" si="520"/>
        <v>0</v>
      </c>
      <c r="BL943" s="255">
        <f t="shared" si="521"/>
        <v>0</v>
      </c>
      <c r="BM943" s="31">
        <f t="shared" si="522"/>
        <v>0</v>
      </c>
      <c r="BN943" s="255">
        <f t="shared" si="523"/>
        <v>0</v>
      </c>
    </row>
    <row r="944" spans="1:66" x14ac:dyDescent="0.25">
      <c r="A944" s="18" t="s">
        <v>1891</v>
      </c>
      <c r="B944" s="186" t="str">
        <f>VLOOKUP(A944,kurspris!$A$1:$B$877,2,FALSE)</f>
        <v>Att vara grundlärare (VFU)</v>
      </c>
      <c r="C944" s="37"/>
      <c r="D944" s="31" t="s">
        <v>486</v>
      </c>
      <c r="E944" s="31" t="s">
        <v>1787</v>
      </c>
      <c r="F944" s="59" t="s">
        <v>1931</v>
      </c>
      <c r="G944" s="31" t="s">
        <v>2280</v>
      </c>
      <c r="L944" s="31">
        <v>100</v>
      </c>
      <c r="M944" s="31">
        <v>1.5</v>
      </c>
      <c r="P944" s="31">
        <v>1</v>
      </c>
      <c r="Q944" s="232">
        <f t="shared" si="496"/>
        <v>2.5000000000000001E-2</v>
      </c>
      <c r="R944" s="40">
        <v>0.85</v>
      </c>
      <c r="S944" s="334">
        <f t="shared" si="497"/>
        <v>2.1250000000000002E-2</v>
      </c>
      <c r="T944" s="31">
        <f>VLOOKUP(A944,'Ansvar kurs'!$A$1:$C$1010,2,FALSE)</f>
        <v>5740</v>
      </c>
      <c r="U944" s="31" t="str">
        <f>VLOOKUP(T944,Orgenheter!$A$1:$C$165,2,FALSE)</f>
        <v>NMD</v>
      </c>
      <c r="V944" s="31" t="str">
        <f>VLOOKUP(T944,Orgenheter!$A$1:$C$165,3,FALSE)</f>
        <v>TekNat</v>
      </c>
      <c r="W944" s="37" t="str">
        <f>VLOOKUP(D944,Program!$A$1:$B$34,2,FALSE)</f>
        <v>Grundlärarprogrammet - förskoleklass och åk 1-3</v>
      </c>
      <c r="X944" s="42">
        <f>VLOOKUP(A944,kurspris!$A$1:$Q$798,15,FALSE)</f>
        <v>21634</v>
      </c>
      <c r="Y944" s="42">
        <f>VLOOKUP(A944,kurspris!$A$1:$Q$798,16,FALSE)</f>
        <v>26986</v>
      </c>
      <c r="Z944" s="42">
        <f t="shared" si="498"/>
        <v>1114.3025</v>
      </c>
      <c r="AA944" s="42">
        <f>VLOOKUP(A944,kurspris!$A$1:$Q$798,17,FALSE)</f>
        <v>3400</v>
      </c>
      <c r="AB944" s="42">
        <f t="shared" si="499"/>
        <v>85</v>
      </c>
      <c r="AC944" s="42">
        <f t="shared" si="500"/>
        <v>1199.3025</v>
      </c>
      <c r="AD944" s="31">
        <f>VLOOKUP($A944,kurspris!$A$1:$Q$835,3,FALSE)</f>
        <v>0</v>
      </c>
      <c r="AE944" s="31">
        <f>VLOOKUP($A944,kurspris!$A$1:$Q$835,4,FALSE)</f>
        <v>0</v>
      </c>
      <c r="AF944" s="31">
        <f>VLOOKUP($A944,kurspris!$A$1:$Q$835,5,FALSE)</f>
        <v>0</v>
      </c>
      <c r="AG944" s="31">
        <f>VLOOKUP($A944,kurspris!$A$1:$Q$835,6,FALSE)</f>
        <v>0</v>
      </c>
      <c r="AH944" s="31">
        <f>VLOOKUP($A944,kurspris!$A$1:$Q$835,7,FALSE)</f>
        <v>0</v>
      </c>
      <c r="AI944" s="31">
        <f>VLOOKUP($A944,kurspris!$A$1:$Q$835,8,FALSE)</f>
        <v>0</v>
      </c>
      <c r="AJ944" s="31">
        <f>VLOOKUP($A944,kurspris!$A$1:$Q$835,9,FALSE)</f>
        <v>0</v>
      </c>
      <c r="AK944" s="31">
        <f>VLOOKUP($A944,kurspris!$A$1:$Q$835,10,FALSE)</f>
        <v>0</v>
      </c>
      <c r="AL944" s="31">
        <f>VLOOKUP($A944,kurspris!$A$1:$Q$835,11,FALSE)</f>
        <v>1</v>
      </c>
      <c r="AM944" s="31">
        <f>VLOOKUP($A944,kurspris!$A$1:$Q$835,12,FALSE)</f>
        <v>0</v>
      </c>
      <c r="AN944" s="31">
        <f>VLOOKUP($A944,kurspris!$A$1:$Q$835,13,FALSE)</f>
        <v>0</v>
      </c>
      <c r="AO944" s="31">
        <f>VLOOKUP($A944,kurspris!$A$1:$Q$835,14,FALSE)</f>
        <v>0</v>
      </c>
      <c r="AP944" s="39" t="s">
        <v>2326</v>
      </c>
      <c r="AQ944"/>
      <c r="AR944" s="31">
        <f t="shared" si="501"/>
        <v>0</v>
      </c>
      <c r="AS944" s="255">
        <f t="shared" si="502"/>
        <v>0</v>
      </c>
      <c r="AT944" s="31">
        <f t="shared" si="503"/>
        <v>0</v>
      </c>
      <c r="AU944" s="255">
        <f t="shared" si="504"/>
        <v>0</v>
      </c>
      <c r="AV944" s="31">
        <f t="shared" si="505"/>
        <v>0</v>
      </c>
      <c r="AW944" s="31">
        <f t="shared" si="506"/>
        <v>0</v>
      </c>
      <c r="AX944" s="31">
        <f t="shared" si="507"/>
        <v>0</v>
      </c>
      <c r="AY944" s="255">
        <f t="shared" si="508"/>
        <v>0</v>
      </c>
      <c r="AZ944" s="232">
        <f t="shared" si="509"/>
        <v>0</v>
      </c>
      <c r="BA944" s="255">
        <f t="shared" si="510"/>
        <v>0</v>
      </c>
      <c r="BB944" s="31">
        <f t="shared" si="511"/>
        <v>0</v>
      </c>
      <c r="BC944" s="255">
        <f t="shared" si="512"/>
        <v>0</v>
      </c>
      <c r="BD944" s="31">
        <f t="shared" si="513"/>
        <v>0</v>
      </c>
      <c r="BE944" s="255">
        <f t="shared" si="514"/>
        <v>0</v>
      </c>
      <c r="BF944" s="31">
        <f t="shared" si="515"/>
        <v>0</v>
      </c>
      <c r="BG944" s="255">
        <f t="shared" si="516"/>
        <v>0</v>
      </c>
      <c r="BH944" s="31">
        <f t="shared" si="517"/>
        <v>2.5000000000000001E-2</v>
      </c>
      <c r="BI944" s="255">
        <f t="shared" si="518"/>
        <v>2.1250000000000002E-2</v>
      </c>
      <c r="BJ944" s="31">
        <f t="shared" si="519"/>
        <v>0</v>
      </c>
      <c r="BK944" s="31">
        <f t="shared" si="520"/>
        <v>0</v>
      </c>
      <c r="BL944" s="255">
        <f t="shared" si="521"/>
        <v>0</v>
      </c>
      <c r="BM944" s="31">
        <f t="shared" si="522"/>
        <v>0</v>
      </c>
      <c r="BN944" s="255">
        <f t="shared" si="523"/>
        <v>0</v>
      </c>
    </row>
    <row r="945" spans="1:66" x14ac:dyDescent="0.25">
      <c r="A945" s="18" t="s">
        <v>1891</v>
      </c>
      <c r="B945" s="186" t="str">
        <f>VLOOKUP(A945,kurspris!$A$1:$B$877,2,FALSE)</f>
        <v>Att vara grundlärare (VFU)</v>
      </c>
      <c r="C945" s="37"/>
      <c r="D945" s="31" t="s">
        <v>524</v>
      </c>
      <c r="E945" s="31" t="s">
        <v>1931</v>
      </c>
      <c r="F945" s="59" t="s">
        <v>1931</v>
      </c>
      <c r="G945" s="31" t="s">
        <v>2280</v>
      </c>
      <c r="L945" s="31">
        <v>100</v>
      </c>
      <c r="M945" s="31">
        <v>1.5</v>
      </c>
      <c r="N945" s="40">
        <v>-0.05</v>
      </c>
      <c r="O945" s="31">
        <v>35</v>
      </c>
      <c r="P945" s="377">
        <f>O945+(O945*N945)</f>
        <v>33.25</v>
      </c>
      <c r="Q945" s="232">
        <f t="shared" si="496"/>
        <v>0.83125000000000004</v>
      </c>
      <c r="R945" s="40">
        <v>0.85</v>
      </c>
      <c r="S945" s="334">
        <f t="shared" si="497"/>
        <v>0.70656249999999998</v>
      </c>
      <c r="T945" s="31">
        <f>VLOOKUP(A945,'Ansvar kurs'!$A$1:$C$1010,2,FALSE)</f>
        <v>5740</v>
      </c>
      <c r="U945" s="31" t="str">
        <f>VLOOKUP(T945,Orgenheter!$A$1:$C$165,2,FALSE)</f>
        <v>NMD</v>
      </c>
      <c r="V945" s="31" t="str">
        <f>VLOOKUP(T945,Orgenheter!$A$1:$C$165,3,FALSE)</f>
        <v>TekNat</v>
      </c>
      <c r="W945" s="37" t="str">
        <f>VLOOKUP(D945,Program!$A$1:$B$34,2,FALSE)</f>
        <v>Grundlärarprogrammet - grundskolans åk 4-6</v>
      </c>
      <c r="X945" s="42">
        <f>VLOOKUP(A945,kurspris!$A$1:$Q$798,15,FALSE)</f>
        <v>21634</v>
      </c>
      <c r="Y945" s="42">
        <f>VLOOKUP(A945,kurspris!$A$1:$Q$798,16,FALSE)</f>
        <v>26986</v>
      </c>
      <c r="Z945" s="42">
        <f t="shared" si="498"/>
        <v>37050.558124999996</v>
      </c>
      <c r="AA945" s="42">
        <f>VLOOKUP(A945,kurspris!$A$1:$Q$798,17,FALSE)</f>
        <v>3400</v>
      </c>
      <c r="AB945" s="42">
        <f t="shared" si="499"/>
        <v>2826.25</v>
      </c>
      <c r="AC945" s="42">
        <f t="shared" si="500"/>
        <v>39876.808124999996</v>
      </c>
      <c r="AD945" s="31">
        <f>VLOOKUP($A945,kurspris!$A$1:$Q$835,3,FALSE)</f>
        <v>0</v>
      </c>
      <c r="AE945" s="31">
        <f>VLOOKUP($A945,kurspris!$A$1:$Q$835,4,FALSE)</f>
        <v>0</v>
      </c>
      <c r="AF945" s="31">
        <f>VLOOKUP($A945,kurspris!$A$1:$Q$835,5,FALSE)</f>
        <v>0</v>
      </c>
      <c r="AG945" s="31">
        <f>VLOOKUP($A945,kurspris!$A$1:$Q$835,6,FALSE)</f>
        <v>0</v>
      </c>
      <c r="AH945" s="31">
        <f>VLOOKUP($A945,kurspris!$A$1:$Q$835,7,FALSE)</f>
        <v>0</v>
      </c>
      <c r="AI945" s="31">
        <f>VLOOKUP($A945,kurspris!$A$1:$Q$835,8,FALSE)</f>
        <v>0</v>
      </c>
      <c r="AJ945" s="31">
        <f>VLOOKUP($A945,kurspris!$A$1:$Q$835,9,FALSE)</f>
        <v>0</v>
      </c>
      <c r="AK945" s="31">
        <f>VLOOKUP($A945,kurspris!$A$1:$Q$835,10,FALSE)</f>
        <v>0</v>
      </c>
      <c r="AL945" s="31">
        <f>VLOOKUP($A945,kurspris!$A$1:$Q$835,11,FALSE)</f>
        <v>1</v>
      </c>
      <c r="AM945" s="31">
        <f>VLOOKUP($A945,kurspris!$A$1:$Q$835,12,FALSE)</f>
        <v>0</v>
      </c>
      <c r="AN945" s="31">
        <f>VLOOKUP($A945,kurspris!$A$1:$Q$835,13,FALSE)</f>
        <v>0</v>
      </c>
      <c r="AO945" s="31">
        <f>VLOOKUP($A945,kurspris!$A$1:$Q$835,14,FALSE)</f>
        <v>0</v>
      </c>
      <c r="AP945" s="39" t="s">
        <v>1631</v>
      </c>
      <c r="AQ945"/>
      <c r="AR945" s="31">
        <f t="shared" si="501"/>
        <v>0</v>
      </c>
      <c r="AS945" s="255">
        <f t="shared" si="502"/>
        <v>0</v>
      </c>
      <c r="AT945" s="31">
        <f t="shared" si="503"/>
        <v>0</v>
      </c>
      <c r="AU945" s="255">
        <f t="shared" si="504"/>
        <v>0</v>
      </c>
      <c r="AV945" s="31">
        <f t="shared" si="505"/>
        <v>0</v>
      </c>
      <c r="AW945" s="31">
        <f t="shared" si="506"/>
        <v>0</v>
      </c>
      <c r="AX945" s="31">
        <f t="shared" si="507"/>
        <v>0</v>
      </c>
      <c r="AY945" s="255">
        <f t="shared" si="508"/>
        <v>0</v>
      </c>
      <c r="AZ945" s="232">
        <f t="shared" si="509"/>
        <v>0</v>
      </c>
      <c r="BA945" s="255">
        <f t="shared" si="510"/>
        <v>0</v>
      </c>
      <c r="BB945" s="31">
        <f t="shared" si="511"/>
        <v>0</v>
      </c>
      <c r="BC945" s="255">
        <f t="shared" si="512"/>
        <v>0</v>
      </c>
      <c r="BD945" s="31">
        <f t="shared" si="513"/>
        <v>0</v>
      </c>
      <c r="BE945" s="255">
        <f t="shared" si="514"/>
        <v>0</v>
      </c>
      <c r="BF945" s="31">
        <f t="shared" si="515"/>
        <v>0</v>
      </c>
      <c r="BG945" s="255">
        <f t="shared" si="516"/>
        <v>0</v>
      </c>
      <c r="BH945" s="31">
        <f t="shared" si="517"/>
        <v>0.83125000000000004</v>
      </c>
      <c r="BI945" s="255">
        <f t="shared" si="518"/>
        <v>0.70656249999999998</v>
      </c>
      <c r="BJ945" s="31">
        <f t="shared" si="519"/>
        <v>0</v>
      </c>
      <c r="BK945" s="31">
        <f t="shared" si="520"/>
        <v>0</v>
      </c>
      <c r="BL945" s="255">
        <f t="shared" si="521"/>
        <v>0</v>
      </c>
      <c r="BM945" s="31">
        <f t="shared" si="522"/>
        <v>0</v>
      </c>
      <c r="BN945" s="255">
        <f t="shared" si="523"/>
        <v>0</v>
      </c>
    </row>
    <row r="946" spans="1:66" x14ac:dyDescent="0.25">
      <c r="A946" s="18" t="s">
        <v>2123</v>
      </c>
      <c r="B946" s="186" t="str">
        <f>VLOOKUP(A946,kurspris!$A$1:$B$877,2,FALSE)</f>
        <v>Att undervisa i biologi (VFU)</v>
      </c>
      <c r="C946" s="37"/>
      <c r="D946" s="31" t="s">
        <v>483</v>
      </c>
      <c r="E946" s="31" t="s">
        <v>1609</v>
      </c>
      <c r="F946" s="59" t="s">
        <v>1931</v>
      </c>
      <c r="G946" s="31" t="s">
        <v>2272</v>
      </c>
      <c r="J946" t="s">
        <v>1591</v>
      </c>
      <c r="L946" s="31">
        <v>100</v>
      </c>
      <c r="M946" s="31">
        <v>6</v>
      </c>
      <c r="P946" s="31">
        <v>1</v>
      </c>
      <c r="Q946" s="232">
        <f t="shared" si="496"/>
        <v>0.1</v>
      </c>
      <c r="R946" s="40">
        <v>0.85</v>
      </c>
      <c r="S946" s="334">
        <f t="shared" si="497"/>
        <v>8.5000000000000006E-2</v>
      </c>
      <c r="T946" s="31">
        <f>VLOOKUP(A946,'Ansvar kurs'!$A$1:$C$1010,2,FALSE)</f>
        <v>5740</v>
      </c>
      <c r="U946" s="31" t="str">
        <f>VLOOKUP(T946,Orgenheter!$A$1:$C$165,2,FALSE)</f>
        <v>NMD</v>
      </c>
      <c r="V946" s="31" t="str">
        <f>VLOOKUP(T946,Orgenheter!$A$1:$C$165,3,FALSE)</f>
        <v>TekNat</v>
      </c>
      <c r="W946" s="37" t="str">
        <f>VLOOKUP(D946,Program!$A$1:$B$34,2,FALSE)</f>
        <v>Ämneslärarprogrammet - Gy</v>
      </c>
      <c r="X946" s="42">
        <f>VLOOKUP(A946,kurspris!$A$1:$Q$798,15,FALSE)</f>
        <v>21634</v>
      </c>
      <c r="Y946" s="42">
        <f>VLOOKUP(A946,kurspris!$A$1:$Q$798,16,FALSE)</f>
        <v>26986</v>
      </c>
      <c r="Z946" s="42">
        <f t="shared" si="498"/>
        <v>4457.21</v>
      </c>
      <c r="AA946" s="42">
        <f>VLOOKUP(A946,kurspris!$A$1:$Q$798,17,FALSE)</f>
        <v>3400</v>
      </c>
      <c r="AB946" s="42">
        <f t="shared" si="499"/>
        <v>340</v>
      </c>
      <c r="AC946" s="42">
        <f t="shared" si="500"/>
        <v>4797.21</v>
      </c>
      <c r="AD946" s="31">
        <f>VLOOKUP($A946,kurspris!$A$1:$Q$835,3,FALSE)</f>
        <v>0</v>
      </c>
      <c r="AE946" s="31">
        <f>VLOOKUP($A946,kurspris!$A$1:$Q$835,4,FALSE)</f>
        <v>0</v>
      </c>
      <c r="AF946" s="31">
        <f>VLOOKUP($A946,kurspris!$A$1:$Q$835,5,FALSE)</f>
        <v>0</v>
      </c>
      <c r="AG946" s="31">
        <f>VLOOKUP($A946,kurspris!$A$1:$Q$835,6,FALSE)</f>
        <v>0</v>
      </c>
      <c r="AH946" s="31">
        <f>VLOOKUP($A946,kurspris!$A$1:$Q$835,7,FALSE)</f>
        <v>0</v>
      </c>
      <c r="AI946" s="31">
        <f>VLOOKUP($A946,kurspris!$A$1:$Q$835,8,FALSE)</f>
        <v>0</v>
      </c>
      <c r="AJ946" s="31">
        <f>VLOOKUP($A946,kurspris!$A$1:$Q$835,9,FALSE)</f>
        <v>0</v>
      </c>
      <c r="AK946" s="31">
        <f>VLOOKUP($A946,kurspris!$A$1:$Q$835,10,FALSE)</f>
        <v>0</v>
      </c>
      <c r="AL946" s="31">
        <f>VLOOKUP($A946,kurspris!$A$1:$Q$835,11,FALSE)</f>
        <v>1</v>
      </c>
      <c r="AM946" s="31">
        <f>VLOOKUP($A946,kurspris!$A$1:$Q$835,12,FALSE)</f>
        <v>0</v>
      </c>
      <c r="AN946" s="31">
        <f>VLOOKUP($A946,kurspris!$A$1:$Q$835,13,FALSE)</f>
        <v>0</v>
      </c>
      <c r="AO946" s="31">
        <f>VLOOKUP($A946,kurspris!$A$1:$Q$835,14,FALSE)</f>
        <v>0</v>
      </c>
      <c r="AP946" s="39" t="s">
        <v>2326</v>
      </c>
      <c r="AQ946"/>
      <c r="AR946" s="31">
        <f t="shared" si="501"/>
        <v>0</v>
      </c>
      <c r="AS946" s="255">
        <f t="shared" si="502"/>
        <v>0</v>
      </c>
      <c r="AT946" s="31">
        <f t="shared" si="503"/>
        <v>0</v>
      </c>
      <c r="AU946" s="255">
        <f t="shared" si="504"/>
        <v>0</v>
      </c>
      <c r="AV946" s="31">
        <f t="shared" si="505"/>
        <v>0</v>
      </c>
      <c r="AW946" s="31">
        <f t="shared" si="506"/>
        <v>0</v>
      </c>
      <c r="AX946" s="31">
        <f t="shared" si="507"/>
        <v>0</v>
      </c>
      <c r="AY946" s="255">
        <f t="shared" si="508"/>
        <v>0</v>
      </c>
      <c r="AZ946" s="232">
        <f t="shared" si="509"/>
        <v>0</v>
      </c>
      <c r="BA946" s="255">
        <f t="shared" si="510"/>
        <v>0</v>
      </c>
      <c r="BB946" s="31">
        <f t="shared" si="511"/>
        <v>0</v>
      </c>
      <c r="BC946" s="255">
        <f t="shared" si="512"/>
        <v>0</v>
      </c>
      <c r="BD946" s="31">
        <f t="shared" si="513"/>
        <v>0</v>
      </c>
      <c r="BE946" s="255">
        <f t="shared" si="514"/>
        <v>0</v>
      </c>
      <c r="BF946" s="31">
        <f t="shared" si="515"/>
        <v>0</v>
      </c>
      <c r="BG946" s="255">
        <f t="shared" si="516"/>
        <v>0</v>
      </c>
      <c r="BH946" s="31">
        <f t="shared" si="517"/>
        <v>0.1</v>
      </c>
      <c r="BI946" s="255">
        <f t="shared" si="518"/>
        <v>8.5000000000000006E-2</v>
      </c>
      <c r="BJ946" s="31">
        <f t="shared" si="519"/>
        <v>0</v>
      </c>
      <c r="BK946" s="31">
        <f t="shared" si="520"/>
        <v>0</v>
      </c>
      <c r="BL946" s="255">
        <f t="shared" si="521"/>
        <v>0</v>
      </c>
      <c r="BM946" s="31">
        <f t="shared" si="522"/>
        <v>0</v>
      </c>
      <c r="BN946" s="255">
        <f t="shared" si="523"/>
        <v>0</v>
      </c>
    </row>
    <row r="947" spans="1:66" x14ac:dyDescent="0.25">
      <c r="A947" s="18" t="s">
        <v>2123</v>
      </c>
      <c r="B947" s="186" t="str">
        <f>VLOOKUP(A947,kurspris!$A$1:$B$877,2,FALSE)</f>
        <v>Att undervisa i biologi (VFU)</v>
      </c>
      <c r="C947" s="37"/>
      <c r="D947" s="31" t="s">
        <v>483</v>
      </c>
      <c r="E947" s="31" t="s">
        <v>1788</v>
      </c>
      <c r="F947" s="59" t="s">
        <v>1931</v>
      </c>
      <c r="G947" s="31" t="s">
        <v>2272</v>
      </c>
      <c r="J947" t="s">
        <v>1591</v>
      </c>
      <c r="L947" s="31">
        <v>100</v>
      </c>
      <c r="M947" s="31">
        <v>6</v>
      </c>
      <c r="P947" s="31">
        <v>3</v>
      </c>
      <c r="Q947" s="232">
        <f t="shared" si="496"/>
        <v>0.30000000000000004</v>
      </c>
      <c r="R947" s="40">
        <v>0.85</v>
      </c>
      <c r="S947" s="334">
        <f t="shared" si="497"/>
        <v>0.255</v>
      </c>
      <c r="T947" s="31">
        <f>VLOOKUP(A947,'Ansvar kurs'!$A$1:$C$1010,2,FALSE)</f>
        <v>5740</v>
      </c>
      <c r="U947" s="31" t="str">
        <f>VLOOKUP(T947,Orgenheter!$A$1:$C$165,2,FALSE)</f>
        <v>NMD</v>
      </c>
      <c r="V947" s="31" t="str">
        <f>VLOOKUP(T947,Orgenheter!$A$1:$C$165,3,FALSE)</f>
        <v>TekNat</v>
      </c>
      <c r="W947" s="37" t="str">
        <f>VLOOKUP(D947,Program!$A$1:$B$34,2,FALSE)</f>
        <v>Ämneslärarprogrammet - Gy</v>
      </c>
      <c r="X947" s="42">
        <f>VLOOKUP(A947,kurspris!$A$1:$Q$798,15,FALSE)</f>
        <v>21634</v>
      </c>
      <c r="Y947" s="42">
        <f>VLOOKUP(A947,kurspris!$A$1:$Q$798,16,FALSE)</f>
        <v>26986</v>
      </c>
      <c r="Z947" s="42">
        <f t="shared" si="498"/>
        <v>13371.630000000001</v>
      </c>
      <c r="AA947" s="42">
        <f>VLOOKUP(A947,kurspris!$A$1:$Q$798,17,FALSE)</f>
        <v>3400</v>
      </c>
      <c r="AB947" s="42">
        <f t="shared" si="499"/>
        <v>1020.0000000000001</v>
      </c>
      <c r="AC947" s="42">
        <f t="shared" si="500"/>
        <v>14391.630000000001</v>
      </c>
      <c r="AD947" s="31">
        <f>VLOOKUP($A947,kurspris!$A$1:$Q$835,3,FALSE)</f>
        <v>0</v>
      </c>
      <c r="AE947" s="31">
        <f>VLOOKUP($A947,kurspris!$A$1:$Q$835,4,FALSE)</f>
        <v>0</v>
      </c>
      <c r="AF947" s="31">
        <f>VLOOKUP($A947,kurspris!$A$1:$Q$835,5,FALSE)</f>
        <v>0</v>
      </c>
      <c r="AG947" s="31">
        <f>VLOOKUP($A947,kurspris!$A$1:$Q$835,6,FALSE)</f>
        <v>0</v>
      </c>
      <c r="AH947" s="31">
        <f>VLOOKUP($A947,kurspris!$A$1:$Q$835,7,FALSE)</f>
        <v>0</v>
      </c>
      <c r="AI947" s="31">
        <f>VLOOKUP($A947,kurspris!$A$1:$Q$835,8,FALSE)</f>
        <v>0</v>
      </c>
      <c r="AJ947" s="31">
        <f>VLOOKUP($A947,kurspris!$A$1:$Q$835,9,FALSE)</f>
        <v>0</v>
      </c>
      <c r="AK947" s="31">
        <f>VLOOKUP($A947,kurspris!$A$1:$Q$835,10,FALSE)</f>
        <v>0</v>
      </c>
      <c r="AL947" s="31">
        <f>VLOOKUP($A947,kurspris!$A$1:$Q$835,11,FALSE)</f>
        <v>1</v>
      </c>
      <c r="AM947" s="31">
        <f>VLOOKUP($A947,kurspris!$A$1:$Q$835,12,FALSE)</f>
        <v>0</v>
      </c>
      <c r="AN947" s="31">
        <f>VLOOKUP($A947,kurspris!$A$1:$Q$835,13,FALSE)</f>
        <v>0</v>
      </c>
      <c r="AO947" s="31">
        <f>VLOOKUP($A947,kurspris!$A$1:$Q$835,14,FALSE)</f>
        <v>0</v>
      </c>
      <c r="AP947" s="39" t="s">
        <v>2326</v>
      </c>
      <c r="AQ947"/>
      <c r="AR947" s="31">
        <f t="shared" si="501"/>
        <v>0</v>
      </c>
      <c r="AS947" s="255">
        <f t="shared" si="502"/>
        <v>0</v>
      </c>
      <c r="AT947" s="31">
        <f t="shared" si="503"/>
        <v>0</v>
      </c>
      <c r="AU947" s="255">
        <f t="shared" si="504"/>
        <v>0</v>
      </c>
      <c r="AV947" s="31">
        <f t="shared" si="505"/>
        <v>0</v>
      </c>
      <c r="AW947" s="31">
        <f t="shared" si="506"/>
        <v>0</v>
      </c>
      <c r="AX947" s="31">
        <f t="shared" si="507"/>
        <v>0</v>
      </c>
      <c r="AY947" s="255">
        <f t="shared" si="508"/>
        <v>0</v>
      </c>
      <c r="AZ947" s="232">
        <f t="shared" si="509"/>
        <v>0</v>
      </c>
      <c r="BA947" s="255">
        <f t="shared" si="510"/>
        <v>0</v>
      </c>
      <c r="BB947" s="31">
        <f t="shared" si="511"/>
        <v>0</v>
      </c>
      <c r="BC947" s="255">
        <f t="shared" si="512"/>
        <v>0</v>
      </c>
      <c r="BD947" s="31">
        <f t="shared" si="513"/>
        <v>0</v>
      </c>
      <c r="BE947" s="255">
        <f t="shared" si="514"/>
        <v>0</v>
      </c>
      <c r="BF947" s="31">
        <f t="shared" si="515"/>
        <v>0</v>
      </c>
      <c r="BG947" s="255">
        <f t="shared" si="516"/>
        <v>0</v>
      </c>
      <c r="BH947" s="31">
        <f t="shared" si="517"/>
        <v>0.30000000000000004</v>
      </c>
      <c r="BI947" s="255">
        <f t="shared" si="518"/>
        <v>0.255</v>
      </c>
      <c r="BJ947" s="31">
        <f t="shared" si="519"/>
        <v>0</v>
      </c>
      <c r="BK947" s="31">
        <f t="shared" si="520"/>
        <v>0</v>
      </c>
      <c r="BL947" s="255">
        <f t="shared" si="521"/>
        <v>0</v>
      </c>
      <c r="BM947" s="31">
        <f t="shared" si="522"/>
        <v>0</v>
      </c>
      <c r="BN947" s="255">
        <f t="shared" si="523"/>
        <v>0</v>
      </c>
    </row>
    <row r="948" spans="1:66" x14ac:dyDescent="0.25">
      <c r="A948" s="18" t="s">
        <v>2013</v>
      </c>
      <c r="B948" s="186" t="str">
        <f>VLOOKUP(A948,kurspris!$A$1:$B$877,2,FALSE)</f>
        <v>Att undervisa i Idrott och hälsa (VFU)</v>
      </c>
      <c r="C948" s="37"/>
      <c r="D948" s="31" t="s">
        <v>483</v>
      </c>
      <c r="E948" s="31" t="s">
        <v>1973</v>
      </c>
      <c r="F948" s="59" t="s">
        <v>1931</v>
      </c>
      <c r="G948" s="31" t="s">
        <v>2272</v>
      </c>
      <c r="J948" t="s">
        <v>773</v>
      </c>
      <c r="L948" s="31">
        <v>100</v>
      </c>
      <c r="M948" s="31">
        <v>6</v>
      </c>
      <c r="P948" s="31">
        <v>1</v>
      </c>
      <c r="Q948" s="232">
        <f t="shared" ref="Q948:Q1011" si="524">(M948/60)*P948</f>
        <v>0.1</v>
      </c>
      <c r="R948" s="40">
        <v>0.85</v>
      </c>
      <c r="S948" s="334">
        <f t="shared" ref="S948:S1011" si="525">Q948*R948</f>
        <v>8.5000000000000006E-2</v>
      </c>
      <c r="T948" s="31">
        <f>VLOOKUP(A948,'Ansvar kurs'!$A$1:$C$1010,2,FALSE)</f>
        <v>2180</v>
      </c>
      <c r="U948" s="31" t="str">
        <f>VLOOKUP(T948,Orgenheter!$A$1:$C$165,2,FALSE)</f>
        <v xml:space="preserve">Pedagogik                     </v>
      </c>
      <c r="V948" s="31" t="str">
        <f>VLOOKUP(T948,Orgenheter!$A$1:$C$165,3,FALSE)</f>
        <v>Sam</v>
      </c>
      <c r="W948" s="37" t="str">
        <f>VLOOKUP(D948,Program!$A$1:$B$34,2,FALSE)</f>
        <v>Ämneslärarprogrammet - Gy</v>
      </c>
      <c r="X948" s="42">
        <f>VLOOKUP(A948,kurspris!$A$1:$Q$798,15,FALSE)</f>
        <v>21634</v>
      </c>
      <c r="Y948" s="42">
        <f>VLOOKUP(A948,kurspris!$A$1:$Q$798,16,FALSE)</f>
        <v>26986</v>
      </c>
      <c r="Z948" s="42">
        <f t="shared" ref="Z948:Z1011" si="526">X948*Q948+S948*Y948</f>
        <v>4457.21</v>
      </c>
      <c r="AA948" s="42">
        <f>VLOOKUP(A948,kurspris!$A$1:$Q$798,17,FALSE)</f>
        <v>3400</v>
      </c>
      <c r="AB948" s="42">
        <f t="shared" ref="AB948:AB1011" si="527">AA948*Q948</f>
        <v>340</v>
      </c>
      <c r="AC948" s="42">
        <f t="shared" ref="AC948:AC1011" si="528">Z948+AB948</f>
        <v>4797.21</v>
      </c>
      <c r="AD948" s="31">
        <f>VLOOKUP($A948,kurspris!$A$1:$Q$835,3,FALSE)</f>
        <v>0</v>
      </c>
      <c r="AE948" s="31">
        <f>VLOOKUP($A948,kurspris!$A$1:$Q$835,4,FALSE)</f>
        <v>0</v>
      </c>
      <c r="AF948" s="31">
        <f>VLOOKUP($A948,kurspris!$A$1:$Q$835,5,FALSE)</f>
        <v>0</v>
      </c>
      <c r="AG948" s="31">
        <f>VLOOKUP($A948,kurspris!$A$1:$Q$835,6,FALSE)</f>
        <v>0</v>
      </c>
      <c r="AH948" s="31">
        <f>VLOOKUP($A948,kurspris!$A$1:$Q$835,7,FALSE)</f>
        <v>0</v>
      </c>
      <c r="AI948" s="31">
        <f>VLOOKUP($A948,kurspris!$A$1:$Q$835,8,FALSE)</f>
        <v>0</v>
      </c>
      <c r="AJ948" s="31">
        <f>VLOOKUP($A948,kurspris!$A$1:$Q$835,9,FALSE)</f>
        <v>0</v>
      </c>
      <c r="AK948" s="31">
        <f>VLOOKUP($A948,kurspris!$A$1:$Q$835,10,FALSE)</f>
        <v>0</v>
      </c>
      <c r="AL948" s="31">
        <f>VLOOKUP($A948,kurspris!$A$1:$Q$835,11,FALSE)</f>
        <v>1</v>
      </c>
      <c r="AM948" s="31">
        <f>VLOOKUP($A948,kurspris!$A$1:$Q$835,12,FALSE)</f>
        <v>0</v>
      </c>
      <c r="AN948" s="31">
        <f>VLOOKUP($A948,kurspris!$A$1:$Q$835,13,FALSE)</f>
        <v>0</v>
      </c>
      <c r="AO948" s="31">
        <f>VLOOKUP($A948,kurspris!$A$1:$Q$835,14,FALSE)</f>
        <v>0</v>
      </c>
      <c r="AP948" s="39" t="s">
        <v>2326</v>
      </c>
      <c r="AQ948"/>
      <c r="AR948" s="31">
        <f t="shared" ref="AR948:AR1011" si="529">$Q948*AD948</f>
        <v>0</v>
      </c>
      <c r="AS948" s="255">
        <f t="shared" ref="AS948:AS1011" si="530">$S948*AD948</f>
        <v>0</v>
      </c>
      <c r="AT948" s="31">
        <f t="shared" ref="AT948:AT1011" si="531">$Q948*AE948</f>
        <v>0</v>
      </c>
      <c r="AU948" s="255">
        <f t="shared" ref="AU948:AU1011" si="532">$S948*AE948</f>
        <v>0</v>
      </c>
      <c r="AV948" s="31">
        <f t="shared" ref="AV948:AV1011" si="533">$Q948*AF948</f>
        <v>0</v>
      </c>
      <c r="AW948" s="31">
        <f t="shared" ref="AW948:AW1011" si="534">$S948*AF948</f>
        <v>0</v>
      </c>
      <c r="AX948" s="31">
        <f t="shared" ref="AX948:AX1011" si="535">$Q948*AG948</f>
        <v>0</v>
      </c>
      <c r="AY948" s="255">
        <f t="shared" ref="AY948:AY1011" si="536">$S948*AG948</f>
        <v>0</v>
      </c>
      <c r="AZ948" s="232">
        <f t="shared" ref="AZ948:AZ1011" si="537">$Q948*AH948</f>
        <v>0</v>
      </c>
      <c r="BA948" s="255">
        <f t="shared" ref="BA948:BA1011" si="538">$S948*AH948</f>
        <v>0</v>
      </c>
      <c r="BB948" s="31">
        <f t="shared" ref="BB948:BB1011" si="539">$Q948*AI948</f>
        <v>0</v>
      </c>
      <c r="BC948" s="255">
        <f t="shared" ref="BC948:BC1011" si="540">$S948*AI948</f>
        <v>0</v>
      </c>
      <c r="BD948" s="31">
        <f t="shared" ref="BD948:BD1011" si="541">$Q948*AJ948</f>
        <v>0</v>
      </c>
      <c r="BE948" s="255">
        <f t="shared" ref="BE948:BE1011" si="542">$S948*AJ948</f>
        <v>0</v>
      </c>
      <c r="BF948" s="31">
        <f t="shared" ref="BF948:BF1011" si="543">$Q948*AK948</f>
        <v>0</v>
      </c>
      <c r="BG948" s="255">
        <f t="shared" ref="BG948:BG1011" si="544">$S948*AK948</f>
        <v>0</v>
      </c>
      <c r="BH948" s="31">
        <f t="shared" ref="BH948:BH1011" si="545">$Q948*AL948</f>
        <v>0.1</v>
      </c>
      <c r="BI948" s="255">
        <f t="shared" ref="BI948:BI1011" si="546">$S948*AL948</f>
        <v>8.5000000000000006E-2</v>
      </c>
      <c r="BJ948" s="31">
        <f t="shared" ref="BJ948:BJ1011" si="547">$Q948*AM948</f>
        <v>0</v>
      </c>
      <c r="BK948" s="31">
        <f t="shared" ref="BK948:BK1011" si="548">$Q948*AN948</f>
        <v>0</v>
      </c>
      <c r="BL948" s="255">
        <f t="shared" ref="BL948:BL1011" si="549">$S948*AN948</f>
        <v>0</v>
      </c>
      <c r="BM948" s="31">
        <f t="shared" ref="BM948:BM1011" si="550">$Q948*AO948</f>
        <v>0</v>
      </c>
      <c r="BN948" s="255">
        <f t="shared" ref="BN948:BN1011" si="551">$S948*AO948</f>
        <v>0</v>
      </c>
    </row>
    <row r="949" spans="1:66" x14ac:dyDescent="0.25">
      <c r="A949" s="18" t="s">
        <v>2013</v>
      </c>
      <c r="B949" s="186" t="str">
        <f>VLOOKUP(A949,kurspris!$A$1:$B$877,2,FALSE)</f>
        <v>Att undervisa i Idrott och hälsa (VFU)</v>
      </c>
      <c r="C949" s="37"/>
      <c r="D949" s="31" t="s">
        <v>483</v>
      </c>
      <c r="E949" s="31" t="s">
        <v>1609</v>
      </c>
      <c r="F949" s="59" t="s">
        <v>1931</v>
      </c>
      <c r="G949" s="31" t="s">
        <v>2272</v>
      </c>
      <c r="J949" t="s">
        <v>773</v>
      </c>
      <c r="L949" s="31">
        <v>100</v>
      </c>
      <c r="M949" s="31">
        <v>6</v>
      </c>
      <c r="P949" s="31">
        <v>16</v>
      </c>
      <c r="Q949" s="232">
        <f t="shared" si="524"/>
        <v>1.6</v>
      </c>
      <c r="R949" s="40">
        <v>0.85</v>
      </c>
      <c r="S949" s="334">
        <f t="shared" si="525"/>
        <v>1.36</v>
      </c>
      <c r="T949" s="31">
        <f>VLOOKUP(A949,'Ansvar kurs'!$A$1:$C$1010,2,FALSE)</f>
        <v>2180</v>
      </c>
      <c r="U949" s="31" t="str">
        <f>VLOOKUP(T949,Orgenheter!$A$1:$C$165,2,FALSE)</f>
        <v xml:space="preserve">Pedagogik                     </v>
      </c>
      <c r="V949" s="31" t="str">
        <f>VLOOKUP(T949,Orgenheter!$A$1:$C$165,3,FALSE)</f>
        <v>Sam</v>
      </c>
      <c r="W949" s="37" t="str">
        <f>VLOOKUP(D949,Program!$A$1:$B$34,2,FALSE)</f>
        <v>Ämneslärarprogrammet - Gy</v>
      </c>
      <c r="X949" s="42">
        <f>VLOOKUP(A949,kurspris!$A$1:$Q$798,15,FALSE)</f>
        <v>21634</v>
      </c>
      <c r="Y949" s="42">
        <f>VLOOKUP(A949,kurspris!$A$1:$Q$798,16,FALSE)</f>
        <v>26986</v>
      </c>
      <c r="Z949" s="42">
        <f t="shared" si="526"/>
        <v>71315.360000000001</v>
      </c>
      <c r="AA949" s="42">
        <f>VLOOKUP(A949,kurspris!$A$1:$Q$798,17,FALSE)</f>
        <v>3400</v>
      </c>
      <c r="AB949" s="42">
        <f t="shared" si="527"/>
        <v>5440</v>
      </c>
      <c r="AC949" s="42">
        <f t="shared" si="528"/>
        <v>76755.360000000001</v>
      </c>
      <c r="AD949" s="31">
        <f>VLOOKUP($A949,kurspris!$A$1:$Q$835,3,FALSE)</f>
        <v>0</v>
      </c>
      <c r="AE949" s="31">
        <f>VLOOKUP($A949,kurspris!$A$1:$Q$835,4,FALSE)</f>
        <v>0</v>
      </c>
      <c r="AF949" s="31">
        <f>VLOOKUP($A949,kurspris!$A$1:$Q$835,5,FALSE)</f>
        <v>0</v>
      </c>
      <c r="AG949" s="31">
        <f>VLOOKUP($A949,kurspris!$A$1:$Q$835,6,FALSE)</f>
        <v>0</v>
      </c>
      <c r="AH949" s="31">
        <f>VLOOKUP($A949,kurspris!$A$1:$Q$835,7,FALSE)</f>
        <v>0</v>
      </c>
      <c r="AI949" s="31">
        <f>VLOOKUP($A949,kurspris!$A$1:$Q$835,8,FALSE)</f>
        <v>0</v>
      </c>
      <c r="AJ949" s="31">
        <f>VLOOKUP($A949,kurspris!$A$1:$Q$835,9,FALSE)</f>
        <v>0</v>
      </c>
      <c r="AK949" s="31">
        <f>VLOOKUP($A949,kurspris!$A$1:$Q$835,10,FALSE)</f>
        <v>0</v>
      </c>
      <c r="AL949" s="31">
        <f>VLOOKUP($A949,kurspris!$A$1:$Q$835,11,FALSE)</f>
        <v>1</v>
      </c>
      <c r="AM949" s="31">
        <f>VLOOKUP($A949,kurspris!$A$1:$Q$835,12,FALSE)</f>
        <v>0</v>
      </c>
      <c r="AN949" s="31">
        <f>VLOOKUP($A949,kurspris!$A$1:$Q$835,13,FALSE)</f>
        <v>0</v>
      </c>
      <c r="AO949" s="31">
        <f>VLOOKUP($A949,kurspris!$A$1:$Q$835,14,FALSE)</f>
        <v>0</v>
      </c>
      <c r="AP949" s="39" t="s">
        <v>2326</v>
      </c>
      <c r="AQ949"/>
      <c r="AR949" s="31">
        <f t="shared" si="529"/>
        <v>0</v>
      </c>
      <c r="AS949" s="255">
        <f t="shared" si="530"/>
        <v>0</v>
      </c>
      <c r="AT949" s="31">
        <f t="shared" si="531"/>
        <v>0</v>
      </c>
      <c r="AU949" s="255">
        <f t="shared" si="532"/>
        <v>0</v>
      </c>
      <c r="AV949" s="31">
        <f t="shared" si="533"/>
        <v>0</v>
      </c>
      <c r="AW949" s="31">
        <f t="shared" si="534"/>
        <v>0</v>
      </c>
      <c r="AX949" s="31">
        <f t="shared" si="535"/>
        <v>0</v>
      </c>
      <c r="AY949" s="255">
        <f t="shared" si="536"/>
        <v>0</v>
      </c>
      <c r="AZ949" s="232">
        <f t="shared" si="537"/>
        <v>0</v>
      </c>
      <c r="BA949" s="255">
        <f t="shared" si="538"/>
        <v>0</v>
      </c>
      <c r="BB949" s="31">
        <f t="shared" si="539"/>
        <v>0</v>
      </c>
      <c r="BC949" s="255">
        <f t="shared" si="540"/>
        <v>0</v>
      </c>
      <c r="BD949" s="31">
        <f t="shared" si="541"/>
        <v>0</v>
      </c>
      <c r="BE949" s="255">
        <f t="shared" si="542"/>
        <v>0</v>
      </c>
      <c r="BF949" s="31">
        <f t="shared" si="543"/>
        <v>0</v>
      </c>
      <c r="BG949" s="255">
        <f t="shared" si="544"/>
        <v>0</v>
      </c>
      <c r="BH949" s="31">
        <f t="shared" si="545"/>
        <v>1.6</v>
      </c>
      <c r="BI949" s="255">
        <f t="shared" si="546"/>
        <v>1.36</v>
      </c>
      <c r="BJ949" s="31">
        <f t="shared" si="547"/>
        <v>0</v>
      </c>
      <c r="BK949" s="31">
        <f t="shared" si="548"/>
        <v>0</v>
      </c>
      <c r="BL949" s="255">
        <f t="shared" si="549"/>
        <v>0</v>
      </c>
      <c r="BM949" s="31">
        <f t="shared" si="550"/>
        <v>0</v>
      </c>
      <c r="BN949" s="255">
        <f t="shared" si="551"/>
        <v>0</v>
      </c>
    </row>
    <row r="950" spans="1:66" x14ac:dyDescent="0.25">
      <c r="A950" s="18" t="s">
        <v>2014</v>
      </c>
      <c r="B950" s="186" t="str">
        <f>VLOOKUP(A950,kurspris!$A$1:$B$877,2,FALSE)</f>
        <v>Att undervisa i Samhällskunskap (VFU)</v>
      </c>
      <c r="C950" s="37"/>
      <c r="D950" s="31" t="s">
        <v>483</v>
      </c>
      <c r="E950" s="31" t="s">
        <v>1973</v>
      </c>
      <c r="F950" s="59" t="s">
        <v>1931</v>
      </c>
      <c r="G950" s="31" t="s">
        <v>2272</v>
      </c>
      <c r="J950" t="s">
        <v>777</v>
      </c>
      <c r="L950" s="31">
        <v>100</v>
      </c>
      <c r="M950" s="31">
        <v>6</v>
      </c>
      <c r="P950" s="31">
        <v>2</v>
      </c>
      <c r="Q950" s="232">
        <f t="shared" si="524"/>
        <v>0.2</v>
      </c>
      <c r="R950" s="40">
        <v>0.85</v>
      </c>
      <c r="S950" s="334">
        <f t="shared" si="525"/>
        <v>0.17</v>
      </c>
      <c r="T950" s="31">
        <f>VLOOKUP(A950,'Ansvar kurs'!$A$1:$C$1010,2,FALSE)</f>
        <v>2180</v>
      </c>
      <c r="U950" s="31" t="str">
        <f>VLOOKUP(T950,Orgenheter!$A$1:$C$165,2,FALSE)</f>
        <v xml:space="preserve">Pedagogik                     </v>
      </c>
      <c r="V950" s="31" t="str">
        <f>VLOOKUP(T950,Orgenheter!$A$1:$C$165,3,FALSE)</f>
        <v>Sam</v>
      </c>
      <c r="W950" s="37" t="str">
        <f>VLOOKUP(D950,Program!$A$1:$B$34,2,FALSE)</f>
        <v>Ämneslärarprogrammet - Gy</v>
      </c>
      <c r="X950" s="42">
        <f>VLOOKUP(A950,kurspris!$A$1:$Q$798,15,FALSE)</f>
        <v>21634</v>
      </c>
      <c r="Y950" s="42">
        <f>VLOOKUP(A950,kurspris!$A$1:$Q$798,16,FALSE)</f>
        <v>26986</v>
      </c>
      <c r="Z950" s="42">
        <f t="shared" si="526"/>
        <v>8914.42</v>
      </c>
      <c r="AA950" s="42">
        <f>VLOOKUP(A950,kurspris!$A$1:$Q$798,17,FALSE)</f>
        <v>3400</v>
      </c>
      <c r="AB950" s="42">
        <f t="shared" si="527"/>
        <v>680</v>
      </c>
      <c r="AC950" s="42">
        <f t="shared" si="528"/>
        <v>9594.42</v>
      </c>
      <c r="AD950" s="31">
        <f>VLOOKUP($A950,kurspris!$A$1:$Q$835,3,FALSE)</f>
        <v>0</v>
      </c>
      <c r="AE950" s="31">
        <f>VLOOKUP($A950,kurspris!$A$1:$Q$835,4,FALSE)</f>
        <v>0</v>
      </c>
      <c r="AF950" s="31">
        <f>VLOOKUP($A950,kurspris!$A$1:$Q$835,5,FALSE)</f>
        <v>0</v>
      </c>
      <c r="AG950" s="31">
        <f>VLOOKUP($A950,kurspris!$A$1:$Q$835,6,FALSE)</f>
        <v>0</v>
      </c>
      <c r="AH950" s="31">
        <f>VLOOKUP($A950,kurspris!$A$1:$Q$835,7,FALSE)</f>
        <v>0</v>
      </c>
      <c r="AI950" s="31">
        <f>VLOOKUP($A950,kurspris!$A$1:$Q$835,8,FALSE)</f>
        <v>0</v>
      </c>
      <c r="AJ950" s="31">
        <f>VLOOKUP($A950,kurspris!$A$1:$Q$835,9,FALSE)</f>
        <v>0</v>
      </c>
      <c r="AK950" s="31">
        <f>VLOOKUP($A950,kurspris!$A$1:$Q$835,10,FALSE)</f>
        <v>0</v>
      </c>
      <c r="AL950" s="31">
        <f>VLOOKUP($A950,kurspris!$A$1:$Q$835,11,FALSE)</f>
        <v>1</v>
      </c>
      <c r="AM950" s="31">
        <f>VLOOKUP($A950,kurspris!$A$1:$Q$835,12,FALSE)</f>
        <v>0</v>
      </c>
      <c r="AN950" s="31">
        <f>VLOOKUP($A950,kurspris!$A$1:$Q$835,13,FALSE)</f>
        <v>0</v>
      </c>
      <c r="AO950" s="31">
        <f>VLOOKUP($A950,kurspris!$A$1:$Q$835,14,FALSE)</f>
        <v>0</v>
      </c>
      <c r="AP950" s="39" t="s">
        <v>2326</v>
      </c>
      <c r="AQ950"/>
      <c r="AR950" s="31">
        <f t="shared" si="529"/>
        <v>0</v>
      </c>
      <c r="AS950" s="255">
        <f t="shared" si="530"/>
        <v>0</v>
      </c>
      <c r="AT950" s="31">
        <f t="shared" si="531"/>
        <v>0</v>
      </c>
      <c r="AU950" s="255">
        <f t="shared" si="532"/>
        <v>0</v>
      </c>
      <c r="AV950" s="31">
        <f t="shared" si="533"/>
        <v>0</v>
      </c>
      <c r="AW950" s="31">
        <f t="shared" si="534"/>
        <v>0</v>
      </c>
      <c r="AX950" s="31">
        <f t="shared" si="535"/>
        <v>0</v>
      </c>
      <c r="AY950" s="255">
        <f t="shared" si="536"/>
        <v>0</v>
      </c>
      <c r="AZ950" s="232">
        <f t="shared" si="537"/>
        <v>0</v>
      </c>
      <c r="BA950" s="255">
        <f t="shared" si="538"/>
        <v>0</v>
      </c>
      <c r="BB950" s="31">
        <f t="shared" si="539"/>
        <v>0</v>
      </c>
      <c r="BC950" s="255">
        <f t="shared" si="540"/>
        <v>0</v>
      </c>
      <c r="BD950" s="31">
        <f t="shared" si="541"/>
        <v>0</v>
      </c>
      <c r="BE950" s="255">
        <f t="shared" si="542"/>
        <v>0</v>
      </c>
      <c r="BF950" s="31">
        <f t="shared" si="543"/>
        <v>0</v>
      </c>
      <c r="BG950" s="255">
        <f t="shared" si="544"/>
        <v>0</v>
      </c>
      <c r="BH950" s="31">
        <f t="shared" si="545"/>
        <v>0.2</v>
      </c>
      <c r="BI950" s="255">
        <f t="shared" si="546"/>
        <v>0.17</v>
      </c>
      <c r="BJ950" s="31">
        <f t="shared" si="547"/>
        <v>0</v>
      </c>
      <c r="BK950" s="31">
        <f t="shared" si="548"/>
        <v>0</v>
      </c>
      <c r="BL950" s="255">
        <f t="shared" si="549"/>
        <v>0</v>
      </c>
      <c r="BM950" s="31">
        <f t="shared" si="550"/>
        <v>0</v>
      </c>
      <c r="BN950" s="255">
        <f t="shared" si="551"/>
        <v>0</v>
      </c>
    </row>
    <row r="951" spans="1:66" x14ac:dyDescent="0.25">
      <c r="A951" s="18" t="s">
        <v>2014</v>
      </c>
      <c r="B951" s="186" t="str">
        <f>VLOOKUP(A951,kurspris!$A$1:$B$877,2,FALSE)</f>
        <v>Att undervisa i Samhällskunskap (VFU)</v>
      </c>
      <c r="C951" s="37"/>
      <c r="D951" s="31" t="s">
        <v>483</v>
      </c>
      <c r="E951" s="31" t="s">
        <v>1609</v>
      </c>
      <c r="F951" s="59" t="s">
        <v>1931</v>
      </c>
      <c r="G951" s="31" t="s">
        <v>2272</v>
      </c>
      <c r="J951" t="s">
        <v>777</v>
      </c>
      <c r="L951" s="31">
        <v>100</v>
      </c>
      <c r="M951" s="31">
        <v>6</v>
      </c>
      <c r="P951" s="31">
        <v>6</v>
      </c>
      <c r="Q951" s="232">
        <f t="shared" si="524"/>
        <v>0.60000000000000009</v>
      </c>
      <c r="R951" s="40">
        <v>0.85</v>
      </c>
      <c r="S951" s="334">
        <f t="shared" si="525"/>
        <v>0.51</v>
      </c>
      <c r="T951" s="31">
        <f>VLOOKUP(A951,'Ansvar kurs'!$A$1:$C$1010,2,FALSE)</f>
        <v>2180</v>
      </c>
      <c r="U951" s="31" t="str">
        <f>VLOOKUP(T951,Orgenheter!$A$1:$C$165,2,FALSE)</f>
        <v xml:space="preserve">Pedagogik                     </v>
      </c>
      <c r="V951" s="31" t="str">
        <f>VLOOKUP(T951,Orgenheter!$A$1:$C$165,3,FALSE)</f>
        <v>Sam</v>
      </c>
      <c r="W951" s="37" t="str">
        <f>VLOOKUP(D951,Program!$A$1:$B$34,2,FALSE)</f>
        <v>Ämneslärarprogrammet - Gy</v>
      </c>
      <c r="X951" s="42">
        <f>VLOOKUP(A951,kurspris!$A$1:$Q$798,15,FALSE)</f>
        <v>21634</v>
      </c>
      <c r="Y951" s="42">
        <f>VLOOKUP(A951,kurspris!$A$1:$Q$798,16,FALSE)</f>
        <v>26986</v>
      </c>
      <c r="Z951" s="42">
        <f t="shared" si="526"/>
        <v>26743.260000000002</v>
      </c>
      <c r="AA951" s="42">
        <f>VLOOKUP(A951,kurspris!$A$1:$Q$798,17,FALSE)</f>
        <v>3400</v>
      </c>
      <c r="AB951" s="42">
        <f t="shared" si="527"/>
        <v>2040.0000000000002</v>
      </c>
      <c r="AC951" s="42">
        <f t="shared" si="528"/>
        <v>28783.260000000002</v>
      </c>
      <c r="AD951" s="31">
        <f>VLOOKUP($A951,kurspris!$A$1:$Q$835,3,FALSE)</f>
        <v>0</v>
      </c>
      <c r="AE951" s="31">
        <f>VLOOKUP($A951,kurspris!$A$1:$Q$835,4,FALSE)</f>
        <v>0</v>
      </c>
      <c r="AF951" s="31">
        <f>VLOOKUP($A951,kurspris!$A$1:$Q$835,5,FALSE)</f>
        <v>0</v>
      </c>
      <c r="AG951" s="31">
        <f>VLOOKUP($A951,kurspris!$A$1:$Q$835,6,FALSE)</f>
        <v>0</v>
      </c>
      <c r="AH951" s="31">
        <f>VLOOKUP($A951,kurspris!$A$1:$Q$835,7,FALSE)</f>
        <v>0</v>
      </c>
      <c r="AI951" s="31">
        <f>VLOOKUP($A951,kurspris!$A$1:$Q$835,8,FALSE)</f>
        <v>0</v>
      </c>
      <c r="AJ951" s="31">
        <f>VLOOKUP($A951,kurspris!$A$1:$Q$835,9,FALSE)</f>
        <v>0</v>
      </c>
      <c r="AK951" s="31">
        <f>VLOOKUP($A951,kurspris!$A$1:$Q$835,10,FALSE)</f>
        <v>0</v>
      </c>
      <c r="AL951" s="31">
        <f>VLOOKUP($A951,kurspris!$A$1:$Q$835,11,FALSE)</f>
        <v>1</v>
      </c>
      <c r="AM951" s="31">
        <f>VLOOKUP($A951,kurspris!$A$1:$Q$835,12,FALSE)</f>
        <v>0</v>
      </c>
      <c r="AN951" s="31">
        <f>VLOOKUP($A951,kurspris!$A$1:$Q$835,13,FALSE)</f>
        <v>0</v>
      </c>
      <c r="AO951" s="31">
        <f>VLOOKUP($A951,kurspris!$A$1:$Q$835,14,FALSE)</f>
        <v>0</v>
      </c>
      <c r="AP951" s="39" t="s">
        <v>2326</v>
      </c>
      <c r="AQ951"/>
      <c r="AR951" s="31">
        <f t="shared" si="529"/>
        <v>0</v>
      </c>
      <c r="AS951" s="255">
        <f t="shared" si="530"/>
        <v>0</v>
      </c>
      <c r="AT951" s="31">
        <f t="shared" si="531"/>
        <v>0</v>
      </c>
      <c r="AU951" s="255">
        <f t="shared" si="532"/>
        <v>0</v>
      </c>
      <c r="AV951" s="31">
        <f t="shared" si="533"/>
        <v>0</v>
      </c>
      <c r="AW951" s="31">
        <f t="shared" si="534"/>
        <v>0</v>
      </c>
      <c r="AX951" s="31">
        <f t="shared" si="535"/>
        <v>0</v>
      </c>
      <c r="AY951" s="255">
        <f t="shared" si="536"/>
        <v>0</v>
      </c>
      <c r="AZ951" s="232">
        <f t="shared" si="537"/>
        <v>0</v>
      </c>
      <c r="BA951" s="255">
        <f t="shared" si="538"/>
        <v>0</v>
      </c>
      <c r="BB951" s="31">
        <f t="shared" si="539"/>
        <v>0</v>
      </c>
      <c r="BC951" s="255">
        <f t="shared" si="540"/>
        <v>0</v>
      </c>
      <c r="BD951" s="31">
        <f t="shared" si="541"/>
        <v>0</v>
      </c>
      <c r="BE951" s="255">
        <f t="shared" si="542"/>
        <v>0</v>
      </c>
      <c r="BF951" s="31">
        <f t="shared" si="543"/>
        <v>0</v>
      </c>
      <c r="BG951" s="255">
        <f t="shared" si="544"/>
        <v>0</v>
      </c>
      <c r="BH951" s="31">
        <f t="shared" si="545"/>
        <v>0.60000000000000009</v>
      </c>
      <c r="BI951" s="255">
        <f t="shared" si="546"/>
        <v>0.51</v>
      </c>
      <c r="BJ951" s="31">
        <f t="shared" si="547"/>
        <v>0</v>
      </c>
      <c r="BK951" s="31">
        <f t="shared" si="548"/>
        <v>0</v>
      </c>
      <c r="BL951" s="255">
        <f t="shared" si="549"/>
        <v>0</v>
      </c>
      <c r="BM951" s="31">
        <f t="shared" si="550"/>
        <v>0</v>
      </c>
      <c r="BN951" s="255">
        <f t="shared" si="551"/>
        <v>0</v>
      </c>
    </row>
    <row r="952" spans="1:66" x14ac:dyDescent="0.25">
      <c r="A952" s="9" t="s">
        <v>2190</v>
      </c>
      <c r="B952" s="186" t="str">
        <f>VLOOKUP(A952,kurspris!$A$1:$B$877,2,FALSE)</f>
        <v>Fjärrundervisning</v>
      </c>
      <c r="C952" s="37"/>
      <c r="D952" t="s">
        <v>117</v>
      </c>
      <c r="E952"/>
      <c r="F952" s="59" t="s">
        <v>2093</v>
      </c>
      <c r="G952" t="s">
        <v>2065</v>
      </c>
      <c r="H952"/>
      <c r="I952" s="18" t="s">
        <v>1634</v>
      </c>
      <c r="J952" s="159"/>
      <c r="K952" s="159"/>
      <c r="L952">
        <v>50</v>
      </c>
      <c r="M952">
        <v>7.5</v>
      </c>
      <c r="P952">
        <v>22</v>
      </c>
      <c r="Q952" s="232">
        <f t="shared" si="524"/>
        <v>2.75</v>
      </c>
      <c r="R952" s="40">
        <v>0.8</v>
      </c>
      <c r="S952" s="334">
        <f t="shared" si="525"/>
        <v>2.2000000000000002</v>
      </c>
      <c r="T952" s="31">
        <f>VLOOKUP(A952,'Ansvar kurs'!$A$1:$C$1010,2,FALSE)</f>
        <v>2180</v>
      </c>
      <c r="U952" s="31" t="str">
        <f>VLOOKUP(T952,Orgenheter!$A$1:$C$165,2,FALSE)</f>
        <v xml:space="preserve">Pedagogik                     </v>
      </c>
      <c r="V952" s="31" t="str">
        <f>VLOOKUP(T952,Orgenheter!$A$1:$C$165,3,FALSE)</f>
        <v>Sam</v>
      </c>
      <c r="W952" s="37" t="str">
        <f>VLOOKUP(D952,Program!$A$1:$B$34,2,FALSE)</f>
        <v>Fristående och övriga kurser</v>
      </c>
      <c r="X952" s="42">
        <f>VLOOKUP(A952,kurspris!$A$1:$Q$798,15,FALSE)</f>
        <v>18405</v>
      </c>
      <c r="Y952" s="42">
        <f>VLOOKUP(A952,kurspris!$A$1:$Q$798,16,FALSE)</f>
        <v>15773</v>
      </c>
      <c r="Z952" s="42">
        <f t="shared" si="526"/>
        <v>85314.35</v>
      </c>
      <c r="AA952" s="42">
        <f>VLOOKUP(A952,kurspris!$A$1:$Q$798,17,FALSE)</f>
        <v>5800</v>
      </c>
      <c r="AB952" s="42">
        <f t="shared" si="527"/>
        <v>15950</v>
      </c>
      <c r="AC952" s="42">
        <f t="shared" si="528"/>
        <v>101264.35</v>
      </c>
      <c r="AD952" s="31">
        <f>VLOOKUP($A952,kurspris!$A$1:$Q$835,3,FALSE)</f>
        <v>0</v>
      </c>
      <c r="AE952" s="31">
        <f>VLOOKUP($A952,kurspris!$A$1:$Q$835,4,FALSE)</f>
        <v>0</v>
      </c>
      <c r="AF952" s="31">
        <f>VLOOKUP($A952,kurspris!$A$1:$Q$835,5,FALSE)</f>
        <v>0</v>
      </c>
      <c r="AG952" s="31">
        <f>VLOOKUP($A952,kurspris!$A$1:$Q$835,6,FALSE)</f>
        <v>0</v>
      </c>
      <c r="AH952" s="31">
        <f>VLOOKUP($A952,kurspris!$A$1:$Q$835,7,FALSE)</f>
        <v>0</v>
      </c>
      <c r="AI952" s="31">
        <f>VLOOKUP($A952,kurspris!$A$1:$Q$835,8,FALSE)</f>
        <v>0</v>
      </c>
      <c r="AJ952" s="31">
        <f>VLOOKUP($A952,kurspris!$A$1:$Q$835,9,FALSE)</f>
        <v>1</v>
      </c>
      <c r="AK952" s="31">
        <f>VLOOKUP($A952,kurspris!$A$1:$Q$835,10,FALSE)</f>
        <v>0</v>
      </c>
      <c r="AL952" s="31">
        <f>VLOOKUP($A952,kurspris!$A$1:$Q$835,11,FALSE)</f>
        <v>0</v>
      </c>
      <c r="AM952" s="31">
        <f>VLOOKUP($A952,kurspris!$A$1:$Q$835,12,FALSE)</f>
        <v>0</v>
      </c>
      <c r="AN952" s="31">
        <f>VLOOKUP($A952,kurspris!$A$1:$Q$835,13,FALSE)</f>
        <v>0</v>
      </c>
      <c r="AO952" s="31">
        <f>VLOOKUP($A952,kurspris!$A$1:$Q$835,14,FALSE)</f>
        <v>0</v>
      </c>
      <c r="AP952" s="39" t="s">
        <v>2095</v>
      </c>
      <c r="AQ952"/>
      <c r="AR952" s="31">
        <f t="shared" si="529"/>
        <v>0</v>
      </c>
      <c r="AS952" s="255">
        <f t="shared" si="530"/>
        <v>0</v>
      </c>
      <c r="AT952" s="31">
        <f t="shared" si="531"/>
        <v>0</v>
      </c>
      <c r="AU952" s="255">
        <f t="shared" si="532"/>
        <v>0</v>
      </c>
      <c r="AV952" s="31">
        <f t="shared" si="533"/>
        <v>0</v>
      </c>
      <c r="AW952" s="31">
        <f t="shared" si="534"/>
        <v>0</v>
      </c>
      <c r="AX952" s="31">
        <f t="shared" si="535"/>
        <v>0</v>
      </c>
      <c r="AY952" s="255">
        <f t="shared" si="536"/>
        <v>0</v>
      </c>
      <c r="AZ952" s="232">
        <f t="shared" si="537"/>
        <v>0</v>
      </c>
      <c r="BA952" s="255">
        <f t="shared" si="538"/>
        <v>0</v>
      </c>
      <c r="BB952" s="31">
        <f t="shared" si="539"/>
        <v>0</v>
      </c>
      <c r="BC952" s="255">
        <f t="shared" si="540"/>
        <v>0</v>
      </c>
      <c r="BD952" s="31">
        <f t="shared" si="541"/>
        <v>2.75</v>
      </c>
      <c r="BE952" s="255">
        <f t="shared" si="542"/>
        <v>2.2000000000000002</v>
      </c>
      <c r="BF952" s="31">
        <f t="shared" si="543"/>
        <v>0</v>
      </c>
      <c r="BG952" s="255">
        <f t="shared" si="544"/>
        <v>0</v>
      </c>
      <c r="BH952" s="31">
        <f t="shared" si="545"/>
        <v>0</v>
      </c>
      <c r="BI952" s="255">
        <f t="shared" si="546"/>
        <v>0</v>
      </c>
      <c r="BJ952" s="31">
        <f t="shared" si="547"/>
        <v>0</v>
      </c>
      <c r="BK952" s="31">
        <f t="shared" si="548"/>
        <v>0</v>
      </c>
      <c r="BL952" s="255">
        <f t="shared" si="549"/>
        <v>0</v>
      </c>
      <c r="BM952" s="31">
        <f t="shared" si="550"/>
        <v>0</v>
      </c>
      <c r="BN952" s="255">
        <f t="shared" si="551"/>
        <v>0</v>
      </c>
    </row>
    <row r="953" spans="1:66" x14ac:dyDescent="0.25">
      <c r="A953" s="186" t="s">
        <v>2184</v>
      </c>
      <c r="B953" s="186" t="str">
        <f>VLOOKUP(A953,kurspris!$A$1:$B$877,2,FALSE)</f>
        <v>Skolans digitalisering</v>
      </c>
      <c r="C953" s="37"/>
      <c r="D953" t="s">
        <v>117</v>
      </c>
      <c r="E953"/>
      <c r="F953" s="59" t="s">
        <v>1930</v>
      </c>
      <c r="G953"/>
      <c r="H953"/>
      <c r="I953" t="s">
        <v>1634</v>
      </c>
      <c r="L953">
        <v>50</v>
      </c>
      <c r="M953">
        <v>7.5</v>
      </c>
      <c r="P953" s="31">
        <v>1</v>
      </c>
      <c r="Q953" s="232">
        <f t="shared" si="524"/>
        <v>0.125</v>
      </c>
      <c r="R953" s="40">
        <v>0.8</v>
      </c>
      <c r="S953" s="334">
        <f t="shared" si="525"/>
        <v>0.1</v>
      </c>
      <c r="T953" s="31">
        <f>VLOOKUP(A953,'Ansvar kurs'!$A$1:$C$1010,2,FALSE)</f>
        <v>2180</v>
      </c>
      <c r="U953" s="31" t="str">
        <f>VLOOKUP(T953,Orgenheter!$A$1:$C$165,2,FALSE)</f>
        <v xml:space="preserve">Pedagogik                     </v>
      </c>
      <c r="V953" s="31" t="str">
        <f>VLOOKUP(T953,Orgenheter!$A$1:$C$165,3,FALSE)</f>
        <v>Sam</v>
      </c>
      <c r="W953" s="37" t="str">
        <f>VLOOKUP(D953,Program!$A$1:$B$34,2,FALSE)</f>
        <v>Fristående och övriga kurser</v>
      </c>
      <c r="X953" s="42">
        <f>VLOOKUP(A953,kurspris!$A$1:$Q$798,15,FALSE)</f>
        <v>18405</v>
      </c>
      <c r="Y953" s="42">
        <f>VLOOKUP(A953,kurspris!$A$1:$Q$798,16,FALSE)</f>
        <v>15773</v>
      </c>
      <c r="Z953" s="42">
        <f t="shared" si="526"/>
        <v>3877.9250000000002</v>
      </c>
      <c r="AA953" s="42">
        <f>VLOOKUP(A953,kurspris!$A$1:$Q$798,17,FALSE)</f>
        <v>5800</v>
      </c>
      <c r="AB953" s="42">
        <f t="shared" si="527"/>
        <v>725</v>
      </c>
      <c r="AC953" s="42">
        <f t="shared" si="528"/>
        <v>4602.9250000000002</v>
      </c>
      <c r="AD953" s="31">
        <f>VLOOKUP($A953,kurspris!$A$1:$Q$835,3,FALSE)</f>
        <v>0</v>
      </c>
      <c r="AE953" s="31">
        <f>VLOOKUP($A953,kurspris!$A$1:$Q$835,4,FALSE)</f>
        <v>0</v>
      </c>
      <c r="AF953" s="31">
        <f>VLOOKUP($A953,kurspris!$A$1:$Q$835,5,FALSE)</f>
        <v>0</v>
      </c>
      <c r="AG953" s="31">
        <f>VLOOKUP($A953,kurspris!$A$1:$Q$835,6,FALSE)</f>
        <v>0</v>
      </c>
      <c r="AH953" s="31">
        <f>VLOOKUP($A953,kurspris!$A$1:$Q$835,7,FALSE)</f>
        <v>0</v>
      </c>
      <c r="AI953" s="31">
        <f>VLOOKUP($A953,kurspris!$A$1:$Q$835,8,FALSE)</f>
        <v>0</v>
      </c>
      <c r="AJ953" s="31">
        <f>VLOOKUP($A953,kurspris!$A$1:$Q$835,9,FALSE)</f>
        <v>1</v>
      </c>
      <c r="AK953" s="31">
        <f>VLOOKUP($A953,kurspris!$A$1:$Q$835,10,FALSE)</f>
        <v>0</v>
      </c>
      <c r="AL953" s="31">
        <f>VLOOKUP($A953,kurspris!$A$1:$Q$835,11,FALSE)</f>
        <v>0</v>
      </c>
      <c r="AM953" s="31">
        <f>VLOOKUP($A953,kurspris!$A$1:$Q$835,12,FALSE)</f>
        <v>0</v>
      </c>
      <c r="AN953" s="31">
        <f>VLOOKUP($A953,kurspris!$A$1:$Q$835,13,FALSE)</f>
        <v>0</v>
      </c>
      <c r="AO953" s="31">
        <f>VLOOKUP($A953,kurspris!$A$1:$Q$835,14,FALSE)</f>
        <v>0</v>
      </c>
      <c r="AP953" s="39" t="s">
        <v>2095</v>
      </c>
      <c r="AQ953"/>
      <c r="AR953" s="31">
        <f t="shared" si="529"/>
        <v>0</v>
      </c>
      <c r="AS953" s="255">
        <f t="shared" si="530"/>
        <v>0</v>
      </c>
      <c r="AT953" s="31">
        <f t="shared" si="531"/>
        <v>0</v>
      </c>
      <c r="AU953" s="255">
        <f t="shared" si="532"/>
        <v>0</v>
      </c>
      <c r="AV953" s="31">
        <f t="shared" si="533"/>
        <v>0</v>
      </c>
      <c r="AW953" s="31">
        <f t="shared" si="534"/>
        <v>0</v>
      </c>
      <c r="AX953" s="31">
        <f t="shared" si="535"/>
        <v>0</v>
      </c>
      <c r="AY953" s="255">
        <f t="shared" si="536"/>
        <v>0</v>
      </c>
      <c r="AZ953" s="232">
        <f t="shared" si="537"/>
        <v>0</v>
      </c>
      <c r="BA953" s="255">
        <f t="shared" si="538"/>
        <v>0</v>
      </c>
      <c r="BB953" s="31">
        <f t="shared" si="539"/>
        <v>0</v>
      </c>
      <c r="BC953" s="255">
        <f t="shared" si="540"/>
        <v>0</v>
      </c>
      <c r="BD953" s="31">
        <f t="shared" si="541"/>
        <v>0.125</v>
      </c>
      <c r="BE953" s="255">
        <f t="shared" si="542"/>
        <v>0.1</v>
      </c>
      <c r="BF953" s="31">
        <f t="shared" si="543"/>
        <v>0</v>
      </c>
      <c r="BG953" s="255">
        <f t="shared" si="544"/>
        <v>0</v>
      </c>
      <c r="BH953" s="31">
        <f t="shared" si="545"/>
        <v>0</v>
      </c>
      <c r="BI953" s="255">
        <f t="shared" si="546"/>
        <v>0</v>
      </c>
      <c r="BJ953" s="31">
        <f t="shared" si="547"/>
        <v>0</v>
      </c>
      <c r="BK953" s="31">
        <f t="shared" si="548"/>
        <v>0</v>
      </c>
      <c r="BL953" s="255">
        <f t="shared" si="549"/>
        <v>0</v>
      </c>
      <c r="BM953" s="31">
        <f t="shared" si="550"/>
        <v>0</v>
      </c>
      <c r="BN953" s="255">
        <f t="shared" si="551"/>
        <v>0</v>
      </c>
    </row>
    <row r="954" spans="1:66" x14ac:dyDescent="0.25">
      <c r="A954" s="18" t="s">
        <v>2207</v>
      </c>
      <c r="B954" s="186" t="str">
        <f>VLOOKUP(A954,kurspris!$A$1:$B$877,2,FALSE)</f>
        <v>Genuspedagogik i lärmiljöer</v>
      </c>
      <c r="C954" s="37"/>
      <c r="D954" t="s">
        <v>117</v>
      </c>
      <c r="E954"/>
      <c r="F954" s="59" t="s">
        <v>1930</v>
      </c>
      <c r="G954"/>
      <c r="H954"/>
      <c r="I954" t="s">
        <v>2066</v>
      </c>
      <c r="L954">
        <v>50</v>
      </c>
      <c r="M954">
        <v>15</v>
      </c>
      <c r="P954" s="31">
        <v>60</v>
      </c>
      <c r="Q954" s="232">
        <f t="shared" si="524"/>
        <v>15</v>
      </c>
      <c r="R954" s="40">
        <v>0.8</v>
      </c>
      <c r="S954" s="334">
        <f t="shared" si="525"/>
        <v>12</v>
      </c>
      <c r="T954" s="31">
        <f>VLOOKUP(A954,'Ansvar kurs'!$A$1:$C$1010,2,FALSE)</f>
        <v>2193</v>
      </c>
      <c r="U954" s="31" t="str">
        <f>VLOOKUP(T954,Orgenheter!$A$1:$C$165,2,FALSE)</f>
        <v xml:space="preserve">TUV </v>
      </c>
      <c r="V954" s="31" t="str">
        <f>VLOOKUP(T954,Orgenheter!$A$1:$C$165,3,FALSE)</f>
        <v>Sam</v>
      </c>
      <c r="W954" s="37" t="str">
        <f>VLOOKUP(D954,Program!$A$1:$B$34,2,FALSE)</f>
        <v>Fristående och övriga kurser</v>
      </c>
      <c r="X954" s="42">
        <f>VLOOKUP(A954,kurspris!$A$1:$Q$798,15,FALSE)</f>
        <v>18405</v>
      </c>
      <c r="Y954" s="42">
        <f>VLOOKUP(A954,kurspris!$A$1:$Q$798,16,FALSE)</f>
        <v>15773</v>
      </c>
      <c r="Z954" s="42">
        <f t="shared" si="526"/>
        <v>465351</v>
      </c>
      <c r="AA954" s="42">
        <f>VLOOKUP(A954,kurspris!$A$1:$Q$798,17,FALSE)</f>
        <v>5800</v>
      </c>
      <c r="AB954" s="42">
        <f t="shared" si="527"/>
        <v>87000</v>
      </c>
      <c r="AC954" s="42">
        <f t="shared" si="528"/>
        <v>552351</v>
      </c>
      <c r="AD954" s="31">
        <f>VLOOKUP($A954,kurspris!$A$1:$Q$835,3,FALSE)</f>
        <v>0</v>
      </c>
      <c r="AE954" s="31">
        <f>VLOOKUP($A954,kurspris!$A$1:$Q$835,4,FALSE)</f>
        <v>0</v>
      </c>
      <c r="AF954" s="31">
        <f>VLOOKUP($A954,kurspris!$A$1:$Q$835,5,FALSE)</f>
        <v>0</v>
      </c>
      <c r="AG954" s="31">
        <f>VLOOKUP($A954,kurspris!$A$1:$Q$835,6,FALSE)</f>
        <v>0</v>
      </c>
      <c r="AH954" s="31">
        <f>VLOOKUP($A954,kurspris!$A$1:$Q$835,7,FALSE)</f>
        <v>0</v>
      </c>
      <c r="AI954" s="31">
        <f>VLOOKUP($A954,kurspris!$A$1:$Q$835,8,FALSE)</f>
        <v>0</v>
      </c>
      <c r="AJ954" s="31">
        <f>VLOOKUP($A954,kurspris!$A$1:$Q$835,9,FALSE)</f>
        <v>1</v>
      </c>
      <c r="AK954" s="31">
        <f>VLOOKUP($A954,kurspris!$A$1:$Q$835,10,FALSE)</f>
        <v>0</v>
      </c>
      <c r="AL954" s="31">
        <f>VLOOKUP($A954,kurspris!$A$1:$Q$835,11,FALSE)</f>
        <v>0</v>
      </c>
      <c r="AM954" s="31">
        <f>VLOOKUP($A954,kurspris!$A$1:$Q$835,12,FALSE)</f>
        <v>0</v>
      </c>
      <c r="AN954" s="31">
        <f>VLOOKUP($A954,kurspris!$A$1:$Q$835,13,FALSE)</f>
        <v>0</v>
      </c>
      <c r="AO954" s="31">
        <f>VLOOKUP($A954,kurspris!$A$1:$Q$835,14,FALSE)</f>
        <v>0</v>
      </c>
      <c r="AP954" s="39" t="s">
        <v>2204</v>
      </c>
      <c r="AQ954" s="39" t="s">
        <v>2095</v>
      </c>
      <c r="AR954" s="31">
        <f t="shared" si="529"/>
        <v>0</v>
      </c>
      <c r="AS954" s="255">
        <f t="shared" si="530"/>
        <v>0</v>
      </c>
      <c r="AT954" s="31">
        <f t="shared" si="531"/>
        <v>0</v>
      </c>
      <c r="AU954" s="255">
        <f t="shared" si="532"/>
        <v>0</v>
      </c>
      <c r="AV954" s="31">
        <f t="shared" si="533"/>
        <v>0</v>
      </c>
      <c r="AW954" s="31">
        <f t="shared" si="534"/>
        <v>0</v>
      </c>
      <c r="AX954" s="31">
        <f t="shared" si="535"/>
        <v>0</v>
      </c>
      <c r="AY954" s="255">
        <f t="shared" si="536"/>
        <v>0</v>
      </c>
      <c r="AZ954" s="232">
        <f t="shared" si="537"/>
        <v>0</v>
      </c>
      <c r="BA954" s="255">
        <f t="shared" si="538"/>
        <v>0</v>
      </c>
      <c r="BB954" s="31">
        <f t="shared" si="539"/>
        <v>0</v>
      </c>
      <c r="BC954" s="255">
        <f t="shared" si="540"/>
        <v>0</v>
      </c>
      <c r="BD954" s="31">
        <f t="shared" si="541"/>
        <v>15</v>
      </c>
      <c r="BE954" s="255">
        <f t="shared" si="542"/>
        <v>12</v>
      </c>
      <c r="BF954" s="31">
        <f t="shared" si="543"/>
        <v>0</v>
      </c>
      <c r="BG954" s="255">
        <f t="shared" si="544"/>
        <v>0</v>
      </c>
      <c r="BH954" s="31">
        <f t="shared" si="545"/>
        <v>0</v>
      </c>
      <c r="BI954" s="255">
        <f t="shared" si="546"/>
        <v>0</v>
      </c>
      <c r="BJ954" s="31">
        <f t="shared" si="547"/>
        <v>0</v>
      </c>
      <c r="BK954" s="31">
        <f t="shared" si="548"/>
        <v>0</v>
      </c>
      <c r="BL954" s="255">
        <f t="shared" si="549"/>
        <v>0</v>
      </c>
      <c r="BM954" s="31">
        <f t="shared" si="550"/>
        <v>0</v>
      </c>
      <c r="BN954" s="255">
        <f t="shared" si="551"/>
        <v>0</v>
      </c>
    </row>
    <row r="955" spans="1:66" x14ac:dyDescent="0.25">
      <c r="A955" s="18" t="s">
        <v>2207</v>
      </c>
      <c r="B955" s="186" t="str">
        <f>VLOOKUP(A955,kurspris!$A$1:$B$877,2,FALSE)</f>
        <v>Genuspedagogik i lärmiljöer</v>
      </c>
      <c r="C955" s="37"/>
      <c r="D955" t="s">
        <v>117</v>
      </c>
      <c r="E955"/>
      <c r="F955" s="59" t="s">
        <v>1931</v>
      </c>
      <c r="G955"/>
      <c r="H955"/>
      <c r="I955" t="s">
        <v>2066</v>
      </c>
      <c r="L955">
        <v>50</v>
      </c>
      <c r="M955">
        <v>15</v>
      </c>
      <c r="P955">
        <v>50</v>
      </c>
      <c r="Q955" s="232">
        <f t="shared" si="524"/>
        <v>12.5</v>
      </c>
      <c r="R955" s="40">
        <v>0.8</v>
      </c>
      <c r="S955" s="334">
        <f t="shared" si="525"/>
        <v>10</v>
      </c>
      <c r="T955" s="31">
        <f>VLOOKUP(A955,'Ansvar kurs'!$A$1:$C$1010,2,FALSE)</f>
        <v>2193</v>
      </c>
      <c r="U955" s="31" t="str">
        <f>VLOOKUP(T955,Orgenheter!$A$1:$C$165,2,FALSE)</f>
        <v xml:space="preserve">TUV </v>
      </c>
      <c r="V955" s="31" t="str">
        <f>VLOOKUP(T955,Orgenheter!$A$1:$C$165,3,FALSE)</f>
        <v>Sam</v>
      </c>
      <c r="W955" s="37" t="str">
        <f>VLOOKUP(D955,Program!$A$1:$B$34,2,FALSE)</f>
        <v>Fristående och övriga kurser</v>
      </c>
      <c r="X955" s="42">
        <f>VLOOKUP(A955,kurspris!$A$1:$Q$798,15,FALSE)</f>
        <v>18405</v>
      </c>
      <c r="Y955" s="42">
        <f>VLOOKUP(A955,kurspris!$A$1:$Q$798,16,FALSE)</f>
        <v>15773</v>
      </c>
      <c r="Z955" s="42">
        <f t="shared" si="526"/>
        <v>387792.5</v>
      </c>
      <c r="AA955" s="42">
        <f>VLOOKUP(A955,kurspris!$A$1:$Q$798,17,FALSE)</f>
        <v>5800</v>
      </c>
      <c r="AB955" s="42">
        <f t="shared" si="527"/>
        <v>72500</v>
      </c>
      <c r="AC955" s="42">
        <f t="shared" si="528"/>
        <v>460292.5</v>
      </c>
      <c r="AD955" s="31">
        <f>VLOOKUP($A955,kurspris!$A$1:$Q$835,3,FALSE)</f>
        <v>0</v>
      </c>
      <c r="AE955" s="31">
        <f>VLOOKUP($A955,kurspris!$A$1:$Q$835,4,FALSE)</f>
        <v>0</v>
      </c>
      <c r="AF955" s="31">
        <f>VLOOKUP($A955,kurspris!$A$1:$Q$835,5,FALSE)</f>
        <v>0</v>
      </c>
      <c r="AG955" s="31">
        <f>VLOOKUP($A955,kurspris!$A$1:$Q$835,6,FALSE)</f>
        <v>0</v>
      </c>
      <c r="AH955" s="31">
        <f>VLOOKUP($A955,kurspris!$A$1:$Q$835,7,FALSE)</f>
        <v>0</v>
      </c>
      <c r="AI955" s="31">
        <f>VLOOKUP($A955,kurspris!$A$1:$Q$835,8,FALSE)</f>
        <v>0</v>
      </c>
      <c r="AJ955" s="31">
        <f>VLOOKUP($A955,kurspris!$A$1:$Q$835,9,FALSE)</f>
        <v>1</v>
      </c>
      <c r="AK955" s="31">
        <f>VLOOKUP($A955,kurspris!$A$1:$Q$835,10,FALSE)</f>
        <v>0</v>
      </c>
      <c r="AL955" s="31">
        <f>VLOOKUP($A955,kurspris!$A$1:$Q$835,11,FALSE)</f>
        <v>0</v>
      </c>
      <c r="AM955" s="31">
        <f>VLOOKUP($A955,kurspris!$A$1:$Q$835,12,FALSE)</f>
        <v>0</v>
      </c>
      <c r="AN955" s="31">
        <f>VLOOKUP($A955,kurspris!$A$1:$Q$835,13,FALSE)</f>
        <v>0</v>
      </c>
      <c r="AO955" s="31">
        <f>VLOOKUP($A955,kurspris!$A$1:$Q$835,14,FALSE)</f>
        <v>0</v>
      </c>
      <c r="AP955" s="39" t="s">
        <v>2095</v>
      </c>
      <c r="AQ955"/>
      <c r="AR955" s="31">
        <f t="shared" si="529"/>
        <v>0</v>
      </c>
      <c r="AS955" s="255">
        <f t="shared" si="530"/>
        <v>0</v>
      </c>
      <c r="AT955" s="31">
        <f t="shared" si="531"/>
        <v>0</v>
      </c>
      <c r="AU955" s="255">
        <f t="shared" si="532"/>
        <v>0</v>
      </c>
      <c r="AV955" s="31">
        <f t="shared" si="533"/>
        <v>0</v>
      </c>
      <c r="AW955" s="31">
        <f t="shared" si="534"/>
        <v>0</v>
      </c>
      <c r="AX955" s="31">
        <f t="shared" si="535"/>
        <v>0</v>
      </c>
      <c r="AY955" s="255">
        <f t="shared" si="536"/>
        <v>0</v>
      </c>
      <c r="AZ955" s="232">
        <f t="shared" si="537"/>
        <v>0</v>
      </c>
      <c r="BA955" s="255">
        <f t="shared" si="538"/>
        <v>0</v>
      </c>
      <c r="BB955" s="31">
        <f t="shared" si="539"/>
        <v>0</v>
      </c>
      <c r="BC955" s="255">
        <f t="shared" si="540"/>
        <v>0</v>
      </c>
      <c r="BD955" s="31">
        <f t="shared" si="541"/>
        <v>12.5</v>
      </c>
      <c r="BE955" s="255">
        <f t="shared" si="542"/>
        <v>10</v>
      </c>
      <c r="BF955" s="31">
        <f t="shared" si="543"/>
        <v>0</v>
      </c>
      <c r="BG955" s="255">
        <f t="shared" si="544"/>
        <v>0</v>
      </c>
      <c r="BH955" s="31">
        <f t="shared" si="545"/>
        <v>0</v>
      </c>
      <c r="BI955" s="255">
        <f t="shared" si="546"/>
        <v>0</v>
      </c>
      <c r="BJ955" s="31">
        <f t="shared" si="547"/>
        <v>0</v>
      </c>
      <c r="BK955" s="31">
        <f t="shared" si="548"/>
        <v>0</v>
      </c>
      <c r="BL955" s="255">
        <f t="shared" si="549"/>
        <v>0</v>
      </c>
      <c r="BM955" s="31">
        <f t="shared" si="550"/>
        <v>0</v>
      </c>
      <c r="BN955" s="255">
        <f t="shared" si="551"/>
        <v>0</v>
      </c>
    </row>
    <row r="956" spans="1:66" x14ac:dyDescent="0.25">
      <c r="A956" s="18" t="s">
        <v>2209</v>
      </c>
      <c r="B956" s="186" t="str">
        <f>VLOOKUP(A956,kurspris!$A$1:$B$877,2,FALSE)</f>
        <v>Mobbning i lärmiljöer</v>
      </c>
      <c r="C956" s="37"/>
      <c r="D956" t="s">
        <v>117</v>
      </c>
      <c r="E956"/>
      <c r="F956" s="59" t="s">
        <v>1930</v>
      </c>
      <c r="G956"/>
      <c r="H956"/>
      <c r="I956" t="s">
        <v>2066</v>
      </c>
      <c r="L956">
        <v>25</v>
      </c>
      <c r="M956">
        <v>7.5</v>
      </c>
      <c r="P956" s="31">
        <v>45</v>
      </c>
      <c r="Q956" s="232">
        <f t="shared" si="524"/>
        <v>5.625</v>
      </c>
      <c r="R956" s="40">
        <v>0.8</v>
      </c>
      <c r="S956" s="334">
        <f t="shared" si="525"/>
        <v>4.5</v>
      </c>
      <c r="T956" s="31">
        <f>VLOOKUP(A956,'Ansvar kurs'!$A$1:$C$1010,2,FALSE)</f>
        <v>2193</v>
      </c>
      <c r="U956" s="31" t="str">
        <f>VLOOKUP(T956,Orgenheter!$A$1:$C$165,2,FALSE)</f>
        <v xml:space="preserve">TUV </v>
      </c>
      <c r="V956" s="31" t="str">
        <f>VLOOKUP(T956,Orgenheter!$A$1:$C$165,3,FALSE)</f>
        <v>Sam</v>
      </c>
      <c r="W956" s="37" t="str">
        <f>VLOOKUP(D956,Program!$A$1:$B$34,2,FALSE)</f>
        <v>Fristående och övriga kurser</v>
      </c>
      <c r="X956" s="42">
        <f>VLOOKUP(A956,kurspris!$A$1:$Q$798,15,FALSE)</f>
        <v>18405</v>
      </c>
      <c r="Y956" s="42">
        <f>VLOOKUP(A956,kurspris!$A$1:$Q$798,16,FALSE)</f>
        <v>15773</v>
      </c>
      <c r="Z956" s="42">
        <f t="shared" si="526"/>
        <v>174506.625</v>
      </c>
      <c r="AA956" s="42">
        <f>VLOOKUP(A956,kurspris!$A$1:$Q$798,17,FALSE)</f>
        <v>5800</v>
      </c>
      <c r="AB956" s="42">
        <f t="shared" si="527"/>
        <v>32625</v>
      </c>
      <c r="AC956" s="42">
        <f t="shared" si="528"/>
        <v>207131.625</v>
      </c>
      <c r="AD956" s="31">
        <f>VLOOKUP($A956,kurspris!$A$1:$Q$835,3,FALSE)</f>
        <v>0</v>
      </c>
      <c r="AE956" s="31">
        <f>VLOOKUP($A956,kurspris!$A$1:$Q$835,4,FALSE)</f>
        <v>0</v>
      </c>
      <c r="AF956" s="31">
        <f>VLOOKUP($A956,kurspris!$A$1:$Q$835,5,FALSE)</f>
        <v>0</v>
      </c>
      <c r="AG956" s="31">
        <f>VLOOKUP($A956,kurspris!$A$1:$Q$835,6,FALSE)</f>
        <v>0</v>
      </c>
      <c r="AH956" s="31">
        <f>VLOOKUP($A956,kurspris!$A$1:$Q$835,7,FALSE)</f>
        <v>0</v>
      </c>
      <c r="AI956" s="31">
        <f>VLOOKUP($A956,kurspris!$A$1:$Q$835,8,FALSE)</f>
        <v>0</v>
      </c>
      <c r="AJ956" s="31">
        <f>VLOOKUP($A956,kurspris!$A$1:$Q$835,9,FALSE)</f>
        <v>1</v>
      </c>
      <c r="AK956" s="31">
        <f>VLOOKUP($A956,kurspris!$A$1:$Q$835,10,FALSE)</f>
        <v>0</v>
      </c>
      <c r="AL956" s="31">
        <f>VLOOKUP($A956,kurspris!$A$1:$Q$835,11,FALSE)</f>
        <v>0</v>
      </c>
      <c r="AM956" s="31">
        <f>VLOOKUP($A956,kurspris!$A$1:$Q$835,12,FALSE)</f>
        <v>0</v>
      </c>
      <c r="AN956" s="31">
        <f>VLOOKUP($A956,kurspris!$A$1:$Q$835,13,FALSE)</f>
        <v>0</v>
      </c>
      <c r="AO956" s="31">
        <f>VLOOKUP($A956,kurspris!$A$1:$Q$835,14,FALSE)</f>
        <v>0</v>
      </c>
      <c r="AP956" s="39" t="s">
        <v>2204</v>
      </c>
      <c r="AQ956" s="39" t="s">
        <v>2095</v>
      </c>
      <c r="AR956" s="31">
        <f t="shared" si="529"/>
        <v>0</v>
      </c>
      <c r="AS956" s="255">
        <f t="shared" si="530"/>
        <v>0</v>
      </c>
      <c r="AT956" s="31">
        <f t="shared" si="531"/>
        <v>0</v>
      </c>
      <c r="AU956" s="255">
        <f t="shared" si="532"/>
        <v>0</v>
      </c>
      <c r="AV956" s="31">
        <f t="shared" si="533"/>
        <v>0</v>
      </c>
      <c r="AW956" s="31">
        <f t="shared" si="534"/>
        <v>0</v>
      </c>
      <c r="AX956" s="31">
        <f t="shared" si="535"/>
        <v>0</v>
      </c>
      <c r="AY956" s="255">
        <f t="shared" si="536"/>
        <v>0</v>
      </c>
      <c r="AZ956" s="232">
        <f t="shared" si="537"/>
        <v>0</v>
      </c>
      <c r="BA956" s="255">
        <f t="shared" si="538"/>
        <v>0</v>
      </c>
      <c r="BB956" s="31">
        <f t="shared" si="539"/>
        <v>0</v>
      </c>
      <c r="BC956" s="255">
        <f t="shared" si="540"/>
        <v>0</v>
      </c>
      <c r="BD956" s="31">
        <f t="shared" si="541"/>
        <v>5.625</v>
      </c>
      <c r="BE956" s="255">
        <f t="shared" si="542"/>
        <v>4.5</v>
      </c>
      <c r="BF956" s="31">
        <f t="shared" si="543"/>
        <v>0</v>
      </c>
      <c r="BG956" s="255">
        <f t="shared" si="544"/>
        <v>0</v>
      </c>
      <c r="BH956" s="31">
        <f t="shared" si="545"/>
        <v>0</v>
      </c>
      <c r="BI956" s="255">
        <f t="shared" si="546"/>
        <v>0</v>
      </c>
      <c r="BJ956" s="31">
        <f t="shared" si="547"/>
        <v>0</v>
      </c>
      <c r="BK956" s="31">
        <f t="shared" si="548"/>
        <v>0</v>
      </c>
      <c r="BL956" s="255">
        <f t="shared" si="549"/>
        <v>0</v>
      </c>
      <c r="BM956" s="31">
        <f t="shared" si="550"/>
        <v>0</v>
      </c>
      <c r="BN956" s="255">
        <f t="shared" si="551"/>
        <v>0</v>
      </c>
    </row>
    <row r="957" spans="1:66" x14ac:dyDescent="0.25">
      <c r="A957" s="18" t="s">
        <v>2209</v>
      </c>
      <c r="B957" s="186" t="str">
        <f>VLOOKUP(A957,kurspris!$A$1:$B$877,2,FALSE)</f>
        <v>Mobbning i lärmiljöer</v>
      </c>
      <c r="C957" s="37"/>
      <c r="D957" t="s">
        <v>117</v>
      </c>
      <c r="E957"/>
      <c r="F957" s="59" t="s">
        <v>1931</v>
      </c>
      <c r="G957"/>
      <c r="H957"/>
      <c r="I957" t="s">
        <v>2066</v>
      </c>
      <c r="L957">
        <v>25</v>
      </c>
      <c r="M957">
        <v>7.5</v>
      </c>
      <c r="P957">
        <v>50</v>
      </c>
      <c r="Q957" s="232">
        <f t="shared" si="524"/>
        <v>6.25</v>
      </c>
      <c r="R957" s="40">
        <v>0.8</v>
      </c>
      <c r="S957" s="334">
        <f t="shared" si="525"/>
        <v>5</v>
      </c>
      <c r="T957" s="31">
        <f>VLOOKUP(A957,'Ansvar kurs'!$A$1:$C$1010,2,FALSE)</f>
        <v>2193</v>
      </c>
      <c r="U957" s="31" t="str">
        <f>VLOOKUP(T957,Orgenheter!$A$1:$C$165,2,FALSE)</f>
        <v xml:space="preserve">TUV </v>
      </c>
      <c r="V957" s="31" t="str">
        <f>VLOOKUP(T957,Orgenheter!$A$1:$C$165,3,FALSE)</f>
        <v>Sam</v>
      </c>
      <c r="W957" s="37" t="str">
        <f>VLOOKUP(D957,Program!$A$1:$B$34,2,FALSE)</f>
        <v>Fristående och övriga kurser</v>
      </c>
      <c r="X957" s="42">
        <f>VLOOKUP(A957,kurspris!$A$1:$Q$798,15,FALSE)</f>
        <v>18405</v>
      </c>
      <c r="Y957" s="42">
        <f>VLOOKUP(A957,kurspris!$A$1:$Q$798,16,FALSE)</f>
        <v>15773</v>
      </c>
      <c r="Z957" s="42">
        <f t="shared" si="526"/>
        <v>193896.25</v>
      </c>
      <c r="AA957" s="42">
        <f>VLOOKUP(A957,kurspris!$A$1:$Q$798,17,FALSE)</f>
        <v>5800</v>
      </c>
      <c r="AB957" s="42">
        <f t="shared" si="527"/>
        <v>36250</v>
      </c>
      <c r="AC957" s="42">
        <f t="shared" si="528"/>
        <v>230146.25</v>
      </c>
      <c r="AD957" s="31">
        <f>VLOOKUP($A957,kurspris!$A$1:$Q$835,3,FALSE)</f>
        <v>0</v>
      </c>
      <c r="AE957" s="31">
        <f>VLOOKUP($A957,kurspris!$A$1:$Q$835,4,FALSE)</f>
        <v>0</v>
      </c>
      <c r="AF957" s="31">
        <f>VLOOKUP($A957,kurspris!$A$1:$Q$835,5,FALSE)</f>
        <v>0</v>
      </c>
      <c r="AG957" s="31">
        <f>VLOOKUP($A957,kurspris!$A$1:$Q$835,6,FALSE)</f>
        <v>0</v>
      </c>
      <c r="AH957" s="31">
        <f>VLOOKUP($A957,kurspris!$A$1:$Q$835,7,FALSE)</f>
        <v>0</v>
      </c>
      <c r="AI957" s="31">
        <f>VLOOKUP($A957,kurspris!$A$1:$Q$835,8,FALSE)</f>
        <v>0</v>
      </c>
      <c r="AJ957" s="31">
        <f>VLOOKUP($A957,kurspris!$A$1:$Q$835,9,FALSE)</f>
        <v>1</v>
      </c>
      <c r="AK957" s="31">
        <f>VLOOKUP($A957,kurspris!$A$1:$Q$835,10,FALSE)</f>
        <v>0</v>
      </c>
      <c r="AL957" s="31">
        <f>VLOOKUP($A957,kurspris!$A$1:$Q$835,11,FALSE)</f>
        <v>0</v>
      </c>
      <c r="AM957" s="31">
        <f>VLOOKUP($A957,kurspris!$A$1:$Q$835,12,FALSE)</f>
        <v>0</v>
      </c>
      <c r="AN957" s="31">
        <f>VLOOKUP($A957,kurspris!$A$1:$Q$835,13,FALSE)</f>
        <v>0</v>
      </c>
      <c r="AO957" s="31">
        <f>VLOOKUP($A957,kurspris!$A$1:$Q$835,14,FALSE)</f>
        <v>0</v>
      </c>
      <c r="AP957" s="39" t="s">
        <v>2095</v>
      </c>
      <c r="AQ957"/>
      <c r="AR957" s="31">
        <f t="shared" si="529"/>
        <v>0</v>
      </c>
      <c r="AS957" s="255">
        <f t="shared" si="530"/>
        <v>0</v>
      </c>
      <c r="AT957" s="31">
        <f t="shared" si="531"/>
        <v>0</v>
      </c>
      <c r="AU957" s="255">
        <f t="shared" si="532"/>
        <v>0</v>
      </c>
      <c r="AV957" s="31">
        <f t="shared" si="533"/>
        <v>0</v>
      </c>
      <c r="AW957" s="31">
        <f t="shared" si="534"/>
        <v>0</v>
      </c>
      <c r="AX957" s="31">
        <f t="shared" si="535"/>
        <v>0</v>
      </c>
      <c r="AY957" s="255">
        <f t="shared" si="536"/>
        <v>0</v>
      </c>
      <c r="AZ957" s="232">
        <f t="shared" si="537"/>
        <v>0</v>
      </c>
      <c r="BA957" s="255">
        <f t="shared" si="538"/>
        <v>0</v>
      </c>
      <c r="BB957" s="31">
        <f t="shared" si="539"/>
        <v>0</v>
      </c>
      <c r="BC957" s="255">
        <f t="shared" si="540"/>
        <v>0</v>
      </c>
      <c r="BD957" s="31">
        <f t="shared" si="541"/>
        <v>6.25</v>
      </c>
      <c r="BE957" s="255">
        <f t="shared" si="542"/>
        <v>5</v>
      </c>
      <c r="BF957" s="31">
        <f t="shared" si="543"/>
        <v>0</v>
      </c>
      <c r="BG957" s="255">
        <f t="shared" si="544"/>
        <v>0</v>
      </c>
      <c r="BH957" s="31">
        <f t="shared" si="545"/>
        <v>0</v>
      </c>
      <c r="BI957" s="255">
        <f t="shared" si="546"/>
        <v>0</v>
      </c>
      <c r="BJ957" s="31">
        <f t="shared" si="547"/>
        <v>0</v>
      </c>
      <c r="BK957" s="31">
        <f t="shared" si="548"/>
        <v>0</v>
      </c>
      <c r="BL957" s="255">
        <f t="shared" si="549"/>
        <v>0</v>
      </c>
      <c r="BM957" s="31">
        <f t="shared" si="550"/>
        <v>0</v>
      </c>
      <c r="BN957" s="255">
        <f t="shared" si="551"/>
        <v>0</v>
      </c>
    </row>
    <row r="958" spans="1:66" x14ac:dyDescent="0.25">
      <c r="A958" s="18" t="s">
        <v>2148</v>
      </c>
      <c r="B958" s="186" t="str">
        <f>VLOOKUP(A958,kurspris!$A$1:$B$877,2,FALSE)</f>
        <v>Kurs i examensarbete - Matematikutveckling</v>
      </c>
      <c r="C958" s="37"/>
      <c r="D958" s="31" t="s">
        <v>115</v>
      </c>
      <c r="E958" s="31" t="s">
        <v>1788</v>
      </c>
      <c r="F958" s="59" t="s">
        <v>1931</v>
      </c>
      <c r="G958" s="31" t="s">
        <v>2281</v>
      </c>
      <c r="J958" t="s">
        <v>2163</v>
      </c>
      <c r="L958" s="31">
        <v>100</v>
      </c>
      <c r="M958" s="31">
        <v>15</v>
      </c>
      <c r="P958" s="31">
        <v>8</v>
      </c>
      <c r="Q958" s="232">
        <f t="shared" si="524"/>
        <v>2</v>
      </c>
      <c r="R958" s="40">
        <v>0.85</v>
      </c>
      <c r="S958" s="334">
        <f t="shared" si="525"/>
        <v>1.7</v>
      </c>
      <c r="T958" s="31">
        <f>VLOOKUP(A958,'Ansvar kurs'!$A$1:$C$1010,2,FALSE)</f>
        <v>5740</v>
      </c>
      <c r="U958" s="31" t="str">
        <f>VLOOKUP(T958,Orgenheter!$A$1:$C$165,2,FALSE)</f>
        <v>NMD</v>
      </c>
      <c r="V958" s="31" t="str">
        <f>VLOOKUP(T958,Orgenheter!$A$1:$C$165,3,FALSE)</f>
        <v>TekNat</v>
      </c>
      <c r="W958" s="37" t="str">
        <f>VLOOKUP(D958,Program!$A$1:$B$34,2,FALSE)</f>
        <v>Speciallärarprogrammet</v>
      </c>
      <c r="X958" s="42">
        <f>VLOOKUP(A958,kurspris!$A$1:$Q$798,15,FALSE)</f>
        <v>19473</v>
      </c>
      <c r="Y958" s="42">
        <f>VLOOKUP(A958,kurspris!$A$1:$Q$798,16,FALSE)</f>
        <v>34806</v>
      </c>
      <c r="Z958" s="42">
        <f t="shared" si="526"/>
        <v>98116.2</v>
      </c>
      <c r="AA958" s="42">
        <f>VLOOKUP(A958,kurspris!$A$1:$Q$798,17,FALSE)</f>
        <v>21800</v>
      </c>
      <c r="AB958" s="42">
        <f t="shared" si="527"/>
        <v>43600</v>
      </c>
      <c r="AC958" s="42">
        <f t="shared" si="528"/>
        <v>141716.20000000001</v>
      </c>
      <c r="AD958" s="31">
        <f>VLOOKUP($A958,kurspris!$A$1:$Q$835,3,FALSE)</f>
        <v>0</v>
      </c>
      <c r="AE958" s="31">
        <f>VLOOKUP($A958,kurspris!$A$1:$Q$835,4,FALSE)</f>
        <v>0</v>
      </c>
      <c r="AF958" s="31">
        <f>VLOOKUP($A958,kurspris!$A$1:$Q$835,5,FALSE)</f>
        <v>0</v>
      </c>
      <c r="AG958" s="31">
        <f>VLOOKUP($A958,kurspris!$A$1:$Q$835,6,FALSE)</f>
        <v>0</v>
      </c>
      <c r="AH958" s="31">
        <f>VLOOKUP($A958,kurspris!$A$1:$Q$835,7,FALSE)</f>
        <v>0</v>
      </c>
      <c r="AI958" s="31">
        <f>VLOOKUP($A958,kurspris!$A$1:$Q$835,8,FALSE)</f>
        <v>1</v>
      </c>
      <c r="AJ958" s="31">
        <f>VLOOKUP($A958,kurspris!$A$1:$Q$835,9,FALSE)</f>
        <v>0</v>
      </c>
      <c r="AK958" s="31">
        <f>VLOOKUP($A958,kurspris!$A$1:$Q$835,10,FALSE)</f>
        <v>0</v>
      </c>
      <c r="AL958" s="31">
        <f>VLOOKUP($A958,kurspris!$A$1:$Q$835,11,FALSE)</f>
        <v>0</v>
      </c>
      <c r="AM958" s="31">
        <f>VLOOKUP($A958,kurspris!$A$1:$Q$835,12,FALSE)</f>
        <v>0</v>
      </c>
      <c r="AN958" s="31">
        <f>VLOOKUP($A958,kurspris!$A$1:$Q$835,13,FALSE)</f>
        <v>0</v>
      </c>
      <c r="AO958" s="31">
        <f>VLOOKUP($A958,kurspris!$A$1:$Q$835,14,FALSE)</f>
        <v>0</v>
      </c>
      <c r="AP958" s="39" t="s">
        <v>2326</v>
      </c>
      <c r="AQ958"/>
      <c r="AR958" s="31">
        <f t="shared" si="529"/>
        <v>0</v>
      </c>
      <c r="AS958" s="255">
        <f t="shared" si="530"/>
        <v>0</v>
      </c>
      <c r="AT958" s="31">
        <f t="shared" si="531"/>
        <v>0</v>
      </c>
      <c r="AU958" s="255">
        <f t="shared" si="532"/>
        <v>0</v>
      </c>
      <c r="AV958" s="31">
        <f t="shared" si="533"/>
        <v>0</v>
      </c>
      <c r="AW958" s="31">
        <f t="shared" si="534"/>
        <v>0</v>
      </c>
      <c r="AX958" s="31">
        <f t="shared" si="535"/>
        <v>0</v>
      </c>
      <c r="AY958" s="255">
        <f t="shared" si="536"/>
        <v>0</v>
      </c>
      <c r="AZ958" s="232">
        <f t="shared" si="537"/>
        <v>0</v>
      </c>
      <c r="BA958" s="255">
        <f t="shared" si="538"/>
        <v>0</v>
      </c>
      <c r="BB958" s="31">
        <f t="shared" si="539"/>
        <v>2</v>
      </c>
      <c r="BC958" s="255">
        <f t="shared" si="540"/>
        <v>1.7</v>
      </c>
      <c r="BD958" s="31">
        <f t="shared" si="541"/>
        <v>0</v>
      </c>
      <c r="BE958" s="255">
        <f t="shared" si="542"/>
        <v>0</v>
      </c>
      <c r="BF958" s="31">
        <f t="shared" si="543"/>
        <v>0</v>
      </c>
      <c r="BG958" s="255">
        <f t="shared" si="544"/>
        <v>0</v>
      </c>
      <c r="BH958" s="31">
        <f t="shared" si="545"/>
        <v>0</v>
      </c>
      <c r="BI958" s="255">
        <f t="shared" si="546"/>
        <v>0</v>
      </c>
      <c r="BJ958" s="31">
        <f t="shared" si="547"/>
        <v>0</v>
      </c>
      <c r="BK958" s="31">
        <f t="shared" si="548"/>
        <v>0</v>
      </c>
      <c r="BL958" s="255">
        <f t="shared" si="549"/>
        <v>0</v>
      </c>
      <c r="BM958" s="31">
        <f t="shared" si="550"/>
        <v>0</v>
      </c>
      <c r="BN958" s="255">
        <f t="shared" si="551"/>
        <v>0</v>
      </c>
    </row>
    <row r="959" spans="1:66" x14ac:dyDescent="0.25">
      <c r="A959" s="186" t="s">
        <v>2185</v>
      </c>
      <c r="B959" s="186" t="str">
        <f>VLOOKUP(A959,kurspris!$A$1:$B$877,2,FALSE)</f>
        <v>Undervisning och kvalitetsutveckling i förskola respektive fritidshem</v>
      </c>
      <c r="C959" s="37"/>
      <c r="D959" t="s">
        <v>117</v>
      </c>
      <c r="E959"/>
      <c r="F959" s="59" t="s">
        <v>1931</v>
      </c>
      <c r="G959"/>
      <c r="H959"/>
      <c r="I959" t="s">
        <v>2066</v>
      </c>
      <c r="L959">
        <v>50</v>
      </c>
      <c r="M959">
        <v>15</v>
      </c>
      <c r="P959">
        <v>30</v>
      </c>
      <c r="Q959" s="232">
        <f t="shared" si="524"/>
        <v>7.5</v>
      </c>
      <c r="R959" s="40">
        <v>0.8</v>
      </c>
      <c r="S959" s="334">
        <f t="shared" si="525"/>
        <v>6</v>
      </c>
      <c r="T959" s="31">
        <f>VLOOKUP(A959,'Ansvar kurs'!$A$1:$C$1010,2,FALSE)</f>
        <v>2193</v>
      </c>
      <c r="U959" s="31" t="str">
        <f>VLOOKUP(T959,Orgenheter!$A$1:$C$165,2,FALSE)</f>
        <v xml:space="preserve">TUV </v>
      </c>
      <c r="V959" s="31" t="str">
        <f>VLOOKUP(T959,Orgenheter!$A$1:$C$165,3,FALSE)</f>
        <v>Sam</v>
      </c>
      <c r="W959" s="37" t="str">
        <f>VLOOKUP(D959,Program!$A$1:$B$34,2,FALSE)</f>
        <v>Fristående och övriga kurser</v>
      </c>
      <c r="X959" s="42">
        <f>VLOOKUP(A959,kurspris!$A$1:$Q$798,15,FALSE)</f>
        <v>18405</v>
      </c>
      <c r="Y959" s="42">
        <f>VLOOKUP(A959,kurspris!$A$1:$Q$798,16,FALSE)</f>
        <v>15773</v>
      </c>
      <c r="Z959" s="42">
        <f t="shared" si="526"/>
        <v>232675.5</v>
      </c>
      <c r="AA959" s="42">
        <f>VLOOKUP(A959,kurspris!$A$1:$Q$798,17,FALSE)</f>
        <v>5800</v>
      </c>
      <c r="AB959" s="42">
        <f t="shared" si="527"/>
        <v>43500</v>
      </c>
      <c r="AC959" s="42">
        <f t="shared" si="528"/>
        <v>276175.5</v>
      </c>
      <c r="AD959" s="31">
        <f>VLOOKUP($A959,kurspris!$A$1:$Q$835,3,FALSE)</f>
        <v>0</v>
      </c>
      <c r="AE959" s="31">
        <f>VLOOKUP($A959,kurspris!$A$1:$Q$835,4,FALSE)</f>
        <v>0</v>
      </c>
      <c r="AF959" s="31">
        <f>VLOOKUP($A959,kurspris!$A$1:$Q$835,5,FALSE)</f>
        <v>0</v>
      </c>
      <c r="AG959" s="31">
        <f>VLOOKUP($A959,kurspris!$A$1:$Q$835,6,FALSE)</f>
        <v>0</v>
      </c>
      <c r="AH959" s="31">
        <f>VLOOKUP($A959,kurspris!$A$1:$Q$835,7,FALSE)</f>
        <v>0</v>
      </c>
      <c r="AI959" s="31">
        <f>VLOOKUP($A959,kurspris!$A$1:$Q$835,8,FALSE)</f>
        <v>0</v>
      </c>
      <c r="AJ959" s="31">
        <f>VLOOKUP($A959,kurspris!$A$1:$Q$835,9,FALSE)</f>
        <v>1</v>
      </c>
      <c r="AK959" s="31">
        <f>VLOOKUP($A959,kurspris!$A$1:$Q$835,10,FALSE)</f>
        <v>0</v>
      </c>
      <c r="AL959" s="31">
        <f>VLOOKUP($A959,kurspris!$A$1:$Q$835,11,FALSE)</f>
        <v>0</v>
      </c>
      <c r="AM959" s="31">
        <f>VLOOKUP($A959,kurspris!$A$1:$Q$835,12,FALSE)</f>
        <v>0</v>
      </c>
      <c r="AN959" s="31">
        <f>VLOOKUP($A959,kurspris!$A$1:$Q$835,13,FALSE)</f>
        <v>0</v>
      </c>
      <c r="AO959" s="31">
        <f>VLOOKUP($A959,kurspris!$A$1:$Q$835,14,FALSE)</f>
        <v>0</v>
      </c>
      <c r="AP959" s="39" t="s">
        <v>2144</v>
      </c>
      <c r="AQ959"/>
      <c r="AR959" s="31">
        <f t="shared" si="529"/>
        <v>0</v>
      </c>
      <c r="AS959" s="255">
        <f t="shared" si="530"/>
        <v>0</v>
      </c>
      <c r="AT959" s="31">
        <f t="shared" si="531"/>
        <v>0</v>
      </c>
      <c r="AU959" s="255">
        <f t="shared" si="532"/>
        <v>0</v>
      </c>
      <c r="AV959" s="31">
        <f t="shared" si="533"/>
        <v>0</v>
      </c>
      <c r="AW959" s="31">
        <f t="shared" si="534"/>
        <v>0</v>
      </c>
      <c r="AX959" s="31">
        <f t="shared" si="535"/>
        <v>0</v>
      </c>
      <c r="AY959" s="255">
        <f t="shared" si="536"/>
        <v>0</v>
      </c>
      <c r="AZ959" s="232">
        <f t="shared" si="537"/>
        <v>0</v>
      </c>
      <c r="BA959" s="255">
        <f t="shared" si="538"/>
        <v>0</v>
      </c>
      <c r="BB959" s="31">
        <f t="shared" si="539"/>
        <v>0</v>
      </c>
      <c r="BC959" s="255">
        <f t="shared" si="540"/>
        <v>0</v>
      </c>
      <c r="BD959" s="31">
        <f t="shared" si="541"/>
        <v>7.5</v>
      </c>
      <c r="BE959" s="255">
        <f t="shared" si="542"/>
        <v>6</v>
      </c>
      <c r="BF959" s="31">
        <f t="shared" si="543"/>
        <v>0</v>
      </c>
      <c r="BG959" s="255">
        <f t="shared" si="544"/>
        <v>0</v>
      </c>
      <c r="BH959" s="31">
        <f t="shared" si="545"/>
        <v>0</v>
      </c>
      <c r="BI959" s="255">
        <f t="shared" si="546"/>
        <v>0</v>
      </c>
      <c r="BJ959" s="31">
        <f t="shared" si="547"/>
        <v>0</v>
      </c>
      <c r="BK959" s="31">
        <f t="shared" si="548"/>
        <v>0</v>
      </c>
      <c r="BL959" s="255">
        <f t="shared" si="549"/>
        <v>0</v>
      </c>
      <c r="BM959" s="31">
        <f t="shared" si="550"/>
        <v>0</v>
      </c>
      <c r="BN959" s="255">
        <f t="shared" si="551"/>
        <v>0</v>
      </c>
    </row>
    <row r="960" spans="1:66" x14ac:dyDescent="0.25">
      <c r="A960" s="59" t="s">
        <v>2146</v>
      </c>
      <c r="B960" s="186" t="str">
        <f>VLOOKUP(A960,kurspris!$A$1:$B$877,2,FALSE)</f>
        <v>Språk och matematik i ett specialpedagogiskt perspektiv</v>
      </c>
      <c r="C960" s="37"/>
      <c r="D960" s="59" t="s">
        <v>120</v>
      </c>
      <c r="E960" s="62" t="s">
        <v>1994</v>
      </c>
      <c r="F960" s="59" t="s">
        <v>1931</v>
      </c>
      <c r="G960" s="31" t="s">
        <v>2269</v>
      </c>
      <c r="I960" s="62"/>
      <c r="J960" s="62"/>
      <c r="L960" s="31">
        <v>100</v>
      </c>
      <c r="M960" s="378">
        <v>7.5</v>
      </c>
      <c r="N960" s="40"/>
      <c r="P960" s="377">
        <v>1</v>
      </c>
      <c r="Q960" s="232">
        <f t="shared" si="524"/>
        <v>0.125</v>
      </c>
      <c r="R960" s="40">
        <v>0.85</v>
      </c>
      <c r="S960" s="334">
        <f t="shared" si="525"/>
        <v>0.10625</v>
      </c>
      <c r="T960" s="31">
        <f>VLOOKUP(A960,'Ansvar kurs'!$A$1:$C$1010,2,FALSE)</f>
        <v>5740</v>
      </c>
      <c r="U960" s="31" t="str">
        <f>VLOOKUP(T960,Orgenheter!$A$1:$C$165,2,FALSE)</f>
        <v>NMD</v>
      </c>
      <c r="V960" s="31" t="str">
        <f>VLOOKUP(T960,Orgenheter!$A$1:$C$165,3,FALSE)</f>
        <v>TekNat</v>
      </c>
      <c r="W960" s="37" t="str">
        <f>VLOOKUP(D960,Program!$A$1:$B$34,2,FALSE)</f>
        <v>Specialpedagogprogrammet</v>
      </c>
      <c r="X960" s="42">
        <f>VLOOKUP(A960,kurspris!$A$1:$Q$798,15,FALSE)</f>
        <v>19473</v>
      </c>
      <c r="Y960" s="42">
        <f>VLOOKUP(A960,kurspris!$A$1:$Q$798,16,FALSE)</f>
        <v>34806</v>
      </c>
      <c r="Z960" s="42">
        <f t="shared" si="526"/>
        <v>6132.2624999999998</v>
      </c>
      <c r="AA960" s="42">
        <f>VLOOKUP(A960,kurspris!$A$1:$Q$798,17,FALSE)</f>
        <v>21800</v>
      </c>
      <c r="AB960" s="42">
        <f t="shared" si="527"/>
        <v>2725</v>
      </c>
      <c r="AC960" s="42">
        <f t="shared" si="528"/>
        <v>8857.2625000000007</v>
      </c>
      <c r="AD960" s="31">
        <f>VLOOKUP($A960,kurspris!$A$1:$Q$835,3,FALSE)</f>
        <v>0</v>
      </c>
      <c r="AE960" s="31">
        <f>VLOOKUP($A960,kurspris!$A$1:$Q$835,4,FALSE)</f>
        <v>0</v>
      </c>
      <c r="AF960" s="31">
        <f>VLOOKUP($A960,kurspris!$A$1:$Q$835,5,FALSE)</f>
        <v>0</v>
      </c>
      <c r="AG960" s="31">
        <f>VLOOKUP($A960,kurspris!$A$1:$Q$835,6,FALSE)</f>
        <v>0</v>
      </c>
      <c r="AH960" s="31">
        <f>VLOOKUP($A960,kurspris!$A$1:$Q$835,7,FALSE)</f>
        <v>0</v>
      </c>
      <c r="AI960" s="31">
        <f>VLOOKUP($A960,kurspris!$A$1:$Q$835,8,FALSE)</f>
        <v>1</v>
      </c>
      <c r="AJ960" s="31">
        <f>VLOOKUP($A960,kurspris!$A$1:$Q$835,9,FALSE)</f>
        <v>0</v>
      </c>
      <c r="AK960" s="31">
        <f>VLOOKUP($A960,kurspris!$A$1:$Q$835,10,FALSE)</f>
        <v>0</v>
      </c>
      <c r="AL960" s="31">
        <f>VLOOKUP($A960,kurspris!$A$1:$Q$835,11,FALSE)</f>
        <v>0</v>
      </c>
      <c r="AM960" s="31">
        <f>VLOOKUP($A960,kurspris!$A$1:$Q$835,12,FALSE)</f>
        <v>0</v>
      </c>
      <c r="AN960" s="31">
        <f>VLOOKUP($A960,kurspris!$A$1:$Q$835,13,FALSE)</f>
        <v>0</v>
      </c>
      <c r="AO960" s="31">
        <f>VLOOKUP($A960,kurspris!$A$1:$Q$835,14,FALSE)</f>
        <v>0</v>
      </c>
      <c r="AP960" s="39" t="s">
        <v>2326</v>
      </c>
      <c r="AQ960"/>
      <c r="AR960" s="31">
        <f t="shared" si="529"/>
        <v>0</v>
      </c>
      <c r="AS960" s="255">
        <f t="shared" si="530"/>
        <v>0</v>
      </c>
      <c r="AT960" s="31">
        <f t="shared" si="531"/>
        <v>0</v>
      </c>
      <c r="AU960" s="255">
        <f t="shared" si="532"/>
        <v>0</v>
      </c>
      <c r="AV960" s="31">
        <f t="shared" si="533"/>
        <v>0</v>
      </c>
      <c r="AW960" s="31">
        <f t="shared" si="534"/>
        <v>0</v>
      </c>
      <c r="AX960" s="31">
        <f t="shared" si="535"/>
        <v>0</v>
      </c>
      <c r="AY960" s="255">
        <f t="shared" si="536"/>
        <v>0</v>
      </c>
      <c r="AZ960" s="232">
        <f t="shared" si="537"/>
        <v>0</v>
      </c>
      <c r="BA960" s="255">
        <f t="shared" si="538"/>
        <v>0</v>
      </c>
      <c r="BB960" s="31">
        <f t="shared" si="539"/>
        <v>0.125</v>
      </c>
      <c r="BC960" s="255">
        <f t="shared" si="540"/>
        <v>0.10625</v>
      </c>
      <c r="BD960" s="31">
        <f t="shared" si="541"/>
        <v>0</v>
      </c>
      <c r="BE960" s="255">
        <f t="shared" si="542"/>
        <v>0</v>
      </c>
      <c r="BF960" s="31">
        <f t="shared" si="543"/>
        <v>0</v>
      </c>
      <c r="BG960" s="255">
        <f t="shared" si="544"/>
        <v>0</v>
      </c>
      <c r="BH960" s="31">
        <f t="shared" si="545"/>
        <v>0</v>
      </c>
      <c r="BI960" s="255">
        <f t="shared" si="546"/>
        <v>0</v>
      </c>
      <c r="BJ960" s="31">
        <f t="shared" si="547"/>
        <v>0</v>
      </c>
      <c r="BK960" s="31">
        <f t="shared" si="548"/>
        <v>0</v>
      </c>
      <c r="BL960" s="255">
        <f t="shared" si="549"/>
        <v>0</v>
      </c>
      <c r="BM960" s="31">
        <f t="shared" si="550"/>
        <v>0</v>
      </c>
      <c r="BN960" s="255">
        <f t="shared" si="551"/>
        <v>0</v>
      </c>
    </row>
    <row r="961" spans="1:66" x14ac:dyDescent="0.25">
      <c r="A961" s="59" t="s">
        <v>2146</v>
      </c>
      <c r="B961" s="186" t="str">
        <f>VLOOKUP(A961,kurspris!$A$1:$B$877,2,FALSE)</f>
        <v>Språk och matematik i ett specialpedagogiskt perspektiv</v>
      </c>
      <c r="C961" s="37"/>
      <c r="D961" s="59" t="s">
        <v>120</v>
      </c>
      <c r="E961" s="62" t="s">
        <v>1788</v>
      </c>
      <c r="F961" s="59" t="s">
        <v>1931</v>
      </c>
      <c r="G961" s="31" t="s">
        <v>2269</v>
      </c>
      <c r="I961" s="62"/>
      <c r="J961" s="62"/>
      <c r="L961" s="31">
        <v>100</v>
      </c>
      <c r="M961" s="378">
        <v>7.5</v>
      </c>
      <c r="N961" s="40"/>
      <c r="P961" s="377">
        <v>35</v>
      </c>
      <c r="Q961" s="232">
        <f t="shared" si="524"/>
        <v>4.375</v>
      </c>
      <c r="R961" s="40">
        <v>0.85</v>
      </c>
      <c r="S961" s="334">
        <f t="shared" si="525"/>
        <v>3.71875</v>
      </c>
      <c r="T961" s="31">
        <f>VLOOKUP(A961,'Ansvar kurs'!$A$1:$C$1010,2,FALSE)</f>
        <v>5740</v>
      </c>
      <c r="U961" s="31" t="str">
        <f>VLOOKUP(T961,Orgenheter!$A$1:$C$165,2,FALSE)</f>
        <v>NMD</v>
      </c>
      <c r="V961" s="31" t="str">
        <f>VLOOKUP(T961,Orgenheter!$A$1:$C$165,3,FALSE)</f>
        <v>TekNat</v>
      </c>
      <c r="W961" s="37" t="str">
        <f>VLOOKUP(D961,Program!$A$1:$B$34,2,FALSE)</f>
        <v>Specialpedagogprogrammet</v>
      </c>
      <c r="X961" s="42">
        <f>VLOOKUP(A961,kurspris!$A$1:$Q$798,15,FALSE)</f>
        <v>19473</v>
      </c>
      <c r="Y961" s="42">
        <f>VLOOKUP(A961,kurspris!$A$1:$Q$798,16,FALSE)</f>
        <v>34806</v>
      </c>
      <c r="Z961" s="42">
        <f t="shared" si="526"/>
        <v>214629.1875</v>
      </c>
      <c r="AA961" s="42">
        <f>VLOOKUP(A961,kurspris!$A$1:$Q$798,17,FALSE)</f>
        <v>21800</v>
      </c>
      <c r="AB961" s="42">
        <f t="shared" si="527"/>
        <v>95375</v>
      </c>
      <c r="AC961" s="42">
        <f t="shared" si="528"/>
        <v>310004.1875</v>
      </c>
      <c r="AD961" s="31">
        <f>VLOOKUP($A961,kurspris!$A$1:$Q$835,3,FALSE)</f>
        <v>0</v>
      </c>
      <c r="AE961" s="31">
        <f>VLOOKUP($A961,kurspris!$A$1:$Q$835,4,FALSE)</f>
        <v>0</v>
      </c>
      <c r="AF961" s="31">
        <f>VLOOKUP($A961,kurspris!$A$1:$Q$835,5,FALSE)</f>
        <v>0</v>
      </c>
      <c r="AG961" s="31">
        <f>VLOOKUP($A961,kurspris!$A$1:$Q$835,6,FALSE)</f>
        <v>0</v>
      </c>
      <c r="AH961" s="31">
        <f>VLOOKUP($A961,kurspris!$A$1:$Q$835,7,FALSE)</f>
        <v>0</v>
      </c>
      <c r="AI961" s="31">
        <f>VLOOKUP($A961,kurspris!$A$1:$Q$835,8,FALSE)</f>
        <v>1</v>
      </c>
      <c r="AJ961" s="31">
        <f>VLOOKUP($A961,kurspris!$A$1:$Q$835,9,FALSE)</f>
        <v>0</v>
      </c>
      <c r="AK961" s="31">
        <f>VLOOKUP($A961,kurspris!$A$1:$Q$835,10,FALSE)</f>
        <v>0</v>
      </c>
      <c r="AL961" s="31">
        <f>VLOOKUP($A961,kurspris!$A$1:$Q$835,11,FALSE)</f>
        <v>0</v>
      </c>
      <c r="AM961" s="31">
        <f>VLOOKUP($A961,kurspris!$A$1:$Q$835,12,FALSE)</f>
        <v>0</v>
      </c>
      <c r="AN961" s="31">
        <f>VLOOKUP($A961,kurspris!$A$1:$Q$835,13,FALSE)</f>
        <v>0</v>
      </c>
      <c r="AO961" s="31">
        <f>VLOOKUP($A961,kurspris!$A$1:$Q$835,14,FALSE)</f>
        <v>0</v>
      </c>
      <c r="AP961" s="39" t="s">
        <v>2326</v>
      </c>
      <c r="AQ961"/>
      <c r="AR961" s="31">
        <f t="shared" si="529"/>
        <v>0</v>
      </c>
      <c r="AS961" s="255">
        <f t="shared" si="530"/>
        <v>0</v>
      </c>
      <c r="AT961" s="31">
        <f t="shared" si="531"/>
        <v>0</v>
      </c>
      <c r="AU961" s="255">
        <f t="shared" si="532"/>
        <v>0</v>
      </c>
      <c r="AV961" s="31">
        <f t="shared" si="533"/>
        <v>0</v>
      </c>
      <c r="AW961" s="31">
        <f t="shared" si="534"/>
        <v>0</v>
      </c>
      <c r="AX961" s="31">
        <f t="shared" si="535"/>
        <v>0</v>
      </c>
      <c r="AY961" s="255">
        <f t="shared" si="536"/>
        <v>0</v>
      </c>
      <c r="AZ961" s="232">
        <f t="shared" si="537"/>
        <v>0</v>
      </c>
      <c r="BA961" s="255">
        <f t="shared" si="538"/>
        <v>0</v>
      </c>
      <c r="BB961" s="31">
        <f t="shared" si="539"/>
        <v>4.375</v>
      </c>
      <c r="BC961" s="255">
        <f t="shared" si="540"/>
        <v>3.71875</v>
      </c>
      <c r="BD961" s="31">
        <f t="shared" si="541"/>
        <v>0</v>
      </c>
      <c r="BE961" s="255">
        <f t="shared" si="542"/>
        <v>0</v>
      </c>
      <c r="BF961" s="31">
        <f t="shared" si="543"/>
        <v>0</v>
      </c>
      <c r="BG961" s="255">
        <f t="shared" si="544"/>
        <v>0</v>
      </c>
      <c r="BH961" s="31">
        <f t="shared" si="545"/>
        <v>0</v>
      </c>
      <c r="BI961" s="255">
        <f t="shared" si="546"/>
        <v>0</v>
      </c>
      <c r="BJ961" s="31">
        <f t="shared" si="547"/>
        <v>0</v>
      </c>
      <c r="BK961" s="31">
        <f t="shared" si="548"/>
        <v>0</v>
      </c>
      <c r="BL961" s="255">
        <f t="shared" si="549"/>
        <v>0</v>
      </c>
      <c r="BM961" s="31">
        <f t="shared" si="550"/>
        <v>0</v>
      </c>
      <c r="BN961" s="255">
        <f t="shared" si="551"/>
        <v>0</v>
      </c>
    </row>
    <row r="962" spans="1:66" x14ac:dyDescent="0.25">
      <c r="A962" s="18" t="s">
        <v>2146</v>
      </c>
      <c r="B962" s="186" t="str">
        <f>VLOOKUP(A962,kurspris!$A$1:$B$877,2,FALSE)</f>
        <v>Språk och matematik i ett specialpedagogiskt perspektiv</v>
      </c>
      <c r="C962" s="37"/>
      <c r="D962" s="31" t="s">
        <v>115</v>
      </c>
      <c r="E962" s="31" t="s">
        <v>1788</v>
      </c>
      <c r="F962" s="59" t="s">
        <v>1931</v>
      </c>
      <c r="G962" s="31" t="s">
        <v>2269</v>
      </c>
      <c r="J962" t="s">
        <v>1812</v>
      </c>
      <c r="L962" s="31">
        <v>100</v>
      </c>
      <c r="M962" s="31">
        <v>7.5</v>
      </c>
      <c r="P962" s="31">
        <v>3</v>
      </c>
      <c r="Q962" s="232">
        <f t="shared" si="524"/>
        <v>0.375</v>
      </c>
      <c r="R962" s="40">
        <v>0.85</v>
      </c>
      <c r="S962" s="334">
        <f t="shared" si="525"/>
        <v>0.31874999999999998</v>
      </c>
      <c r="T962" s="31">
        <f>VLOOKUP(A962,'Ansvar kurs'!$A$1:$C$1010,2,FALSE)</f>
        <v>5740</v>
      </c>
      <c r="U962" s="31" t="str">
        <f>VLOOKUP(T962,Orgenheter!$A$1:$C$165,2,FALSE)</f>
        <v>NMD</v>
      </c>
      <c r="V962" s="31" t="str">
        <f>VLOOKUP(T962,Orgenheter!$A$1:$C$165,3,FALSE)</f>
        <v>TekNat</v>
      </c>
      <c r="W962" s="37" t="str">
        <f>VLOOKUP(D962,Program!$A$1:$B$34,2,FALSE)</f>
        <v>Speciallärarprogrammet</v>
      </c>
      <c r="X962" s="42">
        <f>VLOOKUP(A962,kurspris!$A$1:$Q$798,15,FALSE)</f>
        <v>19473</v>
      </c>
      <c r="Y962" s="42">
        <f>VLOOKUP(A962,kurspris!$A$1:$Q$798,16,FALSE)</f>
        <v>34806</v>
      </c>
      <c r="Z962" s="42">
        <f t="shared" si="526"/>
        <v>18396.787499999999</v>
      </c>
      <c r="AA962" s="42">
        <f>VLOOKUP(A962,kurspris!$A$1:$Q$798,17,FALSE)</f>
        <v>21800</v>
      </c>
      <c r="AB962" s="42">
        <f t="shared" si="527"/>
        <v>8175</v>
      </c>
      <c r="AC962" s="42">
        <f t="shared" si="528"/>
        <v>26571.787499999999</v>
      </c>
      <c r="AD962" s="31">
        <f>VLOOKUP($A962,kurspris!$A$1:$Q$835,3,FALSE)</f>
        <v>0</v>
      </c>
      <c r="AE962" s="31">
        <f>VLOOKUP($A962,kurspris!$A$1:$Q$835,4,FALSE)</f>
        <v>0</v>
      </c>
      <c r="AF962" s="31">
        <f>VLOOKUP($A962,kurspris!$A$1:$Q$835,5,FALSE)</f>
        <v>0</v>
      </c>
      <c r="AG962" s="31">
        <f>VLOOKUP($A962,kurspris!$A$1:$Q$835,6,FALSE)</f>
        <v>0</v>
      </c>
      <c r="AH962" s="31">
        <f>VLOOKUP($A962,kurspris!$A$1:$Q$835,7,FALSE)</f>
        <v>0</v>
      </c>
      <c r="AI962" s="31">
        <f>VLOOKUP($A962,kurspris!$A$1:$Q$835,8,FALSE)</f>
        <v>1</v>
      </c>
      <c r="AJ962" s="31">
        <f>VLOOKUP($A962,kurspris!$A$1:$Q$835,9,FALSE)</f>
        <v>0</v>
      </c>
      <c r="AK962" s="31">
        <f>VLOOKUP($A962,kurspris!$A$1:$Q$835,10,FALSE)</f>
        <v>0</v>
      </c>
      <c r="AL962" s="31">
        <f>VLOOKUP($A962,kurspris!$A$1:$Q$835,11,FALSE)</f>
        <v>0</v>
      </c>
      <c r="AM962" s="31">
        <f>VLOOKUP($A962,kurspris!$A$1:$Q$835,12,FALSE)</f>
        <v>0</v>
      </c>
      <c r="AN962" s="31">
        <f>VLOOKUP($A962,kurspris!$A$1:$Q$835,13,FALSE)</f>
        <v>0</v>
      </c>
      <c r="AO962" s="31">
        <f>VLOOKUP($A962,kurspris!$A$1:$Q$835,14,FALSE)</f>
        <v>0</v>
      </c>
      <c r="AP962" s="39" t="s">
        <v>2326</v>
      </c>
      <c r="AQ962"/>
      <c r="AR962" s="31">
        <f t="shared" si="529"/>
        <v>0</v>
      </c>
      <c r="AS962" s="255">
        <f t="shared" si="530"/>
        <v>0</v>
      </c>
      <c r="AT962" s="31">
        <f t="shared" si="531"/>
        <v>0</v>
      </c>
      <c r="AU962" s="255">
        <f t="shared" si="532"/>
        <v>0</v>
      </c>
      <c r="AV962" s="31">
        <f t="shared" si="533"/>
        <v>0</v>
      </c>
      <c r="AW962" s="31">
        <f t="shared" si="534"/>
        <v>0</v>
      </c>
      <c r="AX962" s="31">
        <f t="shared" si="535"/>
        <v>0</v>
      </c>
      <c r="AY962" s="255">
        <f t="shared" si="536"/>
        <v>0</v>
      </c>
      <c r="AZ962" s="232">
        <f t="shared" si="537"/>
        <v>0</v>
      </c>
      <c r="BA962" s="255">
        <f t="shared" si="538"/>
        <v>0</v>
      </c>
      <c r="BB962" s="31">
        <f t="shared" si="539"/>
        <v>0.375</v>
      </c>
      <c r="BC962" s="255">
        <f t="shared" si="540"/>
        <v>0.31874999999999998</v>
      </c>
      <c r="BD962" s="31">
        <f t="shared" si="541"/>
        <v>0</v>
      </c>
      <c r="BE962" s="255">
        <f t="shared" si="542"/>
        <v>0</v>
      </c>
      <c r="BF962" s="31">
        <f t="shared" si="543"/>
        <v>0</v>
      </c>
      <c r="BG962" s="255">
        <f t="shared" si="544"/>
        <v>0</v>
      </c>
      <c r="BH962" s="31">
        <f t="shared" si="545"/>
        <v>0</v>
      </c>
      <c r="BI962" s="255">
        <f t="shared" si="546"/>
        <v>0</v>
      </c>
      <c r="BJ962" s="31">
        <f t="shared" si="547"/>
        <v>0</v>
      </c>
      <c r="BK962" s="31">
        <f t="shared" si="548"/>
        <v>0</v>
      </c>
      <c r="BL962" s="255">
        <f t="shared" si="549"/>
        <v>0</v>
      </c>
      <c r="BM962" s="31">
        <f t="shared" si="550"/>
        <v>0</v>
      </c>
      <c r="BN962" s="255">
        <f t="shared" si="551"/>
        <v>0</v>
      </c>
    </row>
    <row r="963" spans="1:66" x14ac:dyDescent="0.25">
      <c r="A963" s="18" t="s">
        <v>2149</v>
      </c>
      <c r="B963" s="186" t="str">
        <f>VLOOKUP(A963,kurspris!$A$1:$B$877,2,FALSE)</f>
        <v>Matematik i specialpedagogiskt perspektiv</v>
      </c>
      <c r="C963" s="37"/>
      <c r="D963" s="31" t="s">
        <v>115</v>
      </c>
      <c r="E963" s="31" t="s">
        <v>1788</v>
      </c>
      <c r="F963" s="59" t="s">
        <v>1931</v>
      </c>
      <c r="G963" s="31" t="s">
        <v>2269</v>
      </c>
      <c r="J963" t="s">
        <v>2165</v>
      </c>
      <c r="L963" s="31">
        <v>100</v>
      </c>
      <c r="M963" s="31">
        <v>7.5</v>
      </c>
      <c r="P963" s="31">
        <v>16</v>
      </c>
      <c r="Q963" s="232">
        <f t="shared" si="524"/>
        <v>2</v>
      </c>
      <c r="R963" s="40">
        <v>0.85</v>
      </c>
      <c r="S963" s="334">
        <f t="shared" si="525"/>
        <v>1.7</v>
      </c>
      <c r="T963" s="31">
        <f>VLOOKUP(A963,'Ansvar kurs'!$A$1:$C$1010,2,FALSE)</f>
        <v>5740</v>
      </c>
      <c r="U963" s="31" t="str">
        <f>VLOOKUP(T963,Orgenheter!$A$1:$C$165,2,FALSE)</f>
        <v>NMD</v>
      </c>
      <c r="V963" s="31" t="str">
        <f>VLOOKUP(T963,Orgenheter!$A$1:$C$165,3,FALSE)</f>
        <v>TekNat</v>
      </c>
      <c r="W963" s="37" t="str">
        <f>VLOOKUP(D963,Program!$A$1:$B$34,2,FALSE)</f>
        <v>Speciallärarprogrammet</v>
      </c>
      <c r="X963" s="42">
        <f>VLOOKUP(A963,kurspris!$A$1:$Q$798,15,FALSE)</f>
        <v>19473</v>
      </c>
      <c r="Y963" s="42">
        <f>VLOOKUP(A963,kurspris!$A$1:$Q$798,16,FALSE)</f>
        <v>34806</v>
      </c>
      <c r="Z963" s="42">
        <f t="shared" si="526"/>
        <v>98116.2</v>
      </c>
      <c r="AA963" s="42">
        <f>VLOOKUP(A963,kurspris!$A$1:$Q$798,17,FALSE)</f>
        <v>21800</v>
      </c>
      <c r="AB963" s="42">
        <f t="shared" si="527"/>
        <v>43600</v>
      </c>
      <c r="AC963" s="42">
        <f t="shared" si="528"/>
        <v>141716.20000000001</v>
      </c>
      <c r="AD963" s="31">
        <f>VLOOKUP($A963,kurspris!$A$1:$Q$835,3,FALSE)</f>
        <v>0</v>
      </c>
      <c r="AE963" s="31">
        <f>VLOOKUP($A963,kurspris!$A$1:$Q$835,4,FALSE)</f>
        <v>0</v>
      </c>
      <c r="AF963" s="31">
        <f>VLOOKUP($A963,kurspris!$A$1:$Q$835,5,FALSE)</f>
        <v>0</v>
      </c>
      <c r="AG963" s="31">
        <f>VLOOKUP($A963,kurspris!$A$1:$Q$835,6,FALSE)</f>
        <v>0</v>
      </c>
      <c r="AH963" s="31">
        <f>VLOOKUP($A963,kurspris!$A$1:$Q$835,7,FALSE)</f>
        <v>0</v>
      </c>
      <c r="AI963" s="31">
        <f>VLOOKUP($A963,kurspris!$A$1:$Q$835,8,FALSE)</f>
        <v>1</v>
      </c>
      <c r="AJ963" s="31">
        <f>VLOOKUP($A963,kurspris!$A$1:$Q$835,9,FALSE)</f>
        <v>0</v>
      </c>
      <c r="AK963" s="31">
        <f>VLOOKUP($A963,kurspris!$A$1:$Q$835,10,FALSE)</f>
        <v>0</v>
      </c>
      <c r="AL963" s="31">
        <f>VLOOKUP($A963,kurspris!$A$1:$Q$835,11,FALSE)</f>
        <v>0</v>
      </c>
      <c r="AM963" s="31">
        <f>VLOOKUP($A963,kurspris!$A$1:$Q$835,12,FALSE)</f>
        <v>0</v>
      </c>
      <c r="AN963" s="31">
        <f>VLOOKUP($A963,kurspris!$A$1:$Q$835,13,FALSE)</f>
        <v>0</v>
      </c>
      <c r="AO963" s="31">
        <f>VLOOKUP($A963,kurspris!$A$1:$Q$835,14,FALSE)</f>
        <v>0</v>
      </c>
      <c r="AP963" s="39" t="s">
        <v>2326</v>
      </c>
      <c r="AQ963"/>
      <c r="AR963" s="31">
        <f t="shared" si="529"/>
        <v>0</v>
      </c>
      <c r="AS963" s="255">
        <f t="shared" si="530"/>
        <v>0</v>
      </c>
      <c r="AT963" s="31">
        <f t="shared" si="531"/>
        <v>0</v>
      </c>
      <c r="AU963" s="255">
        <f t="shared" si="532"/>
        <v>0</v>
      </c>
      <c r="AV963" s="31">
        <f t="shared" si="533"/>
        <v>0</v>
      </c>
      <c r="AW963" s="31">
        <f t="shared" si="534"/>
        <v>0</v>
      </c>
      <c r="AX963" s="31">
        <f t="shared" si="535"/>
        <v>0</v>
      </c>
      <c r="AY963" s="255">
        <f t="shared" si="536"/>
        <v>0</v>
      </c>
      <c r="AZ963" s="232">
        <f t="shared" si="537"/>
        <v>0</v>
      </c>
      <c r="BA963" s="255">
        <f t="shared" si="538"/>
        <v>0</v>
      </c>
      <c r="BB963" s="31">
        <f t="shared" si="539"/>
        <v>2</v>
      </c>
      <c r="BC963" s="255">
        <f t="shared" si="540"/>
        <v>1.7</v>
      </c>
      <c r="BD963" s="31">
        <f t="shared" si="541"/>
        <v>0</v>
      </c>
      <c r="BE963" s="255">
        <f t="shared" si="542"/>
        <v>0</v>
      </c>
      <c r="BF963" s="31">
        <f t="shared" si="543"/>
        <v>0</v>
      </c>
      <c r="BG963" s="255">
        <f t="shared" si="544"/>
        <v>0</v>
      </c>
      <c r="BH963" s="31">
        <f t="shared" si="545"/>
        <v>0</v>
      </c>
      <c r="BI963" s="255">
        <f t="shared" si="546"/>
        <v>0</v>
      </c>
      <c r="BJ963" s="31">
        <f t="shared" si="547"/>
        <v>0</v>
      </c>
      <c r="BK963" s="31">
        <f t="shared" si="548"/>
        <v>0</v>
      </c>
      <c r="BL963" s="255">
        <f t="shared" si="549"/>
        <v>0</v>
      </c>
      <c r="BM963" s="31">
        <f t="shared" si="550"/>
        <v>0</v>
      </c>
      <c r="BN963" s="255">
        <f t="shared" si="551"/>
        <v>0</v>
      </c>
    </row>
    <row r="964" spans="1:66" x14ac:dyDescent="0.25">
      <c r="A964" t="s">
        <v>600</v>
      </c>
      <c r="B964" s="186" t="str">
        <f>VLOOKUP(A964,kurspris!$A$1:$B$877,2,FALSE)</f>
        <v>Pedagogiskt ledarskap, sociala relationer och konflikthantering</v>
      </c>
      <c r="C964"/>
      <c r="D964" t="s">
        <v>629</v>
      </c>
      <c r="E964" t="s">
        <v>1788</v>
      </c>
      <c r="F964" s="59" t="s">
        <v>1930</v>
      </c>
      <c r="G964" t="s">
        <v>2125</v>
      </c>
      <c r="H964" t="s">
        <v>1910</v>
      </c>
      <c r="I964"/>
      <c r="J964"/>
      <c r="K964"/>
      <c r="L964">
        <v>50</v>
      </c>
      <c r="M964">
        <v>10</v>
      </c>
      <c r="N964"/>
      <c r="O964"/>
      <c r="P964" s="31">
        <v>15</v>
      </c>
      <c r="Q964" s="232">
        <f t="shared" si="524"/>
        <v>2.5</v>
      </c>
      <c r="R964" s="40">
        <v>0.85</v>
      </c>
      <c r="S964" s="334">
        <f t="shared" si="525"/>
        <v>2.125</v>
      </c>
      <c r="T964" s="31">
        <f>VLOOKUP(A964,'Ansvar kurs'!$A$1:$C$1010,2,FALSE)</f>
        <v>2180</v>
      </c>
      <c r="U964" s="31" t="str">
        <f>VLOOKUP(T964,Orgenheter!$A$1:$C$165,2,FALSE)</f>
        <v xml:space="preserve">Pedagogik                     </v>
      </c>
      <c r="V964" s="31" t="str">
        <f>VLOOKUP(T964,Orgenheter!$A$1:$C$165,3,FALSE)</f>
        <v>Sam</v>
      </c>
      <c r="W964" s="37" t="str">
        <f>VLOOKUP(D964,Program!$A$1:$B$34,2,FALSE)</f>
        <v>KPU - åk 7-9</v>
      </c>
      <c r="X964" s="42">
        <f>VLOOKUP(A964,kurspris!$A$1:$Q$798,15,FALSE)</f>
        <v>23641</v>
      </c>
      <c r="Y964" s="42">
        <f>VLOOKUP(A964,kurspris!$A$1:$Q$798,16,FALSE)</f>
        <v>28786</v>
      </c>
      <c r="Z964" s="42">
        <f t="shared" si="526"/>
        <v>120272.75</v>
      </c>
      <c r="AA964" s="42">
        <f>VLOOKUP(A964,kurspris!$A$1:$Q$798,17,FALSE)</f>
        <v>5800</v>
      </c>
      <c r="AB964" s="42">
        <f t="shared" si="527"/>
        <v>14500</v>
      </c>
      <c r="AC964" s="42">
        <f t="shared" si="528"/>
        <v>134772.75</v>
      </c>
      <c r="AD964" s="31">
        <f>VLOOKUP($A964,kurspris!$A$1:$Q$835,3,FALSE)</f>
        <v>0</v>
      </c>
      <c r="AE964" s="31">
        <f>VLOOKUP($A964,kurspris!$A$1:$Q$835,4,FALSE)</f>
        <v>0</v>
      </c>
      <c r="AF964" s="31">
        <f>VLOOKUP($A964,kurspris!$A$1:$Q$835,5,FALSE)</f>
        <v>0</v>
      </c>
      <c r="AG964" s="31">
        <f>VLOOKUP($A964,kurspris!$A$1:$Q$835,6,FALSE)</f>
        <v>1</v>
      </c>
      <c r="AH964" s="31">
        <f>VLOOKUP($A964,kurspris!$A$1:$Q$835,7,FALSE)</f>
        <v>0</v>
      </c>
      <c r="AI964" s="31">
        <f>VLOOKUP($A964,kurspris!$A$1:$Q$835,8,FALSE)</f>
        <v>0</v>
      </c>
      <c r="AJ964" s="31">
        <f>VLOOKUP($A964,kurspris!$A$1:$Q$835,9,FALSE)</f>
        <v>0</v>
      </c>
      <c r="AK964" s="31">
        <f>VLOOKUP($A964,kurspris!$A$1:$Q$835,10,FALSE)</f>
        <v>0</v>
      </c>
      <c r="AL964" s="31">
        <f>VLOOKUP($A964,kurspris!$A$1:$Q$835,11,FALSE)</f>
        <v>0</v>
      </c>
      <c r="AM964" s="31">
        <f>VLOOKUP($A964,kurspris!$A$1:$Q$835,12,FALSE)</f>
        <v>0</v>
      </c>
      <c r="AN964" s="31">
        <f>VLOOKUP($A964,kurspris!$A$1:$Q$835,13,FALSE)</f>
        <v>0</v>
      </c>
      <c r="AO964" s="31">
        <f>VLOOKUP($A964,kurspris!$A$1:$Q$835,14,FALSE)</f>
        <v>0</v>
      </c>
      <c r="AP964" s="39" t="s">
        <v>2235</v>
      </c>
      <c r="AQ964"/>
      <c r="AR964" s="31">
        <f t="shared" si="529"/>
        <v>0</v>
      </c>
      <c r="AS964" s="255">
        <f t="shared" si="530"/>
        <v>0</v>
      </c>
      <c r="AT964" s="31">
        <f t="shared" si="531"/>
        <v>0</v>
      </c>
      <c r="AU964" s="255">
        <f t="shared" si="532"/>
        <v>0</v>
      </c>
      <c r="AV964" s="31">
        <f t="shared" si="533"/>
        <v>0</v>
      </c>
      <c r="AW964" s="31">
        <f t="shared" si="534"/>
        <v>0</v>
      </c>
      <c r="AX964" s="31">
        <f t="shared" si="535"/>
        <v>2.5</v>
      </c>
      <c r="AY964" s="255">
        <f t="shared" si="536"/>
        <v>2.125</v>
      </c>
      <c r="AZ964" s="232">
        <f t="shared" si="537"/>
        <v>0</v>
      </c>
      <c r="BA964" s="255">
        <f t="shared" si="538"/>
        <v>0</v>
      </c>
      <c r="BB964" s="31">
        <f t="shared" si="539"/>
        <v>0</v>
      </c>
      <c r="BC964" s="255">
        <f t="shared" si="540"/>
        <v>0</v>
      </c>
      <c r="BD964" s="31">
        <f t="shared" si="541"/>
        <v>0</v>
      </c>
      <c r="BE964" s="255">
        <f t="shared" si="542"/>
        <v>0</v>
      </c>
      <c r="BF964" s="31">
        <f t="shared" si="543"/>
        <v>0</v>
      </c>
      <c r="BG964" s="255">
        <f t="shared" si="544"/>
        <v>0</v>
      </c>
      <c r="BH964" s="31">
        <f t="shared" si="545"/>
        <v>0</v>
      </c>
      <c r="BI964" s="255">
        <f t="shared" si="546"/>
        <v>0</v>
      </c>
      <c r="BJ964" s="31">
        <f t="shared" si="547"/>
        <v>0</v>
      </c>
      <c r="BK964" s="31">
        <f t="shared" si="548"/>
        <v>0</v>
      </c>
      <c r="BL964" s="255">
        <f t="shared" si="549"/>
        <v>0</v>
      </c>
      <c r="BM964" s="31">
        <f t="shared" si="550"/>
        <v>0</v>
      </c>
      <c r="BN964" s="255">
        <f t="shared" si="551"/>
        <v>0</v>
      </c>
    </row>
    <row r="965" spans="1:66" x14ac:dyDescent="0.25">
      <c r="A965" t="s">
        <v>600</v>
      </c>
      <c r="B965" s="186" t="str">
        <f>VLOOKUP(A965,kurspris!$A$1:$B$877,2,FALSE)</f>
        <v>Pedagogiskt ledarskap, sociala relationer och konflikthantering</v>
      </c>
      <c r="C965"/>
      <c r="D965" t="s">
        <v>630</v>
      </c>
      <c r="E965" t="s">
        <v>1788</v>
      </c>
      <c r="F965" s="59" t="s">
        <v>1930</v>
      </c>
      <c r="G965" t="s">
        <v>2125</v>
      </c>
      <c r="H965" t="s">
        <v>1910</v>
      </c>
      <c r="I965"/>
      <c r="J965"/>
      <c r="K965"/>
      <c r="L965">
        <v>50</v>
      </c>
      <c r="M965">
        <v>10</v>
      </c>
      <c r="N965"/>
      <c r="O965"/>
      <c r="P965" s="31">
        <v>7</v>
      </c>
      <c r="Q965" s="232">
        <f t="shared" si="524"/>
        <v>1.1666666666666665</v>
      </c>
      <c r="R965" s="40">
        <v>0.85</v>
      </c>
      <c r="S965" s="334">
        <f t="shared" si="525"/>
        <v>0.99166666666666647</v>
      </c>
      <c r="T965" s="31">
        <f>VLOOKUP(A965,'Ansvar kurs'!$A$1:$C$1010,2,FALSE)</f>
        <v>2180</v>
      </c>
      <c r="U965" s="31" t="str">
        <f>VLOOKUP(T965,Orgenheter!$A$1:$C$165,2,FALSE)</f>
        <v xml:space="preserve">Pedagogik                     </v>
      </c>
      <c r="V965" s="31" t="str">
        <f>VLOOKUP(T965,Orgenheter!$A$1:$C$165,3,FALSE)</f>
        <v>Sam</v>
      </c>
      <c r="W965" s="37" t="str">
        <f>VLOOKUP(D965,Program!$A$1:$B$34,2,FALSE)</f>
        <v>KPU - Gy</v>
      </c>
      <c r="X965" s="42">
        <f>VLOOKUP(A965,kurspris!$A$1:$Q$798,15,FALSE)</f>
        <v>23641</v>
      </c>
      <c r="Y965" s="42">
        <f>VLOOKUP(A965,kurspris!$A$1:$Q$798,16,FALSE)</f>
        <v>28786</v>
      </c>
      <c r="Z965" s="42">
        <f t="shared" si="526"/>
        <v>56127.283333333326</v>
      </c>
      <c r="AA965" s="42">
        <f>VLOOKUP(A965,kurspris!$A$1:$Q$798,17,FALSE)</f>
        <v>5800</v>
      </c>
      <c r="AB965" s="42">
        <f t="shared" si="527"/>
        <v>6766.6666666666661</v>
      </c>
      <c r="AC965" s="42">
        <f t="shared" si="528"/>
        <v>62893.94999999999</v>
      </c>
      <c r="AD965" s="31">
        <f>VLOOKUP($A965,kurspris!$A$1:$Q$835,3,FALSE)</f>
        <v>0</v>
      </c>
      <c r="AE965" s="31">
        <f>VLOOKUP($A965,kurspris!$A$1:$Q$835,4,FALSE)</f>
        <v>0</v>
      </c>
      <c r="AF965" s="31">
        <f>VLOOKUP($A965,kurspris!$A$1:$Q$835,5,FALSE)</f>
        <v>0</v>
      </c>
      <c r="AG965" s="31">
        <f>VLOOKUP($A965,kurspris!$A$1:$Q$835,6,FALSE)</f>
        <v>1</v>
      </c>
      <c r="AH965" s="31">
        <f>VLOOKUP($A965,kurspris!$A$1:$Q$835,7,FALSE)</f>
        <v>0</v>
      </c>
      <c r="AI965" s="31">
        <f>VLOOKUP($A965,kurspris!$A$1:$Q$835,8,FALSE)</f>
        <v>0</v>
      </c>
      <c r="AJ965" s="31">
        <f>VLOOKUP($A965,kurspris!$A$1:$Q$835,9,FALSE)</f>
        <v>0</v>
      </c>
      <c r="AK965" s="31">
        <f>VLOOKUP($A965,kurspris!$A$1:$Q$835,10,FALSE)</f>
        <v>0</v>
      </c>
      <c r="AL965" s="31">
        <f>VLOOKUP($A965,kurspris!$A$1:$Q$835,11,FALSE)</f>
        <v>0</v>
      </c>
      <c r="AM965" s="31">
        <f>VLOOKUP($A965,kurspris!$A$1:$Q$835,12,FALSE)</f>
        <v>0</v>
      </c>
      <c r="AN965" s="31">
        <f>VLOOKUP($A965,kurspris!$A$1:$Q$835,13,FALSE)</f>
        <v>0</v>
      </c>
      <c r="AO965" s="31">
        <f>VLOOKUP($A965,kurspris!$A$1:$Q$835,14,FALSE)</f>
        <v>0</v>
      </c>
      <c r="AP965" s="39" t="s">
        <v>2235</v>
      </c>
      <c r="AQ965"/>
      <c r="AR965" s="31">
        <f t="shared" si="529"/>
        <v>0</v>
      </c>
      <c r="AS965" s="255">
        <f t="shared" si="530"/>
        <v>0</v>
      </c>
      <c r="AT965" s="31">
        <f t="shared" si="531"/>
        <v>0</v>
      </c>
      <c r="AU965" s="255">
        <f t="shared" si="532"/>
        <v>0</v>
      </c>
      <c r="AV965" s="31">
        <f t="shared" si="533"/>
        <v>0</v>
      </c>
      <c r="AW965" s="31">
        <f t="shared" si="534"/>
        <v>0</v>
      </c>
      <c r="AX965" s="31">
        <f t="shared" si="535"/>
        <v>1.1666666666666665</v>
      </c>
      <c r="AY965" s="255">
        <f t="shared" si="536"/>
        <v>0.99166666666666647</v>
      </c>
      <c r="AZ965" s="232">
        <f t="shared" si="537"/>
        <v>0</v>
      </c>
      <c r="BA965" s="255">
        <f t="shared" si="538"/>
        <v>0</v>
      </c>
      <c r="BB965" s="31">
        <f t="shared" si="539"/>
        <v>0</v>
      </c>
      <c r="BC965" s="255">
        <f t="shared" si="540"/>
        <v>0</v>
      </c>
      <c r="BD965" s="31">
        <f t="shared" si="541"/>
        <v>0</v>
      </c>
      <c r="BE965" s="255">
        <f t="shared" si="542"/>
        <v>0</v>
      </c>
      <c r="BF965" s="31">
        <f t="shared" si="543"/>
        <v>0</v>
      </c>
      <c r="BG965" s="255">
        <f t="shared" si="544"/>
        <v>0</v>
      </c>
      <c r="BH965" s="31">
        <f t="shared" si="545"/>
        <v>0</v>
      </c>
      <c r="BI965" s="255">
        <f t="shared" si="546"/>
        <v>0</v>
      </c>
      <c r="BJ965" s="31">
        <f t="shared" si="547"/>
        <v>0</v>
      </c>
      <c r="BK965" s="31">
        <f t="shared" si="548"/>
        <v>0</v>
      </c>
      <c r="BL965" s="255">
        <f t="shared" si="549"/>
        <v>0</v>
      </c>
      <c r="BM965" s="31">
        <f t="shared" si="550"/>
        <v>0</v>
      </c>
      <c r="BN965" s="255">
        <f t="shared" si="551"/>
        <v>0</v>
      </c>
    </row>
    <row r="966" spans="1:66" x14ac:dyDescent="0.25">
      <c r="A966" t="s">
        <v>600</v>
      </c>
      <c r="B966" s="186" t="str">
        <f>VLOOKUP(A966,kurspris!$A$1:$B$877,2,FALSE)</f>
        <v>Pedagogiskt ledarskap, sociala relationer och konflikthantering</v>
      </c>
      <c r="C966"/>
      <c r="D966" t="s">
        <v>627</v>
      </c>
      <c r="E966" t="s">
        <v>1788</v>
      </c>
      <c r="F966" s="39" t="s">
        <v>1930</v>
      </c>
      <c r="G966" t="s">
        <v>2125</v>
      </c>
      <c r="H966" t="s">
        <v>1910</v>
      </c>
      <c r="I966"/>
      <c r="J966"/>
      <c r="K966"/>
      <c r="L966">
        <v>50</v>
      </c>
      <c r="M966">
        <v>10</v>
      </c>
      <c r="N966"/>
      <c r="O966"/>
      <c r="P966" s="31">
        <v>44</v>
      </c>
      <c r="Q966" s="232">
        <f t="shared" si="524"/>
        <v>7.333333333333333</v>
      </c>
      <c r="R966" s="40">
        <v>0.85</v>
      </c>
      <c r="S966" s="334">
        <f t="shared" si="525"/>
        <v>6.2333333333333325</v>
      </c>
      <c r="T966" s="31">
        <f>VLOOKUP(A966,'Ansvar kurs'!$A$1:$C$1010,2,FALSE)</f>
        <v>2180</v>
      </c>
      <c r="U966" s="31" t="str">
        <f>VLOOKUP(T966,Orgenheter!$A$1:$C$165,2,FALSE)</f>
        <v xml:space="preserve">Pedagogik                     </v>
      </c>
      <c r="V966" s="31" t="str">
        <f>VLOOKUP(T966,Orgenheter!$A$1:$C$165,3,FALSE)</f>
        <v>Sam</v>
      </c>
      <c r="W966" s="37" t="str">
        <f>VLOOKUP(D966,Program!$A$1:$B$34,2,FALSE)</f>
        <v>Yrkeslärarprogrammet</v>
      </c>
      <c r="X966" s="42">
        <f>VLOOKUP(A966,kurspris!$A$1:$Q$798,15,FALSE)</f>
        <v>23641</v>
      </c>
      <c r="Y966" s="42">
        <f>VLOOKUP(A966,kurspris!$A$1:$Q$798,16,FALSE)</f>
        <v>28786</v>
      </c>
      <c r="Z966" s="42">
        <f t="shared" si="526"/>
        <v>352800.06666666665</v>
      </c>
      <c r="AA966" s="42">
        <f>VLOOKUP(A966,kurspris!$A$1:$Q$798,17,FALSE)</f>
        <v>5800</v>
      </c>
      <c r="AB966" s="42">
        <f t="shared" si="527"/>
        <v>42533.333333333328</v>
      </c>
      <c r="AC966" s="42">
        <f t="shared" si="528"/>
        <v>395333.39999999997</v>
      </c>
      <c r="AD966" s="31">
        <f>VLOOKUP($A966,kurspris!$A$1:$Q$835,3,FALSE)</f>
        <v>0</v>
      </c>
      <c r="AE966" s="31">
        <f>VLOOKUP($A966,kurspris!$A$1:$Q$835,4,FALSE)</f>
        <v>0</v>
      </c>
      <c r="AF966" s="31">
        <f>VLOOKUP($A966,kurspris!$A$1:$Q$835,5,FALSE)</f>
        <v>0</v>
      </c>
      <c r="AG966" s="31">
        <f>VLOOKUP($A966,kurspris!$A$1:$Q$835,6,FALSE)</f>
        <v>1</v>
      </c>
      <c r="AH966" s="31">
        <f>VLOOKUP($A966,kurspris!$A$1:$Q$835,7,FALSE)</f>
        <v>0</v>
      </c>
      <c r="AI966" s="31">
        <f>VLOOKUP($A966,kurspris!$A$1:$Q$835,8,FALSE)</f>
        <v>0</v>
      </c>
      <c r="AJ966" s="31">
        <f>VLOOKUP($A966,kurspris!$A$1:$Q$835,9,FALSE)</f>
        <v>0</v>
      </c>
      <c r="AK966" s="31">
        <f>VLOOKUP($A966,kurspris!$A$1:$Q$835,10,FALSE)</f>
        <v>0</v>
      </c>
      <c r="AL966" s="31">
        <f>VLOOKUP($A966,kurspris!$A$1:$Q$835,11,FALSE)</f>
        <v>0</v>
      </c>
      <c r="AM966" s="31">
        <f>VLOOKUP($A966,kurspris!$A$1:$Q$835,12,FALSE)</f>
        <v>0</v>
      </c>
      <c r="AN966" s="31">
        <f>VLOOKUP($A966,kurspris!$A$1:$Q$835,13,FALSE)</f>
        <v>0</v>
      </c>
      <c r="AO966" s="31">
        <f>VLOOKUP($A966,kurspris!$A$1:$Q$835,14,FALSE)</f>
        <v>0</v>
      </c>
      <c r="AP966" s="39" t="s">
        <v>2235</v>
      </c>
      <c r="AQ966"/>
      <c r="AR966" s="31">
        <f t="shared" si="529"/>
        <v>0</v>
      </c>
      <c r="AS966" s="255">
        <f t="shared" si="530"/>
        <v>0</v>
      </c>
      <c r="AT966" s="31">
        <f t="shared" si="531"/>
        <v>0</v>
      </c>
      <c r="AU966" s="255">
        <f t="shared" si="532"/>
        <v>0</v>
      </c>
      <c r="AV966" s="31">
        <f t="shared" si="533"/>
        <v>0</v>
      </c>
      <c r="AW966" s="31">
        <f t="shared" si="534"/>
        <v>0</v>
      </c>
      <c r="AX966" s="31">
        <f t="shared" si="535"/>
        <v>7.333333333333333</v>
      </c>
      <c r="AY966" s="255">
        <f t="shared" si="536"/>
        <v>6.2333333333333325</v>
      </c>
      <c r="AZ966" s="232">
        <f t="shared" si="537"/>
        <v>0</v>
      </c>
      <c r="BA966" s="255">
        <f t="shared" si="538"/>
        <v>0</v>
      </c>
      <c r="BB966" s="31">
        <f t="shared" si="539"/>
        <v>0</v>
      </c>
      <c r="BC966" s="255">
        <f t="shared" si="540"/>
        <v>0</v>
      </c>
      <c r="BD966" s="31">
        <f t="shared" si="541"/>
        <v>0</v>
      </c>
      <c r="BE966" s="255">
        <f t="shared" si="542"/>
        <v>0</v>
      </c>
      <c r="BF966" s="31">
        <f t="shared" si="543"/>
        <v>0</v>
      </c>
      <c r="BG966" s="255">
        <f t="shared" si="544"/>
        <v>0</v>
      </c>
      <c r="BH966" s="31">
        <f t="shared" si="545"/>
        <v>0</v>
      </c>
      <c r="BI966" s="255">
        <f t="shared" si="546"/>
        <v>0</v>
      </c>
      <c r="BJ966" s="31">
        <f t="shared" si="547"/>
        <v>0</v>
      </c>
      <c r="BK966" s="31">
        <f t="shared" si="548"/>
        <v>0</v>
      </c>
      <c r="BL966" s="255">
        <f t="shared" si="549"/>
        <v>0</v>
      </c>
      <c r="BM966" s="31">
        <f t="shared" si="550"/>
        <v>0</v>
      </c>
      <c r="BN966" s="255">
        <f t="shared" si="551"/>
        <v>0</v>
      </c>
    </row>
    <row r="967" spans="1:66" x14ac:dyDescent="0.25">
      <c r="A967" s="18" t="s">
        <v>511</v>
      </c>
      <c r="B967" s="186" t="str">
        <f>VLOOKUP(A967,kurspris!$A$1:$B$877,2,FALSE)</f>
        <v>Religionsvetenskap II: fortsättningskurs</v>
      </c>
      <c r="C967" s="37"/>
      <c r="D967" s="31" t="s">
        <v>483</v>
      </c>
      <c r="E967" s="31" t="s">
        <v>1973</v>
      </c>
      <c r="F967" s="59" t="s">
        <v>1931</v>
      </c>
      <c r="G967" s="31" t="s">
        <v>2276</v>
      </c>
      <c r="J967" t="s">
        <v>777</v>
      </c>
      <c r="L967" s="31">
        <v>100</v>
      </c>
      <c r="M967" s="31">
        <v>30</v>
      </c>
      <c r="P967" s="31">
        <v>1</v>
      </c>
      <c r="Q967" s="232">
        <f t="shared" si="524"/>
        <v>0.5</v>
      </c>
      <c r="R967" s="40">
        <v>0.85</v>
      </c>
      <c r="S967" s="334">
        <f t="shared" si="525"/>
        <v>0.42499999999999999</v>
      </c>
      <c r="T967" s="31">
        <f>VLOOKUP(A967,'Ansvar kurs'!$A$1:$C$1010,2,FALSE)</f>
        <v>1630</v>
      </c>
      <c r="U967" s="31" t="str">
        <f>VLOOKUP(T967,Orgenheter!$A$1:$C$165,2,FALSE)</f>
        <v>Inst för ide- o samhällsstudier</v>
      </c>
      <c r="V967" s="31" t="str">
        <f>VLOOKUP(T967,Orgenheter!$A$1:$C$165,3,FALSE)</f>
        <v>Hum</v>
      </c>
      <c r="W967" s="37" t="str">
        <f>VLOOKUP(D967,Program!$A$1:$B$34,2,FALSE)</f>
        <v>Ämneslärarprogrammet - Gy</v>
      </c>
      <c r="X967" s="42">
        <f>VLOOKUP(A967,kurspris!$A$1:$Q$798,15,FALSE)</f>
        <v>18405</v>
      </c>
      <c r="Y967" s="42">
        <f>VLOOKUP(A967,kurspris!$A$1:$Q$798,16,FALSE)</f>
        <v>15773</v>
      </c>
      <c r="Z967" s="42">
        <f t="shared" si="526"/>
        <v>15906.025</v>
      </c>
      <c r="AA967" s="42">
        <f>VLOOKUP(A967,kurspris!$A$1:$Q$798,17,FALSE)</f>
        <v>5800</v>
      </c>
      <c r="AB967" s="42">
        <f t="shared" si="527"/>
        <v>2900</v>
      </c>
      <c r="AC967" s="42">
        <f t="shared" si="528"/>
        <v>18806.025000000001</v>
      </c>
      <c r="AD967" s="31">
        <f>VLOOKUP($A967,kurspris!$A$1:$Q$835,3,FALSE)</f>
        <v>0</v>
      </c>
      <c r="AE967" s="31">
        <f>VLOOKUP($A967,kurspris!$A$1:$Q$835,4,FALSE)</f>
        <v>1</v>
      </c>
      <c r="AF967" s="31">
        <f>VLOOKUP($A967,kurspris!$A$1:$Q$835,5,FALSE)</f>
        <v>0</v>
      </c>
      <c r="AG967" s="31">
        <f>VLOOKUP($A967,kurspris!$A$1:$Q$835,6,FALSE)</f>
        <v>0</v>
      </c>
      <c r="AH967" s="31">
        <f>VLOOKUP($A967,kurspris!$A$1:$Q$835,7,FALSE)</f>
        <v>0</v>
      </c>
      <c r="AI967" s="31">
        <f>VLOOKUP($A967,kurspris!$A$1:$Q$835,8,FALSE)</f>
        <v>0</v>
      </c>
      <c r="AJ967" s="31">
        <f>VLOOKUP($A967,kurspris!$A$1:$Q$835,9,FALSE)</f>
        <v>0</v>
      </c>
      <c r="AK967" s="31">
        <f>VLOOKUP($A967,kurspris!$A$1:$Q$835,10,FALSE)</f>
        <v>0</v>
      </c>
      <c r="AL967" s="31">
        <f>VLOOKUP($A967,kurspris!$A$1:$Q$835,11,FALSE)</f>
        <v>0</v>
      </c>
      <c r="AM967" s="31">
        <f>VLOOKUP($A967,kurspris!$A$1:$Q$835,12,FALSE)</f>
        <v>0</v>
      </c>
      <c r="AN967" s="31">
        <f>VLOOKUP($A967,kurspris!$A$1:$Q$835,13,FALSE)</f>
        <v>0</v>
      </c>
      <c r="AO967" s="31">
        <f>VLOOKUP($A967,kurspris!$A$1:$Q$835,14,FALSE)</f>
        <v>0</v>
      </c>
      <c r="AP967" s="39" t="s">
        <v>2326</v>
      </c>
      <c r="AQ967"/>
      <c r="AR967" s="31">
        <f t="shared" si="529"/>
        <v>0</v>
      </c>
      <c r="AS967" s="255">
        <f t="shared" si="530"/>
        <v>0</v>
      </c>
      <c r="AT967" s="31">
        <f t="shared" si="531"/>
        <v>0.5</v>
      </c>
      <c r="AU967" s="255">
        <f t="shared" si="532"/>
        <v>0.42499999999999999</v>
      </c>
      <c r="AV967" s="31">
        <f t="shared" si="533"/>
        <v>0</v>
      </c>
      <c r="AW967" s="31">
        <f t="shared" si="534"/>
        <v>0</v>
      </c>
      <c r="AX967" s="31">
        <f t="shared" si="535"/>
        <v>0</v>
      </c>
      <c r="AY967" s="255">
        <f t="shared" si="536"/>
        <v>0</v>
      </c>
      <c r="AZ967" s="232">
        <f t="shared" si="537"/>
        <v>0</v>
      </c>
      <c r="BA967" s="255">
        <f t="shared" si="538"/>
        <v>0</v>
      </c>
      <c r="BB967" s="31">
        <f t="shared" si="539"/>
        <v>0</v>
      </c>
      <c r="BC967" s="255">
        <f t="shared" si="540"/>
        <v>0</v>
      </c>
      <c r="BD967" s="31">
        <f t="shared" si="541"/>
        <v>0</v>
      </c>
      <c r="BE967" s="255">
        <f t="shared" si="542"/>
        <v>0</v>
      </c>
      <c r="BF967" s="31">
        <f t="shared" si="543"/>
        <v>0</v>
      </c>
      <c r="BG967" s="255">
        <f t="shared" si="544"/>
        <v>0</v>
      </c>
      <c r="BH967" s="31">
        <f t="shared" si="545"/>
        <v>0</v>
      </c>
      <c r="BI967" s="255">
        <f t="shared" si="546"/>
        <v>0</v>
      </c>
      <c r="BJ967" s="31">
        <f t="shared" si="547"/>
        <v>0</v>
      </c>
      <c r="BK967" s="31">
        <f t="shared" si="548"/>
        <v>0</v>
      </c>
      <c r="BL967" s="255">
        <f t="shared" si="549"/>
        <v>0</v>
      </c>
      <c r="BM967" s="31">
        <f t="shared" si="550"/>
        <v>0</v>
      </c>
      <c r="BN967" s="255">
        <f t="shared" si="551"/>
        <v>0</v>
      </c>
    </row>
    <row r="968" spans="1:66" x14ac:dyDescent="0.25">
      <c r="A968" s="18" t="s">
        <v>511</v>
      </c>
      <c r="B968" s="186" t="str">
        <f>VLOOKUP(A968,kurspris!$A$1:$B$877,2,FALSE)</f>
        <v>Religionsvetenskap II: fortsättningskurs</v>
      </c>
      <c r="C968" s="37"/>
      <c r="D968" s="31" t="s">
        <v>483</v>
      </c>
      <c r="E968" s="31" t="s">
        <v>1973</v>
      </c>
      <c r="F968" s="59" t="s">
        <v>1931</v>
      </c>
      <c r="G968" s="31" t="s">
        <v>2276</v>
      </c>
      <c r="J968" t="s">
        <v>778</v>
      </c>
      <c r="L968" s="31">
        <v>100</v>
      </c>
      <c r="M968" s="31">
        <v>30</v>
      </c>
      <c r="P968" s="31">
        <v>1</v>
      </c>
      <c r="Q968" s="232">
        <f t="shared" si="524"/>
        <v>0.5</v>
      </c>
      <c r="R968" s="40">
        <v>0.85</v>
      </c>
      <c r="S968" s="334">
        <f t="shared" si="525"/>
        <v>0.42499999999999999</v>
      </c>
      <c r="T968" s="31">
        <f>VLOOKUP(A968,'Ansvar kurs'!$A$1:$C$1010,2,FALSE)</f>
        <v>1630</v>
      </c>
      <c r="U968" s="31" t="str">
        <f>VLOOKUP(T968,Orgenheter!$A$1:$C$165,2,FALSE)</f>
        <v>Inst för ide- o samhällsstudier</v>
      </c>
      <c r="V968" s="31" t="str">
        <f>VLOOKUP(T968,Orgenheter!$A$1:$C$165,3,FALSE)</f>
        <v>Hum</v>
      </c>
      <c r="W968" s="37" t="str">
        <f>VLOOKUP(D968,Program!$A$1:$B$34,2,FALSE)</f>
        <v>Ämneslärarprogrammet - Gy</v>
      </c>
      <c r="X968" s="42">
        <f>VLOOKUP(A968,kurspris!$A$1:$Q$798,15,FALSE)</f>
        <v>18405</v>
      </c>
      <c r="Y968" s="42">
        <f>VLOOKUP(A968,kurspris!$A$1:$Q$798,16,FALSE)</f>
        <v>15773</v>
      </c>
      <c r="Z968" s="42">
        <f t="shared" si="526"/>
        <v>15906.025</v>
      </c>
      <c r="AA968" s="42">
        <f>VLOOKUP(A968,kurspris!$A$1:$Q$798,17,FALSE)</f>
        <v>5800</v>
      </c>
      <c r="AB968" s="42">
        <f t="shared" si="527"/>
        <v>2900</v>
      </c>
      <c r="AC968" s="42">
        <f t="shared" si="528"/>
        <v>18806.025000000001</v>
      </c>
      <c r="AD968" s="31">
        <f>VLOOKUP($A968,kurspris!$A$1:$Q$835,3,FALSE)</f>
        <v>0</v>
      </c>
      <c r="AE968" s="31">
        <f>VLOOKUP($A968,kurspris!$A$1:$Q$835,4,FALSE)</f>
        <v>1</v>
      </c>
      <c r="AF968" s="31">
        <f>VLOOKUP($A968,kurspris!$A$1:$Q$835,5,FALSE)</f>
        <v>0</v>
      </c>
      <c r="AG968" s="31">
        <f>VLOOKUP($A968,kurspris!$A$1:$Q$835,6,FALSE)</f>
        <v>0</v>
      </c>
      <c r="AH968" s="31">
        <f>VLOOKUP($A968,kurspris!$A$1:$Q$835,7,FALSE)</f>
        <v>0</v>
      </c>
      <c r="AI968" s="31">
        <f>VLOOKUP($A968,kurspris!$A$1:$Q$835,8,FALSE)</f>
        <v>0</v>
      </c>
      <c r="AJ968" s="31">
        <f>VLOOKUP($A968,kurspris!$A$1:$Q$835,9,FALSE)</f>
        <v>0</v>
      </c>
      <c r="AK968" s="31">
        <f>VLOOKUP($A968,kurspris!$A$1:$Q$835,10,FALSE)</f>
        <v>0</v>
      </c>
      <c r="AL968" s="31">
        <f>VLOOKUP($A968,kurspris!$A$1:$Q$835,11,FALSE)</f>
        <v>0</v>
      </c>
      <c r="AM968" s="31">
        <f>VLOOKUP($A968,kurspris!$A$1:$Q$835,12,FALSE)</f>
        <v>0</v>
      </c>
      <c r="AN968" s="31">
        <f>VLOOKUP($A968,kurspris!$A$1:$Q$835,13,FALSE)</f>
        <v>0</v>
      </c>
      <c r="AO968" s="31">
        <f>VLOOKUP($A968,kurspris!$A$1:$Q$835,14,FALSE)</f>
        <v>0</v>
      </c>
      <c r="AP968" s="39" t="s">
        <v>2326</v>
      </c>
      <c r="AQ968"/>
      <c r="AR968" s="31">
        <f t="shared" si="529"/>
        <v>0</v>
      </c>
      <c r="AS968" s="255">
        <f t="shared" si="530"/>
        <v>0</v>
      </c>
      <c r="AT968" s="31">
        <f t="shared" si="531"/>
        <v>0.5</v>
      </c>
      <c r="AU968" s="255">
        <f t="shared" si="532"/>
        <v>0.42499999999999999</v>
      </c>
      <c r="AV968" s="31">
        <f t="shared" si="533"/>
        <v>0</v>
      </c>
      <c r="AW968" s="31">
        <f t="shared" si="534"/>
        <v>0</v>
      </c>
      <c r="AX968" s="31">
        <f t="shared" si="535"/>
        <v>0</v>
      </c>
      <c r="AY968" s="255">
        <f t="shared" si="536"/>
        <v>0</v>
      </c>
      <c r="AZ968" s="232">
        <f t="shared" si="537"/>
        <v>0</v>
      </c>
      <c r="BA968" s="255">
        <f t="shared" si="538"/>
        <v>0</v>
      </c>
      <c r="BB968" s="31">
        <f t="shared" si="539"/>
        <v>0</v>
      </c>
      <c r="BC968" s="255">
        <f t="shared" si="540"/>
        <v>0</v>
      </c>
      <c r="BD968" s="31">
        <f t="shared" si="541"/>
        <v>0</v>
      </c>
      <c r="BE968" s="255">
        <f t="shared" si="542"/>
        <v>0</v>
      </c>
      <c r="BF968" s="31">
        <f t="shared" si="543"/>
        <v>0</v>
      </c>
      <c r="BG968" s="255">
        <f t="shared" si="544"/>
        <v>0</v>
      </c>
      <c r="BH968" s="31">
        <f t="shared" si="545"/>
        <v>0</v>
      </c>
      <c r="BI968" s="255">
        <f t="shared" si="546"/>
        <v>0</v>
      </c>
      <c r="BJ968" s="31">
        <f t="shared" si="547"/>
        <v>0</v>
      </c>
      <c r="BK968" s="31">
        <f t="shared" si="548"/>
        <v>0</v>
      </c>
      <c r="BL968" s="255">
        <f t="shared" si="549"/>
        <v>0</v>
      </c>
      <c r="BM968" s="31">
        <f t="shared" si="550"/>
        <v>0</v>
      </c>
      <c r="BN968" s="255">
        <f t="shared" si="551"/>
        <v>0</v>
      </c>
    </row>
    <row r="969" spans="1:66" x14ac:dyDescent="0.25">
      <c r="A969" t="s">
        <v>1564</v>
      </c>
      <c r="B969" s="186" t="str">
        <f>VLOOKUP(A969,kurspris!$A$1:$B$877,2,FALSE)</f>
        <v>Examensarbete för ämneslärarexamen - religion</v>
      </c>
      <c r="C969"/>
      <c r="D969" t="s">
        <v>483</v>
      </c>
      <c r="E969" t="s">
        <v>1994</v>
      </c>
      <c r="F969" s="39" t="s">
        <v>1930</v>
      </c>
      <c r="G969" t="s">
        <v>1993</v>
      </c>
      <c r="H969" t="s">
        <v>1910</v>
      </c>
      <c r="I969"/>
      <c r="J969" t="s">
        <v>772</v>
      </c>
      <c r="K969"/>
      <c r="L969">
        <v>100</v>
      </c>
      <c r="M969" s="295">
        <v>22.5</v>
      </c>
      <c r="N969"/>
      <c r="O969"/>
      <c r="P969" s="31">
        <v>1</v>
      </c>
      <c r="Q969" s="232">
        <f t="shared" si="524"/>
        <v>0.375</v>
      </c>
      <c r="R969" s="40">
        <v>0.85</v>
      </c>
      <c r="S969" s="334">
        <f t="shared" si="525"/>
        <v>0.31874999999999998</v>
      </c>
      <c r="T969" s="31">
        <f>VLOOKUP(A969,'Ansvar kurs'!$A$1:$C$1010,2,FALSE)</f>
        <v>1630</v>
      </c>
      <c r="U969" s="31" t="str">
        <f>VLOOKUP(T969,Orgenheter!$A$1:$C$165,2,FALSE)</f>
        <v>Inst för ide- o samhällsstudier</v>
      </c>
      <c r="V969" s="31" t="str">
        <f>VLOOKUP(T969,Orgenheter!$A$1:$C$165,3,FALSE)</f>
        <v>Hum</v>
      </c>
      <c r="W969" s="37" t="str">
        <f>VLOOKUP(D969,Program!$A$1:$B$34,2,FALSE)</f>
        <v>Ämneslärarprogrammet - Gy</v>
      </c>
      <c r="X969" s="42">
        <f>VLOOKUP(A969,kurspris!$A$1:$Q$798,15,FALSE)</f>
        <v>18405</v>
      </c>
      <c r="Y969" s="42">
        <f>VLOOKUP(A969,kurspris!$A$1:$Q$798,16,FALSE)</f>
        <v>15773</v>
      </c>
      <c r="Z969" s="42">
        <f t="shared" si="526"/>
        <v>11929.518749999999</v>
      </c>
      <c r="AA969" s="42">
        <f>VLOOKUP(A969,kurspris!$A$1:$Q$798,17,FALSE)</f>
        <v>5800</v>
      </c>
      <c r="AB969" s="42">
        <f t="shared" si="527"/>
        <v>2175</v>
      </c>
      <c r="AC969" s="42">
        <f t="shared" si="528"/>
        <v>14104.518749999999</v>
      </c>
      <c r="AD969" s="31">
        <f>VLOOKUP($A969,kurspris!$A$1:$Q$835,3,FALSE)</f>
        <v>0</v>
      </c>
      <c r="AE969" s="31">
        <f>VLOOKUP($A969,kurspris!$A$1:$Q$835,4,FALSE)</f>
        <v>1</v>
      </c>
      <c r="AF969" s="31">
        <f>VLOOKUP($A969,kurspris!$A$1:$Q$835,5,FALSE)</f>
        <v>0</v>
      </c>
      <c r="AG969" s="31">
        <f>VLOOKUP($A969,kurspris!$A$1:$Q$835,6,FALSE)</f>
        <v>0</v>
      </c>
      <c r="AH969" s="31">
        <f>VLOOKUP($A969,kurspris!$A$1:$Q$835,7,FALSE)</f>
        <v>0</v>
      </c>
      <c r="AI969" s="31">
        <f>VLOOKUP($A969,kurspris!$A$1:$Q$835,8,FALSE)</f>
        <v>0</v>
      </c>
      <c r="AJ969" s="31">
        <f>VLOOKUP($A969,kurspris!$A$1:$Q$835,9,FALSE)</f>
        <v>0</v>
      </c>
      <c r="AK969" s="31">
        <f>VLOOKUP($A969,kurspris!$A$1:$Q$835,10,FALSE)</f>
        <v>0</v>
      </c>
      <c r="AL969" s="31">
        <f>VLOOKUP($A969,kurspris!$A$1:$Q$835,11,FALSE)</f>
        <v>0</v>
      </c>
      <c r="AM969" s="31">
        <f>VLOOKUP($A969,kurspris!$A$1:$Q$835,12,FALSE)</f>
        <v>0</v>
      </c>
      <c r="AN969" s="31">
        <f>VLOOKUP($A969,kurspris!$A$1:$Q$835,13,FALSE)</f>
        <v>0</v>
      </c>
      <c r="AO969" s="31">
        <f>VLOOKUP($A969,kurspris!$A$1:$Q$835,14,FALSE)</f>
        <v>0</v>
      </c>
      <c r="AP969" s="39" t="s">
        <v>2204</v>
      </c>
      <c r="AQ969" s="39" t="s">
        <v>2035</v>
      </c>
      <c r="AR969" s="31">
        <f t="shared" si="529"/>
        <v>0</v>
      </c>
      <c r="AS969" s="255">
        <f t="shared" si="530"/>
        <v>0</v>
      </c>
      <c r="AT969" s="31">
        <f t="shared" si="531"/>
        <v>0.375</v>
      </c>
      <c r="AU969" s="255">
        <f t="shared" si="532"/>
        <v>0.31874999999999998</v>
      </c>
      <c r="AV969" s="31">
        <f t="shared" si="533"/>
        <v>0</v>
      </c>
      <c r="AW969" s="31">
        <f t="shared" si="534"/>
        <v>0</v>
      </c>
      <c r="AX969" s="31">
        <f t="shared" si="535"/>
        <v>0</v>
      </c>
      <c r="AY969" s="255">
        <f t="shared" si="536"/>
        <v>0</v>
      </c>
      <c r="AZ969" s="232">
        <f t="shared" si="537"/>
        <v>0</v>
      </c>
      <c r="BA969" s="255">
        <f t="shared" si="538"/>
        <v>0</v>
      </c>
      <c r="BB969" s="31">
        <f t="shared" si="539"/>
        <v>0</v>
      </c>
      <c r="BC969" s="255">
        <f t="shared" si="540"/>
        <v>0</v>
      </c>
      <c r="BD969" s="31">
        <f t="shared" si="541"/>
        <v>0</v>
      </c>
      <c r="BE969" s="255">
        <f t="shared" si="542"/>
        <v>0</v>
      </c>
      <c r="BF969" s="31">
        <f t="shared" si="543"/>
        <v>0</v>
      </c>
      <c r="BG969" s="255">
        <f t="shared" si="544"/>
        <v>0</v>
      </c>
      <c r="BH969" s="31">
        <f t="shared" si="545"/>
        <v>0</v>
      </c>
      <c r="BI969" s="255">
        <f t="shared" si="546"/>
        <v>0</v>
      </c>
      <c r="BJ969" s="31">
        <f t="shared" si="547"/>
        <v>0</v>
      </c>
      <c r="BK969" s="31">
        <f t="shared" si="548"/>
        <v>0</v>
      </c>
      <c r="BL969" s="255">
        <f t="shared" si="549"/>
        <v>0</v>
      </c>
      <c r="BM969" s="31">
        <f t="shared" si="550"/>
        <v>0</v>
      </c>
      <c r="BN969" s="255">
        <f t="shared" si="551"/>
        <v>0</v>
      </c>
    </row>
    <row r="970" spans="1:66" x14ac:dyDescent="0.25">
      <c r="A970" t="s">
        <v>1564</v>
      </c>
      <c r="B970" s="186" t="str">
        <f>VLOOKUP(A970,kurspris!$A$1:$B$877,2,FALSE)</f>
        <v>Examensarbete för ämneslärarexamen - religion</v>
      </c>
      <c r="C970"/>
      <c r="D970" t="s">
        <v>483</v>
      </c>
      <c r="E970" t="s">
        <v>1975</v>
      </c>
      <c r="F970" s="39" t="s">
        <v>1930</v>
      </c>
      <c r="G970" t="s">
        <v>1993</v>
      </c>
      <c r="H970" t="s">
        <v>1910</v>
      </c>
      <c r="I970"/>
      <c r="J970" t="s">
        <v>776</v>
      </c>
      <c r="K970"/>
      <c r="L970">
        <v>100</v>
      </c>
      <c r="M970" s="295">
        <v>22.5</v>
      </c>
      <c r="N970"/>
      <c r="O970"/>
      <c r="P970" s="31">
        <v>2</v>
      </c>
      <c r="Q970" s="232">
        <f t="shared" si="524"/>
        <v>0.75</v>
      </c>
      <c r="R970" s="40">
        <v>0.85</v>
      </c>
      <c r="S970" s="334">
        <f t="shared" si="525"/>
        <v>0.63749999999999996</v>
      </c>
      <c r="T970" s="31">
        <f>VLOOKUP(A970,'Ansvar kurs'!$A$1:$C$1010,2,FALSE)</f>
        <v>1630</v>
      </c>
      <c r="U970" s="31" t="str">
        <f>VLOOKUP(T970,Orgenheter!$A$1:$C$165,2,FALSE)</f>
        <v>Inst för ide- o samhällsstudier</v>
      </c>
      <c r="V970" s="31" t="str">
        <f>VLOOKUP(T970,Orgenheter!$A$1:$C$165,3,FALSE)</f>
        <v>Hum</v>
      </c>
      <c r="W970" s="37" t="str">
        <f>VLOOKUP(D970,Program!$A$1:$B$34,2,FALSE)</f>
        <v>Ämneslärarprogrammet - Gy</v>
      </c>
      <c r="X970" s="42">
        <f>VLOOKUP(A970,kurspris!$A$1:$Q$798,15,FALSE)</f>
        <v>18405</v>
      </c>
      <c r="Y970" s="42">
        <f>VLOOKUP(A970,kurspris!$A$1:$Q$798,16,FALSE)</f>
        <v>15773</v>
      </c>
      <c r="Z970" s="42">
        <f t="shared" si="526"/>
        <v>23859.037499999999</v>
      </c>
      <c r="AA970" s="42">
        <f>VLOOKUP(A970,kurspris!$A$1:$Q$798,17,FALSE)</f>
        <v>5800</v>
      </c>
      <c r="AB970" s="42">
        <f t="shared" si="527"/>
        <v>4350</v>
      </c>
      <c r="AC970" s="42">
        <f t="shared" si="528"/>
        <v>28209.037499999999</v>
      </c>
      <c r="AD970" s="31">
        <f>VLOOKUP($A970,kurspris!$A$1:$Q$835,3,FALSE)</f>
        <v>0</v>
      </c>
      <c r="AE970" s="31">
        <f>VLOOKUP($A970,kurspris!$A$1:$Q$835,4,FALSE)</f>
        <v>1</v>
      </c>
      <c r="AF970" s="31">
        <f>VLOOKUP($A970,kurspris!$A$1:$Q$835,5,FALSE)</f>
        <v>0</v>
      </c>
      <c r="AG970" s="31">
        <f>VLOOKUP($A970,kurspris!$A$1:$Q$835,6,FALSE)</f>
        <v>0</v>
      </c>
      <c r="AH970" s="31">
        <f>VLOOKUP($A970,kurspris!$A$1:$Q$835,7,FALSE)</f>
        <v>0</v>
      </c>
      <c r="AI970" s="31">
        <f>VLOOKUP($A970,kurspris!$A$1:$Q$835,8,FALSE)</f>
        <v>0</v>
      </c>
      <c r="AJ970" s="31">
        <f>VLOOKUP($A970,kurspris!$A$1:$Q$835,9,FALSE)</f>
        <v>0</v>
      </c>
      <c r="AK970" s="31">
        <f>VLOOKUP($A970,kurspris!$A$1:$Q$835,10,FALSE)</f>
        <v>0</v>
      </c>
      <c r="AL970" s="31">
        <f>VLOOKUP($A970,kurspris!$A$1:$Q$835,11,FALSE)</f>
        <v>0</v>
      </c>
      <c r="AM970" s="31">
        <f>VLOOKUP($A970,kurspris!$A$1:$Q$835,12,FALSE)</f>
        <v>0</v>
      </c>
      <c r="AN970" s="31">
        <f>VLOOKUP($A970,kurspris!$A$1:$Q$835,13,FALSE)</f>
        <v>0</v>
      </c>
      <c r="AO970" s="31">
        <f>VLOOKUP($A970,kurspris!$A$1:$Q$835,14,FALSE)</f>
        <v>0</v>
      </c>
      <c r="AP970" s="39" t="s">
        <v>2204</v>
      </c>
      <c r="AQ970" s="39" t="s">
        <v>2035</v>
      </c>
      <c r="AR970" s="31">
        <f t="shared" si="529"/>
        <v>0</v>
      </c>
      <c r="AS970" s="255">
        <f t="shared" si="530"/>
        <v>0</v>
      </c>
      <c r="AT970" s="31">
        <f t="shared" si="531"/>
        <v>0.75</v>
      </c>
      <c r="AU970" s="255">
        <f t="shared" si="532"/>
        <v>0.63749999999999996</v>
      </c>
      <c r="AV970" s="31">
        <f t="shared" si="533"/>
        <v>0</v>
      </c>
      <c r="AW970" s="31">
        <f t="shared" si="534"/>
        <v>0</v>
      </c>
      <c r="AX970" s="31">
        <f t="shared" si="535"/>
        <v>0</v>
      </c>
      <c r="AY970" s="255">
        <f t="shared" si="536"/>
        <v>0</v>
      </c>
      <c r="AZ970" s="232">
        <f t="shared" si="537"/>
        <v>0</v>
      </c>
      <c r="BA970" s="255">
        <f t="shared" si="538"/>
        <v>0</v>
      </c>
      <c r="BB970" s="31">
        <f t="shared" si="539"/>
        <v>0</v>
      </c>
      <c r="BC970" s="255">
        <f t="shared" si="540"/>
        <v>0</v>
      </c>
      <c r="BD970" s="31">
        <f t="shared" si="541"/>
        <v>0</v>
      </c>
      <c r="BE970" s="255">
        <f t="shared" si="542"/>
        <v>0</v>
      </c>
      <c r="BF970" s="31">
        <f t="shared" si="543"/>
        <v>0</v>
      </c>
      <c r="BG970" s="255">
        <f t="shared" si="544"/>
        <v>0</v>
      </c>
      <c r="BH970" s="31">
        <f t="shared" si="545"/>
        <v>0</v>
      </c>
      <c r="BI970" s="255">
        <f t="shared" si="546"/>
        <v>0</v>
      </c>
      <c r="BJ970" s="31">
        <f t="shared" si="547"/>
        <v>0</v>
      </c>
      <c r="BK970" s="31">
        <f t="shared" si="548"/>
        <v>0</v>
      </c>
      <c r="BL970" s="255">
        <f t="shared" si="549"/>
        <v>0</v>
      </c>
      <c r="BM970" s="31">
        <f t="shared" si="550"/>
        <v>0</v>
      </c>
      <c r="BN970" s="255">
        <f t="shared" si="551"/>
        <v>0</v>
      </c>
    </row>
    <row r="971" spans="1:66" x14ac:dyDescent="0.25">
      <c r="A971" t="s">
        <v>1564</v>
      </c>
      <c r="B971" s="186" t="str">
        <f>VLOOKUP(A971,kurspris!$A$1:$B$877,2,FALSE)</f>
        <v>Examensarbete för ämneslärarexamen - religion</v>
      </c>
      <c r="C971"/>
      <c r="D971" t="s">
        <v>483</v>
      </c>
      <c r="E971" t="s">
        <v>1976</v>
      </c>
      <c r="F971" s="39" t="s">
        <v>1930</v>
      </c>
      <c r="G971" t="s">
        <v>1993</v>
      </c>
      <c r="H971" t="s">
        <v>1910</v>
      </c>
      <c r="I971"/>
      <c r="J971" t="s">
        <v>771</v>
      </c>
      <c r="K971"/>
      <c r="L971">
        <v>100</v>
      </c>
      <c r="M971" s="295">
        <v>22.5</v>
      </c>
      <c r="N971"/>
      <c r="O971"/>
      <c r="P971" s="31">
        <v>1</v>
      </c>
      <c r="Q971" s="232">
        <f t="shared" si="524"/>
        <v>0.375</v>
      </c>
      <c r="R971" s="40">
        <v>0.85</v>
      </c>
      <c r="S971" s="334">
        <f t="shared" si="525"/>
        <v>0.31874999999999998</v>
      </c>
      <c r="T971" s="31">
        <f>VLOOKUP(A971,'Ansvar kurs'!$A$1:$C$1010,2,FALSE)</f>
        <v>1630</v>
      </c>
      <c r="U971" s="31" t="str">
        <f>VLOOKUP(T971,Orgenheter!$A$1:$C$165,2,FALSE)</f>
        <v>Inst för ide- o samhällsstudier</v>
      </c>
      <c r="V971" s="31" t="str">
        <f>VLOOKUP(T971,Orgenheter!$A$1:$C$165,3,FALSE)</f>
        <v>Hum</v>
      </c>
      <c r="W971" s="37" t="str">
        <f>VLOOKUP(D971,Program!$A$1:$B$34,2,FALSE)</f>
        <v>Ämneslärarprogrammet - Gy</v>
      </c>
      <c r="X971" s="42">
        <f>VLOOKUP(A971,kurspris!$A$1:$Q$798,15,FALSE)</f>
        <v>18405</v>
      </c>
      <c r="Y971" s="42">
        <f>VLOOKUP(A971,kurspris!$A$1:$Q$798,16,FALSE)</f>
        <v>15773</v>
      </c>
      <c r="Z971" s="42">
        <f t="shared" si="526"/>
        <v>11929.518749999999</v>
      </c>
      <c r="AA971" s="42">
        <f>VLOOKUP(A971,kurspris!$A$1:$Q$798,17,FALSE)</f>
        <v>5800</v>
      </c>
      <c r="AB971" s="42">
        <f t="shared" si="527"/>
        <v>2175</v>
      </c>
      <c r="AC971" s="42">
        <f t="shared" si="528"/>
        <v>14104.518749999999</v>
      </c>
      <c r="AD971" s="31">
        <f>VLOOKUP($A971,kurspris!$A$1:$Q$835,3,FALSE)</f>
        <v>0</v>
      </c>
      <c r="AE971" s="31">
        <f>VLOOKUP($A971,kurspris!$A$1:$Q$835,4,FALSE)</f>
        <v>1</v>
      </c>
      <c r="AF971" s="31">
        <f>VLOOKUP($A971,kurspris!$A$1:$Q$835,5,FALSE)</f>
        <v>0</v>
      </c>
      <c r="AG971" s="31">
        <f>VLOOKUP($A971,kurspris!$A$1:$Q$835,6,FALSE)</f>
        <v>0</v>
      </c>
      <c r="AH971" s="31">
        <f>VLOOKUP($A971,kurspris!$A$1:$Q$835,7,FALSE)</f>
        <v>0</v>
      </c>
      <c r="AI971" s="31">
        <f>VLOOKUP($A971,kurspris!$A$1:$Q$835,8,FALSE)</f>
        <v>0</v>
      </c>
      <c r="AJ971" s="31">
        <f>VLOOKUP($A971,kurspris!$A$1:$Q$835,9,FALSE)</f>
        <v>0</v>
      </c>
      <c r="AK971" s="31">
        <f>VLOOKUP($A971,kurspris!$A$1:$Q$835,10,FALSE)</f>
        <v>0</v>
      </c>
      <c r="AL971" s="31">
        <f>VLOOKUP($A971,kurspris!$A$1:$Q$835,11,FALSE)</f>
        <v>0</v>
      </c>
      <c r="AM971" s="31">
        <f>VLOOKUP($A971,kurspris!$A$1:$Q$835,12,FALSE)</f>
        <v>0</v>
      </c>
      <c r="AN971" s="31">
        <f>VLOOKUP($A971,kurspris!$A$1:$Q$835,13,FALSE)</f>
        <v>0</v>
      </c>
      <c r="AO971" s="31">
        <f>VLOOKUP($A971,kurspris!$A$1:$Q$835,14,FALSE)</f>
        <v>0</v>
      </c>
      <c r="AP971" s="39" t="s">
        <v>2204</v>
      </c>
      <c r="AQ971" s="39" t="s">
        <v>2035</v>
      </c>
      <c r="AR971" s="31">
        <f t="shared" si="529"/>
        <v>0</v>
      </c>
      <c r="AS971" s="255">
        <f t="shared" si="530"/>
        <v>0</v>
      </c>
      <c r="AT971" s="31">
        <f t="shared" si="531"/>
        <v>0.375</v>
      </c>
      <c r="AU971" s="255">
        <f t="shared" si="532"/>
        <v>0.31874999999999998</v>
      </c>
      <c r="AV971" s="31">
        <f t="shared" si="533"/>
        <v>0</v>
      </c>
      <c r="AW971" s="31">
        <f t="shared" si="534"/>
        <v>0</v>
      </c>
      <c r="AX971" s="31">
        <f t="shared" si="535"/>
        <v>0</v>
      </c>
      <c r="AY971" s="255">
        <f t="shared" si="536"/>
        <v>0</v>
      </c>
      <c r="AZ971" s="232">
        <f t="shared" si="537"/>
        <v>0</v>
      </c>
      <c r="BA971" s="255">
        <f t="shared" si="538"/>
        <v>0</v>
      </c>
      <c r="BB971" s="31">
        <f t="shared" si="539"/>
        <v>0</v>
      </c>
      <c r="BC971" s="255">
        <f t="shared" si="540"/>
        <v>0</v>
      </c>
      <c r="BD971" s="31">
        <f t="shared" si="541"/>
        <v>0</v>
      </c>
      <c r="BE971" s="255">
        <f t="shared" si="542"/>
        <v>0</v>
      </c>
      <c r="BF971" s="31">
        <f t="shared" si="543"/>
        <v>0</v>
      </c>
      <c r="BG971" s="255">
        <f t="shared" si="544"/>
        <v>0</v>
      </c>
      <c r="BH971" s="31">
        <f t="shared" si="545"/>
        <v>0</v>
      </c>
      <c r="BI971" s="255">
        <f t="shared" si="546"/>
        <v>0</v>
      </c>
      <c r="BJ971" s="31">
        <f t="shared" si="547"/>
        <v>0</v>
      </c>
      <c r="BK971" s="31">
        <f t="shared" si="548"/>
        <v>0</v>
      </c>
      <c r="BL971" s="255">
        <f t="shared" si="549"/>
        <v>0</v>
      </c>
      <c r="BM971" s="31">
        <f t="shared" si="550"/>
        <v>0</v>
      </c>
      <c r="BN971" s="255">
        <f t="shared" si="551"/>
        <v>0</v>
      </c>
    </row>
    <row r="972" spans="1:66" x14ac:dyDescent="0.25">
      <c r="A972" s="18" t="s">
        <v>1564</v>
      </c>
      <c r="B972" s="186" t="str">
        <f>VLOOKUP(A972,kurspris!$A$1:$B$877,2,FALSE)</f>
        <v>Examensarbete för ämneslärarexamen - religion</v>
      </c>
      <c r="C972" s="37"/>
      <c r="D972" s="31" t="s">
        <v>483</v>
      </c>
      <c r="E972" s="31" t="s">
        <v>1976</v>
      </c>
      <c r="F972" s="59" t="s">
        <v>1931</v>
      </c>
      <c r="G972" s="295" t="s">
        <v>2268</v>
      </c>
      <c r="J972" t="s">
        <v>776</v>
      </c>
      <c r="L972" s="31">
        <v>100</v>
      </c>
      <c r="M972" s="31">
        <v>7.5</v>
      </c>
      <c r="P972" s="31">
        <v>1</v>
      </c>
      <c r="Q972" s="232">
        <f t="shared" si="524"/>
        <v>0.125</v>
      </c>
      <c r="R972" s="40">
        <v>0.85</v>
      </c>
      <c r="S972" s="334">
        <f t="shared" si="525"/>
        <v>0.10625</v>
      </c>
      <c r="T972" s="31">
        <f>VLOOKUP(A972,'Ansvar kurs'!$A$1:$C$1010,2,FALSE)</f>
        <v>1630</v>
      </c>
      <c r="U972" s="31" t="str">
        <f>VLOOKUP(T972,Orgenheter!$A$1:$C$165,2,FALSE)</f>
        <v>Inst för ide- o samhällsstudier</v>
      </c>
      <c r="V972" s="31" t="str">
        <f>VLOOKUP(T972,Orgenheter!$A$1:$C$165,3,FALSE)</f>
        <v>Hum</v>
      </c>
      <c r="W972" s="37" t="str">
        <f>VLOOKUP(D972,Program!$A$1:$B$34,2,FALSE)</f>
        <v>Ämneslärarprogrammet - Gy</v>
      </c>
      <c r="X972" s="42">
        <f>VLOOKUP(A972,kurspris!$A$1:$Q$798,15,FALSE)</f>
        <v>18405</v>
      </c>
      <c r="Y972" s="42">
        <f>VLOOKUP(A972,kurspris!$A$1:$Q$798,16,FALSE)</f>
        <v>15773</v>
      </c>
      <c r="Z972" s="42">
        <f t="shared" si="526"/>
        <v>3976.5062499999999</v>
      </c>
      <c r="AA972" s="42">
        <f>VLOOKUP(A972,kurspris!$A$1:$Q$798,17,FALSE)</f>
        <v>5800</v>
      </c>
      <c r="AB972" s="42">
        <f t="shared" si="527"/>
        <v>725</v>
      </c>
      <c r="AC972" s="42">
        <f t="shared" si="528"/>
        <v>4701.5062500000004</v>
      </c>
      <c r="AD972" s="31">
        <f>VLOOKUP($A972,kurspris!$A$1:$Q$835,3,FALSE)</f>
        <v>0</v>
      </c>
      <c r="AE972" s="31">
        <f>VLOOKUP($A972,kurspris!$A$1:$Q$835,4,FALSE)</f>
        <v>1</v>
      </c>
      <c r="AF972" s="31">
        <f>VLOOKUP($A972,kurspris!$A$1:$Q$835,5,FALSE)</f>
        <v>0</v>
      </c>
      <c r="AG972" s="31">
        <f>VLOOKUP($A972,kurspris!$A$1:$Q$835,6,FALSE)</f>
        <v>0</v>
      </c>
      <c r="AH972" s="31">
        <f>VLOOKUP($A972,kurspris!$A$1:$Q$835,7,FALSE)</f>
        <v>0</v>
      </c>
      <c r="AI972" s="31">
        <f>VLOOKUP($A972,kurspris!$A$1:$Q$835,8,FALSE)</f>
        <v>0</v>
      </c>
      <c r="AJ972" s="31">
        <f>VLOOKUP($A972,kurspris!$A$1:$Q$835,9,FALSE)</f>
        <v>0</v>
      </c>
      <c r="AK972" s="31">
        <f>VLOOKUP($A972,kurspris!$A$1:$Q$835,10,FALSE)</f>
        <v>0</v>
      </c>
      <c r="AL972" s="31">
        <f>VLOOKUP($A972,kurspris!$A$1:$Q$835,11,FALSE)</f>
        <v>0</v>
      </c>
      <c r="AM972" s="31">
        <f>VLOOKUP($A972,kurspris!$A$1:$Q$835,12,FALSE)</f>
        <v>0</v>
      </c>
      <c r="AN972" s="31">
        <f>VLOOKUP($A972,kurspris!$A$1:$Q$835,13,FALSE)</f>
        <v>0</v>
      </c>
      <c r="AO972" s="31">
        <f>VLOOKUP($A972,kurspris!$A$1:$Q$835,14,FALSE)</f>
        <v>0</v>
      </c>
      <c r="AP972" s="39" t="s">
        <v>2326</v>
      </c>
      <c r="AQ972" t="s">
        <v>2300</v>
      </c>
      <c r="AR972" s="31">
        <f t="shared" si="529"/>
        <v>0</v>
      </c>
      <c r="AS972" s="255">
        <f t="shared" si="530"/>
        <v>0</v>
      </c>
      <c r="AT972" s="31">
        <f t="shared" si="531"/>
        <v>0.125</v>
      </c>
      <c r="AU972" s="255">
        <f t="shared" si="532"/>
        <v>0.10625</v>
      </c>
      <c r="AV972" s="31">
        <f t="shared" si="533"/>
        <v>0</v>
      </c>
      <c r="AW972" s="31">
        <f t="shared" si="534"/>
        <v>0</v>
      </c>
      <c r="AX972" s="31">
        <f t="shared" si="535"/>
        <v>0</v>
      </c>
      <c r="AY972" s="255">
        <f t="shared" si="536"/>
        <v>0</v>
      </c>
      <c r="AZ972" s="232">
        <f t="shared" si="537"/>
        <v>0</v>
      </c>
      <c r="BA972" s="255">
        <f t="shared" si="538"/>
        <v>0</v>
      </c>
      <c r="BB972" s="31">
        <f t="shared" si="539"/>
        <v>0</v>
      </c>
      <c r="BC972" s="255">
        <f t="shared" si="540"/>
        <v>0</v>
      </c>
      <c r="BD972" s="31">
        <f t="shared" si="541"/>
        <v>0</v>
      </c>
      <c r="BE972" s="255">
        <f t="shared" si="542"/>
        <v>0</v>
      </c>
      <c r="BF972" s="31">
        <f t="shared" si="543"/>
        <v>0</v>
      </c>
      <c r="BG972" s="255">
        <f t="shared" si="544"/>
        <v>0</v>
      </c>
      <c r="BH972" s="31">
        <f t="shared" si="545"/>
        <v>0</v>
      </c>
      <c r="BI972" s="255">
        <f t="shared" si="546"/>
        <v>0</v>
      </c>
      <c r="BJ972" s="31">
        <f t="shared" si="547"/>
        <v>0</v>
      </c>
      <c r="BK972" s="31">
        <f t="shared" si="548"/>
        <v>0</v>
      </c>
      <c r="BL972" s="255">
        <f t="shared" si="549"/>
        <v>0</v>
      </c>
      <c r="BM972" s="31">
        <f t="shared" si="550"/>
        <v>0</v>
      </c>
      <c r="BN972" s="255">
        <f t="shared" si="551"/>
        <v>0</v>
      </c>
    </row>
    <row r="973" spans="1:66" x14ac:dyDescent="0.25">
      <c r="A973" s="18" t="s">
        <v>1802</v>
      </c>
      <c r="B973" s="186" t="str">
        <f>VLOOKUP(A973,kurspris!$A$1:$B$877,2,FALSE)</f>
        <v>Läraryrkets dimensioner- ingångsämne religion (VFU)</v>
      </c>
      <c r="C973" s="37"/>
      <c r="D973" s="31" t="s">
        <v>483</v>
      </c>
      <c r="E973" s="31" t="s">
        <v>1975</v>
      </c>
      <c r="F973" s="59" t="s">
        <v>1931</v>
      </c>
      <c r="G973" s="31" t="s">
        <v>2267</v>
      </c>
      <c r="J973" t="s">
        <v>776</v>
      </c>
      <c r="L973" s="31">
        <v>100</v>
      </c>
      <c r="M973" s="31">
        <v>22.5</v>
      </c>
      <c r="P973" s="31">
        <v>1</v>
      </c>
      <c r="Q973" s="232">
        <f t="shared" si="524"/>
        <v>0.375</v>
      </c>
      <c r="R973" s="40">
        <v>0.85</v>
      </c>
      <c r="S973" s="334">
        <f t="shared" si="525"/>
        <v>0.31874999999999998</v>
      </c>
      <c r="T973" s="31">
        <f>VLOOKUP(A973,'Ansvar kurs'!$A$1:$C$1010,2,FALSE)</f>
        <v>1630</v>
      </c>
      <c r="U973" s="31" t="str">
        <f>VLOOKUP(T973,Orgenheter!$A$1:$C$165,2,FALSE)</f>
        <v>Inst för ide- o samhällsstudier</v>
      </c>
      <c r="V973" s="31" t="str">
        <f>VLOOKUP(T973,Orgenheter!$A$1:$C$165,3,FALSE)</f>
        <v>Hum</v>
      </c>
      <c r="W973" s="37" t="str">
        <f>VLOOKUP(D973,Program!$A$1:$B$34,2,FALSE)</f>
        <v>Ämneslärarprogrammet - Gy</v>
      </c>
      <c r="X973" s="42">
        <f>VLOOKUP(A973,kurspris!$A$1:$Q$798,15,FALSE)</f>
        <v>21634</v>
      </c>
      <c r="Y973" s="42">
        <f>VLOOKUP(A973,kurspris!$A$1:$Q$798,16,FALSE)</f>
        <v>26986</v>
      </c>
      <c r="Z973" s="42">
        <f t="shared" si="526"/>
        <v>16714.537499999999</v>
      </c>
      <c r="AA973" s="42">
        <f>VLOOKUP(A973,kurspris!$A$1:$Q$798,17,FALSE)</f>
        <v>3400</v>
      </c>
      <c r="AB973" s="42">
        <f t="shared" si="527"/>
        <v>1275</v>
      </c>
      <c r="AC973" s="42">
        <f t="shared" si="528"/>
        <v>17989.537499999999</v>
      </c>
      <c r="AD973" s="31">
        <f>VLOOKUP($A973,kurspris!$A$1:$Q$835,3,FALSE)</f>
        <v>0</v>
      </c>
      <c r="AE973" s="31">
        <f>VLOOKUP($A973,kurspris!$A$1:$Q$835,4,FALSE)</f>
        <v>0</v>
      </c>
      <c r="AF973" s="31">
        <f>VLOOKUP($A973,kurspris!$A$1:$Q$835,5,FALSE)</f>
        <v>0</v>
      </c>
      <c r="AG973" s="31">
        <f>VLOOKUP($A973,kurspris!$A$1:$Q$835,6,FALSE)</f>
        <v>0</v>
      </c>
      <c r="AH973" s="31">
        <f>VLOOKUP($A973,kurspris!$A$1:$Q$835,7,FALSE)</f>
        <v>0</v>
      </c>
      <c r="AI973" s="31">
        <f>VLOOKUP($A973,kurspris!$A$1:$Q$835,8,FALSE)</f>
        <v>0</v>
      </c>
      <c r="AJ973" s="31">
        <f>VLOOKUP($A973,kurspris!$A$1:$Q$835,9,FALSE)</f>
        <v>0</v>
      </c>
      <c r="AK973" s="31">
        <f>VLOOKUP($A973,kurspris!$A$1:$Q$835,10,FALSE)</f>
        <v>0</v>
      </c>
      <c r="AL973" s="31">
        <f>VLOOKUP($A973,kurspris!$A$1:$Q$835,11,FALSE)</f>
        <v>1</v>
      </c>
      <c r="AM973" s="31">
        <f>VLOOKUP($A973,kurspris!$A$1:$Q$835,12,FALSE)</f>
        <v>0</v>
      </c>
      <c r="AN973" s="31">
        <f>VLOOKUP($A973,kurspris!$A$1:$Q$835,13,FALSE)</f>
        <v>0</v>
      </c>
      <c r="AO973" s="31">
        <f>VLOOKUP($A973,kurspris!$A$1:$Q$835,14,FALSE)</f>
        <v>0</v>
      </c>
      <c r="AP973" s="39" t="s">
        <v>2326</v>
      </c>
      <c r="AQ973"/>
      <c r="AR973" s="31">
        <f t="shared" si="529"/>
        <v>0</v>
      </c>
      <c r="AS973" s="255">
        <f t="shared" si="530"/>
        <v>0</v>
      </c>
      <c r="AT973" s="31">
        <f t="shared" si="531"/>
        <v>0</v>
      </c>
      <c r="AU973" s="255">
        <f t="shared" si="532"/>
        <v>0</v>
      </c>
      <c r="AV973" s="31">
        <f t="shared" si="533"/>
        <v>0</v>
      </c>
      <c r="AW973" s="31">
        <f t="shared" si="534"/>
        <v>0</v>
      </c>
      <c r="AX973" s="31">
        <f t="shared" si="535"/>
        <v>0</v>
      </c>
      <c r="AY973" s="255">
        <f t="shared" si="536"/>
        <v>0</v>
      </c>
      <c r="AZ973" s="232">
        <f t="shared" si="537"/>
        <v>0</v>
      </c>
      <c r="BA973" s="255">
        <f t="shared" si="538"/>
        <v>0</v>
      </c>
      <c r="BB973" s="31">
        <f t="shared" si="539"/>
        <v>0</v>
      </c>
      <c r="BC973" s="255">
        <f t="shared" si="540"/>
        <v>0</v>
      </c>
      <c r="BD973" s="31">
        <f t="shared" si="541"/>
        <v>0</v>
      </c>
      <c r="BE973" s="255">
        <f t="shared" si="542"/>
        <v>0</v>
      </c>
      <c r="BF973" s="31">
        <f t="shared" si="543"/>
        <v>0</v>
      </c>
      <c r="BG973" s="255">
        <f t="shared" si="544"/>
        <v>0</v>
      </c>
      <c r="BH973" s="31">
        <f t="shared" si="545"/>
        <v>0.375</v>
      </c>
      <c r="BI973" s="255">
        <f t="shared" si="546"/>
        <v>0.31874999999999998</v>
      </c>
      <c r="BJ973" s="31">
        <f t="shared" si="547"/>
        <v>0</v>
      </c>
      <c r="BK973" s="31">
        <f t="shared" si="548"/>
        <v>0</v>
      </c>
      <c r="BL973" s="255">
        <f t="shared" si="549"/>
        <v>0</v>
      </c>
      <c r="BM973" s="31">
        <f t="shared" si="550"/>
        <v>0</v>
      </c>
      <c r="BN973" s="255">
        <f t="shared" si="551"/>
        <v>0</v>
      </c>
    </row>
    <row r="974" spans="1:66" x14ac:dyDescent="0.25">
      <c r="A974" s="18" t="s">
        <v>1802</v>
      </c>
      <c r="B974" s="186" t="str">
        <f>VLOOKUP(A974,kurspris!$A$1:$B$877,2,FALSE)</f>
        <v>Läraryrkets dimensioner- ingångsämne religion (VFU)</v>
      </c>
      <c r="C974" s="37"/>
      <c r="D974" s="31" t="s">
        <v>483</v>
      </c>
      <c r="E974" s="31" t="s">
        <v>1976</v>
      </c>
      <c r="F974" s="59" t="s">
        <v>1931</v>
      </c>
      <c r="G974" s="31" t="s">
        <v>2267</v>
      </c>
      <c r="J974" t="s">
        <v>776</v>
      </c>
      <c r="L974" s="31">
        <v>100</v>
      </c>
      <c r="M974" s="31">
        <v>22.5</v>
      </c>
      <c r="P974" s="31">
        <v>2</v>
      </c>
      <c r="Q974" s="232">
        <f t="shared" si="524"/>
        <v>0.75</v>
      </c>
      <c r="R974" s="40">
        <v>0.85</v>
      </c>
      <c r="S974" s="334">
        <f t="shared" si="525"/>
        <v>0.63749999999999996</v>
      </c>
      <c r="T974" s="31">
        <f>VLOOKUP(A974,'Ansvar kurs'!$A$1:$C$1010,2,FALSE)</f>
        <v>1630</v>
      </c>
      <c r="U974" s="31" t="str">
        <f>VLOOKUP(T974,Orgenheter!$A$1:$C$165,2,FALSE)</f>
        <v>Inst för ide- o samhällsstudier</v>
      </c>
      <c r="V974" s="31" t="str">
        <f>VLOOKUP(T974,Orgenheter!$A$1:$C$165,3,FALSE)</f>
        <v>Hum</v>
      </c>
      <c r="W974" s="37" t="str">
        <f>VLOOKUP(D974,Program!$A$1:$B$34,2,FALSE)</f>
        <v>Ämneslärarprogrammet - Gy</v>
      </c>
      <c r="X974" s="42">
        <f>VLOOKUP(A974,kurspris!$A$1:$Q$798,15,FALSE)</f>
        <v>21634</v>
      </c>
      <c r="Y974" s="42">
        <f>VLOOKUP(A974,kurspris!$A$1:$Q$798,16,FALSE)</f>
        <v>26986</v>
      </c>
      <c r="Z974" s="42">
        <f t="shared" si="526"/>
        <v>33429.074999999997</v>
      </c>
      <c r="AA974" s="42">
        <f>VLOOKUP(A974,kurspris!$A$1:$Q$798,17,FALSE)</f>
        <v>3400</v>
      </c>
      <c r="AB974" s="42">
        <f t="shared" si="527"/>
        <v>2550</v>
      </c>
      <c r="AC974" s="42">
        <f t="shared" si="528"/>
        <v>35979.074999999997</v>
      </c>
      <c r="AD974" s="31">
        <f>VLOOKUP($A974,kurspris!$A$1:$Q$835,3,FALSE)</f>
        <v>0</v>
      </c>
      <c r="AE974" s="31">
        <f>VLOOKUP($A974,kurspris!$A$1:$Q$835,4,FALSE)</f>
        <v>0</v>
      </c>
      <c r="AF974" s="31">
        <f>VLOOKUP($A974,kurspris!$A$1:$Q$835,5,FALSE)</f>
        <v>0</v>
      </c>
      <c r="AG974" s="31">
        <f>VLOOKUP($A974,kurspris!$A$1:$Q$835,6,FALSE)</f>
        <v>0</v>
      </c>
      <c r="AH974" s="31">
        <f>VLOOKUP($A974,kurspris!$A$1:$Q$835,7,FALSE)</f>
        <v>0</v>
      </c>
      <c r="AI974" s="31">
        <f>VLOOKUP($A974,kurspris!$A$1:$Q$835,8,FALSE)</f>
        <v>0</v>
      </c>
      <c r="AJ974" s="31">
        <f>VLOOKUP($A974,kurspris!$A$1:$Q$835,9,FALSE)</f>
        <v>0</v>
      </c>
      <c r="AK974" s="31">
        <f>VLOOKUP($A974,kurspris!$A$1:$Q$835,10,FALSE)</f>
        <v>0</v>
      </c>
      <c r="AL974" s="31">
        <f>VLOOKUP($A974,kurspris!$A$1:$Q$835,11,FALSE)</f>
        <v>1</v>
      </c>
      <c r="AM974" s="31">
        <f>VLOOKUP($A974,kurspris!$A$1:$Q$835,12,FALSE)</f>
        <v>0</v>
      </c>
      <c r="AN974" s="31">
        <f>VLOOKUP($A974,kurspris!$A$1:$Q$835,13,FALSE)</f>
        <v>0</v>
      </c>
      <c r="AO974" s="31">
        <f>VLOOKUP($A974,kurspris!$A$1:$Q$835,14,FALSE)</f>
        <v>0</v>
      </c>
      <c r="AP974" s="39" t="s">
        <v>2326</v>
      </c>
      <c r="AQ974"/>
      <c r="AR974" s="31">
        <f t="shared" si="529"/>
        <v>0</v>
      </c>
      <c r="AS974" s="255">
        <f t="shared" si="530"/>
        <v>0</v>
      </c>
      <c r="AT974" s="31">
        <f t="shared" si="531"/>
        <v>0</v>
      </c>
      <c r="AU974" s="255">
        <f t="shared" si="532"/>
        <v>0</v>
      </c>
      <c r="AV974" s="31">
        <f t="shared" si="533"/>
        <v>0</v>
      </c>
      <c r="AW974" s="31">
        <f t="shared" si="534"/>
        <v>0</v>
      </c>
      <c r="AX974" s="31">
        <f t="shared" si="535"/>
        <v>0</v>
      </c>
      <c r="AY974" s="255">
        <f t="shared" si="536"/>
        <v>0</v>
      </c>
      <c r="AZ974" s="232">
        <f t="shared" si="537"/>
        <v>0</v>
      </c>
      <c r="BA974" s="255">
        <f t="shared" si="538"/>
        <v>0</v>
      </c>
      <c r="BB974" s="31">
        <f t="shared" si="539"/>
        <v>0</v>
      </c>
      <c r="BC974" s="255">
        <f t="shared" si="540"/>
        <v>0</v>
      </c>
      <c r="BD974" s="31">
        <f t="shared" si="541"/>
        <v>0</v>
      </c>
      <c r="BE974" s="255">
        <f t="shared" si="542"/>
        <v>0</v>
      </c>
      <c r="BF974" s="31">
        <f t="shared" si="543"/>
        <v>0</v>
      </c>
      <c r="BG974" s="255">
        <f t="shared" si="544"/>
        <v>0</v>
      </c>
      <c r="BH974" s="31">
        <f t="shared" si="545"/>
        <v>0.75</v>
      </c>
      <c r="BI974" s="255">
        <f t="shared" si="546"/>
        <v>0.63749999999999996</v>
      </c>
      <c r="BJ974" s="31">
        <f t="shared" si="547"/>
        <v>0</v>
      </c>
      <c r="BK974" s="31">
        <f t="shared" si="548"/>
        <v>0</v>
      </c>
      <c r="BL974" s="255">
        <f t="shared" si="549"/>
        <v>0</v>
      </c>
      <c r="BM974" s="31">
        <f t="shared" si="550"/>
        <v>0</v>
      </c>
      <c r="BN974" s="255">
        <f t="shared" si="551"/>
        <v>0</v>
      </c>
    </row>
    <row r="975" spans="1:66" x14ac:dyDescent="0.25">
      <c r="A975" s="18" t="s">
        <v>2015</v>
      </c>
      <c r="B975" s="186" t="str">
        <f>VLOOKUP(A975,kurspris!$A$1:$B$877,2,FALSE)</f>
        <v>Att undervisa i religionskunskap (VFU)</v>
      </c>
      <c r="C975" s="37"/>
      <c r="D975" s="31" t="s">
        <v>483</v>
      </c>
      <c r="E975" s="31" t="s">
        <v>1973</v>
      </c>
      <c r="F975" s="59" t="s">
        <v>1931</v>
      </c>
      <c r="G975" s="31" t="s">
        <v>2272</v>
      </c>
      <c r="J975" t="s">
        <v>776</v>
      </c>
      <c r="L975" s="31">
        <v>100</v>
      </c>
      <c r="M975" s="31">
        <v>6</v>
      </c>
      <c r="P975" s="31">
        <v>1</v>
      </c>
      <c r="Q975" s="232">
        <f t="shared" si="524"/>
        <v>0.1</v>
      </c>
      <c r="R975" s="40">
        <v>0.85</v>
      </c>
      <c r="S975" s="334">
        <f t="shared" si="525"/>
        <v>8.5000000000000006E-2</v>
      </c>
      <c r="T975" s="31">
        <f>VLOOKUP(A975,'Ansvar kurs'!$A$1:$C$1010,2,FALSE)</f>
        <v>1630</v>
      </c>
      <c r="U975" s="31" t="str">
        <f>VLOOKUP(T975,Orgenheter!$A$1:$C$165,2,FALSE)</f>
        <v>Inst för ide- o samhällsstudier</v>
      </c>
      <c r="V975" s="31" t="str">
        <f>VLOOKUP(T975,Orgenheter!$A$1:$C$165,3,FALSE)</f>
        <v>Hum</v>
      </c>
      <c r="W975" s="37" t="str">
        <f>VLOOKUP(D975,Program!$A$1:$B$34,2,FALSE)</f>
        <v>Ämneslärarprogrammet - Gy</v>
      </c>
      <c r="X975" s="42">
        <f>VLOOKUP(A975,kurspris!$A$1:$Q$798,15,FALSE)</f>
        <v>21634</v>
      </c>
      <c r="Y975" s="42">
        <f>VLOOKUP(A975,kurspris!$A$1:$Q$798,16,FALSE)</f>
        <v>26986</v>
      </c>
      <c r="Z975" s="42">
        <f t="shared" si="526"/>
        <v>4457.21</v>
      </c>
      <c r="AA975" s="42">
        <f>VLOOKUP(A975,kurspris!$A$1:$Q$798,17,FALSE)</f>
        <v>3400</v>
      </c>
      <c r="AB975" s="42">
        <f t="shared" si="527"/>
        <v>340</v>
      </c>
      <c r="AC975" s="42">
        <f t="shared" si="528"/>
        <v>4797.21</v>
      </c>
      <c r="AD975" s="31">
        <f>VLOOKUP($A975,kurspris!$A$1:$Q$835,3,FALSE)</f>
        <v>0</v>
      </c>
      <c r="AE975" s="31">
        <f>VLOOKUP($A975,kurspris!$A$1:$Q$835,4,FALSE)</f>
        <v>0</v>
      </c>
      <c r="AF975" s="31">
        <f>VLOOKUP($A975,kurspris!$A$1:$Q$835,5,FALSE)</f>
        <v>0</v>
      </c>
      <c r="AG975" s="31">
        <f>VLOOKUP($A975,kurspris!$A$1:$Q$835,6,FALSE)</f>
        <v>0</v>
      </c>
      <c r="AH975" s="31">
        <f>VLOOKUP($A975,kurspris!$A$1:$Q$835,7,FALSE)</f>
        <v>0</v>
      </c>
      <c r="AI975" s="31">
        <f>VLOOKUP($A975,kurspris!$A$1:$Q$835,8,FALSE)</f>
        <v>0</v>
      </c>
      <c r="AJ975" s="31">
        <f>VLOOKUP($A975,kurspris!$A$1:$Q$835,9,FALSE)</f>
        <v>0</v>
      </c>
      <c r="AK975" s="31">
        <f>VLOOKUP($A975,kurspris!$A$1:$Q$835,10,FALSE)</f>
        <v>0</v>
      </c>
      <c r="AL975" s="31">
        <f>VLOOKUP($A975,kurspris!$A$1:$Q$835,11,FALSE)</f>
        <v>1</v>
      </c>
      <c r="AM975" s="31">
        <f>VLOOKUP($A975,kurspris!$A$1:$Q$835,12,FALSE)</f>
        <v>0</v>
      </c>
      <c r="AN975" s="31">
        <f>VLOOKUP($A975,kurspris!$A$1:$Q$835,13,FALSE)</f>
        <v>0</v>
      </c>
      <c r="AO975" s="31">
        <f>VLOOKUP($A975,kurspris!$A$1:$Q$835,14,FALSE)</f>
        <v>0</v>
      </c>
      <c r="AP975" s="39" t="s">
        <v>2326</v>
      </c>
      <c r="AQ975"/>
      <c r="AR975" s="31">
        <f t="shared" si="529"/>
        <v>0</v>
      </c>
      <c r="AS975" s="255">
        <f t="shared" si="530"/>
        <v>0</v>
      </c>
      <c r="AT975" s="31">
        <f t="shared" si="531"/>
        <v>0</v>
      </c>
      <c r="AU975" s="255">
        <f t="shared" si="532"/>
        <v>0</v>
      </c>
      <c r="AV975" s="31">
        <f t="shared" si="533"/>
        <v>0</v>
      </c>
      <c r="AW975" s="31">
        <f t="shared" si="534"/>
        <v>0</v>
      </c>
      <c r="AX975" s="31">
        <f t="shared" si="535"/>
        <v>0</v>
      </c>
      <c r="AY975" s="255">
        <f t="shared" si="536"/>
        <v>0</v>
      </c>
      <c r="AZ975" s="232">
        <f t="shared" si="537"/>
        <v>0</v>
      </c>
      <c r="BA975" s="255">
        <f t="shared" si="538"/>
        <v>0</v>
      </c>
      <c r="BB975" s="31">
        <f t="shared" si="539"/>
        <v>0</v>
      </c>
      <c r="BC975" s="255">
        <f t="shared" si="540"/>
        <v>0</v>
      </c>
      <c r="BD975" s="31">
        <f t="shared" si="541"/>
        <v>0</v>
      </c>
      <c r="BE975" s="255">
        <f t="shared" si="542"/>
        <v>0</v>
      </c>
      <c r="BF975" s="31">
        <f t="shared" si="543"/>
        <v>0</v>
      </c>
      <c r="BG975" s="255">
        <f t="shared" si="544"/>
        <v>0</v>
      </c>
      <c r="BH975" s="31">
        <f t="shared" si="545"/>
        <v>0.1</v>
      </c>
      <c r="BI975" s="255">
        <f t="shared" si="546"/>
        <v>8.5000000000000006E-2</v>
      </c>
      <c r="BJ975" s="31">
        <f t="shared" si="547"/>
        <v>0</v>
      </c>
      <c r="BK975" s="31">
        <f t="shared" si="548"/>
        <v>0</v>
      </c>
      <c r="BL975" s="255">
        <f t="shared" si="549"/>
        <v>0</v>
      </c>
      <c r="BM975" s="31">
        <f t="shared" si="550"/>
        <v>0</v>
      </c>
      <c r="BN975" s="255">
        <f t="shared" si="551"/>
        <v>0</v>
      </c>
    </row>
    <row r="976" spans="1:66" x14ac:dyDescent="0.25">
      <c r="A976" s="18" t="s">
        <v>2015</v>
      </c>
      <c r="B976" s="186" t="str">
        <f>VLOOKUP(A976,kurspris!$A$1:$B$877,2,FALSE)</f>
        <v>Att undervisa i religionskunskap (VFU)</v>
      </c>
      <c r="C976" s="37"/>
      <c r="D976" s="31" t="s">
        <v>483</v>
      </c>
      <c r="E976" s="31" t="s">
        <v>1609</v>
      </c>
      <c r="F976" s="59" t="s">
        <v>1931</v>
      </c>
      <c r="G976" s="31" t="s">
        <v>2272</v>
      </c>
      <c r="J976" t="s">
        <v>776</v>
      </c>
      <c r="L976" s="31">
        <v>100</v>
      </c>
      <c r="M976" s="31">
        <v>6</v>
      </c>
      <c r="P976" s="31">
        <v>4</v>
      </c>
      <c r="Q976" s="232">
        <f t="shared" si="524"/>
        <v>0.4</v>
      </c>
      <c r="R976" s="40">
        <v>0.85</v>
      </c>
      <c r="S976" s="334">
        <f t="shared" si="525"/>
        <v>0.34</v>
      </c>
      <c r="T976" s="31">
        <f>VLOOKUP(A976,'Ansvar kurs'!$A$1:$C$1010,2,FALSE)</f>
        <v>1630</v>
      </c>
      <c r="U976" s="31" t="str">
        <f>VLOOKUP(T976,Orgenheter!$A$1:$C$165,2,FALSE)</f>
        <v>Inst för ide- o samhällsstudier</v>
      </c>
      <c r="V976" s="31" t="str">
        <f>VLOOKUP(T976,Orgenheter!$A$1:$C$165,3,FALSE)</f>
        <v>Hum</v>
      </c>
      <c r="W976" s="37" t="str">
        <f>VLOOKUP(D976,Program!$A$1:$B$34,2,FALSE)</f>
        <v>Ämneslärarprogrammet - Gy</v>
      </c>
      <c r="X976" s="42">
        <f>VLOOKUP(A976,kurspris!$A$1:$Q$798,15,FALSE)</f>
        <v>21634</v>
      </c>
      <c r="Y976" s="42">
        <f>VLOOKUP(A976,kurspris!$A$1:$Q$798,16,FALSE)</f>
        <v>26986</v>
      </c>
      <c r="Z976" s="42">
        <f t="shared" si="526"/>
        <v>17828.84</v>
      </c>
      <c r="AA976" s="42">
        <f>VLOOKUP(A976,kurspris!$A$1:$Q$798,17,FALSE)</f>
        <v>3400</v>
      </c>
      <c r="AB976" s="42">
        <f t="shared" si="527"/>
        <v>1360</v>
      </c>
      <c r="AC976" s="42">
        <f t="shared" si="528"/>
        <v>19188.84</v>
      </c>
      <c r="AD976" s="31">
        <f>VLOOKUP($A976,kurspris!$A$1:$Q$835,3,FALSE)</f>
        <v>0</v>
      </c>
      <c r="AE976" s="31">
        <f>VLOOKUP($A976,kurspris!$A$1:$Q$835,4,FALSE)</f>
        <v>0</v>
      </c>
      <c r="AF976" s="31">
        <f>VLOOKUP($A976,kurspris!$A$1:$Q$835,5,FALSE)</f>
        <v>0</v>
      </c>
      <c r="AG976" s="31">
        <f>VLOOKUP($A976,kurspris!$A$1:$Q$835,6,FALSE)</f>
        <v>0</v>
      </c>
      <c r="AH976" s="31">
        <f>VLOOKUP($A976,kurspris!$A$1:$Q$835,7,FALSE)</f>
        <v>0</v>
      </c>
      <c r="AI976" s="31">
        <f>VLOOKUP($A976,kurspris!$A$1:$Q$835,8,FALSE)</f>
        <v>0</v>
      </c>
      <c r="AJ976" s="31">
        <f>VLOOKUP($A976,kurspris!$A$1:$Q$835,9,FALSE)</f>
        <v>0</v>
      </c>
      <c r="AK976" s="31">
        <f>VLOOKUP($A976,kurspris!$A$1:$Q$835,10,FALSE)</f>
        <v>0</v>
      </c>
      <c r="AL976" s="31">
        <f>VLOOKUP($A976,kurspris!$A$1:$Q$835,11,FALSE)</f>
        <v>1</v>
      </c>
      <c r="AM976" s="31">
        <f>VLOOKUP($A976,kurspris!$A$1:$Q$835,12,FALSE)</f>
        <v>0</v>
      </c>
      <c r="AN976" s="31">
        <f>VLOOKUP($A976,kurspris!$A$1:$Q$835,13,FALSE)</f>
        <v>0</v>
      </c>
      <c r="AO976" s="31">
        <f>VLOOKUP($A976,kurspris!$A$1:$Q$835,14,FALSE)</f>
        <v>0</v>
      </c>
      <c r="AP976" s="39" t="s">
        <v>2326</v>
      </c>
      <c r="AQ976"/>
      <c r="AR976" s="31">
        <f t="shared" si="529"/>
        <v>0</v>
      </c>
      <c r="AS976" s="255">
        <f t="shared" si="530"/>
        <v>0</v>
      </c>
      <c r="AT976" s="31">
        <f t="shared" si="531"/>
        <v>0</v>
      </c>
      <c r="AU976" s="255">
        <f t="shared" si="532"/>
        <v>0</v>
      </c>
      <c r="AV976" s="31">
        <f t="shared" si="533"/>
        <v>0</v>
      </c>
      <c r="AW976" s="31">
        <f t="shared" si="534"/>
        <v>0</v>
      </c>
      <c r="AX976" s="31">
        <f t="shared" si="535"/>
        <v>0</v>
      </c>
      <c r="AY976" s="255">
        <f t="shared" si="536"/>
        <v>0</v>
      </c>
      <c r="AZ976" s="232">
        <f t="shared" si="537"/>
        <v>0</v>
      </c>
      <c r="BA976" s="255">
        <f t="shared" si="538"/>
        <v>0</v>
      </c>
      <c r="BB976" s="31">
        <f t="shared" si="539"/>
        <v>0</v>
      </c>
      <c r="BC976" s="255">
        <f t="shared" si="540"/>
        <v>0</v>
      </c>
      <c r="BD976" s="31">
        <f t="shared" si="541"/>
        <v>0</v>
      </c>
      <c r="BE976" s="255">
        <f t="shared" si="542"/>
        <v>0</v>
      </c>
      <c r="BF976" s="31">
        <f t="shared" si="543"/>
        <v>0</v>
      </c>
      <c r="BG976" s="255">
        <f t="shared" si="544"/>
        <v>0</v>
      </c>
      <c r="BH976" s="31">
        <f t="shared" si="545"/>
        <v>0.4</v>
      </c>
      <c r="BI976" s="255">
        <f t="shared" si="546"/>
        <v>0.34</v>
      </c>
      <c r="BJ976" s="31">
        <f t="shared" si="547"/>
        <v>0</v>
      </c>
      <c r="BK976" s="31">
        <f t="shared" si="548"/>
        <v>0</v>
      </c>
      <c r="BL976" s="255">
        <f t="shared" si="549"/>
        <v>0</v>
      </c>
      <c r="BM976" s="31">
        <f t="shared" si="550"/>
        <v>0</v>
      </c>
      <c r="BN976" s="255">
        <f t="shared" si="551"/>
        <v>0</v>
      </c>
    </row>
    <row r="977" spans="1:66" x14ac:dyDescent="0.25">
      <c r="A977" s="18" t="s">
        <v>1965</v>
      </c>
      <c r="B977" s="186" t="str">
        <f>VLOOKUP(A977,kurspris!$A$1:$B$877,2,FALSE)</f>
        <v>Religionsvetenskap 2</v>
      </c>
      <c r="C977" s="37"/>
      <c r="D977" s="31" t="s">
        <v>483</v>
      </c>
      <c r="E977" s="31" t="s">
        <v>1973</v>
      </c>
      <c r="F977" s="59" t="s">
        <v>1931</v>
      </c>
      <c r="G977" s="31" t="s">
        <v>2276</v>
      </c>
      <c r="J977" t="s">
        <v>1952</v>
      </c>
      <c r="L977" s="31">
        <v>100</v>
      </c>
      <c r="M977" s="31">
        <v>30</v>
      </c>
      <c r="P977" s="31">
        <v>1</v>
      </c>
      <c r="Q977" s="232">
        <f t="shared" si="524"/>
        <v>0.5</v>
      </c>
      <c r="R977" s="40">
        <v>0.85</v>
      </c>
      <c r="S977" s="334">
        <f t="shared" si="525"/>
        <v>0.42499999999999999</v>
      </c>
      <c r="T977" s="31">
        <f>VLOOKUP(A977,'Ansvar kurs'!$A$1:$C$1010,2,FALSE)</f>
        <v>1630</v>
      </c>
      <c r="U977" s="31" t="str">
        <f>VLOOKUP(T977,Orgenheter!$A$1:$C$165,2,FALSE)</f>
        <v>Inst för ide- o samhällsstudier</v>
      </c>
      <c r="V977" s="31" t="str">
        <f>VLOOKUP(T977,Orgenheter!$A$1:$C$165,3,FALSE)</f>
        <v>Hum</v>
      </c>
      <c r="W977" s="37" t="str">
        <f>VLOOKUP(D977,Program!$A$1:$B$34,2,FALSE)</f>
        <v>Ämneslärarprogrammet - Gy</v>
      </c>
      <c r="X977" s="42">
        <f>VLOOKUP(A977,kurspris!$A$1:$Q$798,15,FALSE)</f>
        <v>18405</v>
      </c>
      <c r="Y977" s="42">
        <f>VLOOKUP(A977,kurspris!$A$1:$Q$798,16,FALSE)</f>
        <v>15773</v>
      </c>
      <c r="Z977" s="42">
        <f t="shared" si="526"/>
        <v>15906.025</v>
      </c>
      <c r="AA977" s="42">
        <f>VLOOKUP(A977,kurspris!$A$1:$Q$798,17,FALSE)</f>
        <v>5800</v>
      </c>
      <c r="AB977" s="42">
        <f t="shared" si="527"/>
        <v>2900</v>
      </c>
      <c r="AC977" s="42">
        <f t="shared" si="528"/>
        <v>18806.025000000001</v>
      </c>
      <c r="AD977" s="31">
        <f>VLOOKUP($A977,kurspris!$A$1:$Q$835,3,FALSE)</f>
        <v>0</v>
      </c>
      <c r="AE977" s="31">
        <f>VLOOKUP($A977,kurspris!$A$1:$Q$835,4,FALSE)</f>
        <v>1</v>
      </c>
      <c r="AF977" s="31">
        <f>VLOOKUP($A977,kurspris!$A$1:$Q$835,5,FALSE)</f>
        <v>0</v>
      </c>
      <c r="AG977" s="31">
        <f>VLOOKUP($A977,kurspris!$A$1:$Q$835,6,FALSE)</f>
        <v>0</v>
      </c>
      <c r="AH977" s="31">
        <f>VLOOKUP($A977,kurspris!$A$1:$Q$835,7,FALSE)</f>
        <v>0</v>
      </c>
      <c r="AI977" s="31">
        <f>VLOOKUP($A977,kurspris!$A$1:$Q$835,8,FALSE)</f>
        <v>0</v>
      </c>
      <c r="AJ977" s="31">
        <f>VLOOKUP($A977,kurspris!$A$1:$Q$835,9,FALSE)</f>
        <v>0</v>
      </c>
      <c r="AK977" s="31">
        <f>VLOOKUP($A977,kurspris!$A$1:$Q$835,10,FALSE)</f>
        <v>0</v>
      </c>
      <c r="AL977" s="31">
        <f>VLOOKUP($A977,kurspris!$A$1:$Q$835,11,FALSE)</f>
        <v>0</v>
      </c>
      <c r="AM977" s="31">
        <f>VLOOKUP($A977,kurspris!$A$1:$Q$835,12,FALSE)</f>
        <v>0</v>
      </c>
      <c r="AN977" s="31">
        <f>VLOOKUP($A977,kurspris!$A$1:$Q$835,13,FALSE)</f>
        <v>0</v>
      </c>
      <c r="AO977" s="31">
        <f>VLOOKUP($A977,kurspris!$A$1:$Q$835,14,FALSE)</f>
        <v>0</v>
      </c>
      <c r="AP977" s="39" t="s">
        <v>2326</v>
      </c>
      <c r="AQ977"/>
      <c r="AR977" s="31">
        <f t="shared" si="529"/>
        <v>0</v>
      </c>
      <c r="AS977" s="255">
        <f t="shared" si="530"/>
        <v>0</v>
      </c>
      <c r="AT977" s="31">
        <f t="shared" si="531"/>
        <v>0.5</v>
      </c>
      <c r="AU977" s="255">
        <f t="shared" si="532"/>
        <v>0.42499999999999999</v>
      </c>
      <c r="AV977" s="31">
        <f t="shared" si="533"/>
        <v>0</v>
      </c>
      <c r="AW977" s="31">
        <f t="shared" si="534"/>
        <v>0</v>
      </c>
      <c r="AX977" s="31">
        <f t="shared" si="535"/>
        <v>0</v>
      </c>
      <c r="AY977" s="255">
        <f t="shared" si="536"/>
        <v>0</v>
      </c>
      <c r="AZ977" s="232">
        <f t="shared" si="537"/>
        <v>0</v>
      </c>
      <c r="BA977" s="255">
        <f t="shared" si="538"/>
        <v>0</v>
      </c>
      <c r="BB977" s="31">
        <f t="shared" si="539"/>
        <v>0</v>
      </c>
      <c r="BC977" s="255">
        <f t="shared" si="540"/>
        <v>0</v>
      </c>
      <c r="BD977" s="31">
        <f t="shared" si="541"/>
        <v>0</v>
      </c>
      <c r="BE977" s="255">
        <f t="shared" si="542"/>
        <v>0</v>
      </c>
      <c r="BF977" s="31">
        <f t="shared" si="543"/>
        <v>0</v>
      </c>
      <c r="BG977" s="255">
        <f t="shared" si="544"/>
        <v>0</v>
      </c>
      <c r="BH977" s="31">
        <f t="shared" si="545"/>
        <v>0</v>
      </c>
      <c r="BI977" s="255">
        <f t="shared" si="546"/>
        <v>0</v>
      </c>
      <c r="BJ977" s="31">
        <f t="shared" si="547"/>
        <v>0</v>
      </c>
      <c r="BK977" s="31">
        <f t="shared" si="548"/>
        <v>0</v>
      </c>
      <c r="BL977" s="255">
        <f t="shared" si="549"/>
        <v>0</v>
      </c>
      <c r="BM977" s="31">
        <f t="shared" si="550"/>
        <v>0</v>
      </c>
      <c r="BN977" s="255">
        <f t="shared" si="551"/>
        <v>0</v>
      </c>
    </row>
    <row r="978" spans="1:66" x14ac:dyDescent="0.25">
      <c r="A978" s="18" t="s">
        <v>1965</v>
      </c>
      <c r="B978" s="186" t="str">
        <f>VLOOKUP(A978,kurspris!$A$1:$B$877,2,FALSE)</f>
        <v>Religionsvetenskap 2</v>
      </c>
      <c r="C978" s="37"/>
      <c r="D978" s="31" t="s">
        <v>483</v>
      </c>
      <c r="E978" s="31" t="s">
        <v>1973</v>
      </c>
      <c r="F978" s="59" t="s">
        <v>1931</v>
      </c>
      <c r="G978" s="31" t="s">
        <v>2276</v>
      </c>
      <c r="J978" t="s">
        <v>771</v>
      </c>
      <c r="L978" s="31">
        <v>100</v>
      </c>
      <c r="M978" s="31">
        <v>30</v>
      </c>
      <c r="P978" s="31">
        <v>1</v>
      </c>
      <c r="Q978" s="232">
        <f t="shared" si="524"/>
        <v>0.5</v>
      </c>
      <c r="R978" s="40">
        <v>0.85</v>
      </c>
      <c r="S978" s="334">
        <f t="shared" si="525"/>
        <v>0.42499999999999999</v>
      </c>
      <c r="T978" s="31">
        <f>VLOOKUP(A978,'Ansvar kurs'!$A$1:$C$1010,2,FALSE)</f>
        <v>1630</v>
      </c>
      <c r="U978" s="31" t="str">
        <f>VLOOKUP(T978,Orgenheter!$A$1:$C$165,2,FALSE)</f>
        <v>Inst för ide- o samhällsstudier</v>
      </c>
      <c r="V978" s="31" t="str">
        <f>VLOOKUP(T978,Orgenheter!$A$1:$C$165,3,FALSE)</f>
        <v>Hum</v>
      </c>
      <c r="W978" s="37" t="str">
        <f>VLOOKUP(D978,Program!$A$1:$B$34,2,FALSE)</f>
        <v>Ämneslärarprogrammet - Gy</v>
      </c>
      <c r="X978" s="42">
        <f>VLOOKUP(A978,kurspris!$A$1:$Q$798,15,FALSE)</f>
        <v>18405</v>
      </c>
      <c r="Y978" s="42">
        <f>VLOOKUP(A978,kurspris!$A$1:$Q$798,16,FALSE)</f>
        <v>15773</v>
      </c>
      <c r="Z978" s="42">
        <f t="shared" si="526"/>
        <v>15906.025</v>
      </c>
      <c r="AA978" s="42">
        <f>VLOOKUP(A978,kurspris!$A$1:$Q$798,17,FALSE)</f>
        <v>5800</v>
      </c>
      <c r="AB978" s="42">
        <f t="shared" si="527"/>
        <v>2900</v>
      </c>
      <c r="AC978" s="42">
        <f t="shared" si="528"/>
        <v>18806.025000000001</v>
      </c>
      <c r="AD978" s="31">
        <f>VLOOKUP($A978,kurspris!$A$1:$Q$835,3,FALSE)</f>
        <v>0</v>
      </c>
      <c r="AE978" s="31">
        <f>VLOOKUP($A978,kurspris!$A$1:$Q$835,4,FALSE)</f>
        <v>1</v>
      </c>
      <c r="AF978" s="31">
        <f>VLOOKUP($A978,kurspris!$A$1:$Q$835,5,FALSE)</f>
        <v>0</v>
      </c>
      <c r="AG978" s="31">
        <f>VLOOKUP($A978,kurspris!$A$1:$Q$835,6,FALSE)</f>
        <v>0</v>
      </c>
      <c r="AH978" s="31">
        <f>VLOOKUP($A978,kurspris!$A$1:$Q$835,7,FALSE)</f>
        <v>0</v>
      </c>
      <c r="AI978" s="31">
        <f>VLOOKUP($A978,kurspris!$A$1:$Q$835,8,FALSE)</f>
        <v>0</v>
      </c>
      <c r="AJ978" s="31">
        <f>VLOOKUP($A978,kurspris!$A$1:$Q$835,9,FALSE)</f>
        <v>0</v>
      </c>
      <c r="AK978" s="31">
        <f>VLOOKUP($A978,kurspris!$A$1:$Q$835,10,FALSE)</f>
        <v>0</v>
      </c>
      <c r="AL978" s="31">
        <f>VLOOKUP($A978,kurspris!$A$1:$Q$835,11,FALSE)</f>
        <v>0</v>
      </c>
      <c r="AM978" s="31">
        <f>VLOOKUP($A978,kurspris!$A$1:$Q$835,12,FALSE)</f>
        <v>0</v>
      </c>
      <c r="AN978" s="31">
        <f>VLOOKUP($A978,kurspris!$A$1:$Q$835,13,FALSE)</f>
        <v>0</v>
      </c>
      <c r="AO978" s="31">
        <f>VLOOKUP($A978,kurspris!$A$1:$Q$835,14,FALSE)</f>
        <v>0</v>
      </c>
      <c r="AP978" s="39" t="s">
        <v>2326</v>
      </c>
      <c r="AQ978"/>
      <c r="AR978" s="31">
        <f t="shared" si="529"/>
        <v>0</v>
      </c>
      <c r="AS978" s="255">
        <f t="shared" si="530"/>
        <v>0</v>
      </c>
      <c r="AT978" s="31">
        <f t="shared" si="531"/>
        <v>0.5</v>
      </c>
      <c r="AU978" s="255">
        <f t="shared" si="532"/>
        <v>0.42499999999999999</v>
      </c>
      <c r="AV978" s="31">
        <f t="shared" si="533"/>
        <v>0</v>
      </c>
      <c r="AW978" s="31">
        <f t="shared" si="534"/>
        <v>0</v>
      </c>
      <c r="AX978" s="31">
        <f t="shared" si="535"/>
        <v>0</v>
      </c>
      <c r="AY978" s="255">
        <f t="shared" si="536"/>
        <v>0</v>
      </c>
      <c r="AZ978" s="232">
        <f t="shared" si="537"/>
        <v>0</v>
      </c>
      <c r="BA978" s="255">
        <f t="shared" si="538"/>
        <v>0</v>
      </c>
      <c r="BB978" s="31">
        <f t="shared" si="539"/>
        <v>0</v>
      </c>
      <c r="BC978" s="255">
        <f t="shared" si="540"/>
        <v>0</v>
      </c>
      <c r="BD978" s="31">
        <f t="shared" si="541"/>
        <v>0</v>
      </c>
      <c r="BE978" s="255">
        <f t="shared" si="542"/>
        <v>0</v>
      </c>
      <c r="BF978" s="31">
        <f t="shared" si="543"/>
        <v>0</v>
      </c>
      <c r="BG978" s="255">
        <f t="shared" si="544"/>
        <v>0</v>
      </c>
      <c r="BH978" s="31">
        <f t="shared" si="545"/>
        <v>0</v>
      </c>
      <c r="BI978" s="255">
        <f t="shared" si="546"/>
        <v>0</v>
      </c>
      <c r="BJ978" s="31">
        <f t="shared" si="547"/>
        <v>0</v>
      </c>
      <c r="BK978" s="31">
        <f t="shared" si="548"/>
        <v>0</v>
      </c>
      <c r="BL978" s="255">
        <f t="shared" si="549"/>
        <v>0</v>
      </c>
      <c r="BM978" s="31">
        <f t="shared" si="550"/>
        <v>0</v>
      </c>
      <c r="BN978" s="255">
        <f t="shared" si="551"/>
        <v>0</v>
      </c>
    </row>
    <row r="979" spans="1:66" x14ac:dyDescent="0.25">
      <c r="A979" s="18" t="s">
        <v>1965</v>
      </c>
      <c r="B979" s="186" t="str">
        <f>VLOOKUP(A979,kurspris!$A$1:$B$877,2,FALSE)</f>
        <v>Religionsvetenskap 2</v>
      </c>
      <c r="C979" s="37"/>
      <c r="D979" s="31" t="s">
        <v>483</v>
      </c>
      <c r="E979" s="31" t="s">
        <v>1973</v>
      </c>
      <c r="F979" s="59" t="s">
        <v>1931</v>
      </c>
      <c r="G979" s="31" t="s">
        <v>2276</v>
      </c>
      <c r="J979" t="s">
        <v>772</v>
      </c>
      <c r="L979" s="31">
        <v>100</v>
      </c>
      <c r="M979" s="31">
        <v>30</v>
      </c>
      <c r="P979" s="31">
        <v>2</v>
      </c>
      <c r="Q979" s="232">
        <f t="shared" si="524"/>
        <v>1</v>
      </c>
      <c r="R979" s="40">
        <v>0.85</v>
      </c>
      <c r="S979" s="334">
        <f t="shared" si="525"/>
        <v>0.85</v>
      </c>
      <c r="T979" s="31">
        <f>VLOOKUP(A979,'Ansvar kurs'!$A$1:$C$1010,2,FALSE)</f>
        <v>1630</v>
      </c>
      <c r="U979" s="31" t="str">
        <f>VLOOKUP(T979,Orgenheter!$A$1:$C$165,2,FALSE)</f>
        <v>Inst för ide- o samhällsstudier</v>
      </c>
      <c r="V979" s="31" t="str">
        <f>VLOOKUP(T979,Orgenheter!$A$1:$C$165,3,FALSE)</f>
        <v>Hum</v>
      </c>
      <c r="W979" s="37" t="str">
        <f>VLOOKUP(D979,Program!$A$1:$B$34,2,FALSE)</f>
        <v>Ämneslärarprogrammet - Gy</v>
      </c>
      <c r="X979" s="42">
        <f>VLOOKUP(A979,kurspris!$A$1:$Q$798,15,FALSE)</f>
        <v>18405</v>
      </c>
      <c r="Y979" s="42">
        <f>VLOOKUP(A979,kurspris!$A$1:$Q$798,16,FALSE)</f>
        <v>15773</v>
      </c>
      <c r="Z979" s="42">
        <f t="shared" si="526"/>
        <v>31812.05</v>
      </c>
      <c r="AA979" s="42">
        <f>VLOOKUP(A979,kurspris!$A$1:$Q$798,17,FALSE)</f>
        <v>5800</v>
      </c>
      <c r="AB979" s="42">
        <f t="shared" si="527"/>
        <v>5800</v>
      </c>
      <c r="AC979" s="42">
        <f t="shared" si="528"/>
        <v>37612.050000000003</v>
      </c>
      <c r="AD979" s="31">
        <f>VLOOKUP($A979,kurspris!$A$1:$Q$835,3,FALSE)</f>
        <v>0</v>
      </c>
      <c r="AE979" s="31">
        <f>VLOOKUP($A979,kurspris!$A$1:$Q$835,4,FALSE)</f>
        <v>1</v>
      </c>
      <c r="AF979" s="31">
        <f>VLOOKUP($A979,kurspris!$A$1:$Q$835,5,FALSE)</f>
        <v>0</v>
      </c>
      <c r="AG979" s="31">
        <f>VLOOKUP($A979,kurspris!$A$1:$Q$835,6,FALSE)</f>
        <v>0</v>
      </c>
      <c r="AH979" s="31">
        <f>VLOOKUP($A979,kurspris!$A$1:$Q$835,7,FALSE)</f>
        <v>0</v>
      </c>
      <c r="AI979" s="31">
        <f>VLOOKUP($A979,kurspris!$A$1:$Q$835,8,FALSE)</f>
        <v>0</v>
      </c>
      <c r="AJ979" s="31">
        <f>VLOOKUP($A979,kurspris!$A$1:$Q$835,9,FALSE)</f>
        <v>0</v>
      </c>
      <c r="AK979" s="31">
        <f>VLOOKUP($A979,kurspris!$A$1:$Q$835,10,FALSE)</f>
        <v>0</v>
      </c>
      <c r="AL979" s="31">
        <f>VLOOKUP($A979,kurspris!$A$1:$Q$835,11,FALSE)</f>
        <v>0</v>
      </c>
      <c r="AM979" s="31">
        <f>VLOOKUP($A979,kurspris!$A$1:$Q$835,12,FALSE)</f>
        <v>0</v>
      </c>
      <c r="AN979" s="31">
        <f>VLOOKUP($A979,kurspris!$A$1:$Q$835,13,FALSE)</f>
        <v>0</v>
      </c>
      <c r="AO979" s="31">
        <f>VLOOKUP($A979,kurspris!$A$1:$Q$835,14,FALSE)</f>
        <v>0</v>
      </c>
      <c r="AP979" s="39" t="s">
        <v>2326</v>
      </c>
      <c r="AQ979"/>
      <c r="AR979" s="31">
        <f t="shared" si="529"/>
        <v>0</v>
      </c>
      <c r="AS979" s="255">
        <f t="shared" si="530"/>
        <v>0</v>
      </c>
      <c r="AT979" s="31">
        <f t="shared" si="531"/>
        <v>1</v>
      </c>
      <c r="AU979" s="255">
        <f t="shared" si="532"/>
        <v>0.85</v>
      </c>
      <c r="AV979" s="31">
        <f t="shared" si="533"/>
        <v>0</v>
      </c>
      <c r="AW979" s="31">
        <f t="shared" si="534"/>
        <v>0</v>
      </c>
      <c r="AX979" s="31">
        <f t="shared" si="535"/>
        <v>0</v>
      </c>
      <c r="AY979" s="255">
        <f t="shared" si="536"/>
        <v>0</v>
      </c>
      <c r="AZ979" s="232">
        <f t="shared" si="537"/>
        <v>0</v>
      </c>
      <c r="BA979" s="255">
        <f t="shared" si="538"/>
        <v>0</v>
      </c>
      <c r="BB979" s="31">
        <f t="shared" si="539"/>
        <v>0</v>
      </c>
      <c r="BC979" s="255">
        <f t="shared" si="540"/>
        <v>0</v>
      </c>
      <c r="BD979" s="31">
        <f t="shared" si="541"/>
        <v>0</v>
      </c>
      <c r="BE979" s="255">
        <f t="shared" si="542"/>
        <v>0</v>
      </c>
      <c r="BF979" s="31">
        <f t="shared" si="543"/>
        <v>0</v>
      </c>
      <c r="BG979" s="255">
        <f t="shared" si="544"/>
        <v>0</v>
      </c>
      <c r="BH979" s="31">
        <f t="shared" si="545"/>
        <v>0</v>
      </c>
      <c r="BI979" s="255">
        <f t="shared" si="546"/>
        <v>0</v>
      </c>
      <c r="BJ979" s="31">
        <f t="shared" si="547"/>
        <v>0</v>
      </c>
      <c r="BK979" s="31">
        <f t="shared" si="548"/>
        <v>0</v>
      </c>
      <c r="BL979" s="255">
        <f t="shared" si="549"/>
        <v>0</v>
      </c>
      <c r="BM979" s="31">
        <f t="shared" si="550"/>
        <v>0</v>
      </c>
      <c r="BN979" s="255">
        <f t="shared" si="551"/>
        <v>0</v>
      </c>
    </row>
    <row r="980" spans="1:66" x14ac:dyDescent="0.25">
      <c r="A980" s="18" t="s">
        <v>1965</v>
      </c>
      <c r="B980" s="186" t="str">
        <f>VLOOKUP(A980,kurspris!$A$1:$B$877,2,FALSE)</f>
        <v>Religionsvetenskap 2</v>
      </c>
      <c r="C980" s="37"/>
      <c r="D980" s="31" t="s">
        <v>483</v>
      </c>
      <c r="E980" s="31" t="s">
        <v>1973</v>
      </c>
      <c r="F980" s="59" t="s">
        <v>1931</v>
      </c>
      <c r="G980" s="31" t="s">
        <v>2276</v>
      </c>
      <c r="J980" t="s">
        <v>774</v>
      </c>
      <c r="L980" s="31">
        <v>100</v>
      </c>
      <c r="M980" s="31">
        <v>30</v>
      </c>
      <c r="P980" s="31">
        <v>1</v>
      </c>
      <c r="Q980" s="232">
        <f t="shared" si="524"/>
        <v>0.5</v>
      </c>
      <c r="R980" s="40">
        <v>0.85</v>
      </c>
      <c r="S980" s="334">
        <f t="shared" si="525"/>
        <v>0.42499999999999999</v>
      </c>
      <c r="T980" s="31">
        <f>VLOOKUP(A980,'Ansvar kurs'!$A$1:$C$1010,2,FALSE)</f>
        <v>1630</v>
      </c>
      <c r="U980" s="31" t="str">
        <f>VLOOKUP(T980,Orgenheter!$A$1:$C$165,2,FALSE)</f>
        <v>Inst för ide- o samhällsstudier</v>
      </c>
      <c r="V980" s="31" t="str">
        <f>VLOOKUP(T980,Orgenheter!$A$1:$C$165,3,FALSE)</f>
        <v>Hum</v>
      </c>
      <c r="W980" s="37" t="str">
        <f>VLOOKUP(D980,Program!$A$1:$B$34,2,FALSE)</f>
        <v>Ämneslärarprogrammet - Gy</v>
      </c>
      <c r="X980" s="42">
        <f>VLOOKUP(A980,kurspris!$A$1:$Q$798,15,FALSE)</f>
        <v>18405</v>
      </c>
      <c r="Y980" s="42">
        <f>VLOOKUP(A980,kurspris!$A$1:$Q$798,16,FALSE)</f>
        <v>15773</v>
      </c>
      <c r="Z980" s="42">
        <f t="shared" si="526"/>
        <v>15906.025</v>
      </c>
      <c r="AA980" s="42">
        <f>VLOOKUP(A980,kurspris!$A$1:$Q$798,17,FALSE)</f>
        <v>5800</v>
      </c>
      <c r="AB980" s="42">
        <f t="shared" si="527"/>
        <v>2900</v>
      </c>
      <c r="AC980" s="42">
        <f t="shared" si="528"/>
        <v>18806.025000000001</v>
      </c>
      <c r="AD980" s="31">
        <f>VLOOKUP($A980,kurspris!$A$1:$Q$835,3,FALSE)</f>
        <v>0</v>
      </c>
      <c r="AE980" s="31">
        <f>VLOOKUP($A980,kurspris!$A$1:$Q$835,4,FALSE)</f>
        <v>1</v>
      </c>
      <c r="AF980" s="31">
        <f>VLOOKUP($A980,kurspris!$A$1:$Q$835,5,FALSE)</f>
        <v>0</v>
      </c>
      <c r="AG980" s="31">
        <f>VLOOKUP($A980,kurspris!$A$1:$Q$835,6,FALSE)</f>
        <v>0</v>
      </c>
      <c r="AH980" s="31">
        <f>VLOOKUP($A980,kurspris!$A$1:$Q$835,7,FALSE)</f>
        <v>0</v>
      </c>
      <c r="AI980" s="31">
        <f>VLOOKUP($A980,kurspris!$A$1:$Q$835,8,FALSE)</f>
        <v>0</v>
      </c>
      <c r="AJ980" s="31">
        <f>VLOOKUP($A980,kurspris!$A$1:$Q$835,9,FALSE)</f>
        <v>0</v>
      </c>
      <c r="AK980" s="31">
        <f>VLOOKUP($A980,kurspris!$A$1:$Q$835,10,FALSE)</f>
        <v>0</v>
      </c>
      <c r="AL980" s="31">
        <f>VLOOKUP($A980,kurspris!$A$1:$Q$835,11,FALSE)</f>
        <v>0</v>
      </c>
      <c r="AM980" s="31">
        <f>VLOOKUP($A980,kurspris!$A$1:$Q$835,12,FALSE)</f>
        <v>0</v>
      </c>
      <c r="AN980" s="31">
        <f>VLOOKUP($A980,kurspris!$A$1:$Q$835,13,FALSE)</f>
        <v>0</v>
      </c>
      <c r="AO980" s="31">
        <f>VLOOKUP($A980,kurspris!$A$1:$Q$835,14,FALSE)</f>
        <v>0</v>
      </c>
      <c r="AP980" s="39" t="s">
        <v>2326</v>
      </c>
      <c r="AQ980"/>
      <c r="AR980" s="31">
        <f t="shared" si="529"/>
        <v>0</v>
      </c>
      <c r="AS980" s="255">
        <f t="shared" si="530"/>
        <v>0</v>
      </c>
      <c r="AT980" s="31">
        <f t="shared" si="531"/>
        <v>0.5</v>
      </c>
      <c r="AU980" s="255">
        <f t="shared" si="532"/>
        <v>0.42499999999999999</v>
      </c>
      <c r="AV980" s="31">
        <f t="shared" si="533"/>
        <v>0</v>
      </c>
      <c r="AW980" s="31">
        <f t="shared" si="534"/>
        <v>0</v>
      </c>
      <c r="AX980" s="31">
        <f t="shared" si="535"/>
        <v>0</v>
      </c>
      <c r="AY980" s="255">
        <f t="shared" si="536"/>
        <v>0</v>
      </c>
      <c r="AZ980" s="232">
        <f t="shared" si="537"/>
        <v>0</v>
      </c>
      <c r="BA980" s="255">
        <f t="shared" si="538"/>
        <v>0</v>
      </c>
      <c r="BB980" s="31">
        <f t="shared" si="539"/>
        <v>0</v>
      </c>
      <c r="BC980" s="255">
        <f t="shared" si="540"/>
        <v>0</v>
      </c>
      <c r="BD980" s="31">
        <f t="shared" si="541"/>
        <v>0</v>
      </c>
      <c r="BE980" s="255">
        <f t="shared" si="542"/>
        <v>0</v>
      </c>
      <c r="BF980" s="31">
        <f t="shared" si="543"/>
        <v>0</v>
      </c>
      <c r="BG980" s="255">
        <f t="shared" si="544"/>
        <v>0</v>
      </c>
      <c r="BH980" s="31">
        <f t="shared" si="545"/>
        <v>0</v>
      </c>
      <c r="BI980" s="255">
        <f t="shared" si="546"/>
        <v>0</v>
      </c>
      <c r="BJ980" s="31">
        <f t="shared" si="547"/>
        <v>0</v>
      </c>
      <c r="BK980" s="31">
        <f t="shared" si="548"/>
        <v>0</v>
      </c>
      <c r="BL980" s="255">
        <f t="shared" si="549"/>
        <v>0</v>
      </c>
      <c r="BM980" s="31">
        <f t="shared" si="550"/>
        <v>0</v>
      </c>
      <c r="BN980" s="255">
        <f t="shared" si="551"/>
        <v>0</v>
      </c>
    </row>
    <row r="981" spans="1:66" x14ac:dyDescent="0.25">
      <c r="A981" s="18" t="s">
        <v>1965</v>
      </c>
      <c r="B981" s="186" t="str">
        <f>VLOOKUP(A981,kurspris!$A$1:$B$877,2,FALSE)</f>
        <v>Religionsvetenskap 2</v>
      </c>
      <c r="C981" s="37"/>
      <c r="D981" s="31" t="s">
        <v>483</v>
      </c>
      <c r="E981" s="31" t="s">
        <v>1609</v>
      </c>
      <c r="F981" s="59" t="s">
        <v>1931</v>
      </c>
      <c r="G981" s="31" t="s">
        <v>2276</v>
      </c>
      <c r="J981" t="s">
        <v>776</v>
      </c>
      <c r="L981" s="31">
        <v>100</v>
      </c>
      <c r="M981" s="31">
        <v>30</v>
      </c>
      <c r="P981" s="31">
        <v>1</v>
      </c>
      <c r="Q981" s="232">
        <f t="shared" si="524"/>
        <v>0.5</v>
      </c>
      <c r="R981" s="40">
        <v>0.85</v>
      </c>
      <c r="S981" s="334">
        <f t="shared" si="525"/>
        <v>0.42499999999999999</v>
      </c>
      <c r="T981" s="31">
        <f>VLOOKUP(A981,'Ansvar kurs'!$A$1:$C$1010,2,FALSE)</f>
        <v>1630</v>
      </c>
      <c r="U981" s="31" t="str">
        <f>VLOOKUP(T981,Orgenheter!$A$1:$C$165,2,FALSE)</f>
        <v>Inst för ide- o samhällsstudier</v>
      </c>
      <c r="V981" s="31" t="str">
        <f>VLOOKUP(T981,Orgenheter!$A$1:$C$165,3,FALSE)</f>
        <v>Hum</v>
      </c>
      <c r="W981" s="37" t="str">
        <f>VLOOKUP(D981,Program!$A$1:$B$34,2,FALSE)</f>
        <v>Ämneslärarprogrammet - Gy</v>
      </c>
      <c r="X981" s="42">
        <f>VLOOKUP(A981,kurspris!$A$1:$Q$798,15,FALSE)</f>
        <v>18405</v>
      </c>
      <c r="Y981" s="42">
        <f>VLOOKUP(A981,kurspris!$A$1:$Q$798,16,FALSE)</f>
        <v>15773</v>
      </c>
      <c r="Z981" s="42">
        <f t="shared" si="526"/>
        <v>15906.025</v>
      </c>
      <c r="AA981" s="42">
        <f>VLOOKUP(A981,kurspris!$A$1:$Q$798,17,FALSE)</f>
        <v>5800</v>
      </c>
      <c r="AB981" s="42">
        <f t="shared" si="527"/>
        <v>2900</v>
      </c>
      <c r="AC981" s="42">
        <f t="shared" si="528"/>
        <v>18806.025000000001</v>
      </c>
      <c r="AD981" s="31">
        <f>VLOOKUP($A981,kurspris!$A$1:$Q$835,3,FALSE)</f>
        <v>0</v>
      </c>
      <c r="AE981" s="31">
        <f>VLOOKUP($A981,kurspris!$A$1:$Q$835,4,FALSE)</f>
        <v>1</v>
      </c>
      <c r="AF981" s="31">
        <f>VLOOKUP($A981,kurspris!$A$1:$Q$835,5,FALSE)</f>
        <v>0</v>
      </c>
      <c r="AG981" s="31">
        <f>VLOOKUP($A981,kurspris!$A$1:$Q$835,6,FALSE)</f>
        <v>0</v>
      </c>
      <c r="AH981" s="31">
        <f>VLOOKUP($A981,kurspris!$A$1:$Q$835,7,FALSE)</f>
        <v>0</v>
      </c>
      <c r="AI981" s="31">
        <f>VLOOKUP($A981,kurspris!$A$1:$Q$835,8,FALSE)</f>
        <v>0</v>
      </c>
      <c r="AJ981" s="31">
        <f>VLOOKUP($A981,kurspris!$A$1:$Q$835,9,FALSE)</f>
        <v>0</v>
      </c>
      <c r="AK981" s="31">
        <f>VLOOKUP($A981,kurspris!$A$1:$Q$835,10,FALSE)</f>
        <v>0</v>
      </c>
      <c r="AL981" s="31">
        <f>VLOOKUP($A981,kurspris!$A$1:$Q$835,11,FALSE)</f>
        <v>0</v>
      </c>
      <c r="AM981" s="31">
        <f>VLOOKUP($A981,kurspris!$A$1:$Q$835,12,FALSE)</f>
        <v>0</v>
      </c>
      <c r="AN981" s="31">
        <f>VLOOKUP($A981,kurspris!$A$1:$Q$835,13,FALSE)</f>
        <v>0</v>
      </c>
      <c r="AO981" s="31">
        <f>VLOOKUP($A981,kurspris!$A$1:$Q$835,14,FALSE)</f>
        <v>0</v>
      </c>
      <c r="AP981" s="39" t="s">
        <v>2326</v>
      </c>
      <c r="AQ981"/>
      <c r="AR981" s="31">
        <f t="shared" si="529"/>
        <v>0</v>
      </c>
      <c r="AS981" s="255">
        <f t="shared" si="530"/>
        <v>0</v>
      </c>
      <c r="AT981" s="31">
        <f t="shared" si="531"/>
        <v>0.5</v>
      </c>
      <c r="AU981" s="255">
        <f t="shared" si="532"/>
        <v>0.42499999999999999</v>
      </c>
      <c r="AV981" s="31">
        <f t="shared" si="533"/>
        <v>0</v>
      </c>
      <c r="AW981" s="31">
        <f t="shared" si="534"/>
        <v>0</v>
      </c>
      <c r="AX981" s="31">
        <f t="shared" si="535"/>
        <v>0</v>
      </c>
      <c r="AY981" s="255">
        <f t="shared" si="536"/>
        <v>0</v>
      </c>
      <c r="AZ981" s="232">
        <f t="shared" si="537"/>
        <v>0</v>
      </c>
      <c r="BA981" s="255">
        <f t="shared" si="538"/>
        <v>0</v>
      </c>
      <c r="BB981" s="31">
        <f t="shared" si="539"/>
        <v>0</v>
      </c>
      <c r="BC981" s="255">
        <f t="shared" si="540"/>
        <v>0</v>
      </c>
      <c r="BD981" s="31">
        <f t="shared" si="541"/>
        <v>0</v>
      </c>
      <c r="BE981" s="255">
        <f t="shared" si="542"/>
        <v>0</v>
      </c>
      <c r="BF981" s="31">
        <f t="shared" si="543"/>
        <v>0</v>
      </c>
      <c r="BG981" s="255">
        <f t="shared" si="544"/>
        <v>0</v>
      </c>
      <c r="BH981" s="31">
        <f t="shared" si="545"/>
        <v>0</v>
      </c>
      <c r="BI981" s="255">
        <f t="shared" si="546"/>
        <v>0</v>
      </c>
      <c r="BJ981" s="31">
        <f t="shared" si="547"/>
        <v>0</v>
      </c>
      <c r="BK981" s="31">
        <f t="shared" si="548"/>
        <v>0</v>
      </c>
      <c r="BL981" s="255">
        <f t="shared" si="549"/>
        <v>0</v>
      </c>
      <c r="BM981" s="31">
        <f t="shared" si="550"/>
        <v>0</v>
      </c>
      <c r="BN981" s="255">
        <f t="shared" si="551"/>
        <v>0</v>
      </c>
    </row>
    <row r="982" spans="1:66" x14ac:dyDescent="0.25">
      <c r="A982" s="18" t="s">
        <v>1965</v>
      </c>
      <c r="B982" s="186" t="str">
        <f>VLOOKUP(A982,kurspris!$A$1:$B$877,2,FALSE)</f>
        <v>Religionsvetenskap 2</v>
      </c>
      <c r="C982" s="37"/>
      <c r="D982" s="31" t="s">
        <v>483</v>
      </c>
      <c r="E982" s="31" t="s">
        <v>1788</v>
      </c>
      <c r="F982" s="59" t="s">
        <v>1931</v>
      </c>
      <c r="G982" s="31" t="s">
        <v>2276</v>
      </c>
      <c r="J982" t="s">
        <v>776</v>
      </c>
      <c r="L982" s="31">
        <v>100</v>
      </c>
      <c r="M982" s="31">
        <v>30</v>
      </c>
      <c r="P982" s="31">
        <v>6</v>
      </c>
      <c r="Q982" s="232">
        <f t="shared" si="524"/>
        <v>3</v>
      </c>
      <c r="R982" s="40">
        <v>0.85</v>
      </c>
      <c r="S982" s="334">
        <f t="shared" si="525"/>
        <v>2.5499999999999998</v>
      </c>
      <c r="T982" s="31">
        <f>VLOOKUP(A982,'Ansvar kurs'!$A$1:$C$1010,2,FALSE)</f>
        <v>1630</v>
      </c>
      <c r="U982" s="31" t="str">
        <f>VLOOKUP(T982,Orgenheter!$A$1:$C$165,2,FALSE)</f>
        <v>Inst för ide- o samhällsstudier</v>
      </c>
      <c r="V982" s="31" t="str">
        <f>VLOOKUP(T982,Orgenheter!$A$1:$C$165,3,FALSE)</f>
        <v>Hum</v>
      </c>
      <c r="W982" s="37" t="str">
        <f>VLOOKUP(D982,Program!$A$1:$B$34,2,FALSE)</f>
        <v>Ämneslärarprogrammet - Gy</v>
      </c>
      <c r="X982" s="42">
        <f>VLOOKUP(A982,kurspris!$A$1:$Q$798,15,FALSE)</f>
        <v>18405</v>
      </c>
      <c r="Y982" s="42">
        <f>VLOOKUP(A982,kurspris!$A$1:$Q$798,16,FALSE)</f>
        <v>15773</v>
      </c>
      <c r="Z982" s="42">
        <f t="shared" si="526"/>
        <v>95436.15</v>
      </c>
      <c r="AA982" s="42">
        <f>VLOOKUP(A982,kurspris!$A$1:$Q$798,17,FALSE)</f>
        <v>5800</v>
      </c>
      <c r="AB982" s="42">
        <f t="shared" si="527"/>
        <v>17400</v>
      </c>
      <c r="AC982" s="42">
        <f t="shared" si="528"/>
        <v>112836.15</v>
      </c>
      <c r="AD982" s="31">
        <f>VLOOKUP($A982,kurspris!$A$1:$Q$835,3,FALSE)</f>
        <v>0</v>
      </c>
      <c r="AE982" s="31">
        <f>VLOOKUP($A982,kurspris!$A$1:$Q$835,4,FALSE)</f>
        <v>1</v>
      </c>
      <c r="AF982" s="31">
        <f>VLOOKUP($A982,kurspris!$A$1:$Q$835,5,FALSE)</f>
        <v>0</v>
      </c>
      <c r="AG982" s="31">
        <f>VLOOKUP($A982,kurspris!$A$1:$Q$835,6,FALSE)</f>
        <v>0</v>
      </c>
      <c r="AH982" s="31">
        <f>VLOOKUP($A982,kurspris!$A$1:$Q$835,7,FALSE)</f>
        <v>0</v>
      </c>
      <c r="AI982" s="31">
        <f>VLOOKUP($A982,kurspris!$A$1:$Q$835,8,FALSE)</f>
        <v>0</v>
      </c>
      <c r="AJ982" s="31">
        <f>VLOOKUP($A982,kurspris!$A$1:$Q$835,9,FALSE)</f>
        <v>0</v>
      </c>
      <c r="AK982" s="31">
        <f>VLOOKUP($A982,kurspris!$A$1:$Q$835,10,FALSE)</f>
        <v>0</v>
      </c>
      <c r="AL982" s="31">
        <f>VLOOKUP($A982,kurspris!$A$1:$Q$835,11,FALSE)</f>
        <v>0</v>
      </c>
      <c r="AM982" s="31">
        <f>VLOOKUP($A982,kurspris!$A$1:$Q$835,12,FALSE)</f>
        <v>0</v>
      </c>
      <c r="AN982" s="31">
        <f>VLOOKUP($A982,kurspris!$A$1:$Q$835,13,FALSE)</f>
        <v>0</v>
      </c>
      <c r="AO982" s="31">
        <f>VLOOKUP($A982,kurspris!$A$1:$Q$835,14,FALSE)</f>
        <v>0</v>
      </c>
      <c r="AP982" s="39" t="s">
        <v>2326</v>
      </c>
      <c r="AQ982"/>
      <c r="AR982" s="31">
        <f t="shared" si="529"/>
        <v>0</v>
      </c>
      <c r="AS982" s="255">
        <f t="shared" si="530"/>
        <v>0</v>
      </c>
      <c r="AT982" s="31">
        <f t="shared" si="531"/>
        <v>3</v>
      </c>
      <c r="AU982" s="255">
        <f t="shared" si="532"/>
        <v>2.5499999999999998</v>
      </c>
      <c r="AV982" s="31">
        <f t="shared" si="533"/>
        <v>0</v>
      </c>
      <c r="AW982" s="31">
        <f t="shared" si="534"/>
        <v>0</v>
      </c>
      <c r="AX982" s="31">
        <f t="shared" si="535"/>
        <v>0</v>
      </c>
      <c r="AY982" s="255">
        <f t="shared" si="536"/>
        <v>0</v>
      </c>
      <c r="AZ982" s="232">
        <f t="shared" si="537"/>
        <v>0</v>
      </c>
      <c r="BA982" s="255">
        <f t="shared" si="538"/>
        <v>0</v>
      </c>
      <c r="BB982" s="31">
        <f t="shared" si="539"/>
        <v>0</v>
      </c>
      <c r="BC982" s="255">
        <f t="shared" si="540"/>
        <v>0</v>
      </c>
      <c r="BD982" s="31">
        <f t="shared" si="541"/>
        <v>0</v>
      </c>
      <c r="BE982" s="255">
        <f t="shared" si="542"/>
        <v>0</v>
      </c>
      <c r="BF982" s="31">
        <f t="shared" si="543"/>
        <v>0</v>
      </c>
      <c r="BG982" s="255">
        <f t="shared" si="544"/>
        <v>0</v>
      </c>
      <c r="BH982" s="31">
        <f t="shared" si="545"/>
        <v>0</v>
      </c>
      <c r="BI982" s="255">
        <f t="shared" si="546"/>
        <v>0</v>
      </c>
      <c r="BJ982" s="31">
        <f t="shared" si="547"/>
        <v>0</v>
      </c>
      <c r="BK982" s="31">
        <f t="shared" si="548"/>
        <v>0</v>
      </c>
      <c r="BL982" s="255">
        <f t="shared" si="549"/>
        <v>0</v>
      </c>
      <c r="BM982" s="31">
        <f t="shared" si="550"/>
        <v>0</v>
      </c>
      <c r="BN982" s="255">
        <f t="shared" si="551"/>
        <v>0</v>
      </c>
    </row>
    <row r="983" spans="1:66" x14ac:dyDescent="0.25">
      <c r="A983" s="18" t="s">
        <v>1965</v>
      </c>
      <c r="B983" s="186" t="str">
        <f>VLOOKUP(A983,kurspris!$A$1:$B$877,2,FALSE)</f>
        <v>Religionsvetenskap 2</v>
      </c>
      <c r="C983" s="37"/>
      <c r="D983" s="31" t="s">
        <v>483</v>
      </c>
      <c r="E983" s="31" t="s">
        <v>1788</v>
      </c>
      <c r="F983" s="59" t="s">
        <v>1931</v>
      </c>
      <c r="G983" s="31" t="s">
        <v>2276</v>
      </c>
      <c r="J983" t="s">
        <v>778</v>
      </c>
      <c r="L983" s="31">
        <v>100</v>
      </c>
      <c r="M983" s="31">
        <v>30</v>
      </c>
      <c r="P983" s="31">
        <v>1</v>
      </c>
      <c r="Q983" s="232">
        <f t="shared" si="524"/>
        <v>0.5</v>
      </c>
      <c r="R983" s="40">
        <v>0.85</v>
      </c>
      <c r="S983" s="334">
        <f t="shared" si="525"/>
        <v>0.42499999999999999</v>
      </c>
      <c r="T983" s="31">
        <f>VLOOKUP(A983,'Ansvar kurs'!$A$1:$C$1010,2,FALSE)</f>
        <v>1630</v>
      </c>
      <c r="U983" s="31" t="str">
        <f>VLOOKUP(T983,Orgenheter!$A$1:$C$165,2,FALSE)</f>
        <v>Inst för ide- o samhällsstudier</v>
      </c>
      <c r="V983" s="31" t="str">
        <f>VLOOKUP(T983,Orgenheter!$A$1:$C$165,3,FALSE)</f>
        <v>Hum</v>
      </c>
      <c r="W983" s="37" t="str">
        <f>VLOOKUP(D983,Program!$A$1:$B$34,2,FALSE)</f>
        <v>Ämneslärarprogrammet - Gy</v>
      </c>
      <c r="X983" s="42">
        <f>VLOOKUP(A983,kurspris!$A$1:$Q$798,15,FALSE)</f>
        <v>18405</v>
      </c>
      <c r="Y983" s="42">
        <f>VLOOKUP(A983,kurspris!$A$1:$Q$798,16,FALSE)</f>
        <v>15773</v>
      </c>
      <c r="Z983" s="42">
        <f t="shared" si="526"/>
        <v>15906.025</v>
      </c>
      <c r="AA983" s="42">
        <f>VLOOKUP(A983,kurspris!$A$1:$Q$798,17,FALSE)</f>
        <v>5800</v>
      </c>
      <c r="AB983" s="42">
        <f t="shared" si="527"/>
        <v>2900</v>
      </c>
      <c r="AC983" s="42">
        <f t="shared" si="528"/>
        <v>18806.025000000001</v>
      </c>
      <c r="AD983" s="31">
        <f>VLOOKUP($A983,kurspris!$A$1:$Q$835,3,FALSE)</f>
        <v>0</v>
      </c>
      <c r="AE983" s="31">
        <f>VLOOKUP($A983,kurspris!$A$1:$Q$835,4,FALSE)</f>
        <v>1</v>
      </c>
      <c r="AF983" s="31">
        <f>VLOOKUP($A983,kurspris!$A$1:$Q$835,5,FALSE)</f>
        <v>0</v>
      </c>
      <c r="AG983" s="31">
        <f>VLOOKUP($A983,kurspris!$A$1:$Q$835,6,FALSE)</f>
        <v>0</v>
      </c>
      <c r="AH983" s="31">
        <f>VLOOKUP($A983,kurspris!$A$1:$Q$835,7,FALSE)</f>
        <v>0</v>
      </c>
      <c r="AI983" s="31">
        <f>VLOOKUP($A983,kurspris!$A$1:$Q$835,8,FALSE)</f>
        <v>0</v>
      </c>
      <c r="AJ983" s="31">
        <f>VLOOKUP($A983,kurspris!$A$1:$Q$835,9,FALSE)</f>
        <v>0</v>
      </c>
      <c r="AK983" s="31">
        <f>VLOOKUP($A983,kurspris!$A$1:$Q$835,10,FALSE)</f>
        <v>0</v>
      </c>
      <c r="AL983" s="31">
        <f>VLOOKUP($A983,kurspris!$A$1:$Q$835,11,FALSE)</f>
        <v>0</v>
      </c>
      <c r="AM983" s="31">
        <f>VLOOKUP($A983,kurspris!$A$1:$Q$835,12,FALSE)</f>
        <v>0</v>
      </c>
      <c r="AN983" s="31">
        <f>VLOOKUP($A983,kurspris!$A$1:$Q$835,13,FALSE)</f>
        <v>0</v>
      </c>
      <c r="AO983" s="31">
        <f>VLOOKUP($A983,kurspris!$A$1:$Q$835,14,FALSE)</f>
        <v>0</v>
      </c>
      <c r="AP983" s="39" t="s">
        <v>2326</v>
      </c>
      <c r="AQ983"/>
      <c r="AR983" s="31">
        <f t="shared" si="529"/>
        <v>0</v>
      </c>
      <c r="AS983" s="255">
        <f t="shared" si="530"/>
        <v>0</v>
      </c>
      <c r="AT983" s="31">
        <f t="shared" si="531"/>
        <v>0.5</v>
      </c>
      <c r="AU983" s="255">
        <f t="shared" si="532"/>
        <v>0.42499999999999999</v>
      </c>
      <c r="AV983" s="31">
        <f t="shared" si="533"/>
        <v>0</v>
      </c>
      <c r="AW983" s="31">
        <f t="shared" si="534"/>
        <v>0</v>
      </c>
      <c r="AX983" s="31">
        <f t="shared" si="535"/>
        <v>0</v>
      </c>
      <c r="AY983" s="255">
        <f t="shared" si="536"/>
        <v>0</v>
      </c>
      <c r="AZ983" s="232">
        <f t="shared" si="537"/>
        <v>0</v>
      </c>
      <c r="BA983" s="255">
        <f t="shared" si="538"/>
        <v>0</v>
      </c>
      <c r="BB983" s="31">
        <f t="shared" si="539"/>
        <v>0</v>
      </c>
      <c r="BC983" s="255">
        <f t="shared" si="540"/>
        <v>0</v>
      </c>
      <c r="BD983" s="31">
        <f t="shared" si="541"/>
        <v>0</v>
      </c>
      <c r="BE983" s="255">
        <f t="shared" si="542"/>
        <v>0</v>
      </c>
      <c r="BF983" s="31">
        <f t="shared" si="543"/>
        <v>0</v>
      </c>
      <c r="BG983" s="255">
        <f t="shared" si="544"/>
        <v>0</v>
      </c>
      <c r="BH983" s="31">
        <f t="shared" si="545"/>
        <v>0</v>
      </c>
      <c r="BI983" s="255">
        <f t="shared" si="546"/>
        <v>0</v>
      </c>
      <c r="BJ983" s="31">
        <f t="shared" si="547"/>
        <v>0</v>
      </c>
      <c r="BK983" s="31">
        <f t="shared" si="548"/>
        <v>0</v>
      </c>
      <c r="BL983" s="255">
        <f t="shared" si="549"/>
        <v>0</v>
      </c>
      <c r="BM983" s="31">
        <f t="shared" si="550"/>
        <v>0</v>
      </c>
      <c r="BN983" s="255">
        <f t="shared" si="551"/>
        <v>0</v>
      </c>
    </row>
    <row r="984" spans="1:66" x14ac:dyDescent="0.25">
      <c r="A984" t="s">
        <v>2116</v>
      </c>
      <c r="B984" s="186" t="str">
        <f>VLOOKUP(A984,kurspris!$A$1:$B$877,2,FALSE)</f>
        <v>Religionsvetenskap 1</v>
      </c>
      <c r="C984"/>
      <c r="D984" t="s">
        <v>483</v>
      </c>
      <c r="E984" t="s">
        <v>1973</v>
      </c>
      <c r="F984" s="59" t="s">
        <v>1930</v>
      </c>
      <c r="G984" t="s">
        <v>1995</v>
      </c>
      <c r="H984" t="s">
        <v>1910</v>
      </c>
      <c r="I984"/>
      <c r="J984" t="s">
        <v>1952</v>
      </c>
      <c r="K984"/>
      <c r="L984">
        <v>100</v>
      </c>
      <c r="M984">
        <v>30</v>
      </c>
      <c r="N984"/>
      <c r="O984"/>
      <c r="P984" s="31">
        <v>1</v>
      </c>
      <c r="Q984" s="232">
        <f t="shared" si="524"/>
        <v>0.5</v>
      </c>
      <c r="R984" s="40">
        <v>0.85</v>
      </c>
      <c r="S984" s="334">
        <f t="shared" si="525"/>
        <v>0.42499999999999999</v>
      </c>
      <c r="T984" s="31">
        <f>VLOOKUP(A984,'Ansvar kurs'!$A$1:$C$1010,2,FALSE)</f>
        <v>1630</v>
      </c>
      <c r="U984" s="31" t="str">
        <f>VLOOKUP(T984,Orgenheter!$A$1:$C$165,2,FALSE)</f>
        <v>Inst för ide- o samhällsstudier</v>
      </c>
      <c r="V984" s="31" t="str">
        <f>VLOOKUP(T984,Orgenheter!$A$1:$C$165,3,FALSE)</f>
        <v>Hum</v>
      </c>
      <c r="W984" s="37" t="str">
        <f>VLOOKUP(D984,Program!$A$1:$B$34,2,FALSE)</f>
        <v>Ämneslärarprogrammet - Gy</v>
      </c>
      <c r="X984" s="42">
        <f>VLOOKUP(A984,kurspris!$A$1:$Q$798,15,FALSE)</f>
        <v>18405</v>
      </c>
      <c r="Y984" s="42">
        <f>VLOOKUP(A984,kurspris!$A$1:$Q$798,16,FALSE)</f>
        <v>15773</v>
      </c>
      <c r="Z984" s="42">
        <f t="shared" si="526"/>
        <v>15906.025</v>
      </c>
      <c r="AA984" s="42">
        <f>VLOOKUP(A984,kurspris!$A$1:$Q$798,17,FALSE)</f>
        <v>5800</v>
      </c>
      <c r="AB984" s="42">
        <f t="shared" si="527"/>
        <v>2900</v>
      </c>
      <c r="AC984" s="42">
        <f t="shared" si="528"/>
        <v>18806.025000000001</v>
      </c>
      <c r="AD984" s="31">
        <f>VLOOKUP($A984,kurspris!$A$1:$Q$835,3,FALSE)</f>
        <v>0</v>
      </c>
      <c r="AE984" s="31">
        <f>VLOOKUP($A984,kurspris!$A$1:$Q$835,4,FALSE)</f>
        <v>1</v>
      </c>
      <c r="AF984" s="31">
        <f>VLOOKUP($A984,kurspris!$A$1:$Q$835,5,FALSE)</f>
        <v>0</v>
      </c>
      <c r="AG984" s="31">
        <f>VLOOKUP($A984,kurspris!$A$1:$Q$835,6,FALSE)</f>
        <v>0</v>
      </c>
      <c r="AH984" s="31">
        <f>VLOOKUP($A984,kurspris!$A$1:$Q$835,7,FALSE)</f>
        <v>0</v>
      </c>
      <c r="AI984" s="31">
        <f>VLOOKUP($A984,kurspris!$A$1:$Q$835,8,FALSE)</f>
        <v>0</v>
      </c>
      <c r="AJ984" s="31">
        <f>VLOOKUP($A984,kurspris!$A$1:$Q$835,9,FALSE)</f>
        <v>0</v>
      </c>
      <c r="AK984" s="31">
        <f>VLOOKUP($A984,kurspris!$A$1:$Q$835,10,FALSE)</f>
        <v>0</v>
      </c>
      <c r="AL984" s="31">
        <f>VLOOKUP($A984,kurspris!$A$1:$Q$835,11,FALSE)</f>
        <v>0</v>
      </c>
      <c r="AM984" s="31">
        <f>VLOOKUP($A984,kurspris!$A$1:$Q$835,12,FALSE)</f>
        <v>0</v>
      </c>
      <c r="AN984" s="31">
        <f>VLOOKUP($A984,kurspris!$A$1:$Q$835,13,FALSE)</f>
        <v>0</v>
      </c>
      <c r="AO984" s="31">
        <f>VLOOKUP($A984,kurspris!$A$1:$Q$835,14,FALSE)</f>
        <v>0</v>
      </c>
      <c r="AP984" s="39" t="s">
        <v>2204</v>
      </c>
      <c r="AQ984"/>
      <c r="AR984" s="31">
        <f t="shared" si="529"/>
        <v>0</v>
      </c>
      <c r="AS984" s="255">
        <f t="shared" si="530"/>
        <v>0</v>
      </c>
      <c r="AT984" s="31">
        <f t="shared" si="531"/>
        <v>0.5</v>
      </c>
      <c r="AU984" s="255">
        <f t="shared" si="532"/>
        <v>0.42499999999999999</v>
      </c>
      <c r="AV984" s="31">
        <f t="shared" si="533"/>
        <v>0</v>
      </c>
      <c r="AW984" s="31">
        <f t="shared" si="534"/>
        <v>0</v>
      </c>
      <c r="AX984" s="31">
        <f t="shared" si="535"/>
        <v>0</v>
      </c>
      <c r="AY984" s="255">
        <f t="shared" si="536"/>
        <v>0</v>
      </c>
      <c r="AZ984" s="232">
        <f t="shared" si="537"/>
        <v>0</v>
      </c>
      <c r="BA984" s="255">
        <f t="shared" si="538"/>
        <v>0</v>
      </c>
      <c r="BB984" s="31">
        <f t="shared" si="539"/>
        <v>0</v>
      </c>
      <c r="BC984" s="255">
        <f t="shared" si="540"/>
        <v>0</v>
      </c>
      <c r="BD984" s="31">
        <f t="shared" si="541"/>
        <v>0</v>
      </c>
      <c r="BE984" s="255">
        <f t="shared" si="542"/>
        <v>0</v>
      </c>
      <c r="BF984" s="31">
        <f t="shared" si="543"/>
        <v>0</v>
      </c>
      <c r="BG984" s="255">
        <f t="shared" si="544"/>
        <v>0</v>
      </c>
      <c r="BH984" s="31">
        <f t="shared" si="545"/>
        <v>0</v>
      </c>
      <c r="BI984" s="255">
        <f t="shared" si="546"/>
        <v>0</v>
      </c>
      <c r="BJ984" s="31">
        <f t="shared" si="547"/>
        <v>0</v>
      </c>
      <c r="BK984" s="31">
        <f t="shared" si="548"/>
        <v>0</v>
      </c>
      <c r="BL984" s="255">
        <f t="shared" si="549"/>
        <v>0</v>
      </c>
      <c r="BM984" s="31">
        <f t="shared" si="550"/>
        <v>0</v>
      </c>
      <c r="BN984" s="255">
        <f t="shared" si="551"/>
        <v>0</v>
      </c>
    </row>
    <row r="985" spans="1:66" x14ac:dyDescent="0.25">
      <c r="A985" t="s">
        <v>2116</v>
      </c>
      <c r="B985" s="186" t="str">
        <f>VLOOKUP(A985,kurspris!$A$1:$B$877,2,FALSE)</f>
        <v>Religionsvetenskap 1</v>
      </c>
      <c r="C985"/>
      <c r="D985" t="s">
        <v>483</v>
      </c>
      <c r="E985" t="s">
        <v>1973</v>
      </c>
      <c r="F985" s="59" t="s">
        <v>1930</v>
      </c>
      <c r="G985" t="s">
        <v>1995</v>
      </c>
      <c r="H985" t="s">
        <v>1910</v>
      </c>
      <c r="I985"/>
      <c r="J985" t="s">
        <v>771</v>
      </c>
      <c r="K985"/>
      <c r="L985">
        <v>100</v>
      </c>
      <c r="M985">
        <v>30</v>
      </c>
      <c r="N985"/>
      <c r="O985"/>
      <c r="P985" s="31">
        <v>1</v>
      </c>
      <c r="Q985" s="232">
        <f t="shared" si="524"/>
        <v>0.5</v>
      </c>
      <c r="R985" s="40">
        <v>0.85</v>
      </c>
      <c r="S985" s="334">
        <f t="shared" si="525"/>
        <v>0.42499999999999999</v>
      </c>
      <c r="T985" s="31">
        <f>VLOOKUP(A985,'Ansvar kurs'!$A$1:$C$1010,2,FALSE)</f>
        <v>1630</v>
      </c>
      <c r="U985" s="31" t="str">
        <f>VLOOKUP(T985,Orgenheter!$A$1:$C$165,2,FALSE)</f>
        <v>Inst för ide- o samhällsstudier</v>
      </c>
      <c r="V985" s="31" t="str">
        <f>VLOOKUP(T985,Orgenheter!$A$1:$C$165,3,FALSE)</f>
        <v>Hum</v>
      </c>
      <c r="W985" s="37" t="str">
        <f>VLOOKUP(D985,Program!$A$1:$B$34,2,FALSE)</f>
        <v>Ämneslärarprogrammet - Gy</v>
      </c>
      <c r="X985" s="42">
        <f>VLOOKUP(A985,kurspris!$A$1:$Q$798,15,FALSE)</f>
        <v>18405</v>
      </c>
      <c r="Y985" s="42">
        <f>VLOOKUP(A985,kurspris!$A$1:$Q$798,16,FALSE)</f>
        <v>15773</v>
      </c>
      <c r="Z985" s="42">
        <f t="shared" si="526"/>
        <v>15906.025</v>
      </c>
      <c r="AA985" s="42">
        <f>VLOOKUP(A985,kurspris!$A$1:$Q$798,17,FALSE)</f>
        <v>5800</v>
      </c>
      <c r="AB985" s="42">
        <f t="shared" si="527"/>
        <v>2900</v>
      </c>
      <c r="AC985" s="42">
        <f t="shared" si="528"/>
        <v>18806.025000000001</v>
      </c>
      <c r="AD985" s="31">
        <f>VLOOKUP($A985,kurspris!$A$1:$Q$835,3,FALSE)</f>
        <v>0</v>
      </c>
      <c r="AE985" s="31">
        <f>VLOOKUP($A985,kurspris!$A$1:$Q$835,4,FALSE)</f>
        <v>1</v>
      </c>
      <c r="AF985" s="31">
        <f>VLOOKUP($A985,kurspris!$A$1:$Q$835,5,FALSE)</f>
        <v>0</v>
      </c>
      <c r="AG985" s="31">
        <f>VLOOKUP($A985,kurspris!$A$1:$Q$835,6,FALSE)</f>
        <v>0</v>
      </c>
      <c r="AH985" s="31">
        <f>VLOOKUP($A985,kurspris!$A$1:$Q$835,7,FALSE)</f>
        <v>0</v>
      </c>
      <c r="AI985" s="31">
        <f>VLOOKUP($A985,kurspris!$A$1:$Q$835,8,FALSE)</f>
        <v>0</v>
      </c>
      <c r="AJ985" s="31">
        <f>VLOOKUP($A985,kurspris!$A$1:$Q$835,9,FALSE)</f>
        <v>0</v>
      </c>
      <c r="AK985" s="31">
        <f>VLOOKUP($A985,kurspris!$A$1:$Q$835,10,FALSE)</f>
        <v>0</v>
      </c>
      <c r="AL985" s="31">
        <f>VLOOKUP($A985,kurspris!$A$1:$Q$835,11,FALSE)</f>
        <v>0</v>
      </c>
      <c r="AM985" s="31">
        <f>VLOOKUP($A985,kurspris!$A$1:$Q$835,12,FALSE)</f>
        <v>0</v>
      </c>
      <c r="AN985" s="31">
        <f>VLOOKUP($A985,kurspris!$A$1:$Q$835,13,FALSE)</f>
        <v>0</v>
      </c>
      <c r="AO985" s="31">
        <f>VLOOKUP($A985,kurspris!$A$1:$Q$835,14,FALSE)</f>
        <v>0</v>
      </c>
      <c r="AP985" s="39" t="s">
        <v>2204</v>
      </c>
      <c r="AQ985"/>
      <c r="AR985" s="31">
        <f t="shared" si="529"/>
        <v>0</v>
      </c>
      <c r="AS985" s="255">
        <f t="shared" si="530"/>
        <v>0</v>
      </c>
      <c r="AT985" s="31">
        <f t="shared" si="531"/>
        <v>0.5</v>
      </c>
      <c r="AU985" s="255">
        <f t="shared" si="532"/>
        <v>0.42499999999999999</v>
      </c>
      <c r="AV985" s="31">
        <f t="shared" si="533"/>
        <v>0</v>
      </c>
      <c r="AW985" s="31">
        <f t="shared" si="534"/>
        <v>0</v>
      </c>
      <c r="AX985" s="31">
        <f t="shared" si="535"/>
        <v>0</v>
      </c>
      <c r="AY985" s="255">
        <f t="shared" si="536"/>
        <v>0</v>
      </c>
      <c r="AZ985" s="232">
        <f t="shared" si="537"/>
        <v>0</v>
      </c>
      <c r="BA985" s="255">
        <f t="shared" si="538"/>
        <v>0</v>
      </c>
      <c r="BB985" s="31">
        <f t="shared" si="539"/>
        <v>0</v>
      </c>
      <c r="BC985" s="255">
        <f t="shared" si="540"/>
        <v>0</v>
      </c>
      <c r="BD985" s="31">
        <f t="shared" si="541"/>
        <v>0</v>
      </c>
      <c r="BE985" s="255">
        <f t="shared" si="542"/>
        <v>0</v>
      </c>
      <c r="BF985" s="31">
        <f t="shared" si="543"/>
        <v>0</v>
      </c>
      <c r="BG985" s="255">
        <f t="shared" si="544"/>
        <v>0</v>
      </c>
      <c r="BH985" s="31">
        <f t="shared" si="545"/>
        <v>0</v>
      </c>
      <c r="BI985" s="255">
        <f t="shared" si="546"/>
        <v>0</v>
      </c>
      <c r="BJ985" s="31">
        <f t="shared" si="547"/>
        <v>0</v>
      </c>
      <c r="BK985" s="31">
        <f t="shared" si="548"/>
        <v>0</v>
      </c>
      <c r="BL985" s="255">
        <f t="shared" si="549"/>
        <v>0</v>
      </c>
      <c r="BM985" s="31">
        <f t="shared" si="550"/>
        <v>0</v>
      </c>
      <c r="BN985" s="255">
        <f t="shared" si="551"/>
        <v>0</v>
      </c>
    </row>
    <row r="986" spans="1:66" x14ac:dyDescent="0.25">
      <c r="A986" t="s">
        <v>2116</v>
      </c>
      <c r="B986" s="186" t="str">
        <f>VLOOKUP(A986,kurspris!$A$1:$B$877,2,FALSE)</f>
        <v>Religionsvetenskap 1</v>
      </c>
      <c r="C986"/>
      <c r="D986" t="s">
        <v>483</v>
      </c>
      <c r="E986" t="s">
        <v>1973</v>
      </c>
      <c r="F986" s="59" t="s">
        <v>1930</v>
      </c>
      <c r="G986" t="s">
        <v>1995</v>
      </c>
      <c r="H986" t="s">
        <v>1910</v>
      </c>
      <c r="I986"/>
      <c r="J986" t="s">
        <v>772</v>
      </c>
      <c r="K986"/>
      <c r="L986">
        <v>100</v>
      </c>
      <c r="M986">
        <v>30</v>
      </c>
      <c r="N986"/>
      <c r="O986"/>
      <c r="P986" s="31">
        <v>2</v>
      </c>
      <c r="Q986" s="232">
        <f t="shared" si="524"/>
        <v>1</v>
      </c>
      <c r="R986" s="40">
        <v>0.85</v>
      </c>
      <c r="S986" s="334">
        <f t="shared" si="525"/>
        <v>0.85</v>
      </c>
      <c r="T986" s="31">
        <f>VLOOKUP(A986,'Ansvar kurs'!$A$1:$C$1010,2,FALSE)</f>
        <v>1630</v>
      </c>
      <c r="U986" s="31" t="str">
        <f>VLOOKUP(T986,Orgenheter!$A$1:$C$165,2,FALSE)</f>
        <v>Inst för ide- o samhällsstudier</v>
      </c>
      <c r="V986" s="31" t="str">
        <f>VLOOKUP(T986,Orgenheter!$A$1:$C$165,3,FALSE)</f>
        <v>Hum</v>
      </c>
      <c r="W986" s="37" t="str">
        <f>VLOOKUP(D986,Program!$A$1:$B$34,2,FALSE)</f>
        <v>Ämneslärarprogrammet - Gy</v>
      </c>
      <c r="X986" s="42">
        <f>VLOOKUP(A986,kurspris!$A$1:$Q$798,15,FALSE)</f>
        <v>18405</v>
      </c>
      <c r="Y986" s="42">
        <f>VLOOKUP(A986,kurspris!$A$1:$Q$798,16,FALSE)</f>
        <v>15773</v>
      </c>
      <c r="Z986" s="42">
        <f t="shared" si="526"/>
        <v>31812.05</v>
      </c>
      <c r="AA986" s="42">
        <f>VLOOKUP(A986,kurspris!$A$1:$Q$798,17,FALSE)</f>
        <v>5800</v>
      </c>
      <c r="AB986" s="42">
        <f t="shared" si="527"/>
        <v>5800</v>
      </c>
      <c r="AC986" s="42">
        <f t="shared" si="528"/>
        <v>37612.050000000003</v>
      </c>
      <c r="AD986" s="31">
        <f>VLOOKUP($A986,kurspris!$A$1:$Q$835,3,FALSE)</f>
        <v>0</v>
      </c>
      <c r="AE986" s="31">
        <f>VLOOKUP($A986,kurspris!$A$1:$Q$835,4,FALSE)</f>
        <v>1</v>
      </c>
      <c r="AF986" s="31">
        <f>VLOOKUP($A986,kurspris!$A$1:$Q$835,5,FALSE)</f>
        <v>0</v>
      </c>
      <c r="AG986" s="31">
        <f>VLOOKUP($A986,kurspris!$A$1:$Q$835,6,FALSE)</f>
        <v>0</v>
      </c>
      <c r="AH986" s="31">
        <f>VLOOKUP($A986,kurspris!$A$1:$Q$835,7,FALSE)</f>
        <v>0</v>
      </c>
      <c r="AI986" s="31">
        <f>VLOOKUP($A986,kurspris!$A$1:$Q$835,8,FALSE)</f>
        <v>0</v>
      </c>
      <c r="AJ986" s="31">
        <f>VLOOKUP($A986,kurspris!$A$1:$Q$835,9,FALSE)</f>
        <v>0</v>
      </c>
      <c r="AK986" s="31">
        <f>VLOOKUP($A986,kurspris!$A$1:$Q$835,10,FALSE)</f>
        <v>0</v>
      </c>
      <c r="AL986" s="31">
        <f>VLOOKUP($A986,kurspris!$A$1:$Q$835,11,FALSE)</f>
        <v>0</v>
      </c>
      <c r="AM986" s="31">
        <f>VLOOKUP($A986,kurspris!$A$1:$Q$835,12,FALSE)</f>
        <v>0</v>
      </c>
      <c r="AN986" s="31">
        <f>VLOOKUP($A986,kurspris!$A$1:$Q$835,13,FALSE)</f>
        <v>0</v>
      </c>
      <c r="AO986" s="31">
        <f>VLOOKUP($A986,kurspris!$A$1:$Q$835,14,FALSE)</f>
        <v>0</v>
      </c>
      <c r="AP986" s="39" t="s">
        <v>2204</v>
      </c>
      <c r="AQ986"/>
      <c r="AR986" s="31">
        <f t="shared" si="529"/>
        <v>0</v>
      </c>
      <c r="AS986" s="255">
        <f t="shared" si="530"/>
        <v>0</v>
      </c>
      <c r="AT986" s="31">
        <f t="shared" si="531"/>
        <v>1</v>
      </c>
      <c r="AU986" s="255">
        <f t="shared" si="532"/>
        <v>0.85</v>
      </c>
      <c r="AV986" s="31">
        <f t="shared" si="533"/>
        <v>0</v>
      </c>
      <c r="AW986" s="31">
        <f t="shared" si="534"/>
        <v>0</v>
      </c>
      <c r="AX986" s="31">
        <f t="shared" si="535"/>
        <v>0</v>
      </c>
      <c r="AY986" s="255">
        <f t="shared" si="536"/>
        <v>0</v>
      </c>
      <c r="AZ986" s="232">
        <f t="shared" si="537"/>
        <v>0</v>
      </c>
      <c r="BA986" s="255">
        <f t="shared" si="538"/>
        <v>0</v>
      </c>
      <c r="BB986" s="31">
        <f t="shared" si="539"/>
        <v>0</v>
      </c>
      <c r="BC986" s="255">
        <f t="shared" si="540"/>
        <v>0</v>
      </c>
      <c r="BD986" s="31">
        <f t="shared" si="541"/>
        <v>0</v>
      </c>
      <c r="BE986" s="255">
        <f t="shared" si="542"/>
        <v>0</v>
      </c>
      <c r="BF986" s="31">
        <f t="shared" si="543"/>
        <v>0</v>
      </c>
      <c r="BG986" s="255">
        <f t="shared" si="544"/>
        <v>0</v>
      </c>
      <c r="BH986" s="31">
        <f t="shared" si="545"/>
        <v>0</v>
      </c>
      <c r="BI986" s="255">
        <f t="shared" si="546"/>
        <v>0</v>
      </c>
      <c r="BJ986" s="31">
        <f t="shared" si="547"/>
        <v>0</v>
      </c>
      <c r="BK986" s="31">
        <f t="shared" si="548"/>
        <v>0</v>
      </c>
      <c r="BL986" s="255">
        <f t="shared" si="549"/>
        <v>0</v>
      </c>
      <c r="BM986" s="31">
        <f t="shared" si="550"/>
        <v>0</v>
      </c>
      <c r="BN986" s="255">
        <f t="shared" si="551"/>
        <v>0</v>
      </c>
    </row>
    <row r="987" spans="1:66" x14ac:dyDescent="0.25">
      <c r="A987" t="s">
        <v>2116</v>
      </c>
      <c r="B987" s="186" t="str">
        <f>VLOOKUP(A987,kurspris!$A$1:$B$877,2,FALSE)</f>
        <v>Religionsvetenskap 1</v>
      </c>
      <c r="C987"/>
      <c r="D987" t="s">
        <v>483</v>
      </c>
      <c r="E987" t="s">
        <v>1973</v>
      </c>
      <c r="F987" s="59" t="s">
        <v>1930</v>
      </c>
      <c r="G987" t="s">
        <v>1995</v>
      </c>
      <c r="H987" t="s">
        <v>1910</v>
      </c>
      <c r="I987"/>
      <c r="J987" t="s">
        <v>774</v>
      </c>
      <c r="K987"/>
      <c r="L987">
        <v>100</v>
      </c>
      <c r="M987">
        <v>30</v>
      </c>
      <c r="N987"/>
      <c r="O987"/>
      <c r="P987" s="31">
        <v>1</v>
      </c>
      <c r="Q987" s="232">
        <f t="shared" si="524"/>
        <v>0.5</v>
      </c>
      <c r="R987" s="40">
        <v>0.85</v>
      </c>
      <c r="S987" s="334">
        <f t="shared" si="525"/>
        <v>0.42499999999999999</v>
      </c>
      <c r="T987" s="31">
        <f>VLOOKUP(A987,'Ansvar kurs'!$A$1:$C$1010,2,FALSE)</f>
        <v>1630</v>
      </c>
      <c r="U987" s="31" t="str">
        <f>VLOOKUP(T987,Orgenheter!$A$1:$C$165,2,FALSE)</f>
        <v>Inst för ide- o samhällsstudier</v>
      </c>
      <c r="V987" s="31" t="str">
        <f>VLOOKUP(T987,Orgenheter!$A$1:$C$165,3,FALSE)</f>
        <v>Hum</v>
      </c>
      <c r="W987" s="37" t="str">
        <f>VLOOKUP(D987,Program!$A$1:$B$34,2,FALSE)</f>
        <v>Ämneslärarprogrammet - Gy</v>
      </c>
      <c r="X987" s="42">
        <f>VLOOKUP(A987,kurspris!$A$1:$Q$798,15,FALSE)</f>
        <v>18405</v>
      </c>
      <c r="Y987" s="42">
        <f>VLOOKUP(A987,kurspris!$A$1:$Q$798,16,FALSE)</f>
        <v>15773</v>
      </c>
      <c r="Z987" s="42">
        <f t="shared" si="526"/>
        <v>15906.025</v>
      </c>
      <c r="AA987" s="42">
        <f>VLOOKUP(A987,kurspris!$A$1:$Q$798,17,FALSE)</f>
        <v>5800</v>
      </c>
      <c r="AB987" s="42">
        <f t="shared" si="527"/>
        <v>2900</v>
      </c>
      <c r="AC987" s="42">
        <f t="shared" si="528"/>
        <v>18806.025000000001</v>
      </c>
      <c r="AD987" s="31">
        <f>VLOOKUP($A987,kurspris!$A$1:$Q$835,3,FALSE)</f>
        <v>0</v>
      </c>
      <c r="AE987" s="31">
        <f>VLOOKUP($A987,kurspris!$A$1:$Q$835,4,FALSE)</f>
        <v>1</v>
      </c>
      <c r="AF987" s="31">
        <f>VLOOKUP($A987,kurspris!$A$1:$Q$835,5,FALSE)</f>
        <v>0</v>
      </c>
      <c r="AG987" s="31">
        <f>VLOOKUP($A987,kurspris!$A$1:$Q$835,6,FALSE)</f>
        <v>0</v>
      </c>
      <c r="AH987" s="31">
        <f>VLOOKUP($A987,kurspris!$A$1:$Q$835,7,FALSE)</f>
        <v>0</v>
      </c>
      <c r="AI987" s="31">
        <f>VLOOKUP($A987,kurspris!$A$1:$Q$835,8,FALSE)</f>
        <v>0</v>
      </c>
      <c r="AJ987" s="31">
        <f>VLOOKUP($A987,kurspris!$A$1:$Q$835,9,FALSE)</f>
        <v>0</v>
      </c>
      <c r="AK987" s="31">
        <f>VLOOKUP($A987,kurspris!$A$1:$Q$835,10,FALSE)</f>
        <v>0</v>
      </c>
      <c r="AL987" s="31">
        <f>VLOOKUP($A987,kurspris!$A$1:$Q$835,11,FALSE)</f>
        <v>0</v>
      </c>
      <c r="AM987" s="31">
        <f>VLOOKUP($A987,kurspris!$A$1:$Q$835,12,FALSE)</f>
        <v>0</v>
      </c>
      <c r="AN987" s="31">
        <f>VLOOKUP($A987,kurspris!$A$1:$Q$835,13,FALSE)</f>
        <v>0</v>
      </c>
      <c r="AO987" s="31">
        <f>VLOOKUP($A987,kurspris!$A$1:$Q$835,14,FALSE)</f>
        <v>0</v>
      </c>
      <c r="AP987" s="39" t="s">
        <v>2204</v>
      </c>
      <c r="AQ987"/>
      <c r="AR987" s="31">
        <f t="shared" si="529"/>
        <v>0</v>
      </c>
      <c r="AS987" s="255">
        <f t="shared" si="530"/>
        <v>0</v>
      </c>
      <c r="AT987" s="31">
        <f t="shared" si="531"/>
        <v>0.5</v>
      </c>
      <c r="AU987" s="255">
        <f t="shared" si="532"/>
        <v>0.42499999999999999</v>
      </c>
      <c r="AV987" s="31">
        <f t="shared" si="533"/>
        <v>0</v>
      </c>
      <c r="AW987" s="31">
        <f t="shared" si="534"/>
        <v>0</v>
      </c>
      <c r="AX987" s="31">
        <f t="shared" si="535"/>
        <v>0</v>
      </c>
      <c r="AY987" s="255">
        <f t="shared" si="536"/>
        <v>0</v>
      </c>
      <c r="AZ987" s="232">
        <f t="shared" si="537"/>
        <v>0</v>
      </c>
      <c r="BA987" s="255">
        <f t="shared" si="538"/>
        <v>0</v>
      </c>
      <c r="BB987" s="31">
        <f t="shared" si="539"/>
        <v>0</v>
      </c>
      <c r="BC987" s="255">
        <f t="shared" si="540"/>
        <v>0</v>
      </c>
      <c r="BD987" s="31">
        <f t="shared" si="541"/>
        <v>0</v>
      </c>
      <c r="BE987" s="255">
        <f t="shared" si="542"/>
        <v>0</v>
      </c>
      <c r="BF987" s="31">
        <f t="shared" si="543"/>
        <v>0</v>
      </c>
      <c r="BG987" s="255">
        <f t="shared" si="544"/>
        <v>0</v>
      </c>
      <c r="BH987" s="31">
        <f t="shared" si="545"/>
        <v>0</v>
      </c>
      <c r="BI987" s="255">
        <f t="shared" si="546"/>
        <v>0</v>
      </c>
      <c r="BJ987" s="31">
        <f t="shared" si="547"/>
        <v>0</v>
      </c>
      <c r="BK987" s="31">
        <f t="shared" si="548"/>
        <v>0</v>
      </c>
      <c r="BL987" s="255">
        <f t="shared" si="549"/>
        <v>0</v>
      </c>
      <c r="BM987" s="31">
        <f t="shared" si="550"/>
        <v>0</v>
      </c>
      <c r="BN987" s="255">
        <f t="shared" si="551"/>
        <v>0</v>
      </c>
    </row>
    <row r="988" spans="1:66" x14ac:dyDescent="0.25">
      <c r="A988" t="s">
        <v>2116</v>
      </c>
      <c r="B988" s="186" t="str">
        <f>VLOOKUP(A988,kurspris!$A$1:$B$877,2,FALSE)</f>
        <v>Religionsvetenskap 1</v>
      </c>
      <c r="C988"/>
      <c r="D988" t="s">
        <v>483</v>
      </c>
      <c r="E988" t="s">
        <v>1973</v>
      </c>
      <c r="F988" s="59" t="s">
        <v>1930</v>
      </c>
      <c r="G988" t="s">
        <v>1995</v>
      </c>
      <c r="H988" t="s">
        <v>1910</v>
      </c>
      <c r="I988"/>
      <c r="J988" s="295" t="s">
        <v>777</v>
      </c>
      <c r="K988"/>
      <c r="L988">
        <v>100</v>
      </c>
      <c r="M988">
        <v>30</v>
      </c>
      <c r="N988"/>
      <c r="O988"/>
      <c r="P988" s="31">
        <v>1</v>
      </c>
      <c r="Q988" s="232">
        <f t="shared" si="524"/>
        <v>0.5</v>
      </c>
      <c r="R988" s="40">
        <v>0.85</v>
      </c>
      <c r="S988" s="334">
        <f t="shared" si="525"/>
        <v>0.42499999999999999</v>
      </c>
      <c r="T988" s="31">
        <f>VLOOKUP(A988,'Ansvar kurs'!$A$1:$C$1010,2,FALSE)</f>
        <v>1630</v>
      </c>
      <c r="U988" s="31" t="str">
        <f>VLOOKUP(T988,Orgenheter!$A$1:$C$165,2,FALSE)</f>
        <v>Inst för ide- o samhällsstudier</v>
      </c>
      <c r="V988" s="31" t="str">
        <f>VLOOKUP(T988,Orgenheter!$A$1:$C$165,3,FALSE)</f>
        <v>Hum</v>
      </c>
      <c r="W988" s="37" t="str">
        <f>VLOOKUP(D988,Program!$A$1:$B$34,2,FALSE)</f>
        <v>Ämneslärarprogrammet - Gy</v>
      </c>
      <c r="X988" s="42">
        <f>VLOOKUP(A988,kurspris!$A$1:$Q$798,15,FALSE)</f>
        <v>18405</v>
      </c>
      <c r="Y988" s="42">
        <f>VLOOKUP(A988,kurspris!$A$1:$Q$798,16,FALSE)</f>
        <v>15773</v>
      </c>
      <c r="Z988" s="42">
        <f t="shared" si="526"/>
        <v>15906.025</v>
      </c>
      <c r="AA988" s="42">
        <f>VLOOKUP(A988,kurspris!$A$1:$Q$798,17,FALSE)</f>
        <v>5800</v>
      </c>
      <c r="AB988" s="42">
        <f t="shared" si="527"/>
        <v>2900</v>
      </c>
      <c r="AC988" s="42">
        <f t="shared" si="528"/>
        <v>18806.025000000001</v>
      </c>
      <c r="AD988" s="31">
        <f>VLOOKUP($A988,kurspris!$A$1:$Q$835,3,FALSE)</f>
        <v>0</v>
      </c>
      <c r="AE988" s="31">
        <f>VLOOKUP($A988,kurspris!$A$1:$Q$835,4,FALSE)</f>
        <v>1</v>
      </c>
      <c r="AF988" s="31">
        <f>VLOOKUP($A988,kurspris!$A$1:$Q$835,5,FALSE)</f>
        <v>0</v>
      </c>
      <c r="AG988" s="31">
        <f>VLOOKUP($A988,kurspris!$A$1:$Q$835,6,FALSE)</f>
        <v>0</v>
      </c>
      <c r="AH988" s="31">
        <f>VLOOKUP($A988,kurspris!$A$1:$Q$835,7,FALSE)</f>
        <v>0</v>
      </c>
      <c r="AI988" s="31">
        <f>VLOOKUP($A988,kurspris!$A$1:$Q$835,8,FALSE)</f>
        <v>0</v>
      </c>
      <c r="AJ988" s="31">
        <f>VLOOKUP($A988,kurspris!$A$1:$Q$835,9,FALSE)</f>
        <v>0</v>
      </c>
      <c r="AK988" s="31">
        <f>VLOOKUP($A988,kurspris!$A$1:$Q$835,10,FALSE)</f>
        <v>0</v>
      </c>
      <c r="AL988" s="31">
        <f>VLOOKUP($A988,kurspris!$A$1:$Q$835,11,FALSE)</f>
        <v>0</v>
      </c>
      <c r="AM988" s="31">
        <f>VLOOKUP($A988,kurspris!$A$1:$Q$835,12,FALSE)</f>
        <v>0</v>
      </c>
      <c r="AN988" s="31">
        <f>VLOOKUP($A988,kurspris!$A$1:$Q$835,13,FALSE)</f>
        <v>0</v>
      </c>
      <c r="AO988" s="31">
        <f>VLOOKUP($A988,kurspris!$A$1:$Q$835,14,FALSE)</f>
        <v>0</v>
      </c>
      <c r="AP988" s="39" t="s">
        <v>2204</v>
      </c>
      <c r="AQ988"/>
      <c r="AR988" s="31">
        <f t="shared" si="529"/>
        <v>0</v>
      </c>
      <c r="AS988" s="255">
        <f t="shared" si="530"/>
        <v>0</v>
      </c>
      <c r="AT988" s="31">
        <f t="shared" si="531"/>
        <v>0.5</v>
      </c>
      <c r="AU988" s="255">
        <f t="shared" si="532"/>
        <v>0.42499999999999999</v>
      </c>
      <c r="AV988" s="31">
        <f t="shared" si="533"/>
        <v>0</v>
      </c>
      <c r="AW988" s="31">
        <f t="shared" si="534"/>
        <v>0</v>
      </c>
      <c r="AX988" s="31">
        <f t="shared" si="535"/>
        <v>0</v>
      </c>
      <c r="AY988" s="255">
        <f t="shared" si="536"/>
        <v>0</v>
      </c>
      <c r="AZ988" s="232">
        <f t="shared" si="537"/>
        <v>0</v>
      </c>
      <c r="BA988" s="255">
        <f t="shared" si="538"/>
        <v>0</v>
      </c>
      <c r="BB988" s="31">
        <f t="shared" si="539"/>
        <v>0</v>
      </c>
      <c r="BC988" s="255">
        <f t="shared" si="540"/>
        <v>0</v>
      </c>
      <c r="BD988" s="31">
        <f t="shared" si="541"/>
        <v>0</v>
      </c>
      <c r="BE988" s="255">
        <f t="shared" si="542"/>
        <v>0</v>
      </c>
      <c r="BF988" s="31">
        <f t="shared" si="543"/>
        <v>0</v>
      </c>
      <c r="BG988" s="255">
        <f t="shared" si="544"/>
        <v>0</v>
      </c>
      <c r="BH988" s="31">
        <f t="shared" si="545"/>
        <v>0</v>
      </c>
      <c r="BI988" s="255">
        <f t="shared" si="546"/>
        <v>0</v>
      </c>
      <c r="BJ988" s="31">
        <f t="shared" si="547"/>
        <v>0</v>
      </c>
      <c r="BK988" s="31">
        <f t="shared" si="548"/>
        <v>0</v>
      </c>
      <c r="BL988" s="255">
        <f t="shared" si="549"/>
        <v>0</v>
      </c>
      <c r="BM988" s="31">
        <f t="shared" si="550"/>
        <v>0</v>
      </c>
      <c r="BN988" s="255">
        <f t="shared" si="551"/>
        <v>0</v>
      </c>
    </row>
    <row r="989" spans="1:66" x14ac:dyDescent="0.25">
      <c r="A989" t="s">
        <v>2116</v>
      </c>
      <c r="B989" s="186" t="str">
        <f>VLOOKUP(A989,kurspris!$A$1:$B$877,2,FALSE)</f>
        <v>Religionsvetenskap 1</v>
      </c>
      <c r="C989"/>
      <c r="D989" t="s">
        <v>483</v>
      </c>
      <c r="E989" t="s">
        <v>1788</v>
      </c>
      <c r="F989" s="59" t="s">
        <v>1930</v>
      </c>
      <c r="G989" t="s">
        <v>1995</v>
      </c>
      <c r="H989" t="s">
        <v>1910</v>
      </c>
      <c r="I989"/>
      <c r="J989" t="s">
        <v>776</v>
      </c>
      <c r="K989"/>
      <c r="L989">
        <v>100</v>
      </c>
      <c r="M989">
        <v>30</v>
      </c>
      <c r="N989"/>
      <c r="O989"/>
      <c r="P989" s="31">
        <v>7</v>
      </c>
      <c r="Q989" s="232">
        <f t="shared" si="524"/>
        <v>3.5</v>
      </c>
      <c r="R989" s="40">
        <v>0.85</v>
      </c>
      <c r="S989" s="334">
        <f t="shared" si="525"/>
        <v>2.9750000000000001</v>
      </c>
      <c r="T989" s="31">
        <f>VLOOKUP(A989,'Ansvar kurs'!$A$1:$C$1010,2,FALSE)</f>
        <v>1630</v>
      </c>
      <c r="U989" s="31" t="str">
        <f>VLOOKUP(T989,Orgenheter!$A$1:$C$165,2,FALSE)</f>
        <v>Inst för ide- o samhällsstudier</v>
      </c>
      <c r="V989" s="31" t="str">
        <f>VLOOKUP(T989,Orgenheter!$A$1:$C$165,3,FALSE)</f>
        <v>Hum</v>
      </c>
      <c r="W989" s="37" t="str">
        <f>VLOOKUP(D989,Program!$A$1:$B$34,2,FALSE)</f>
        <v>Ämneslärarprogrammet - Gy</v>
      </c>
      <c r="X989" s="42">
        <f>VLOOKUP(A989,kurspris!$A$1:$Q$798,15,FALSE)</f>
        <v>18405</v>
      </c>
      <c r="Y989" s="42">
        <f>VLOOKUP(A989,kurspris!$A$1:$Q$798,16,FALSE)</f>
        <v>15773</v>
      </c>
      <c r="Z989" s="42">
        <f t="shared" si="526"/>
        <v>111342.175</v>
      </c>
      <c r="AA989" s="42">
        <f>VLOOKUP(A989,kurspris!$A$1:$Q$798,17,FALSE)</f>
        <v>5800</v>
      </c>
      <c r="AB989" s="42">
        <f t="shared" si="527"/>
        <v>20300</v>
      </c>
      <c r="AC989" s="42">
        <f t="shared" si="528"/>
        <v>131642.17499999999</v>
      </c>
      <c r="AD989" s="31">
        <f>VLOOKUP($A989,kurspris!$A$1:$Q$835,3,FALSE)</f>
        <v>0</v>
      </c>
      <c r="AE989" s="31">
        <f>VLOOKUP($A989,kurspris!$A$1:$Q$835,4,FALSE)</f>
        <v>1</v>
      </c>
      <c r="AF989" s="31">
        <f>VLOOKUP($A989,kurspris!$A$1:$Q$835,5,FALSE)</f>
        <v>0</v>
      </c>
      <c r="AG989" s="31">
        <f>VLOOKUP($A989,kurspris!$A$1:$Q$835,6,FALSE)</f>
        <v>0</v>
      </c>
      <c r="AH989" s="31">
        <f>VLOOKUP($A989,kurspris!$A$1:$Q$835,7,FALSE)</f>
        <v>0</v>
      </c>
      <c r="AI989" s="31">
        <f>VLOOKUP($A989,kurspris!$A$1:$Q$835,8,FALSE)</f>
        <v>0</v>
      </c>
      <c r="AJ989" s="31">
        <f>VLOOKUP($A989,kurspris!$A$1:$Q$835,9,FALSE)</f>
        <v>0</v>
      </c>
      <c r="AK989" s="31">
        <f>VLOOKUP($A989,kurspris!$A$1:$Q$835,10,FALSE)</f>
        <v>0</v>
      </c>
      <c r="AL989" s="31">
        <f>VLOOKUP($A989,kurspris!$A$1:$Q$835,11,FALSE)</f>
        <v>0</v>
      </c>
      <c r="AM989" s="31">
        <f>VLOOKUP($A989,kurspris!$A$1:$Q$835,12,FALSE)</f>
        <v>0</v>
      </c>
      <c r="AN989" s="31">
        <f>VLOOKUP($A989,kurspris!$A$1:$Q$835,13,FALSE)</f>
        <v>0</v>
      </c>
      <c r="AO989" s="31">
        <f>VLOOKUP($A989,kurspris!$A$1:$Q$835,14,FALSE)</f>
        <v>0</v>
      </c>
      <c r="AP989" s="39" t="s">
        <v>2204</v>
      </c>
      <c r="AQ989"/>
      <c r="AR989" s="31">
        <f t="shared" si="529"/>
        <v>0</v>
      </c>
      <c r="AS989" s="255">
        <f t="shared" si="530"/>
        <v>0</v>
      </c>
      <c r="AT989" s="31">
        <f t="shared" si="531"/>
        <v>3.5</v>
      </c>
      <c r="AU989" s="255">
        <f t="shared" si="532"/>
        <v>2.9750000000000001</v>
      </c>
      <c r="AV989" s="31">
        <f t="shared" si="533"/>
        <v>0</v>
      </c>
      <c r="AW989" s="31">
        <f t="shared" si="534"/>
        <v>0</v>
      </c>
      <c r="AX989" s="31">
        <f t="shared" si="535"/>
        <v>0</v>
      </c>
      <c r="AY989" s="255">
        <f t="shared" si="536"/>
        <v>0</v>
      </c>
      <c r="AZ989" s="232">
        <f t="shared" si="537"/>
        <v>0</v>
      </c>
      <c r="BA989" s="255">
        <f t="shared" si="538"/>
        <v>0</v>
      </c>
      <c r="BB989" s="31">
        <f t="shared" si="539"/>
        <v>0</v>
      </c>
      <c r="BC989" s="255">
        <f t="shared" si="540"/>
        <v>0</v>
      </c>
      <c r="BD989" s="31">
        <f t="shared" si="541"/>
        <v>0</v>
      </c>
      <c r="BE989" s="255">
        <f t="shared" si="542"/>
        <v>0</v>
      </c>
      <c r="BF989" s="31">
        <f t="shared" si="543"/>
        <v>0</v>
      </c>
      <c r="BG989" s="255">
        <f t="shared" si="544"/>
        <v>0</v>
      </c>
      <c r="BH989" s="31">
        <f t="shared" si="545"/>
        <v>0</v>
      </c>
      <c r="BI989" s="255">
        <f t="shared" si="546"/>
        <v>0</v>
      </c>
      <c r="BJ989" s="31">
        <f t="shared" si="547"/>
        <v>0</v>
      </c>
      <c r="BK989" s="31">
        <f t="shared" si="548"/>
        <v>0</v>
      </c>
      <c r="BL989" s="255">
        <f t="shared" si="549"/>
        <v>0</v>
      </c>
      <c r="BM989" s="31">
        <f t="shared" si="550"/>
        <v>0</v>
      </c>
      <c r="BN989" s="255">
        <f t="shared" si="551"/>
        <v>0</v>
      </c>
    </row>
    <row r="990" spans="1:66" x14ac:dyDescent="0.25">
      <c r="A990" t="s">
        <v>2116</v>
      </c>
      <c r="B990" s="186" t="str">
        <f>VLOOKUP(A990,kurspris!$A$1:$B$877,2,FALSE)</f>
        <v>Religionsvetenskap 1</v>
      </c>
      <c r="C990"/>
      <c r="D990" t="s">
        <v>483</v>
      </c>
      <c r="E990" t="s">
        <v>1788</v>
      </c>
      <c r="F990" s="59" t="s">
        <v>1930</v>
      </c>
      <c r="G990" t="s">
        <v>1995</v>
      </c>
      <c r="H990" t="s">
        <v>1910</v>
      </c>
      <c r="I990"/>
      <c r="J990" t="s">
        <v>778</v>
      </c>
      <c r="K990"/>
      <c r="L990">
        <v>100</v>
      </c>
      <c r="M990">
        <v>30</v>
      </c>
      <c r="N990"/>
      <c r="O990"/>
      <c r="P990" s="31">
        <v>2</v>
      </c>
      <c r="Q990" s="232">
        <f t="shared" si="524"/>
        <v>1</v>
      </c>
      <c r="R990" s="40">
        <v>0.85</v>
      </c>
      <c r="S990" s="334">
        <f t="shared" si="525"/>
        <v>0.85</v>
      </c>
      <c r="T990" s="31">
        <f>VLOOKUP(A990,'Ansvar kurs'!$A$1:$C$1010,2,FALSE)</f>
        <v>1630</v>
      </c>
      <c r="U990" s="31" t="str">
        <f>VLOOKUP(T990,Orgenheter!$A$1:$C$165,2,FALSE)</f>
        <v>Inst för ide- o samhällsstudier</v>
      </c>
      <c r="V990" s="31" t="str">
        <f>VLOOKUP(T990,Orgenheter!$A$1:$C$165,3,FALSE)</f>
        <v>Hum</v>
      </c>
      <c r="W990" s="37" t="str">
        <f>VLOOKUP(D990,Program!$A$1:$B$34,2,FALSE)</f>
        <v>Ämneslärarprogrammet - Gy</v>
      </c>
      <c r="X990" s="42">
        <f>VLOOKUP(A990,kurspris!$A$1:$Q$798,15,FALSE)</f>
        <v>18405</v>
      </c>
      <c r="Y990" s="42">
        <f>VLOOKUP(A990,kurspris!$A$1:$Q$798,16,FALSE)</f>
        <v>15773</v>
      </c>
      <c r="Z990" s="42">
        <f t="shared" si="526"/>
        <v>31812.05</v>
      </c>
      <c r="AA990" s="42">
        <f>VLOOKUP(A990,kurspris!$A$1:$Q$798,17,FALSE)</f>
        <v>5800</v>
      </c>
      <c r="AB990" s="42">
        <f t="shared" si="527"/>
        <v>5800</v>
      </c>
      <c r="AC990" s="42">
        <f t="shared" si="528"/>
        <v>37612.050000000003</v>
      </c>
      <c r="AD990" s="31">
        <f>VLOOKUP($A990,kurspris!$A$1:$Q$835,3,FALSE)</f>
        <v>0</v>
      </c>
      <c r="AE990" s="31">
        <f>VLOOKUP($A990,kurspris!$A$1:$Q$835,4,FALSE)</f>
        <v>1</v>
      </c>
      <c r="AF990" s="31">
        <f>VLOOKUP($A990,kurspris!$A$1:$Q$835,5,FALSE)</f>
        <v>0</v>
      </c>
      <c r="AG990" s="31">
        <f>VLOOKUP($A990,kurspris!$A$1:$Q$835,6,FALSE)</f>
        <v>0</v>
      </c>
      <c r="AH990" s="31">
        <f>VLOOKUP($A990,kurspris!$A$1:$Q$835,7,FALSE)</f>
        <v>0</v>
      </c>
      <c r="AI990" s="31">
        <f>VLOOKUP($A990,kurspris!$A$1:$Q$835,8,FALSE)</f>
        <v>0</v>
      </c>
      <c r="AJ990" s="31">
        <f>VLOOKUP($A990,kurspris!$A$1:$Q$835,9,FALSE)</f>
        <v>0</v>
      </c>
      <c r="AK990" s="31">
        <f>VLOOKUP($A990,kurspris!$A$1:$Q$835,10,FALSE)</f>
        <v>0</v>
      </c>
      <c r="AL990" s="31">
        <f>VLOOKUP($A990,kurspris!$A$1:$Q$835,11,FALSE)</f>
        <v>0</v>
      </c>
      <c r="AM990" s="31">
        <f>VLOOKUP($A990,kurspris!$A$1:$Q$835,12,FALSE)</f>
        <v>0</v>
      </c>
      <c r="AN990" s="31">
        <f>VLOOKUP($A990,kurspris!$A$1:$Q$835,13,FALSE)</f>
        <v>0</v>
      </c>
      <c r="AO990" s="31">
        <f>VLOOKUP($A990,kurspris!$A$1:$Q$835,14,FALSE)</f>
        <v>0</v>
      </c>
      <c r="AP990" s="39" t="s">
        <v>2204</v>
      </c>
      <c r="AQ990"/>
      <c r="AR990" s="31">
        <f t="shared" si="529"/>
        <v>0</v>
      </c>
      <c r="AS990" s="255">
        <f t="shared" si="530"/>
        <v>0</v>
      </c>
      <c r="AT990" s="31">
        <f t="shared" si="531"/>
        <v>1</v>
      </c>
      <c r="AU990" s="255">
        <f t="shared" si="532"/>
        <v>0.85</v>
      </c>
      <c r="AV990" s="31">
        <f t="shared" si="533"/>
        <v>0</v>
      </c>
      <c r="AW990" s="31">
        <f t="shared" si="534"/>
        <v>0</v>
      </c>
      <c r="AX990" s="31">
        <f t="shared" si="535"/>
        <v>0</v>
      </c>
      <c r="AY990" s="255">
        <f t="shared" si="536"/>
        <v>0</v>
      </c>
      <c r="AZ990" s="232">
        <f t="shared" si="537"/>
        <v>0</v>
      </c>
      <c r="BA990" s="255">
        <f t="shared" si="538"/>
        <v>0</v>
      </c>
      <c r="BB990" s="31">
        <f t="shared" si="539"/>
        <v>0</v>
      </c>
      <c r="BC990" s="255">
        <f t="shared" si="540"/>
        <v>0</v>
      </c>
      <c r="BD990" s="31">
        <f t="shared" si="541"/>
        <v>0</v>
      </c>
      <c r="BE990" s="255">
        <f t="shared" si="542"/>
        <v>0</v>
      </c>
      <c r="BF990" s="31">
        <f t="shared" si="543"/>
        <v>0</v>
      </c>
      <c r="BG990" s="255">
        <f t="shared" si="544"/>
        <v>0</v>
      </c>
      <c r="BH990" s="31">
        <f t="shared" si="545"/>
        <v>0</v>
      </c>
      <c r="BI990" s="255">
        <f t="shared" si="546"/>
        <v>0</v>
      </c>
      <c r="BJ990" s="31">
        <f t="shared" si="547"/>
        <v>0</v>
      </c>
      <c r="BK990" s="31">
        <f t="shared" si="548"/>
        <v>0</v>
      </c>
      <c r="BL990" s="255">
        <f t="shared" si="549"/>
        <v>0</v>
      </c>
      <c r="BM990" s="31">
        <f t="shared" si="550"/>
        <v>0</v>
      </c>
      <c r="BN990" s="255">
        <f t="shared" si="551"/>
        <v>0</v>
      </c>
    </row>
    <row r="991" spans="1:66" x14ac:dyDescent="0.25">
      <c r="A991" t="s">
        <v>2117</v>
      </c>
      <c r="B991" s="186" t="str">
        <f>VLOOKUP(A991,kurspris!$A$1:$B$877,2,FALSE)</f>
        <v>Religionsvetenskap 3</v>
      </c>
      <c r="C991"/>
      <c r="D991" t="s">
        <v>483</v>
      </c>
      <c r="E991" t="s">
        <v>1976</v>
      </c>
      <c r="F991" s="59" t="s">
        <v>1930</v>
      </c>
      <c r="G991" t="s">
        <v>1995</v>
      </c>
      <c r="H991" t="s">
        <v>1910</v>
      </c>
      <c r="I991"/>
      <c r="J991" t="s">
        <v>772</v>
      </c>
      <c r="K991"/>
      <c r="L991">
        <v>100</v>
      </c>
      <c r="M991">
        <v>30</v>
      </c>
      <c r="N991"/>
      <c r="O991"/>
      <c r="P991" s="31">
        <v>5</v>
      </c>
      <c r="Q991" s="232">
        <f t="shared" si="524"/>
        <v>2.5</v>
      </c>
      <c r="R991" s="40">
        <v>0.85</v>
      </c>
      <c r="S991" s="334">
        <f t="shared" si="525"/>
        <v>2.125</v>
      </c>
      <c r="T991" s="31">
        <f>VLOOKUP(A991,'Ansvar kurs'!$A$1:$C$1010,2,FALSE)</f>
        <v>1630</v>
      </c>
      <c r="U991" s="31" t="str">
        <f>VLOOKUP(T991,Orgenheter!$A$1:$C$165,2,FALSE)</f>
        <v>Inst för ide- o samhällsstudier</v>
      </c>
      <c r="V991" s="31" t="str">
        <f>VLOOKUP(T991,Orgenheter!$A$1:$C$165,3,FALSE)</f>
        <v>Hum</v>
      </c>
      <c r="W991" s="37" t="str">
        <f>VLOOKUP(D991,Program!$A$1:$B$34,2,FALSE)</f>
        <v>Ämneslärarprogrammet - Gy</v>
      </c>
      <c r="X991" s="42">
        <f>VLOOKUP(A991,kurspris!$A$1:$Q$798,15,FALSE)</f>
        <v>18405</v>
      </c>
      <c r="Y991" s="42">
        <f>VLOOKUP(A991,kurspris!$A$1:$Q$798,16,FALSE)</f>
        <v>15773</v>
      </c>
      <c r="Z991" s="42">
        <f t="shared" si="526"/>
        <v>79530.125</v>
      </c>
      <c r="AA991" s="42">
        <f>VLOOKUP(A991,kurspris!$A$1:$Q$798,17,FALSE)</f>
        <v>5800</v>
      </c>
      <c r="AB991" s="42">
        <f t="shared" si="527"/>
        <v>14500</v>
      </c>
      <c r="AC991" s="42">
        <f t="shared" si="528"/>
        <v>94030.125</v>
      </c>
      <c r="AD991" s="31">
        <f>VLOOKUP($A991,kurspris!$A$1:$Q$835,3,FALSE)</f>
        <v>0</v>
      </c>
      <c r="AE991" s="31">
        <f>VLOOKUP($A991,kurspris!$A$1:$Q$835,4,FALSE)</f>
        <v>1</v>
      </c>
      <c r="AF991" s="31">
        <f>VLOOKUP($A991,kurspris!$A$1:$Q$835,5,FALSE)</f>
        <v>0</v>
      </c>
      <c r="AG991" s="31">
        <f>VLOOKUP($A991,kurspris!$A$1:$Q$835,6,FALSE)</f>
        <v>0</v>
      </c>
      <c r="AH991" s="31">
        <f>VLOOKUP($A991,kurspris!$A$1:$Q$835,7,FALSE)</f>
        <v>0</v>
      </c>
      <c r="AI991" s="31">
        <f>VLOOKUP($A991,kurspris!$A$1:$Q$835,8,FALSE)</f>
        <v>0</v>
      </c>
      <c r="AJ991" s="31">
        <f>VLOOKUP($A991,kurspris!$A$1:$Q$835,9,FALSE)</f>
        <v>0</v>
      </c>
      <c r="AK991" s="31">
        <f>VLOOKUP($A991,kurspris!$A$1:$Q$835,10,FALSE)</f>
        <v>0</v>
      </c>
      <c r="AL991" s="31">
        <f>VLOOKUP($A991,kurspris!$A$1:$Q$835,11,FALSE)</f>
        <v>0</v>
      </c>
      <c r="AM991" s="31">
        <f>VLOOKUP($A991,kurspris!$A$1:$Q$835,12,FALSE)</f>
        <v>0</v>
      </c>
      <c r="AN991" s="31">
        <f>VLOOKUP($A991,kurspris!$A$1:$Q$835,13,FALSE)</f>
        <v>0</v>
      </c>
      <c r="AO991" s="31">
        <f>VLOOKUP($A991,kurspris!$A$1:$Q$835,14,FALSE)</f>
        <v>0</v>
      </c>
      <c r="AP991" s="39" t="s">
        <v>2204</v>
      </c>
      <c r="AQ991"/>
      <c r="AR991" s="31">
        <f t="shared" si="529"/>
        <v>0</v>
      </c>
      <c r="AS991" s="255">
        <f t="shared" si="530"/>
        <v>0</v>
      </c>
      <c r="AT991" s="31">
        <f t="shared" si="531"/>
        <v>2.5</v>
      </c>
      <c r="AU991" s="255">
        <f t="shared" si="532"/>
        <v>2.125</v>
      </c>
      <c r="AV991" s="31">
        <f t="shared" si="533"/>
        <v>0</v>
      </c>
      <c r="AW991" s="31">
        <f t="shared" si="534"/>
        <v>0</v>
      </c>
      <c r="AX991" s="31">
        <f t="shared" si="535"/>
        <v>0</v>
      </c>
      <c r="AY991" s="255">
        <f t="shared" si="536"/>
        <v>0</v>
      </c>
      <c r="AZ991" s="232">
        <f t="shared" si="537"/>
        <v>0</v>
      </c>
      <c r="BA991" s="255">
        <f t="shared" si="538"/>
        <v>0</v>
      </c>
      <c r="BB991" s="31">
        <f t="shared" si="539"/>
        <v>0</v>
      </c>
      <c r="BC991" s="255">
        <f t="shared" si="540"/>
        <v>0</v>
      </c>
      <c r="BD991" s="31">
        <f t="shared" si="541"/>
        <v>0</v>
      </c>
      <c r="BE991" s="255">
        <f t="shared" si="542"/>
        <v>0</v>
      </c>
      <c r="BF991" s="31">
        <f t="shared" si="543"/>
        <v>0</v>
      </c>
      <c r="BG991" s="255">
        <f t="shared" si="544"/>
        <v>0</v>
      </c>
      <c r="BH991" s="31">
        <f t="shared" si="545"/>
        <v>0</v>
      </c>
      <c r="BI991" s="255">
        <f t="shared" si="546"/>
        <v>0</v>
      </c>
      <c r="BJ991" s="31">
        <f t="shared" si="547"/>
        <v>0</v>
      </c>
      <c r="BK991" s="31">
        <f t="shared" si="548"/>
        <v>0</v>
      </c>
      <c r="BL991" s="255">
        <f t="shared" si="549"/>
        <v>0</v>
      </c>
      <c r="BM991" s="31">
        <f t="shared" si="550"/>
        <v>0</v>
      </c>
      <c r="BN991" s="255">
        <f t="shared" si="551"/>
        <v>0</v>
      </c>
    </row>
    <row r="992" spans="1:66" x14ac:dyDescent="0.25">
      <c r="A992" t="s">
        <v>2117</v>
      </c>
      <c r="B992" s="186" t="str">
        <f>VLOOKUP(A992,kurspris!$A$1:$B$877,2,FALSE)</f>
        <v>Religionsvetenskap 3</v>
      </c>
      <c r="C992"/>
      <c r="D992" t="s">
        <v>483</v>
      </c>
      <c r="E992" t="s">
        <v>1973</v>
      </c>
      <c r="F992" s="59" t="s">
        <v>1930</v>
      </c>
      <c r="G992" t="s">
        <v>1995</v>
      </c>
      <c r="H992" t="s">
        <v>1910</v>
      </c>
      <c r="I992"/>
      <c r="J992" t="s">
        <v>776</v>
      </c>
      <c r="K992"/>
      <c r="L992">
        <v>100</v>
      </c>
      <c r="M992">
        <v>30</v>
      </c>
      <c r="N992"/>
      <c r="O992"/>
      <c r="P992" s="31">
        <v>4</v>
      </c>
      <c r="Q992" s="232">
        <f t="shared" si="524"/>
        <v>2</v>
      </c>
      <c r="R992" s="40">
        <v>0.85</v>
      </c>
      <c r="S992" s="334">
        <f t="shared" si="525"/>
        <v>1.7</v>
      </c>
      <c r="T992" s="31">
        <f>VLOOKUP(A992,'Ansvar kurs'!$A$1:$C$1010,2,FALSE)</f>
        <v>1630</v>
      </c>
      <c r="U992" s="31" t="str">
        <f>VLOOKUP(T992,Orgenheter!$A$1:$C$165,2,FALSE)</f>
        <v>Inst för ide- o samhällsstudier</v>
      </c>
      <c r="V992" s="31" t="str">
        <f>VLOOKUP(T992,Orgenheter!$A$1:$C$165,3,FALSE)</f>
        <v>Hum</v>
      </c>
      <c r="W992" s="37" t="str">
        <f>VLOOKUP(D992,Program!$A$1:$B$34,2,FALSE)</f>
        <v>Ämneslärarprogrammet - Gy</v>
      </c>
      <c r="X992" s="42">
        <f>VLOOKUP(A992,kurspris!$A$1:$Q$798,15,FALSE)</f>
        <v>18405</v>
      </c>
      <c r="Y992" s="42">
        <f>VLOOKUP(A992,kurspris!$A$1:$Q$798,16,FALSE)</f>
        <v>15773</v>
      </c>
      <c r="Z992" s="42">
        <f t="shared" si="526"/>
        <v>63624.1</v>
      </c>
      <c r="AA992" s="42">
        <f>VLOOKUP(A992,kurspris!$A$1:$Q$798,17,FALSE)</f>
        <v>5800</v>
      </c>
      <c r="AB992" s="42">
        <f t="shared" si="527"/>
        <v>11600</v>
      </c>
      <c r="AC992" s="42">
        <f t="shared" si="528"/>
        <v>75224.100000000006</v>
      </c>
      <c r="AD992" s="31">
        <f>VLOOKUP($A992,kurspris!$A$1:$Q$835,3,FALSE)</f>
        <v>0</v>
      </c>
      <c r="AE992" s="31">
        <f>VLOOKUP($A992,kurspris!$A$1:$Q$835,4,FALSE)</f>
        <v>1</v>
      </c>
      <c r="AF992" s="31">
        <f>VLOOKUP($A992,kurspris!$A$1:$Q$835,5,FALSE)</f>
        <v>0</v>
      </c>
      <c r="AG992" s="31">
        <f>VLOOKUP($A992,kurspris!$A$1:$Q$835,6,FALSE)</f>
        <v>0</v>
      </c>
      <c r="AH992" s="31">
        <f>VLOOKUP($A992,kurspris!$A$1:$Q$835,7,FALSE)</f>
        <v>0</v>
      </c>
      <c r="AI992" s="31">
        <f>VLOOKUP($A992,kurspris!$A$1:$Q$835,8,FALSE)</f>
        <v>0</v>
      </c>
      <c r="AJ992" s="31">
        <f>VLOOKUP($A992,kurspris!$A$1:$Q$835,9,FALSE)</f>
        <v>0</v>
      </c>
      <c r="AK992" s="31">
        <f>VLOOKUP($A992,kurspris!$A$1:$Q$835,10,FALSE)</f>
        <v>0</v>
      </c>
      <c r="AL992" s="31">
        <f>VLOOKUP($A992,kurspris!$A$1:$Q$835,11,FALSE)</f>
        <v>0</v>
      </c>
      <c r="AM992" s="31">
        <f>VLOOKUP($A992,kurspris!$A$1:$Q$835,12,FALSE)</f>
        <v>0</v>
      </c>
      <c r="AN992" s="31">
        <f>VLOOKUP($A992,kurspris!$A$1:$Q$835,13,FALSE)</f>
        <v>0</v>
      </c>
      <c r="AO992" s="31">
        <f>VLOOKUP($A992,kurspris!$A$1:$Q$835,14,FALSE)</f>
        <v>0</v>
      </c>
      <c r="AP992" s="39" t="s">
        <v>2204</v>
      </c>
      <c r="AQ992"/>
      <c r="AR992" s="31">
        <f t="shared" si="529"/>
        <v>0</v>
      </c>
      <c r="AS992" s="255">
        <f t="shared" si="530"/>
        <v>0</v>
      </c>
      <c r="AT992" s="31">
        <f t="shared" si="531"/>
        <v>2</v>
      </c>
      <c r="AU992" s="255">
        <f t="shared" si="532"/>
        <v>1.7</v>
      </c>
      <c r="AV992" s="31">
        <f t="shared" si="533"/>
        <v>0</v>
      </c>
      <c r="AW992" s="31">
        <f t="shared" si="534"/>
        <v>0</v>
      </c>
      <c r="AX992" s="31">
        <f t="shared" si="535"/>
        <v>0</v>
      </c>
      <c r="AY992" s="255">
        <f t="shared" si="536"/>
        <v>0</v>
      </c>
      <c r="AZ992" s="232">
        <f t="shared" si="537"/>
        <v>0</v>
      </c>
      <c r="BA992" s="255">
        <f t="shared" si="538"/>
        <v>0</v>
      </c>
      <c r="BB992" s="31">
        <f t="shared" si="539"/>
        <v>0</v>
      </c>
      <c r="BC992" s="255">
        <f t="shared" si="540"/>
        <v>0</v>
      </c>
      <c r="BD992" s="31">
        <f t="shared" si="541"/>
        <v>0</v>
      </c>
      <c r="BE992" s="255">
        <f t="shared" si="542"/>
        <v>0</v>
      </c>
      <c r="BF992" s="31">
        <f t="shared" si="543"/>
        <v>0</v>
      </c>
      <c r="BG992" s="255">
        <f t="shared" si="544"/>
        <v>0</v>
      </c>
      <c r="BH992" s="31">
        <f t="shared" si="545"/>
        <v>0</v>
      </c>
      <c r="BI992" s="255">
        <f t="shared" si="546"/>
        <v>0</v>
      </c>
      <c r="BJ992" s="31">
        <f t="shared" si="547"/>
        <v>0</v>
      </c>
      <c r="BK992" s="31">
        <f t="shared" si="548"/>
        <v>0</v>
      </c>
      <c r="BL992" s="255">
        <f t="shared" si="549"/>
        <v>0</v>
      </c>
      <c r="BM992" s="31">
        <f t="shared" si="550"/>
        <v>0</v>
      </c>
      <c r="BN992" s="255">
        <f t="shared" si="551"/>
        <v>0</v>
      </c>
    </row>
    <row r="993" spans="1:66" x14ac:dyDescent="0.25">
      <c r="A993" t="s">
        <v>2117</v>
      </c>
      <c r="B993" s="186" t="str">
        <f>VLOOKUP(A993,kurspris!$A$1:$B$877,2,FALSE)</f>
        <v>Religionsvetenskap 3</v>
      </c>
      <c r="C993"/>
      <c r="D993" t="s">
        <v>483</v>
      </c>
      <c r="E993" t="s">
        <v>1609</v>
      </c>
      <c r="F993" s="59" t="s">
        <v>1930</v>
      </c>
      <c r="G993" t="s">
        <v>1995</v>
      </c>
      <c r="H993" t="s">
        <v>1910</v>
      </c>
      <c r="I993"/>
      <c r="J993" t="s">
        <v>773</v>
      </c>
      <c r="K993"/>
      <c r="L993">
        <v>100</v>
      </c>
      <c r="M993">
        <v>30</v>
      </c>
      <c r="N993"/>
      <c r="O993"/>
      <c r="P993" s="31">
        <v>1</v>
      </c>
      <c r="Q993" s="232">
        <f t="shared" si="524"/>
        <v>0.5</v>
      </c>
      <c r="R993" s="40">
        <v>0.85</v>
      </c>
      <c r="S993" s="334">
        <f t="shared" si="525"/>
        <v>0.42499999999999999</v>
      </c>
      <c r="T993" s="31">
        <f>VLOOKUP(A993,'Ansvar kurs'!$A$1:$C$1010,2,FALSE)</f>
        <v>1630</v>
      </c>
      <c r="U993" s="31" t="str">
        <f>VLOOKUP(T993,Orgenheter!$A$1:$C$165,2,FALSE)</f>
        <v>Inst för ide- o samhällsstudier</v>
      </c>
      <c r="V993" s="31" t="str">
        <f>VLOOKUP(T993,Orgenheter!$A$1:$C$165,3,FALSE)</f>
        <v>Hum</v>
      </c>
      <c r="W993" s="37" t="str">
        <f>VLOOKUP(D993,Program!$A$1:$B$34,2,FALSE)</f>
        <v>Ämneslärarprogrammet - Gy</v>
      </c>
      <c r="X993" s="42">
        <f>VLOOKUP(A993,kurspris!$A$1:$Q$798,15,FALSE)</f>
        <v>18405</v>
      </c>
      <c r="Y993" s="42">
        <f>VLOOKUP(A993,kurspris!$A$1:$Q$798,16,FALSE)</f>
        <v>15773</v>
      </c>
      <c r="Z993" s="42">
        <f t="shared" si="526"/>
        <v>15906.025</v>
      </c>
      <c r="AA993" s="42">
        <f>VLOOKUP(A993,kurspris!$A$1:$Q$798,17,FALSE)</f>
        <v>5800</v>
      </c>
      <c r="AB993" s="42">
        <f t="shared" si="527"/>
        <v>2900</v>
      </c>
      <c r="AC993" s="42">
        <f t="shared" si="528"/>
        <v>18806.025000000001</v>
      </c>
      <c r="AD993" s="31">
        <f>VLOOKUP($A993,kurspris!$A$1:$Q$835,3,FALSE)</f>
        <v>0</v>
      </c>
      <c r="AE993" s="31">
        <f>VLOOKUP($A993,kurspris!$A$1:$Q$835,4,FALSE)</f>
        <v>1</v>
      </c>
      <c r="AF993" s="31">
        <f>VLOOKUP($A993,kurspris!$A$1:$Q$835,5,FALSE)</f>
        <v>0</v>
      </c>
      <c r="AG993" s="31">
        <f>VLOOKUP($A993,kurspris!$A$1:$Q$835,6,FALSE)</f>
        <v>0</v>
      </c>
      <c r="AH993" s="31">
        <f>VLOOKUP($A993,kurspris!$A$1:$Q$835,7,FALSE)</f>
        <v>0</v>
      </c>
      <c r="AI993" s="31">
        <f>VLOOKUP($A993,kurspris!$A$1:$Q$835,8,FALSE)</f>
        <v>0</v>
      </c>
      <c r="AJ993" s="31">
        <f>VLOOKUP($A993,kurspris!$A$1:$Q$835,9,FALSE)</f>
        <v>0</v>
      </c>
      <c r="AK993" s="31">
        <f>VLOOKUP($A993,kurspris!$A$1:$Q$835,10,FALSE)</f>
        <v>0</v>
      </c>
      <c r="AL993" s="31">
        <f>VLOOKUP($A993,kurspris!$A$1:$Q$835,11,FALSE)</f>
        <v>0</v>
      </c>
      <c r="AM993" s="31">
        <f>VLOOKUP($A993,kurspris!$A$1:$Q$835,12,FALSE)</f>
        <v>0</v>
      </c>
      <c r="AN993" s="31">
        <f>VLOOKUP($A993,kurspris!$A$1:$Q$835,13,FALSE)</f>
        <v>0</v>
      </c>
      <c r="AO993" s="31">
        <f>VLOOKUP($A993,kurspris!$A$1:$Q$835,14,FALSE)</f>
        <v>0</v>
      </c>
      <c r="AP993" s="39" t="s">
        <v>2204</v>
      </c>
      <c r="AQ993"/>
      <c r="AR993" s="31">
        <f t="shared" si="529"/>
        <v>0</v>
      </c>
      <c r="AS993" s="255">
        <f t="shared" si="530"/>
        <v>0</v>
      </c>
      <c r="AT993" s="31">
        <f t="shared" si="531"/>
        <v>0.5</v>
      </c>
      <c r="AU993" s="255">
        <f t="shared" si="532"/>
        <v>0.42499999999999999</v>
      </c>
      <c r="AV993" s="31">
        <f t="shared" si="533"/>
        <v>0</v>
      </c>
      <c r="AW993" s="31">
        <f t="shared" si="534"/>
        <v>0</v>
      </c>
      <c r="AX993" s="31">
        <f t="shared" si="535"/>
        <v>0</v>
      </c>
      <c r="AY993" s="255">
        <f t="shared" si="536"/>
        <v>0</v>
      </c>
      <c r="AZ993" s="232">
        <f t="shared" si="537"/>
        <v>0</v>
      </c>
      <c r="BA993" s="255">
        <f t="shared" si="538"/>
        <v>0</v>
      </c>
      <c r="BB993" s="31">
        <f t="shared" si="539"/>
        <v>0</v>
      </c>
      <c r="BC993" s="255">
        <f t="shared" si="540"/>
        <v>0</v>
      </c>
      <c r="BD993" s="31">
        <f t="shared" si="541"/>
        <v>0</v>
      </c>
      <c r="BE993" s="255">
        <f t="shared" si="542"/>
        <v>0</v>
      </c>
      <c r="BF993" s="31">
        <f t="shared" si="543"/>
        <v>0</v>
      </c>
      <c r="BG993" s="255">
        <f t="shared" si="544"/>
        <v>0</v>
      </c>
      <c r="BH993" s="31">
        <f t="shared" si="545"/>
        <v>0</v>
      </c>
      <c r="BI993" s="255">
        <f t="shared" si="546"/>
        <v>0</v>
      </c>
      <c r="BJ993" s="31">
        <f t="shared" si="547"/>
        <v>0</v>
      </c>
      <c r="BK993" s="31">
        <f t="shared" si="548"/>
        <v>0</v>
      </c>
      <c r="BL993" s="255">
        <f t="shared" si="549"/>
        <v>0</v>
      </c>
      <c r="BM993" s="31">
        <f t="shared" si="550"/>
        <v>0</v>
      </c>
      <c r="BN993" s="255">
        <f t="shared" si="551"/>
        <v>0</v>
      </c>
    </row>
    <row r="994" spans="1:66" x14ac:dyDescent="0.25">
      <c r="A994" t="s">
        <v>2117</v>
      </c>
      <c r="B994" s="186" t="str">
        <f>VLOOKUP(A994,kurspris!$A$1:$B$877,2,FALSE)</f>
        <v>Religionsvetenskap 3</v>
      </c>
      <c r="C994"/>
      <c r="D994" t="s">
        <v>483</v>
      </c>
      <c r="E994" t="s">
        <v>1609</v>
      </c>
      <c r="F994" s="59" t="s">
        <v>1930</v>
      </c>
      <c r="G994" t="s">
        <v>1995</v>
      </c>
      <c r="H994" t="s">
        <v>1910</v>
      </c>
      <c r="I994"/>
      <c r="J994" t="s">
        <v>776</v>
      </c>
      <c r="K994"/>
      <c r="L994">
        <v>100</v>
      </c>
      <c r="M994">
        <v>30</v>
      </c>
      <c r="N994"/>
      <c r="O994"/>
      <c r="P994" s="31">
        <v>2</v>
      </c>
      <c r="Q994" s="232">
        <f t="shared" si="524"/>
        <v>1</v>
      </c>
      <c r="R994" s="40">
        <v>0.85</v>
      </c>
      <c r="S994" s="334">
        <f t="shared" si="525"/>
        <v>0.85</v>
      </c>
      <c r="T994" s="31">
        <f>VLOOKUP(A994,'Ansvar kurs'!$A$1:$C$1010,2,FALSE)</f>
        <v>1630</v>
      </c>
      <c r="U994" s="31" t="str">
        <f>VLOOKUP(T994,Orgenheter!$A$1:$C$165,2,FALSE)</f>
        <v>Inst för ide- o samhällsstudier</v>
      </c>
      <c r="V994" s="31" t="str">
        <f>VLOOKUP(T994,Orgenheter!$A$1:$C$165,3,FALSE)</f>
        <v>Hum</v>
      </c>
      <c r="W994" s="37" t="str">
        <f>VLOOKUP(D994,Program!$A$1:$B$34,2,FALSE)</f>
        <v>Ämneslärarprogrammet - Gy</v>
      </c>
      <c r="X994" s="42">
        <f>VLOOKUP(A994,kurspris!$A$1:$Q$798,15,FALSE)</f>
        <v>18405</v>
      </c>
      <c r="Y994" s="42">
        <f>VLOOKUP(A994,kurspris!$A$1:$Q$798,16,FALSE)</f>
        <v>15773</v>
      </c>
      <c r="Z994" s="42">
        <f t="shared" si="526"/>
        <v>31812.05</v>
      </c>
      <c r="AA994" s="42">
        <f>VLOOKUP(A994,kurspris!$A$1:$Q$798,17,FALSE)</f>
        <v>5800</v>
      </c>
      <c r="AB994" s="42">
        <f t="shared" si="527"/>
        <v>5800</v>
      </c>
      <c r="AC994" s="42">
        <f t="shared" si="528"/>
        <v>37612.050000000003</v>
      </c>
      <c r="AD994" s="31">
        <f>VLOOKUP($A994,kurspris!$A$1:$Q$835,3,FALSE)</f>
        <v>0</v>
      </c>
      <c r="AE994" s="31">
        <f>VLOOKUP($A994,kurspris!$A$1:$Q$835,4,FALSE)</f>
        <v>1</v>
      </c>
      <c r="AF994" s="31">
        <f>VLOOKUP($A994,kurspris!$A$1:$Q$835,5,FALSE)</f>
        <v>0</v>
      </c>
      <c r="AG994" s="31">
        <f>VLOOKUP($A994,kurspris!$A$1:$Q$835,6,FALSE)</f>
        <v>0</v>
      </c>
      <c r="AH994" s="31">
        <f>VLOOKUP($A994,kurspris!$A$1:$Q$835,7,FALSE)</f>
        <v>0</v>
      </c>
      <c r="AI994" s="31">
        <f>VLOOKUP($A994,kurspris!$A$1:$Q$835,8,FALSE)</f>
        <v>0</v>
      </c>
      <c r="AJ994" s="31">
        <f>VLOOKUP($A994,kurspris!$A$1:$Q$835,9,FALSE)</f>
        <v>0</v>
      </c>
      <c r="AK994" s="31">
        <f>VLOOKUP($A994,kurspris!$A$1:$Q$835,10,FALSE)</f>
        <v>0</v>
      </c>
      <c r="AL994" s="31">
        <f>VLOOKUP($A994,kurspris!$A$1:$Q$835,11,FALSE)</f>
        <v>0</v>
      </c>
      <c r="AM994" s="31">
        <f>VLOOKUP($A994,kurspris!$A$1:$Q$835,12,FALSE)</f>
        <v>0</v>
      </c>
      <c r="AN994" s="31">
        <f>VLOOKUP($A994,kurspris!$A$1:$Q$835,13,FALSE)</f>
        <v>0</v>
      </c>
      <c r="AO994" s="31">
        <f>VLOOKUP($A994,kurspris!$A$1:$Q$835,14,FALSE)</f>
        <v>0</v>
      </c>
      <c r="AP994" s="39" t="s">
        <v>2204</v>
      </c>
      <c r="AQ994"/>
      <c r="AR994" s="31">
        <f t="shared" si="529"/>
        <v>0</v>
      </c>
      <c r="AS994" s="255">
        <f t="shared" si="530"/>
        <v>0</v>
      </c>
      <c r="AT994" s="31">
        <f t="shared" si="531"/>
        <v>1</v>
      </c>
      <c r="AU994" s="255">
        <f t="shared" si="532"/>
        <v>0.85</v>
      </c>
      <c r="AV994" s="31">
        <f t="shared" si="533"/>
        <v>0</v>
      </c>
      <c r="AW994" s="31">
        <f t="shared" si="534"/>
        <v>0</v>
      </c>
      <c r="AX994" s="31">
        <f t="shared" si="535"/>
        <v>0</v>
      </c>
      <c r="AY994" s="255">
        <f t="shared" si="536"/>
        <v>0</v>
      </c>
      <c r="AZ994" s="232">
        <f t="shared" si="537"/>
        <v>0</v>
      </c>
      <c r="BA994" s="255">
        <f t="shared" si="538"/>
        <v>0</v>
      </c>
      <c r="BB994" s="31">
        <f t="shared" si="539"/>
        <v>0</v>
      </c>
      <c r="BC994" s="255">
        <f t="shared" si="540"/>
        <v>0</v>
      </c>
      <c r="BD994" s="31">
        <f t="shared" si="541"/>
        <v>0</v>
      </c>
      <c r="BE994" s="255">
        <f t="shared" si="542"/>
        <v>0</v>
      </c>
      <c r="BF994" s="31">
        <f t="shared" si="543"/>
        <v>0</v>
      </c>
      <c r="BG994" s="255">
        <f t="shared" si="544"/>
        <v>0</v>
      </c>
      <c r="BH994" s="31">
        <f t="shared" si="545"/>
        <v>0</v>
      </c>
      <c r="BI994" s="255">
        <f t="shared" si="546"/>
        <v>0</v>
      </c>
      <c r="BJ994" s="31">
        <f t="shared" si="547"/>
        <v>0</v>
      </c>
      <c r="BK994" s="31">
        <f t="shared" si="548"/>
        <v>0</v>
      </c>
      <c r="BL994" s="255">
        <f t="shared" si="549"/>
        <v>0</v>
      </c>
      <c r="BM994" s="31">
        <f t="shared" si="550"/>
        <v>0</v>
      </c>
      <c r="BN994" s="255">
        <f t="shared" si="551"/>
        <v>0</v>
      </c>
    </row>
    <row r="995" spans="1:66" x14ac:dyDescent="0.25">
      <c r="A995" t="s">
        <v>2158</v>
      </c>
      <c r="B995" s="186" t="str">
        <f>VLOOKUP(A995,kurspris!$A$1:$B$877,2,FALSE)</f>
        <v>Religionsvetenskap 3, med kandidatuppsats</v>
      </c>
      <c r="C995"/>
      <c r="D995" t="s">
        <v>483</v>
      </c>
      <c r="E995" t="s">
        <v>1609</v>
      </c>
      <c r="F995" s="59" t="s">
        <v>1930</v>
      </c>
      <c r="G995" t="s">
        <v>1995</v>
      </c>
      <c r="H995" t="s">
        <v>1910</v>
      </c>
      <c r="I995"/>
      <c r="J995" t="s">
        <v>776</v>
      </c>
      <c r="K995"/>
      <c r="L995">
        <v>100</v>
      </c>
      <c r="M995">
        <v>30</v>
      </c>
      <c r="N995"/>
      <c r="O995"/>
      <c r="P995" s="31">
        <v>4</v>
      </c>
      <c r="Q995" s="232">
        <f t="shared" si="524"/>
        <v>2</v>
      </c>
      <c r="R995" s="40">
        <v>0.85</v>
      </c>
      <c r="S995" s="334">
        <f t="shared" si="525"/>
        <v>1.7</v>
      </c>
      <c r="T995" s="31">
        <f>VLOOKUP(A995,'Ansvar kurs'!$A$1:$C$1010,2,FALSE)</f>
        <v>1630</v>
      </c>
      <c r="U995" s="31" t="str">
        <f>VLOOKUP(T995,Orgenheter!$A$1:$C$165,2,FALSE)</f>
        <v>Inst för ide- o samhällsstudier</v>
      </c>
      <c r="V995" s="31" t="str">
        <f>VLOOKUP(T995,Orgenheter!$A$1:$C$165,3,FALSE)</f>
        <v>Hum</v>
      </c>
      <c r="W995" s="37" t="str">
        <f>VLOOKUP(D995,Program!$A$1:$B$34,2,FALSE)</f>
        <v>Ämneslärarprogrammet - Gy</v>
      </c>
      <c r="X995" s="42">
        <f>VLOOKUP(A995,kurspris!$A$1:$Q$798,15,FALSE)</f>
        <v>18405</v>
      </c>
      <c r="Y995" s="42">
        <f>VLOOKUP(A995,kurspris!$A$1:$Q$798,16,FALSE)</f>
        <v>15773</v>
      </c>
      <c r="Z995" s="42">
        <f t="shared" si="526"/>
        <v>63624.1</v>
      </c>
      <c r="AA995" s="42">
        <f>VLOOKUP(A995,kurspris!$A$1:$Q$798,17,FALSE)</f>
        <v>5800</v>
      </c>
      <c r="AB995" s="42">
        <f t="shared" si="527"/>
        <v>11600</v>
      </c>
      <c r="AC995" s="42">
        <f t="shared" si="528"/>
        <v>75224.100000000006</v>
      </c>
      <c r="AD995" s="31">
        <f>VLOOKUP($A995,kurspris!$A$1:$Q$835,3,FALSE)</f>
        <v>0</v>
      </c>
      <c r="AE995" s="31">
        <f>VLOOKUP($A995,kurspris!$A$1:$Q$835,4,FALSE)</f>
        <v>1</v>
      </c>
      <c r="AF995" s="31">
        <f>VLOOKUP($A995,kurspris!$A$1:$Q$835,5,FALSE)</f>
        <v>0</v>
      </c>
      <c r="AG995" s="31">
        <f>VLOOKUP($A995,kurspris!$A$1:$Q$835,6,FALSE)</f>
        <v>0</v>
      </c>
      <c r="AH995" s="31">
        <f>VLOOKUP($A995,kurspris!$A$1:$Q$835,7,FALSE)</f>
        <v>0</v>
      </c>
      <c r="AI995" s="31">
        <f>VLOOKUP($A995,kurspris!$A$1:$Q$835,8,FALSE)</f>
        <v>0</v>
      </c>
      <c r="AJ995" s="31">
        <f>VLOOKUP($A995,kurspris!$A$1:$Q$835,9,FALSE)</f>
        <v>0</v>
      </c>
      <c r="AK995" s="31">
        <f>VLOOKUP($A995,kurspris!$A$1:$Q$835,10,FALSE)</f>
        <v>0</v>
      </c>
      <c r="AL995" s="31">
        <f>VLOOKUP($A995,kurspris!$A$1:$Q$835,11,FALSE)</f>
        <v>0</v>
      </c>
      <c r="AM995" s="31">
        <f>VLOOKUP($A995,kurspris!$A$1:$Q$835,12,FALSE)</f>
        <v>0</v>
      </c>
      <c r="AN995" s="31">
        <f>VLOOKUP($A995,kurspris!$A$1:$Q$835,13,FALSE)</f>
        <v>0</v>
      </c>
      <c r="AO995" s="31">
        <f>VLOOKUP($A995,kurspris!$A$1:$Q$835,14,FALSE)</f>
        <v>0</v>
      </c>
      <c r="AP995" s="39" t="s">
        <v>2204</v>
      </c>
      <c r="AQ995"/>
      <c r="AR995" s="31">
        <f t="shared" si="529"/>
        <v>0</v>
      </c>
      <c r="AS995" s="255">
        <f t="shared" si="530"/>
        <v>0</v>
      </c>
      <c r="AT995" s="31">
        <f t="shared" si="531"/>
        <v>2</v>
      </c>
      <c r="AU995" s="255">
        <f t="shared" si="532"/>
        <v>1.7</v>
      </c>
      <c r="AV995" s="31">
        <f t="shared" si="533"/>
        <v>0</v>
      </c>
      <c r="AW995" s="31">
        <f t="shared" si="534"/>
        <v>0</v>
      </c>
      <c r="AX995" s="31">
        <f t="shared" si="535"/>
        <v>0</v>
      </c>
      <c r="AY995" s="255">
        <f t="shared" si="536"/>
        <v>0</v>
      </c>
      <c r="AZ995" s="232">
        <f t="shared" si="537"/>
        <v>0</v>
      </c>
      <c r="BA995" s="255">
        <f t="shared" si="538"/>
        <v>0</v>
      </c>
      <c r="BB995" s="31">
        <f t="shared" si="539"/>
        <v>0</v>
      </c>
      <c r="BC995" s="255">
        <f t="shared" si="540"/>
        <v>0</v>
      </c>
      <c r="BD995" s="31">
        <f t="shared" si="541"/>
        <v>0</v>
      </c>
      <c r="BE995" s="255">
        <f t="shared" si="542"/>
        <v>0</v>
      </c>
      <c r="BF995" s="31">
        <f t="shared" si="543"/>
        <v>0</v>
      </c>
      <c r="BG995" s="255">
        <f t="shared" si="544"/>
        <v>0</v>
      </c>
      <c r="BH995" s="31">
        <f t="shared" si="545"/>
        <v>0</v>
      </c>
      <c r="BI995" s="255">
        <f t="shared" si="546"/>
        <v>0</v>
      </c>
      <c r="BJ995" s="31">
        <f t="shared" si="547"/>
        <v>0</v>
      </c>
      <c r="BK995" s="31">
        <f t="shared" si="548"/>
        <v>0</v>
      </c>
      <c r="BL995" s="255">
        <f t="shared" si="549"/>
        <v>0</v>
      </c>
      <c r="BM995" s="31">
        <f t="shared" si="550"/>
        <v>0</v>
      </c>
      <c r="BN995" s="255">
        <f t="shared" si="551"/>
        <v>0</v>
      </c>
    </row>
    <row r="996" spans="1:66" x14ac:dyDescent="0.25">
      <c r="A996" t="s">
        <v>2158</v>
      </c>
      <c r="B996" s="186" t="str">
        <f>VLOOKUP(A996,kurspris!$A$1:$B$877,2,FALSE)</f>
        <v>Religionsvetenskap 3, med kandidatuppsats</v>
      </c>
      <c r="C996"/>
      <c r="D996" t="s">
        <v>483</v>
      </c>
      <c r="E996"/>
      <c r="F996" s="59" t="s">
        <v>1930</v>
      </c>
      <c r="G996" t="s">
        <v>1995</v>
      </c>
      <c r="H996" t="s">
        <v>1910</v>
      </c>
      <c r="I996"/>
      <c r="J996" t="s">
        <v>771</v>
      </c>
      <c r="K996"/>
      <c r="L996">
        <v>100</v>
      </c>
      <c r="M996">
        <v>30</v>
      </c>
      <c r="N996"/>
      <c r="O996"/>
      <c r="P996" s="31">
        <v>2</v>
      </c>
      <c r="Q996" s="232">
        <f t="shared" si="524"/>
        <v>1</v>
      </c>
      <c r="R996" s="40">
        <v>0.85</v>
      </c>
      <c r="S996" s="334">
        <f t="shared" si="525"/>
        <v>0.85</v>
      </c>
      <c r="T996" s="31">
        <f>VLOOKUP(A996,'Ansvar kurs'!$A$1:$C$1010,2,FALSE)</f>
        <v>1630</v>
      </c>
      <c r="U996" s="31" t="str">
        <f>VLOOKUP(T996,Orgenheter!$A$1:$C$165,2,FALSE)</f>
        <v>Inst för ide- o samhällsstudier</v>
      </c>
      <c r="V996" s="31" t="str">
        <f>VLOOKUP(T996,Orgenheter!$A$1:$C$165,3,FALSE)</f>
        <v>Hum</v>
      </c>
      <c r="W996" s="37" t="str">
        <f>VLOOKUP(D996,Program!$A$1:$B$34,2,FALSE)</f>
        <v>Ämneslärarprogrammet - Gy</v>
      </c>
      <c r="X996" s="42">
        <f>VLOOKUP(A996,kurspris!$A$1:$Q$798,15,FALSE)</f>
        <v>18405</v>
      </c>
      <c r="Y996" s="42">
        <f>VLOOKUP(A996,kurspris!$A$1:$Q$798,16,FALSE)</f>
        <v>15773</v>
      </c>
      <c r="Z996" s="42">
        <f t="shared" si="526"/>
        <v>31812.05</v>
      </c>
      <c r="AA996" s="42">
        <f>VLOOKUP(A996,kurspris!$A$1:$Q$798,17,FALSE)</f>
        <v>5800</v>
      </c>
      <c r="AB996" s="42">
        <f t="shared" si="527"/>
        <v>5800</v>
      </c>
      <c r="AC996" s="42">
        <f t="shared" si="528"/>
        <v>37612.050000000003</v>
      </c>
      <c r="AD996" s="31">
        <f>VLOOKUP($A996,kurspris!$A$1:$Q$835,3,FALSE)</f>
        <v>0</v>
      </c>
      <c r="AE996" s="31">
        <f>VLOOKUP($A996,kurspris!$A$1:$Q$835,4,FALSE)</f>
        <v>1</v>
      </c>
      <c r="AF996" s="31">
        <f>VLOOKUP($A996,kurspris!$A$1:$Q$835,5,FALSE)</f>
        <v>0</v>
      </c>
      <c r="AG996" s="31">
        <f>VLOOKUP($A996,kurspris!$A$1:$Q$835,6,FALSE)</f>
        <v>0</v>
      </c>
      <c r="AH996" s="31">
        <f>VLOOKUP($A996,kurspris!$A$1:$Q$835,7,FALSE)</f>
        <v>0</v>
      </c>
      <c r="AI996" s="31">
        <f>VLOOKUP($A996,kurspris!$A$1:$Q$835,8,FALSE)</f>
        <v>0</v>
      </c>
      <c r="AJ996" s="31">
        <f>VLOOKUP($A996,kurspris!$A$1:$Q$835,9,FALSE)</f>
        <v>0</v>
      </c>
      <c r="AK996" s="31">
        <f>VLOOKUP($A996,kurspris!$A$1:$Q$835,10,FALSE)</f>
        <v>0</v>
      </c>
      <c r="AL996" s="31">
        <f>VLOOKUP($A996,kurspris!$A$1:$Q$835,11,FALSE)</f>
        <v>0</v>
      </c>
      <c r="AM996" s="31">
        <f>VLOOKUP($A996,kurspris!$A$1:$Q$835,12,FALSE)</f>
        <v>0</v>
      </c>
      <c r="AN996" s="31">
        <f>VLOOKUP($A996,kurspris!$A$1:$Q$835,13,FALSE)</f>
        <v>0</v>
      </c>
      <c r="AO996" s="31">
        <f>VLOOKUP($A996,kurspris!$A$1:$Q$835,14,FALSE)</f>
        <v>0</v>
      </c>
      <c r="AP996" s="39" t="s">
        <v>2204</v>
      </c>
      <c r="AQ996"/>
      <c r="AR996" s="31">
        <f t="shared" si="529"/>
        <v>0</v>
      </c>
      <c r="AS996" s="255">
        <f t="shared" si="530"/>
        <v>0</v>
      </c>
      <c r="AT996" s="31">
        <f t="shared" si="531"/>
        <v>1</v>
      </c>
      <c r="AU996" s="255">
        <f t="shared" si="532"/>
        <v>0.85</v>
      </c>
      <c r="AV996" s="31">
        <f t="shared" si="533"/>
        <v>0</v>
      </c>
      <c r="AW996" s="31">
        <f t="shared" si="534"/>
        <v>0</v>
      </c>
      <c r="AX996" s="31">
        <f t="shared" si="535"/>
        <v>0</v>
      </c>
      <c r="AY996" s="255">
        <f t="shared" si="536"/>
        <v>0</v>
      </c>
      <c r="AZ996" s="232">
        <f t="shared" si="537"/>
        <v>0</v>
      </c>
      <c r="BA996" s="255">
        <f t="shared" si="538"/>
        <v>0</v>
      </c>
      <c r="BB996" s="31">
        <f t="shared" si="539"/>
        <v>0</v>
      </c>
      <c r="BC996" s="255">
        <f t="shared" si="540"/>
        <v>0</v>
      </c>
      <c r="BD996" s="31">
        <f t="shared" si="541"/>
        <v>0</v>
      </c>
      <c r="BE996" s="255">
        <f t="shared" si="542"/>
        <v>0</v>
      </c>
      <c r="BF996" s="31">
        <f t="shared" si="543"/>
        <v>0</v>
      </c>
      <c r="BG996" s="255">
        <f t="shared" si="544"/>
        <v>0</v>
      </c>
      <c r="BH996" s="31">
        <f t="shared" si="545"/>
        <v>0</v>
      </c>
      <c r="BI996" s="255">
        <f t="shared" si="546"/>
        <v>0</v>
      </c>
      <c r="BJ996" s="31">
        <f t="shared" si="547"/>
        <v>0</v>
      </c>
      <c r="BK996" s="31">
        <f t="shared" si="548"/>
        <v>0</v>
      </c>
      <c r="BL996" s="255">
        <f t="shared" si="549"/>
        <v>0</v>
      </c>
      <c r="BM996" s="31">
        <f t="shared" si="550"/>
        <v>0</v>
      </c>
      <c r="BN996" s="255">
        <f t="shared" si="551"/>
        <v>0</v>
      </c>
    </row>
    <row r="997" spans="1:66" x14ac:dyDescent="0.25">
      <c r="A997" t="s">
        <v>2158</v>
      </c>
      <c r="B997" s="186" t="str">
        <f>VLOOKUP(A997,kurspris!$A$1:$B$877,2,FALSE)</f>
        <v>Religionsvetenskap 3, med kandidatuppsats</v>
      </c>
      <c r="C997"/>
      <c r="D997" t="s">
        <v>483</v>
      </c>
      <c r="E997"/>
      <c r="F997" s="59" t="s">
        <v>1930</v>
      </c>
      <c r="G997" t="s">
        <v>1995</v>
      </c>
      <c r="H997" t="s">
        <v>1910</v>
      </c>
      <c r="I997"/>
      <c r="J997" t="s">
        <v>772</v>
      </c>
      <c r="K997"/>
      <c r="L997">
        <v>100</v>
      </c>
      <c r="M997">
        <v>30</v>
      </c>
      <c r="N997"/>
      <c r="O997"/>
      <c r="P997" s="31">
        <v>2</v>
      </c>
      <c r="Q997" s="232">
        <f t="shared" si="524"/>
        <v>1</v>
      </c>
      <c r="R997" s="40">
        <v>0.85</v>
      </c>
      <c r="S997" s="334">
        <f t="shared" si="525"/>
        <v>0.85</v>
      </c>
      <c r="T997" s="31">
        <f>VLOOKUP(A997,'Ansvar kurs'!$A$1:$C$1010,2,FALSE)</f>
        <v>1630</v>
      </c>
      <c r="U997" s="31" t="str">
        <f>VLOOKUP(T997,Orgenheter!$A$1:$C$165,2,FALSE)</f>
        <v>Inst för ide- o samhällsstudier</v>
      </c>
      <c r="V997" s="31" t="str">
        <f>VLOOKUP(T997,Orgenheter!$A$1:$C$165,3,FALSE)</f>
        <v>Hum</v>
      </c>
      <c r="W997" s="37" t="str">
        <f>VLOOKUP(D997,Program!$A$1:$B$34,2,FALSE)</f>
        <v>Ämneslärarprogrammet - Gy</v>
      </c>
      <c r="X997" s="42">
        <f>VLOOKUP(A997,kurspris!$A$1:$Q$798,15,FALSE)</f>
        <v>18405</v>
      </c>
      <c r="Y997" s="42">
        <f>VLOOKUP(A997,kurspris!$A$1:$Q$798,16,FALSE)</f>
        <v>15773</v>
      </c>
      <c r="Z997" s="42">
        <f t="shared" si="526"/>
        <v>31812.05</v>
      </c>
      <c r="AA997" s="42">
        <f>VLOOKUP(A997,kurspris!$A$1:$Q$798,17,FALSE)</f>
        <v>5800</v>
      </c>
      <c r="AB997" s="42">
        <f t="shared" si="527"/>
        <v>5800</v>
      </c>
      <c r="AC997" s="42">
        <f t="shared" si="528"/>
        <v>37612.050000000003</v>
      </c>
      <c r="AD997" s="31">
        <f>VLOOKUP($A997,kurspris!$A$1:$Q$835,3,FALSE)</f>
        <v>0</v>
      </c>
      <c r="AE997" s="31">
        <f>VLOOKUP($A997,kurspris!$A$1:$Q$835,4,FALSE)</f>
        <v>1</v>
      </c>
      <c r="AF997" s="31">
        <f>VLOOKUP($A997,kurspris!$A$1:$Q$835,5,FALSE)</f>
        <v>0</v>
      </c>
      <c r="AG997" s="31">
        <f>VLOOKUP($A997,kurspris!$A$1:$Q$835,6,FALSE)</f>
        <v>0</v>
      </c>
      <c r="AH997" s="31">
        <f>VLOOKUP($A997,kurspris!$A$1:$Q$835,7,FALSE)</f>
        <v>0</v>
      </c>
      <c r="AI997" s="31">
        <f>VLOOKUP($A997,kurspris!$A$1:$Q$835,8,FALSE)</f>
        <v>0</v>
      </c>
      <c r="AJ997" s="31">
        <f>VLOOKUP($A997,kurspris!$A$1:$Q$835,9,FALSE)</f>
        <v>0</v>
      </c>
      <c r="AK997" s="31">
        <f>VLOOKUP($A997,kurspris!$A$1:$Q$835,10,FALSE)</f>
        <v>0</v>
      </c>
      <c r="AL997" s="31">
        <f>VLOOKUP($A997,kurspris!$A$1:$Q$835,11,FALSE)</f>
        <v>0</v>
      </c>
      <c r="AM997" s="31">
        <f>VLOOKUP($A997,kurspris!$A$1:$Q$835,12,FALSE)</f>
        <v>0</v>
      </c>
      <c r="AN997" s="31">
        <f>VLOOKUP($A997,kurspris!$A$1:$Q$835,13,FALSE)</f>
        <v>0</v>
      </c>
      <c r="AO997" s="31">
        <f>VLOOKUP($A997,kurspris!$A$1:$Q$835,14,FALSE)</f>
        <v>0</v>
      </c>
      <c r="AP997" s="39" t="s">
        <v>2204</v>
      </c>
      <c r="AQ997"/>
      <c r="AR997" s="31">
        <f t="shared" si="529"/>
        <v>0</v>
      </c>
      <c r="AS997" s="255">
        <f t="shared" si="530"/>
        <v>0</v>
      </c>
      <c r="AT997" s="31">
        <f t="shared" si="531"/>
        <v>1</v>
      </c>
      <c r="AU997" s="255">
        <f t="shared" si="532"/>
        <v>0.85</v>
      </c>
      <c r="AV997" s="31">
        <f t="shared" si="533"/>
        <v>0</v>
      </c>
      <c r="AW997" s="31">
        <f t="shared" si="534"/>
        <v>0</v>
      </c>
      <c r="AX997" s="31">
        <f t="shared" si="535"/>
        <v>0</v>
      </c>
      <c r="AY997" s="255">
        <f t="shared" si="536"/>
        <v>0</v>
      </c>
      <c r="AZ997" s="232">
        <f t="shared" si="537"/>
        <v>0</v>
      </c>
      <c r="BA997" s="255">
        <f t="shared" si="538"/>
        <v>0</v>
      </c>
      <c r="BB997" s="31">
        <f t="shared" si="539"/>
        <v>0</v>
      </c>
      <c r="BC997" s="255">
        <f t="shared" si="540"/>
        <v>0</v>
      </c>
      <c r="BD997" s="31">
        <f t="shared" si="541"/>
        <v>0</v>
      </c>
      <c r="BE997" s="255">
        <f t="shared" si="542"/>
        <v>0</v>
      </c>
      <c r="BF997" s="31">
        <f t="shared" si="543"/>
        <v>0</v>
      </c>
      <c r="BG997" s="255">
        <f t="shared" si="544"/>
        <v>0</v>
      </c>
      <c r="BH997" s="31">
        <f t="shared" si="545"/>
        <v>0</v>
      </c>
      <c r="BI997" s="255">
        <f t="shared" si="546"/>
        <v>0</v>
      </c>
      <c r="BJ997" s="31">
        <f t="shared" si="547"/>
        <v>0</v>
      </c>
      <c r="BK997" s="31">
        <f t="shared" si="548"/>
        <v>0</v>
      </c>
      <c r="BL997" s="255">
        <f t="shared" si="549"/>
        <v>0</v>
      </c>
      <c r="BM997" s="31">
        <f t="shared" si="550"/>
        <v>0</v>
      </c>
      <c r="BN997" s="255">
        <f t="shared" si="551"/>
        <v>0</v>
      </c>
    </row>
    <row r="998" spans="1:66" x14ac:dyDescent="0.25">
      <c r="A998" t="s">
        <v>2158</v>
      </c>
      <c r="B998" s="186" t="str">
        <f>VLOOKUP(A998,kurspris!$A$1:$B$877,2,FALSE)</f>
        <v>Religionsvetenskap 3, med kandidatuppsats</v>
      </c>
      <c r="C998"/>
      <c r="D998" t="s">
        <v>483</v>
      </c>
      <c r="E998"/>
      <c r="F998" s="59" t="s">
        <v>1930</v>
      </c>
      <c r="G998" t="s">
        <v>1995</v>
      </c>
      <c r="H998" t="s">
        <v>1910</v>
      </c>
      <c r="I998"/>
      <c r="J998" t="s">
        <v>777</v>
      </c>
      <c r="K998"/>
      <c r="L998">
        <v>100</v>
      </c>
      <c r="M998">
        <v>30</v>
      </c>
      <c r="N998"/>
      <c r="O998"/>
      <c r="P998" s="31">
        <v>1</v>
      </c>
      <c r="Q998" s="232">
        <f t="shared" si="524"/>
        <v>0.5</v>
      </c>
      <c r="R998" s="40">
        <v>0.85</v>
      </c>
      <c r="S998" s="334">
        <f t="shared" si="525"/>
        <v>0.42499999999999999</v>
      </c>
      <c r="T998" s="31">
        <f>VLOOKUP(A998,'Ansvar kurs'!$A$1:$C$1010,2,FALSE)</f>
        <v>1630</v>
      </c>
      <c r="U998" s="31" t="str">
        <f>VLOOKUP(T998,Orgenheter!$A$1:$C$165,2,FALSE)</f>
        <v>Inst för ide- o samhällsstudier</v>
      </c>
      <c r="V998" s="31" t="str">
        <f>VLOOKUP(T998,Orgenheter!$A$1:$C$165,3,FALSE)</f>
        <v>Hum</v>
      </c>
      <c r="W998" s="37" t="str">
        <f>VLOOKUP(D998,Program!$A$1:$B$34,2,FALSE)</f>
        <v>Ämneslärarprogrammet - Gy</v>
      </c>
      <c r="X998" s="42">
        <f>VLOOKUP(A998,kurspris!$A$1:$Q$798,15,FALSE)</f>
        <v>18405</v>
      </c>
      <c r="Y998" s="42">
        <f>VLOOKUP(A998,kurspris!$A$1:$Q$798,16,FALSE)</f>
        <v>15773</v>
      </c>
      <c r="Z998" s="42">
        <f t="shared" si="526"/>
        <v>15906.025</v>
      </c>
      <c r="AA998" s="42">
        <f>VLOOKUP(A998,kurspris!$A$1:$Q$798,17,FALSE)</f>
        <v>5800</v>
      </c>
      <c r="AB998" s="42">
        <f t="shared" si="527"/>
        <v>2900</v>
      </c>
      <c r="AC998" s="42">
        <f t="shared" si="528"/>
        <v>18806.025000000001</v>
      </c>
      <c r="AD998" s="31">
        <f>VLOOKUP($A998,kurspris!$A$1:$Q$835,3,FALSE)</f>
        <v>0</v>
      </c>
      <c r="AE998" s="31">
        <f>VLOOKUP($A998,kurspris!$A$1:$Q$835,4,FALSE)</f>
        <v>1</v>
      </c>
      <c r="AF998" s="31">
        <f>VLOOKUP($A998,kurspris!$A$1:$Q$835,5,FALSE)</f>
        <v>0</v>
      </c>
      <c r="AG998" s="31">
        <f>VLOOKUP($A998,kurspris!$A$1:$Q$835,6,FALSE)</f>
        <v>0</v>
      </c>
      <c r="AH998" s="31">
        <f>VLOOKUP($A998,kurspris!$A$1:$Q$835,7,FALSE)</f>
        <v>0</v>
      </c>
      <c r="AI998" s="31">
        <f>VLOOKUP($A998,kurspris!$A$1:$Q$835,8,FALSE)</f>
        <v>0</v>
      </c>
      <c r="AJ998" s="31">
        <f>VLOOKUP($A998,kurspris!$A$1:$Q$835,9,FALSE)</f>
        <v>0</v>
      </c>
      <c r="AK998" s="31">
        <f>VLOOKUP($A998,kurspris!$A$1:$Q$835,10,FALSE)</f>
        <v>0</v>
      </c>
      <c r="AL998" s="31">
        <f>VLOOKUP($A998,kurspris!$A$1:$Q$835,11,FALSE)</f>
        <v>0</v>
      </c>
      <c r="AM998" s="31">
        <f>VLOOKUP($A998,kurspris!$A$1:$Q$835,12,FALSE)</f>
        <v>0</v>
      </c>
      <c r="AN998" s="31">
        <f>VLOOKUP($A998,kurspris!$A$1:$Q$835,13,FALSE)</f>
        <v>0</v>
      </c>
      <c r="AO998" s="31">
        <f>VLOOKUP($A998,kurspris!$A$1:$Q$835,14,FALSE)</f>
        <v>0</v>
      </c>
      <c r="AP998" s="39" t="s">
        <v>2204</v>
      </c>
      <c r="AQ998"/>
      <c r="AR998" s="31">
        <f t="shared" si="529"/>
        <v>0</v>
      </c>
      <c r="AS998" s="255">
        <f t="shared" si="530"/>
        <v>0</v>
      </c>
      <c r="AT998" s="31">
        <f t="shared" si="531"/>
        <v>0.5</v>
      </c>
      <c r="AU998" s="255">
        <f t="shared" si="532"/>
        <v>0.42499999999999999</v>
      </c>
      <c r="AV998" s="31">
        <f t="shared" si="533"/>
        <v>0</v>
      </c>
      <c r="AW998" s="31">
        <f t="shared" si="534"/>
        <v>0</v>
      </c>
      <c r="AX998" s="31">
        <f t="shared" si="535"/>
        <v>0</v>
      </c>
      <c r="AY998" s="255">
        <f t="shared" si="536"/>
        <v>0</v>
      </c>
      <c r="AZ998" s="232">
        <f t="shared" si="537"/>
        <v>0</v>
      </c>
      <c r="BA998" s="255">
        <f t="shared" si="538"/>
        <v>0</v>
      </c>
      <c r="BB998" s="31">
        <f t="shared" si="539"/>
        <v>0</v>
      </c>
      <c r="BC998" s="255">
        <f t="shared" si="540"/>
        <v>0</v>
      </c>
      <c r="BD998" s="31">
        <f t="shared" si="541"/>
        <v>0</v>
      </c>
      <c r="BE998" s="255">
        <f t="shared" si="542"/>
        <v>0</v>
      </c>
      <c r="BF998" s="31">
        <f t="shared" si="543"/>
        <v>0</v>
      </c>
      <c r="BG998" s="255">
        <f t="shared" si="544"/>
        <v>0</v>
      </c>
      <c r="BH998" s="31">
        <f t="shared" si="545"/>
        <v>0</v>
      </c>
      <c r="BI998" s="255">
        <f t="shared" si="546"/>
        <v>0</v>
      </c>
      <c r="BJ998" s="31">
        <f t="shared" si="547"/>
        <v>0</v>
      </c>
      <c r="BK998" s="31">
        <f t="shared" si="548"/>
        <v>0</v>
      </c>
      <c r="BL998" s="255">
        <f t="shared" si="549"/>
        <v>0</v>
      </c>
      <c r="BM998" s="31">
        <f t="shared" si="550"/>
        <v>0</v>
      </c>
      <c r="BN998" s="255">
        <f t="shared" si="551"/>
        <v>0</v>
      </c>
    </row>
    <row r="999" spans="1:66" x14ac:dyDescent="0.25">
      <c r="A999" t="s">
        <v>2158</v>
      </c>
      <c r="B999" s="186" t="str">
        <f>VLOOKUP(A999,kurspris!$A$1:$B$877,2,FALSE)</f>
        <v>Religionsvetenskap 3, med kandidatuppsats</v>
      </c>
      <c r="C999"/>
      <c r="D999" t="s">
        <v>483</v>
      </c>
      <c r="E999"/>
      <c r="F999" s="59" t="s">
        <v>1930</v>
      </c>
      <c r="G999" t="s">
        <v>1995</v>
      </c>
      <c r="H999" t="s">
        <v>1910</v>
      </c>
      <c r="I999"/>
      <c r="J999" t="s">
        <v>778</v>
      </c>
      <c r="K999"/>
      <c r="L999">
        <v>100</v>
      </c>
      <c r="M999">
        <v>30</v>
      </c>
      <c r="N999"/>
      <c r="O999"/>
      <c r="P999" s="31">
        <v>1</v>
      </c>
      <c r="Q999" s="232">
        <f t="shared" si="524"/>
        <v>0.5</v>
      </c>
      <c r="R999" s="40">
        <v>0.85</v>
      </c>
      <c r="S999" s="334">
        <f t="shared" si="525"/>
        <v>0.42499999999999999</v>
      </c>
      <c r="T999" s="31">
        <f>VLOOKUP(A999,'Ansvar kurs'!$A$1:$C$1010,2,FALSE)</f>
        <v>1630</v>
      </c>
      <c r="U999" s="31" t="str">
        <f>VLOOKUP(T999,Orgenheter!$A$1:$C$165,2,FALSE)</f>
        <v>Inst för ide- o samhällsstudier</v>
      </c>
      <c r="V999" s="31" t="str">
        <f>VLOOKUP(T999,Orgenheter!$A$1:$C$165,3,FALSE)</f>
        <v>Hum</v>
      </c>
      <c r="W999" s="37" t="str">
        <f>VLOOKUP(D999,Program!$A$1:$B$34,2,FALSE)</f>
        <v>Ämneslärarprogrammet - Gy</v>
      </c>
      <c r="X999" s="42">
        <f>VLOOKUP(A999,kurspris!$A$1:$Q$798,15,FALSE)</f>
        <v>18405</v>
      </c>
      <c r="Y999" s="42">
        <f>VLOOKUP(A999,kurspris!$A$1:$Q$798,16,FALSE)</f>
        <v>15773</v>
      </c>
      <c r="Z999" s="42">
        <f t="shared" si="526"/>
        <v>15906.025</v>
      </c>
      <c r="AA999" s="42">
        <f>VLOOKUP(A999,kurspris!$A$1:$Q$798,17,FALSE)</f>
        <v>5800</v>
      </c>
      <c r="AB999" s="42">
        <f t="shared" si="527"/>
        <v>2900</v>
      </c>
      <c r="AC999" s="42">
        <f t="shared" si="528"/>
        <v>18806.025000000001</v>
      </c>
      <c r="AD999" s="31">
        <f>VLOOKUP($A999,kurspris!$A$1:$Q$835,3,FALSE)</f>
        <v>0</v>
      </c>
      <c r="AE999" s="31">
        <f>VLOOKUP($A999,kurspris!$A$1:$Q$835,4,FALSE)</f>
        <v>1</v>
      </c>
      <c r="AF999" s="31">
        <f>VLOOKUP($A999,kurspris!$A$1:$Q$835,5,FALSE)</f>
        <v>0</v>
      </c>
      <c r="AG999" s="31">
        <f>VLOOKUP($A999,kurspris!$A$1:$Q$835,6,FALSE)</f>
        <v>0</v>
      </c>
      <c r="AH999" s="31">
        <f>VLOOKUP($A999,kurspris!$A$1:$Q$835,7,FALSE)</f>
        <v>0</v>
      </c>
      <c r="AI999" s="31">
        <f>VLOOKUP($A999,kurspris!$A$1:$Q$835,8,FALSE)</f>
        <v>0</v>
      </c>
      <c r="AJ999" s="31">
        <f>VLOOKUP($A999,kurspris!$A$1:$Q$835,9,FALSE)</f>
        <v>0</v>
      </c>
      <c r="AK999" s="31">
        <f>VLOOKUP($A999,kurspris!$A$1:$Q$835,10,FALSE)</f>
        <v>0</v>
      </c>
      <c r="AL999" s="31">
        <f>VLOOKUP($A999,kurspris!$A$1:$Q$835,11,FALSE)</f>
        <v>0</v>
      </c>
      <c r="AM999" s="31">
        <f>VLOOKUP($A999,kurspris!$A$1:$Q$835,12,FALSE)</f>
        <v>0</v>
      </c>
      <c r="AN999" s="31">
        <f>VLOOKUP($A999,kurspris!$A$1:$Q$835,13,FALSE)</f>
        <v>0</v>
      </c>
      <c r="AO999" s="31">
        <f>VLOOKUP($A999,kurspris!$A$1:$Q$835,14,FALSE)</f>
        <v>0</v>
      </c>
      <c r="AP999" s="39" t="s">
        <v>2204</v>
      </c>
      <c r="AQ999"/>
      <c r="AR999" s="31">
        <f t="shared" si="529"/>
        <v>0</v>
      </c>
      <c r="AS999" s="255">
        <f t="shared" si="530"/>
        <v>0</v>
      </c>
      <c r="AT999" s="31">
        <f t="shared" si="531"/>
        <v>0.5</v>
      </c>
      <c r="AU999" s="255">
        <f t="shared" si="532"/>
        <v>0.42499999999999999</v>
      </c>
      <c r="AV999" s="31">
        <f t="shared" si="533"/>
        <v>0</v>
      </c>
      <c r="AW999" s="31">
        <f t="shared" si="534"/>
        <v>0</v>
      </c>
      <c r="AX999" s="31">
        <f t="shared" si="535"/>
        <v>0</v>
      </c>
      <c r="AY999" s="255">
        <f t="shared" si="536"/>
        <v>0</v>
      </c>
      <c r="AZ999" s="232">
        <f t="shared" si="537"/>
        <v>0</v>
      </c>
      <c r="BA999" s="255">
        <f t="shared" si="538"/>
        <v>0</v>
      </c>
      <c r="BB999" s="31">
        <f t="shared" si="539"/>
        <v>0</v>
      </c>
      <c r="BC999" s="255">
        <f t="shared" si="540"/>
        <v>0</v>
      </c>
      <c r="BD999" s="31">
        <f t="shared" si="541"/>
        <v>0</v>
      </c>
      <c r="BE999" s="255">
        <f t="shared" si="542"/>
        <v>0</v>
      </c>
      <c r="BF999" s="31">
        <f t="shared" si="543"/>
        <v>0</v>
      </c>
      <c r="BG999" s="255">
        <f t="shared" si="544"/>
        <v>0</v>
      </c>
      <c r="BH999" s="31">
        <f t="shared" si="545"/>
        <v>0</v>
      </c>
      <c r="BI999" s="255">
        <f t="shared" si="546"/>
        <v>0</v>
      </c>
      <c r="BJ999" s="31">
        <f t="shared" si="547"/>
        <v>0</v>
      </c>
      <c r="BK999" s="31">
        <f t="shared" si="548"/>
        <v>0</v>
      </c>
      <c r="BL999" s="255">
        <f t="shared" si="549"/>
        <v>0</v>
      </c>
      <c r="BM999" s="31">
        <f t="shared" si="550"/>
        <v>0</v>
      </c>
      <c r="BN999" s="255">
        <f t="shared" si="551"/>
        <v>0</v>
      </c>
    </row>
    <row r="1000" spans="1:66" x14ac:dyDescent="0.25">
      <c r="A1000" s="18" t="s">
        <v>886</v>
      </c>
      <c r="B1000" s="186" t="str">
        <f>VLOOKUP(A1000,kurspris!$A$1:$B$877,2,FALSE)</f>
        <v>Spanska I för ämneslärare</v>
      </c>
      <c r="C1000" s="37"/>
      <c r="D1000" t="s">
        <v>117</v>
      </c>
      <c r="E1000"/>
      <c r="F1000" s="59" t="s">
        <v>1930</v>
      </c>
      <c r="G1000"/>
      <c r="H1000"/>
      <c r="I1000" t="s">
        <v>1634</v>
      </c>
      <c r="L1000">
        <v>100</v>
      </c>
      <c r="M1000">
        <v>30</v>
      </c>
      <c r="P1000" s="31">
        <v>1</v>
      </c>
      <c r="Q1000" s="232">
        <f t="shared" si="524"/>
        <v>0.5</v>
      </c>
      <c r="R1000" s="40">
        <v>0.8</v>
      </c>
      <c r="S1000" s="334">
        <f t="shared" si="525"/>
        <v>0.4</v>
      </c>
      <c r="T1000" s="31">
        <f>VLOOKUP(A1000,'Ansvar kurs'!$A$1:$C$1010,2,FALSE)</f>
        <v>1620</v>
      </c>
      <c r="U1000" s="31" t="str">
        <f>VLOOKUP(T1000,Orgenheter!$A$1:$C$165,2,FALSE)</f>
        <v>Inst för språkstudier</v>
      </c>
      <c r="V1000" s="31" t="str">
        <f>VLOOKUP(T1000,Orgenheter!$A$1:$C$165,3,FALSE)</f>
        <v>Hum</v>
      </c>
      <c r="W1000" s="37" t="str">
        <f>VLOOKUP(D1000,Program!$A$1:$B$34,2,FALSE)</f>
        <v>Fristående och övriga kurser</v>
      </c>
      <c r="X1000" s="42">
        <f>VLOOKUP(A1000,kurspris!$A$1:$Q$798,15,FALSE)</f>
        <v>18405</v>
      </c>
      <c r="Y1000" s="42">
        <f>VLOOKUP(A1000,kurspris!$A$1:$Q$798,16,FALSE)</f>
        <v>15773</v>
      </c>
      <c r="Z1000" s="42">
        <f t="shared" si="526"/>
        <v>15511.7</v>
      </c>
      <c r="AA1000" s="42">
        <f>VLOOKUP(A1000,kurspris!$A$1:$Q$798,17,FALSE)</f>
        <v>5800</v>
      </c>
      <c r="AB1000" s="42">
        <f t="shared" si="527"/>
        <v>2900</v>
      </c>
      <c r="AC1000" s="42">
        <f t="shared" si="528"/>
        <v>18411.7</v>
      </c>
      <c r="AD1000" s="31">
        <f>VLOOKUP($A1000,kurspris!$A$1:$Q$835,3,FALSE)</f>
        <v>0</v>
      </c>
      <c r="AE1000" s="31">
        <f>VLOOKUP($A1000,kurspris!$A$1:$Q$835,4,FALSE)</f>
        <v>1</v>
      </c>
      <c r="AF1000" s="31">
        <f>VLOOKUP($A1000,kurspris!$A$1:$Q$835,5,FALSE)</f>
        <v>0</v>
      </c>
      <c r="AG1000" s="31">
        <f>VLOOKUP($A1000,kurspris!$A$1:$Q$835,6,FALSE)</f>
        <v>0</v>
      </c>
      <c r="AH1000" s="31">
        <f>VLOOKUP($A1000,kurspris!$A$1:$Q$835,7,FALSE)</f>
        <v>0</v>
      </c>
      <c r="AI1000" s="31">
        <f>VLOOKUP($A1000,kurspris!$A$1:$Q$835,8,FALSE)</f>
        <v>0</v>
      </c>
      <c r="AJ1000" s="31">
        <f>VLOOKUP($A1000,kurspris!$A$1:$Q$835,9,FALSE)</f>
        <v>0</v>
      </c>
      <c r="AK1000" s="31">
        <f>VLOOKUP($A1000,kurspris!$A$1:$Q$835,10,FALSE)</f>
        <v>0</v>
      </c>
      <c r="AL1000" s="31">
        <f>VLOOKUP($A1000,kurspris!$A$1:$Q$835,11,FALSE)</f>
        <v>0</v>
      </c>
      <c r="AM1000" s="31">
        <f>VLOOKUP($A1000,kurspris!$A$1:$Q$835,12,FALSE)</f>
        <v>0</v>
      </c>
      <c r="AN1000" s="31">
        <f>VLOOKUP($A1000,kurspris!$A$1:$Q$835,13,FALSE)</f>
        <v>0</v>
      </c>
      <c r="AO1000" s="31">
        <f>VLOOKUP($A1000,kurspris!$A$1:$Q$835,14,FALSE)</f>
        <v>0</v>
      </c>
      <c r="AP1000" s="39" t="s">
        <v>2095</v>
      </c>
      <c r="AQ1000" s="39" t="s">
        <v>2095</v>
      </c>
      <c r="AR1000" s="31">
        <f t="shared" si="529"/>
        <v>0</v>
      </c>
      <c r="AS1000" s="255">
        <f t="shared" si="530"/>
        <v>0</v>
      </c>
      <c r="AT1000" s="31">
        <f t="shared" si="531"/>
        <v>0.5</v>
      </c>
      <c r="AU1000" s="255">
        <f t="shared" si="532"/>
        <v>0.4</v>
      </c>
      <c r="AV1000" s="31">
        <f t="shared" si="533"/>
        <v>0</v>
      </c>
      <c r="AW1000" s="31">
        <f t="shared" si="534"/>
        <v>0</v>
      </c>
      <c r="AX1000" s="31">
        <f t="shared" si="535"/>
        <v>0</v>
      </c>
      <c r="AY1000" s="255">
        <f t="shared" si="536"/>
        <v>0</v>
      </c>
      <c r="AZ1000" s="232">
        <f t="shared" si="537"/>
        <v>0</v>
      </c>
      <c r="BA1000" s="255">
        <f t="shared" si="538"/>
        <v>0</v>
      </c>
      <c r="BB1000" s="31">
        <f t="shared" si="539"/>
        <v>0</v>
      </c>
      <c r="BC1000" s="255">
        <f t="shared" si="540"/>
        <v>0</v>
      </c>
      <c r="BD1000" s="31">
        <f t="shared" si="541"/>
        <v>0</v>
      </c>
      <c r="BE1000" s="255">
        <f t="shared" si="542"/>
        <v>0</v>
      </c>
      <c r="BF1000" s="31">
        <f t="shared" si="543"/>
        <v>0</v>
      </c>
      <c r="BG1000" s="255">
        <f t="shared" si="544"/>
        <v>0</v>
      </c>
      <c r="BH1000" s="31">
        <f t="shared" si="545"/>
        <v>0</v>
      </c>
      <c r="BI1000" s="255">
        <f t="shared" si="546"/>
        <v>0</v>
      </c>
      <c r="BJ1000" s="31">
        <f t="shared" si="547"/>
        <v>0</v>
      </c>
      <c r="BK1000" s="31">
        <f t="shared" si="548"/>
        <v>0</v>
      </c>
      <c r="BL1000" s="255">
        <f t="shared" si="549"/>
        <v>0</v>
      </c>
      <c r="BM1000" s="31">
        <f t="shared" si="550"/>
        <v>0</v>
      </c>
      <c r="BN1000" s="255">
        <f t="shared" si="551"/>
        <v>0</v>
      </c>
    </row>
    <row r="1001" spans="1:66" x14ac:dyDescent="0.25">
      <c r="A1001" t="s">
        <v>886</v>
      </c>
      <c r="B1001" s="186" t="str">
        <f>VLOOKUP(A1001,kurspris!$A$1:$B$877,2,FALSE)</f>
        <v>Spanska I för ämneslärare</v>
      </c>
      <c r="C1001"/>
      <c r="D1001" t="s">
        <v>483</v>
      </c>
      <c r="E1001" t="s">
        <v>1976</v>
      </c>
      <c r="F1001" s="59" t="s">
        <v>1930</v>
      </c>
      <c r="G1001" t="s">
        <v>1995</v>
      </c>
      <c r="H1001" t="s">
        <v>1910</v>
      </c>
      <c r="I1001"/>
      <c r="J1001" t="s">
        <v>771</v>
      </c>
      <c r="K1001"/>
      <c r="L1001">
        <v>100</v>
      </c>
      <c r="M1001">
        <v>30</v>
      </c>
      <c r="N1001"/>
      <c r="O1001"/>
      <c r="P1001" s="31">
        <v>1</v>
      </c>
      <c r="Q1001" s="232">
        <f t="shared" si="524"/>
        <v>0.5</v>
      </c>
      <c r="R1001" s="40">
        <v>0.85</v>
      </c>
      <c r="S1001" s="334">
        <f t="shared" si="525"/>
        <v>0.42499999999999999</v>
      </c>
      <c r="T1001" s="31">
        <f>VLOOKUP(A1001,'Ansvar kurs'!$A$1:$C$1010,2,FALSE)</f>
        <v>1620</v>
      </c>
      <c r="U1001" s="31" t="str">
        <f>VLOOKUP(T1001,Orgenheter!$A$1:$C$165,2,FALSE)</f>
        <v>Inst för språkstudier</v>
      </c>
      <c r="V1001" s="31" t="str">
        <f>VLOOKUP(T1001,Orgenheter!$A$1:$C$165,3,FALSE)</f>
        <v>Hum</v>
      </c>
      <c r="W1001" s="37" t="str">
        <f>VLOOKUP(D1001,Program!$A$1:$B$34,2,FALSE)</f>
        <v>Ämneslärarprogrammet - Gy</v>
      </c>
      <c r="X1001" s="42">
        <f>VLOOKUP(A1001,kurspris!$A$1:$Q$798,15,FALSE)</f>
        <v>18405</v>
      </c>
      <c r="Y1001" s="42">
        <f>VLOOKUP(A1001,kurspris!$A$1:$Q$798,16,FALSE)</f>
        <v>15773</v>
      </c>
      <c r="Z1001" s="42">
        <f t="shared" si="526"/>
        <v>15906.025</v>
      </c>
      <c r="AA1001" s="42">
        <f>VLOOKUP(A1001,kurspris!$A$1:$Q$798,17,FALSE)</f>
        <v>5800</v>
      </c>
      <c r="AB1001" s="42">
        <f t="shared" si="527"/>
        <v>2900</v>
      </c>
      <c r="AC1001" s="42">
        <f t="shared" si="528"/>
        <v>18806.025000000001</v>
      </c>
      <c r="AD1001" s="31">
        <f>VLOOKUP($A1001,kurspris!$A$1:$Q$835,3,FALSE)</f>
        <v>0</v>
      </c>
      <c r="AE1001" s="31">
        <f>VLOOKUP($A1001,kurspris!$A$1:$Q$835,4,FALSE)</f>
        <v>1</v>
      </c>
      <c r="AF1001" s="31">
        <f>VLOOKUP($A1001,kurspris!$A$1:$Q$835,5,FALSE)</f>
        <v>0</v>
      </c>
      <c r="AG1001" s="31">
        <f>VLOOKUP($A1001,kurspris!$A$1:$Q$835,6,FALSE)</f>
        <v>0</v>
      </c>
      <c r="AH1001" s="31">
        <f>VLOOKUP($A1001,kurspris!$A$1:$Q$835,7,FALSE)</f>
        <v>0</v>
      </c>
      <c r="AI1001" s="31">
        <f>VLOOKUP($A1001,kurspris!$A$1:$Q$835,8,FALSE)</f>
        <v>0</v>
      </c>
      <c r="AJ1001" s="31">
        <f>VLOOKUP($A1001,kurspris!$A$1:$Q$835,9,FALSE)</f>
        <v>0</v>
      </c>
      <c r="AK1001" s="31">
        <f>VLOOKUP($A1001,kurspris!$A$1:$Q$835,10,FALSE)</f>
        <v>0</v>
      </c>
      <c r="AL1001" s="31">
        <f>VLOOKUP($A1001,kurspris!$A$1:$Q$835,11,FALSE)</f>
        <v>0</v>
      </c>
      <c r="AM1001" s="31">
        <f>VLOOKUP($A1001,kurspris!$A$1:$Q$835,12,FALSE)</f>
        <v>0</v>
      </c>
      <c r="AN1001" s="31">
        <f>VLOOKUP($A1001,kurspris!$A$1:$Q$835,13,FALSE)</f>
        <v>0</v>
      </c>
      <c r="AO1001" s="31">
        <f>VLOOKUP($A1001,kurspris!$A$1:$Q$835,14,FALSE)</f>
        <v>0</v>
      </c>
      <c r="AP1001" s="39" t="s">
        <v>2204</v>
      </c>
      <c r="AQ1001"/>
      <c r="AR1001" s="31">
        <f t="shared" si="529"/>
        <v>0</v>
      </c>
      <c r="AS1001" s="255">
        <f t="shared" si="530"/>
        <v>0</v>
      </c>
      <c r="AT1001" s="31">
        <f t="shared" si="531"/>
        <v>0.5</v>
      </c>
      <c r="AU1001" s="255">
        <f t="shared" si="532"/>
        <v>0.42499999999999999</v>
      </c>
      <c r="AV1001" s="31">
        <f t="shared" si="533"/>
        <v>0</v>
      </c>
      <c r="AW1001" s="31">
        <f t="shared" si="534"/>
        <v>0</v>
      </c>
      <c r="AX1001" s="31">
        <f t="shared" si="535"/>
        <v>0</v>
      </c>
      <c r="AY1001" s="255">
        <f t="shared" si="536"/>
        <v>0</v>
      </c>
      <c r="AZ1001" s="232">
        <f t="shared" si="537"/>
        <v>0</v>
      </c>
      <c r="BA1001" s="255">
        <f t="shared" si="538"/>
        <v>0</v>
      </c>
      <c r="BB1001" s="31">
        <f t="shared" si="539"/>
        <v>0</v>
      </c>
      <c r="BC1001" s="255">
        <f t="shared" si="540"/>
        <v>0</v>
      </c>
      <c r="BD1001" s="31">
        <f t="shared" si="541"/>
        <v>0</v>
      </c>
      <c r="BE1001" s="255">
        <f t="shared" si="542"/>
        <v>0</v>
      </c>
      <c r="BF1001" s="31">
        <f t="shared" si="543"/>
        <v>0</v>
      </c>
      <c r="BG1001" s="255">
        <f t="shared" si="544"/>
        <v>0</v>
      </c>
      <c r="BH1001" s="31">
        <f t="shared" si="545"/>
        <v>0</v>
      </c>
      <c r="BI1001" s="255">
        <f t="shared" si="546"/>
        <v>0</v>
      </c>
      <c r="BJ1001" s="31">
        <f t="shared" si="547"/>
        <v>0</v>
      </c>
      <c r="BK1001" s="31">
        <f t="shared" si="548"/>
        <v>0</v>
      </c>
      <c r="BL1001" s="255">
        <f t="shared" si="549"/>
        <v>0</v>
      </c>
      <c r="BM1001" s="31">
        <f t="shared" si="550"/>
        <v>0</v>
      </c>
      <c r="BN1001" s="255">
        <f t="shared" si="551"/>
        <v>0</v>
      </c>
    </row>
    <row r="1002" spans="1:66" x14ac:dyDescent="0.25">
      <c r="A1002" t="s">
        <v>886</v>
      </c>
      <c r="B1002" s="186" t="str">
        <f>VLOOKUP(A1002,kurspris!$A$1:$B$877,2,FALSE)</f>
        <v>Spanska I för ämneslärare</v>
      </c>
      <c r="C1002"/>
      <c r="D1002" t="s">
        <v>483</v>
      </c>
      <c r="E1002" t="s">
        <v>1976</v>
      </c>
      <c r="F1002" s="59" t="s">
        <v>1930</v>
      </c>
      <c r="G1002" t="s">
        <v>1995</v>
      </c>
      <c r="H1002" t="s">
        <v>1910</v>
      </c>
      <c r="I1002"/>
      <c r="J1002" t="s">
        <v>778</v>
      </c>
      <c r="K1002"/>
      <c r="L1002">
        <v>100</v>
      </c>
      <c r="M1002">
        <v>30</v>
      </c>
      <c r="N1002"/>
      <c r="O1002"/>
      <c r="P1002" s="31">
        <v>1</v>
      </c>
      <c r="Q1002" s="232">
        <f t="shared" si="524"/>
        <v>0.5</v>
      </c>
      <c r="R1002" s="40">
        <v>0.85</v>
      </c>
      <c r="S1002" s="334">
        <f t="shared" si="525"/>
        <v>0.42499999999999999</v>
      </c>
      <c r="T1002" s="31">
        <f>VLOOKUP(A1002,'Ansvar kurs'!$A$1:$C$1010,2,FALSE)</f>
        <v>1620</v>
      </c>
      <c r="U1002" s="31" t="str">
        <f>VLOOKUP(T1002,Orgenheter!$A$1:$C$165,2,FALSE)</f>
        <v>Inst för språkstudier</v>
      </c>
      <c r="V1002" s="31" t="str">
        <f>VLOOKUP(T1002,Orgenheter!$A$1:$C$165,3,FALSE)</f>
        <v>Hum</v>
      </c>
      <c r="W1002" s="37" t="str">
        <f>VLOOKUP(D1002,Program!$A$1:$B$34,2,FALSE)</f>
        <v>Ämneslärarprogrammet - Gy</v>
      </c>
      <c r="X1002" s="42">
        <f>VLOOKUP(A1002,kurspris!$A$1:$Q$798,15,FALSE)</f>
        <v>18405</v>
      </c>
      <c r="Y1002" s="42">
        <f>VLOOKUP(A1002,kurspris!$A$1:$Q$798,16,FALSE)</f>
        <v>15773</v>
      </c>
      <c r="Z1002" s="42">
        <f t="shared" si="526"/>
        <v>15906.025</v>
      </c>
      <c r="AA1002" s="42">
        <f>VLOOKUP(A1002,kurspris!$A$1:$Q$798,17,FALSE)</f>
        <v>5800</v>
      </c>
      <c r="AB1002" s="42">
        <f t="shared" si="527"/>
        <v>2900</v>
      </c>
      <c r="AC1002" s="42">
        <f t="shared" si="528"/>
        <v>18806.025000000001</v>
      </c>
      <c r="AD1002" s="31">
        <f>VLOOKUP($A1002,kurspris!$A$1:$Q$835,3,FALSE)</f>
        <v>0</v>
      </c>
      <c r="AE1002" s="31">
        <f>VLOOKUP($A1002,kurspris!$A$1:$Q$835,4,FALSE)</f>
        <v>1</v>
      </c>
      <c r="AF1002" s="31">
        <f>VLOOKUP($A1002,kurspris!$A$1:$Q$835,5,FALSE)</f>
        <v>0</v>
      </c>
      <c r="AG1002" s="31">
        <f>VLOOKUP($A1002,kurspris!$A$1:$Q$835,6,FALSE)</f>
        <v>0</v>
      </c>
      <c r="AH1002" s="31">
        <f>VLOOKUP($A1002,kurspris!$A$1:$Q$835,7,FALSE)</f>
        <v>0</v>
      </c>
      <c r="AI1002" s="31">
        <f>VLOOKUP($A1002,kurspris!$A$1:$Q$835,8,FALSE)</f>
        <v>0</v>
      </c>
      <c r="AJ1002" s="31">
        <f>VLOOKUP($A1002,kurspris!$A$1:$Q$835,9,FALSE)</f>
        <v>0</v>
      </c>
      <c r="AK1002" s="31">
        <f>VLOOKUP($A1002,kurspris!$A$1:$Q$835,10,FALSE)</f>
        <v>0</v>
      </c>
      <c r="AL1002" s="31">
        <f>VLOOKUP($A1002,kurspris!$A$1:$Q$835,11,FALSE)</f>
        <v>0</v>
      </c>
      <c r="AM1002" s="31">
        <f>VLOOKUP($A1002,kurspris!$A$1:$Q$835,12,FALSE)</f>
        <v>0</v>
      </c>
      <c r="AN1002" s="31">
        <f>VLOOKUP($A1002,kurspris!$A$1:$Q$835,13,FALSE)</f>
        <v>0</v>
      </c>
      <c r="AO1002" s="31">
        <f>VLOOKUP($A1002,kurspris!$A$1:$Q$835,14,FALSE)</f>
        <v>0</v>
      </c>
      <c r="AP1002" s="39" t="s">
        <v>2204</v>
      </c>
      <c r="AQ1002"/>
      <c r="AR1002" s="31">
        <f t="shared" si="529"/>
        <v>0</v>
      </c>
      <c r="AS1002" s="255">
        <f t="shared" si="530"/>
        <v>0</v>
      </c>
      <c r="AT1002" s="31">
        <f t="shared" si="531"/>
        <v>0.5</v>
      </c>
      <c r="AU1002" s="255">
        <f t="shared" si="532"/>
        <v>0.42499999999999999</v>
      </c>
      <c r="AV1002" s="31">
        <f t="shared" si="533"/>
        <v>0</v>
      </c>
      <c r="AW1002" s="31">
        <f t="shared" si="534"/>
        <v>0</v>
      </c>
      <c r="AX1002" s="31">
        <f t="shared" si="535"/>
        <v>0</v>
      </c>
      <c r="AY1002" s="255">
        <f t="shared" si="536"/>
        <v>0</v>
      </c>
      <c r="AZ1002" s="232">
        <f t="shared" si="537"/>
        <v>0</v>
      </c>
      <c r="BA1002" s="255">
        <f t="shared" si="538"/>
        <v>0</v>
      </c>
      <c r="BB1002" s="31">
        <f t="shared" si="539"/>
        <v>0</v>
      </c>
      <c r="BC1002" s="255">
        <f t="shared" si="540"/>
        <v>0</v>
      </c>
      <c r="BD1002" s="31">
        <f t="shared" si="541"/>
        <v>0</v>
      </c>
      <c r="BE1002" s="255">
        <f t="shared" si="542"/>
        <v>0</v>
      </c>
      <c r="BF1002" s="31">
        <f t="shared" si="543"/>
        <v>0</v>
      </c>
      <c r="BG1002" s="255">
        <f t="shared" si="544"/>
        <v>0</v>
      </c>
      <c r="BH1002" s="31">
        <f t="shared" si="545"/>
        <v>0</v>
      </c>
      <c r="BI1002" s="255">
        <f t="shared" si="546"/>
        <v>0</v>
      </c>
      <c r="BJ1002" s="31">
        <f t="shared" si="547"/>
        <v>0</v>
      </c>
      <c r="BK1002" s="31">
        <f t="shared" si="548"/>
        <v>0</v>
      </c>
      <c r="BL1002" s="255">
        <f t="shared" si="549"/>
        <v>0</v>
      </c>
      <c r="BM1002" s="31">
        <f t="shared" si="550"/>
        <v>0</v>
      </c>
      <c r="BN1002" s="255">
        <f t="shared" si="551"/>
        <v>0</v>
      </c>
    </row>
    <row r="1003" spans="1:66" x14ac:dyDescent="0.25">
      <c r="A1003" t="s">
        <v>886</v>
      </c>
      <c r="B1003" s="186" t="str">
        <f>VLOOKUP(A1003,kurspris!$A$1:$B$877,2,FALSE)</f>
        <v>Spanska I för ämneslärare</v>
      </c>
      <c r="C1003"/>
      <c r="D1003" t="s">
        <v>483</v>
      </c>
      <c r="E1003" t="s">
        <v>1788</v>
      </c>
      <c r="F1003" s="59" t="s">
        <v>1930</v>
      </c>
      <c r="G1003" t="s">
        <v>1995</v>
      </c>
      <c r="H1003" t="s">
        <v>1910</v>
      </c>
      <c r="I1003"/>
      <c r="J1003" t="s">
        <v>1803</v>
      </c>
      <c r="K1003"/>
      <c r="L1003">
        <v>100</v>
      </c>
      <c r="M1003">
        <v>30</v>
      </c>
      <c r="N1003"/>
      <c r="O1003"/>
      <c r="P1003" s="31">
        <v>2</v>
      </c>
      <c r="Q1003" s="232">
        <f t="shared" si="524"/>
        <v>1</v>
      </c>
      <c r="R1003" s="40">
        <v>0.85</v>
      </c>
      <c r="S1003" s="334">
        <f t="shared" si="525"/>
        <v>0.85</v>
      </c>
      <c r="T1003" s="31">
        <f>VLOOKUP(A1003,'Ansvar kurs'!$A$1:$C$1010,2,FALSE)</f>
        <v>1620</v>
      </c>
      <c r="U1003" s="31" t="str">
        <f>VLOOKUP(T1003,Orgenheter!$A$1:$C$165,2,FALSE)</f>
        <v>Inst för språkstudier</v>
      </c>
      <c r="V1003" s="31" t="str">
        <f>VLOOKUP(T1003,Orgenheter!$A$1:$C$165,3,FALSE)</f>
        <v>Hum</v>
      </c>
      <c r="W1003" s="37" t="str">
        <f>VLOOKUP(D1003,Program!$A$1:$B$34,2,FALSE)</f>
        <v>Ämneslärarprogrammet - Gy</v>
      </c>
      <c r="X1003" s="42">
        <f>VLOOKUP(A1003,kurspris!$A$1:$Q$798,15,FALSE)</f>
        <v>18405</v>
      </c>
      <c r="Y1003" s="42">
        <f>VLOOKUP(A1003,kurspris!$A$1:$Q$798,16,FALSE)</f>
        <v>15773</v>
      </c>
      <c r="Z1003" s="42">
        <f t="shared" si="526"/>
        <v>31812.05</v>
      </c>
      <c r="AA1003" s="42">
        <f>VLOOKUP(A1003,kurspris!$A$1:$Q$798,17,FALSE)</f>
        <v>5800</v>
      </c>
      <c r="AB1003" s="42">
        <f t="shared" si="527"/>
        <v>5800</v>
      </c>
      <c r="AC1003" s="42">
        <f t="shared" si="528"/>
        <v>37612.050000000003</v>
      </c>
      <c r="AD1003" s="31">
        <f>VLOOKUP($A1003,kurspris!$A$1:$Q$835,3,FALSE)</f>
        <v>0</v>
      </c>
      <c r="AE1003" s="31">
        <f>VLOOKUP($A1003,kurspris!$A$1:$Q$835,4,FALSE)</f>
        <v>1</v>
      </c>
      <c r="AF1003" s="31">
        <f>VLOOKUP($A1003,kurspris!$A$1:$Q$835,5,FALSE)</f>
        <v>0</v>
      </c>
      <c r="AG1003" s="31">
        <f>VLOOKUP($A1003,kurspris!$A$1:$Q$835,6,FALSE)</f>
        <v>0</v>
      </c>
      <c r="AH1003" s="31">
        <f>VLOOKUP($A1003,kurspris!$A$1:$Q$835,7,FALSE)</f>
        <v>0</v>
      </c>
      <c r="AI1003" s="31">
        <f>VLOOKUP($A1003,kurspris!$A$1:$Q$835,8,FALSE)</f>
        <v>0</v>
      </c>
      <c r="AJ1003" s="31">
        <f>VLOOKUP($A1003,kurspris!$A$1:$Q$835,9,FALSE)</f>
        <v>0</v>
      </c>
      <c r="AK1003" s="31">
        <f>VLOOKUP($A1003,kurspris!$A$1:$Q$835,10,FALSE)</f>
        <v>0</v>
      </c>
      <c r="AL1003" s="31">
        <f>VLOOKUP($A1003,kurspris!$A$1:$Q$835,11,FALSE)</f>
        <v>0</v>
      </c>
      <c r="AM1003" s="31">
        <f>VLOOKUP($A1003,kurspris!$A$1:$Q$835,12,FALSE)</f>
        <v>0</v>
      </c>
      <c r="AN1003" s="31">
        <f>VLOOKUP($A1003,kurspris!$A$1:$Q$835,13,FALSE)</f>
        <v>0</v>
      </c>
      <c r="AO1003" s="31">
        <f>VLOOKUP($A1003,kurspris!$A$1:$Q$835,14,FALSE)</f>
        <v>0</v>
      </c>
      <c r="AP1003" s="39" t="s">
        <v>2204</v>
      </c>
      <c r="AQ1003"/>
      <c r="AR1003" s="31">
        <f t="shared" si="529"/>
        <v>0</v>
      </c>
      <c r="AS1003" s="255">
        <f t="shared" si="530"/>
        <v>0</v>
      </c>
      <c r="AT1003" s="31">
        <f t="shared" si="531"/>
        <v>1</v>
      </c>
      <c r="AU1003" s="255">
        <f t="shared" si="532"/>
        <v>0.85</v>
      </c>
      <c r="AV1003" s="31">
        <f t="shared" si="533"/>
        <v>0</v>
      </c>
      <c r="AW1003" s="31">
        <f t="shared" si="534"/>
        <v>0</v>
      </c>
      <c r="AX1003" s="31">
        <f t="shared" si="535"/>
        <v>0</v>
      </c>
      <c r="AY1003" s="255">
        <f t="shared" si="536"/>
        <v>0</v>
      </c>
      <c r="AZ1003" s="232">
        <f t="shared" si="537"/>
        <v>0</v>
      </c>
      <c r="BA1003" s="255">
        <f t="shared" si="538"/>
        <v>0</v>
      </c>
      <c r="BB1003" s="31">
        <f t="shared" si="539"/>
        <v>0</v>
      </c>
      <c r="BC1003" s="255">
        <f t="shared" si="540"/>
        <v>0</v>
      </c>
      <c r="BD1003" s="31">
        <f t="shared" si="541"/>
        <v>0</v>
      </c>
      <c r="BE1003" s="255">
        <f t="shared" si="542"/>
        <v>0</v>
      </c>
      <c r="BF1003" s="31">
        <f t="shared" si="543"/>
        <v>0</v>
      </c>
      <c r="BG1003" s="255">
        <f t="shared" si="544"/>
        <v>0</v>
      </c>
      <c r="BH1003" s="31">
        <f t="shared" si="545"/>
        <v>0</v>
      </c>
      <c r="BI1003" s="255">
        <f t="shared" si="546"/>
        <v>0</v>
      </c>
      <c r="BJ1003" s="31">
        <f t="shared" si="547"/>
        <v>0</v>
      </c>
      <c r="BK1003" s="31">
        <f t="shared" si="548"/>
        <v>0</v>
      </c>
      <c r="BL1003" s="255">
        <f t="shared" si="549"/>
        <v>0</v>
      </c>
      <c r="BM1003" s="31">
        <f t="shared" si="550"/>
        <v>0</v>
      </c>
      <c r="BN1003" s="255">
        <f t="shared" si="551"/>
        <v>0</v>
      </c>
    </row>
    <row r="1004" spans="1:66" x14ac:dyDescent="0.25">
      <c r="A1004" s="18" t="s">
        <v>1750</v>
      </c>
      <c r="B1004" s="186" t="str">
        <f>VLOOKUP(A1004,kurspris!$A$1:$B$877,2,FALSE)</f>
        <v>Spanska för ämneslärare, kurs III</v>
      </c>
      <c r="C1004" s="37"/>
      <c r="D1004" t="s">
        <v>117</v>
      </c>
      <c r="E1004"/>
      <c r="F1004" s="59" t="s">
        <v>1930</v>
      </c>
      <c r="G1004"/>
      <c r="H1004"/>
      <c r="I1004" t="s">
        <v>1634</v>
      </c>
      <c r="L1004">
        <v>100</v>
      </c>
      <c r="M1004">
        <v>30</v>
      </c>
      <c r="P1004" s="31">
        <v>0</v>
      </c>
      <c r="Q1004" s="232">
        <f t="shared" si="524"/>
        <v>0</v>
      </c>
      <c r="R1004" s="40">
        <v>0.8</v>
      </c>
      <c r="S1004" s="334">
        <f t="shared" si="525"/>
        <v>0</v>
      </c>
      <c r="T1004" s="31">
        <f>VLOOKUP(A1004,'Ansvar kurs'!$A$1:$C$1010,2,FALSE)</f>
        <v>1620</v>
      </c>
      <c r="U1004" s="31" t="str">
        <f>VLOOKUP(T1004,Orgenheter!$A$1:$C$165,2,FALSE)</f>
        <v>Inst för språkstudier</v>
      </c>
      <c r="V1004" s="31" t="str">
        <f>VLOOKUP(T1004,Orgenheter!$A$1:$C$165,3,FALSE)</f>
        <v>Hum</v>
      </c>
      <c r="W1004" s="37" t="str">
        <f>VLOOKUP(D1004,Program!$A$1:$B$34,2,FALSE)</f>
        <v>Fristående och övriga kurser</v>
      </c>
      <c r="X1004" s="42">
        <f>VLOOKUP(A1004,kurspris!$A$1:$Q$798,15,FALSE)</f>
        <v>18405</v>
      </c>
      <c r="Y1004" s="42">
        <f>VLOOKUP(A1004,kurspris!$A$1:$Q$798,16,FALSE)</f>
        <v>15773</v>
      </c>
      <c r="Z1004" s="42">
        <f t="shared" si="526"/>
        <v>0</v>
      </c>
      <c r="AA1004" s="42">
        <f>VLOOKUP(A1004,kurspris!$A$1:$Q$798,17,FALSE)</f>
        <v>5800</v>
      </c>
      <c r="AB1004" s="42">
        <f t="shared" si="527"/>
        <v>0</v>
      </c>
      <c r="AC1004" s="42">
        <f t="shared" si="528"/>
        <v>0</v>
      </c>
      <c r="AD1004" s="31">
        <f>VLOOKUP($A1004,kurspris!$A$1:$Q$835,3,FALSE)</f>
        <v>0</v>
      </c>
      <c r="AE1004" s="31">
        <f>VLOOKUP($A1004,kurspris!$A$1:$Q$835,4,FALSE)</f>
        <v>1</v>
      </c>
      <c r="AF1004" s="31">
        <f>VLOOKUP($A1004,kurspris!$A$1:$Q$835,5,FALSE)</f>
        <v>0</v>
      </c>
      <c r="AG1004" s="31">
        <f>VLOOKUP($A1004,kurspris!$A$1:$Q$835,6,FALSE)</f>
        <v>0</v>
      </c>
      <c r="AH1004" s="31">
        <f>VLOOKUP($A1004,kurspris!$A$1:$Q$835,7,FALSE)</f>
        <v>0</v>
      </c>
      <c r="AI1004" s="31">
        <f>VLOOKUP($A1004,kurspris!$A$1:$Q$835,8,FALSE)</f>
        <v>0</v>
      </c>
      <c r="AJ1004" s="31">
        <f>VLOOKUP($A1004,kurspris!$A$1:$Q$835,9,FALSE)</f>
        <v>0</v>
      </c>
      <c r="AK1004" s="31">
        <f>VLOOKUP($A1004,kurspris!$A$1:$Q$835,10,FALSE)</f>
        <v>0</v>
      </c>
      <c r="AL1004" s="31">
        <f>VLOOKUP($A1004,kurspris!$A$1:$Q$835,11,FALSE)</f>
        <v>0</v>
      </c>
      <c r="AM1004" s="31">
        <f>VLOOKUP($A1004,kurspris!$A$1:$Q$835,12,FALSE)</f>
        <v>0</v>
      </c>
      <c r="AN1004" s="31">
        <f>VLOOKUP($A1004,kurspris!$A$1:$Q$835,13,FALSE)</f>
        <v>0</v>
      </c>
      <c r="AO1004" s="31">
        <f>VLOOKUP($A1004,kurspris!$A$1:$Q$835,14,FALSE)</f>
        <v>0</v>
      </c>
      <c r="AP1004" s="39" t="s">
        <v>2095</v>
      </c>
      <c r="AQ1004"/>
      <c r="AR1004" s="31">
        <f t="shared" si="529"/>
        <v>0</v>
      </c>
      <c r="AS1004" s="255">
        <f t="shared" si="530"/>
        <v>0</v>
      </c>
      <c r="AT1004" s="31">
        <f t="shared" si="531"/>
        <v>0</v>
      </c>
      <c r="AU1004" s="255">
        <f t="shared" si="532"/>
        <v>0</v>
      </c>
      <c r="AV1004" s="31">
        <f t="shared" si="533"/>
        <v>0</v>
      </c>
      <c r="AW1004" s="31">
        <f t="shared" si="534"/>
        <v>0</v>
      </c>
      <c r="AX1004" s="31">
        <f t="shared" si="535"/>
        <v>0</v>
      </c>
      <c r="AY1004" s="255">
        <f t="shared" si="536"/>
        <v>0</v>
      </c>
      <c r="AZ1004" s="232">
        <f t="shared" si="537"/>
        <v>0</v>
      </c>
      <c r="BA1004" s="255">
        <f t="shared" si="538"/>
        <v>0</v>
      </c>
      <c r="BB1004" s="31">
        <f t="shared" si="539"/>
        <v>0</v>
      </c>
      <c r="BC1004" s="255">
        <f t="shared" si="540"/>
        <v>0</v>
      </c>
      <c r="BD1004" s="31">
        <f t="shared" si="541"/>
        <v>0</v>
      </c>
      <c r="BE1004" s="255">
        <f t="shared" si="542"/>
        <v>0</v>
      </c>
      <c r="BF1004" s="31">
        <f t="shared" si="543"/>
        <v>0</v>
      </c>
      <c r="BG1004" s="255">
        <f t="shared" si="544"/>
        <v>0</v>
      </c>
      <c r="BH1004" s="31">
        <f t="shared" si="545"/>
        <v>0</v>
      </c>
      <c r="BI1004" s="255">
        <f t="shared" si="546"/>
        <v>0</v>
      </c>
      <c r="BJ1004" s="31">
        <f t="shared" si="547"/>
        <v>0</v>
      </c>
      <c r="BK1004" s="31">
        <f t="shared" si="548"/>
        <v>0</v>
      </c>
      <c r="BL1004" s="255">
        <f t="shared" si="549"/>
        <v>0</v>
      </c>
      <c r="BM1004" s="31">
        <f t="shared" si="550"/>
        <v>0</v>
      </c>
      <c r="BN1004" s="255">
        <f t="shared" si="551"/>
        <v>0</v>
      </c>
    </row>
    <row r="1005" spans="1:66" x14ac:dyDescent="0.25">
      <c r="A1005" t="s">
        <v>1750</v>
      </c>
      <c r="B1005" s="186" t="str">
        <f>VLOOKUP(A1005,kurspris!$A$1:$B$877,2,FALSE)</f>
        <v>Spanska för ämneslärare, kurs III</v>
      </c>
      <c r="C1005"/>
      <c r="D1005" t="s">
        <v>483</v>
      </c>
      <c r="E1005" t="s">
        <v>1609</v>
      </c>
      <c r="F1005" s="59" t="s">
        <v>1930</v>
      </c>
      <c r="G1005" t="s">
        <v>1995</v>
      </c>
      <c r="H1005" t="s">
        <v>1910</v>
      </c>
      <c r="I1005"/>
      <c r="J1005" t="s">
        <v>1803</v>
      </c>
      <c r="K1005"/>
      <c r="L1005">
        <v>100</v>
      </c>
      <c r="M1005">
        <v>30</v>
      </c>
      <c r="N1005"/>
      <c r="O1005"/>
      <c r="P1005" s="31">
        <v>3</v>
      </c>
      <c r="Q1005" s="232">
        <f t="shared" si="524"/>
        <v>1.5</v>
      </c>
      <c r="R1005" s="40">
        <v>0.85</v>
      </c>
      <c r="S1005" s="334">
        <f t="shared" si="525"/>
        <v>1.2749999999999999</v>
      </c>
      <c r="T1005" s="31">
        <f>VLOOKUP(A1005,'Ansvar kurs'!$A$1:$C$1010,2,FALSE)</f>
        <v>1620</v>
      </c>
      <c r="U1005" s="31" t="str">
        <f>VLOOKUP(T1005,Orgenheter!$A$1:$C$165,2,FALSE)</f>
        <v>Inst för språkstudier</v>
      </c>
      <c r="V1005" s="31" t="str">
        <f>VLOOKUP(T1005,Orgenheter!$A$1:$C$165,3,FALSE)</f>
        <v>Hum</v>
      </c>
      <c r="W1005" s="37" t="str">
        <f>VLOOKUP(D1005,Program!$A$1:$B$34,2,FALSE)</f>
        <v>Ämneslärarprogrammet - Gy</v>
      </c>
      <c r="X1005" s="42">
        <f>VLOOKUP(A1005,kurspris!$A$1:$Q$798,15,FALSE)</f>
        <v>18405</v>
      </c>
      <c r="Y1005" s="42">
        <f>VLOOKUP(A1005,kurspris!$A$1:$Q$798,16,FALSE)</f>
        <v>15773</v>
      </c>
      <c r="Z1005" s="42">
        <f t="shared" si="526"/>
        <v>47718.074999999997</v>
      </c>
      <c r="AA1005" s="42">
        <f>VLOOKUP(A1005,kurspris!$A$1:$Q$798,17,FALSE)</f>
        <v>5800</v>
      </c>
      <c r="AB1005" s="42">
        <f t="shared" si="527"/>
        <v>8700</v>
      </c>
      <c r="AC1005" s="42">
        <f t="shared" si="528"/>
        <v>56418.074999999997</v>
      </c>
      <c r="AD1005" s="31">
        <f>VLOOKUP($A1005,kurspris!$A$1:$Q$835,3,FALSE)</f>
        <v>0</v>
      </c>
      <c r="AE1005" s="31">
        <f>VLOOKUP($A1005,kurspris!$A$1:$Q$835,4,FALSE)</f>
        <v>1</v>
      </c>
      <c r="AF1005" s="31">
        <f>VLOOKUP($A1005,kurspris!$A$1:$Q$835,5,FALSE)</f>
        <v>0</v>
      </c>
      <c r="AG1005" s="31">
        <f>VLOOKUP($A1005,kurspris!$A$1:$Q$835,6,FALSE)</f>
        <v>0</v>
      </c>
      <c r="AH1005" s="31">
        <f>VLOOKUP($A1005,kurspris!$A$1:$Q$835,7,FALSE)</f>
        <v>0</v>
      </c>
      <c r="AI1005" s="31">
        <f>VLOOKUP($A1005,kurspris!$A$1:$Q$835,8,FALSE)</f>
        <v>0</v>
      </c>
      <c r="AJ1005" s="31">
        <f>VLOOKUP($A1005,kurspris!$A$1:$Q$835,9,FALSE)</f>
        <v>0</v>
      </c>
      <c r="AK1005" s="31">
        <f>VLOOKUP($A1005,kurspris!$A$1:$Q$835,10,FALSE)</f>
        <v>0</v>
      </c>
      <c r="AL1005" s="31">
        <f>VLOOKUP($A1005,kurspris!$A$1:$Q$835,11,FALSE)</f>
        <v>0</v>
      </c>
      <c r="AM1005" s="31">
        <f>VLOOKUP($A1005,kurspris!$A$1:$Q$835,12,FALSE)</f>
        <v>0</v>
      </c>
      <c r="AN1005" s="31">
        <f>VLOOKUP($A1005,kurspris!$A$1:$Q$835,13,FALSE)</f>
        <v>0</v>
      </c>
      <c r="AO1005" s="31">
        <f>VLOOKUP($A1005,kurspris!$A$1:$Q$835,14,FALSE)</f>
        <v>0</v>
      </c>
      <c r="AP1005" s="39" t="s">
        <v>2204</v>
      </c>
      <c r="AQ1005"/>
      <c r="AR1005" s="31">
        <f t="shared" si="529"/>
        <v>0</v>
      </c>
      <c r="AS1005" s="255">
        <f t="shared" si="530"/>
        <v>0</v>
      </c>
      <c r="AT1005" s="31">
        <f t="shared" si="531"/>
        <v>1.5</v>
      </c>
      <c r="AU1005" s="255">
        <f t="shared" si="532"/>
        <v>1.2749999999999999</v>
      </c>
      <c r="AV1005" s="31">
        <f t="shared" si="533"/>
        <v>0</v>
      </c>
      <c r="AW1005" s="31">
        <f t="shared" si="534"/>
        <v>0</v>
      </c>
      <c r="AX1005" s="31">
        <f t="shared" si="535"/>
        <v>0</v>
      </c>
      <c r="AY1005" s="255">
        <f t="shared" si="536"/>
        <v>0</v>
      </c>
      <c r="AZ1005" s="232">
        <f t="shared" si="537"/>
        <v>0</v>
      </c>
      <c r="BA1005" s="255">
        <f t="shared" si="538"/>
        <v>0</v>
      </c>
      <c r="BB1005" s="31">
        <f t="shared" si="539"/>
        <v>0</v>
      </c>
      <c r="BC1005" s="255">
        <f t="shared" si="540"/>
        <v>0</v>
      </c>
      <c r="BD1005" s="31">
        <f t="shared" si="541"/>
        <v>0</v>
      </c>
      <c r="BE1005" s="255">
        <f t="shared" si="542"/>
        <v>0</v>
      </c>
      <c r="BF1005" s="31">
        <f t="shared" si="543"/>
        <v>0</v>
      </c>
      <c r="BG1005" s="255">
        <f t="shared" si="544"/>
        <v>0</v>
      </c>
      <c r="BH1005" s="31">
        <f t="shared" si="545"/>
        <v>0</v>
      </c>
      <c r="BI1005" s="255">
        <f t="shared" si="546"/>
        <v>0</v>
      </c>
      <c r="BJ1005" s="31">
        <f t="shared" si="547"/>
        <v>0</v>
      </c>
      <c r="BK1005" s="31">
        <f t="shared" si="548"/>
        <v>0</v>
      </c>
      <c r="BL1005" s="255">
        <f t="shared" si="549"/>
        <v>0</v>
      </c>
      <c r="BM1005" s="31">
        <f t="shared" si="550"/>
        <v>0</v>
      </c>
      <c r="BN1005" s="255">
        <f t="shared" si="551"/>
        <v>0</v>
      </c>
    </row>
    <row r="1006" spans="1:66" x14ac:dyDescent="0.25">
      <c r="A1006" s="18" t="s">
        <v>1751</v>
      </c>
      <c r="B1006" s="186" t="str">
        <f>VLOOKUP(A1006,kurspris!$A$1:$B$877,2,FALSE)</f>
        <v>Spanska för ämneslärare, kurs II</v>
      </c>
      <c r="C1006" s="37"/>
      <c r="D1006" t="s">
        <v>117</v>
      </c>
      <c r="E1006"/>
      <c r="F1006" s="59" t="s">
        <v>1931</v>
      </c>
      <c r="G1006"/>
      <c r="H1006"/>
      <c r="I1006" t="s">
        <v>1634</v>
      </c>
      <c r="L1006">
        <v>100</v>
      </c>
      <c r="M1006">
        <v>30</v>
      </c>
      <c r="P1006">
        <v>2</v>
      </c>
      <c r="Q1006" s="232">
        <f t="shared" si="524"/>
        <v>1</v>
      </c>
      <c r="R1006" s="40">
        <v>0.8</v>
      </c>
      <c r="S1006" s="334">
        <f t="shared" si="525"/>
        <v>0.8</v>
      </c>
      <c r="T1006" s="31">
        <f>VLOOKUP(A1006,'Ansvar kurs'!$A$1:$C$1010,2,FALSE)</f>
        <v>1620</v>
      </c>
      <c r="U1006" s="31" t="str">
        <f>VLOOKUP(T1006,Orgenheter!$A$1:$C$165,2,FALSE)</f>
        <v>Inst för språkstudier</v>
      </c>
      <c r="V1006" s="31" t="str">
        <f>VLOOKUP(T1006,Orgenheter!$A$1:$C$165,3,FALSE)</f>
        <v>Hum</v>
      </c>
      <c r="W1006" s="37" t="str">
        <f>VLOOKUP(D1006,Program!$A$1:$B$34,2,FALSE)</f>
        <v>Fristående och övriga kurser</v>
      </c>
      <c r="X1006" s="42">
        <f>VLOOKUP(A1006,kurspris!$A$1:$Q$798,15,FALSE)</f>
        <v>18405</v>
      </c>
      <c r="Y1006" s="42">
        <f>VLOOKUP(A1006,kurspris!$A$1:$Q$798,16,FALSE)</f>
        <v>15773</v>
      </c>
      <c r="Z1006" s="42">
        <f t="shared" si="526"/>
        <v>31023.4</v>
      </c>
      <c r="AA1006" s="42">
        <f>VLOOKUP(A1006,kurspris!$A$1:$Q$798,17,FALSE)</f>
        <v>5800</v>
      </c>
      <c r="AB1006" s="42">
        <f t="shared" si="527"/>
        <v>5800</v>
      </c>
      <c r="AC1006" s="42">
        <f t="shared" si="528"/>
        <v>36823.4</v>
      </c>
      <c r="AD1006" s="31">
        <f>VLOOKUP($A1006,kurspris!$A$1:$Q$835,3,FALSE)</f>
        <v>0</v>
      </c>
      <c r="AE1006" s="31">
        <f>VLOOKUP($A1006,kurspris!$A$1:$Q$835,4,FALSE)</f>
        <v>1</v>
      </c>
      <c r="AF1006" s="31">
        <f>VLOOKUP($A1006,kurspris!$A$1:$Q$835,5,FALSE)</f>
        <v>0</v>
      </c>
      <c r="AG1006" s="31">
        <f>VLOOKUP($A1006,kurspris!$A$1:$Q$835,6,FALSE)</f>
        <v>0</v>
      </c>
      <c r="AH1006" s="31">
        <f>VLOOKUP($A1006,kurspris!$A$1:$Q$835,7,FALSE)</f>
        <v>0</v>
      </c>
      <c r="AI1006" s="31">
        <f>VLOOKUP($A1006,kurspris!$A$1:$Q$835,8,FALSE)</f>
        <v>0</v>
      </c>
      <c r="AJ1006" s="31">
        <f>VLOOKUP($A1006,kurspris!$A$1:$Q$835,9,FALSE)</f>
        <v>0</v>
      </c>
      <c r="AK1006" s="31">
        <f>VLOOKUP($A1006,kurspris!$A$1:$Q$835,10,FALSE)</f>
        <v>0</v>
      </c>
      <c r="AL1006" s="31">
        <f>VLOOKUP($A1006,kurspris!$A$1:$Q$835,11,FALSE)</f>
        <v>0</v>
      </c>
      <c r="AM1006" s="31">
        <f>VLOOKUP($A1006,kurspris!$A$1:$Q$835,12,FALSE)</f>
        <v>0</v>
      </c>
      <c r="AN1006" s="31">
        <f>VLOOKUP($A1006,kurspris!$A$1:$Q$835,13,FALSE)</f>
        <v>0</v>
      </c>
      <c r="AO1006" s="31">
        <f>VLOOKUP($A1006,kurspris!$A$1:$Q$835,14,FALSE)</f>
        <v>0</v>
      </c>
      <c r="AP1006" s="39" t="s">
        <v>2095</v>
      </c>
      <c r="AQ1006"/>
      <c r="AR1006" s="31">
        <f t="shared" si="529"/>
        <v>0</v>
      </c>
      <c r="AS1006" s="255">
        <f t="shared" si="530"/>
        <v>0</v>
      </c>
      <c r="AT1006" s="31">
        <f t="shared" si="531"/>
        <v>1</v>
      </c>
      <c r="AU1006" s="255">
        <f t="shared" si="532"/>
        <v>0.8</v>
      </c>
      <c r="AV1006" s="31">
        <f t="shared" si="533"/>
        <v>0</v>
      </c>
      <c r="AW1006" s="31">
        <f t="shared" si="534"/>
        <v>0</v>
      </c>
      <c r="AX1006" s="31">
        <f t="shared" si="535"/>
        <v>0</v>
      </c>
      <c r="AY1006" s="255">
        <f t="shared" si="536"/>
        <v>0</v>
      </c>
      <c r="AZ1006" s="232">
        <f t="shared" si="537"/>
        <v>0</v>
      </c>
      <c r="BA1006" s="255">
        <f t="shared" si="538"/>
        <v>0</v>
      </c>
      <c r="BB1006" s="31">
        <f t="shared" si="539"/>
        <v>0</v>
      </c>
      <c r="BC1006" s="255">
        <f t="shared" si="540"/>
        <v>0</v>
      </c>
      <c r="BD1006" s="31">
        <f t="shared" si="541"/>
        <v>0</v>
      </c>
      <c r="BE1006" s="255">
        <f t="shared" si="542"/>
        <v>0</v>
      </c>
      <c r="BF1006" s="31">
        <f t="shared" si="543"/>
        <v>0</v>
      </c>
      <c r="BG1006" s="255">
        <f t="shared" si="544"/>
        <v>0</v>
      </c>
      <c r="BH1006" s="31">
        <f t="shared" si="545"/>
        <v>0</v>
      </c>
      <c r="BI1006" s="255">
        <f t="shared" si="546"/>
        <v>0</v>
      </c>
      <c r="BJ1006" s="31">
        <f t="shared" si="547"/>
        <v>0</v>
      </c>
      <c r="BK1006" s="31">
        <f t="shared" si="548"/>
        <v>0</v>
      </c>
      <c r="BL1006" s="255">
        <f t="shared" si="549"/>
        <v>0</v>
      </c>
      <c r="BM1006" s="31">
        <f t="shared" si="550"/>
        <v>0</v>
      </c>
      <c r="BN1006" s="255">
        <f t="shared" si="551"/>
        <v>0</v>
      </c>
    </row>
    <row r="1007" spans="1:66" x14ac:dyDescent="0.25">
      <c r="A1007" s="18" t="s">
        <v>1898</v>
      </c>
      <c r="B1007" s="186" t="str">
        <f>VLOOKUP(A1007,kurspris!$A$1:$B$877,2,FALSE)</f>
        <v>Att undervisa i Spanska (VFU)</v>
      </c>
      <c r="C1007" s="37"/>
      <c r="D1007" s="31" t="s">
        <v>483</v>
      </c>
      <c r="E1007" s="31" t="s">
        <v>1609</v>
      </c>
      <c r="F1007" s="59" t="s">
        <v>1931</v>
      </c>
      <c r="G1007" s="31" t="s">
        <v>2272</v>
      </c>
      <c r="J1007" t="s">
        <v>1803</v>
      </c>
      <c r="L1007" s="31">
        <v>100</v>
      </c>
      <c r="M1007" s="31">
        <v>6</v>
      </c>
      <c r="P1007" s="31">
        <v>2</v>
      </c>
      <c r="Q1007" s="232">
        <f t="shared" si="524"/>
        <v>0.2</v>
      </c>
      <c r="R1007" s="40">
        <v>0.85</v>
      </c>
      <c r="S1007" s="334">
        <f t="shared" si="525"/>
        <v>0.17</v>
      </c>
      <c r="T1007" s="31">
        <f>VLOOKUP(A1007,'Ansvar kurs'!$A$1:$C$1010,2,FALSE)</f>
        <v>1620</v>
      </c>
      <c r="U1007" s="31" t="str">
        <f>VLOOKUP(T1007,Orgenheter!$A$1:$C$165,2,FALSE)</f>
        <v>Inst för språkstudier</v>
      </c>
      <c r="V1007" s="31" t="str">
        <f>VLOOKUP(T1007,Orgenheter!$A$1:$C$165,3,FALSE)</f>
        <v>Hum</v>
      </c>
      <c r="W1007" s="37" t="str">
        <f>VLOOKUP(D1007,Program!$A$1:$B$34,2,FALSE)</f>
        <v>Ämneslärarprogrammet - Gy</v>
      </c>
      <c r="X1007" s="42">
        <f>VLOOKUP(A1007,kurspris!$A$1:$Q$798,15,FALSE)</f>
        <v>21634</v>
      </c>
      <c r="Y1007" s="42">
        <f>VLOOKUP(A1007,kurspris!$A$1:$Q$798,16,FALSE)</f>
        <v>26986</v>
      </c>
      <c r="Z1007" s="42">
        <f t="shared" si="526"/>
        <v>8914.42</v>
      </c>
      <c r="AA1007" s="42">
        <f>VLOOKUP(A1007,kurspris!$A$1:$Q$798,17,FALSE)</f>
        <v>3400</v>
      </c>
      <c r="AB1007" s="42">
        <f t="shared" si="527"/>
        <v>680</v>
      </c>
      <c r="AC1007" s="42">
        <f t="shared" si="528"/>
        <v>9594.42</v>
      </c>
      <c r="AD1007" s="31">
        <f>VLOOKUP($A1007,kurspris!$A$1:$Q$835,3,FALSE)</f>
        <v>0</v>
      </c>
      <c r="AE1007" s="31">
        <f>VLOOKUP($A1007,kurspris!$A$1:$Q$835,4,FALSE)</f>
        <v>0</v>
      </c>
      <c r="AF1007" s="31">
        <f>VLOOKUP($A1007,kurspris!$A$1:$Q$835,5,FALSE)</f>
        <v>0</v>
      </c>
      <c r="AG1007" s="31">
        <f>VLOOKUP($A1007,kurspris!$A$1:$Q$835,6,FALSE)</f>
        <v>0</v>
      </c>
      <c r="AH1007" s="31">
        <f>VLOOKUP($A1007,kurspris!$A$1:$Q$835,7,FALSE)</f>
        <v>0</v>
      </c>
      <c r="AI1007" s="31">
        <f>VLOOKUP($A1007,kurspris!$A$1:$Q$835,8,FALSE)</f>
        <v>0</v>
      </c>
      <c r="AJ1007" s="31">
        <f>VLOOKUP($A1007,kurspris!$A$1:$Q$835,9,FALSE)</f>
        <v>0</v>
      </c>
      <c r="AK1007" s="31">
        <f>VLOOKUP($A1007,kurspris!$A$1:$Q$835,10,FALSE)</f>
        <v>0</v>
      </c>
      <c r="AL1007" s="31">
        <f>VLOOKUP($A1007,kurspris!$A$1:$Q$835,11,FALSE)</f>
        <v>1</v>
      </c>
      <c r="AM1007" s="31">
        <f>VLOOKUP($A1007,kurspris!$A$1:$Q$835,12,FALSE)</f>
        <v>0</v>
      </c>
      <c r="AN1007" s="31">
        <f>VLOOKUP($A1007,kurspris!$A$1:$Q$835,13,FALSE)</f>
        <v>0</v>
      </c>
      <c r="AO1007" s="31">
        <f>VLOOKUP($A1007,kurspris!$A$1:$Q$835,14,FALSE)</f>
        <v>0</v>
      </c>
      <c r="AP1007" s="39" t="s">
        <v>2326</v>
      </c>
      <c r="AQ1007"/>
      <c r="AR1007" s="31">
        <f t="shared" si="529"/>
        <v>0</v>
      </c>
      <c r="AS1007" s="255">
        <f t="shared" si="530"/>
        <v>0</v>
      </c>
      <c r="AT1007" s="31">
        <f t="shared" si="531"/>
        <v>0</v>
      </c>
      <c r="AU1007" s="255">
        <f t="shared" si="532"/>
        <v>0</v>
      </c>
      <c r="AV1007" s="31">
        <f t="shared" si="533"/>
        <v>0</v>
      </c>
      <c r="AW1007" s="31">
        <f t="shared" si="534"/>
        <v>0</v>
      </c>
      <c r="AX1007" s="31">
        <f t="shared" si="535"/>
        <v>0</v>
      </c>
      <c r="AY1007" s="255">
        <f t="shared" si="536"/>
        <v>0</v>
      </c>
      <c r="AZ1007" s="232">
        <f t="shared" si="537"/>
        <v>0</v>
      </c>
      <c r="BA1007" s="255">
        <f t="shared" si="538"/>
        <v>0</v>
      </c>
      <c r="BB1007" s="31">
        <f t="shared" si="539"/>
        <v>0</v>
      </c>
      <c r="BC1007" s="255">
        <f t="shared" si="540"/>
        <v>0</v>
      </c>
      <c r="BD1007" s="31">
        <f t="shared" si="541"/>
        <v>0</v>
      </c>
      <c r="BE1007" s="255">
        <f t="shared" si="542"/>
        <v>0</v>
      </c>
      <c r="BF1007" s="31">
        <f t="shared" si="543"/>
        <v>0</v>
      </c>
      <c r="BG1007" s="255">
        <f t="shared" si="544"/>
        <v>0</v>
      </c>
      <c r="BH1007" s="31">
        <f t="shared" si="545"/>
        <v>0.2</v>
      </c>
      <c r="BI1007" s="255">
        <f t="shared" si="546"/>
        <v>0.17</v>
      </c>
      <c r="BJ1007" s="31">
        <f t="shared" si="547"/>
        <v>0</v>
      </c>
      <c r="BK1007" s="31">
        <f t="shared" si="548"/>
        <v>0</v>
      </c>
      <c r="BL1007" s="255">
        <f t="shared" si="549"/>
        <v>0</v>
      </c>
      <c r="BM1007" s="31">
        <f t="shared" si="550"/>
        <v>0</v>
      </c>
      <c r="BN1007" s="255">
        <f t="shared" si="551"/>
        <v>0</v>
      </c>
    </row>
    <row r="1008" spans="1:66" x14ac:dyDescent="0.25">
      <c r="A1008" s="18" t="s">
        <v>2239</v>
      </c>
      <c r="B1008" s="186" t="str">
        <f>VLOOKUP(A1008,kurspris!$A$1:$B$877,2,FALSE)</f>
        <v>Spanska för ämneslärare, kurs 2</v>
      </c>
      <c r="C1008" s="37"/>
      <c r="D1008" s="31" t="s">
        <v>483</v>
      </c>
      <c r="E1008" s="31" t="s">
        <v>1976</v>
      </c>
      <c r="F1008" s="59" t="s">
        <v>1931</v>
      </c>
      <c r="G1008" s="31" t="s">
        <v>2276</v>
      </c>
      <c r="J1008" t="s">
        <v>771</v>
      </c>
      <c r="L1008" s="31">
        <v>100</v>
      </c>
      <c r="M1008" s="31">
        <v>30</v>
      </c>
      <c r="P1008" s="31">
        <v>1</v>
      </c>
      <c r="Q1008" s="232">
        <f t="shared" si="524"/>
        <v>0.5</v>
      </c>
      <c r="R1008" s="40">
        <v>0.85</v>
      </c>
      <c r="S1008" s="334">
        <f t="shared" si="525"/>
        <v>0.42499999999999999</v>
      </c>
      <c r="T1008" s="31">
        <f>VLOOKUP(A1008,'Ansvar kurs'!$A$1:$C$1010,2,FALSE)</f>
        <v>1620</v>
      </c>
      <c r="U1008" s="31" t="str">
        <f>VLOOKUP(T1008,Orgenheter!$A$1:$C$165,2,FALSE)</f>
        <v>Inst för språkstudier</v>
      </c>
      <c r="V1008" s="31" t="str">
        <f>VLOOKUP(T1008,Orgenheter!$A$1:$C$165,3,FALSE)</f>
        <v>Hum</v>
      </c>
      <c r="W1008" s="37" t="str">
        <f>VLOOKUP(D1008,Program!$A$1:$B$34,2,FALSE)</f>
        <v>Ämneslärarprogrammet - Gy</v>
      </c>
      <c r="X1008" s="42">
        <f>VLOOKUP(A1008,kurspris!$A$1:$Q$798,15,FALSE)</f>
        <v>18405</v>
      </c>
      <c r="Y1008" s="42">
        <f>VLOOKUP(A1008,kurspris!$A$1:$Q$798,16,FALSE)</f>
        <v>15773</v>
      </c>
      <c r="Z1008" s="42">
        <f t="shared" si="526"/>
        <v>15906.025</v>
      </c>
      <c r="AA1008" s="42">
        <f>VLOOKUP(A1008,kurspris!$A$1:$Q$798,17,FALSE)</f>
        <v>5800</v>
      </c>
      <c r="AB1008" s="42">
        <f t="shared" si="527"/>
        <v>2900</v>
      </c>
      <c r="AC1008" s="42">
        <f t="shared" si="528"/>
        <v>18806.025000000001</v>
      </c>
      <c r="AD1008" s="31">
        <f>VLOOKUP($A1008,kurspris!$A$1:$Q$835,3,FALSE)</f>
        <v>0</v>
      </c>
      <c r="AE1008" s="31">
        <f>VLOOKUP($A1008,kurspris!$A$1:$Q$835,4,FALSE)</f>
        <v>1</v>
      </c>
      <c r="AF1008" s="31">
        <f>VLOOKUP($A1008,kurspris!$A$1:$Q$835,5,FALSE)</f>
        <v>0</v>
      </c>
      <c r="AG1008" s="31">
        <f>VLOOKUP($A1008,kurspris!$A$1:$Q$835,6,FALSE)</f>
        <v>0</v>
      </c>
      <c r="AH1008" s="31">
        <f>VLOOKUP($A1008,kurspris!$A$1:$Q$835,7,FALSE)</f>
        <v>0</v>
      </c>
      <c r="AI1008" s="31">
        <f>VLOOKUP($A1008,kurspris!$A$1:$Q$835,8,FALSE)</f>
        <v>0</v>
      </c>
      <c r="AJ1008" s="31">
        <f>VLOOKUP($A1008,kurspris!$A$1:$Q$835,9,FALSE)</f>
        <v>0</v>
      </c>
      <c r="AK1008" s="31">
        <f>VLOOKUP($A1008,kurspris!$A$1:$Q$835,10,FALSE)</f>
        <v>0</v>
      </c>
      <c r="AL1008" s="31">
        <f>VLOOKUP($A1008,kurspris!$A$1:$Q$835,11,FALSE)</f>
        <v>0</v>
      </c>
      <c r="AM1008" s="31">
        <f>VLOOKUP($A1008,kurspris!$A$1:$Q$835,12,FALSE)</f>
        <v>0</v>
      </c>
      <c r="AN1008" s="31">
        <f>VLOOKUP($A1008,kurspris!$A$1:$Q$835,13,FALSE)</f>
        <v>0</v>
      </c>
      <c r="AO1008" s="31">
        <f>VLOOKUP($A1008,kurspris!$A$1:$Q$835,14,FALSE)</f>
        <v>0</v>
      </c>
      <c r="AP1008" s="39" t="s">
        <v>2326</v>
      </c>
      <c r="AQ1008"/>
      <c r="AR1008" s="31">
        <f t="shared" si="529"/>
        <v>0</v>
      </c>
      <c r="AS1008" s="255">
        <f t="shared" si="530"/>
        <v>0</v>
      </c>
      <c r="AT1008" s="31">
        <f t="shared" si="531"/>
        <v>0.5</v>
      </c>
      <c r="AU1008" s="255">
        <f t="shared" si="532"/>
        <v>0.42499999999999999</v>
      </c>
      <c r="AV1008" s="31">
        <f t="shared" si="533"/>
        <v>0</v>
      </c>
      <c r="AW1008" s="31">
        <f t="shared" si="534"/>
        <v>0</v>
      </c>
      <c r="AX1008" s="31">
        <f t="shared" si="535"/>
        <v>0</v>
      </c>
      <c r="AY1008" s="255">
        <f t="shared" si="536"/>
        <v>0</v>
      </c>
      <c r="AZ1008" s="232">
        <f t="shared" si="537"/>
        <v>0</v>
      </c>
      <c r="BA1008" s="255">
        <f t="shared" si="538"/>
        <v>0</v>
      </c>
      <c r="BB1008" s="31">
        <f t="shared" si="539"/>
        <v>0</v>
      </c>
      <c r="BC1008" s="255">
        <f t="shared" si="540"/>
        <v>0</v>
      </c>
      <c r="BD1008" s="31">
        <f t="shared" si="541"/>
        <v>0</v>
      </c>
      <c r="BE1008" s="255">
        <f t="shared" si="542"/>
        <v>0</v>
      </c>
      <c r="BF1008" s="31">
        <f t="shared" si="543"/>
        <v>0</v>
      </c>
      <c r="BG1008" s="255">
        <f t="shared" si="544"/>
        <v>0</v>
      </c>
      <c r="BH1008" s="31">
        <f t="shared" si="545"/>
        <v>0</v>
      </c>
      <c r="BI1008" s="255">
        <f t="shared" si="546"/>
        <v>0</v>
      </c>
      <c r="BJ1008" s="31">
        <f t="shared" si="547"/>
        <v>0</v>
      </c>
      <c r="BK1008" s="31">
        <f t="shared" si="548"/>
        <v>0</v>
      </c>
      <c r="BL1008" s="255">
        <f t="shared" si="549"/>
        <v>0</v>
      </c>
      <c r="BM1008" s="31">
        <f t="shared" si="550"/>
        <v>0</v>
      </c>
      <c r="BN1008" s="255">
        <f t="shared" si="551"/>
        <v>0</v>
      </c>
    </row>
    <row r="1009" spans="1:66" x14ac:dyDescent="0.25">
      <c r="A1009" s="18" t="s">
        <v>2239</v>
      </c>
      <c r="B1009" s="186" t="str">
        <f>VLOOKUP(A1009,kurspris!$A$1:$B$877,2,FALSE)</f>
        <v>Spanska för ämneslärare, kurs 2</v>
      </c>
      <c r="C1009" s="37"/>
      <c r="D1009" s="31" t="s">
        <v>483</v>
      </c>
      <c r="E1009" s="31" t="s">
        <v>1976</v>
      </c>
      <c r="F1009" s="59" t="s">
        <v>1931</v>
      </c>
      <c r="G1009" s="31" t="s">
        <v>2276</v>
      </c>
      <c r="J1009" t="s">
        <v>773</v>
      </c>
      <c r="L1009" s="31">
        <v>100</v>
      </c>
      <c r="M1009" s="31">
        <v>30</v>
      </c>
      <c r="P1009" s="31">
        <v>1</v>
      </c>
      <c r="Q1009" s="232">
        <f t="shared" si="524"/>
        <v>0.5</v>
      </c>
      <c r="R1009" s="40">
        <v>0.85</v>
      </c>
      <c r="S1009" s="334">
        <f t="shared" si="525"/>
        <v>0.42499999999999999</v>
      </c>
      <c r="T1009" s="31">
        <f>VLOOKUP(A1009,'Ansvar kurs'!$A$1:$C$1010,2,FALSE)</f>
        <v>1620</v>
      </c>
      <c r="U1009" s="31" t="str">
        <f>VLOOKUP(T1009,Orgenheter!$A$1:$C$165,2,FALSE)</f>
        <v>Inst för språkstudier</v>
      </c>
      <c r="V1009" s="31" t="str">
        <f>VLOOKUP(T1009,Orgenheter!$A$1:$C$165,3,FALSE)</f>
        <v>Hum</v>
      </c>
      <c r="W1009" s="37" t="str">
        <f>VLOOKUP(D1009,Program!$A$1:$B$34,2,FALSE)</f>
        <v>Ämneslärarprogrammet - Gy</v>
      </c>
      <c r="X1009" s="42">
        <f>VLOOKUP(A1009,kurspris!$A$1:$Q$798,15,FALSE)</f>
        <v>18405</v>
      </c>
      <c r="Y1009" s="42">
        <f>VLOOKUP(A1009,kurspris!$A$1:$Q$798,16,FALSE)</f>
        <v>15773</v>
      </c>
      <c r="Z1009" s="42">
        <f t="shared" si="526"/>
        <v>15906.025</v>
      </c>
      <c r="AA1009" s="42">
        <f>VLOOKUP(A1009,kurspris!$A$1:$Q$798,17,FALSE)</f>
        <v>5800</v>
      </c>
      <c r="AB1009" s="42">
        <f t="shared" si="527"/>
        <v>2900</v>
      </c>
      <c r="AC1009" s="42">
        <f t="shared" si="528"/>
        <v>18806.025000000001</v>
      </c>
      <c r="AD1009" s="31">
        <f>VLOOKUP($A1009,kurspris!$A$1:$Q$835,3,FALSE)</f>
        <v>0</v>
      </c>
      <c r="AE1009" s="31">
        <f>VLOOKUP($A1009,kurspris!$A$1:$Q$835,4,FALSE)</f>
        <v>1</v>
      </c>
      <c r="AF1009" s="31">
        <f>VLOOKUP($A1009,kurspris!$A$1:$Q$835,5,FALSE)</f>
        <v>0</v>
      </c>
      <c r="AG1009" s="31">
        <f>VLOOKUP($A1009,kurspris!$A$1:$Q$835,6,FALSE)</f>
        <v>0</v>
      </c>
      <c r="AH1009" s="31">
        <f>VLOOKUP($A1009,kurspris!$A$1:$Q$835,7,FALSE)</f>
        <v>0</v>
      </c>
      <c r="AI1009" s="31">
        <f>VLOOKUP($A1009,kurspris!$A$1:$Q$835,8,FALSE)</f>
        <v>0</v>
      </c>
      <c r="AJ1009" s="31">
        <f>VLOOKUP($A1009,kurspris!$A$1:$Q$835,9,FALSE)</f>
        <v>0</v>
      </c>
      <c r="AK1009" s="31">
        <f>VLOOKUP($A1009,kurspris!$A$1:$Q$835,10,FALSE)</f>
        <v>0</v>
      </c>
      <c r="AL1009" s="31">
        <f>VLOOKUP($A1009,kurspris!$A$1:$Q$835,11,FALSE)</f>
        <v>0</v>
      </c>
      <c r="AM1009" s="31">
        <f>VLOOKUP($A1009,kurspris!$A$1:$Q$835,12,FALSE)</f>
        <v>0</v>
      </c>
      <c r="AN1009" s="31">
        <f>VLOOKUP($A1009,kurspris!$A$1:$Q$835,13,FALSE)</f>
        <v>0</v>
      </c>
      <c r="AO1009" s="31">
        <f>VLOOKUP($A1009,kurspris!$A$1:$Q$835,14,FALSE)</f>
        <v>0</v>
      </c>
      <c r="AP1009" s="39" t="s">
        <v>2326</v>
      </c>
      <c r="AQ1009"/>
      <c r="AR1009" s="31">
        <f t="shared" si="529"/>
        <v>0</v>
      </c>
      <c r="AS1009" s="255">
        <f t="shared" si="530"/>
        <v>0</v>
      </c>
      <c r="AT1009" s="31">
        <f t="shared" si="531"/>
        <v>0.5</v>
      </c>
      <c r="AU1009" s="255">
        <f t="shared" si="532"/>
        <v>0.42499999999999999</v>
      </c>
      <c r="AV1009" s="31">
        <f t="shared" si="533"/>
        <v>0</v>
      </c>
      <c r="AW1009" s="31">
        <f t="shared" si="534"/>
        <v>0</v>
      </c>
      <c r="AX1009" s="31">
        <f t="shared" si="535"/>
        <v>0</v>
      </c>
      <c r="AY1009" s="255">
        <f t="shared" si="536"/>
        <v>0</v>
      </c>
      <c r="AZ1009" s="232">
        <f t="shared" si="537"/>
        <v>0</v>
      </c>
      <c r="BA1009" s="255">
        <f t="shared" si="538"/>
        <v>0</v>
      </c>
      <c r="BB1009" s="31">
        <f t="shared" si="539"/>
        <v>0</v>
      </c>
      <c r="BC1009" s="255">
        <f t="shared" si="540"/>
        <v>0</v>
      </c>
      <c r="BD1009" s="31">
        <f t="shared" si="541"/>
        <v>0</v>
      </c>
      <c r="BE1009" s="255">
        <f t="shared" si="542"/>
        <v>0</v>
      </c>
      <c r="BF1009" s="31">
        <f t="shared" si="543"/>
        <v>0</v>
      </c>
      <c r="BG1009" s="255">
        <f t="shared" si="544"/>
        <v>0</v>
      </c>
      <c r="BH1009" s="31">
        <f t="shared" si="545"/>
        <v>0</v>
      </c>
      <c r="BI1009" s="255">
        <f t="shared" si="546"/>
        <v>0</v>
      </c>
      <c r="BJ1009" s="31">
        <f t="shared" si="547"/>
        <v>0</v>
      </c>
      <c r="BK1009" s="31">
        <f t="shared" si="548"/>
        <v>0</v>
      </c>
      <c r="BL1009" s="255">
        <f t="shared" si="549"/>
        <v>0</v>
      </c>
      <c r="BM1009" s="31">
        <f t="shared" si="550"/>
        <v>0</v>
      </c>
      <c r="BN1009" s="255">
        <f t="shared" si="551"/>
        <v>0</v>
      </c>
    </row>
    <row r="1010" spans="1:66" x14ac:dyDescent="0.25">
      <c r="A1010" s="18" t="s">
        <v>2239</v>
      </c>
      <c r="B1010" s="186" t="str">
        <f>VLOOKUP(A1010,kurspris!$A$1:$B$877,2,FALSE)</f>
        <v>Spanska för ämneslärare, kurs 2</v>
      </c>
      <c r="C1010" s="37"/>
      <c r="D1010" s="31" t="s">
        <v>483</v>
      </c>
      <c r="E1010" s="31" t="s">
        <v>1976</v>
      </c>
      <c r="F1010" s="59" t="s">
        <v>1931</v>
      </c>
      <c r="G1010" s="31" t="s">
        <v>2276</v>
      </c>
      <c r="J1010" t="s">
        <v>778</v>
      </c>
      <c r="L1010" s="31">
        <v>100</v>
      </c>
      <c r="M1010" s="31">
        <v>30</v>
      </c>
      <c r="P1010" s="31">
        <v>1</v>
      </c>
      <c r="Q1010" s="232">
        <f t="shared" si="524"/>
        <v>0.5</v>
      </c>
      <c r="R1010" s="40">
        <v>0.85</v>
      </c>
      <c r="S1010" s="334">
        <f t="shared" si="525"/>
        <v>0.42499999999999999</v>
      </c>
      <c r="T1010" s="31">
        <f>VLOOKUP(A1010,'Ansvar kurs'!$A$1:$C$1010,2,FALSE)</f>
        <v>1620</v>
      </c>
      <c r="U1010" s="31" t="str">
        <f>VLOOKUP(T1010,Orgenheter!$A$1:$C$165,2,FALSE)</f>
        <v>Inst för språkstudier</v>
      </c>
      <c r="V1010" s="31" t="str">
        <f>VLOOKUP(T1010,Orgenheter!$A$1:$C$165,3,FALSE)</f>
        <v>Hum</v>
      </c>
      <c r="W1010" s="37" t="str">
        <f>VLOOKUP(D1010,Program!$A$1:$B$34,2,FALSE)</f>
        <v>Ämneslärarprogrammet - Gy</v>
      </c>
      <c r="X1010" s="42">
        <f>VLOOKUP(A1010,kurspris!$A$1:$Q$798,15,FALSE)</f>
        <v>18405</v>
      </c>
      <c r="Y1010" s="42">
        <f>VLOOKUP(A1010,kurspris!$A$1:$Q$798,16,FALSE)</f>
        <v>15773</v>
      </c>
      <c r="Z1010" s="42">
        <f t="shared" si="526"/>
        <v>15906.025</v>
      </c>
      <c r="AA1010" s="42">
        <f>VLOOKUP(A1010,kurspris!$A$1:$Q$798,17,FALSE)</f>
        <v>5800</v>
      </c>
      <c r="AB1010" s="42">
        <f t="shared" si="527"/>
        <v>2900</v>
      </c>
      <c r="AC1010" s="42">
        <f t="shared" si="528"/>
        <v>18806.025000000001</v>
      </c>
      <c r="AD1010" s="31">
        <f>VLOOKUP($A1010,kurspris!$A$1:$Q$835,3,FALSE)</f>
        <v>0</v>
      </c>
      <c r="AE1010" s="31">
        <f>VLOOKUP($A1010,kurspris!$A$1:$Q$835,4,FALSE)</f>
        <v>1</v>
      </c>
      <c r="AF1010" s="31">
        <f>VLOOKUP($A1010,kurspris!$A$1:$Q$835,5,FALSE)</f>
        <v>0</v>
      </c>
      <c r="AG1010" s="31">
        <f>VLOOKUP($A1010,kurspris!$A$1:$Q$835,6,FALSE)</f>
        <v>0</v>
      </c>
      <c r="AH1010" s="31">
        <f>VLOOKUP($A1010,kurspris!$A$1:$Q$835,7,FALSE)</f>
        <v>0</v>
      </c>
      <c r="AI1010" s="31">
        <f>VLOOKUP($A1010,kurspris!$A$1:$Q$835,8,FALSE)</f>
        <v>0</v>
      </c>
      <c r="AJ1010" s="31">
        <f>VLOOKUP($A1010,kurspris!$A$1:$Q$835,9,FALSE)</f>
        <v>0</v>
      </c>
      <c r="AK1010" s="31">
        <f>VLOOKUP($A1010,kurspris!$A$1:$Q$835,10,FALSE)</f>
        <v>0</v>
      </c>
      <c r="AL1010" s="31">
        <f>VLOOKUP($A1010,kurspris!$A$1:$Q$835,11,FALSE)</f>
        <v>0</v>
      </c>
      <c r="AM1010" s="31">
        <f>VLOOKUP($A1010,kurspris!$A$1:$Q$835,12,FALSE)</f>
        <v>0</v>
      </c>
      <c r="AN1010" s="31">
        <f>VLOOKUP($A1010,kurspris!$A$1:$Q$835,13,FALSE)</f>
        <v>0</v>
      </c>
      <c r="AO1010" s="31">
        <f>VLOOKUP($A1010,kurspris!$A$1:$Q$835,14,FALSE)</f>
        <v>0</v>
      </c>
      <c r="AP1010" s="39" t="s">
        <v>2326</v>
      </c>
      <c r="AQ1010"/>
      <c r="AR1010" s="31">
        <f t="shared" si="529"/>
        <v>0</v>
      </c>
      <c r="AS1010" s="255">
        <f t="shared" si="530"/>
        <v>0</v>
      </c>
      <c r="AT1010" s="31">
        <f t="shared" si="531"/>
        <v>0.5</v>
      </c>
      <c r="AU1010" s="255">
        <f t="shared" si="532"/>
        <v>0.42499999999999999</v>
      </c>
      <c r="AV1010" s="31">
        <f t="shared" si="533"/>
        <v>0</v>
      </c>
      <c r="AW1010" s="31">
        <f t="shared" si="534"/>
        <v>0</v>
      </c>
      <c r="AX1010" s="31">
        <f t="shared" si="535"/>
        <v>0</v>
      </c>
      <c r="AY1010" s="255">
        <f t="shared" si="536"/>
        <v>0</v>
      </c>
      <c r="AZ1010" s="232">
        <f t="shared" si="537"/>
        <v>0</v>
      </c>
      <c r="BA1010" s="255">
        <f t="shared" si="538"/>
        <v>0</v>
      </c>
      <c r="BB1010" s="31">
        <f t="shared" si="539"/>
        <v>0</v>
      </c>
      <c r="BC1010" s="255">
        <f t="shared" si="540"/>
        <v>0</v>
      </c>
      <c r="BD1010" s="31">
        <f t="shared" si="541"/>
        <v>0</v>
      </c>
      <c r="BE1010" s="255">
        <f t="shared" si="542"/>
        <v>0</v>
      </c>
      <c r="BF1010" s="31">
        <f t="shared" si="543"/>
        <v>0</v>
      </c>
      <c r="BG1010" s="255">
        <f t="shared" si="544"/>
        <v>0</v>
      </c>
      <c r="BH1010" s="31">
        <f t="shared" si="545"/>
        <v>0</v>
      </c>
      <c r="BI1010" s="255">
        <f t="shared" si="546"/>
        <v>0</v>
      </c>
      <c r="BJ1010" s="31">
        <f t="shared" si="547"/>
        <v>0</v>
      </c>
      <c r="BK1010" s="31">
        <f t="shared" si="548"/>
        <v>0</v>
      </c>
      <c r="BL1010" s="255">
        <f t="shared" si="549"/>
        <v>0</v>
      </c>
      <c r="BM1010" s="31">
        <f t="shared" si="550"/>
        <v>0</v>
      </c>
      <c r="BN1010" s="255">
        <f t="shared" si="551"/>
        <v>0</v>
      </c>
    </row>
    <row r="1011" spans="1:66" x14ac:dyDescent="0.25">
      <c r="A1011" s="18" t="s">
        <v>2239</v>
      </c>
      <c r="B1011" s="186" t="str">
        <f>VLOOKUP(A1011,kurspris!$A$1:$B$877,2,FALSE)</f>
        <v>Spanska för ämneslärare, kurs 2</v>
      </c>
      <c r="C1011" s="37"/>
      <c r="D1011" s="31" t="s">
        <v>483</v>
      </c>
      <c r="E1011" s="31" t="s">
        <v>1788</v>
      </c>
      <c r="F1011" s="59" t="s">
        <v>1931</v>
      </c>
      <c r="G1011" s="31" t="s">
        <v>2276</v>
      </c>
      <c r="J1011" t="s">
        <v>1803</v>
      </c>
      <c r="L1011" s="31">
        <v>100</v>
      </c>
      <c r="M1011" s="31">
        <v>30</v>
      </c>
      <c r="P1011" s="31">
        <v>2</v>
      </c>
      <c r="Q1011" s="232">
        <f t="shared" si="524"/>
        <v>1</v>
      </c>
      <c r="R1011" s="40">
        <v>0.85</v>
      </c>
      <c r="S1011" s="334">
        <f t="shared" si="525"/>
        <v>0.85</v>
      </c>
      <c r="T1011" s="31">
        <f>VLOOKUP(A1011,'Ansvar kurs'!$A$1:$C$1010,2,FALSE)</f>
        <v>1620</v>
      </c>
      <c r="U1011" s="31" t="str">
        <f>VLOOKUP(T1011,Orgenheter!$A$1:$C$165,2,FALSE)</f>
        <v>Inst för språkstudier</v>
      </c>
      <c r="V1011" s="31" t="str">
        <f>VLOOKUP(T1011,Orgenheter!$A$1:$C$165,3,FALSE)</f>
        <v>Hum</v>
      </c>
      <c r="W1011" s="37" t="str">
        <f>VLOOKUP(D1011,Program!$A$1:$B$34,2,FALSE)</f>
        <v>Ämneslärarprogrammet - Gy</v>
      </c>
      <c r="X1011" s="42">
        <f>VLOOKUP(A1011,kurspris!$A$1:$Q$798,15,FALSE)</f>
        <v>18405</v>
      </c>
      <c r="Y1011" s="42">
        <f>VLOOKUP(A1011,kurspris!$A$1:$Q$798,16,FALSE)</f>
        <v>15773</v>
      </c>
      <c r="Z1011" s="42">
        <f t="shared" si="526"/>
        <v>31812.05</v>
      </c>
      <c r="AA1011" s="42">
        <f>VLOOKUP(A1011,kurspris!$A$1:$Q$798,17,FALSE)</f>
        <v>5800</v>
      </c>
      <c r="AB1011" s="42">
        <f t="shared" si="527"/>
        <v>5800</v>
      </c>
      <c r="AC1011" s="42">
        <f t="shared" si="528"/>
        <v>37612.050000000003</v>
      </c>
      <c r="AD1011" s="31">
        <f>VLOOKUP($A1011,kurspris!$A$1:$Q$835,3,FALSE)</f>
        <v>0</v>
      </c>
      <c r="AE1011" s="31">
        <f>VLOOKUP($A1011,kurspris!$A$1:$Q$835,4,FALSE)</f>
        <v>1</v>
      </c>
      <c r="AF1011" s="31">
        <f>VLOOKUP($A1011,kurspris!$A$1:$Q$835,5,FALSE)</f>
        <v>0</v>
      </c>
      <c r="AG1011" s="31">
        <f>VLOOKUP($A1011,kurspris!$A$1:$Q$835,6,FALSE)</f>
        <v>0</v>
      </c>
      <c r="AH1011" s="31">
        <f>VLOOKUP($A1011,kurspris!$A$1:$Q$835,7,FALSE)</f>
        <v>0</v>
      </c>
      <c r="AI1011" s="31">
        <f>VLOOKUP($A1011,kurspris!$A$1:$Q$835,8,FALSE)</f>
        <v>0</v>
      </c>
      <c r="AJ1011" s="31">
        <f>VLOOKUP($A1011,kurspris!$A$1:$Q$835,9,FALSE)</f>
        <v>0</v>
      </c>
      <c r="AK1011" s="31">
        <f>VLOOKUP($A1011,kurspris!$A$1:$Q$835,10,FALSE)</f>
        <v>0</v>
      </c>
      <c r="AL1011" s="31">
        <f>VLOOKUP($A1011,kurspris!$A$1:$Q$835,11,FALSE)</f>
        <v>0</v>
      </c>
      <c r="AM1011" s="31">
        <f>VLOOKUP($A1011,kurspris!$A$1:$Q$835,12,FALSE)</f>
        <v>0</v>
      </c>
      <c r="AN1011" s="31">
        <f>VLOOKUP($A1011,kurspris!$A$1:$Q$835,13,FALSE)</f>
        <v>0</v>
      </c>
      <c r="AO1011" s="31">
        <f>VLOOKUP($A1011,kurspris!$A$1:$Q$835,14,FALSE)</f>
        <v>0</v>
      </c>
      <c r="AP1011" s="39" t="s">
        <v>2326</v>
      </c>
      <c r="AQ1011"/>
      <c r="AR1011" s="31">
        <f t="shared" si="529"/>
        <v>0</v>
      </c>
      <c r="AS1011" s="255">
        <f t="shared" si="530"/>
        <v>0</v>
      </c>
      <c r="AT1011" s="31">
        <f t="shared" si="531"/>
        <v>1</v>
      </c>
      <c r="AU1011" s="255">
        <f t="shared" si="532"/>
        <v>0.85</v>
      </c>
      <c r="AV1011" s="31">
        <f t="shared" si="533"/>
        <v>0</v>
      </c>
      <c r="AW1011" s="31">
        <f t="shared" si="534"/>
        <v>0</v>
      </c>
      <c r="AX1011" s="31">
        <f t="shared" si="535"/>
        <v>0</v>
      </c>
      <c r="AY1011" s="255">
        <f t="shared" si="536"/>
        <v>0</v>
      </c>
      <c r="AZ1011" s="232">
        <f t="shared" si="537"/>
        <v>0</v>
      </c>
      <c r="BA1011" s="255">
        <f t="shared" si="538"/>
        <v>0</v>
      </c>
      <c r="BB1011" s="31">
        <f t="shared" si="539"/>
        <v>0</v>
      </c>
      <c r="BC1011" s="255">
        <f t="shared" si="540"/>
        <v>0</v>
      </c>
      <c r="BD1011" s="31">
        <f t="shared" si="541"/>
        <v>0</v>
      </c>
      <c r="BE1011" s="255">
        <f t="shared" si="542"/>
        <v>0</v>
      </c>
      <c r="BF1011" s="31">
        <f t="shared" si="543"/>
        <v>0</v>
      </c>
      <c r="BG1011" s="255">
        <f t="shared" si="544"/>
        <v>0</v>
      </c>
      <c r="BH1011" s="31">
        <f t="shared" si="545"/>
        <v>0</v>
      </c>
      <c r="BI1011" s="255">
        <f t="shared" si="546"/>
        <v>0</v>
      </c>
      <c r="BJ1011" s="31">
        <f t="shared" si="547"/>
        <v>0</v>
      </c>
      <c r="BK1011" s="31">
        <f t="shared" si="548"/>
        <v>0</v>
      </c>
      <c r="BL1011" s="255">
        <f t="shared" si="549"/>
        <v>0</v>
      </c>
      <c r="BM1011" s="31">
        <f t="shared" si="550"/>
        <v>0</v>
      </c>
      <c r="BN1011" s="255">
        <f t="shared" si="551"/>
        <v>0</v>
      </c>
    </row>
    <row r="1012" spans="1:66" x14ac:dyDescent="0.25">
      <c r="A1012" t="s">
        <v>1274</v>
      </c>
      <c r="B1012" s="186" t="str">
        <f>VLOOKUP(A1012,kurspris!$A$1:$B$877,2,FALSE)</f>
        <v>Examensarbete i svenska för ämneslärarexamen</v>
      </c>
      <c r="C1012"/>
      <c r="D1012" t="s">
        <v>483</v>
      </c>
      <c r="E1012" t="s">
        <v>1975</v>
      </c>
      <c r="F1012" s="39" t="s">
        <v>1930</v>
      </c>
      <c r="G1012" t="s">
        <v>1993</v>
      </c>
      <c r="H1012" t="s">
        <v>1910</v>
      </c>
      <c r="I1012"/>
      <c r="J1012" t="s">
        <v>771</v>
      </c>
      <c r="K1012"/>
      <c r="L1012">
        <v>100</v>
      </c>
      <c r="M1012" s="295">
        <v>22.5</v>
      </c>
      <c r="N1012"/>
      <c r="O1012"/>
      <c r="P1012" s="31">
        <v>2</v>
      </c>
      <c r="Q1012" s="232">
        <f t="shared" ref="Q1012:Q1075" si="552">(M1012/60)*P1012</f>
        <v>0.75</v>
      </c>
      <c r="R1012" s="40">
        <v>0.85</v>
      </c>
      <c r="S1012" s="334">
        <f t="shared" ref="S1012:S1075" si="553">Q1012*R1012</f>
        <v>0.63749999999999996</v>
      </c>
      <c r="T1012" s="31">
        <f>VLOOKUP(A1012,'Ansvar kurs'!$A$1:$C$1010,2,FALSE)</f>
        <v>1620</v>
      </c>
      <c r="U1012" s="31" t="str">
        <f>VLOOKUP(T1012,Orgenheter!$A$1:$C$165,2,FALSE)</f>
        <v>Inst för språkstudier</v>
      </c>
      <c r="V1012" s="31" t="str">
        <f>VLOOKUP(T1012,Orgenheter!$A$1:$C$165,3,FALSE)</f>
        <v>Hum</v>
      </c>
      <c r="W1012" s="37" t="str">
        <f>VLOOKUP(D1012,Program!$A$1:$B$34,2,FALSE)</f>
        <v>Ämneslärarprogrammet - Gy</v>
      </c>
      <c r="X1012" s="42">
        <f>VLOOKUP(A1012,kurspris!$A$1:$Q$798,15,FALSE)</f>
        <v>18405</v>
      </c>
      <c r="Y1012" s="42">
        <f>VLOOKUP(A1012,kurspris!$A$1:$Q$798,16,FALSE)</f>
        <v>15773</v>
      </c>
      <c r="Z1012" s="42">
        <f t="shared" ref="Z1012:Z1075" si="554">X1012*Q1012+S1012*Y1012</f>
        <v>23859.037499999999</v>
      </c>
      <c r="AA1012" s="42">
        <f>VLOOKUP(A1012,kurspris!$A$1:$Q$798,17,FALSE)</f>
        <v>5800</v>
      </c>
      <c r="AB1012" s="42">
        <f t="shared" ref="AB1012:AB1075" si="555">AA1012*Q1012</f>
        <v>4350</v>
      </c>
      <c r="AC1012" s="42">
        <f t="shared" ref="AC1012:AC1075" si="556">Z1012+AB1012</f>
        <v>28209.037499999999</v>
      </c>
      <c r="AD1012" s="31">
        <f>VLOOKUP($A1012,kurspris!$A$1:$Q$835,3,FALSE)</f>
        <v>0</v>
      </c>
      <c r="AE1012" s="31">
        <f>VLOOKUP($A1012,kurspris!$A$1:$Q$835,4,FALSE)</f>
        <v>1</v>
      </c>
      <c r="AF1012" s="31">
        <f>VLOOKUP($A1012,kurspris!$A$1:$Q$835,5,FALSE)</f>
        <v>0</v>
      </c>
      <c r="AG1012" s="31">
        <f>VLOOKUP($A1012,kurspris!$A$1:$Q$835,6,FALSE)</f>
        <v>0</v>
      </c>
      <c r="AH1012" s="31">
        <f>VLOOKUP($A1012,kurspris!$A$1:$Q$835,7,FALSE)</f>
        <v>0</v>
      </c>
      <c r="AI1012" s="31">
        <f>VLOOKUP($A1012,kurspris!$A$1:$Q$835,8,FALSE)</f>
        <v>0</v>
      </c>
      <c r="AJ1012" s="31">
        <f>VLOOKUP($A1012,kurspris!$A$1:$Q$835,9,FALSE)</f>
        <v>0</v>
      </c>
      <c r="AK1012" s="31">
        <f>VLOOKUP($A1012,kurspris!$A$1:$Q$835,10,FALSE)</f>
        <v>0</v>
      </c>
      <c r="AL1012" s="31">
        <f>VLOOKUP($A1012,kurspris!$A$1:$Q$835,11,FALSE)</f>
        <v>0</v>
      </c>
      <c r="AM1012" s="31">
        <f>VLOOKUP($A1012,kurspris!$A$1:$Q$835,12,FALSE)</f>
        <v>0</v>
      </c>
      <c r="AN1012" s="31">
        <f>VLOOKUP($A1012,kurspris!$A$1:$Q$835,13,FALSE)</f>
        <v>0</v>
      </c>
      <c r="AO1012" s="31">
        <f>VLOOKUP($A1012,kurspris!$A$1:$Q$835,14,FALSE)</f>
        <v>0</v>
      </c>
      <c r="AP1012" s="39" t="s">
        <v>2204</v>
      </c>
      <c r="AQ1012" s="39" t="s">
        <v>2035</v>
      </c>
      <c r="AR1012" s="31">
        <f t="shared" ref="AR1012:AR1075" si="557">$Q1012*AD1012</f>
        <v>0</v>
      </c>
      <c r="AS1012" s="255">
        <f t="shared" ref="AS1012:AS1075" si="558">$S1012*AD1012</f>
        <v>0</v>
      </c>
      <c r="AT1012" s="31">
        <f t="shared" ref="AT1012:AT1075" si="559">$Q1012*AE1012</f>
        <v>0.75</v>
      </c>
      <c r="AU1012" s="255">
        <f t="shared" ref="AU1012:AU1075" si="560">$S1012*AE1012</f>
        <v>0.63749999999999996</v>
      </c>
      <c r="AV1012" s="31">
        <f t="shared" ref="AV1012:AV1075" si="561">$Q1012*AF1012</f>
        <v>0</v>
      </c>
      <c r="AW1012" s="31">
        <f t="shared" ref="AW1012:AW1075" si="562">$S1012*AF1012</f>
        <v>0</v>
      </c>
      <c r="AX1012" s="31">
        <f t="shared" ref="AX1012:AX1075" si="563">$Q1012*AG1012</f>
        <v>0</v>
      </c>
      <c r="AY1012" s="255">
        <f t="shared" ref="AY1012:AY1075" si="564">$S1012*AG1012</f>
        <v>0</v>
      </c>
      <c r="AZ1012" s="232">
        <f t="shared" ref="AZ1012:AZ1075" si="565">$Q1012*AH1012</f>
        <v>0</v>
      </c>
      <c r="BA1012" s="255">
        <f t="shared" ref="BA1012:BA1075" si="566">$S1012*AH1012</f>
        <v>0</v>
      </c>
      <c r="BB1012" s="31">
        <f t="shared" ref="BB1012:BB1075" si="567">$Q1012*AI1012</f>
        <v>0</v>
      </c>
      <c r="BC1012" s="255">
        <f t="shared" ref="BC1012:BC1075" si="568">$S1012*AI1012</f>
        <v>0</v>
      </c>
      <c r="BD1012" s="31">
        <f t="shared" ref="BD1012:BD1075" si="569">$Q1012*AJ1012</f>
        <v>0</v>
      </c>
      <c r="BE1012" s="255">
        <f t="shared" ref="BE1012:BE1075" si="570">$S1012*AJ1012</f>
        <v>0</v>
      </c>
      <c r="BF1012" s="31">
        <f t="shared" ref="BF1012:BF1075" si="571">$Q1012*AK1012</f>
        <v>0</v>
      </c>
      <c r="BG1012" s="255">
        <f t="shared" ref="BG1012:BG1075" si="572">$S1012*AK1012</f>
        <v>0</v>
      </c>
      <c r="BH1012" s="31">
        <f t="shared" ref="BH1012:BH1075" si="573">$Q1012*AL1012</f>
        <v>0</v>
      </c>
      <c r="BI1012" s="255">
        <f t="shared" ref="BI1012:BI1075" si="574">$S1012*AL1012</f>
        <v>0</v>
      </c>
      <c r="BJ1012" s="31">
        <f t="shared" ref="BJ1012:BJ1075" si="575">$Q1012*AM1012</f>
        <v>0</v>
      </c>
      <c r="BK1012" s="31">
        <f t="shared" ref="BK1012:BK1075" si="576">$Q1012*AN1012</f>
        <v>0</v>
      </c>
      <c r="BL1012" s="255">
        <f t="shared" ref="BL1012:BL1075" si="577">$S1012*AN1012</f>
        <v>0</v>
      </c>
      <c r="BM1012" s="31">
        <f t="shared" ref="BM1012:BM1075" si="578">$Q1012*AO1012</f>
        <v>0</v>
      </c>
      <c r="BN1012" s="255">
        <f t="shared" ref="BN1012:BN1075" si="579">$S1012*AO1012</f>
        <v>0</v>
      </c>
    </row>
    <row r="1013" spans="1:66" x14ac:dyDescent="0.25">
      <c r="A1013" t="s">
        <v>1274</v>
      </c>
      <c r="B1013" s="186" t="str">
        <f>VLOOKUP(A1013,kurspris!$A$1:$B$877,2,FALSE)</f>
        <v>Examensarbete i svenska för ämneslärarexamen</v>
      </c>
      <c r="C1013"/>
      <c r="D1013" t="s">
        <v>483</v>
      </c>
      <c r="E1013" t="s">
        <v>1975</v>
      </c>
      <c r="F1013" s="39" t="s">
        <v>1930</v>
      </c>
      <c r="G1013" t="s">
        <v>1993</v>
      </c>
      <c r="H1013" t="s">
        <v>1910</v>
      </c>
      <c r="I1013"/>
      <c r="J1013" t="s">
        <v>773</v>
      </c>
      <c r="K1013"/>
      <c r="L1013">
        <v>100</v>
      </c>
      <c r="M1013" s="295">
        <v>22.5</v>
      </c>
      <c r="N1013"/>
      <c r="O1013"/>
      <c r="P1013" s="31">
        <v>2</v>
      </c>
      <c r="Q1013" s="232">
        <f t="shared" si="552"/>
        <v>0.75</v>
      </c>
      <c r="R1013" s="40">
        <v>0.85</v>
      </c>
      <c r="S1013" s="334">
        <f t="shared" si="553"/>
        <v>0.63749999999999996</v>
      </c>
      <c r="T1013" s="31">
        <f>VLOOKUP(A1013,'Ansvar kurs'!$A$1:$C$1010,2,FALSE)</f>
        <v>1620</v>
      </c>
      <c r="U1013" s="31" t="str">
        <f>VLOOKUP(T1013,Orgenheter!$A$1:$C$165,2,FALSE)</f>
        <v>Inst för språkstudier</v>
      </c>
      <c r="V1013" s="31" t="str">
        <f>VLOOKUP(T1013,Orgenheter!$A$1:$C$165,3,FALSE)</f>
        <v>Hum</v>
      </c>
      <c r="W1013" s="37" t="str">
        <f>VLOOKUP(D1013,Program!$A$1:$B$34,2,FALSE)</f>
        <v>Ämneslärarprogrammet - Gy</v>
      </c>
      <c r="X1013" s="42">
        <f>VLOOKUP(A1013,kurspris!$A$1:$Q$798,15,FALSE)</f>
        <v>18405</v>
      </c>
      <c r="Y1013" s="42">
        <f>VLOOKUP(A1013,kurspris!$A$1:$Q$798,16,FALSE)</f>
        <v>15773</v>
      </c>
      <c r="Z1013" s="42">
        <f t="shared" si="554"/>
        <v>23859.037499999999</v>
      </c>
      <c r="AA1013" s="42">
        <f>VLOOKUP(A1013,kurspris!$A$1:$Q$798,17,FALSE)</f>
        <v>5800</v>
      </c>
      <c r="AB1013" s="42">
        <f t="shared" si="555"/>
        <v>4350</v>
      </c>
      <c r="AC1013" s="42">
        <f t="shared" si="556"/>
        <v>28209.037499999999</v>
      </c>
      <c r="AD1013" s="31">
        <f>VLOOKUP($A1013,kurspris!$A$1:$Q$835,3,FALSE)</f>
        <v>0</v>
      </c>
      <c r="AE1013" s="31">
        <f>VLOOKUP($A1013,kurspris!$A$1:$Q$835,4,FALSE)</f>
        <v>1</v>
      </c>
      <c r="AF1013" s="31">
        <f>VLOOKUP($A1013,kurspris!$A$1:$Q$835,5,FALSE)</f>
        <v>0</v>
      </c>
      <c r="AG1013" s="31">
        <f>VLOOKUP($A1013,kurspris!$A$1:$Q$835,6,FALSE)</f>
        <v>0</v>
      </c>
      <c r="AH1013" s="31">
        <f>VLOOKUP($A1013,kurspris!$A$1:$Q$835,7,FALSE)</f>
        <v>0</v>
      </c>
      <c r="AI1013" s="31">
        <f>VLOOKUP($A1013,kurspris!$A$1:$Q$835,8,FALSE)</f>
        <v>0</v>
      </c>
      <c r="AJ1013" s="31">
        <f>VLOOKUP($A1013,kurspris!$A$1:$Q$835,9,FALSE)</f>
        <v>0</v>
      </c>
      <c r="AK1013" s="31">
        <f>VLOOKUP($A1013,kurspris!$A$1:$Q$835,10,FALSE)</f>
        <v>0</v>
      </c>
      <c r="AL1013" s="31">
        <f>VLOOKUP($A1013,kurspris!$A$1:$Q$835,11,FALSE)</f>
        <v>0</v>
      </c>
      <c r="AM1013" s="31">
        <f>VLOOKUP($A1013,kurspris!$A$1:$Q$835,12,FALSE)</f>
        <v>0</v>
      </c>
      <c r="AN1013" s="31">
        <f>VLOOKUP($A1013,kurspris!$A$1:$Q$835,13,FALSE)</f>
        <v>0</v>
      </c>
      <c r="AO1013" s="31">
        <f>VLOOKUP($A1013,kurspris!$A$1:$Q$835,14,FALSE)</f>
        <v>0</v>
      </c>
      <c r="AP1013" s="39" t="s">
        <v>2204</v>
      </c>
      <c r="AQ1013" s="39" t="s">
        <v>2035</v>
      </c>
      <c r="AR1013" s="31">
        <f t="shared" si="557"/>
        <v>0</v>
      </c>
      <c r="AS1013" s="255">
        <f t="shared" si="558"/>
        <v>0</v>
      </c>
      <c r="AT1013" s="31">
        <f t="shared" si="559"/>
        <v>0.75</v>
      </c>
      <c r="AU1013" s="255">
        <f t="shared" si="560"/>
        <v>0.63749999999999996</v>
      </c>
      <c r="AV1013" s="31">
        <f t="shared" si="561"/>
        <v>0</v>
      </c>
      <c r="AW1013" s="31">
        <f t="shared" si="562"/>
        <v>0</v>
      </c>
      <c r="AX1013" s="31">
        <f t="shared" si="563"/>
        <v>0</v>
      </c>
      <c r="AY1013" s="255">
        <f t="shared" si="564"/>
        <v>0</v>
      </c>
      <c r="AZ1013" s="232">
        <f t="shared" si="565"/>
        <v>0</v>
      </c>
      <c r="BA1013" s="255">
        <f t="shared" si="566"/>
        <v>0</v>
      </c>
      <c r="BB1013" s="31">
        <f t="shared" si="567"/>
        <v>0</v>
      </c>
      <c r="BC1013" s="255">
        <f t="shared" si="568"/>
        <v>0</v>
      </c>
      <c r="BD1013" s="31">
        <f t="shared" si="569"/>
        <v>0</v>
      </c>
      <c r="BE1013" s="255">
        <f t="shared" si="570"/>
        <v>0</v>
      </c>
      <c r="BF1013" s="31">
        <f t="shared" si="571"/>
        <v>0</v>
      </c>
      <c r="BG1013" s="255">
        <f t="shared" si="572"/>
        <v>0</v>
      </c>
      <c r="BH1013" s="31">
        <f t="shared" si="573"/>
        <v>0</v>
      </c>
      <c r="BI1013" s="255">
        <f t="shared" si="574"/>
        <v>0</v>
      </c>
      <c r="BJ1013" s="31">
        <f t="shared" si="575"/>
        <v>0</v>
      </c>
      <c r="BK1013" s="31">
        <f t="shared" si="576"/>
        <v>0</v>
      </c>
      <c r="BL1013" s="255">
        <f t="shared" si="577"/>
        <v>0</v>
      </c>
      <c r="BM1013" s="31">
        <f t="shared" si="578"/>
        <v>0</v>
      </c>
      <c r="BN1013" s="255">
        <f t="shared" si="579"/>
        <v>0</v>
      </c>
    </row>
    <row r="1014" spans="1:66" x14ac:dyDescent="0.25">
      <c r="A1014" t="s">
        <v>1274</v>
      </c>
      <c r="B1014" s="186" t="str">
        <f>VLOOKUP(A1014,kurspris!$A$1:$B$877,2,FALSE)</f>
        <v>Examensarbete i svenska för ämneslärarexamen</v>
      </c>
      <c r="C1014"/>
      <c r="D1014" t="s">
        <v>483</v>
      </c>
      <c r="E1014" t="s">
        <v>1975</v>
      </c>
      <c r="F1014" s="39" t="s">
        <v>1930</v>
      </c>
      <c r="G1014" t="s">
        <v>1993</v>
      </c>
      <c r="H1014" t="s">
        <v>1910</v>
      </c>
      <c r="I1014"/>
      <c r="J1014" t="s">
        <v>778</v>
      </c>
      <c r="K1014"/>
      <c r="L1014">
        <v>100</v>
      </c>
      <c r="M1014" s="295">
        <v>22.5</v>
      </c>
      <c r="N1014"/>
      <c r="O1014"/>
      <c r="P1014" s="31">
        <v>7</v>
      </c>
      <c r="Q1014" s="232">
        <f t="shared" si="552"/>
        <v>2.625</v>
      </c>
      <c r="R1014" s="40">
        <v>0.85</v>
      </c>
      <c r="S1014" s="334">
        <f t="shared" si="553"/>
        <v>2.2312499999999997</v>
      </c>
      <c r="T1014" s="31">
        <f>VLOOKUP(A1014,'Ansvar kurs'!$A$1:$C$1010,2,FALSE)</f>
        <v>1620</v>
      </c>
      <c r="U1014" s="31" t="str">
        <f>VLOOKUP(T1014,Orgenheter!$A$1:$C$165,2,FALSE)</f>
        <v>Inst för språkstudier</v>
      </c>
      <c r="V1014" s="31" t="str">
        <f>VLOOKUP(T1014,Orgenheter!$A$1:$C$165,3,FALSE)</f>
        <v>Hum</v>
      </c>
      <c r="W1014" s="37" t="str">
        <f>VLOOKUP(D1014,Program!$A$1:$B$34,2,FALSE)</f>
        <v>Ämneslärarprogrammet - Gy</v>
      </c>
      <c r="X1014" s="42">
        <f>VLOOKUP(A1014,kurspris!$A$1:$Q$798,15,FALSE)</f>
        <v>18405</v>
      </c>
      <c r="Y1014" s="42">
        <f>VLOOKUP(A1014,kurspris!$A$1:$Q$798,16,FALSE)</f>
        <v>15773</v>
      </c>
      <c r="Z1014" s="42">
        <f t="shared" si="554"/>
        <v>83506.631250000006</v>
      </c>
      <c r="AA1014" s="42">
        <f>VLOOKUP(A1014,kurspris!$A$1:$Q$798,17,FALSE)</f>
        <v>5800</v>
      </c>
      <c r="AB1014" s="42">
        <f t="shared" si="555"/>
        <v>15225</v>
      </c>
      <c r="AC1014" s="42">
        <f t="shared" si="556"/>
        <v>98731.631250000006</v>
      </c>
      <c r="AD1014" s="31">
        <f>VLOOKUP($A1014,kurspris!$A$1:$Q$835,3,FALSE)</f>
        <v>0</v>
      </c>
      <c r="AE1014" s="31">
        <f>VLOOKUP($A1014,kurspris!$A$1:$Q$835,4,FALSE)</f>
        <v>1</v>
      </c>
      <c r="AF1014" s="31">
        <f>VLOOKUP($A1014,kurspris!$A$1:$Q$835,5,FALSE)</f>
        <v>0</v>
      </c>
      <c r="AG1014" s="31">
        <f>VLOOKUP($A1014,kurspris!$A$1:$Q$835,6,FALSE)</f>
        <v>0</v>
      </c>
      <c r="AH1014" s="31">
        <f>VLOOKUP($A1014,kurspris!$A$1:$Q$835,7,FALSE)</f>
        <v>0</v>
      </c>
      <c r="AI1014" s="31">
        <f>VLOOKUP($A1014,kurspris!$A$1:$Q$835,8,FALSE)</f>
        <v>0</v>
      </c>
      <c r="AJ1014" s="31">
        <f>VLOOKUP($A1014,kurspris!$A$1:$Q$835,9,FALSE)</f>
        <v>0</v>
      </c>
      <c r="AK1014" s="31">
        <f>VLOOKUP($A1014,kurspris!$A$1:$Q$835,10,FALSE)</f>
        <v>0</v>
      </c>
      <c r="AL1014" s="31">
        <f>VLOOKUP($A1014,kurspris!$A$1:$Q$835,11,FALSE)</f>
        <v>0</v>
      </c>
      <c r="AM1014" s="31">
        <f>VLOOKUP($A1014,kurspris!$A$1:$Q$835,12,FALSE)</f>
        <v>0</v>
      </c>
      <c r="AN1014" s="31">
        <f>VLOOKUP($A1014,kurspris!$A$1:$Q$835,13,FALSE)</f>
        <v>0</v>
      </c>
      <c r="AO1014" s="31">
        <f>VLOOKUP($A1014,kurspris!$A$1:$Q$835,14,FALSE)</f>
        <v>0</v>
      </c>
      <c r="AP1014" s="39" t="s">
        <v>2204</v>
      </c>
      <c r="AQ1014" s="39" t="s">
        <v>2035</v>
      </c>
      <c r="AR1014" s="31">
        <f t="shared" si="557"/>
        <v>0</v>
      </c>
      <c r="AS1014" s="255">
        <f t="shared" si="558"/>
        <v>0</v>
      </c>
      <c r="AT1014" s="31">
        <f t="shared" si="559"/>
        <v>2.625</v>
      </c>
      <c r="AU1014" s="255">
        <f t="shared" si="560"/>
        <v>2.2312499999999997</v>
      </c>
      <c r="AV1014" s="31">
        <f t="shared" si="561"/>
        <v>0</v>
      </c>
      <c r="AW1014" s="31">
        <f t="shared" si="562"/>
        <v>0</v>
      </c>
      <c r="AX1014" s="31">
        <f t="shared" si="563"/>
        <v>0</v>
      </c>
      <c r="AY1014" s="255">
        <f t="shared" si="564"/>
        <v>0</v>
      </c>
      <c r="AZ1014" s="232">
        <f t="shared" si="565"/>
        <v>0</v>
      </c>
      <c r="BA1014" s="255">
        <f t="shared" si="566"/>
        <v>0</v>
      </c>
      <c r="BB1014" s="31">
        <f t="shared" si="567"/>
        <v>0</v>
      </c>
      <c r="BC1014" s="255">
        <f t="shared" si="568"/>
        <v>0</v>
      </c>
      <c r="BD1014" s="31">
        <f t="shared" si="569"/>
        <v>0</v>
      </c>
      <c r="BE1014" s="255">
        <f t="shared" si="570"/>
        <v>0</v>
      </c>
      <c r="BF1014" s="31">
        <f t="shared" si="571"/>
        <v>0</v>
      </c>
      <c r="BG1014" s="255">
        <f t="shared" si="572"/>
        <v>0</v>
      </c>
      <c r="BH1014" s="31">
        <f t="shared" si="573"/>
        <v>0</v>
      </c>
      <c r="BI1014" s="255">
        <f t="shared" si="574"/>
        <v>0</v>
      </c>
      <c r="BJ1014" s="31">
        <f t="shared" si="575"/>
        <v>0</v>
      </c>
      <c r="BK1014" s="31">
        <f t="shared" si="576"/>
        <v>0</v>
      </c>
      <c r="BL1014" s="255">
        <f t="shared" si="577"/>
        <v>0</v>
      </c>
      <c r="BM1014" s="31">
        <f t="shared" si="578"/>
        <v>0</v>
      </c>
      <c r="BN1014" s="255">
        <f t="shared" si="579"/>
        <v>0</v>
      </c>
    </row>
    <row r="1015" spans="1:66" x14ac:dyDescent="0.25">
      <c r="A1015" s="18" t="s">
        <v>1274</v>
      </c>
      <c r="B1015" s="186" t="str">
        <f>VLOOKUP(A1015,kurspris!$A$1:$B$877,2,FALSE)</f>
        <v>Examensarbete i svenska för ämneslärarexamen</v>
      </c>
      <c r="C1015" s="37"/>
      <c r="D1015" s="31" t="s">
        <v>483</v>
      </c>
      <c r="E1015" s="31" t="s">
        <v>1976</v>
      </c>
      <c r="F1015" s="59" t="s">
        <v>1931</v>
      </c>
      <c r="G1015" s="295" t="s">
        <v>2268</v>
      </c>
      <c r="J1015" t="s">
        <v>771</v>
      </c>
      <c r="L1015" s="31">
        <v>100</v>
      </c>
      <c r="M1015" s="31">
        <v>7.5</v>
      </c>
      <c r="P1015" s="31">
        <v>2</v>
      </c>
      <c r="Q1015" s="232">
        <f t="shared" si="552"/>
        <v>0.25</v>
      </c>
      <c r="R1015" s="40">
        <v>0.85</v>
      </c>
      <c r="S1015" s="334">
        <f t="shared" si="553"/>
        <v>0.21249999999999999</v>
      </c>
      <c r="T1015" s="31">
        <f>VLOOKUP(A1015,'Ansvar kurs'!$A$1:$C$1010,2,FALSE)</f>
        <v>1620</v>
      </c>
      <c r="U1015" s="31" t="str">
        <f>VLOOKUP(T1015,Orgenheter!$A$1:$C$165,2,FALSE)</f>
        <v>Inst för språkstudier</v>
      </c>
      <c r="V1015" s="31" t="str">
        <f>VLOOKUP(T1015,Orgenheter!$A$1:$C$165,3,FALSE)</f>
        <v>Hum</v>
      </c>
      <c r="W1015" s="37" t="str">
        <f>VLOOKUP(D1015,Program!$A$1:$B$34,2,FALSE)</f>
        <v>Ämneslärarprogrammet - Gy</v>
      </c>
      <c r="X1015" s="42">
        <f>VLOOKUP(A1015,kurspris!$A$1:$Q$798,15,FALSE)</f>
        <v>18405</v>
      </c>
      <c r="Y1015" s="42">
        <f>VLOOKUP(A1015,kurspris!$A$1:$Q$798,16,FALSE)</f>
        <v>15773</v>
      </c>
      <c r="Z1015" s="42">
        <f t="shared" si="554"/>
        <v>7953.0124999999998</v>
      </c>
      <c r="AA1015" s="42">
        <f>VLOOKUP(A1015,kurspris!$A$1:$Q$798,17,FALSE)</f>
        <v>5800</v>
      </c>
      <c r="AB1015" s="42">
        <f t="shared" si="555"/>
        <v>1450</v>
      </c>
      <c r="AC1015" s="42">
        <f t="shared" si="556"/>
        <v>9403.0125000000007</v>
      </c>
      <c r="AD1015" s="31">
        <f>VLOOKUP($A1015,kurspris!$A$1:$Q$835,3,FALSE)</f>
        <v>0</v>
      </c>
      <c r="AE1015" s="31">
        <f>VLOOKUP($A1015,kurspris!$A$1:$Q$835,4,FALSE)</f>
        <v>1</v>
      </c>
      <c r="AF1015" s="31">
        <f>VLOOKUP($A1015,kurspris!$A$1:$Q$835,5,FALSE)</f>
        <v>0</v>
      </c>
      <c r="AG1015" s="31">
        <f>VLOOKUP($A1015,kurspris!$A$1:$Q$835,6,FALSE)</f>
        <v>0</v>
      </c>
      <c r="AH1015" s="31">
        <f>VLOOKUP($A1015,kurspris!$A$1:$Q$835,7,FALSE)</f>
        <v>0</v>
      </c>
      <c r="AI1015" s="31">
        <f>VLOOKUP($A1015,kurspris!$A$1:$Q$835,8,FALSE)</f>
        <v>0</v>
      </c>
      <c r="AJ1015" s="31">
        <f>VLOOKUP($A1015,kurspris!$A$1:$Q$835,9,FALSE)</f>
        <v>0</v>
      </c>
      <c r="AK1015" s="31">
        <f>VLOOKUP($A1015,kurspris!$A$1:$Q$835,10,FALSE)</f>
        <v>0</v>
      </c>
      <c r="AL1015" s="31">
        <f>VLOOKUP($A1015,kurspris!$A$1:$Q$835,11,FALSE)</f>
        <v>0</v>
      </c>
      <c r="AM1015" s="31">
        <f>VLOOKUP($A1015,kurspris!$A$1:$Q$835,12,FALSE)</f>
        <v>0</v>
      </c>
      <c r="AN1015" s="31">
        <f>VLOOKUP($A1015,kurspris!$A$1:$Q$835,13,FALSE)</f>
        <v>0</v>
      </c>
      <c r="AO1015" s="31">
        <f>VLOOKUP($A1015,kurspris!$A$1:$Q$835,14,FALSE)</f>
        <v>0</v>
      </c>
      <c r="AP1015" s="39" t="s">
        <v>2326</v>
      </c>
      <c r="AQ1015" t="s">
        <v>2300</v>
      </c>
      <c r="AR1015" s="31">
        <f t="shared" si="557"/>
        <v>0</v>
      </c>
      <c r="AS1015" s="255">
        <f t="shared" si="558"/>
        <v>0</v>
      </c>
      <c r="AT1015" s="31">
        <f t="shared" si="559"/>
        <v>0.25</v>
      </c>
      <c r="AU1015" s="255">
        <f t="shared" si="560"/>
        <v>0.21249999999999999</v>
      </c>
      <c r="AV1015" s="31">
        <f t="shared" si="561"/>
        <v>0</v>
      </c>
      <c r="AW1015" s="31">
        <f t="shared" si="562"/>
        <v>0</v>
      </c>
      <c r="AX1015" s="31">
        <f t="shared" si="563"/>
        <v>0</v>
      </c>
      <c r="AY1015" s="255">
        <f t="shared" si="564"/>
        <v>0</v>
      </c>
      <c r="AZ1015" s="232">
        <f t="shared" si="565"/>
        <v>0</v>
      </c>
      <c r="BA1015" s="255">
        <f t="shared" si="566"/>
        <v>0</v>
      </c>
      <c r="BB1015" s="31">
        <f t="shared" si="567"/>
        <v>0</v>
      </c>
      <c r="BC1015" s="255">
        <f t="shared" si="568"/>
        <v>0</v>
      </c>
      <c r="BD1015" s="31">
        <f t="shared" si="569"/>
        <v>0</v>
      </c>
      <c r="BE1015" s="255">
        <f t="shared" si="570"/>
        <v>0</v>
      </c>
      <c r="BF1015" s="31">
        <f t="shared" si="571"/>
        <v>0</v>
      </c>
      <c r="BG1015" s="255">
        <f t="shared" si="572"/>
        <v>0</v>
      </c>
      <c r="BH1015" s="31">
        <f t="shared" si="573"/>
        <v>0</v>
      </c>
      <c r="BI1015" s="255">
        <f t="shared" si="574"/>
        <v>0</v>
      </c>
      <c r="BJ1015" s="31">
        <f t="shared" si="575"/>
        <v>0</v>
      </c>
      <c r="BK1015" s="31">
        <f t="shared" si="576"/>
        <v>0</v>
      </c>
      <c r="BL1015" s="255">
        <f t="shared" si="577"/>
        <v>0</v>
      </c>
      <c r="BM1015" s="31">
        <f t="shared" si="578"/>
        <v>0</v>
      </c>
      <c r="BN1015" s="255">
        <f t="shared" si="579"/>
        <v>0</v>
      </c>
    </row>
    <row r="1016" spans="1:66" x14ac:dyDescent="0.25">
      <c r="A1016" s="18" t="s">
        <v>1274</v>
      </c>
      <c r="B1016" s="186" t="str">
        <f>VLOOKUP(A1016,kurspris!$A$1:$B$877,2,FALSE)</f>
        <v>Examensarbete i svenska för ämneslärarexamen</v>
      </c>
      <c r="C1016" s="37"/>
      <c r="D1016" s="31" t="s">
        <v>483</v>
      </c>
      <c r="E1016" s="31" t="s">
        <v>1976</v>
      </c>
      <c r="F1016" s="59" t="s">
        <v>1931</v>
      </c>
      <c r="G1016" s="295" t="s">
        <v>2268</v>
      </c>
      <c r="J1016" t="s">
        <v>773</v>
      </c>
      <c r="L1016" s="31">
        <v>100</v>
      </c>
      <c r="M1016" s="31">
        <v>7.5</v>
      </c>
      <c r="P1016" s="31">
        <v>1</v>
      </c>
      <c r="Q1016" s="232">
        <f t="shared" si="552"/>
        <v>0.125</v>
      </c>
      <c r="R1016" s="40">
        <v>0.85</v>
      </c>
      <c r="S1016" s="334">
        <f t="shared" si="553"/>
        <v>0.10625</v>
      </c>
      <c r="T1016" s="31">
        <f>VLOOKUP(A1016,'Ansvar kurs'!$A$1:$C$1010,2,FALSE)</f>
        <v>1620</v>
      </c>
      <c r="U1016" s="31" t="str">
        <f>VLOOKUP(T1016,Orgenheter!$A$1:$C$165,2,FALSE)</f>
        <v>Inst för språkstudier</v>
      </c>
      <c r="V1016" s="31" t="str">
        <f>VLOOKUP(T1016,Orgenheter!$A$1:$C$165,3,FALSE)</f>
        <v>Hum</v>
      </c>
      <c r="W1016" s="37" t="str">
        <f>VLOOKUP(D1016,Program!$A$1:$B$34,2,FALSE)</f>
        <v>Ämneslärarprogrammet - Gy</v>
      </c>
      <c r="X1016" s="42">
        <f>VLOOKUP(A1016,kurspris!$A$1:$Q$798,15,FALSE)</f>
        <v>18405</v>
      </c>
      <c r="Y1016" s="42">
        <f>VLOOKUP(A1016,kurspris!$A$1:$Q$798,16,FALSE)</f>
        <v>15773</v>
      </c>
      <c r="Z1016" s="42">
        <f t="shared" si="554"/>
        <v>3976.5062499999999</v>
      </c>
      <c r="AA1016" s="42">
        <f>VLOOKUP(A1016,kurspris!$A$1:$Q$798,17,FALSE)</f>
        <v>5800</v>
      </c>
      <c r="AB1016" s="42">
        <f t="shared" si="555"/>
        <v>725</v>
      </c>
      <c r="AC1016" s="42">
        <f t="shared" si="556"/>
        <v>4701.5062500000004</v>
      </c>
      <c r="AD1016" s="31">
        <f>VLOOKUP($A1016,kurspris!$A$1:$Q$835,3,FALSE)</f>
        <v>0</v>
      </c>
      <c r="AE1016" s="31">
        <f>VLOOKUP($A1016,kurspris!$A$1:$Q$835,4,FALSE)</f>
        <v>1</v>
      </c>
      <c r="AF1016" s="31">
        <f>VLOOKUP($A1016,kurspris!$A$1:$Q$835,5,FALSE)</f>
        <v>0</v>
      </c>
      <c r="AG1016" s="31">
        <f>VLOOKUP($A1016,kurspris!$A$1:$Q$835,6,FALSE)</f>
        <v>0</v>
      </c>
      <c r="AH1016" s="31">
        <f>VLOOKUP($A1016,kurspris!$A$1:$Q$835,7,FALSE)</f>
        <v>0</v>
      </c>
      <c r="AI1016" s="31">
        <f>VLOOKUP($A1016,kurspris!$A$1:$Q$835,8,FALSE)</f>
        <v>0</v>
      </c>
      <c r="AJ1016" s="31">
        <f>VLOOKUP($A1016,kurspris!$A$1:$Q$835,9,FALSE)</f>
        <v>0</v>
      </c>
      <c r="AK1016" s="31">
        <f>VLOOKUP($A1016,kurspris!$A$1:$Q$835,10,FALSE)</f>
        <v>0</v>
      </c>
      <c r="AL1016" s="31">
        <f>VLOOKUP($A1016,kurspris!$A$1:$Q$835,11,FALSE)</f>
        <v>0</v>
      </c>
      <c r="AM1016" s="31">
        <f>VLOOKUP($A1016,kurspris!$A$1:$Q$835,12,FALSE)</f>
        <v>0</v>
      </c>
      <c r="AN1016" s="31">
        <f>VLOOKUP($A1016,kurspris!$A$1:$Q$835,13,FALSE)</f>
        <v>0</v>
      </c>
      <c r="AO1016" s="31">
        <f>VLOOKUP($A1016,kurspris!$A$1:$Q$835,14,FALSE)</f>
        <v>0</v>
      </c>
      <c r="AP1016" s="39" t="s">
        <v>2326</v>
      </c>
      <c r="AQ1016" t="s">
        <v>2300</v>
      </c>
      <c r="AR1016" s="31">
        <f t="shared" si="557"/>
        <v>0</v>
      </c>
      <c r="AS1016" s="255">
        <f t="shared" si="558"/>
        <v>0</v>
      </c>
      <c r="AT1016" s="31">
        <f t="shared" si="559"/>
        <v>0.125</v>
      </c>
      <c r="AU1016" s="255">
        <f t="shared" si="560"/>
        <v>0.10625</v>
      </c>
      <c r="AV1016" s="31">
        <f t="shared" si="561"/>
        <v>0</v>
      </c>
      <c r="AW1016" s="31">
        <f t="shared" si="562"/>
        <v>0</v>
      </c>
      <c r="AX1016" s="31">
        <f t="shared" si="563"/>
        <v>0</v>
      </c>
      <c r="AY1016" s="255">
        <f t="shared" si="564"/>
        <v>0</v>
      </c>
      <c r="AZ1016" s="232">
        <f t="shared" si="565"/>
        <v>0</v>
      </c>
      <c r="BA1016" s="255">
        <f t="shared" si="566"/>
        <v>0</v>
      </c>
      <c r="BB1016" s="31">
        <f t="shared" si="567"/>
        <v>0</v>
      </c>
      <c r="BC1016" s="255">
        <f t="shared" si="568"/>
        <v>0</v>
      </c>
      <c r="BD1016" s="31">
        <f t="shared" si="569"/>
        <v>0</v>
      </c>
      <c r="BE1016" s="255">
        <f t="shared" si="570"/>
        <v>0</v>
      </c>
      <c r="BF1016" s="31">
        <f t="shared" si="571"/>
        <v>0</v>
      </c>
      <c r="BG1016" s="255">
        <f t="shared" si="572"/>
        <v>0</v>
      </c>
      <c r="BH1016" s="31">
        <f t="shared" si="573"/>
        <v>0</v>
      </c>
      <c r="BI1016" s="255">
        <f t="shared" si="574"/>
        <v>0</v>
      </c>
      <c r="BJ1016" s="31">
        <f t="shared" si="575"/>
        <v>0</v>
      </c>
      <c r="BK1016" s="31">
        <f t="shared" si="576"/>
        <v>0</v>
      </c>
      <c r="BL1016" s="255">
        <f t="shared" si="577"/>
        <v>0</v>
      </c>
      <c r="BM1016" s="31">
        <f t="shared" si="578"/>
        <v>0</v>
      </c>
      <c r="BN1016" s="255">
        <f t="shared" si="579"/>
        <v>0</v>
      </c>
    </row>
    <row r="1017" spans="1:66" x14ac:dyDescent="0.25">
      <c r="A1017" s="18" t="s">
        <v>1274</v>
      </c>
      <c r="B1017" s="186" t="str">
        <f>VLOOKUP(A1017,kurspris!$A$1:$B$877,2,FALSE)</f>
        <v>Examensarbete i svenska för ämneslärarexamen</v>
      </c>
      <c r="C1017" s="37"/>
      <c r="D1017" s="31" t="s">
        <v>483</v>
      </c>
      <c r="E1017" s="31" t="s">
        <v>1976</v>
      </c>
      <c r="F1017" s="59" t="s">
        <v>1931</v>
      </c>
      <c r="G1017" s="295" t="s">
        <v>2268</v>
      </c>
      <c r="J1017" t="s">
        <v>778</v>
      </c>
      <c r="L1017" s="31">
        <v>100</v>
      </c>
      <c r="M1017" s="31">
        <v>7.5</v>
      </c>
      <c r="P1017" s="31">
        <v>10</v>
      </c>
      <c r="Q1017" s="232">
        <f t="shared" si="552"/>
        <v>1.25</v>
      </c>
      <c r="R1017" s="40">
        <v>0.85</v>
      </c>
      <c r="S1017" s="334">
        <f t="shared" si="553"/>
        <v>1.0625</v>
      </c>
      <c r="T1017" s="31">
        <f>VLOOKUP(A1017,'Ansvar kurs'!$A$1:$C$1010,2,FALSE)</f>
        <v>1620</v>
      </c>
      <c r="U1017" s="31" t="str">
        <f>VLOOKUP(T1017,Orgenheter!$A$1:$C$165,2,FALSE)</f>
        <v>Inst för språkstudier</v>
      </c>
      <c r="V1017" s="31" t="str">
        <f>VLOOKUP(T1017,Orgenheter!$A$1:$C$165,3,FALSE)</f>
        <v>Hum</v>
      </c>
      <c r="W1017" s="37" t="str">
        <f>VLOOKUP(D1017,Program!$A$1:$B$34,2,FALSE)</f>
        <v>Ämneslärarprogrammet - Gy</v>
      </c>
      <c r="X1017" s="42">
        <f>VLOOKUP(A1017,kurspris!$A$1:$Q$798,15,FALSE)</f>
        <v>18405</v>
      </c>
      <c r="Y1017" s="42">
        <f>VLOOKUP(A1017,kurspris!$A$1:$Q$798,16,FALSE)</f>
        <v>15773</v>
      </c>
      <c r="Z1017" s="42">
        <f t="shared" si="554"/>
        <v>39765.0625</v>
      </c>
      <c r="AA1017" s="42">
        <f>VLOOKUP(A1017,kurspris!$A$1:$Q$798,17,FALSE)</f>
        <v>5800</v>
      </c>
      <c r="AB1017" s="42">
        <f t="shared" si="555"/>
        <v>7250</v>
      </c>
      <c r="AC1017" s="42">
        <f t="shared" si="556"/>
        <v>47015.0625</v>
      </c>
      <c r="AD1017" s="31">
        <f>VLOOKUP($A1017,kurspris!$A$1:$Q$835,3,FALSE)</f>
        <v>0</v>
      </c>
      <c r="AE1017" s="31">
        <f>VLOOKUP($A1017,kurspris!$A$1:$Q$835,4,FALSE)</f>
        <v>1</v>
      </c>
      <c r="AF1017" s="31">
        <f>VLOOKUP($A1017,kurspris!$A$1:$Q$835,5,FALSE)</f>
        <v>0</v>
      </c>
      <c r="AG1017" s="31">
        <f>VLOOKUP($A1017,kurspris!$A$1:$Q$835,6,FALSE)</f>
        <v>0</v>
      </c>
      <c r="AH1017" s="31">
        <f>VLOOKUP($A1017,kurspris!$A$1:$Q$835,7,FALSE)</f>
        <v>0</v>
      </c>
      <c r="AI1017" s="31">
        <f>VLOOKUP($A1017,kurspris!$A$1:$Q$835,8,FALSE)</f>
        <v>0</v>
      </c>
      <c r="AJ1017" s="31">
        <f>VLOOKUP($A1017,kurspris!$A$1:$Q$835,9,FALSE)</f>
        <v>0</v>
      </c>
      <c r="AK1017" s="31">
        <f>VLOOKUP($A1017,kurspris!$A$1:$Q$835,10,FALSE)</f>
        <v>0</v>
      </c>
      <c r="AL1017" s="31">
        <f>VLOOKUP($A1017,kurspris!$A$1:$Q$835,11,FALSE)</f>
        <v>0</v>
      </c>
      <c r="AM1017" s="31">
        <f>VLOOKUP($A1017,kurspris!$A$1:$Q$835,12,FALSE)</f>
        <v>0</v>
      </c>
      <c r="AN1017" s="31">
        <f>VLOOKUP($A1017,kurspris!$A$1:$Q$835,13,FALSE)</f>
        <v>0</v>
      </c>
      <c r="AO1017" s="31">
        <f>VLOOKUP($A1017,kurspris!$A$1:$Q$835,14,FALSE)</f>
        <v>0</v>
      </c>
      <c r="AP1017" s="39" t="s">
        <v>2326</v>
      </c>
      <c r="AQ1017" t="s">
        <v>2300</v>
      </c>
      <c r="AR1017" s="31">
        <f t="shared" si="557"/>
        <v>0</v>
      </c>
      <c r="AS1017" s="255">
        <f t="shared" si="558"/>
        <v>0</v>
      </c>
      <c r="AT1017" s="31">
        <f t="shared" si="559"/>
        <v>1.25</v>
      </c>
      <c r="AU1017" s="255">
        <f t="shared" si="560"/>
        <v>1.0625</v>
      </c>
      <c r="AV1017" s="31">
        <f t="shared" si="561"/>
        <v>0</v>
      </c>
      <c r="AW1017" s="31">
        <f t="shared" si="562"/>
        <v>0</v>
      </c>
      <c r="AX1017" s="31">
        <f t="shared" si="563"/>
        <v>0</v>
      </c>
      <c r="AY1017" s="255">
        <f t="shared" si="564"/>
        <v>0</v>
      </c>
      <c r="AZ1017" s="232">
        <f t="shared" si="565"/>
        <v>0</v>
      </c>
      <c r="BA1017" s="255">
        <f t="shared" si="566"/>
        <v>0</v>
      </c>
      <c r="BB1017" s="31">
        <f t="shared" si="567"/>
        <v>0</v>
      </c>
      <c r="BC1017" s="255">
        <f t="shared" si="568"/>
        <v>0</v>
      </c>
      <c r="BD1017" s="31">
        <f t="shared" si="569"/>
        <v>0</v>
      </c>
      <c r="BE1017" s="255">
        <f t="shared" si="570"/>
        <v>0</v>
      </c>
      <c r="BF1017" s="31">
        <f t="shared" si="571"/>
        <v>0</v>
      </c>
      <c r="BG1017" s="255">
        <f t="shared" si="572"/>
        <v>0</v>
      </c>
      <c r="BH1017" s="31">
        <f t="shared" si="573"/>
        <v>0</v>
      </c>
      <c r="BI1017" s="255">
        <f t="shared" si="574"/>
        <v>0</v>
      </c>
      <c r="BJ1017" s="31">
        <f t="shared" si="575"/>
        <v>0</v>
      </c>
      <c r="BK1017" s="31">
        <f t="shared" si="576"/>
        <v>0</v>
      </c>
      <c r="BL1017" s="255">
        <f t="shared" si="577"/>
        <v>0</v>
      </c>
      <c r="BM1017" s="31">
        <f t="shared" si="578"/>
        <v>0</v>
      </c>
      <c r="BN1017" s="255">
        <f t="shared" si="579"/>
        <v>0</v>
      </c>
    </row>
    <row r="1018" spans="1:66" x14ac:dyDescent="0.25">
      <c r="A1018" s="18" t="s">
        <v>1274</v>
      </c>
      <c r="B1018" s="186" t="str">
        <f>VLOOKUP(A1018,kurspris!$A$1:$B$877,2,FALSE)</f>
        <v>Examensarbete i svenska för ämneslärarexamen</v>
      </c>
      <c r="C1018" s="37"/>
      <c r="D1018" s="31" t="s">
        <v>483</v>
      </c>
      <c r="E1018" s="31" t="s">
        <v>1973</v>
      </c>
      <c r="F1018" s="59" t="s">
        <v>1931</v>
      </c>
      <c r="G1018" s="295" t="s">
        <v>2268</v>
      </c>
      <c r="J1018" t="s">
        <v>773</v>
      </c>
      <c r="L1018" s="31">
        <v>100</v>
      </c>
      <c r="M1018" s="31">
        <v>7.5</v>
      </c>
      <c r="P1018" s="31">
        <v>1</v>
      </c>
      <c r="Q1018" s="232">
        <f t="shared" si="552"/>
        <v>0.125</v>
      </c>
      <c r="R1018" s="40">
        <v>0.85</v>
      </c>
      <c r="S1018" s="334">
        <f t="shared" si="553"/>
        <v>0.10625</v>
      </c>
      <c r="T1018" s="31">
        <f>VLOOKUP(A1018,'Ansvar kurs'!$A$1:$C$1010,2,FALSE)</f>
        <v>1620</v>
      </c>
      <c r="U1018" s="31" t="str">
        <f>VLOOKUP(T1018,Orgenheter!$A$1:$C$165,2,FALSE)</f>
        <v>Inst för språkstudier</v>
      </c>
      <c r="V1018" s="31" t="str">
        <f>VLOOKUP(T1018,Orgenheter!$A$1:$C$165,3,FALSE)</f>
        <v>Hum</v>
      </c>
      <c r="W1018" s="37" t="str">
        <f>VLOOKUP(D1018,Program!$A$1:$B$34,2,FALSE)</f>
        <v>Ämneslärarprogrammet - Gy</v>
      </c>
      <c r="X1018" s="42">
        <f>VLOOKUP(A1018,kurspris!$A$1:$Q$798,15,FALSE)</f>
        <v>18405</v>
      </c>
      <c r="Y1018" s="42">
        <f>VLOOKUP(A1018,kurspris!$A$1:$Q$798,16,FALSE)</f>
        <v>15773</v>
      </c>
      <c r="Z1018" s="42">
        <f t="shared" si="554"/>
        <v>3976.5062499999999</v>
      </c>
      <c r="AA1018" s="42">
        <f>VLOOKUP(A1018,kurspris!$A$1:$Q$798,17,FALSE)</f>
        <v>5800</v>
      </c>
      <c r="AB1018" s="42">
        <f t="shared" si="555"/>
        <v>725</v>
      </c>
      <c r="AC1018" s="42">
        <f t="shared" si="556"/>
        <v>4701.5062500000004</v>
      </c>
      <c r="AD1018" s="31">
        <f>VLOOKUP($A1018,kurspris!$A$1:$Q$835,3,FALSE)</f>
        <v>0</v>
      </c>
      <c r="AE1018" s="31">
        <f>VLOOKUP($A1018,kurspris!$A$1:$Q$835,4,FALSE)</f>
        <v>1</v>
      </c>
      <c r="AF1018" s="31">
        <f>VLOOKUP($A1018,kurspris!$A$1:$Q$835,5,FALSE)</f>
        <v>0</v>
      </c>
      <c r="AG1018" s="31">
        <f>VLOOKUP($A1018,kurspris!$A$1:$Q$835,6,FALSE)</f>
        <v>0</v>
      </c>
      <c r="AH1018" s="31">
        <f>VLOOKUP($A1018,kurspris!$A$1:$Q$835,7,FALSE)</f>
        <v>0</v>
      </c>
      <c r="AI1018" s="31">
        <f>VLOOKUP($A1018,kurspris!$A$1:$Q$835,8,FALSE)</f>
        <v>0</v>
      </c>
      <c r="AJ1018" s="31">
        <f>VLOOKUP($A1018,kurspris!$A$1:$Q$835,9,FALSE)</f>
        <v>0</v>
      </c>
      <c r="AK1018" s="31">
        <f>VLOOKUP($A1018,kurspris!$A$1:$Q$835,10,FALSE)</f>
        <v>0</v>
      </c>
      <c r="AL1018" s="31">
        <f>VLOOKUP($A1018,kurspris!$A$1:$Q$835,11,FALSE)</f>
        <v>0</v>
      </c>
      <c r="AM1018" s="31">
        <f>VLOOKUP($A1018,kurspris!$A$1:$Q$835,12,FALSE)</f>
        <v>0</v>
      </c>
      <c r="AN1018" s="31">
        <f>VLOOKUP($A1018,kurspris!$A$1:$Q$835,13,FALSE)</f>
        <v>0</v>
      </c>
      <c r="AO1018" s="31">
        <f>VLOOKUP($A1018,kurspris!$A$1:$Q$835,14,FALSE)</f>
        <v>0</v>
      </c>
      <c r="AP1018" s="39" t="s">
        <v>2326</v>
      </c>
      <c r="AQ1018" t="s">
        <v>2300</v>
      </c>
      <c r="AR1018" s="31">
        <f t="shared" si="557"/>
        <v>0</v>
      </c>
      <c r="AS1018" s="255">
        <f t="shared" si="558"/>
        <v>0</v>
      </c>
      <c r="AT1018" s="31">
        <f t="shared" si="559"/>
        <v>0.125</v>
      </c>
      <c r="AU1018" s="255">
        <f t="shared" si="560"/>
        <v>0.10625</v>
      </c>
      <c r="AV1018" s="31">
        <f t="shared" si="561"/>
        <v>0</v>
      </c>
      <c r="AW1018" s="31">
        <f t="shared" si="562"/>
        <v>0</v>
      </c>
      <c r="AX1018" s="31">
        <f t="shared" si="563"/>
        <v>0</v>
      </c>
      <c r="AY1018" s="255">
        <f t="shared" si="564"/>
        <v>0</v>
      </c>
      <c r="AZ1018" s="232">
        <f t="shared" si="565"/>
        <v>0</v>
      </c>
      <c r="BA1018" s="255">
        <f t="shared" si="566"/>
        <v>0</v>
      </c>
      <c r="BB1018" s="31">
        <f t="shared" si="567"/>
        <v>0</v>
      </c>
      <c r="BC1018" s="255">
        <f t="shared" si="568"/>
        <v>0</v>
      </c>
      <c r="BD1018" s="31">
        <f t="shared" si="569"/>
        <v>0</v>
      </c>
      <c r="BE1018" s="255">
        <f t="shared" si="570"/>
        <v>0</v>
      </c>
      <c r="BF1018" s="31">
        <f t="shared" si="571"/>
        <v>0</v>
      </c>
      <c r="BG1018" s="255">
        <f t="shared" si="572"/>
        <v>0</v>
      </c>
      <c r="BH1018" s="31">
        <f t="shared" si="573"/>
        <v>0</v>
      </c>
      <c r="BI1018" s="255">
        <f t="shared" si="574"/>
        <v>0</v>
      </c>
      <c r="BJ1018" s="31">
        <f t="shared" si="575"/>
        <v>0</v>
      </c>
      <c r="BK1018" s="31">
        <f t="shared" si="576"/>
        <v>0</v>
      </c>
      <c r="BL1018" s="255">
        <f t="shared" si="577"/>
        <v>0</v>
      </c>
      <c r="BM1018" s="31">
        <f t="shared" si="578"/>
        <v>0</v>
      </c>
      <c r="BN1018" s="255">
        <f t="shared" si="579"/>
        <v>0</v>
      </c>
    </row>
    <row r="1019" spans="1:66" x14ac:dyDescent="0.25">
      <c r="A1019" s="18" t="s">
        <v>1274</v>
      </c>
      <c r="B1019" s="186" t="str">
        <f>VLOOKUP(A1019,kurspris!$A$1:$B$877,2,FALSE)</f>
        <v>Examensarbete i svenska för ämneslärarexamen</v>
      </c>
      <c r="C1019" s="37"/>
      <c r="D1019" s="31" t="s">
        <v>483</v>
      </c>
      <c r="E1019" s="31" t="s">
        <v>1973</v>
      </c>
      <c r="F1019" s="59" t="s">
        <v>1931</v>
      </c>
      <c r="G1019" s="295" t="s">
        <v>2268</v>
      </c>
      <c r="J1019" t="s">
        <v>778</v>
      </c>
      <c r="L1019" s="31">
        <v>100</v>
      </c>
      <c r="M1019" s="31">
        <v>7.5</v>
      </c>
      <c r="P1019" s="31">
        <v>1</v>
      </c>
      <c r="Q1019" s="232">
        <f t="shared" si="552"/>
        <v>0.125</v>
      </c>
      <c r="R1019" s="40">
        <v>0.85</v>
      </c>
      <c r="S1019" s="334">
        <f t="shared" si="553"/>
        <v>0.10625</v>
      </c>
      <c r="T1019" s="31">
        <f>VLOOKUP(A1019,'Ansvar kurs'!$A$1:$C$1010,2,FALSE)</f>
        <v>1620</v>
      </c>
      <c r="U1019" s="31" t="str">
        <f>VLOOKUP(T1019,Orgenheter!$A$1:$C$165,2,FALSE)</f>
        <v>Inst för språkstudier</v>
      </c>
      <c r="V1019" s="31" t="str">
        <f>VLOOKUP(T1019,Orgenheter!$A$1:$C$165,3,FALSE)</f>
        <v>Hum</v>
      </c>
      <c r="W1019" s="37" t="str">
        <f>VLOOKUP(D1019,Program!$A$1:$B$34,2,FALSE)</f>
        <v>Ämneslärarprogrammet - Gy</v>
      </c>
      <c r="X1019" s="42">
        <f>VLOOKUP(A1019,kurspris!$A$1:$Q$798,15,FALSE)</f>
        <v>18405</v>
      </c>
      <c r="Y1019" s="42">
        <f>VLOOKUP(A1019,kurspris!$A$1:$Q$798,16,FALSE)</f>
        <v>15773</v>
      </c>
      <c r="Z1019" s="42">
        <f t="shared" si="554"/>
        <v>3976.5062499999999</v>
      </c>
      <c r="AA1019" s="42">
        <f>VLOOKUP(A1019,kurspris!$A$1:$Q$798,17,FALSE)</f>
        <v>5800</v>
      </c>
      <c r="AB1019" s="42">
        <f t="shared" si="555"/>
        <v>725</v>
      </c>
      <c r="AC1019" s="42">
        <f t="shared" si="556"/>
        <v>4701.5062500000004</v>
      </c>
      <c r="AD1019" s="31">
        <f>VLOOKUP($A1019,kurspris!$A$1:$Q$835,3,FALSE)</f>
        <v>0</v>
      </c>
      <c r="AE1019" s="31">
        <f>VLOOKUP($A1019,kurspris!$A$1:$Q$835,4,FALSE)</f>
        <v>1</v>
      </c>
      <c r="AF1019" s="31">
        <f>VLOOKUP($A1019,kurspris!$A$1:$Q$835,5,FALSE)</f>
        <v>0</v>
      </c>
      <c r="AG1019" s="31">
        <f>VLOOKUP($A1019,kurspris!$A$1:$Q$835,6,FALSE)</f>
        <v>0</v>
      </c>
      <c r="AH1019" s="31">
        <f>VLOOKUP($A1019,kurspris!$A$1:$Q$835,7,FALSE)</f>
        <v>0</v>
      </c>
      <c r="AI1019" s="31">
        <f>VLOOKUP($A1019,kurspris!$A$1:$Q$835,8,FALSE)</f>
        <v>0</v>
      </c>
      <c r="AJ1019" s="31">
        <f>VLOOKUP($A1019,kurspris!$A$1:$Q$835,9,FALSE)</f>
        <v>0</v>
      </c>
      <c r="AK1019" s="31">
        <f>VLOOKUP($A1019,kurspris!$A$1:$Q$835,10,FALSE)</f>
        <v>0</v>
      </c>
      <c r="AL1019" s="31">
        <f>VLOOKUP($A1019,kurspris!$A$1:$Q$835,11,FALSE)</f>
        <v>0</v>
      </c>
      <c r="AM1019" s="31">
        <f>VLOOKUP($A1019,kurspris!$A$1:$Q$835,12,FALSE)</f>
        <v>0</v>
      </c>
      <c r="AN1019" s="31">
        <f>VLOOKUP($A1019,kurspris!$A$1:$Q$835,13,FALSE)</f>
        <v>0</v>
      </c>
      <c r="AO1019" s="31">
        <f>VLOOKUP($A1019,kurspris!$A$1:$Q$835,14,FALSE)</f>
        <v>0</v>
      </c>
      <c r="AP1019" s="39" t="s">
        <v>2326</v>
      </c>
      <c r="AQ1019" t="s">
        <v>2300</v>
      </c>
      <c r="AR1019" s="31">
        <f t="shared" si="557"/>
        <v>0</v>
      </c>
      <c r="AS1019" s="255">
        <f t="shared" si="558"/>
        <v>0</v>
      </c>
      <c r="AT1019" s="31">
        <f t="shared" si="559"/>
        <v>0.125</v>
      </c>
      <c r="AU1019" s="255">
        <f t="shared" si="560"/>
        <v>0.10625</v>
      </c>
      <c r="AV1019" s="31">
        <f t="shared" si="561"/>
        <v>0</v>
      </c>
      <c r="AW1019" s="31">
        <f t="shared" si="562"/>
        <v>0</v>
      </c>
      <c r="AX1019" s="31">
        <f t="shared" si="563"/>
        <v>0</v>
      </c>
      <c r="AY1019" s="255">
        <f t="shared" si="564"/>
        <v>0</v>
      </c>
      <c r="AZ1019" s="232">
        <f t="shared" si="565"/>
        <v>0</v>
      </c>
      <c r="BA1019" s="255">
        <f t="shared" si="566"/>
        <v>0</v>
      </c>
      <c r="BB1019" s="31">
        <f t="shared" si="567"/>
        <v>0</v>
      </c>
      <c r="BC1019" s="255">
        <f t="shared" si="568"/>
        <v>0</v>
      </c>
      <c r="BD1019" s="31">
        <f t="shared" si="569"/>
        <v>0</v>
      </c>
      <c r="BE1019" s="255">
        <f t="shared" si="570"/>
        <v>0</v>
      </c>
      <c r="BF1019" s="31">
        <f t="shared" si="571"/>
        <v>0</v>
      </c>
      <c r="BG1019" s="255">
        <f t="shared" si="572"/>
        <v>0</v>
      </c>
      <c r="BH1019" s="31">
        <f t="shared" si="573"/>
        <v>0</v>
      </c>
      <c r="BI1019" s="255">
        <f t="shared" si="574"/>
        <v>0</v>
      </c>
      <c r="BJ1019" s="31">
        <f t="shared" si="575"/>
        <v>0</v>
      </c>
      <c r="BK1019" s="31">
        <f t="shared" si="576"/>
        <v>0</v>
      </c>
      <c r="BL1019" s="255">
        <f t="shared" si="577"/>
        <v>0</v>
      </c>
      <c r="BM1019" s="31">
        <f t="shared" si="578"/>
        <v>0</v>
      </c>
      <c r="BN1019" s="255">
        <f t="shared" si="579"/>
        <v>0</v>
      </c>
    </row>
    <row r="1020" spans="1:66" x14ac:dyDescent="0.25">
      <c r="A1020" t="s">
        <v>1302</v>
      </c>
      <c r="B1020" s="186" t="str">
        <f>VLOOKUP(A1020,kurspris!$A$1:$B$877,2,FALSE)</f>
        <v>Examensarbete i språkdidaktik för ämneslärarexamen</v>
      </c>
      <c r="C1020"/>
      <c r="D1020" t="s">
        <v>483</v>
      </c>
      <c r="E1020" t="s">
        <v>1994</v>
      </c>
      <c r="F1020" s="39" t="s">
        <v>1930</v>
      </c>
      <c r="G1020" t="s">
        <v>1993</v>
      </c>
      <c r="H1020" t="s">
        <v>1910</v>
      </c>
      <c r="I1020"/>
      <c r="J1020" t="s">
        <v>771</v>
      </c>
      <c r="K1020"/>
      <c r="L1020">
        <v>100</v>
      </c>
      <c r="M1020" s="295">
        <v>22.5</v>
      </c>
      <c r="N1020"/>
      <c r="O1020"/>
      <c r="P1020" s="31">
        <v>1</v>
      </c>
      <c r="Q1020" s="232">
        <f t="shared" si="552"/>
        <v>0.375</v>
      </c>
      <c r="R1020" s="40">
        <v>0.85</v>
      </c>
      <c r="S1020" s="334">
        <f t="shared" si="553"/>
        <v>0.31874999999999998</v>
      </c>
      <c r="T1020" s="31">
        <f>VLOOKUP(A1020,'Ansvar kurs'!$A$1:$C$1010,2,FALSE)</f>
        <v>1620</v>
      </c>
      <c r="U1020" s="31" t="str">
        <f>VLOOKUP(T1020,Orgenheter!$A$1:$C$165,2,FALSE)</f>
        <v>Inst för språkstudier</v>
      </c>
      <c r="V1020" s="31" t="str">
        <f>VLOOKUP(T1020,Orgenheter!$A$1:$C$165,3,FALSE)</f>
        <v>Hum</v>
      </c>
      <c r="W1020" s="37" t="str">
        <f>VLOOKUP(D1020,Program!$A$1:$B$34,2,FALSE)</f>
        <v>Ämneslärarprogrammet - Gy</v>
      </c>
      <c r="X1020" s="42">
        <f>VLOOKUP(A1020,kurspris!$A$1:$Q$798,15,FALSE)</f>
        <v>18405</v>
      </c>
      <c r="Y1020" s="42">
        <f>VLOOKUP(A1020,kurspris!$A$1:$Q$798,16,FALSE)</f>
        <v>15773</v>
      </c>
      <c r="Z1020" s="42">
        <f t="shared" si="554"/>
        <v>11929.518749999999</v>
      </c>
      <c r="AA1020" s="42">
        <f>VLOOKUP(A1020,kurspris!$A$1:$Q$798,17,FALSE)</f>
        <v>5800</v>
      </c>
      <c r="AB1020" s="42">
        <f t="shared" si="555"/>
        <v>2175</v>
      </c>
      <c r="AC1020" s="42">
        <f t="shared" si="556"/>
        <v>14104.518749999999</v>
      </c>
      <c r="AD1020" s="31">
        <f>VLOOKUP($A1020,kurspris!$A$1:$Q$835,3,FALSE)</f>
        <v>0</v>
      </c>
      <c r="AE1020" s="31">
        <f>VLOOKUP($A1020,kurspris!$A$1:$Q$835,4,FALSE)</f>
        <v>1</v>
      </c>
      <c r="AF1020" s="31">
        <f>VLOOKUP($A1020,kurspris!$A$1:$Q$835,5,FALSE)</f>
        <v>0</v>
      </c>
      <c r="AG1020" s="31">
        <f>VLOOKUP($A1020,kurspris!$A$1:$Q$835,6,FALSE)</f>
        <v>0</v>
      </c>
      <c r="AH1020" s="31">
        <f>VLOOKUP($A1020,kurspris!$A$1:$Q$835,7,FALSE)</f>
        <v>0</v>
      </c>
      <c r="AI1020" s="31">
        <f>VLOOKUP($A1020,kurspris!$A$1:$Q$835,8,FALSE)</f>
        <v>0</v>
      </c>
      <c r="AJ1020" s="31">
        <f>VLOOKUP($A1020,kurspris!$A$1:$Q$835,9,FALSE)</f>
        <v>0</v>
      </c>
      <c r="AK1020" s="31">
        <f>VLOOKUP($A1020,kurspris!$A$1:$Q$835,10,FALSE)</f>
        <v>0</v>
      </c>
      <c r="AL1020" s="31">
        <f>VLOOKUP($A1020,kurspris!$A$1:$Q$835,11,FALSE)</f>
        <v>0</v>
      </c>
      <c r="AM1020" s="31">
        <f>VLOOKUP($A1020,kurspris!$A$1:$Q$835,12,FALSE)</f>
        <v>0</v>
      </c>
      <c r="AN1020" s="31">
        <f>VLOOKUP($A1020,kurspris!$A$1:$Q$835,13,FALSE)</f>
        <v>0</v>
      </c>
      <c r="AO1020" s="31">
        <f>VLOOKUP($A1020,kurspris!$A$1:$Q$835,14,FALSE)</f>
        <v>0</v>
      </c>
      <c r="AP1020" s="39" t="s">
        <v>2204</v>
      </c>
      <c r="AQ1020" s="39" t="s">
        <v>2035</v>
      </c>
      <c r="AR1020" s="31">
        <f t="shared" si="557"/>
        <v>0</v>
      </c>
      <c r="AS1020" s="255">
        <f t="shared" si="558"/>
        <v>0</v>
      </c>
      <c r="AT1020" s="31">
        <f t="shared" si="559"/>
        <v>0.375</v>
      </c>
      <c r="AU1020" s="255">
        <f t="shared" si="560"/>
        <v>0.31874999999999998</v>
      </c>
      <c r="AV1020" s="31">
        <f t="shared" si="561"/>
        <v>0</v>
      </c>
      <c r="AW1020" s="31">
        <f t="shared" si="562"/>
        <v>0</v>
      </c>
      <c r="AX1020" s="31">
        <f t="shared" si="563"/>
        <v>0</v>
      </c>
      <c r="AY1020" s="255">
        <f t="shared" si="564"/>
        <v>0</v>
      </c>
      <c r="AZ1020" s="232">
        <f t="shared" si="565"/>
        <v>0</v>
      </c>
      <c r="BA1020" s="255">
        <f t="shared" si="566"/>
        <v>0</v>
      </c>
      <c r="BB1020" s="31">
        <f t="shared" si="567"/>
        <v>0</v>
      </c>
      <c r="BC1020" s="255">
        <f t="shared" si="568"/>
        <v>0</v>
      </c>
      <c r="BD1020" s="31">
        <f t="shared" si="569"/>
        <v>0</v>
      </c>
      <c r="BE1020" s="255">
        <f t="shared" si="570"/>
        <v>0</v>
      </c>
      <c r="BF1020" s="31">
        <f t="shared" si="571"/>
        <v>0</v>
      </c>
      <c r="BG1020" s="255">
        <f t="shared" si="572"/>
        <v>0</v>
      </c>
      <c r="BH1020" s="31">
        <f t="shared" si="573"/>
        <v>0</v>
      </c>
      <c r="BI1020" s="255">
        <f t="shared" si="574"/>
        <v>0</v>
      </c>
      <c r="BJ1020" s="31">
        <f t="shared" si="575"/>
        <v>0</v>
      </c>
      <c r="BK1020" s="31">
        <f t="shared" si="576"/>
        <v>0</v>
      </c>
      <c r="BL1020" s="255">
        <f t="shared" si="577"/>
        <v>0</v>
      </c>
      <c r="BM1020" s="31">
        <f t="shared" si="578"/>
        <v>0</v>
      </c>
      <c r="BN1020" s="255">
        <f t="shared" si="579"/>
        <v>0</v>
      </c>
    </row>
    <row r="1021" spans="1:66" x14ac:dyDescent="0.25">
      <c r="A1021" t="s">
        <v>1302</v>
      </c>
      <c r="B1021" s="186" t="str">
        <f>VLOOKUP(A1021,kurspris!$A$1:$B$877,2,FALSE)</f>
        <v>Examensarbete i språkdidaktik för ämneslärarexamen</v>
      </c>
      <c r="C1021"/>
      <c r="D1021" t="s">
        <v>483</v>
      </c>
      <c r="E1021" t="s">
        <v>1975</v>
      </c>
      <c r="F1021" s="39" t="s">
        <v>1930</v>
      </c>
      <c r="G1021" t="s">
        <v>1993</v>
      </c>
      <c r="H1021" t="s">
        <v>1910</v>
      </c>
      <c r="I1021"/>
      <c r="J1021" t="s">
        <v>771</v>
      </c>
      <c r="K1021"/>
      <c r="L1021">
        <v>100</v>
      </c>
      <c r="M1021" s="295">
        <v>22.5</v>
      </c>
      <c r="N1021"/>
      <c r="O1021"/>
      <c r="P1021" s="31">
        <v>9</v>
      </c>
      <c r="Q1021" s="232">
        <f t="shared" si="552"/>
        <v>3.375</v>
      </c>
      <c r="R1021" s="40">
        <v>0.85</v>
      </c>
      <c r="S1021" s="334">
        <f t="shared" si="553"/>
        <v>2.8687499999999999</v>
      </c>
      <c r="T1021" s="31">
        <f>VLOOKUP(A1021,'Ansvar kurs'!$A$1:$C$1010,2,FALSE)</f>
        <v>1620</v>
      </c>
      <c r="U1021" s="31" t="str">
        <f>VLOOKUP(T1021,Orgenheter!$A$1:$C$165,2,FALSE)</f>
        <v>Inst för språkstudier</v>
      </c>
      <c r="V1021" s="31" t="str">
        <f>VLOOKUP(T1021,Orgenheter!$A$1:$C$165,3,FALSE)</f>
        <v>Hum</v>
      </c>
      <c r="W1021" s="37" t="str">
        <f>VLOOKUP(D1021,Program!$A$1:$B$34,2,FALSE)</f>
        <v>Ämneslärarprogrammet - Gy</v>
      </c>
      <c r="X1021" s="42">
        <f>VLOOKUP(A1021,kurspris!$A$1:$Q$798,15,FALSE)</f>
        <v>18405</v>
      </c>
      <c r="Y1021" s="42">
        <f>VLOOKUP(A1021,kurspris!$A$1:$Q$798,16,FALSE)</f>
        <v>15773</v>
      </c>
      <c r="Z1021" s="42">
        <f t="shared" si="554"/>
        <v>107365.66875</v>
      </c>
      <c r="AA1021" s="42">
        <f>VLOOKUP(A1021,kurspris!$A$1:$Q$798,17,FALSE)</f>
        <v>5800</v>
      </c>
      <c r="AB1021" s="42">
        <f t="shared" si="555"/>
        <v>19575</v>
      </c>
      <c r="AC1021" s="42">
        <f t="shared" si="556"/>
        <v>126940.66875</v>
      </c>
      <c r="AD1021" s="31">
        <f>VLOOKUP($A1021,kurspris!$A$1:$Q$835,3,FALSE)</f>
        <v>0</v>
      </c>
      <c r="AE1021" s="31">
        <f>VLOOKUP($A1021,kurspris!$A$1:$Q$835,4,FALSE)</f>
        <v>1</v>
      </c>
      <c r="AF1021" s="31">
        <f>VLOOKUP($A1021,kurspris!$A$1:$Q$835,5,FALSE)</f>
        <v>0</v>
      </c>
      <c r="AG1021" s="31">
        <f>VLOOKUP($A1021,kurspris!$A$1:$Q$835,6,FALSE)</f>
        <v>0</v>
      </c>
      <c r="AH1021" s="31">
        <f>VLOOKUP($A1021,kurspris!$A$1:$Q$835,7,FALSE)</f>
        <v>0</v>
      </c>
      <c r="AI1021" s="31">
        <f>VLOOKUP($A1021,kurspris!$A$1:$Q$835,8,FALSE)</f>
        <v>0</v>
      </c>
      <c r="AJ1021" s="31">
        <f>VLOOKUP($A1021,kurspris!$A$1:$Q$835,9,FALSE)</f>
        <v>0</v>
      </c>
      <c r="AK1021" s="31">
        <f>VLOOKUP($A1021,kurspris!$A$1:$Q$835,10,FALSE)</f>
        <v>0</v>
      </c>
      <c r="AL1021" s="31">
        <f>VLOOKUP($A1021,kurspris!$A$1:$Q$835,11,FALSE)</f>
        <v>0</v>
      </c>
      <c r="AM1021" s="31">
        <f>VLOOKUP($A1021,kurspris!$A$1:$Q$835,12,FALSE)</f>
        <v>0</v>
      </c>
      <c r="AN1021" s="31">
        <f>VLOOKUP($A1021,kurspris!$A$1:$Q$835,13,FALSE)</f>
        <v>0</v>
      </c>
      <c r="AO1021" s="31">
        <f>VLOOKUP($A1021,kurspris!$A$1:$Q$835,14,FALSE)</f>
        <v>0</v>
      </c>
      <c r="AP1021" s="39" t="s">
        <v>2204</v>
      </c>
      <c r="AQ1021" s="39" t="s">
        <v>2035</v>
      </c>
      <c r="AR1021" s="31">
        <f t="shared" si="557"/>
        <v>0</v>
      </c>
      <c r="AS1021" s="255">
        <f t="shared" si="558"/>
        <v>0</v>
      </c>
      <c r="AT1021" s="31">
        <f t="shared" si="559"/>
        <v>3.375</v>
      </c>
      <c r="AU1021" s="255">
        <f t="shared" si="560"/>
        <v>2.8687499999999999</v>
      </c>
      <c r="AV1021" s="31">
        <f t="shared" si="561"/>
        <v>0</v>
      </c>
      <c r="AW1021" s="31">
        <f t="shared" si="562"/>
        <v>0</v>
      </c>
      <c r="AX1021" s="31">
        <f t="shared" si="563"/>
        <v>0</v>
      </c>
      <c r="AY1021" s="255">
        <f t="shared" si="564"/>
        <v>0</v>
      </c>
      <c r="AZ1021" s="232">
        <f t="shared" si="565"/>
        <v>0</v>
      </c>
      <c r="BA1021" s="255">
        <f t="shared" si="566"/>
        <v>0</v>
      </c>
      <c r="BB1021" s="31">
        <f t="shared" si="567"/>
        <v>0</v>
      </c>
      <c r="BC1021" s="255">
        <f t="shared" si="568"/>
        <v>0</v>
      </c>
      <c r="BD1021" s="31">
        <f t="shared" si="569"/>
        <v>0</v>
      </c>
      <c r="BE1021" s="255">
        <f t="shared" si="570"/>
        <v>0</v>
      </c>
      <c r="BF1021" s="31">
        <f t="shared" si="571"/>
        <v>0</v>
      </c>
      <c r="BG1021" s="255">
        <f t="shared" si="572"/>
        <v>0</v>
      </c>
      <c r="BH1021" s="31">
        <f t="shared" si="573"/>
        <v>0</v>
      </c>
      <c r="BI1021" s="255">
        <f t="shared" si="574"/>
        <v>0</v>
      </c>
      <c r="BJ1021" s="31">
        <f t="shared" si="575"/>
        <v>0</v>
      </c>
      <c r="BK1021" s="31">
        <f t="shared" si="576"/>
        <v>0</v>
      </c>
      <c r="BL1021" s="255">
        <f t="shared" si="577"/>
        <v>0</v>
      </c>
      <c r="BM1021" s="31">
        <f t="shared" si="578"/>
        <v>0</v>
      </c>
      <c r="BN1021" s="255">
        <f t="shared" si="579"/>
        <v>0</v>
      </c>
    </row>
    <row r="1022" spans="1:66" x14ac:dyDescent="0.25">
      <c r="A1022" t="s">
        <v>1302</v>
      </c>
      <c r="B1022" s="186" t="str">
        <f>VLOOKUP(A1022,kurspris!$A$1:$B$877,2,FALSE)</f>
        <v>Examensarbete i språkdidaktik för ämneslärarexamen</v>
      </c>
      <c r="C1022"/>
      <c r="D1022" t="s">
        <v>483</v>
      </c>
      <c r="E1022" t="s">
        <v>1975</v>
      </c>
      <c r="F1022" s="39" t="s">
        <v>1930</v>
      </c>
      <c r="G1022" t="s">
        <v>1993</v>
      </c>
      <c r="H1022" t="s">
        <v>1910</v>
      </c>
      <c r="I1022"/>
      <c r="J1022" t="s">
        <v>772</v>
      </c>
      <c r="K1022"/>
      <c r="L1022">
        <v>100</v>
      </c>
      <c r="M1022" s="295">
        <v>22.5</v>
      </c>
      <c r="N1022"/>
      <c r="O1022"/>
      <c r="P1022" s="31">
        <v>1</v>
      </c>
      <c r="Q1022" s="232">
        <f t="shared" si="552"/>
        <v>0.375</v>
      </c>
      <c r="R1022" s="40">
        <v>0.85</v>
      </c>
      <c r="S1022" s="334">
        <f t="shared" si="553"/>
        <v>0.31874999999999998</v>
      </c>
      <c r="T1022" s="31">
        <f>VLOOKUP(A1022,'Ansvar kurs'!$A$1:$C$1010,2,FALSE)</f>
        <v>1620</v>
      </c>
      <c r="U1022" s="31" t="str">
        <f>VLOOKUP(T1022,Orgenheter!$A$1:$C$165,2,FALSE)</f>
        <v>Inst för språkstudier</v>
      </c>
      <c r="V1022" s="31" t="str">
        <f>VLOOKUP(T1022,Orgenheter!$A$1:$C$165,3,FALSE)</f>
        <v>Hum</v>
      </c>
      <c r="W1022" s="37" t="str">
        <f>VLOOKUP(D1022,Program!$A$1:$B$34,2,FALSE)</f>
        <v>Ämneslärarprogrammet - Gy</v>
      </c>
      <c r="X1022" s="42">
        <f>VLOOKUP(A1022,kurspris!$A$1:$Q$798,15,FALSE)</f>
        <v>18405</v>
      </c>
      <c r="Y1022" s="42">
        <f>VLOOKUP(A1022,kurspris!$A$1:$Q$798,16,FALSE)</f>
        <v>15773</v>
      </c>
      <c r="Z1022" s="42">
        <f t="shared" si="554"/>
        <v>11929.518749999999</v>
      </c>
      <c r="AA1022" s="42">
        <f>VLOOKUP(A1022,kurspris!$A$1:$Q$798,17,FALSE)</f>
        <v>5800</v>
      </c>
      <c r="AB1022" s="42">
        <f t="shared" si="555"/>
        <v>2175</v>
      </c>
      <c r="AC1022" s="42">
        <f t="shared" si="556"/>
        <v>14104.518749999999</v>
      </c>
      <c r="AD1022" s="31">
        <f>VLOOKUP($A1022,kurspris!$A$1:$Q$835,3,FALSE)</f>
        <v>0</v>
      </c>
      <c r="AE1022" s="31">
        <f>VLOOKUP($A1022,kurspris!$A$1:$Q$835,4,FALSE)</f>
        <v>1</v>
      </c>
      <c r="AF1022" s="31">
        <f>VLOOKUP($A1022,kurspris!$A$1:$Q$835,5,FALSE)</f>
        <v>0</v>
      </c>
      <c r="AG1022" s="31">
        <f>VLOOKUP($A1022,kurspris!$A$1:$Q$835,6,FALSE)</f>
        <v>0</v>
      </c>
      <c r="AH1022" s="31">
        <f>VLOOKUP($A1022,kurspris!$A$1:$Q$835,7,FALSE)</f>
        <v>0</v>
      </c>
      <c r="AI1022" s="31">
        <f>VLOOKUP($A1022,kurspris!$A$1:$Q$835,8,FALSE)</f>
        <v>0</v>
      </c>
      <c r="AJ1022" s="31">
        <f>VLOOKUP($A1022,kurspris!$A$1:$Q$835,9,FALSE)</f>
        <v>0</v>
      </c>
      <c r="AK1022" s="31">
        <f>VLOOKUP($A1022,kurspris!$A$1:$Q$835,10,FALSE)</f>
        <v>0</v>
      </c>
      <c r="AL1022" s="31">
        <f>VLOOKUP($A1022,kurspris!$A$1:$Q$835,11,FALSE)</f>
        <v>0</v>
      </c>
      <c r="AM1022" s="31">
        <f>VLOOKUP($A1022,kurspris!$A$1:$Q$835,12,FALSE)</f>
        <v>0</v>
      </c>
      <c r="AN1022" s="31">
        <f>VLOOKUP($A1022,kurspris!$A$1:$Q$835,13,FALSE)</f>
        <v>0</v>
      </c>
      <c r="AO1022" s="31">
        <f>VLOOKUP($A1022,kurspris!$A$1:$Q$835,14,FALSE)</f>
        <v>0</v>
      </c>
      <c r="AP1022" s="39" t="s">
        <v>2204</v>
      </c>
      <c r="AQ1022" s="39" t="s">
        <v>2035</v>
      </c>
      <c r="AR1022" s="31">
        <f t="shared" si="557"/>
        <v>0</v>
      </c>
      <c r="AS1022" s="255">
        <f t="shared" si="558"/>
        <v>0</v>
      </c>
      <c r="AT1022" s="31">
        <f t="shared" si="559"/>
        <v>0.375</v>
      </c>
      <c r="AU1022" s="255">
        <f t="shared" si="560"/>
        <v>0.31874999999999998</v>
      </c>
      <c r="AV1022" s="31">
        <f t="shared" si="561"/>
        <v>0</v>
      </c>
      <c r="AW1022" s="31">
        <f t="shared" si="562"/>
        <v>0</v>
      </c>
      <c r="AX1022" s="31">
        <f t="shared" si="563"/>
        <v>0</v>
      </c>
      <c r="AY1022" s="255">
        <f t="shared" si="564"/>
        <v>0</v>
      </c>
      <c r="AZ1022" s="232">
        <f t="shared" si="565"/>
        <v>0</v>
      </c>
      <c r="BA1022" s="255">
        <f t="shared" si="566"/>
        <v>0</v>
      </c>
      <c r="BB1022" s="31">
        <f t="shared" si="567"/>
        <v>0</v>
      </c>
      <c r="BC1022" s="255">
        <f t="shared" si="568"/>
        <v>0</v>
      </c>
      <c r="BD1022" s="31">
        <f t="shared" si="569"/>
        <v>0</v>
      </c>
      <c r="BE1022" s="255">
        <f t="shared" si="570"/>
        <v>0</v>
      </c>
      <c r="BF1022" s="31">
        <f t="shared" si="571"/>
        <v>0</v>
      </c>
      <c r="BG1022" s="255">
        <f t="shared" si="572"/>
        <v>0</v>
      </c>
      <c r="BH1022" s="31">
        <f t="shared" si="573"/>
        <v>0</v>
      </c>
      <c r="BI1022" s="255">
        <f t="shared" si="574"/>
        <v>0</v>
      </c>
      <c r="BJ1022" s="31">
        <f t="shared" si="575"/>
        <v>0</v>
      </c>
      <c r="BK1022" s="31">
        <f t="shared" si="576"/>
        <v>0</v>
      </c>
      <c r="BL1022" s="255">
        <f t="shared" si="577"/>
        <v>0</v>
      </c>
      <c r="BM1022" s="31">
        <f t="shared" si="578"/>
        <v>0</v>
      </c>
      <c r="BN1022" s="255">
        <f t="shared" si="579"/>
        <v>0</v>
      </c>
    </row>
    <row r="1023" spans="1:66" x14ac:dyDescent="0.25">
      <c r="A1023" t="s">
        <v>1302</v>
      </c>
      <c r="B1023" s="186" t="str">
        <f>VLOOKUP(A1023,kurspris!$A$1:$B$877,2,FALSE)</f>
        <v>Examensarbete i språkdidaktik för ämneslärarexamen</v>
      </c>
      <c r="C1023"/>
      <c r="D1023" t="s">
        <v>483</v>
      </c>
      <c r="E1023" t="s">
        <v>1975</v>
      </c>
      <c r="F1023" s="39" t="s">
        <v>1930</v>
      </c>
      <c r="G1023" t="s">
        <v>1993</v>
      </c>
      <c r="H1023" t="s">
        <v>1910</v>
      </c>
      <c r="I1023"/>
      <c r="J1023" t="s">
        <v>774</v>
      </c>
      <c r="K1023"/>
      <c r="L1023">
        <v>100</v>
      </c>
      <c r="M1023" s="295">
        <v>22.5</v>
      </c>
      <c r="N1023"/>
      <c r="O1023"/>
      <c r="P1023" s="31">
        <v>3</v>
      </c>
      <c r="Q1023" s="232">
        <f t="shared" si="552"/>
        <v>1.125</v>
      </c>
      <c r="R1023" s="40">
        <v>0.85</v>
      </c>
      <c r="S1023" s="334">
        <f t="shared" si="553"/>
        <v>0.95624999999999993</v>
      </c>
      <c r="T1023" s="31">
        <f>VLOOKUP(A1023,'Ansvar kurs'!$A$1:$C$1010,2,FALSE)</f>
        <v>1620</v>
      </c>
      <c r="U1023" s="31" t="str">
        <f>VLOOKUP(T1023,Orgenheter!$A$1:$C$165,2,FALSE)</f>
        <v>Inst för språkstudier</v>
      </c>
      <c r="V1023" s="31" t="str">
        <f>VLOOKUP(T1023,Orgenheter!$A$1:$C$165,3,FALSE)</f>
        <v>Hum</v>
      </c>
      <c r="W1023" s="37" t="str">
        <f>VLOOKUP(D1023,Program!$A$1:$B$34,2,FALSE)</f>
        <v>Ämneslärarprogrammet - Gy</v>
      </c>
      <c r="X1023" s="42">
        <f>VLOOKUP(A1023,kurspris!$A$1:$Q$798,15,FALSE)</f>
        <v>18405</v>
      </c>
      <c r="Y1023" s="42">
        <f>VLOOKUP(A1023,kurspris!$A$1:$Q$798,16,FALSE)</f>
        <v>15773</v>
      </c>
      <c r="Z1023" s="42">
        <f t="shared" si="554"/>
        <v>35788.556250000001</v>
      </c>
      <c r="AA1023" s="42">
        <f>VLOOKUP(A1023,kurspris!$A$1:$Q$798,17,FALSE)</f>
        <v>5800</v>
      </c>
      <c r="AB1023" s="42">
        <f t="shared" si="555"/>
        <v>6525</v>
      </c>
      <c r="AC1023" s="42">
        <f t="shared" si="556"/>
        <v>42313.556250000001</v>
      </c>
      <c r="AD1023" s="31">
        <f>VLOOKUP($A1023,kurspris!$A$1:$Q$835,3,FALSE)</f>
        <v>0</v>
      </c>
      <c r="AE1023" s="31">
        <f>VLOOKUP($A1023,kurspris!$A$1:$Q$835,4,FALSE)</f>
        <v>1</v>
      </c>
      <c r="AF1023" s="31">
        <f>VLOOKUP($A1023,kurspris!$A$1:$Q$835,5,FALSE)</f>
        <v>0</v>
      </c>
      <c r="AG1023" s="31">
        <f>VLOOKUP($A1023,kurspris!$A$1:$Q$835,6,FALSE)</f>
        <v>0</v>
      </c>
      <c r="AH1023" s="31">
        <f>VLOOKUP($A1023,kurspris!$A$1:$Q$835,7,FALSE)</f>
        <v>0</v>
      </c>
      <c r="AI1023" s="31">
        <f>VLOOKUP($A1023,kurspris!$A$1:$Q$835,8,FALSE)</f>
        <v>0</v>
      </c>
      <c r="AJ1023" s="31">
        <f>VLOOKUP($A1023,kurspris!$A$1:$Q$835,9,FALSE)</f>
        <v>0</v>
      </c>
      <c r="AK1023" s="31">
        <f>VLOOKUP($A1023,kurspris!$A$1:$Q$835,10,FALSE)</f>
        <v>0</v>
      </c>
      <c r="AL1023" s="31">
        <f>VLOOKUP($A1023,kurspris!$A$1:$Q$835,11,FALSE)</f>
        <v>0</v>
      </c>
      <c r="AM1023" s="31">
        <f>VLOOKUP($A1023,kurspris!$A$1:$Q$835,12,FALSE)</f>
        <v>0</v>
      </c>
      <c r="AN1023" s="31">
        <f>VLOOKUP($A1023,kurspris!$A$1:$Q$835,13,FALSE)</f>
        <v>0</v>
      </c>
      <c r="AO1023" s="31">
        <f>VLOOKUP($A1023,kurspris!$A$1:$Q$835,14,FALSE)</f>
        <v>0</v>
      </c>
      <c r="AP1023" s="39" t="s">
        <v>2204</v>
      </c>
      <c r="AQ1023" s="39" t="s">
        <v>2035</v>
      </c>
      <c r="AR1023" s="31">
        <f t="shared" si="557"/>
        <v>0</v>
      </c>
      <c r="AS1023" s="255">
        <f t="shared" si="558"/>
        <v>0</v>
      </c>
      <c r="AT1023" s="31">
        <f t="shared" si="559"/>
        <v>1.125</v>
      </c>
      <c r="AU1023" s="255">
        <f t="shared" si="560"/>
        <v>0.95624999999999993</v>
      </c>
      <c r="AV1023" s="31">
        <f t="shared" si="561"/>
        <v>0</v>
      </c>
      <c r="AW1023" s="31">
        <f t="shared" si="562"/>
        <v>0</v>
      </c>
      <c r="AX1023" s="31">
        <f t="shared" si="563"/>
        <v>0</v>
      </c>
      <c r="AY1023" s="255">
        <f t="shared" si="564"/>
        <v>0</v>
      </c>
      <c r="AZ1023" s="232">
        <f t="shared" si="565"/>
        <v>0</v>
      </c>
      <c r="BA1023" s="255">
        <f t="shared" si="566"/>
        <v>0</v>
      </c>
      <c r="BB1023" s="31">
        <f t="shared" si="567"/>
        <v>0</v>
      </c>
      <c r="BC1023" s="255">
        <f t="shared" si="568"/>
        <v>0</v>
      </c>
      <c r="BD1023" s="31">
        <f t="shared" si="569"/>
        <v>0</v>
      </c>
      <c r="BE1023" s="255">
        <f t="shared" si="570"/>
        <v>0</v>
      </c>
      <c r="BF1023" s="31">
        <f t="shared" si="571"/>
        <v>0</v>
      </c>
      <c r="BG1023" s="255">
        <f t="shared" si="572"/>
        <v>0</v>
      </c>
      <c r="BH1023" s="31">
        <f t="shared" si="573"/>
        <v>0</v>
      </c>
      <c r="BI1023" s="255">
        <f t="shared" si="574"/>
        <v>0</v>
      </c>
      <c r="BJ1023" s="31">
        <f t="shared" si="575"/>
        <v>0</v>
      </c>
      <c r="BK1023" s="31">
        <f t="shared" si="576"/>
        <v>0</v>
      </c>
      <c r="BL1023" s="255">
        <f t="shared" si="577"/>
        <v>0</v>
      </c>
      <c r="BM1023" s="31">
        <f t="shared" si="578"/>
        <v>0</v>
      </c>
      <c r="BN1023" s="255">
        <f t="shared" si="579"/>
        <v>0</v>
      </c>
    </row>
    <row r="1024" spans="1:66" x14ac:dyDescent="0.25">
      <c r="A1024" s="18" t="s">
        <v>1302</v>
      </c>
      <c r="B1024" s="186" t="str">
        <f>VLOOKUP(A1024,kurspris!$A$1:$B$877,2,FALSE)</f>
        <v>Examensarbete i språkdidaktik för ämneslärarexamen</v>
      </c>
      <c r="C1024" s="37"/>
      <c r="D1024" s="31" t="s">
        <v>483</v>
      </c>
      <c r="E1024" s="31" t="s">
        <v>1975</v>
      </c>
      <c r="F1024" s="59" t="s">
        <v>1931</v>
      </c>
      <c r="G1024" s="295" t="s">
        <v>2268</v>
      </c>
      <c r="J1024" t="s">
        <v>771</v>
      </c>
      <c r="L1024" s="31">
        <v>100</v>
      </c>
      <c r="M1024" s="31">
        <v>7.5</v>
      </c>
      <c r="P1024" s="31">
        <v>2</v>
      </c>
      <c r="Q1024" s="232">
        <f t="shared" si="552"/>
        <v>0.25</v>
      </c>
      <c r="R1024" s="40">
        <v>0.85</v>
      </c>
      <c r="S1024" s="334">
        <f t="shared" si="553"/>
        <v>0.21249999999999999</v>
      </c>
      <c r="T1024" s="31">
        <f>VLOOKUP(A1024,'Ansvar kurs'!$A$1:$C$1010,2,FALSE)</f>
        <v>1620</v>
      </c>
      <c r="U1024" s="31" t="str">
        <f>VLOOKUP(T1024,Orgenheter!$A$1:$C$165,2,FALSE)</f>
        <v>Inst för språkstudier</v>
      </c>
      <c r="V1024" s="31" t="str">
        <f>VLOOKUP(T1024,Orgenheter!$A$1:$C$165,3,FALSE)</f>
        <v>Hum</v>
      </c>
      <c r="W1024" s="37" t="str">
        <f>VLOOKUP(D1024,Program!$A$1:$B$34,2,FALSE)</f>
        <v>Ämneslärarprogrammet - Gy</v>
      </c>
      <c r="X1024" s="42">
        <f>VLOOKUP(A1024,kurspris!$A$1:$Q$798,15,FALSE)</f>
        <v>18405</v>
      </c>
      <c r="Y1024" s="42">
        <f>VLOOKUP(A1024,kurspris!$A$1:$Q$798,16,FALSE)</f>
        <v>15773</v>
      </c>
      <c r="Z1024" s="42">
        <f t="shared" si="554"/>
        <v>7953.0124999999998</v>
      </c>
      <c r="AA1024" s="42">
        <f>VLOOKUP(A1024,kurspris!$A$1:$Q$798,17,FALSE)</f>
        <v>5800</v>
      </c>
      <c r="AB1024" s="42">
        <f t="shared" si="555"/>
        <v>1450</v>
      </c>
      <c r="AC1024" s="42">
        <f t="shared" si="556"/>
        <v>9403.0125000000007</v>
      </c>
      <c r="AD1024" s="31">
        <f>VLOOKUP($A1024,kurspris!$A$1:$Q$835,3,FALSE)</f>
        <v>0</v>
      </c>
      <c r="AE1024" s="31">
        <f>VLOOKUP($A1024,kurspris!$A$1:$Q$835,4,FALSE)</f>
        <v>1</v>
      </c>
      <c r="AF1024" s="31">
        <f>VLOOKUP($A1024,kurspris!$A$1:$Q$835,5,FALSE)</f>
        <v>0</v>
      </c>
      <c r="AG1024" s="31">
        <f>VLOOKUP($A1024,kurspris!$A$1:$Q$835,6,FALSE)</f>
        <v>0</v>
      </c>
      <c r="AH1024" s="31">
        <f>VLOOKUP($A1024,kurspris!$A$1:$Q$835,7,FALSE)</f>
        <v>0</v>
      </c>
      <c r="AI1024" s="31">
        <f>VLOOKUP($A1024,kurspris!$A$1:$Q$835,8,FALSE)</f>
        <v>0</v>
      </c>
      <c r="AJ1024" s="31">
        <f>VLOOKUP($A1024,kurspris!$A$1:$Q$835,9,FALSE)</f>
        <v>0</v>
      </c>
      <c r="AK1024" s="31">
        <f>VLOOKUP($A1024,kurspris!$A$1:$Q$835,10,FALSE)</f>
        <v>0</v>
      </c>
      <c r="AL1024" s="31">
        <f>VLOOKUP($A1024,kurspris!$A$1:$Q$835,11,FALSE)</f>
        <v>0</v>
      </c>
      <c r="AM1024" s="31">
        <f>VLOOKUP($A1024,kurspris!$A$1:$Q$835,12,FALSE)</f>
        <v>0</v>
      </c>
      <c r="AN1024" s="31">
        <f>VLOOKUP($A1024,kurspris!$A$1:$Q$835,13,FALSE)</f>
        <v>0</v>
      </c>
      <c r="AO1024" s="31">
        <f>VLOOKUP($A1024,kurspris!$A$1:$Q$835,14,FALSE)</f>
        <v>0</v>
      </c>
      <c r="AP1024" s="39" t="s">
        <v>2326</v>
      </c>
      <c r="AQ1024" t="s">
        <v>2300</v>
      </c>
      <c r="AR1024" s="31">
        <f t="shared" si="557"/>
        <v>0</v>
      </c>
      <c r="AS1024" s="255">
        <f t="shared" si="558"/>
        <v>0</v>
      </c>
      <c r="AT1024" s="31">
        <f t="shared" si="559"/>
        <v>0.25</v>
      </c>
      <c r="AU1024" s="255">
        <f t="shared" si="560"/>
        <v>0.21249999999999999</v>
      </c>
      <c r="AV1024" s="31">
        <f t="shared" si="561"/>
        <v>0</v>
      </c>
      <c r="AW1024" s="31">
        <f t="shared" si="562"/>
        <v>0</v>
      </c>
      <c r="AX1024" s="31">
        <f t="shared" si="563"/>
        <v>0</v>
      </c>
      <c r="AY1024" s="255">
        <f t="shared" si="564"/>
        <v>0</v>
      </c>
      <c r="AZ1024" s="232">
        <f t="shared" si="565"/>
        <v>0</v>
      </c>
      <c r="BA1024" s="255">
        <f t="shared" si="566"/>
        <v>0</v>
      </c>
      <c r="BB1024" s="31">
        <f t="shared" si="567"/>
        <v>0</v>
      </c>
      <c r="BC1024" s="255">
        <f t="shared" si="568"/>
        <v>0</v>
      </c>
      <c r="BD1024" s="31">
        <f t="shared" si="569"/>
        <v>0</v>
      </c>
      <c r="BE1024" s="255">
        <f t="shared" si="570"/>
        <v>0</v>
      </c>
      <c r="BF1024" s="31">
        <f t="shared" si="571"/>
        <v>0</v>
      </c>
      <c r="BG1024" s="255">
        <f t="shared" si="572"/>
        <v>0</v>
      </c>
      <c r="BH1024" s="31">
        <f t="shared" si="573"/>
        <v>0</v>
      </c>
      <c r="BI1024" s="255">
        <f t="shared" si="574"/>
        <v>0</v>
      </c>
      <c r="BJ1024" s="31">
        <f t="shared" si="575"/>
        <v>0</v>
      </c>
      <c r="BK1024" s="31">
        <f t="shared" si="576"/>
        <v>0</v>
      </c>
      <c r="BL1024" s="255">
        <f t="shared" si="577"/>
        <v>0</v>
      </c>
      <c r="BM1024" s="31">
        <f t="shared" si="578"/>
        <v>0</v>
      </c>
      <c r="BN1024" s="255">
        <f t="shared" si="579"/>
        <v>0</v>
      </c>
    </row>
    <row r="1025" spans="1:66" x14ac:dyDescent="0.25">
      <c r="A1025" s="18" t="s">
        <v>1302</v>
      </c>
      <c r="B1025" s="186" t="str">
        <f>VLOOKUP(A1025,kurspris!$A$1:$B$877,2,FALSE)</f>
        <v>Examensarbete i språkdidaktik för ämneslärarexamen</v>
      </c>
      <c r="C1025" s="37"/>
      <c r="D1025" s="31" t="s">
        <v>483</v>
      </c>
      <c r="E1025" s="31" t="s">
        <v>1976</v>
      </c>
      <c r="F1025" s="59" t="s">
        <v>1931</v>
      </c>
      <c r="G1025" s="295" t="s">
        <v>2268</v>
      </c>
      <c r="J1025" t="s">
        <v>771</v>
      </c>
      <c r="L1025" s="31">
        <v>100</v>
      </c>
      <c r="M1025" s="31">
        <v>7.5</v>
      </c>
      <c r="P1025" s="31">
        <v>5</v>
      </c>
      <c r="Q1025" s="232">
        <f t="shared" si="552"/>
        <v>0.625</v>
      </c>
      <c r="R1025" s="40">
        <v>0.85</v>
      </c>
      <c r="S1025" s="334">
        <f t="shared" si="553"/>
        <v>0.53125</v>
      </c>
      <c r="T1025" s="31">
        <f>VLOOKUP(A1025,'Ansvar kurs'!$A$1:$C$1010,2,FALSE)</f>
        <v>1620</v>
      </c>
      <c r="U1025" s="31" t="str">
        <f>VLOOKUP(T1025,Orgenheter!$A$1:$C$165,2,FALSE)</f>
        <v>Inst för språkstudier</v>
      </c>
      <c r="V1025" s="31" t="str">
        <f>VLOOKUP(T1025,Orgenheter!$A$1:$C$165,3,FALSE)</f>
        <v>Hum</v>
      </c>
      <c r="W1025" s="37" t="str">
        <f>VLOOKUP(D1025,Program!$A$1:$B$34,2,FALSE)</f>
        <v>Ämneslärarprogrammet - Gy</v>
      </c>
      <c r="X1025" s="42">
        <f>VLOOKUP(A1025,kurspris!$A$1:$Q$798,15,FALSE)</f>
        <v>18405</v>
      </c>
      <c r="Y1025" s="42">
        <f>VLOOKUP(A1025,kurspris!$A$1:$Q$798,16,FALSE)</f>
        <v>15773</v>
      </c>
      <c r="Z1025" s="42">
        <f t="shared" si="554"/>
        <v>19882.53125</v>
      </c>
      <c r="AA1025" s="42">
        <f>VLOOKUP(A1025,kurspris!$A$1:$Q$798,17,FALSE)</f>
        <v>5800</v>
      </c>
      <c r="AB1025" s="42">
        <f t="shared" si="555"/>
        <v>3625</v>
      </c>
      <c r="AC1025" s="42">
        <f t="shared" si="556"/>
        <v>23507.53125</v>
      </c>
      <c r="AD1025" s="31">
        <f>VLOOKUP($A1025,kurspris!$A$1:$Q$835,3,FALSE)</f>
        <v>0</v>
      </c>
      <c r="AE1025" s="31">
        <f>VLOOKUP($A1025,kurspris!$A$1:$Q$835,4,FALSE)</f>
        <v>1</v>
      </c>
      <c r="AF1025" s="31">
        <f>VLOOKUP($A1025,kurspris!$A$1:$Q$835,5,FALSE)</f>
        <v>0</v>
      </c>
      <c r="AG1025" s="31">
        <f>VLOOKUP($A1025,kurspris!$A$1:$Q$835,6,FALSE)</f>
        <v>0</v>
      </c>
      <c r="AH1025" s="31">
        <f>VLOOKUP($A1025,kurspris!$A$1:$Q$835,7,FALSE)</f>
        <v>0</v>
      </c>
      <c r="AI1025" s="31">
        <f>VLOOKUP($A1025,kurspris!$A$1:$Q$835,8,FALSE)</f>
        <v>0</v>
      </c>
      <c r="AJ1025" s="31">
        <f>VLOOKUP($A1025,kurspris!$A$1:$Q$835,9,FALSE)</f>
        <v>0</v>
      </c>
      <c r="AK1025" s="31">
        <f>VLOOKUP($A1025,kurspris!$A$1:$Q$835,10,FALSE)</f>
        <v>0</v>
      </c>
      <c r="AL1025" s="31">
        <f>VLOOKUP($A1025,kurspris!$A$1:$Q$835,11,FALSE)</f>
        <v>0</v>
      </c>
      <c r="AM1025" s="31">
        <f>VLOOKUP($A1025,kurspris!$A$1:$Q$835,12,FALSE)</f>
        <v>0</v>
      </c>
      <c r="AN1025" s="31">
        <f>VLOOKUP($A1025,kurspris!$A$1:$Q$835,13,FALSE)</f>
        <v>0</v>
      </c>
      <c r="AO1025" s="31">
        <f>VLOOKUP($A1025,kurspris!$A$1:$Q$835,14,FALSE)</f>
        <v>0</v>
      </c>
      <c r="AP1025" s="39" t="s">
        <v>2326</v>
      </c>
      <c r="AQ1025" t="s">
        <v>2300</v>
      </c>
      <c r="AR1025" s="31">
        <f t="shared" si="557"/>
        <v>0</v>
      </c>
      <c r="AS1025" s="255">
        <f t="shared" si="558"/>
        <v>0</v>
      </c>
      <c r="AT1025" s="31">
        <f t="shared" si="559"/>
        <v>0.625</v>
      </c>
      <c r="AU1025" s="255">
        <f t="shared" si="560"/>
        <v>0.53125</v>
      </c>
      <c r="AV1025" s="31">
        <f t="shared" si="561"/>
        <v>0</v>
      </c>
      <c r="AW1025" s="31">
        <f t="shared" si="562"/>
        <v>0</v>
      </c>
      <c r="AX1025" s="31">
        <f t="shared" si="563"/>
        <v>0</v>
      </c>
      <c r="AY1025" s="255">
        <f t="shared" si="564"/>
        <v>0</v>
      </c>
      <c r="AZ1025" s="232">
        <f t="shared" si="565"/>
        <v>0</v>
      </c>
      <c r="BA1025" s="255">
        <f t="shared" si="566"/>
        <v>0</v>
      </c>
      <c r="BB1025" s="31">
        <f t="shared" si="567"/>
        <v>0</v>
      </c>
      <c r="BC1025" s="255">
        <f t="shared" si="568"/>
        <v>0</v>
      </c>
      <c r="BD1025" s="31">
        <f t="shared" si="569"/>
        <v>0</v>
      </c>
      <c r="BE1025" s="255">
        <f t="shared" si="570"/>
        <v>0</v>
      </c>
      <c r="BF1025" s="31">
        <f t="shared" si="571"/>
        <v>0</v>
      </c>
      <c r="BG1025" s="255">
        <f t="shared" si="572"/>
        <v>0</v>
      </c>
      <c r="BH1025" s="31">
        <f t="shared" si="573"/>
        <v>0</v>
      </c>
      <c r="BI1025" s="255">
        <f t="shared" si="574"/>
        <v>0</v>
      </c>
      <c r="BJ1025" s="31">
        <f t="shared" si="575"/>
        <v>0</v>
      </c>
      <c r="BK1025" s="31">
        <f t="shared" si="576"/>
        <v>0</v>
      </c>
      <c r="BL1025" s="255">
        <f t="shared" si="577"/>
        <v>0</v>
      </c>
      <c r="BM1025" s="31">
        <f t="shared" si="578"/>
        <v>0</v>
      </c>
      <c r="BN1025" s="255">
        <f t="shared" si="579"/>
        <v>0</v>
      </c>
    </row>
    <row r="1026" spans="1:66" x14ac:dyDescent="0.25">
      <c r="A1026" s="18" t="s">
        <v>1302</v>
      </c>
      <c r="B1026" s="186" t="str">
        <f>VLOOKUP(A1026,kurspris!$A$1:$B$877,2,FALSE)</f>
        <v>Examensarbete i språkdidaktik för ämneslärarexamen</v>
      </c>
      <c r="C1026" s="37"/>
      <c r="D1026" s="31" t="s">
        <v>483</v>
      </c>
      <c r="E1026" s="31" t="s">
        <v>1976</v>
      </c>
      <c r="F1026" s="59" t="s">
        <v>1931</v>
      </c>
      <c r="G1026" s="295" t="s">
        <v>2268</v>
      </c>
      <c r="J1026" t="s">
        <v>776</v>
      </c>
      <c r="L1026" s="31">
        <v>100</v>
      </c>
      <c r="M1026" s="31">
        <v>7.5</v>
      </c>
      <c r="P1026" s="31">
        <v>1</v>
      </c>
      <c r="Q1026" s="232">
        <f t="shared" si="552"/>
        <v>0.125</v>
      </c>
      <c r="R1026" s="40">
        <v>0.85</v>
      </c>
      <c r="S1026" s="334">
        <f t="shared" si="553"/>
        <v>0.10625</v>
      </c>
      <c r="T1026" s="31">
        <f>VLOOKUP(A1026,'Ansvar kurs'!$A$1:$C$1010,2,FALSE)</f>
        <v>1620</v>
      </c>
      <c r="U1026" s="31" t="str">
        <f>VLOOKUP(T1026,Orgenheter!$A$1:$C$165,2,FALSE)</f>
        <v>Inst för språkstudier</v>
      </c>
      <c r="V1026" s="31" t="str">
        <f>VLOOKUP(T1026,Orgenheter!$A$1:$C$165,3,FALSE)</f>
        <v>Hum</v>
      </c>
      <c r="W1026" s="37" t="str">
        <f>VLOOKUP(D1026,Program!$A$1:$B$34,2,FALSE)</f>
        <v>Ämneslärarprogrammet - Gy</v>
      </c>
      <c r="X1026" s="42">
        <f>VLOOKUP(A1026,kurspris!$A$1:$Q$798,15,FALSE)</f>
        <v>18405</v>
      </c>
      <c r="Y1026" s="42">
        <f>VLOOKUP(A1026,kurspris!$A$1:$Q$798,16,FALSE)</f>
        <v>15773</v>
      </c>
      <c r="Z1026" s="42">
        <f t="shared" si="554"/>
        <v>3976.5062499999999</v>
      </c>
      <c r="AA1026" s="42">
        <f>VLOOKUP(A1026,kurspris!$A$1:$Q$798,17,FALSE)</f>
        <v>5800</v>
      </c>
      <c r="AB1026" s="42">
        <f t="shared" si="555"/>
        <v>725</v>
      </c>
      <c r="AC1026" s="42">
        <f t="shared" si="556"/>
        <v>4701.5062500000004</v>
      </c>
      <c r="AD1026" s="31">
        <f>VLOOKUP($A1026,kurspris!$A$1:$Q$835,3,FALSE)</f>
        <v>0</v>
      </c>
      <c r="AE1026" s="31">
        <f>VLOOKUP($A1026,kurspris!$A$1:$Q$835,4,FALSE)</f>
        <v>1</v>
      </c>
      <c r="AF1026" s="31">
        <f>VLOOKUP($A1026,kurspris!$A$1:$Q$835,5,FALSE)</f>
        <v>0</v>
      </c>
      <c r="AG1026" s="31">
        <f>VLOOKUP($A1026,kurspris!$A$1:$Q$835,6,FALSE)</f>
        <v>0</v>
      </c>
      <c r="AH1026" s="31">
        <f>VLOOKUP($A1026,kurspris!$A$1:$Q$835,7,FALSE)</f>
        <v>0</v>
      </c>
      <c r="AI1026" s="31">
        <f>VLOOKUP($A1026,kurspris!$A$1:$Q$835,8,FALSE)</f>
        <v>0</v>
      </c>
      <c r="AJ1026" s="31">
        <f>VLOOKUP($A1026,kurspris!$A$1:$Q$835,9,FALSE)</f>
        <v>0</v>
      </c>
      <c r="AK1026" s="31">
        <f>VLOOKUP($A1026,kurspris!$A$1:$Q$835,10,FALSE)</f>
        <v>0</v>
      </c>
      <c r="AL1026" s="31">
        <f>VLOOKUP($A1026,kurspris!$A$1:$Q$835,11,FALSE)</f>
        <v>0</v>
      </c>
      <c r="AM1026" s="31">
        <f>VLOOKUP($A1026,kurspris!$A$1:$Q$835,12,FALSE)</f>
        <v>0</v>
      </c>
      <c r="AN1026" s="31">
        <f>VLOOKUP($A1026,kurspris!$A$1:$Q$835,13,FALSE)</f>
        <v>0</v>
      </c>
      <c r="AO1026" s="31">
        <f>VLOOKUP($A1026,kurspris!$A$1:$Q$835,14,FALSE)</f>
        <v>0</v>
      </c>
      <c r="AP1026" s="39" t="s">
        <v>2326</v>
      </c>
      <c r="AQ1026" t="s">
        <v>2300</v>
      </c>
      <c r="AR1026" s="31">
        <f t="shared" si="557"/>
        <v>0</v>
      </c>
      <c r="AS1026" s="255">
        <f t="shared" si="558"/>
        <v>0</v>
      </c>
      <c r="AT1026" s="31">
        <f t="shared" si="559"/>
        <v>0.125</v>
      </c>
      <c r="AU1026" s="255">
        <f t="shared" si="560"/>
        <v>0.10625</v>
      </c>
      <c r="AV1026" s="31">
        <f t="shared" si="561"/>
        <v>0</v>
      </c>
      <c r="AW1026" s="31">
        <f t="shared" si="562"/>
        <v>0</v>
      </c>
      <c r="AX1026" s="31">
        <f t="shared" si="563"/>
        <v>0</v>
      </c>
      <c r="AY1026" s="255">
        <f t="shared" si="564"/>
        <v>0</v>
      </c>
      <c r="AZ1026" s="232">
        <f t="shared" si="565"/>
        <v>0</v>
      </c>
      <c r="BA1026" s="255">
        <f t="shared" si="566"/>
        <v>0</v>
      </c>
      <c r="BB1026" s="31">
        <f t="shared" si="567"/>
        <v>0</v>
      </c>
      <c r="BC1026" s="255">
        <f t="shared" si="568"/>
        <v>0</v>
      </c>
      <c r="BD1026" s="31">
        <f t="shared" si="569"/>
        <v>0</v>
      </c>
      <c r="BE1026" s="255">
        <f t="shared" si="570"/>
        <v>0</v>
      </c>
      <c r="BF1026" s="31">
        <f t="shared" si="571"/>
        <v>0</v>
      </c>
      <c r="BG1026" s="255">
        <f t="shared" si="572"/>
        <v>0</v>
      </c>
      <c r="BH1026" s="31">
        <f t="shared" si="573"/>
        <v>0</v>
      </c>
      <c r="BI1026" s="255">
        <f t="shared" si="574"/>
        <v>0</v>
      </c>
      <c r="BJ1026" s="31">
        <f t="shared" si="575"/>
        <v>0</v>
      </c>
      <c r="BK1026" s="31">
        <f t="shared" si="576"/>
        <v>0</v>
      </c>
      <c r="BL1026" s="255">
        <f t="shared" si="577"/>
        <v>0</v>
      </c>
      <c r="BM1026" s="31">
        <f t="shared" si="578"/>
        <v>0</v>
      </c>
      <c r="BN1026" s="255">
        <f t="shared" si="579"/>
        <v>0</v>
      </c>
    </row>
    <row r="1027" spans="1:66" x14ac:dyDescent="0.25">
      <c r="A1027" t="s">
        <v>1302</v>
      </c>
      <c r="B1027" s="186" t="str">
        <f>VLOOKUP(A1027,kurspris!$A$1:$B$877,2,FALSE)</f>
        <v>Examensarbete i språkdidaktik för ämneslärarexamen</v>
      </c>
      <c r="C1027"/>
      <c r="D1027" t="s">
        <v>483</v>
      </c>
      <c r="E1027" t="s">
        <v>1973</v>
      </c>
      <c r="F1027" s="39" t="s">
        <v>1930</v>
      </c>
      <c r="G1027" t="s">
        <v>1993</v>
      </c>
      <c r="H1027" t="s">
        <v>1910</v>
      </c>
      <c r="I1027"/>
      <c r="J1027" t="s">
        <v>771</v>
      </c>
      <c r="K1027"/>
      <c r="L1027">
        <v>100</v>
      </c>
      <c r="M1027" s="295">
        <v>22.5</v>
      </c>
      <c r="N1027"/>
      <c r="O1027"/>
      <c r="P1027" s="31">
        <v>1</v>
      </c>
      <c r="Q1027" s="232">
        <f t="shared" si="552"/>
        <v>0.375</v>
      </c>
      <c r="R1027" s="40">
        <v>0.85</v>
      </c>
      <c r="S1027" s="334">
        <f t="shared" si="553"/>
        <v>0.31874999999999998</v>
      </c>
      <c r="T1027" s="31">
        <f>VLOOKUP(A1027,'Ansvar kurs'!$A$1:$C$1010,2,FALSE)</f>
        <v>1620</v>
      </c>
      <c r="U1027" s="31" t="str">
        <f>VLOOKUP(T1027,Orgenheter!$A$1:$C$165,2,FALSE)</f>
        <v>Inst för språkstudier</v>
      </c>
      <c r="V1027" s="31" t="str">
        <f>VLOOKUP(T1027,Orgenheter!$A$1:$C$165,3,FALSE)</f>
        <v>Hum</v>
      </c>
      <c r="W1027" s="37" t="str">
        <f>VLOOKUP(D1027,Program!$A$1:$B$34,2,FALSE)</f>
        <v>Ämneslärarprogrammet - Gy</v>
      </c>
      <c r="X1027" s="42">
        <f>VLOOKUP(A1027,kurspris!$A$1:$Q$798,15,FALSE)</f>
        <v>18405</v>
      </c>
      <c r="Y1027" s="42">
        <f>VLOOKUP(A1027,kurspris!$A$1:$Q$798,16,FALSE)</f>
        <v>15773</v>
      </c>
      <c r="Z1027" s="42">
        <f t="shared" si="554"/>
        <v>11929.518749999999</v>
      </c>
      <c r="AA1027" s="42">
        <f>VLOOKUP(A1027,kurspris!$A$1:$Q$798,17,FALSE)</f>
        <v>5800</v>
      </c>
      <c r="AB1027" s="42">
        <f t="shared" si="555"/>
        <v>2175</v>
      </c>
      <c r="AC1027" s="42">
        <f t="shared" si="556"/>
        <v>14104.518749999999</v>
      </c>
      <c r="AD1027" s="31">
        <f>VLOOKUP($A1027,kurspris!$A$1:$Q$835,3,FALSE)</f>
        <v>0</v>
      </c>
      <c r="AE1027" s="31">
        <f>VLOOKUP($A1027,kurspris!$A$1:$Q$835,4,FALSE)</f>
        <v>1</v>
      </c>
      <c r="AF1027" s="31">
        <f>VLOOKUP($A1027,kurspris!$A$1:$Q$835,5,FALSE)</f>
        <v>0</v>
      </c>
      <c r="AG1027" s="31">
        <f>VLOOKUP($A1027,kurspris!$A$1:$Q$835,6,FALSE)</f>
        <v>0</v>
      </c>
      <c r="AH1027" s="31">
        <f>VLOOKUP($A1027,kurspris!$A$1:$Q$835,7,FALSE)</f>
        <v>0</v>
      </c>
      <c r="AI1027" s="31">
        <f>VLOOKUP($A1027,kurspris!$A$1:$Q$835,8,FALSE)</f>
        <v>0</v>
      </c>
      <c r="AJ1027" s="31">
        <f>VLOOKUP($A1027,kurspris!$A$1:$Q$835,9,FALSE)</f>
        <v>0</v>
      </c>
      <c r="AK1027" s="31">
        <f>VLOOKUP($A1027,kurspris!$A$1:$Q$835,10,FALSE)</f>
        <v>0</v>
      </c>
      <c r="AL1027" s="31">
        <f>VLOOKUP($A1027,kurspris!$A$1:$Q$835,11,FALSE)</f>
        <v>0</v>
      </c>
      <c r="AM1027" s="31">
        <f>VLOOKUP($A1027,kurspris!$A$1:$Q$835,12,FALSE)</f>
        <v>0</v>
      </c>
      <c r="AN1027" s="31">
        <f>VLOOKUP($A1027,kurspris!$A$1:$Q$835,13,FALSE)</f>
        <v>0</v>
      </c>
      <c r="AO1027" s="31">
        <f>VLOOKUP($A1027,kurspris!$A$1:$Q$835,14,FALSE)</f>
        <v>0</v>
      </c>
      <c r="AP1027" s="39" t="s">
        <v>2204</v>
      </c>
      <c r="AQ1027" s="39" t="s">
        <v>2035</v>
      </c>
      <c r="AR1027" s="31">
        <f t="shared" si="557"/>
        <v>0</v>
      </c>
      <c r="AS1027" s="255">
        <f t="shared" si="558"/>
        <v>0</v>
      </c>
      <c r="AT1027" s="31">
        <f t="shared" si="559"/>
        <v>0.375</v>
      </c>
      <c r="AU1027" s="255">
        <f t="shared" si="560"/>
        <v>0.31874999999999998</v>
      </c>
      <c r="AV1027" s="31">
        <f t="shared" si="561"/>
        <v>0</v>
      </c>
      <c r="AW1027" s="31">
        <f t="shared" si="562"/>
        <v>0</v>
      </c>
      <c r="AX1027" s="31">
        <f t="shared" si="563"/>
        <v>0</v>
      </c>
      <c r="AY1027" s="255">
        <f t="shared" si="564"/>
        <v>0</v>
      </c>
      <c r="AZ1027" s="232">
        <f t="shared" si="565"/>
        <v>0</v>
      </c>
      <c r="BA1027" s="255">
        <f t="shared" si="566"/>
        <v>0</v>
      </c>
      <c r="BB1027" s="31">
        <f t="shared" si="567"/>
        <v>0</v>
      </c>
      <c r="BC1027" s="255">
        <f t="shared" si="568"/>
        <v>0</v>
      </c>
      <c r="BD1027" s="31">
        <f t="shared" si="569"/>
        <v>0</v>
      </c>
      <c r="BE1027" s="255">
        <f t="shared" si="570"/>
        <v>0</v>
      </c>
      <c r="BF1027" s="31">
        <f t="shared" si="571"/>
        <v>0</v>
      </c>
      <c r="BG1027" s="255">
        <f t="shared" si="572"/>
        <v>0</v>
      </c>
      <c r="BH1027" s="31">
        <f t="shared" si="573"/>
        <v>0</v>
      </c>
      <c r="BI1027" s="255">
        <f t="shared" si="574"/>
        <v>0</v>
      </c>
      <c r="BJ1027" s="31">
        <f t="shared" si="575"/>
        <v>0</v>
      </c>
      <c r="BK1027" s="31">
        <f t="shared" si="576"/>
        <v>0</v>
      </c>
      <c r="BL1027" s="255">
        <f t="shared" si="577"/>
        <v>0</v>
      </c>
      <c r="BM1027" s="31">
        <f t="shared" si="578"/>
        <v>0</v>
      </c>
      <c r="BN1027" s="255">
        <f t="shared" si="579"/>
        <v>0</v>
      </c>
    </row>
    <row r="1028" spans="1:66" x14ac:dyDescent="0.25">
      <c r="A1028" s="18" t="s">
        <v>1381</v>
      </c>
      <c r="B1028" s="186" t="str">
        <f>VLOOKUP(A1028,kurspris!$A$1:$B$877,2,FALSE)</f>
        <v>Ämnesdidaktik, Att utveckla lärande och undervisning i språkliga kontexter</v>
      </c>
      <c r="C1028" s="37"/>
      <c r="D1028" t="s">
        <v>117</v>
      </c>
      <c r="E1028"/>
      <c r="F1028" s="59" t="s">
        <v>1931</v>
      </c>
      <c r="G1028"/>
      <c r="H1028"/>
      <c r="I1028" t="s">
        <v>2066</v>
      </c>
      <c r="L1028">
        <v>25</v>
      </c>
      <c r="M1028">
        <v>7.5</v>
      </c>
      <c r="P1028">
        <v>6</v>
      </c>
      <c r="Q1028" s="232">
        <f t="shared" si="552"/>
        <v>0.75</v>
      </c>
      <c r="R1028" s="40">
        <v>0.8</v>
      </c>
      <c r="S1028" s="334">
        <f t="shared" si="553"/>
        <v>0.60000000000000009</v>
      </c>
      <c r="T1028" s="31">
        <f>VLOOKUP(A1028,'Ansvar kurs'!$A$1:$C$1010,2,FALSE)</f>
        <v>1620</v>
      </c>
      <c r="U1028" s="31" t="str">
        <f>VLOOKUP(T1028,Orgenheter!$A$1:$C$165,2,FALSE)</f>
        <v>Inst för språkstudier</v>
      </c>
      <c r="V1028" s="31" t="str">
        <f>VLOOKUP(T1028,Orgenheter!$A$1:$C$165,3,FALSE)</f>
        <v>Hum</v>
      </c>
      <c r="W1028" s="37" t="str">
        <f>VLOOKUP(D1028,Program!$A$1:$B$34,2,FALSE)</f>
        <v>Fristående och övriga kurser</v>
      </c>
      <c r="X1028" s="42">
        <f>VLOOKUP(A1028,kurspris!$A$1:$Q$798,15,FALSE)</f>
        <v>18405</v>
      </c>
      <c r="Y1028" s="42">
        <f>VLOOKUP(A1028,kurspris!$A$1:$Q$798,16,FALSE)</f>
        <v>15773</v>
      </c>
      <c r="Z1028" s="42">
        <f t="shared" si="554"/>
        <v>23267.550000000003</v>
      </c>
      <c r="AA1028" s="42">
        <f>VLOOKUP(A1028,kurspris!$A$1:$Q$798,17,FALSE)</f>
        <v>5800</v>
      </c>
      <c r="AB1028" s="42">
        <f t="shared" si="555"/>
        <v>4350</v>
      </c>
      <c r="AC1028" s="42">
        <f t="shared" si="556"/>
        <v>27617.550000000003</v>
      </c>
      <c r="AD1028" s="31">
        <f>VLOOKUP($A1028,kurspris!$A$1:$Q$835,3,FALSE)</f>
        <v>0</v>
      </c>
      <c r="AE1028" s="31">
        <f>VLOOKUP($A1028,kurspris!$A$1:$Q$835,4,FALSE)</f>
        <v>1</v>
      </c>
      <c r="AF1028" s="31">
        <f>VLOOKUP($A1028,kurspris!$A$1:$Q$835,5,FALSE)</f>
        <v>0</v>
      </c>
      <c r="AG1028" s="31">
        <f>VLOOKUP($A1028,kurspris!$A$1:$Q$835,6,FALSE)</f>
        <v>0</v>
      </c>
      <c r="AH1028" s="31">
        <f>VLOOKUP($A1028,kurspris!$A$1:$Q$835,7,FALSE)</f>
        <v>0</v>
      </c>
      <c r="AI1028" s="31">
        <f>VLOOKUP($A1028,kurspris!$A$1:$Q$835,8,FALSE)</f>
        <v>0</v>
      </c>
      <c r="AJ1028" s="31">
        <f>VLOOKUP($A1028,kurspris!$A$1:$Q$835,9,FALSE)</f>
        <v>0</v>
      </c>
      <c r="AK1028" s="31">
        <f>VLOOKUP($A1028,kurspris!$A$1:$Q$835,10,FALSE)</f>
        <v>0</v>
      </c>
      <c r="AL1028" s="31">
        <f>VLOOKUP($A1028,kurspris!$A$1:$Q$835,11,FALSE)</f>
        <v>0</v>
      </c>
      <c r="AM1028" s="31">
        <f>VLOOKUP($A1028,kurspris!$A$1:$Q$835,12,FALSE)</f>
        <v>0</v>
      </c>
      <c r="AN1028" s="31">
        <f>VLOOKUP($A1028,kurspris!$A$1:$Q$835,13,FALSE)</f>
        <v>0</v>
      </c>
      <c r="AO1028" s="31">
        <f>VLOOKUP($A1028,kurspris!$A$1:$Q$835,14,FALSE)</f>
        <v>0</v>
      </c>
      <c r="AP1028" s="39" t="s">
        <v>2095</v>
      </c>
      <c r="AQ1028"/>
      <c r="AR1028" s="31">
        <f t="shared" si="557"/>
        <v>0</v>
      </c>
      <c r="AS1028" s="255">
        <f t="shared" si="558"/>
        <v>0</v>
      </c>
      <c r="AT1028" s="31">
        <f t="shared" si="559"/>
        <v>0.75</v>
      </c>
      <c r="AU1028" s="255">
        <f t="shared" si="560"/>
        <v>0.60000000000000009</v>
      </c>
      <c r="AV1028" s="31">
        <f t="shared" si="561"/>
        <v>0</v>
      </c>
      <c r="AW1028" s="31">
        <f t="shared" si="562"/>
        <v>0</v>
      </c>
      <c r="AX1028" s="31">
        <f t="shared" si="563"/>
        <v>0</v>
      </c>
      <c r="AY1028" s="255">
        <f t="shared" si="564"/>
        <v>0</v>
      </c>
      <c r="AZ1028" s="232">
        <f t="shared" si="565"/>
        <v>0</v>
      </c>
      <c r="BA1028" s="255">
        <f t="shared" si="566"/>
        <v>0</v>
      </c>
      <c r="BB1028" s="31">
        <f t="shared" si="567"/>
        <v>0</v>
      </c>
      <c r="BC1028" s="255">
        <f t="shared" si="568"/>
        <v>0</v>
      </c>
      <c r="BD1028" s="31">
        <f t="shared" si="569"/>
        <v>0</v>
      </c>
      <c r="BE1028" s="255">
        <f t="shared" si="570"/>
        <v>0</v>
      </c>
      <c r="BF1028" s="31">
        <f t="shared" si="571"/>
        <v>0</v>
      </c>
      <c r="BG1028" s="255">
        <f t="shared" si="572"/>
        <v>0</v>
      </c>
      <c r="BH1028" s="31">
        <f t="shared" si="573"/>
        <v>0</v>
      </c>
      <c r="BI1028" s="255">
        <f t="shared" si="574"/>
        <v>0</v>
      </c>
      <c r="BJ1028" s="31">
        <f t="shared" si="575"/>
        <v>0</v>
      </c>
      <c r="BK1028" s="31">
        <f t="shared" si="576"/>
        <v>0</v>
      </c>
      <c r="BL1028" s="255">
        <f t="shared" si="577"/>
        <v>0</v>
      </c>
      <c r="BM1028" s="31">
        <f t="shared" si="578"/>
        <v>0</v>
      </c>
      <c r="BN1028" s="255">
        <f t="shared" si="579"/>
        <v>0</v>
      </c>
    </row>
    <row r="1029" spans="1:66" x14ac:dyDescent="0.25">
      <c r="A1029" s="18" t="s">
        <v>1823</v>
      </c>
      <c r="B1029" s="186" t="str">
        <f>VLOOKUP(A1029,kurspris!$A$1:$B$877,2,FALSE)</f>
        <v>Examensarbete med språkdidaktisk inriktning för lärarexamen</v>
      </c>
      <c r="C1029" s="37"/>
      <c r="D1029" t="s">
        <v>117</v>
      </c>
      <c r="E1029"/>
      <c r="F1029" s="59" t="s">
        <v>1930</v>
      </c>
      <c r="G1029"/>
      <c r="H1029"/>
      <c r="I1029" t="s">
        <v>2066</v>
      </c>
      <c r="L1029">
        <v>50</v>
      </c>
      <c r="M1029">
        <v>15</v>
      </c>
      <c r="P1029" s="31">
        <v>0</v>
      </c>
      <c r="Q1029" s="232">
        <f t="shared" si="552"/>
        <v>0</v>
      </c>
      <c r="R1029" s="40">
        <v>0.8</v>
      </c>
      <c r="S1029" s="334">
        <f t="shared" si="553"/>
        <v>0</v>
      </c>
      <c r="T1029" s="31">
        <f>VLOOKUP(A1029,'Ansvar kurs'!$A$1:$C$1010,2,FALSE)</f>
        <v>1620</v>
      </c>
      <c r="U1029" s="31" t="str">
        <f>VLOOKUP(T1029,Orgenheter!$A$1:$C$165,2,FALSE)</f>
        <v>Inst för språkstudier</v>
      </c>
      <c r="V1029" s="31" t="str">
        <f>VLOOKUP(T1029,Orgenheter!$A$1:$C$165,3,FALSE)</f>
        <v>Hum</v>
      </c>
      <c r="W1029" s="37" t="str">
        <f>VLOOKUP(D1029,Program!$A$1:$B$34,2,FALSE)</f>
        <v>Fristående och övriga kurser</v>
      </c>
      <c r="X1029" s="42">
        <f>VLOOKUP(A1029,kurspris!$A$1:$Q$798,15,FALSE)</f>
        <v>18405</v>
      </c>
      <c r="Y1029" s="42">
        <f>VLOOKUP(A1029,kurspris!$A$1:$Q$798,16,FALSE)</f>
        <v>15773</v>
      </c>
      <c r="Z1029" s="42">
        <f t="shared" si="554"/>
        <v>0</v>
      </c>
      <c r="AA1029" s="42">
        <f>VLOOKUP(A1029,kurspris!$A$1:$Q$798,17,FALSE)</f>
        <v>5800</v>
      </c>
      <c r="AB1029" s="42">
        <f t="shared" si="555"/>
        <v>0</v>
      </c>
      <c r="AC1029" s="42">
        <f t="shared" si="556"/>
        <v>0</v>
      </c>
      <c r="AD1029" s="31">
        <f>VLOOKUP($A1029,kurspris!$A$1:$Q$835,3,FALSE)</f>
        <v>0</v>
      </c>
      <c r="AE1029" s="31">
        <f>VLOOKUP($A1029,kurspris!$A$1:$Q$835,4,FALSE)</f>
        <v>1</v>
      </c>
      <c r="AF1029" s="31">
        <f>VLOOKUP($A1029,kurspris!$A$1:$Q$835,5,FALSE)</f>
        <v>0</v>
      </c>
      <c r="AG1029" s="31">
        <f>VLOOKUP($A1029,kurspris!$A$1:$Q$835,6,FALSE)</f>
        <v>0</v>
      </c>
      <c r="AH1029" s="31">
        <f>VLOOKUP($A1029,kurspris!$A$1:$Q$835,7,FALSE)</f>
        <v>0</v>
      </c>
      <c r="AI1029" s="31">
        <f>VLOOKUP($A1029,kurspris!$A$1:$Q$835,8,FALSE)</f>
        <v>0</v>
      </c>
      <c r="AJ1029" s="31">
        <f>VLOOKUP($A1029,kurspris!$A$1:$Q$835,9,FALSE)</f>
        <v>0</v>
      </c>
      <c r="AK1029" s="31">
        <f>VLOOKUP($A1029,kurspris!$A$1:$Q$835,10,FALSE)</f>
        <v>0</v>
      </c>
      <c r="AL1029" s="31">
        <f>VLOOKUP($A1029,kurspris!$A$1:$Q$835,11,FALSE)</f>
        <v>0</v>
      </c>
      <c r="AM1029" s="31">
        <f>VLOOKUP($A1029,kurspris!$A$1:$Q$835,12,FALSE)</f>
        <v>0</v>
      </c>
      <c r="AN1029" s="31">
        <f>VLOOKUP($A1029,kurspris!$A$1:$Q$835,13,FALSE)</f>
        <v>0</v>
      </c>
      <c r="AO1029" s="31">
        <f>VLOOKUP($A1029,kurspris!$A$1:$Q$835,14,FALSE)</f>
        <v>0</v>
      </c>
      <c r="AP1029" s="39" t="s">
        <v>2095</v>
      </c>
      <c r="AQ1029"/>
      <c r="AR1029" s="31">
        <f t="shared" si="557"/>
        <v>0</v>
      </c>
      <c r="AS1029" s="255">
        <f t="shared" si="558"/>
        <v>0</v>
      </c>
      <c r="AT1029" s="31">
        <f t="shared" si="559"/>
        <v>0</v>
      </c>
      <c r="AU1029" s="255">
        <f t="shared" si="560"/>
        <v>0</v>
      </c>
      <c r="AV1029" s="31">
        <f t="shared" si="561"/>
        <v>0</v>
      </c>
      <c r="AW1029" s="31">
        <f t="shared" si="562"/>
        <v>0</v>
      </c>
      <c r="AX1029" s="31">
        <f t="shared" si="563"/>
        <v>0</v>
      </c>
      <c r="AY1029" s="255">
        <f t="shared" si="564"/>
        <v>0</v>
      </c>
      <c r="AZ1029" s="232">
        <f t="shared" si="565"/>
        <v>0</v>
      </c>
      <c r="BA1029" s="255">
        <f t="shared" si="566"/>
        <v>0</v>
      </c>
      <c r="BB1029" s="31">
        <f t="shared" si="567"/>
        <v>0</v>
      </c>
      <c r="BC1029" s="255">
        <f t="shared" si="568"/>
        <v>0</v>
      </c>
      <c r="BD1029" s="31">
        <f t="shared" si="569"/>
        <v>0</v>
      </c>
      <c r="BE1029" s="255">
        <f t="shared" si="570"/>
        <v>0</v>
      </c>
      <c r="BF1029" s="31">
        <f t="shared" si="571"/>
        <v>0</v>
      </c>
      <c r="BG1029" s="255">
        <f t="shared" si="572"/>
        <v>0</v>
      </c>
      <c r="BH1029" s="31">
        <f t="shared" si="573"/>
        <v>0</v>
      </c>
      <c r="BI1029" s="255">
        <f t="shared" si="574"/>
        <v>0</v>
      </c>
      <c r="BJ1029" s="31">
        <f t="shared" si="575"/>
        <v>0</v>
      </c>
      <c r="BK1029" s="31">
        <f t="shared" si="576"/>
        <v>0</v>
      </c>
      <c r="BL1029" s="255">
        <f t="shared" si="577"/>
        <v>0</v>
      </c>
      <c r="BM1029" s="31">
        <f t="shared" si="578"/>
        <v>0</v>
      </c>
      <c r="BN1029" s="255">
        <f t="shared" si="579"/>
        <v>0</v>
      </c>
    </row>
    <row r="1030" spans="1:66" x14ac:dyDescent="0.25">
      <c r="A1030" s="18" t="s">
        <v>2062</v>
      </c>
      <c r="B1030" s="186" t="str">
        <f>VLOOKUP(A1030,kurspris!$A$1:$B$877,2,FALSE)</f>
        <v>Didaktik för det flerspråkiga klassrummet</v>
      </c>
      <c r="C1030" s="37"/>
      <c r="D1030" t="s">
        <v>117</v>
      </c>
      <c r="E1030"/>
      <c r="F1030" s="59" t="s">
        <v>1931</v>
      </c>
      <c r="G1030"/>
      <c r="H1030"/>
      <c r="I1030" t="s">
        <v>2066</v>
      </c>
      <c r="L1030">
        <v>25</v>
      </c>
      <c r="M1030">
        <v>7.5</v>
      </c>
      <c r="P1030">
        <v>20</v>
      </c>
      <c r="Q1030" s="232">
        <f t="shared" si="552"/>
        <v>2.5</v>
      </c>
      <c r="R1030" s="40">
        <v>0.8</v>
      </c>
      <c r="S1030" s="334">
        <f t="shared" si="553"/>
        <v>2</v>
      </c>
      <c r="T1030" s="31">
        <f>VLOOKUP(A1030,'Ansvar kurs'!$A$1:$C$1010,2,FALSE)</f>
        <v>1620</v>
      </c>
      <c r="U1030" s="31" t="str">
        <f>VLOOKUP(T1030,Orgenheter!$A$1:$C$165,2,FALSE)</f>
        <v>Inst för språkstudier</v>
      </c>
      <c r="V1030" s="31" t="str">
        <f>VLOOKUP(T1030,Orgenheter!$A$1:$C$165,3,FALSE)</f>
        <v>Hum</v>
      </c>
      <c r="W1030" s="37" t="str">
        <f>VLOOKUP(D1030,Program!$A$1:$B$34,2,FALSE)</f>
        <v>Fristående och övriga kurser</v>
      </c>
      <c r="X1030" s="42">
        <f>VLOOKUP(A1030,kurspris!$A$1:$Q$798,15,FALSE)</f>
        <v>18405</v>
      </c>
      <c r="Y1030" s="42">
        <f>VLOOKUP(A1030,kurspris!$A$1:$Q$798,16,FALSE)</f>
        <v>15773</v>
      </c>
      <c r="Z1030" s="42">
        <f t="shared" si="554"/>
        <v>77558.5</v>
      </c>
      <c r="AA1030" s="42">
        <f>VLOOKUP(A1030,kurspris!$A$1:$Q$798,17,FALSE)</f>
        <v>5800</v>
      </c>
      <c r="AB1030" s="42">
        <f t="shared" si="555"/>
        <v>14500</v>
      </c>
      <c r="AC1030" s="42">
        <f t="shared" si="556"/>
        <v>92058.5</v>
      </c>
      <c r="AD1030" s="31">
        <f>VLOOKUP($A1030,kurspris!$A$1:$Q$835,3,FALSE)</f>
        <v>0</v>
      </c>
      <c r="AE1030" s="31">
        <f>VLOOKUP($A1030,kurspris!$A$1:$Q$835,4,FALSE)</f>
        <v>1</v>
      </c>
      <c r="AF1030" s="31">
        <f>VLOOKUP($A1030,kurspris!$A$1:$Q$835,5,FALSE)</f>
        <v>0</v>
      </c>
      <c r="AG1030" s="31">
        <f>VLOOKUP($A1030,kurspris!$A$1:$Q$835,6,FALSE)</f>
        <v>0</v>
      </c>
      <c r="AH1030" s="31">
        <f>VLOOKUP($A1030,kurspris!$A$1:$Q$835,7,FALSE)</f>
        <v>0</v>
      </c>
      <c r="AI1030" s="31">
        <f>VLOOKUP($A1030,kurspris!$A$1:$Q$835,8,FALSE)</f>
        <v>0</v>
      </c>
      <c r="AJ1030" s="31">
        <f>VLOOKUP($A1030,kurspris!$A$1:$Q$835,9,FALSE)</f>
        <v>0</v>
      </c>
      <c r="AK1030" s="31">
        <f>VLOOKUP($A1030,kurspris!$A$1:$Q$835,10,FALSE)</f>
        <v>0</v>
      </c>
      <c r="AL1030" s="31">
        <f>VLOOKUP($A1030,kurspris!$A$1:$Q$835,11,FALSE)</f>
        <v>0</v>
      </c>
      <c r="AM1030" s="31">
        <f>VLOOKUP($A1030,kurspris!$A$1:$Q$835,12,FALSE)</f>
        <v>0</v>
      </c>
      <c r="AN1030" s="31">
        <f>VLOOKUP($A1030,kurspris!$A$1:$Q$835,13,FALSE)</f>
        <v>0</v>
      </c>
      <c r="AO1030" s="31">
        <f>VLOOKUP($A1030,kurspris!$A$1:$Q$835,14,FALSE)</f>
        <v>0</v>
      </c>
      <c r="AP1030" s="39" t="s">
        <v>2095</v>
      </c>
      <c r="AQ1030"/>
      <c r="AR1030" s="31">
        <f t="shared" si="557"/>
        <v>0</v>
      </c>
      <c r="AS1030" s="255">
        <f t="shared" si="558"/>
        <v>0</v>
      </c>
      <c r="AT1030" s="31">
        <f t="shared" si="559"/>
        <v>2.5</v>
      </c>
      <c r="AU1030" s="255">
        <f t="shared" si="560"/>
        <v>2</v>
      </c>
      <c r="AV1030" s="31">
        <f t="shared" si="561"/>
        <v>0</v>
      </c>
      <c r="AW1030" s="31">
        <f t="shared" si="562"/>
        <v>0</v>
      </c>
      <c r="AX1030" s="31">
        <f t="shared" si="563"/>
        <v>0</v>
      </c>
      <c r="AY1030" s="255">
        <f t="shared" si="564"/>
        <v>0</v>
      </c>
      <c r="AZ1030" s="232">
        <f t="shared" si="565"/>
        <v>0</v>
      </c>
      <c r="BA1030" s="255">
        <f t="shared" si="566"/>
        <v>0</v>
      </c>
      <c r="BB1030" s="31">
        <f t="shared" si="567"/>
        <v>0</v>
      </c>
      <c r="BC1030" s="255">
        <f t="shared" si="568"/>
        <v>0</v>
      </c>
      <c r="BD1030" s="31">
        <f t="shared" si="569"/>
        <v>0</v>
      </c>
      <c r="BE1030" s="255">
        <f t="shared" si="570"/>
        <v>0</v>
      </c>
      <c r="BF1030" s="31">
        <f t="shared" si="571"/>
        <v>0</v>
      </c>
      <c r="BG1030" s="255">
        <f t="shared" si="572"/>
        <v>0</v>
      </c>
      <c r="BH1030" s="31">
        <f t="shared" si="573"/>
        <v>0</v>
      </c>
      <c r="BI1030" s="255">
        <f t="shared" si="574"/>
        <v>0</v>
      </c>
      <c r="BJ1030" s="31">
        <f t="shared" si="575"/>
        <v>0</v>
      </c>
      <c r="BK1030" s="31">
        <f t="shared" si="576"/>
        <v>0</v>
      </c>
      <c r="BL1030" s="255">
        <f t="shared" si="577"/>
        <v>0</v>
      </c>
      <c r="BM1030" s="31">
        <f t="shared" si="578"/>
        <v>0</v>
      </c>
      <c r="BN1030" s="255">
        <f t="shared" si="579"/>
        <v>0</v>
      </c>
    </row>
    <row r="1031" spans="1:66" x14ac:dyDescent="0.25">
      <c r="A1031" s="18" t="s">
        <v>2063</v>
      </c>
      <c r="B1031" s="186" t="str">
        <f>VLOOKUP(A1031,kurspris!$A$1:$B$877,2,FALSE)</f>
        <v>Språkdidaktik: Aktuella frågor och metoder i språkdidaktisk forskning</v>
      </c>
      <c r="C1031" s="37"/>
      <c r="D1031" t="s">
        <v>117</v>
      </c>
      <c r="E1031"/>
      <c r="F1031" s="59" t="s">
        <v>1930</v>
      </c>
      <c r="G1031"/>
      <c r="H1031"/>
      <c r="I1031" t="s">
        <v>2066</v>
      </c>
      <c r="L1031">
        <v>25</v>
      </c>
      <c r="M1031">
        <v>7.5</v>
      </c>
      <c r="P1031" s="31">
        <v>0</v>
      </c>
      <c r="Q1031" s="232">
        <f t="shared" si="552"/>
        <v>0</v>
      </c>
      <c r="R1031" s="40">
        <v>0.8</v>
      </c>
      <c r="S1031" s="334">
        <f t="shared" si="553"/>
        <v>0</v>
      </c>
      <c r="T1031" s="31">
        <f>VLOOKUP(A1031,'Ansvar kurs'!$A$1:$C$1010,2,FALSE)</f>
        <v>1620</v>
      </c>
      <c r="U1031" s="31" t="str">
        <f>VLOOKUP(T1031,Orgenheter!$A$1:$C$165,2,FALSE)</f>
        <v>Inst för språkstudier</v>
      </c>
      <c r="V1031" s="31" t="str">
        <f>VLOOKUP(T1031,Orgenheter!$A$1:$C$165,3,FALSE)</f>
        <v>Hum</v>
      </c>
      <c r="W1031" s="37" t="str">
        <f>VLOOKUP(D1031,Program!$A$1:$B$34,2,FALSE)</f>
        <v>Fristående och övriga kurser</v>
      </c>
      <c r="X1031" s="42">
        <f>VLOOKUP(A1031,kurspris!$A$1:$Q$798,15,FALSE)</f>
        <v>18405</v>
      </c>
      <c r="Y1031" s="42">
        <f>VLOOKUP(A1031,kurspris!$A$1:$Q$798,16,FALSE)</f>
        <v>15773</v>
      </c>
      <c r="Z1031" s="42">
        <f t="shared" si="554"/>
        <v>0</v>
      </c>
      <c r="AA1031" s="42">
        <f>VLOOKUP(A1031,kurspris!$A$1:$Q$798,17,FALSE)</f>
        <v>5800</v>
      </c>
      <c r="AB1031" s="42">
        <f t="shared" si="555"/>
        <v>0</v>
      </c>
      <c r="AC1031" s="42">
        <f t="shared" si="556"/>
        <v>0</v>
      </c>
      <c r="AD1031" s="31">
        <f>VLOOKUP($A1031,kurspris!$A$1:$Q$835,3,FALSE)</f>
        <v>0</v>
      </c>
      <c r="AE1031" s="31">
        <f>VLOOKUP($A1031,kurspris!$A$1:$Q$835,4,FALSE)</f>
        <v>1</v>
      </c>
      <c r="AF1031" s="31">
        <f>VLOOKUP($A1031,kurspris!$A$1:$Q$835,5,FALSE)</f>
        <v>0</v>
      </c>
      <c r="AG1031" s="31">
        <f>VLOOKUP($A1031,kurspris!$A$1:$Q$835,6,FALSE)</f>
        <v>0</v>
      </c>
      <c r="AH1031" s="31">
        <f>VLOOKUP($A1031,kurspris!$A$1:$Q$835,7,FALSE)</f>
        <v>0</v>
      </c>
      <c r="AI1031" s="31">
        <f>VLOOKUP($A1031,kurspris!$A$1:$Q$835,8,FALSE)</f>
        <v>0</v>
      </c>
      <c r="AJ1031" s="31">
        <f>VLOOKUP($A1031,kurspris!$A$1:$Q$835,9,FALSE)</f>
        <v>0</v>
      </c>
      <c r="AK1031" s="31">
        <f>VLOOKUP($A1031,kurspris!$A$1:$Q$835,10,FALSE)</f>
        <v>0</v>
      </c>
      <c r="AL1031" s="31">
        <f>VLOOKUP($A1031,kurspris!$A$1:$Q$835,11,FALSE)</f>
        <v>0</v>
      </c>
      <c r="AM1031" s="31">
        <f>VLOOKUP($A1031,kurspris!$A$1:$Q$835,12,FALSE)</f>
        <v>0</v>
      </c>
      <c r="AN1031" s="31">
        <f>VLOOKUP($A1031,kurspris!$A$1:$Q$835,13,FALSE)</f>
        <v>0</v>
      </c>
      <c r="AO1031" s="31">
        <f>VLOOKUP($A1031,kurspris!$A$1:$Q$835,14,FALSE)</f>
        <v>0</v>
      </c>
      <c r="AP1031" s="39" t="s">
        <v>2095</v>
      </c>
      <c r="AQ1031"/>
      <c r="AR1031" s="31">
        <f t="shared" si="557"/>
        <v>0</v>
      </c>
      <c r="AS1031" s="255">
        <f t="shared" si="558"/>
        <v>0</v>
      </c>
      <c r="AT1031" s="31">
        <f t="shared" si="559"/>
        <v>0</v>
      </c>
      <c r="AU1031" s="255">
        <f t="shared" si="560"/>
        <v>0</v>
      </c>
      <c r="AV1031" s="31">
        <f t="shared" si="561"/>
        <v>0</v>
      </c>
      <c r="AW1031" s="31">
        <f t="shared" si="562"/>
        <v>0</v>
      </c>
      <c r="AX1031" s="31">
        <f t="shared" si="563"/>
        <v>0</v>
      </c>
      <c r="AY1031" s="255">
        <f t="shared" si="564"/>
        <v>0</v>
      </c>
      <c r="AZ1031" s="232">
        <f t="shared" si="565"/>
        <v>0</v>
      </c>
      <c r="BA1031" s="255">
        <f t="shared" si="566"/>
        <v>0</v>
      </c>
      <c r="BB1031" s="31">
        <f t="shared" si="567"/>
        <v>0</v>
      </c>
      <c r="BC1031" s="255">
        <f t="shared" si="568"/>
        <v>0</v>
      </c>
      <c r="BD1031" s="31">
        <f t="shared" si="569"/>
        <v>0</v>
      </c>
      <c r="BE1031" s="255">
        <f t="shared" si="570"/>
        <v>0</v>
      </c>
      <c r="BF1031" s="31">
        <f t="shared" si="571"/>
        <v>0</v>
      </c>
      <c r="BG1031" s="255">
        <f t="shared" si="572"/>
        <v>0</v>
      </c>
      <c r="BH1031" s="31">
        <f t="shared" si="573"/>
        <v>0</v>
      </c>
      <c r="BI1031" s="255">
        <f t="shared" si="574"/>
        <v>0</v>
      </c>
      <c r="BJ1031" s="31">
        <f t="shared" si="575"/>
        <v>0</v>
      </c>
      <c r="BK1031" s="31">
        <f t="shared" si="576"/>
        <v>0</v>
      </c>
      <c r="BL1031" s="255">
        <f t="shared" si="577"/>
        <v>0</v>
      </c>
      <c r="BM1031" s="31">
        <f t="shared" si="578"/>
        <v>0</v>
      </c>
      <c r="BN1031" s="255">
        <f t="shared" si="579"/>
        <v>0</v>
      </c>
    </row>
    <row r="1032" spans="1:66" x14ac:dyDescent="0.25">
      <c r="A1032" t="s">
        <v>2104</v>
      </c>
      <c r="B1032" s="186" t="str">
        <f>VLOOKUP(A1032,kurspris!$A$1:$B$877,2,FALSE)</f>
        <v>Språk-, skriv- och läsutveckling för speciallärare</v>
      </c>
      <c r="C1032"/>
      <c r="D1032" t="s">
        <v>115</v>
      </c>
      <c r="E1032" t="s">
        <v>1788</v>
      </c>
      <c r="F1032" s="59" t="s">
        <v>1930</v>
      </c>
      <c r="G1032" t="s">
        <v>1995</v>
      </c>
      <c r="H1032" t="s">
        <v>1910</v>
      </c>
      <c r="I1032"/>
      <c r="J1032" t="s">
        <v>2165</v>
      </c>
      <c r="K1032"/>
      <c r="L1032">
        <v>100</v>
      </c>
      <c r="M1032">
        <v>30</v>
      </c>
      <c r="N1032"/>
      <c r="O1032"/>
      <c r="P1032" s="31">
        <v>1</v>
      </c>
      <c r="Q1032" s="232">
        <f t="shared" si="552"/>
        <v>0.5</v>
      </c>
      <c r="R1032" s="40">
        <v>0.85</v>
      </c>
      <c r="S1032" s="334">
        <f t="shared" si="553"/>
        <v>0.42499999999999999</v>
      </c>
      <c r="T1032" s="31">
        <f>VLOOKUP(A1032,'Ansvar kurs'!$A$1:$C$1010,2,FALSE)</f>
        <v>1620</v>
      </c>
      <c r="U1032" s="31" t="str">
        <f>VLOOKUP(T1032,Orgenheter!$A$1:$C$165,2,FALSE)</f>
        <v>Inst för språkstudier</v>
      </c>
      <c r="V1032" s="31" t="str">
        <f>VLOOKUP(T1032,Orgenheter!$A$1:$C$165,3,FALSE)</f>
        <v>Hum</v>
      </c>
      <c r="W1032" s="37" t="str">
        <f>VLOOKUP(D1032,Program!$A$1:$B$34,2,FALSE)</f>
        <v>Speciallärarprogrammet</v>
      </c>
      <c r="X1032" s="42">
        <f>VLOOKUP(A1032,kurspris!$A$1:$Q$798,15,FALSE)</f>
        <v>18405</v>
      </c>
      <c r="Y1032" s="42">
        <f>VLOOKUP(A1032,kurspris!$A$1:$Q$798,16,FALSE)</f>
        <v>15773</v>
      </c>
      <c r="Z1032" s="42">
        <f t="shared" si="554"/>
        <v>15906.025</v>
      </c>
      <c r="AA1032" s="42">
        <f>VLOOKUP(A1032,kurspris!$A$1:$Q$798,17,FALSE)</f>
        <v>5800</v>
      </c>
      <c r="AB1032" s="42">
        <f t="shared" si="555"/>
        <v>2900</v>
      </c>
      <c r="AC1032" s="42">
        <f t="shared" si="556"/>
        <v>18806.025000000001</v>
      </c>
      <c r="AD1032" s="31">
        <f>VLOOKUP($A1032,kurspris!$A$1:$Q$835,3,FALSE)</f>
        <v>0</v>
      </c>
      <c r="AE1032" s="31">
        <f>VLOOKUP($A1032,kurspris!$A$1:$Q$835,4,FALSE)</f>
        <v>1</v>
      </c>
      <c r="AF1032" s="31">
        <f>VLOOKUP($A1032,kurspris!$A$1:$Q$835,5,FALSE)</f>
        <v>0</v>
      </c>
      <c r="AG1032" s="31">
        <f>VLOOKUP($A1032,kurspris!$A$1:$Q$835,6,FALSE)</f>
        <v>0</v>
      </c>
      <c r="AH1032" s="31">
        <f>VLOOKUP($A1032,kurspris!$A$1:$Q$835,7,FALSE)</f>
        <v>0</v>
      </c>
      <c r="AI1032" s="31">
        <f>VLOOKUP($A1032,kurspris!$A$1:$Q$835,8,FALSE)</f>
        <v>0</v>
      </c>
      <c r="AJ1032" s="31">
        <f>VLOOKUP($A1032,kurspris!$A$1:$Q$835,9,FALSE)</f>
        <v>0</v>
      </c>
      <c r="AK1032" s="31">
        <f>VLOOKUP($A1032,kurspris!$A$1:$Q$835,10,FALSE)</f>
        <v>0</v>
      </c>
      <c r="AL1032" s="31">
        <f>VLOOKUP($A1032,kurspris!$A$1:$Q$835,11,FALSE)</f>
        <v>0</v>
      </c>
      <c r="AM1032" s="31">
        <f>VLOOKUP($A1032,kurspris!$A$1:$Q$835,12,FALSE)</f>
        <v>0</v>
      </c>
      <c r="AN1032" s="31">
        <f>VLOOKUP($A1032,kurspris!$A$1:$Q$835,13,FALSE)</f>
        <v>0</v>
      </c>
      <c r="AO1032" s="31">
        <f>VLOOKUP($A1032,kurspris!$A$1:$Q$835,14,FALSE)</f>
        <v>0</v>
      </c>
      <c r="AP1032" s="39" t="s">
        <v>2204</v>
      </c>
      <c r="AQ1032"/>
      <c r="AR1032" s="31">
        <f t="shared" si="557"/>
        <v>0</v>
      </c>
      <c r="AS1032" s="255">
        <f t="shared" si="558"/>
        <v>0</v>
      </c>
      <c r="AT1032" s="31">
        <f t="shared" si="559"/>
        <v>0.5</v>
      </c>
      <c r="AU1032" s="255">
        <f t="shared" si="560"/>
        <v>0.42499999999999999</v>
      </c>
      <c r="AV1032" s="31">
        <f t="shared" si="561"/>
        <v>0</v>
      </c>
      <c r="AW1032" s="31">
        <f t="shared" si="562"/>
        <v>0</v>
      </c>
      <c r="AX1032" s="31">
        <f t="shared" si="563"/>
        <v>0</v>
      </c>
      <c r="AY1032" s="255">
        <f t="shared" si="564"/>
        <v>0</v>
      </c>
      <c r="AZ1032" s="232">
        <f t="shared" si="565"/>
        <v>0</v>
      </c>
      <c r="BA1032" s="255">
        <f t="shared" si="566"/>
        <v>0</v>
      </c>
      <c r="BB1032" s="31">
        <f t="shared" si="567"/>
        <v>0</v>
      </c>
      <c r="BC1032" s="255">
        <f t="shared" si="568"/>
        <v>0</v>
      </c>
      <c r="BD1032" s="31">
        <f t="shared" si="569"/>
        <v>0</v>
      </c>
      <c r="BE1032" s="255">
        <f t="shared" si="570"/>
        <v>0</v>
      </c>
      <c r="BF1032" s="31">
        <f t="shared" si="571"/>
        <v>0</v>
      </c>
      <c r="BG1032" s="255">
        <f t="shared" si="572"/>
        <v>0</v>
      </c>
      <c r="BH1032" s="31">
        <f t="shared" si="573"/>
        <v>0</v>
      </c>
      <c r="BI1032" s="255">
        <f t="shared" si="574"/>
        <v>0</v>
      </c>
      <c r="BJ1032" s="31">
        <f t="shared" si="575"/>
        <v>0</v>
      </c>
      <c r="BK1032" s="31">
        <f t="shared" si="576"/>
        <v>0</v>
      </c>
      <c r="BL1032" s="255">
        <f t="shared" si="577"/>
        <v>0</v>
      </c>
      <c r="BM1032" s="31">
        <f t="shared" si="578"/>
        <v>0</v>
      </c>
      <c r="BN1032" s="255">
        <f t="shared" si="579"/>
        <v>0</v>
      </c>
    </row>
    <row r="1033" spans="1:66" x14ac:dyDescent="0.25">
      <c r="A1033" t="s">
        <v>2104</v>
      </c>
      <c r="B1033" s="186" t="str">
        <f>VLOOKUP(A1033,kurspris!$A$1:$B$877,2,FALSE)</f>
        <v>Språk-, skriv- och läsutveckling för speciallärare</v>
      </c>
      <c r="C1033"/>
      <c r="D1033" t="s">
        <v>115</v>
      </c>
      <c r="E1033" t="s">
        <v>1788</v>
      </c>
      <c r="F1033" s="59" t="s">
        <v>1930</v>
      </c>
      <c r="G1033" t="s">
        <v>1995</v>
      </c>
      <c r="H1033" t="s">
        <v>1910</v>
      </c>
      <c r="I1033"/>
      <c r="J1033" t="s">
        <v>2165</v>
      </c>
      <c r="K1033"/>
      <c r="L1033">
        <v>100</v>
      </c>
      <c r="M1033">
        <v>30</v>
      </c>
      <c r="N1033"/>
      <c r="O1033"/>
      <c r="P1033" s="31">
        <v>16</v>
      </c>
      <c r="Q1033" s="232">
        <f t="shared" si="552"/>
        <v>8</v>
      </c>
      <c r="R1033" s="40">
        <v>0.85</v>
      </c>
      <c r="S1033" s="334">
        <f t="shared" si="553"/>
        <v>6.8</v>
      </c>
      <c r="T1033" s="31">
        <f>VLOOKUP(A1033,'Ansvar kurs'!$A$1:$C$1010,2,FALSE)</f>
        <v>1620</v>
      </c>
      <c r="U1033" s="31" t="str">
        <f>VLOOKUP(T1033,Orgenheter!$A$1:$C$165,2,FALSE)</f>
        <v>Inst för språkstudier</v>
      </c>
      <c r="V1033" s="31" t="str">
        <f>VLOOKUP(T1033,Orgenheter!$A$1:$C$165,3,FALSE)</f>
        <v>Hum</v>
      </c>
      <c r="W1033" s="37" t="str">
        <f>VLOOKUP(D1033,Program!$A$1:$B$34,2,FALSE)</f>
        <v>Speciallärarprogrammet</v>
      </c>
      <c r="X1033" s="42">
        <f>VLOOKUP(A1033,kurspris!$A$1:$Q$798,15,FALSE)</f>
        <v>18405</v>
      </c>
      <c r="Y1033" s="42">
        <f>VLOOKUP(A1033,kurspris!$A$1:$Q$798,16,FALSE)</f>
        <v>15773</v>
      </c>
      <c r="Z1033" s="42">
        <f t="shared" si="554"/>
        <v>254496.4</v>
      </c>
      <c r="AA1033" s="42">
        <f>VLOOKUP(A1033,kurspris!$A$1:$Q$798,17,FALSE)</f>
        <v>5800</v>
      </c>
      <c r="AB1033" s="42">
        <f t="shared" si="555"/>
        <v>46400</v>
      </c>
      <c r="AC1033" s="42">
        <f t="shared" si="556"/>
        <v>300896.40000000002</v>
      </c>
      <c r="AD1033" s="31">
        <f>VLOOKUP($A1033,kurspris!$A$1:$Q$835,3,FALSE)</f>
        <v>0</v>
      </c>
      <c r="AE1033" s="31">
        <f>VLOOKUP($A1033,kurspris!$A$1:$Q$835,4,FALSE)</f>
        <v>1</v>
      </c>
      <c r="AF1033" s="31">
        <f>VLOOKUP($A1033,kurspris!$A$1:$Q$835,5,FALSE)</f>
        <v>0</v>
      </c>
      <c r="AG1033" s="31">
        <f>VLOOKUP($A1033,kurspris!$A$1:$Q$835,6,FALSE)</f>
        <v>0</v>
      </c>
      <c r="AH1033" s="31">
        <f>VLOOKUP($A1033,kurspris!$A$1:$Q$835,7,FALSE)</f>
        <v>0</v>
      </c>
      <c r="AI1033" s="31">
        <f>VLOOKUP($A1033,kurspris!$A$1:$Q$835,8,FALSE)</f>
        <v>0</v>
      </c>
      <c r="AJ1033" s="31">
        <f>VLOOKUP($A1033,kurspris!$A$1:$Q$835,9,FALSE)</f>
        <v>0</v>
      </c>
      <c r="AK1033" s="31">
        <f>VLOOKUP($A1033,kurspris!$A$1:$Q$835,10,FALSE)</f>
        <v>0</v>
      </c>
      <c r="AL1033" s="31">
        <f>VLOOKUP($A1033,kurspris!$A$1:$Q$835,11,FALSE)</f>
        <v>0</v>
      </c>
      <c r="AM1033" s="31">
        <f>VLOOKUP($A1033,kurspris!$A$1:$Q$835,12,FALSE)</f>
        <v>0</v>
      </c>
      <c r="AN1033" s="31">
        <f>VLOOKUP($A1033,kurspris!$A$1:$Q$835,13,FALSE)</f>
        <v>0</v>
      </c>
      <c r="AO1033" s="31">
        <f>VLOOKUP($A1033,kurspris!$A$1:$Q$835,14,FALSE)</f>
        <v>0</v>
      </c>
      <c r="AP1033" s="39" t="s">
        <v>2204</v>
      </c>
      <c r="AQ1033"/>
      <c r="AR1033" s="31">
        <f t="shared" si="557"/>
        <v>0</v>
      </c>
      <c r="AS1033" s="255">
        <f t="shared" si="558"/>
        <v>0</v>
      </c>
      <c r="AT1033" s="31">
        <f t="shared" si="559"/>
        <v>8</v>
      </c>
      <c r="AU1033" s="255">
        <f t="shared" si="560"/>
        <v>6.8</v>
      </c>
      <c r="AV1033" s="31">
        <f t="shared" si="561"/>
        <v>0</v>
      </c>
      <c r="AW1033" s="31">
        <f t="shared" si="562"/>
        <v>0</v>
      </c>
      <c r="AX1033" s="31">
        <f t="shared" si="563"/>
        <v>0</v>
      </c>
      <c r="AY1033" s="255">
        <f t="shared" si="564"/>
        <v>0</v>
      </c>
      <c r="AZ1033" s="232">
        <f t="shared" si="565"/>
        <v>0</v>
      </c>
      <c r="BA1033" s="255">
        <f t="shared" si="566"/>
        <v>0</v>
      </c>
      <c r="BB1033" s="31">
        <f t="shared" si="567"/>
        <v>0</v>
      </c>
      <c r="BC1033" s="255">
        <f t="shared" si="568"/>
        <v>0</v>
      </c>
      <c r="BD1033" s="31">
        <f t="shared" si="569"/>
        <v>0</v>
      </c>
      <c r="BE1033" s="255">
        <f t="shared" si="570"/>
        <v>0</v>
      </c>
      <c r="BF1033" s="31">
        <f t="shared" si="571"/>
        <v>0</v>
      </c>
      <c r="BG1033" s="255">
        <f t="shared" si="572"/>
        <v>0</v>
      </c>
      <c r="BH1033" s="31">
        <f t="shared" si="573"/>
        <v>0</v>
      </c>
      <c r="BI1033" s="255">
        <f t="shared" si="574"/>
        <v>0</v>
      </c>
      <c r="BJ1033" s="31">
        <f t="shared" si="575"/>
        <v>0</v>
      </c>
      <c r="BK1033" s="31">
        <f t="shared" si="576"/>
        <v>0</v>
      </c>
      <c r="BL1033" s="255">
        <f t="shared" si="577"/>
        <v>0</v>
      </c>
      <c r="BM1033" s="31">
        <f t="shared" si="578"/>
        <v>0</v>
      </c>
      <c r="BN1033" s="255">
        <f t="shared" si="579"/>
        <v>0</v>
      </c>
    </row>
    <row r="1034" spans="1:66" x14ac:dyDescent="0.25">
      <c r="A1034" s="39" t="s">
        <v>2151</v>
      </c>
      <c r="B1034" s="186" t="str">
        <f>VLOOKUP(A1034,kurspris!$A$1:$B$877,2,FALSE)</f>
        <v>Examensarbete för speciallärarexamen med specialisering mot språk-, skriv- och läsutveckling</v>
      </c>
      <c r="C1034" s="37"/>
      <c r="D1034" s="31" t="s">
        <v>115</v>
      </c>
      <c r="E1034" s="59" t="s">
        <v>1788</v>
      </c>
      <c r="F1034" s="59" t="s">
        <v>1931</v>
      </c>
      <c r="G1034" s="31" t="s">
        <v>2281</v>
      </c>
      <c r="J1034" t="s">
        <v>2165</v>
      </c>
      <c r="L1034" s="31">
        <v>100</v>
      </c>
      <c r="M1034" s="376">
        <v>15</v>
      </c>
      <c r="P1034" s="31">
        <v>16</v>
      </c>
      <c r="Q1034" s="232">
        <f t="shared" si="552"/>
        <v>4</v>
      </c>
      <c r="R1034" s="40">
        <v>0.85</v>
      </c>
      <c r="S1034" s="334">
        <f t="shared" si="553"/>
        <v>3.4</v>
      </c>
      <c r="T1034" s="31">
        <f>VLOOKUP(A1034,'Ansvar kurs'!$A$1:$C$1010,2,FALSE)</f>
        <v>1620</v>
      </c>
      <c r="U1034" s="31" t="str">
        <f>VLOOKUP(T1034,Orgenheter!$A$1:$C$165,2,FALSE)</f>
        <v>Inst för språkstudier</v>
      </c>
      <c r="V1034" s="31" t="str">
        <f>VLOOKUP(T1034,Orgenheter!$A$1:$C$165,3,FALSE)</f>
        <v>Hum</v>
      </c>
      <c r="W1034" s="37" t="str">
        <f>VLOOKUP(D1034,Program!$A$1:$B$34,2,FALSE)</f>
        <v>Speciallärarprogrammet</v>
      </c>
      <c r="X1034" s="42">
        <f>VLOOKUP(A1034,kurspris!$A$1:$Q$798,15,FALSE)</f>
        <v>18405</v>
      </c>
      <c r="Y1034" s="42">
        <f>VLOOKUP(A1034,kurspris!$A$1:$Q$798,16,FALSE)</f>
        <v>15773</v>
      </c>
      <c r="Z1034" s="42">
        <f t="shared" si="554"/>
        <v>127248.2</v>
      </c>
      <c r="AA1034" s="42">
        <f>VLOOKUP(A1034,kurspris!$A$1:$Q$798,17,FALSE)</f>
        <v>5800</v>
      </c>
      <c r="AB1034" s="42">
        <f t="shared" si="555"/>
        <v>23200</v>
      </c>
      <c r="AC1034" s="42">
        <f t="shared" si="556"/>
        <v>150448.20000000001</v>
      </c>
      <c r="AD1034" s="31">
        <f>VLOOKUP($A1034,kurspris!$A$1:$Q$835,3,FALSE)</f>
        <v>0</v>
      </c>
      <c r="AE1034" s="31">
        <f>VLOOKUP($A1034,kurspris!$A$1:$Q$835,4,FALSE)</f>
        <v>0</v>
      </c>
      <c r="AF1034" s="31">
        <f>VLOOKUP($A1034,kurspris!$A$1:$Q$835,5,FALSE)</f>
        <v>0</v>
      </c>
      <c r="AG1034" s="31">
        <f>VLOOKUP($A1034,kurspris!$A$1:$Q$835,6,FALSE)</f>
        <v>0</v>
      </c>
      <c r="AH1034" s="31">
        <f>VLOOKUP($A1034,kurspris!$A$1:$Q$835,7,FALSE)</f>
        <v>0</v>
      </c>
      <c r="AI1034" s="31">
        <f>VLOOKUP($A1034,kurspris!$A$1:$Q$835,8,FALSE)</f>
        <v>0</v>
      </c>
      <c r="AJ1034" s="31">
        <f>VLOOKUP($A1034,kurspris!$A$1:$Q$835,9,FALSE)</f>
        <v>1</v>
      </c>
      <c r="AK1034" s="31">
        <f>VLOOKUP($A1034,kurspris!$A$1:$Q$835,10,FALSE)</f>
        <v>0</v>
      </c>
      <c r="AL1034" s="31">
        <f>VLOOKUP($A1034,kurspris!$A$1:$Q$835,11,FALSE)</f>
        <v>0</v>
      </c>
      <c r="AM1034" s="31">
        <f>VLOOKUP($A1034,kurspris!$A$1:$Q$835,12,FALSE)</f>
        <v>0</v>
      </c>
      <c r="AN1034" s="31">
        <f>VLOOKUP($A1034,kurspris!$A$1:$Q$835,13,FALSE)</f>
        <v>0</v>
      </c>
      <c r="AO1034" s="31">
        <f>VLOOKUP($A1034,kurspris!$A$1:$Q$835,14,FALSE)</f>
        <v>0</v>
      </c>
      <c r="AP1034" s="39" t="s">
        <v>2326</v>
      </c>
      <c r="AQ1034"/>
      <c r="AR1034" s="31">
        <f t="shared" si="557"/>
        <v>0</v>
      </c>
      <c r="AS1034" s="255">
        <f t="shared" si="558"/>
        <v>0</v>
      </c>
      <c r="AT1034" s="31">
        <f t="shared" si="559"/>
        <v>0</v>
      </c>
      <c r="AU1034" s="255">
        <f t="shared" si="560"/>
        <v>0</v>
      </c>
      <c r="AV1034" s="31">
        <f t="shared" si="561"/>
        <v>0</v>
      </c>
      <c r="AW1034" s="31">
        <f t="shared" si="562"/>
        <v>0</v>
      </c>
      <c r="AX1034" s="31">
        <f t="shared" si="563"/>
        <v>0</v>
      </c>
      <c r="AY1034" s="255">
        <f t="shared" si="564"/>
        <v>0</v>
      </c>
      <c r="AZ1034" s="232">
        <f t="shared" si="565"/>
        <v>0</v>
      </c>
      <c r="BA1034" s="255">
        <f t="shared" si="566"/>
        <v>0</v>
      </c>
      <c r="BB1034" s="31">
        <f t="shared" si="567"/>
        <v>0</v>
      </c>
      <c r="BC1034" s="255">
        <f t="shared" si="568"/>
        <v>0</v>
      </c>
      <c r="BD1034" s="31">
        <f t="shared" si="569"/>
        <v>4</v>
      </c>
      <c r="BE1034" s="255">
        <f t="shared" si="570"/>
        <v>3.4</v>
      </c>
      <c r="BF1034" s="31">
        <f t="shared" si="571"/>
        <v>0</v>
      </c>
      <c r="BG1034" s="255">
        <f t="shared" si="572"/>
        <v>0</v>
      </c>
      <c r="BH1034" s="31">
        <f t="shared" si="573"/>
        <v>0</v>
      </c>
      <c r="BI1034" s="255">
        <f t="shared" si="574"/>
        <v>0</v>
      </c>
      <c r="BJ1034" s="31">
        <f t="shared" si="575"/>
        <v>0</v>
      </c>
      <c r="BK1034" s="31">
        <f t="shared" si="576"/>
        <v>0</v>
      </c>
      <c r="BL1034" s="255">
        <f t="shared" si="577"/>
        <v>0</v>
      </c>
      <c r="BM1034" s="31">
        <f t="shared" si="578"/>
        <v>0</v>
      </c>
      <c r="BN1034" s="255">
        <f t="shared" si="579"/>
        <v>0</v>
      </c>
    </row>
    <row r="1035" spans="1:66" x14ac:dyDescent="0.25">
      <c r="A1035" s="18" t="s">
        <v>2152</v>
      </c>
      <c r="B1035" s="186" t="str">
        <f>VLOOKUP(A1035,kurspris!$A$1:$B$877,2,FALSE)</f>
        <v>Språk-, skriv- och läsutveckling i ett specialpedagogiskt perspektiv</v>
      </c>
      <c r="C1035" s="37"/>
      <c r="D1035" s="31" t="s">
        <v>115</v>
      </c>
      <c r="E1035" s="31" t="s">
        <v>1788</v>
      </c>
      <c r="F1035" s="59" t="s">
        <v>1931</v>
      </c>
      <c r="G1035" s="31" t="s">
        <v>2269</v>
      </c>
      <c r="J1035" t="s">
        <v>2163</v>
      </c>
      <c r="L1035" s="31">
        <v>100</v>
      </c>
      <c r="M1035" s="31">
        <v>7.5</v>
      </c>
      <c r="P1035" s="31">
        <v>8</v>
      </c>
      <c r="Q1035" s="232">
        <f t="shared" si="552"/>
        <v>1</v>
      </c>
      <c r="R1035" s="40">
        <v>0.85</v>
      </c>
      <c r="S1035" s="334">
        <f t="shared" si="553"/>
        <v>0.85</v>
      </c>
      <c r="T1035" s="31">
        <f>VLOOKUP(A1035,'Ansvar kurs'!$A$1:$C$1010,2,FALSE)</f>
        <v>1620</v>
      </c>
      <c r="U1035" s="31" t="str">
        <f>VLOOKUP(T1035,Orgenheter!$A$1:$C$165,2,FALSE)</f>
        <v>Inst för språkstudier</v>
      </c>
      <c r="V1035" s="31" t="str">
        <f>VLOOKUP(T1035,Orgenheter!$A$1:$C$165,3,FALSE)</f>
        <v>Hum</v>
      </c>
      <c r="W1035" s="37" t="str">
        <f>VLOOKUP(D1035,Program!$A$1:$B$34,2,FALSE)</f>
        <v>Speciallärarprogrammet</v>
      </c>
      <c r="X1035" s="42">
        <f>VLOOKUP(A1035,kurspris!$A$1:$Q$798,15,FALSE)</f>
        <v>18405</v>
      </c>
      <c r="Y1035" s="42">
        <f>VLOOKUP(A1035,kurspris!$A$1:$Q$798,16,FALSE)</f>
        <v>15773</v>
      </c>
      <c r="Z1035" s="42">
        <f t="shared" si="554"/>
        <v>31812.05</v>
      </c>
      <c r="AA1035" s="42">
        <f>VLOOKUP(A1035,kurspris!$A$1:$Q$798,17,FALSE)</f>
        <v>5800</v>
      </c>
      <c r="AB1035" s="42">
        <f t="shared" si="555"/>
        <v>5800</v>
      </c>
      <c r="AC1035" s="42">
        <f t="shared" si="556"/>
        <v>37612.050000000003</v>
      </c>
      <c r="AD1035" s="31">
        <f>VLOOKUP($A1035,kurspris!$A$1:$Q$835,3,FALSE)</f>
        <v>0</v>
      </c>
      <c r="AE1035" s="31">
        <f>VLOOKUP($A1035,kurspris!$A$1:$Q$835,4,FALSE)</f>
        <v>0</v>
      </c>
      <c r="AF1035" s="31">
        <f>VLOOKUP($A1035,kurspris!$A$1:$Q$835,5,FALSE)</f>
        <v>0</v>
      </c>
      <c r="AG1035" s="31">
        <f>VLOOKUP($A1035,kurspris!$A$1:$Q$835,6,FALSE)</f>
        <v>0</v>
      </c>
      <c r="AH1035" s="31">
        <f>VLOOKUP($A1035,kurspris!$A$1:$Q$835,7,FALSE)</f>
        <v>0</v>
      </c>
      <c r="AI1035" s="31">
        <f>VLOOKUP($A1035,kurspris!$A$1:$Q$835,8,FALSE)</f>
        <v>0</v>
      </c>
      <c r="AJ1035" s="31">
        <f>VLOOKUP($A1035,kurspris!$A$1:$Q$835,9,FALSE)</f>
        <v>1</v>
      </c>
      <c r="AK1035" s="31">
        <f>VLOOKUP($A1035,kurspris!$A$1:$Q$835,10,FALSE)</f>
        <v>0</v>
      </c>
      <c r="AL1035" s="31">
        <f>VLOOKUP($A1035,kurspris!$A$1:$Q$835,11,FALSE)</f>
        <v>0</v>
      </c>
      <c r="AM1035" s="31">
        <f>VLOOKUP($A1035,kurspris!$A$1:$Q$835,12,FALSE)</f>
        <v>0</v>
      </c>
      <c r="AN1035" s="31">
        <f>VLOOKUP($A1035,kurspris!$A$1:$Q$835,13,FALSE)</f>
        <v>0</v>
      </c>
      <c r="AO1035" s="31">
        <f>VLOOKUP($A1035,kurspris!$A$1:$Q$835,14,FALSE)</f>
        <v>0</v>
      </c>
      <c r="AP1035" s="39" t="s">
        <v>2326</v>
      </c>
      <c r="AQ1035"/>
      <c r="AR1035" s="31">
        <f t="shared" si="557"/>
        <v>0</v>
      </c>
      <c r="AS1035" s="255">
        <f t="shared" si="558"/>
        <v>0</v>
      </c>
      <c r="AT1035" s="31">
        <f t="shared" si="559"/>
        <v>0</v>
      </c>
      <c r="AU1035" s="255">
        <f t="shared" si="560"/>
        <v>0</v>
      </c>
      <c r="AV1035" s="31">
        <f t="shared" si="561"/>
        <v>0</v>
      </c>
      <c r="AW1035" s="31">
        <f t="shared" si="562"/>
        <v>0</v>
      </c>
      <c r="AX1035" s="31">
        <f t="shared" si="563"/>
        <v>0</v>
      </c>
      <c r="AY1035" s="255">
        <f t="shared" si="564"/>
        <v>0</v>
      </c>
      <c r="AZ1035" s="232">
        <f t="shared" si="565"/>
        <v>0</v>
      </c>
      <c r="BA1035" s="255">
        <f t="shared" si="566"/>
        <v>0</v>
      </c>
      <c r="BB1035" s="31">
        <f t="shared" si="567"/>
        <v>0</v>
      </c>
      <c r="BC1035" s="255">
        <f t="shared" si="568"/>
        <v>0</v>
      </c>
      <c r="BD1035" s="31">
        <f t="shared" si="569"/>
        <v>1</v>
      </c>
      <c r="BE1035" s="255">
        <f t="shared" si="570"/>
        <v>0.85</v>
      </c>
      <c r="BF1035" s="31">
        <f t="shared" si="571"/>
        <v>0</v>
      </c>
      <c r="BG1035" s="255">
        <f t="shared" si="572"/>
        <v>0</v>
      </c>
      <c r="BH1035" s="31">
        <f t="shared" si="573"/>
        <v>0</v>
      </c>
      <c r="BI1035" s="255">
        <f t="shared" si="574"/>
        <v>0</v>
      </c>
      <c r="BJ1035" s="31">
        <f t="shared" si="575"/>
        <v>0</v>
      </c>
      <c r="BK1035" s="31">
        <f t="shared" si="576"/>
        <v>0</v>
      </c>
      <c r="BL1035" s="255">
        <f t="shared" si="577"/>
        <v>0</v>
      </c>
      <c r="BM1035" s="31">
        <f t="shared" si="578"/>
        <v>0</v>
      </c>
      <c r="BN1035" s="255">
        <f t="shared" si="579"/>
        <v>0</v>
      </c>
    </row>
    <row r="1036" spans="1:66" x14ac:dyDescent="0.25">
      <c r="A1036" t="s">
        <v>512</v>
      </c>
      <c r="B1036" s="186" t="str">
        <f>VLOOKUP(A1036,kurspris!$A$1:$B$877,2,FALSE)</f>
        <v>Samhällskunskap 1</v>
      </c>
      <c r="C1036"/>
      <c r="D1036" t="s">
        <v>483</v>
      </c>
      <c r="E1036" t="s">
        <v>1973</v>
      </c>
      <c r="F1036" s="59" t="s">
        <v>1930</v>
      </c>
      <c r="G1036" t="s">
        <v>1995</v>
      </c>
      <c r="H1036" t="s">
        <v>1910</v>
      </c>
      <c r="I1036"/>
      <c r="J1036" t="s">
        <v>771</v>
      </c>
      <c r="K1036"/>
      <c r="L1036">
        <v>100</v>
      </c>
      <c r="M1036">
        <v>30</v>
      </c>
      <c r="N1036"/>
      <c r="O1036"/>
      <c r="P1036" s="31">
        <v>3</v>
      </c>
      <c r="Q1036" s="232">
        <f t="shared" si="552"/>
        <v>1.5</v>
      </c>
      <c r="R1036" s="40">
        <v>0.85</v>
      </c>
      <c r="S1036" s="334">
        <f t="shared" si="553"/>
        <v>1.2749999999999999</v>
      </c>
      <c r="T1036" s="31">
        <f>VLOOKUP(A1036,'Ansvar kurs'!$A$1:$C$1010,2,FALSE)</f>
        <v>2340</v>
      </c>
      <c r="U1036" s="31" t="str">
        <f>VLOOKUP(T1036,Orgenheter!$A$1:$C$165,2,FALSE)</f>
        <v xml:space="preserve">Statsvetenskap                </v>
      </c>
      <c r="V1036" s="31" t="str">
        <f>VLOOKUP(T1036,Orgenheter!$A$1:$C$165,3,FALSE)</f>
        <v>Sam</v>
      </c>
      <c r="W1036" s="37" t="str">
        <f>VLOOKUP(D1036,Program!$A$1:$B$34,2,FALSE)</f>
        <v>Ämneslärarprogrammet - Gy</v>
      </c>
      <c r="X1036" s="42">
        <f>VLOOKUP(A1036,kurspris!$A$1:$Q$798,15,FALSE)</f>
        <v>18405</v>
      </c>
      <c r="Y1036" s="42">
        <f>VLOOKUP(A1036,kurspris!$A$1:$Q$798,16,FALSE)</f>
        <v>15773</v>
      </c>
      <c r="Z1036" s="42">
        <f t="shared" si="554"/>
        <v>47718.074999999997</v>
      </c>
      <c r="AA1036" s="42">
        <f>VLOOKUP(A1036,kurspris!$A$1:$Q$798,17,FALSE)</f>
        <v>5800</v>
      </c>
      <c r="AB1036" s="42">
        <f t="shared" si="555"/>
        <v>8700</v>
      </c>
      <c r="AC1036" s="42">
        <f t="shared" si="556"/>
        <v>56418.074999999997</v>
      </c>
      <c r="AD1036" s="31">
        <f>VLOOKUP($A1036,kurspris!$A$1:$Q$835,3,FALSE)</f>
        <v>0</v>
      </c>
      <c r="AE1036" s="31">
        <f>VLOOKUP($A1036,kurspris!$A$1:$Q$835,4,FALSE)</f>
        <v>1</v>
      </c>
      <c r="AF1036" s="31">
        <f>VLOOKUP($A1036,kurspris!$A$1:$Q$835,5,FALSE)</f>
        <v>0</v>
      </c>
      <c r="AG1036" s="31">
        <f>VLOOKUP($A1036,kurspris!$A$1:$Q$835,6,FALSE)</f>
        <v>0</v>
      </c>
      <c r="AH1036" s="31">
        <f>VLOOKUP($A1036,kurspris!$A$1:$Q$835,7,FALSE)</f>
        <v>0</v>
      </c>
      <c r="AI1036" s="31">
        <f>VLOOKUP($A1036,kurspris!$A$1:$Q$835,8,FALSE)</f>
        <v>0</v>
      </c>
      <c r="AJ1036" s="31">
        <f>VLOOKUP($A1036,kurspris!$A$1:$Q$835,9,FALSE)</f>
        <v>0</v>
      </c>
      <c r="AK1036" s="31">
        <f>VLOOKUP($A1036,kurspris!$A$1:$Q$835,10,FALSE)</f>
        <v>0</v>
      </c>
      <c r="AL1036" s="31">
        <f>VLOOKUP($A1036,kurspris!$A$1:$Q$835,11,FALSE)</f>
        <v>0</v>
      </c>
      <c r="AM1036" s="31">
        <f>VLOOKUP($A1036,kurspris!$A$1:$Q$835,12,FALSE)</f>
        <v>0</v>
      </c>
      <c r="AN1036" s="31">
        <f>VLOOKUP($A1036,kurspris!$A$1:$Q$835,13,FALSE)</f>
        <v>0</v>
      </c>
      <c r="AO1036" s="31">
        <f>VLOOKUP($A1036,kurspris!$A$1:$Q$835,14,FALSE)</f>
        <v>0</v>
      </c>
      <c r="AP1036" s="39" t="s">
        <v>2204</v>
      </c>
      <c r="AQ1036"/>
      <c r="AR1036" s="31">
        <f t="shared" si="557"/>
        <v>0</v>
      </c>
      <c r="AS1036" s="255">
        <f t="shared" si="558"/>
        <v>0</v>
      </c>
      <c r="AT1036" s="31">
        <f t="shared" si="559"/>
        <v>1.5</v>
      </c>
      <c r="AU1036" s="255">
        <f t="shared" si="560"/>
        <v>1.2749999999999999</v>
      </c>
      <c r="AV1036" s="31">
        <f t="shared" si="561"/>
        <v>0</v>
      </c>
      <c r="AW1036" s="31">
        <f t="shared" si="562"/>
        <v>0</v>
      </c>
      <c r="AX1036" s="31">
        <f t="shared" si="563"/>
        <v>0</v>
      </c>
      <c r="AY1036" s="255">
        <f t="shared" si="564"/>
        <v>0</v>
      </c>
      <c r="AZ1036" s="232">
        <f t="shared" si="565"/>
        <v>0</v>
      </c>
      <c r="BA1036" s="255">
        <f t="shared" si="566"/>
        <v>0</v>
      </c>
      <c r="BB1036" s="31">
        <f t="shared" si="567"/>
        <v>0</v>
      </c>
      <c r="BC1036" s="255">
        <f t="shared" si="568"/>
        <v>0</v>
      </c>
      <c r="BD1036" s="31">
        <f t="shared" si="569"/>
        <v>0</v>
      </c>
      <c r="BE1036" s="255">
        <f t="shared" si="570"/>
        <v>0</v>
      </c>
      <c r="BF1036" s="31">
        <f t="shared" si="571"/>
        <v>0</v>
      </c>
      <c r="BG1036" s="255">
        <f t="shared" si="572"/>
        <v>0</v>
      </c>
      <c r="BH1036" s="31">
        <f t="shared" si="573"/>
        <v>0</v>
      </c>
      <c r="BI1036" s="255">
        <f t="shared" si="574"/>
        <v>0</v>
      </c>
      <c r="BJ1036" s="31">
        <f t="shared" si="575"/>
        <v>0</v>
      </c>
      <c r="BK1036" s="31">
        <f t="shared" si="576"/>
        <v>0</v>
      </c>
      <c r="BL1036" s="255">
        <f t="shared" si="577"/>
        <v>0</v>
      </c>
      <c r="BM1036" s="31">
        <f t="shared" si="578"/>
        <v>0</v>
      </c>
      <c r="BN1036" s="255">
        <f t="shared" si="579"/>
        <v>0</v>
      </c>
    </row>
    <row r="1037" spans="1:66" x14ac:dyDescent="0.25">
      <c r="A1037" t="s">
        <v>512</v>
      </c>
      <c r="B1037" s="186" t="str">
        <f>VLOOKUP(A1037,kurspris!$A$1:$B$877,2,FALSE)</f>
        <v>Samhällskunskap 1</v>
      </c>
      <c r="C1037"/>
      <c r="D1037" t="s">
        <v>483</v>
      </c>
      <c r="E1037" t="s">
        <v>1973</v>
      </c>
      <c r="F1037" s="59" t="s">
        <v>1930</v>
      </c>
      <c r="G1037" t="s">
        <v>1995</v>
      </c>
      <c r="H1037" t="s">
        <v>1910</v>
      </c>
      <c r="I1037"/>
      <c r="J1037" t="s">
        <v>772</v>
      </c>
      <c r="K1037"/>
      <c r="L1037">
        <v>100</v>
      </c>
      <c r="M1037">
        <v>30</v>
      </c>
      <c r="N1037"/>
      <c r="O1037"/>
      <c r="P1037" s="31">
        <v>2</v>
      </c>
      <c r="Q1037" s="232">
        <f t="shared" si="552"/>
        <v>1</v>
      </c>
      <c r="R1037" s="40">
        <v>0.85</v>
      </c>
      <c r="S1037" s="334">
        <f t="shared" si="553"/>
        <v>0.85</v>
      </c>
      <c r="T1037" s="31">
        <f>VLOOKUP(A1037,'Ansvar kurs'!$A$1:$C$1010,2,FALSE)</f>
        <v>2340</v>
      </c>
      <c r="U1037" s="31" t="str">
        <f>VLOOKUP(T1037,Orgenheter!$A$1:$C$165,2,FALSE)</f>
        <v xml:space="preserve">Statsvetenskap                </v>
      </c>
      <c r="V1037" s="31" t="str">
        <f>VLOOKUP(T1037,Orgenheter!$A$1:$C$165,3,FALSE)</f>
        <v>Sam</v>
      </c>
      <c r="W1037" s="37" t="str">
        <f>VLOOKUP(D1037,Program!$A$1:$B$34,2,FALSE)</f>
        <v>Ämneslärarprogrammet - Gy</v>
      </c>
      <c r="X1037" s="42">
        <f>VLOOKUP(A1037,kurspris!$A$1:$Q$798,15,FALSE)</f>
        <v>18405</v>
      </c>
      <c r="Y1037" s="42">
        <f>VLOOKUP(A1037,kurspris!$A$1:$Q$798,16,FALSE)</f>
        <v>15773</v>
      </c>
      <c r="Z1037" s="42">
        <f t="shared" si="554"/>
        <v>31812.05</v>
      </c>
      <c r="AA1037" s="42">
        <f>VLOOKUP(A1037,kurspris!$A$1:$Q$798,17,FALSE)</f>
        <v>5800</v>
      </c>
      <c r="AB1037" s="42">
        <f t="shared" si="555"/>
        <v>5800</v>
      </c>
      <c r="AC1037" s="42">
        <f t="shared" si="556"/>
        <v>37612.050000000003</v>
      </c>
      <c r="AD1037" s="31">
        <f>VLOOKUP($A1037,kurspris!$A$1:$Q$835,3,FALSE)</f>
        <v>0</v>
      </c>
      <c r="AE1037" s="31">
        <f>VLOOKUP($A1037,kurspris!$A$1:$Q$835,4,FALSE)</f>
        <v>1</v>
      </c>
      <c r="AF1037" s="31">
        <f>VLOOKUP($A1037,kurspris!$A$1:$Q$835,5,FALSE)</f>
        <v>0</v>
      </c>
      <c r="AG1037" s="31">
        <f>VLOOKUP($A1037,kurspris!$A$1:$Q$835,6,FALSE)</f>
        <v>0</v>
      </c>
      <c r="AH1037" s="31">
        <f>VLOOKUP($A1037,kurspris!$A$1:$Q$835,7,FALSE)</f>
        <v>0</v>
      </c>
      <c r="AI1037" s="31">
        <f>VLOOKUP($A1037,kurspris!$A$1:$Q$835,8,FALSE)</f>
        <v>0</v>
      </c>
      <c r="AJ1037" s="31">
        <f>VLOOKUP($A1037,kurspris!$A$1:$Q$835,9,FALSE)</f>
        <v>0</v>
      </c>
      <c r="AK1037" s="31">
        <f>VLOOKUP($A1037,kurspris!$A$1:$Q$835,10,FALSE)</f>
        <v>0</v>
      </c>
      <c r="AL1037" s="31">
        <f>VLOOKUP($A1037,kurspris!$A$1:$Q$835,11,FALSE)</f>
        <v>0</v>
      </c>
      <c r="AM1037" s="31">
        <f>VLOOKUP($A1037,kurspris!$A$1:$Q$835,12,FALSE)</f>
        <v>0</v>
      </c>
      <c r="AN1037" s="31">
        <f>VLOOKUP($A1037,kurspris!$A$1:$Q$835,13,FALSE)</f>
        <v>0</v>
      </c>
      <c r="AO1037" s="31">
        <f>VLOOKUP($A1037,kurspris!$A$1:$Q$835,14,FALSE)</f>
        <v>0</v>
      </c>
      <c r="AP1037" s="39" t="s">
        <v>2204</v>
      </c>
      <c r="AQ1037"/>
      <c r="AR1037" s="31">
        <f t="shared" si="557"/>
        <v>0</v>
      </c>
      <c r="AS1037" s="255">
        <f t="shared" si="558"/>
        <v>0</v>
      </c>
      <c r="AT1037" s="31">
        <f t="shared" si="559"/>
        <v>1</v>
      </c>
      <c r="AU1037" s="255">
        <f t="shared" si="560"/>
        <v>0.85</v>
      </c>
      <c r="AV1037" s="31">
        <f t="shared" si="561"/>
        <v>0</v>
      </c>
      <c r="AW1037" s="31">
        <f t="shared" si="562"/>
        <v>0</v>
      </c>
      <c r="AX1037" s="31">
        <f t="shared" si="563"/>
        <v>0</v>
      </c>
      <c r="AY1037" s="255">
        <f t="shared" si="564"/>
        <v>0</v>
      </c>
      <c r="AZ1037" s="232">
        <f t="shared" si="565"/>
        <v>0</v>
      </c>
      <c r="BA1037" s="255">
        <f t="shared" si="566"/>
        <v>0</v>
      </c>
      <c r="BB1037" s="31">
        <f t="shared" si="567"/>
        <v>0</v>
      </c>
      <c r="BC1037" s="255">
        <f t="shared" si="568"/>
        <v>0</v>
      </c>
      <c r="BD1037" s="31">
        <f t="shared" si="569"/>
        <v>0</v>
      </c>
      <c r="BE1037" s="255">
        <f t="shared" si="570"/>
        <v>0</v>
      </c>
      <c r="BF1037" s="31">
        <f t="shared" si="571"/>
        <v>0</v>
      </c>
      <c r="BG1037" s="255">
        <f t="shared" si="572"/>
        <v>0</v>
      </c>
      <c r="BH1037" s="31">
        <f t="shared" si="573"/>
        <v>0</v>
      </c>
      <c r="BI1037" s="255">
        <f t="shared" si="574"/>
        <v>0</v>
      </c>
      <c r="BJ1037" s="31">
        <f t="shared" si="575"/>
        <v>0</v>
      </c>
      <c r="BK1037" s="31">
        <f t="shared" si="576"/>
        <v>0</v>
      </c>
      <c r="BL1037" s="255">
        <f t="shared" si="577"/>
        <v>0</v>
      </c>
      <c r="BM1037" s="31">
        <f t="shared" si="578"/>
        <v>0</v>
      </c>
      <c r="BN1037" s="255">
        <f t="shared" si="579"/>
        <v>0</v>
      </c>
    </row>
    <row r="1038" spans="1:66" x14ac:dyDescent="0.25">
      <c r="A1038" t="s">
        <v>512</v>
      </c>
      <c r="B1038" s="186" t="str">
        <f>VLOOKUP(A1038,kurspris!$A$1:$B$877,2,FALSE)</f>
        <v>Samhällskunskap 1</v>
      </c>
      <c r="C1038"/>
      <c r="D1038" t="s">
        <v>483</v>
      </c>
      <c r="E1038" t="s">
        <v>1973</v>
      </c>
      <c r="F1038" s="59" t="s">
        <v>1930</v>
      </c>
      <c r="G1038" t="s">
        <v>1995</v>
      </c>
      <c r="H1038" t="s">
        <v>1910</v>
      </c>
      <c r="I1038"/>
      <c r="J1038" t="s">
        <v>773</v>
      </c>
      <c r="K1038"/>
      <c r="L1038">
        <v>100</v>
      </c>
      <c r="M1038">
        <v>30</v>
      </c>
      <c r="N1038"/>
      <c r="O1038"/>
      <c r="P1038" s="31">
        <v>2</v>
      </c>
      <c r="Q1038" s="232">
        <f t="shared" si="552"/>
        <v>1</v>
      </c>
      <c r="R1038" s="40">
        <v>0.85</v>
      </c>
      <c r="S1038" s="334">
        <f t="shared" si="553"/>
        <v>0.85</v>
      </c>
      <c r="T1038" s="31">
        <f>VLOOKUP(A1038,'Ansvar kurs'!$A$1:$C$1010,2,FALSE)</f>
        <v>2340</v>
      </c>
      <c r="U1038" s="31" t="str">
        <f>VLOOKUP(T1038,Orgenheter!$A$1:$C$165,2,FALSE)</f>
        <v xml:space="preserve">Statsvetenskap                </v>
      </c>
      <c r="V1038" s="31" t="str">
        <f>VLOOKUP(T1038,Orgenheter!$A$1:$C$165,3,FALSE)</f>
        <v>Sam</v>
      </c>
      <c r="W1038" s="37" t="str">
        <f>VLOOKUP(D1038,Program!$A$1:$B$34,2,FALSE)</f>
        <v>Ämneslärarprogrammet - Gy</v>
      </c>
      <c r="X1038" s="42">
        <f>VLOOKUP(A1038,kurspris!$A$1:$Q$798,15,FALSE)</f>
        <v>18405</v>
      </c>
      <c r="Y1038" s="42">
        <f>VLOOKUP(A1038,kurspris!$A$1:$Q$798,16,FALSE)</f>
        <v>15773</v>
      </c>
      <c r="Z1038" s="42">
        <f t="shared" si="554"/>
        <v>31812.05</v>
      </c>
      <c r="AA1038" s="42">
        <f>VLOOKUP(A1038,kurspris!$A$1:$Q$798,17,FALSE)</f>
        <v>5800</v>
      </c>
      <c r="AB1038" s="42">
        <f t="shared" si="555"/>
        <v>5800</v>
      </c>
      <c r="AC1038" s="42">
        <f t="shared" si="556"/>
        <v>37612.050000000003</v>
      </c>
      <c r="AD1038" s="31">
        <f>VLOOKUP($A1038,kurspris!$A$1:$Q$835,3,FALSE)</f>
        <v>0</v>
      </c>
      <c r="AE1038" s="31">
        <f>VLOOKUP($A1038,kurspris!$A$1:$Q$835,4,FALSE)</f>
        <v>1</v>
      </c>
      <c r="AF1038" s="31">
        <f>VLOOKUP($A1038,kurspris!$A$1:$Q$835,5,FALSE)</f>
        <v>0</v>
      </c>
      <c r="AG1038" s="31">
        <f>VLOOKUP($A1038,kurspris!$A$1:$Q$835,6,FALSE)</f>
        <v>0</v>
      </c>
      <c r="AH1038" s="31">
        <f>VLOOKUP($A1038,kurspris!$A$1:$Q$835,7,FALSE)</f>
        <v>0</v>
      </c>
      <c r="AI1038" s="31">
        <f>VLOOKUP($A1038,kurspris!$A$1:$Q$835,8,FALSE)</f>
        <v>0</v>
      </c>
      <c r="AJ1038" s="31">
        <f>VLOOKUP($A1038,kurspris!$A$1:$Q$835,9,FALSE)</f>
        <v>0</v>
      </c>
      <c r="AK1038" s="31">
        <f>VLOOKUP($A1038,kurspris!$A$1:$Q$835,10,FALSE)</f>
        <v>0</v>
      </c>
      <c r="AL1038" s="31">
        <f>VLOOKUP($A1038,kurspris!$A$1:$Q$835,11,FALSE)</f>
        <v>0</v>
      </c>
      <c r="AM1038" s="31">
        <f>VLOOKUP($A1038,kurspris!$A$1:$Q$835,12,FALSE)</f>
        <v>0</v>
      </c>
      <c r="AN1038" s="31">
        <f>VLOOKUP($A1038,kurspris!$A$1:$Q$835,13,FALSE)</f>
        <v>0</v>
      </c>
      <c r="AO1038" s="31">
        <f>VLOOKUP($A1038,kurspris!$A$1:$Q$835,14,FALSE)</f>
        <v>0</v>
      </c>
      <c r="AP1038" s="39" t="s">
        <v>2204</v>
      </c>
      <c r="AQ1038"/>
      <c r="AR1038" s="31">
        <f t="shared" si="557"/>
        <v>0</v>
      </c>
      <c r="AS1038" s="255">
        <f t="shared" si="558"/>
        <v>0</v>
      </c>
      <c r="AT1038" s="31">
        <f t="shared" si="559"/>
        <v>1</v>
      </c>
      <c r="AU1038" s="255">
        <f t="shared" si="560"/>
        <v>0.85</v>
      </c>
      <c r="AV1038" s="31">
        <f t="shared" si="561"/>
        <v>0</v>
      </c>
      <c r="AW1038" s="31">
        <f t="shared" si="562"/>
        <v>0</v>
      </c>
      <c r="AX1038" s="31">
        <f t="shared" si="563"/>
        <v>0</v>
      </c>
      <c r="AY1038" s="255">
        <f t="shared" si="564"/>
        <v>0</v>
      </c>
      <c r="AZ1038" s="232">
        <f t="shared" si="565"/>
        <v>0</v>
      </c>
      <c r="BA1038" s="255">
        <f t="shared" si="566"/>
        <v>0</v>
      </c>
      <c r="BB1038" s="31">
        <f t="shared" si="567"/>
        <v>0</v>
      </c>
      <c r="BC1038" s="255">
        <f t="shared" si="568"/>
        <v>0</v>
      </c>
      <c r="BD1038" s="31">
        <f t="shared" si="569"/>
        <v>0</v>
      </c>
      <c r="BE1038" s="255">
        <f t="shared" si="570"/>
        <v>0</v>
      </c>
      <c r="BF1038" s="31">
        <f t="shared" si="571"/>
        <v>0</v>
      </c>
      <c r="BG1038" s="255">
        <f t="shared" si="572"/>
        <v>0</v>
      </c>
      <c r="BH1038" s="31">
        <f t="shared" si="573"/>
        <v>0</v>
      </c>
      <c r="BI1038" s="255">
        <f t="shared" si="574"/>
        <v>0</v>
      </c>
      <c r="BJ1038" s="31">
        <f t="shared" si="575"/>
        <v>0</v>
      </c>
      <c r="BK1038" s="31">
        <f t="shared" si="576"/>
        <v>0</v>
      </c>
      <c r="BL1038" s="255">
        <f t="shared" si="577"/>
        <v>0</v>
      </c>
      <c r="BM1038" s="31">
        <f t="shared" si="578"/>
        <v>0</v>
      </c>
      <c r="BN1038" s="255">
        <f t="shared" si="579"/>
        <v>0</v>
      </c>
    </row>
    <row r="1039" spans="1:66" x14ac:dyDescent="0.25">
      <c r="A1039" t="s">
        <v>512</v>
      </c>
      <c r="B1039" s="186" t="str">
        <f>VLOOKUP(A1039,kurspris!$A$1:$B$877,2,FALSE)</f>
        <v>Samhällskunskap 1</v>
      </c>
      <c r="C1039"/>
      <c r="D1039" t="s">
        <v>483</v>
      </c>
      <c r="E1039" t="s">
        <v>1788</v>
      </c>
      <c r="F1039" s="59" t="s">
        <v>1930</v>
      </c>
      <c r="G1039" t="s">
        <v>1995</v>
      </c>
      <c r="H1039" t="s">
        <v>1910</v>
      </c>
      <c r="I1039"/>
      <c r="J1039" t="s">
        <v>771</v>
      </c>
      <c r="K1039"/>
      <c r="L1039">
        <v>100</v>
      </c>
      <c r="M1039">
        <v>30</v>
      </c>
      <c r="N1039"/>
      <c r="O1039"/>
      <c r="P1039" s="31">
        <v>1</v>
      </c>
      <c r="Q1039" s="232">
        <f t="shared" si="552"/>
        <v>0.5</v>
      </c>
      <c r="R1039" s="40">
        <v>0.85</v>
      </c>
      <c r="S1039" s="334">
        <f t="shared" si="553"/>
        <v>0.42499999999999999</v>
      </c>
      <c r="T1039" s="31">
        <f>VLOOKUP(A1039,'Ansvar kurs'!$A$1:$C$1010,2,FALSE)</f>
        <v>2340</v>
      </c>
      <c r="U1039" s="31" t="str">
        <f>VLOOKUP(T1039,Orgenheter!$A$1:$C$165,2,FALSE)</f>
        <v xml:space="preserve">Statsvetenskap                </v>
      </c>
      <c r="V1039" s="31" t="str">
        <f>VLOOKUP(T1039,Orgenheter!$A$1:$C$165,3,FALSE)</f>
        <v>Sam</v>
      </c>
      <c r="W1039" s="37" t="str">
        <f>VLOOKUP(D1039,Program!$A$1:$B$34,2,FALSE)</f>
        <v>Ämneslärarprogrammet - Gy</v>
      </c>
      <c r="X1039" s="42">
        <f>VLOOKUP(A1039,kurspris!$A$1:$Q$798,15,FALSE)</f>
        <v>18405</v>
      </c>
      <c r="Y1039" s="42">
        <f>VLOOKUP(A1039,kurspris!$A$1:$Q$798,16,FALSE)</f>
        <v>15773</v>
      </c>
      <c r="Z1039" s="42">
        <f t="shared" si="554"/>
        <v>15906.025</v>
      </c>
      <c r="AA1039" s="42">
        <f>VLOOKUP(A1039,kurspris!$A$1:$Q$798,17,FALSE)</f>
        <v>5800</v>
      </c>
      <c r="AB1039" s="42">
        <f t="shared" si="555"/>
        <v>2900</v>
      </c>
      <c r="AC1039" s="42">
        <f t="shared" si="556"/>
        <v>18806.025000000001</v>
      </c>
      <c r="AD1039" s="31">
        <f>VLOOKUP($A1039,kurspris!$A$1:$Q$835,3,FALSE)</f>
        <v>0</v>
      </c>
      <c r="AE1039" s="31">
        <f>VLOOKUP($A1039,kurspris!$A$1:$Q$835,4,FALSE)</f>
        <v>1</v>
      </c>
      <c r="AF1039" s="31">
        <f>VLOOKUP($A1039,kurspris!$A$1:$Q$835,5,FALSE)</f>
        <v>0</v>
      </c>
      <c r="AG1039" s="31">
        <f>VLOOKUP($A1039,kurspris!$A$1:$Q$835,6,FALSE)</f>
        <v>0</v>
      </c>
      <c r="AH1039" s="31">
        <f>VLOOKUP($A1039,kurspris!$A$1:$Q$835,7,FALSE)</f>
        <v>0</v>
      </c>
      <c r="AI1039" s="31">
        <f>VLOOKUP($A1039,kurspris!$A$1:$Q$835,8,FALSE)</f>
        <v>0</v>
      </c>
      <c r="AJ1039" s="31">
        <f>VLOOKUP($A1039,kurspris!$A$1:$Q$835,9,FALSE)</f>
        <v>0</v>
      </c>
      <c r="AK1039" s="31">
        <f>VLOOKUP($A1039,kurspris!$A$1:$Q$835,10,FALSE)</f>
        <v>0</v>
      </c>
      <c r="AL1039" s="31">
        <f>VLOOKUP($A1039,kurspris!$A$1:$Q$835,11,FALSE)</f>
        <v>0</v>
      </c>
      <c r="AM1039" s="31">
        <f>VLOOKUP($A1039,kurspris!$A$1:$Q$835,12,FALSE)</f>
        <v>0</v>
      </c>
      <c r="AN1039" s="31">
        <f>VLOOKUP($A1039,kurspris!$A$1:$Q$835,13,FALSE)</f>
        <v>0</v>
      </c>
      <c r="AO1039" s="31">
        <f>VLOOKUP($A1039,kurspris!$A$1:$Q$835,14,FALSE)</f>
        <v>0</v>
      </c>
      <c r="AP1039" s="39" t="s">
        <v>2204</v>
      </c>
      <c r="AQ1039"/>
      <c r="AR1039" s="31">
        <f t="shared" si="557"/>
        <v>0</v>
      </c>
      <c r="AS1039" s="255">
        <f t="shared" si="558"/>
        <v>0</v>
      </c>
      <c r="AT1039" s="31">
        <f t="shared" si="559"/>
        <v>0.5</v>
      </c>
      <c r="AU1039" s="255">
        <f t="shared" si="560"/>
        <v>0.42499999999999999</v>
      </c>
      <c r="AV1039" s="31">
        <f t="shared" si="561"/>
        <v>0</v>
      </c>
      <c r="AW1039" s="31">
        <f t="shared" si="562"/>
        <v>0</v>
      </c>
      <c r="AX1039" s="31">
        <f t="shared" si="563"/>
        <v>0</v>
      </c>
      <c r="AY1039" s="255">
        <f t="shared" si="564"/>
        <v>0</v>
      </c>
      <c r="AZ1039" s="232">
        <f t="shared" si="565"/>
        <v>0</v>
      </c>
      <c r="BA1039" s="255">
        <f t="shared" si="566"/>
        <v>0</v>
      </c>
      <c r="BB1039" s="31">
        <f t="shared" si="567"/>
        <v>0</v>
      </c>
      <c r="BC1039" s="255">
        <f t="shared" si="568"/>
        <v>0</v>
      </c>
      <c r="BD1039" s="31">
        <f t="shared" si="569"/>
        <v>0</v>
      </c>
      <c r="BE1039" s="255">
        <f t="shared" si="570"/>
        <v>0</v>
      </c>
      <c r="BF1039" s="31">
        <f t="shared" si="571"/>
        <v>0</v>
      </c>
      <c r="BG1039" s="255">
        <f t="shared" si="572"/>
        <v>0</v>
      </c>
      <c r="BH1039" s="31">
        <f t="shared" si="573"/>
        <v>0</v>
      </c>
      <c r="BI1039" s="255">
        <f t="shared" si="574"/>
        <v>0</v>
      </c>
      <c r="BJ1039" s="31">
        <f t="shared" si="575"/>
        <v>0</v>
      </c>
      <c r="BK1039" s="31">
        <f t="shared" si="576"/>
        <v>0</v>
      </c>
      <c r="BL1039" s="255">
        <f t="shared" si="577"/>
        <v>0</v>
      </c>
      <c r="BM1039" s="31">
        <f t="shared" si="578"/>
        <v>0</v>
      </c>
      <c r="BN1039" s="255">
        <f t="shared" si="579"/>
        <v>0</v>
      </c>
    </row>
    <row r="1040" spans="1:66" x14ac:dyDescent="0.25">
      <c r="A1040" t="s">
        <v>512</v>
      </c>
      <c r="B1040" s="186" t="str">
        <f>VLOOKUP(A1040,kurspris!$A$1:$B$877,2,FALSE)</f>
        <v>Samhällskunskap 1</v>
      </c>
      <c r="C1040"/>
      <c r="D1040" t="s">
        <v>483</v>
      </c>
      <c r="E1040" t="s">
        <v>1788</v>
      </c>
      <c r="F1040" s="59" t="s">
        <v>1930</v>
      </c>
      <c r="G1040" t="s">
        <v>1995</v>
      </c>
      <c r="H1040" t="s">
        <v>1910</v>
      </c>
      <c r="I1040"/>
      <c r="J1040" t="s">
        <v>777</v>
      </c>
      <c r="K1040"/>
      <c r="L1040">
        <v>100</v>
      </c>
      <c r="M1040">
        <v>30</v>
      </c>
      <c r="N1040"/>
      <c r="O1040"/>
      <c r="P1040" s="31">
        <v>14</v>
      </c>
      <c r="Q1040" s="232">
        <f t="shared" si="552"/>
        <v>7</v>
      </c>
      <c r="R1040" s="40">
        <v>0.85</v>
      </c>
      <c r="S1040" s="334">
        <f t="shared" si="553"/>
        <v>5.95</v>
      </c>
      <c r="T1040" s="31">
        <f>VLOOKUP(A1040,'Ansvar kurs'!$A$1:$C$1010,2,FALSE)</f>
        <v>2340</v>
      </c>
      <c r="U1040" s="31" t="str">
        <f>VLOOKUP(T1040,Orgenheter!$A$1:$C$165,2,FALSE)</f>
        <v xml:space="preserve">Statsvetenskap                </v>
      </c>
      <c r="V1040" s="31" t="str">
        <f>VLOOKUP(T1040,Orgenheter!$A$1:$C$165,3,FALSE)</f>
        <v>Sam</v>
      </c>
      <c r="W1040" s="37" t="str">
        <f>VLOOKUP(D1040,Program!$A$1:$B$34,2,FALSE)</f>
        <v>Ämneslärarprogrammet - Gy</v>
      </c>
      <c r="X1040" s="42">
        <f>VLOOKUP(A1040,kurspris!$A$1:$Q$798,15,FALSE)</f>
        <v>18405</v>
      </c>
      <c r="Y1040" s="42">
        <f>VLOOKUP(A1040,kurspris!$A$1:$Q$798,16,FALSE)</f>
        <v>15773</v>
      </c>
      <c r="Z1040" s="42">
        <f t="shared" si="554"/>
        <v>222684.35</v>
      </c>
      <c r="AA1040" s="42">
        <f>VLOOKUP(A1040,kurspris!$A$1:$Q$798,17,FALSE)</f>
        <v>5800</v>
      </c>
      <c r="AB1040" s="42">
        <f t="shared" si="555"/>
        <v>40600</v>
      </c>
      <c r="AC1040" s="42">
        <f t="shared" si="556"/>
        <v>263284.34999999998</v>
      </c>
      <c r="AD1040" s="31">
        <f>VLOOKUP($A1040,kurspris!$A$1:$Q$835,3,FALSE)</f>
        <v>0</v>
      </c>
      <c r="AE1040" s="31">
        <f>VLOOKUP($A1040,kurspris!$A$1:$Q$835,4,FALSE)</f>
        <v>1</v>
      </c>
      <c r="AF1040" s="31">
        <f>VLOOKUP($A1040,kurspris!$A$1:$Q$835,5,FALSE)</f>
        <v>0</v>
      </c>
      <c r="AG1040" s="31">
        <f>VLOOKUP($A1040,kurspris!$A$1:$Q$835,6,FALSE)</f>
        <v>0</v>
      </c>
      <c r="AH1040" s="31">
        <f>VLOOKUP($A1040,kurspris!$A$1:$Q$835,7,FALSE)</f>
        <v>0</v>
      </c>
      <c r="AI1040" s="31">
        <f>VLOOKUP($A1040,kurspris!$A$1:$Q$835,8,FALSE)</f>
        <v>0</v>
      </c>
      <c r="AJ1040" s="31">
        <f>VLOOKUP($A1040,kurspris!$A$1:$Q$835,9,FALSE)</f>
        <v>0</v>
      </c>
      <c r="AK1040" s="31">
        <f>VLOOKUP($A1040,kurspris!$A$1:$Q$835,10,FALSE)</f>
        <v>0</v>
      </c>
      <c r="AL1040" s="31">
        <f>VLOOKUP($A1040,kurspris!$A$1:$Q$835,11,FALSE)</f>
        <v>0</v>
      </c>
      <c r="AM1040" s="31">
        <f>VLOOKUP($A1040,kurspris!$A$1:$Q$835,12,FALSE)</f>
        <v>0</v>
      </c>
      <c r="AN1040" s="31">
        <f>VLOOKUP($A1040,kurspris!$A$1:$Q$835,13,FALSE)</f>
        <v>0</v>
      </c>
      <c r="AO1040" s="31">
        <f>VLOOKUP($A1040,kurspris!$A$1:$Q$835,14,FALSE)</f>
        <v>0</v>
      </c>
      <c r="AP1040" s="39" t="s">
        <v>2204</v>
      </c>
      <c r="AQ1040"/>
      <c r="AR1040" s="31">
        <f t="shared" si="557"/>
        <v>0</v>
      </c>
      <c r="AS1040" s="255">
        <f t="shared" si="558"/>
        <v>0</v>
      </c>
      <c r="AT1040" s="31">
        <f t="shared" si="559"/>
        <v>7</v>
      </c>
      <c r="AU1040" s="255">
        <f t="shared" si="560"/>
        <v>5.95</v>
      </c>
      <c r="AV1040" s="31">
        <f t="shared" si="561"/>
        <v>0</v>
      </c>
      <c r="AW1040" s="31">
        <f t="shared" si="562"/>
        <v>0</v>
      </c>
      <c r="AX1040" s="31">
        <f t="shared" si="563"/>
        <v>0</v>
      </c>
      <c r="AY1040" s="255">
        <f t="shared" si="564"/>
        <v>0</v>
      </c>
      <c r="AZ1040" s="232">
        <f t="shared" si="565"/>
        <v>0</v>
      </c>
      <c r="BA1040" s="255">
        <f t="shared" si="566"/>
        <v>0</v>
      </c>
      <c r="BB1040" s="31">
        <f t="shared" si="567"/>
        <v>0</v>
      </c>
      <c r="BC1040" s="255">
        <f t="shared" si="568"/>
        <v>0</v>
      </c>
      <c r="BD1040" s="31">
        <f t="shared" si="569"/>
        <v>0</v>
      </c>
      <c r="BE1040" s="255">
        <f t="shared" si="570"/>
        <v>0</v>
      </c>
      <c r="BF1040" s="31">
        <f t="shared" si="571"/>
        <v>0</v>
      </c>
      <c r="BG1040" s="255">
        <f t="shared" si="572"/>
        <v>0</v>
      </c>
      <c r="BH1040" s="31">
        <f t="shared" si="573"/>
        <v>0</v>
      </c>
      <c r="BI1040" s="255">
        <f t="shared" si="574"/>
        <v>0</v>
      </c>
      <c r="BJ1040" s="31">
        <f t="shared" si="575"/>
        <v>0</v>
      </c>
      <c r="BK1040" s="31">
        <f t="shared" si="576"/>
        <v>0</v>
      </c>
      <c r="BL1040" s="255">
        <f t="shared" si="577"/>
        <v>0</v>
      </c>
      <c r="BM1040" s="31">
        <f t="shared" si="578"/>
        <v>0</v>
      </c>
      <c r="BN1040" s="255">
        <f t="shared" si="579"/>
        <v>0</v>
      </c>
    </row>
    <row r="1041" spans="1:66" x14ac:dyDescent="0.25">
      <c r="A1041" s="18" t="s">
        <v>513</v>
      </c>
      <c r="B1041" s="186" t="str">
        <f>VLOOKUP(A1041,kurspris!$A$1:$B$877,2,FALSE)</f>
        <v>Samhällskunskap 2</v>
      </c>
      <c r="C1041" s="37"/>
      <c r="D1041" s="31" t="s">
        <v>483</v>
      </c>
      <c r="E1041" s="31" t="s">
        <v>1973</v>
      </c>
      <c r="F1041" s="59" t="s">
        <v>1931</v>
      </c>
      <c r="G1041" s="31" t="s">
        <v>2276</v>
      </c>
      <c r="J1041" t="s">
        <v>771</v>
      </c>
      <c r="L1041" s="31">
        <v>100</v>
      </c>
      <c r="M1041" s="31">
        <v>30</v>
      </c>
      <c r="P1041" s="31">
        <v>3</v>
      </c>
      <c r="Q1041" s="232">
        <f t="shared" si="552"/>
        <v>1.5</v>
      </c>
      <c r="R1041" s="40">
        <v>0.85</v>
      </c>
      <c r="S1041" s="334">
        <f t="shared" si="553"/>
        <v>1.2749999999999999</v>
      </c>
      <c r="T1041" s="31">
        <f>VLOOKUP(A1041,'Ansvar kurs'!$A$1:$C$1010,2,FALSE)</f>
        <v>2340</v>
      </c>
      <c r="U1041" s="31" t="str">
        <f>VLOOKUP(T1041,Orgenheter!$A$1:$C$165,2,FALSE)</f>
        <v xml:space="preserve">Statsvetenskap                </v>
      </c>
      <c r="V1041" s="31" t="str">
        <f>VLOOKUP(T1041,Orgenheter!$A$1:$C$165,3,FALSE)</f>
        <v>Sam</v>
      </c>
      <c r="W1041" s="37" t="str">
        <f>VLOOKUP(D1041,Program!$A$1:$B$34,2,FALSE)</f>
        <v>Ämneslärarprogrammet - Gy</v>
      </c>
      <c r="X1041" s="42">
        <f>VLOOKUP(A1041,kurspris!$A$1:$Q$798,15,FALSE)</f>
        <v>18405</v>
      </c>
      <c r="Y1041" s="42">
        <f>VLOOKUP(A1041,kurspris!$A$1:$Q$798,16,FALSE)</f>
        <v>15773</v>
      </c>
      <c r="Z1041" s="42">
        <f t="shared" si="554"/>
        <v>47718.074999999997</v>
      </c>
      <c r="AA1041" s="42">
        <f>VLOOKUP(A1041,kurspris!$A$1:$Q$798,17,FALSE)</f>
        <v>5800</v>
      </c>
      <c r="AB1041" s="42">
        <f t="shared" si="555"/>
        <v>8700</v>
      </c>
      <c r="AC1041" s="42">
        <f t="shared" si="556"/>
        <v>56418.074999999997</v>
      </c>
      <c r="AD1041" s="31">
        <f>VLOOKUP($A1041,kurspris!$A$1:$Q$835,3,FALSE)</f>
        <v>0</v>
      </c>
      <c r="AE1041" s="31">
        <f>VLOOKUP($A1041,kurspris!$A$1:$Q$835,4,FALSE)</f>
        <v>0</v>
      </c>
      <c r="AF1041" s="31">
        <f>VLOOKUP($A1041,kurspris!$A$1:$Q$835,5,FALSE)</f>
        <v>0</v>
      </c>
      <c r="AG1041" s="31">
        <f>VLOOKUP($A1041,kurspris!$A$1:$Q$835,6,FALSE)</f>
        <v>0</v>
      </c>
      <c r="AH1041" s="31">
        <f>VLOOKUP($A1041,kurspris!$A$1:$Q$835,7,FALSE)</f>
        <v>0</v>
      </c>
      <c r="AI1041" s="31">
        <f>VLOOKUP($A1041,kurspris!$A$1:$Q$835,8,FALSE)</f>
        <v>0</v>
      </c>
      <c r="AJ1041" s="31">
        <f>VLOOKUP($A1041,kurspris!$A$1:$Q$835,9,FALSE)</f>
        <v>1</v>
      </c>
      <c r="AK1041" s="31">
        <f>VLOOKUP($A1041,kurspris!$A$1:$Q$835,10,FALSE)</f>
        <v>0</v>
      </c>
      <c r="AL1041" s="31">
        <f>VLOOKUP($A1041,kurspris!$A$1:$Q$835,11,FALSE)</f>
        <v>0</v>
      </c>
      <c r="AM1041" s="31">
        <f>VLOOKUP($A1041,kurspris!$A$1:$Q$835,12,FALSE)</f>
        <v>0</v>
      </c>
      <c r="AN1041" s="31">
        <f>VLOOKUP($A1041,kurspris!$A$1:$Q$835,13,FALSE)</f>
        <v>0</v>
      </c>
      <c r="AO1041" s="31">
        <f>VLOOKUP($A1041,kurspris!$A$1:$Q$835,14,FALSE)</f>
        <v>0</v>
      </c>
      <c r="AP1041" s="39" t="s">
        <v>2326</v>
      </c>
      <c r="AQ1041"/>
      <c r="AR1041" s="31">
        <f t="shared" si="557"/>
        <v>0</v>
      </c>
      <c r="AS1041" s="255">
        <f t="shared" si="558"/>
        <v>0</v>
      </c>
      <c r="AT1041" s="31">
        <f t="shared" si="559"/>
        <v>0</v>
      </c>
      <c r="AU1041" s="255">
        <f t="shared" si="560"/>
        <v>0</v>
      </c>
      <c r="AV1041" s="31">
        <f t="shared" si="561"/>
        <v>0</v>
      </c>
      <c r="AW1041" s="31">
        <f t="shared" si="562"/>
        <v>0</v>
      </c>
      <c r="AX1041" s="31">
        <f t="shared" si="563"/>
        <v>0</v>
      </c>
      <c r="AY1041" s="255">
        <f t="shared" si="564"/>
        <v>0</v>
      </c>
      <c r="AZ1041" s="232">
        <f t="shared" si="565"/>
        <v>0</v>
      </c>
      <c r="BA1041" s="255">
        <f t="shared" si="566"/>
        <v>0</v>
      </c>
      <c r="BB1041" s="31">
        <f t="shared" si="567"/>
        <v>0</v>
      </c>
      <c r="BC1041" s="255">
        <f t="shared" si="568"/>
        <v>0</v>
      </c>
      <c r="BD1041" s="31">
        <f t="shared" si="569"/>
        <v>1.5</v>
      </c>
      <c r="BE1041" s="255">
        <f t="shared" si="570"/>
        <v>1.2749999999999999</v>
      </c>
      <c r="BF1041" s="31">
        <f t="shared" si="571"/>
        <v>0</v>
      </c>
      <c r="BG1041" s="255">
        <f t="shared" si="572"/>
        <v>0</v>
      </c>
      <c r="BH1041" s="31">
        <f t="shared" si="573"/>
        <v>0</v>
      </c>
      <c r="BI1041" s="255">
        <f t="shared" si="574"/>
        <v>0</v>
      </c>
      <c r="BJ1041" s="31">
        <f t="shared" si="575"/>
        <v>0</v>
      </c>
      <c r="BK1041" s="31">
        <f t="shared" si="576"/>
        <v>0</v>
      </c>
      <c r="BL1041" s="255">
        <f t="shared" si="577"/>
        <v>0</v>
      </c>
      <c r="BM1041" s="31">
        <f t="shared" si="578"/>
        <v>0</v>
      </c>
      <c r="BN1041" s="255">
        <f t="shared" si="579"/>
        <v>0</v>
      </c>
    </row>
    <row r="1042" spans="1:66" x14ac:dyDescent="0.25">
      <c r="A1042" s="18" t="s">
        <v>513</v>
      </c>
      <c r="B1042" s="186" t="str">
        <f>VLOOKUP(A1042,kurspris!$A$1:$B$877,2,FALSE)</f>
        <v>Samhällskunskap 2</v>
      </c>
      <c r="C1042" s="37"/>
      <c r="D1042" s="31" t="s">
        <v>483</v>
      </c>
      <c r="E1042" s="31" t="s">
        <v>1973</v>
      </c>
      <c r="F1042" s="59" t="s">
        <v>1931</v>
      </c>
      <c r="G1042" s="31" t="s">
        <v>2276</v>
      </c>
      <c r="J1042" t="s">
        <v>772</v>
      </c>
      <c r="L1042" s="31">
        <v>100</v>
      </c>
      <c r="M1042" s="31">
        <v>30</v>
      </c>
      <c r="P1042" s="31">
        <v>2</v>
      </c>
      <c r="Q1042" s="232">
        <f t="shared" si="552"/>
        <v>1</v>
      </c>
      <c r="R1042" s="40">
        <v>0.85</v>
      </c>
      <c r="S1042" s="334">
        <f t="shared" si="553"/>
        <v>0.85</v>
      </c>
      <c r="T1042" s="31">
        <f>VLOOKUP(A1042,'Ansvar kurs'!$A$1:$C$1010,2,FALSE)</f>
        <v>2340</v>
      </c>
      <c r="U1042" s="31" t="str">
        <f>VLOOKUP(T1042,Orgenheter!$A$1:$C$165,2,FALSE)</f>
        <v xml:space="preserve">Statsvetenskap                </v>
      </c>
      <c r="V1042" s="31" t="str">
        <f>VLOOKUP(T1042,Orgenheter!$A$1:$C$165,3,FALSE)</f>
        <v>Sam</v>
      </c>
      <c r="W1042" s="37" t="str">
        <f>VLOOKUP(D1042,Program!$A$1:$B$34,2,FALSE)</f>
        <v>Ämneslärarprogrammet - Gy</v>
      </c>
      <c r="X1042" s="42">
        <f>VLOOKUP(A1042,kurspris!$A$1:$Q$798,15,FALSE)</f>
        <v>18405</v>
      </c>
      <c r="Y1042" s="42">
        <f>VLOOKUP(A1042,kurspris!$A$1:$Q$798,16,FALSE)</f>
        <v>15773</v>
      </c>
      <c r="Z1042" s="42">
        <f t="shared" si="554"/>
        <v>31812.05</v>
      </c>
      <c r="AA1042" s="42">
        <f>VLOOKUP(A1042,kurspris!$A$1:$Q$798,17,FALSE)</f>
        <v>5800</v>
      </c>
      <c r="AB1042" s="42">
        <f t="shared" si="555"/>
        <v>5800</v>
      </c>
      <c r="AC1042" s="42">
        <f t="shared" si="556"/>
        <v>37612.050000000003</v>
      </c>
      <c r="AD1042" s="31">
        <f>VLOOKUP($A1042,kurspris!$A$1:$Q$835,3,FALSE)</f>
        <v>0</v>
      </c>
      <c r="AE1042" s="31">
        <f>VLOOKUP($A1042,kurspris!$A$1:$Q$835,4,FALSE)</f>
        <v>0</v>
      </c>
      <c r="AF1042" s="31">
        <f>VLOOKUP($A1042,kurspris!$A$1:$Q$835,5,FALSE)</f>
        <v>0</v>
      </c>
      <c r="AG1042" s="31">
        <f>VLOOKUP($A1042,kurspris!$A$1:$Q$835,6,FALSE)</f>
        <v>0</v>
      </c>
      <c r="AH1042" s="31">
        <f>VLOOKUP($A1042,kurspris!$A$1:$Q$835,7,FALSE)</f>
        <v>0</v>
      </c>
      <c r="AI1042" s="31">
        <f>VLOOKUP($A1042,kurspris!$A$1:$Q$835,8,FALSE)</f>
        <v>0</v>
      </c>
      <c r="AJ1042" s="31">
        <f>VLOOKUP($A1042,kurspris!$A$1:$Q$835,9,FALSE)</f>
        <v>1</v>
      </c>
      <c r="AK1042" s="31">
        <f>VLOOKUP($A1042,kurspris!$A$1:$Q$835,10,FALSE)</f>
        <v>0</v>
      </c>
      <c r="AL1042" s="31">
        <f>VLOOKUP($A1042,kurspris!$A$1:$Q$835,11,FALSE)</f>
        <v>0</v>
      </c>
      <c r="AM1042" s="31">
        <f>VLOOKUP($A1042,kurspris!$A$1:$Q$835,12,FALSE)</f>
        <v>0</v>
      </c>
      <c r="AN1042" s="31">
        <f>VLOOKUP($A1042,kurspris!$A$1:$Q$835,13,FALSE)</f>
        <v>0</v>
      </c>
      <c r="AO1042" s="31">
        <f>VLOOKUP($A1042,kurspris!$A$1:$Q$835,14,FALSE)</f>
        <v>0</v>
      </c>
      <c r="AP1042" s="39" t="s">
        <v>2326</v>
      </c>
      <c r="AQ1042"/>
      <c r="AR1042" s="31">
        <f t="shared" si="557"/>
        <v>0</v>
      </c>
      <c r="AS1042" s="255">
        <f t="shared" si="558"/>
        <v>0</v>
      </c>
      <c r="AT1042" s="31">
        <f t="shared" si="559"/>
        <v>0</v>
      </c>
      <c r="AU1042" s="255">
        <f t="shared" si="560"/>
        <v>0</v>
      </c>
      <c r="AV1042" s="31">
        <f t="shared" si="561"/>
        <v>0</v>
      </c>
      <c r="AW1042" s="31">
        <f t="shared" si="562"/>
        <v>0</v>
      </c>
      <c r="AX1042" s="31">
        <f t="shared" si="563"/>
        <v>0</v>
      </c>
      <c r="AY1042" s="255">
        <f t="shared" si="564"/>
        <v>0</v>
      </c>
      <c r="AZ1042" s="232">
        <f t="shared" si="565"/>
        <v>0</v>
      </c>
      <c r="BA1042" s="255">
        <f t="shared" si="566"/>
        <v>0</v>
      </c>
      <c r="BB1042" s="31">
        <f t="shared" si="567"/>
        <v>0</v>
      </c>
      <c r="BC1042" s="255">
        <f t="shared" si="568"/>
        <v>0</v>
      </c>
      <c r="BD1042" s="31">
        <f t="shared" si="569"/>
        <v>1</v>
      </c>
      <c r="BE1042" s="255">
        <f t="shared" si="570"/>
        <v>0.85</v>
      </c>
      <c r="BF1042" s="31">
        <f t="shared" si="571"/>
        <v>0</v>
      </c>
      <c r="BG1042" s="255">
        <f t="shared" si="572"/>
        <v>0</v>
      </c>
      <c r="BH1042" s="31">
        <f t="shared" si="573"/>
        <v>0</v>
      </c>
      <c r="BI1042" s="255">
        <f t="shared" si="574"/>
        <v>0</v>
      </c>
      <c r="BJ1042" s="31">
        <f t="shared" si="575"/>
        <v>0</v>
      </c>
      <c r="BK1042" s="31">
        <f t="shared" si="576"/>
        <v>0</v>
      </c>
      <c r="BL1042" s="255">
        <f t="shared" si="577"/>
        <v>0</v>
      </c>
      <c r="BM1042" s="31">
        <f t="shared" si="578"/>
        <v>0</v>
      </c>
      <c r="BN1042" s="255">
        <f t="shared" si="579"/>
        <v>0</v>
      </c>
    </row>
    <row r="1043" spans="1:66" x14ac:dyDescent="0.25">
      <c r="A1043" s="18" t="s">
        <v>513</v>
      </c>
      <c r="B1043" s="186" t="str">
        <f>VLOOKUP(A1043,kurspris!$A$1:$B$877,2,FALSE)</f>
        <v>Samhällskunskap 2</v>
      </c>
      <c r="C1043" s="37"/>
      <c r="D1043" s="31" t="s">
        <v>483</v>
      </c>
      <c r="E1043" s="31" t="s">
        <v>1973</v>
      </c>
      <c r="F1043" s="59" t="s">
        <v>1931</v>
      </c>
      <c r="G1043" s="31" t="s">
        <v>2276</v>
      </c>
      <c r="J1043" t="s">
        <v>773</v>
      </c>
      <c r="L1043" s="31">
        <v>100</v>
      </c>
      <c r="M1043" s="31">
        <v>30</v>
      </c>
      <c r="P1043" s="31">
        <v>1</v>
      </c>
      <c r="Q1043" s="232">
        <f t="shared" si="552"/>
        <v>0.5</v>
      </c>
      <c r="R1043" s="40">
        <v>0.85</v>
      </c>
      <c r="S1043" s="334">
        <f t="shared" si="553"/>
        <v>0.42499999999999999</v>
      </c>
      <c r="T1043" s="31">
        <f>VLOOKUP(A1043,'Ansvar kurs'!$A$1:$C$1010,2,FALSE)</f>
        <v>2340</v>
      </c>
      <c r="U1043" s="31" t="str">
        <f>VLOOKUP(T1043,Orgenheter!$A$1:$C$165,2,FALSE)</f>
        <v xml:space="preserve">Statsvetenskap                </v>
      </c>
      <c r="V1043" s="31" t="str">
        <f>VLOOKUP(T1043,Orgenheter!$A$1:$C$165,3,FALSE)</f>
        <v>Sam</v>
      </c>
      <c r="W1043" s="37" t="str">
        <f>VLOOKUP(D1043,Program!$A$1:$B$34,2,FALSE)</f>
        <v>Ämneslärarprogrammet - Gy</v>
      </c>
      <c r="X1043" s="42">
        <f>VLOOKUP(A1043,kurspris!$A$1:$Q$798,15,FALSE)</f>
        <v>18405</v>
      </c>
      <c r="Y1043" s="42">
        <f>VLOOKUP(A1043,kurspris!$A$1:$Q$798,16,FALSE)</f>
        <v>15773</v>
      </c>
      <c r="Z1043" s="42">
        <f t="shared" si="554"/>
        <v>15906.025</v>
      </c>
      <c r="AA1043" s="42">
        <f>VLOOKUP(A1043,kurspris!$A$1:$Q$798,17,FALSE)</f>
        <v>5800</v>
      </c>
      <c r="AB1043" s="42">
        <f t="shared" si="555"/>
        <v>2900</v>
      </c>
      <c r="AC1043" s="42">
        <f t="shared" si="556"/>
        <v>18806.025000000001</v>
      </c>
      <c r="AD1043" s="31">
        <f>VLOOKUP($A1043,kurspris!$A$1:$Q$835,3,FALSE)</f>
        <v>0</v>
      </c>
      <c r="AE1043" s="31">
        <f>VLOOKUP($A1043,kurspris!$A$1:$Q$835,4,FALSE)</f>
        <v>0</v>
      </c>
      <c r="AF1043" s="31">
        <f>VLOOKUP($A1043,kurspris!$A$1:$Q$835,5,FALSE)</f>
        <v>0</v>
      </c>
      <c r="AG1043" s="31">
        <f>VLOOKUP($A1043,kurspris!$A$1:$Q$835,6,FALSE)</f>
        <v>0</v>
      </c>
      <c r="AH1043" s="31">
        <f>VLOOKUP($A1043,kurspris!$A$1:$Q$835,7,FALSE)</f>
        <v>0</v>
      </c>
      <c r="AI1043" s="31">
        <f>VLOOKUP($A1043,kurspris!$A$1:$Q$835,8,FALSE)</f>
        <v>0</v>
      </c>
      <c r="AJ1043" s="31">
        <f>VLOOKUP($A1043,kurspris!$A$1:$Q$835,9,FALSE)</f>
        <v>1</v>
      </c>
      <c r="AK1043" s="31">
        <f>VLOOKUP($A1043,kurspris!$A$1:$Q$835,10,FALSE)</f>
        <v>0</v>
      </c>
      <c r="AL1043" s="31">
        <f>VLOOKUP($A1043,kurspris!$A$1:$Q$835,11,FALSE)</f>
        <v>0</v>
      </c>
      <c r="AM1043" s="31">
        <f>VLOOKUP($A1043,kurspris!$A$1:$Q$835,12,FALSE)</f>
        <v>0</v>
      </c>
      <c r="AN1043" s="31">
        <f>VLOOKUP($A1043,kurspris!$A$1:$Q$835,13,FALSE)</f>
        <v>0</v>
      </c>
      <c r="AO1043" s="31">
        <f>VLOOKUP($A1043,kurspris!$A$1:$Q$835,14,FALSE)</f>
        <v>0</v>
      </c>
      <c r="AP1043" s="39" t="s">
        <v>2326</v>
      </c>
      <c r="AQ1043"/>
      <c r="AR1043" s="31">
        <f t="shared" si="557"/>
        <v>0</v>
      </c>
      <c r="AS1043" s="255">
        <f t="shared" si="558"/>
        <v>0</v>
      </c>
      <c r="AT1043" s="31">
        <f t="shared" si="559"/>
        <v>0</v>
      </c>
      <c r="AU1043" s="255">
        <f t="shared" si="560"/>
        <v>0</v>
      </c>
      <c r="AV1043" s="31">
        <f t="shared" si="561"/>
        <v>0</v>
      </c>
      <c r="AW1043" s="31">
        <f t="shared" si="562"/>
        <v>0</v>
      </c>
      <c r="AX1043" s="31">
        <f t="shared" si="563"/>
        <v>0</v>
      </c>
      <c r="AY1043" s="255">
        <f t="shared" si="564"/>
        <v>0</v>
      </c>
      <c r="AZ1043" s="232">
        <f t="shared" si="565"/>
        <v>0</v>
      </c>
      <c r="BA1043" s="255">
        <f t="shared" si="566"/>
        <v>0</v>
      </c>
      <c r="BB1043" s="31">
        <f t="shared" si="567"/>
        <v>0</v>
      </c>
      <c r="BC1043" s="255">
        <f t="shared" si="568"/>
        <v>0</v>
      </c>
      <c r="BD1043" s="31">
        <f t="shared" si="569"/>
        <v>0.5</v>
      </c>
      <c r="BE1043" s="255">
        <f t="shared" si="570"/>
        <v>0.42499999999999999</v>
      </c>
      <c r="BF1043" s="31">
        <f t="shared" si="571"/>
        <v>0</v>
      </c>
      <c r="BG1043" s="255">
        <f t="shared" si="572"/>
        <v>0</v>
      </c>
      <c r="BH1043" s="31">
        <f t="shared" si="573"/>
        <v>0</v>
      </c>
      <c r="BI1043" s="255">
        <f t="shared" si="574"/>
        <v>0</v>
      </c>
      <c r="BJ1043" s="31">
        <f t="shared" si="575"/>
        <v>0</v>
      </c>
      <c r="BK1043" s="31">
        <f t="shared" si="576"/>
        <v>0</v>
      </c>
      <c r="BL1043" s="255">
        <f t="shared" si="577"/>
        <v>0</v>
      </c>
      <c r="BM1043" s="31">
        <f t="shared" si="578"/>
        <v>0</v>
      </c>
      <c r="BN1043" s="255">
        <f t="shared" si="579"/>
        <v>0</v>
      </c>
    </row>
    <row r="1044" spans="1:66" x14ac:dyDescent="0.25">
      <c r="A1044" s="18" t="s">
        <v>513</v>
      </c>
      <c r="B1044" s="186" t="str">
        <f>VLOOKUP(A1044,kurspris!$A$1:$B$877,2,FALSE)</f>
        <v>Samhällskunskap 2</v>
      </c>
      <c r="C1044" s="37"/>
      <c r="D1044" s="31" t="s">
        <v>483</v>
      </c>
      <c r="E1044" s="31" t="s">
        <v>1973</v>
      </c>
      <c r="F1044" s="59" t="s">
        <v>1931</v>
      </c>
      <c r="G1044" s="31" t="s">
        <v>2276</v>
      </c>
      <c r="J1044" t="s">
        <v>776</v>
      </c>
      <c r="L1044" s="31">
        <v>100</v>
      </c>
      <c r="M1044" s="31">
        <v>30</v>
      </c>
      <c r="P1044" s="31">
        <v>1</v>
      </c>
      <c r="Q1044" s="232">
        <f t="shared" si="552"/>
        <v>0.5</v>
      </c>
      <c r="R1044" s="40">
        <v>0.85</v>
      </c>
      <c r="S1044" s="334">
        <f t="shared" si="553"/>
        <v>0.42499999999999999</v>
      </c>
      <c r="T1044" s="31">
        <f>VLOOKUP(A1044,'Ansvar kurs'!$A$1:$C$1010,2,FALSE)</f>
        <v>2340</v>
      </c>
      <c r="U1044" s="31" t="str">
        <f>VLOOKUP(T1044,Orgenheter!$A$1:$C$165,2,FALSE)</f>
        <v xml:space="preserve">Statsvetenskap                </v>
      </c>
      <c r="V1044" s="31" t="str">
        <f>VLOOKUP(T1044,Orgenheter!$A$1:$C$165,3,FALSE)</f>
        <v>Sam</v>
      </c>
      <c r="W1044" s="37" t="str">
        <f>VLOOKUP(D1044,Program!$A$1:$B$34,2,FALSE)</f>
        <v>Ämneslärarprogrammet - Gy</v>
      </c>
      <c r="X1044" s="42">
        <f>VLOOKUP(A1044,kurspris!$A$1:$Q$798,15,FALSE)</f>
        <v>18405</v>
      </c>
      <c r="Y1044" s="42">
        <f>VLOOKUP(A1044,kurspris!$A$1:$Q$798,16,FALSE)</f>
        <v>15773</v>
      </c>
      <c r="Z1044" s="42">
        <f t="shared" si="554"/>
        <v>15906.025</v>
      </c>
      <c r="AA1044" s="42">
        <f>VLOOKUP(A1044,kurspris!$A$1:$Q$798,17,FALSE)</f>
        <v>5800</v>
      </c>
      <c r="AB1044" s="42">
        <f t="shared" si="555"/>
        <v>2900</v>
      </c>
      <c r="AC1044" s="42">
        <f t="shared" si="556"/>
        <v>18806.025000000001</v>
      </c>
      <c r="AD1044" s="31">
        <f>VLOOKUP($A1044,kurspris!$A$1:$Q$835,3,FALSE)</f>
        <v>0</v>
      </c>
      <c r="AE1044" s="31">
        <f>VLOOKUP($A1044,kurspris!$A$1:$Q$835,4,FALSE)</f>
        <v>0</v>
      </c>
      <c r="AF1044" s="31">
        <f>VLOOKUP($A1044,kurspris!$A$1:$Q$835,5,FALSE)</f>
        <v>0</v>
      </c>
      <c r="AG1044" s="31">
        <f>VLOOKUP($A1044,kurspris!$A$1:$Q$835,6,FALSE)</f>
        <v>0</v>
      </c>
      <c r="AH1044" s="31">
        <f>VLOOKUP($A1044,kurspris!$A$1:$Q$835,7,FALSE)</f>
        <v>0</v>
      </c>
      <c r="AI1044" s="31">
        <f>VLOOKUP($A1044,kurspris!$A$1:$Q$835,8,FALSE)</f>
        <v>0</v>
      </c>
      <c r="AJ1044" s="31">
        <f>VLOOKUP($A1044,kurspris!$A$1:$Q$835,9,FALSE)</f>
        <v>1</v>
      </c>
      <c r="AK1044" s="31">
        <f>VLOOKUP($A1044,kurspris!$A$1:$Q$835,10,FALSE)</f>
        <v>0</v>
      </c>
      <c r="AL1044" s="31">
        <f>VLOOKUP($A1044,kurspris!$A$1:$Q$835,11,FALSE)</f>
        <v>0</v>
      </c>
      <c r="AM1044" s="31">
        <f>VLOOKUP($A1044,kurspris!$A$1:$Q$835,12,FALSE)</f>
        <v>0</v>
      </c>
      <c r="AN1044" s="31">
        <f>VLOOKUP($A1044,kurspris!$A$1:$Q$835,13,FALSE)</f>
        <v>0</v>
      </c>
      <c r="AO1044" s="31">
        <f>VLOOKUP($A1044,kurspris!$A$1:$Q$835,14,FALSE)</f>
        <v>0</v>
      </c>
      <c r="AP1044" s="39" t="s">
        <v>2326</v>
      </c>
      <c r="AQ1044"/>
      <c r="AR1044" s="31">
        <f t="shared" si="557"/>
        <v>0</v>
      </c>
      <c r="AS1044" s="255">
        <f t="shared" si="558"/>
        <v>0</v>
      </c>
      <c r="AT1044" s="31">
        <f t="shared" si="559"/>
        <v>0</v>
      </c>
      <c r="AU1044" s="255">
        <f t="shared" si="560"/>
        <v>0</v>
      </c>
      <c r="AV1044" s="31">
        <f t="shared" si="561"/>
        <v>0</v>
      </c>
      <c r="AW1044" s="31">
        <f t="shared" si="562"/>
        <v>0</v>
      </c>
      <c r="AX1044" s="31">
        <f t="shared" si="563"/>
        <v>0</v>
      </c>
      <c r="AY1044" s="255">
        <f t="shared" si="564"/>
        <v>0</v>
      </c>
      <c r="AZ1044" s="232">
        <f t="shared" si="565"/>
        <v>0</v>
      </c>
      <c r="BA1044" s="255">
        <f t="shared" si="566"/>
        <v>0</v>
      </c>
      <c r="BB1044" s="31">
        <f t="shared" si="567"/>
        <v>0</v>
      </c>
      <c r="BC1044" s="255">
        <f t="shared" si="568"/>
        <v>0</v>
      </c>
      <c r="BD1044" s="31">
        <f t="shared" si="569"/>
        <v>0.5</v>
      </c>
      <c r="BE1044" s="255">
        <f t="shared" si="570"/>
        <v>0.42499999999999999</v>
      </c>
      <c r="BF1044" s="31">
        <f t="shared" si="571"/>
        <v>0</v>
      </c>
      <c r="BG1044" s="255">
        <f t="shared" si="572"/>
        <v>0</v>
      </c>
      <c r="BH1044" s="31">
        <f t="shared" si="573"/>
        <v>0</v>
      </c>
      <c r="BI1044" s="255">
        <f t="shared" si="574"/>
        <v>0</v>
      </c>
      <c r="BJ1044" s="31">
        <f t="shared" si="575"/>
        <v>0</v>
      </c>
      <c r="BK1044" s="31">
        <f t="shared" si="576"/>
        <v>0</v>
      </c>
      <c r="BL1044" s="255">
        <f t="shared" si="577"/>
        <v>0</v>
      </c>
      <c r="BM1044" s="31">
        <f t="shared" si="578"/>
        <v>0</v>
      </c>
      <c r="BN1044" s="255">
        <f t="shared" si="579"/>
        <v>0</v>
      </c>
    </row>
    <row r="1045" spans="1:66" x14ac:dyDescent="0.25">
      <c r="A1045" s="18" t="s">
        <v>513</v>
      </c>
      <c r="B1045" s="186" t="str">
        <f>VLOOKUP(A1045,kurspris!$A$1:$B$877,2,FALSE)</f>
        <v>Samhällskunskap 2</v>
      </c>
      <c r="C1045" s="37"/>
      <c r="D1045" s="31" t="s">
        <v>483</v>
      </c>
      <c r="E1045" s="31" t="s">
        <v>1609</v>
      </c>
      <c r="F1045" s="59" t="s">
        <v>1931</v>
      </c>
      <c r="G1045" s="31" t="s">
        <v>2276</v>
      </c>
      <c r="J1045" t="s">
        <v>777</v>
      </c>
      <c r="L1045" s="31">
        <v>100</v>
      </c>
      <c r="M1045" s="31">
        <v>30</v>
      </c>
      <c r="P1045" s="31">
        <v>1</v>
      </c>
      <c r="Q1045" s="232">
        <f t="shared" si="552"/>
        <v>0.5</v>
      </c>
      <c r="R1045" s="40">
        <v>0.85</v>
      </c>
      <c r="S1045" s="334">
        <f t="shared" si="553"/>
        <v>0.42499999999999999</v>
      </c>
      <c r="T1045" s="31">
        <f>VLOOKUP(A1045,'Ansvar kurs'!$A$1:$C$1010,2,FALSE)</f>
        <v>2340</v>
      </c>
      <c r="U1045" s="31" t="str">
        <f>VLOOKUP(T1045,Orgenheter!$A$1:$C$165,2,FALSE)</f>
        <v xml:space="preserve">Statsvetenskap                </v>
      </c>
      <c r="V1045" s="31" t="str">
        <f>VLOOKUP(T1045,Orgenheter!$A$1:$C$165,3,FALSE)</f>
        <v>Sam</v>
      </c>
      <c r="W1045" s="37" t="str">
        <f>VLOOKUP(D1045,Program!$A$1:$B$34,2,FALSE)</f>
        <v>Ämneslärarprogrammet - Gy</v>
      </c>
      <c r="X1045" s="42">
        <f>VLOOKUP(A1045,kurspris!$A$1:$Q$798,15,FALSE)</f>
        <v>18405</v>
      </c>
      <c r="Y1045" s="42">
        <f>VLOOKUP(A1045,kurspris!$A$1:$Q$798,16,FALSE)</f>
        <v>15773</v>
      </c>
      <c r="Z1045" s="42">
        <f t="shared" si="554"/>
        <v>15906.025</v>
      </c>
      <c r="AA1045" s="42">
        <f>VLOOKUP(A1045,kurspris!$A$1:$Q$798,17,FALSE)</f>
        <v>5800</v>
      </c>
      <c r="AB1045" s="42">
        <f t="shared" si="555"/>
        <v>2900</v>
      </c>
      <c r="AC1045" s="42">
        <f t="shared" si="556"/>
        <v>18806.025000000001</v>
      </c>
      <c r="AD1045" s="31">
        <f>VLOOKUP($A1045,kurspris!$A$1:$Q$835,3,FALSE)</f>
        <v>0</v>
      </c>
      <c r="AE1045" s="31">
        <f>VLOOKUP($A1045,kurspris!$A$1:$Q$835,4,FALSE)</f>
        <v>0</v>
      </c>
      <c r="AF1045" s="31">
        <f>VLOOKUP($A1045,kurspris!$A$1:$Q$835,5,FALSE)</f>
        <v>0</v>
      </c>
      <c r="AG1045" s="31">
        <f>VLOOKUP($A1045,kurspris!$A$1:$Q$835,6,FALSE)</f>
        <v>0</v>
      </c>
      <c r="AH1045" s="31">
        <f>VLOOKUP($A1045,kurspris!$A$1:$Q$835,7,FALSE)</f>
        <v>0</v>
      </c>
      <c r="AI1045" s="31">
        <f>VLOOKUP($A1045,kurspris!$A$1:$Q$835,8,FALSE)</f>
        <v>0</v>
      </c>
      <c r="AJ1045" s="31">
        <f>VLOOKUP($A1045,kurspris!$A$1:$Q$835,9,FALSE)</f>
        <v>1</v>
      </c>
      <c r="AK1045" s="31">
        <f>VLOOKUP($A1045,kurspris!$A$1:$Q$835,10,FALSE)</f>
        <v>0</v>
      </c>
      <c r="AL1045" s="31">
        <f>VLOOKUP($A1045,kurspris!$A$1:$Q$835,11,FALSE)</f>
        <v>0</v>
      </c>
      <c r="AM1045" s="31">
        <f>VLOOKUP($A1045,kurspris!$A$1:$Q$835,12,FALSE)</f>
        <v>0</v>
      </c>
      <c r="AN1045" s="31">
        <f>VLOOKUP($A1045,kurspris!$A$1:$Q$835,13,FALSE)</f>
        <v>0</v>
      </c>
      <c r="AO1045" s="31">
        <f>VLOOKUP($A1045,kurspris!$A$1:$Q$835,14,FALSE)</f>
        <v>0</v>
      </c>
      <c r="AP1045" s="39" t="s">
        <v>2326</v>
      </c>
      <c r="AQ1045"/>
      <c r="AR1045" s="31">
        <f t="shared" si="557"/>
        <v>0</v>
      </c>
      <c r="AS1045" s="255">
        <f t="shared" si="558"/>
        <v>0</v>
      </c>
      <c r="AT1045" s="31">
        <f t="shared" si="559"/>
        <v>0</v>
      </c>
      <c r="AU1045" s="255">
        <f t="shared" si="560"/>
        <v>0</v>
      </c>
      <c r="AV1045" s="31">
        <f t="shared" si="561"/>
        <v>0</v>
      </c>
      <c r="AW1045" s="31">
        <f t="shared" si="562"/>
        <v>0</v>
      </c>
      <c r="AX1045" s="31">
        <f t="shared" si="563"/>
        <v>0</v>
      </c>
      <c r="AY1045" s="255">
        <f t="shared" si="564"/>
        <v>0</v>
      </c>
      <c r="AZ1045" s="232">
        <f t="shared" si="565"/>
        <v>0</v>
      </c>
      <c r="BA1045" s="255">
        <f t="shared" si="566"/>
        <v>0</v>
      </c>
      <c r="BB1045" s="31">
        <f t="shared" si="567"/>
        <v>0</v>
      </c>
      <c r="BC1045" s="255">
        <f t="shared" si="568"/>
        <v>0</v>
      </c>
      <c r="BD1045" s="31">
        <f t="shared" si="569"/>
        <v>0.5</v>
      </c>
      <c r="BE1045" s="255">
        <f t="shared" si="570"/>
        <v>0.42499999999999999</v>
      </c>
      <c r="BF1045" s="31">
        <f t="shared" si="571"/>
        <v>0</v>
      </c>
      <c r="BG1045" s="255">
        <f t="shared" si="572"/>
        <v>0</v>
      </c>
      <c r="BH1045" s="31">
        <f t="shared" si="573"/>
        <v>0</v>
      </c>
      <c r="BI1045" s="255">
        <f t="shared" si="574"/>
        <v>0</v>
      </c>
      <c r="BJ1045" s="31">
        <f t="shared" si="575"/>
        <v>0</v>
      </c>
      <c r="BK1045" s="31">
        <f t="shared" si="576"/>
        <v>0</v>
      </c>
      <c r="BL1045" s="255">
        <f t="shared" si="577"/>
        <v>0</v>
      </c>
      <c r="BM1045" s="31">
        <f t="shared" si="578"/>
        <v>0</v>
      </c>
      <c r="BN1045" s="255">
        <f t="shared" si="579"/>
        <v>0</v>
      </c>
    </row>
    <row r="1046" spans="1:66" x14ac:dyDescent="0.25">
      <c r="A1046" s="18" t="s">
        <v>513</v>
      </c>
      <c r="B1046" s="186" t="str">
        <f>VLOOKUP(A1046,kurspris!$A$1:$B$877,2,FALSE)</f>
        <v>Samhällskunskap 2</v>
      </c>
      <c r="C1046" s="37"/>
      <c r="D1046" s="31" t="s">
        <v>483</v>
      </c>
      <c r="E1046" s="31" t="s">
        <v>1788</v>
      </c>
      <c r="F1046" s="59" t="s">
        <v>1931</v>
      </c>
      <c r="G1046" s="31" t="s">
        <v>2276</v>
      </c>
      <c r="J1046" t="s">
        <v>777</v>
      </c>
      <c r="L1046" s="31">
        <v>100</v>
      </c>
      <c r="M1046" s="31">
        <v>30</v>
      </c>
      <c r="P1046" s="31">
        <v>13</v>
      </c>
      <c r="Q1046" s="232">
        <f t="shared" si="552"/>
        <v>6.5</v>
      </c>
      <c r="R1046" s="40">
        <v>0.85</v>
      </c>
      <c r="S1046" s="334">
        <f t="shared" si="553"/>
        <v>5.5249999999999995</v>
      </c>
      <c r="T1046" s="31">
        <f>VLOOKUP(A1046,'Ansvar kurs'!$A$1:$C$1010,2,FALSE)</f>
        <v>2340</v>
      </c>
      <c r="U1046" s="31" t="str">
        <f>VLOOKUP(T1046,Orgenheter!$A$1:$C$165,2,FALSE)</f>
        <v xml:space="preserve">Statsvetenskap                </v>
      </c>
      <c r="V1046" s="31" t="str">
        <f>VLOOKUP(T1046,Orgenheter!$A$1:$C$165,3,FALSE)</f>
        <v>Sam</v>
      </c>
      <c r="W1046" s="37" t="str">
        <f>VLOOKUP(D1046,Program!$A$1:$B$34,2,FALSE)</f>
        <v>Ämneslärarprogrammet - Gy</v>
      </c>
      <c r="X1046" s="42">
        <f>VLOOKUP(A1046,kurspris!$A$1:$Q$798,15,FALSE)</f>
        <v>18405</v>
      </c>
      <c r="Y1046" s="42">
        <f>VLOOKUP(A1046,kurspris!$A$1:$Q$798,16,FALSE)</f>
        <v>15773</v>
      </c>
      <c r="Z1046" s="42">
        <f t="shared" si="554"/>
        <v>206778.32500000001</v>
      </c>
      <c r="AA1046" s="42">
        <f>VLOOKUP(A1046,kurspris!$A$1:$Q$798,17,FALSE)</f>
        <v>5800</v>
      </c>
      <c r="AB1046" s="42">
        <f t="shared" si="555"/>
        <v>37700</v>
      </c>
      <c r="AC1046" s="42">
        <f t="shared" si="556"/>
        <v>244478.32500000001</v>
      </c>
      <c r="AD1046" s="31">
        <f>VLOOKUP($A1046,kurspris!$A$1:$Q$835,3,FALSE)</f>
        <v>0</v>
      </c>
      <c r="AE1046" s="31">
        <f>VLOOKUP($A1046,kurspris!$A$1:$Q$835,4,FALSE)</f>
        <v>0</v>
      </c>
      <c r="AF1046" s="31">
        <f>VLOOKUP($A1046,kurspris!$A$1:$Q$835,5,FALSE)</f>
        <v>0</v>
      </c>
      <c r="AG1046" s="31">
        <f>VLOOKUP($A1046,kurspris!$A$1:$Q$835,6,FALSE)</f>
        <v>0</v>
      </c>
      <c r="AH1046" s="31">
        <f>VLOOKUP($A1046,kurspris!$A$1:$Q$835,7,FALSE)</f>
        <v>0</v>
      </c>
      <c r="AI1046" s="31">
        <f>VLOOKUP($A1046,kurspris!$A$1:$Q$835,8,FALSE)</f>
        <v>0</v>
      </c>
      <c r="AJ1046" s="31">
        <f>VLOOKUP($A1046,kurspris!$A$1:$Q$835,9,FALSE)</f>
        <v>1</v>
      </c>
      <c r="AK1046" s="31">
        <f>VLOOKUP($A1046,kurspris!$A$1:$Q$835,10,FALSE)</f>
        <v>0</v>
      </c>
      <c r="AL1046" s="31">
        <f>VLOOKUP($A1046,kurspris!$A$1:$Q$835,11,FALSE)</f>
        <v>0</v>
      </c>
      <c r="AM1046" s="31">
        <f>VLOOKUP($A1046,kurspris!$A$1:$Q$835,12,FALSE)</f>
        <v>0</v>
      </c>
      <c r="AN1046" s="31">
        <f>VLOOKUP($A1046,kurspris!$A$1:$Q$835,13,FALSE)</f>
        <v>0</v>
      </c>
      <c r="AO1046" s="31">
        <f>VLOOKUP($A1046,kurspris!$A$1:$Q$835,14,FALSE)</f>
        <v>0</v>
      </c>
      <c r="AP1046" s="39" t="s">
        <v>2326</v>
      </c>
      <c r="AQ1046"/>
      <c r="AR1046" s="31">
        <f t="shared" si="557"/>
        <v>0</v>
      </c>
      <c r="AS1046" s="255">
        <f t="shared" si="558"/>
        <v>0</v>
      </c>
      <c r="AT1046" s="31">
        <f t="shared" si="559"/>
        <v>0</v>
      </c>
      <c r="AU1046" s="255">
        <f t="shared" si="560"/>
        <v>0</v>
      </c>
      <c r="AV1046" s="31">
        <f t="shared" si="561"/>
        <v>0</v>
      </c>
      <c r="AW1046" s="31">
        <f t="shared" si="562"/>
        <v>0</v>
      </c>
      <c r="AX1046" s="31">
        <f t="shared" si="563"/>
        <v>0</v>
      </c>
      <c r="AY1046" s="255">
        <f t="shared" si="564"/>
        <v>0</v>
      </c>
      <c r="AZ1046" s="232">
        <f t="shared" si="565"/>
        <v>0</v>
      </c>
      <c r="BA1046" s="255">
        <f t="shared" si="566"/>
        <v>0</v>
      </c>
      <c r="BB1046" s="31">
        <f t="shared" si="567"/>
        <v>0</v>
      </c>
      <c r="BC1046" s="255">
        <f t="shared" si="568"/>
        <v>0</v>
      </c>
      <c r="BD1046" s="31">
        <f t="shared" si="569"/>
        <v>6.5</v>
      </c>
      <c r="BE1046" s="255">
        <f t="shared" si="570"/>
        <v>5.5249999999999995</v>
      </c>
      <c r="BF1046" s="31">
        <f t="shared" si="571"/>
        <v>0</v>
      </c>
      <c r="BG1046" s="255">
        <f t="shared" si="572"/>
        <v>0</v>
      </c>
      <c r="BH1046" s="31">
        <f t="shared" si="573"/>
        <v>0</v>
      </c>
      <c r="BI1046" s="255">
        <f t="shared" si="574"/>
        <v>0</v>
      </c>
      <c r="BJ1046" s="31">
        <f t="shared" si="575"/>
        <v>0</v>
      </c>
      <c r="BK1046" s="31">
        <f t="shared" si="576"/>
        <v>0</v>
      </c>
      <c r="BL1046" s="255">
        <f t="shared" si="577"/>
        <v>0</v>
      </c>
      <c r="BM1046" s="31">
        <f t="shared" si="578"/>
        <v>0</v>
      </c>
      <c r="BN1046" s="255">
        <f t="shared" si="579"/>
        <v>0</v>
      </c>
    </row>
    <row r="1047" spans="1:66" x14ac:dyDescent="0.25">
      <c r="A1047" t="s">
        <v>603</v>
      </c>
      <c r="B1047" s="186" t="str">
        <f>VLOOKUP(A1047,kurspris!$A$1:$B$877,2,FALSE)</f>
        <v>Samhällskunskap 3</v>
      </c>
      <c r="C1047"/>
      <c r="D1047" t="s">
        <v>483</v>
      </c>
      <c r="E1047" t="s">
        <v>1975</v>
      </c>
      <c r="F1047" s="59" t="s">
        <v>1930</v>
      </c>
      <c r="G1047" t="s">
        <v>1995</v>
      </c>
      <c r="H1047" t="s">
        <v>1910</v>
      </c>
      <c r="I1047"/>
      <c r="J1047" t="s">
        <v>777</v>
      </c>
      <c r="K1047"/>
      <c r="L1047">
        <v>100</v>
      </c>
      <c r="M1047">
        <v>30</v>
      </c>
      <c r="N1047"/>
      <c r="O1047"/>
      <c r="P1047" s="31">
        <v>1</v>
      </c>
      <c r="Q1047" s="232">
        <f t="shared" si="552"/>
        <v>0.5</v>
      </c>
      <c r="R1047" s="40">
        <v>0.85</v>
      </c>
      <c r="S1047" s="334">
        <f t="shared" si="553"/>
        <v>0.42499999999999999</v>
      </c>
      <c r="T1047" s="31">
        <f>VLOOKUP(A1047,'Ansvar kurs'!$A$1:$C$1010,2,FALSE)</f>
        <v>2340</v>
      </c>
      <c r="U1047" s="31" t="str">
        <f>VLOOKUP(T1047,Orgenheter!$A$1:$C$165,2,FALSE)</f>
        <v xml:space="preserve">Statsvetenskap                </v>
      </c>
      <c r="V1047" s="31" t="str">
        <f>VLOOKUP(T1047,Orgenheter!$A$1:$C$165,3,FALSE)</f>
        <v>Sam</v>
      </c>
      <c r="W1047" s="37" t="str">
        <f>VLOOKUP(D1047,Program!$A$1:$B$34,2,FALSE)</f>
        <v>Ämneslärarprogrammet - Gy</v>
      </c>
      <c r="X1047" s="42">
        <f>VLOOKUP(A1047,kurspris!$A$1:$Q$798,15,FALSE)</f>
        <v>18405</v>
      </c>
      <c r="Y1047" s="42">
        <f>VLOOKUP(A1047,kurspris!$A$1:$Q$798,16,FALSE)</f>
        <v>15773</v>
      </c>
      <c r="Z1047" s="42">
        <f t="shared" si="554"/>
        <v>15906.025</v>
      </c>
      <c r="AA1047" s="42">
        <f>VLOOKUP(A1047,kurspris!$A$1:$Q$798,17,FALSE)</f>
        <v>5800</v>
      </c>
      <c r="AB1047" s="42">
        <f t="shared" si="555"/>
        <v>2900</v>
      </c>
      <c r="AC1047" s="42">
        <f t="shared" si="556"/>
        <v>18806.025000000001</v>
      </c>
      <c r="AD1047" s="31">
        <f>VLOOKUP($A1047,kurspris!$A$1:$Q$835,3,FALSE)</f>
        <v>0</v>
      </c>
      <c r="AE1047" s="31">
        <f>VLOOKUP($A1047,kurspris!$A$1:$Q$835,4,FALSE)</f>
        <v>1</v>
      </c>
      <c r="AF1047" s="31">
        <f>VLOOKUP($A1047,kurspris!$A$1:$Q$835,5,FALSE)</f>
        <v>0</v>
      </c>
      <c r="AG1047" s="31">
        <f>VLOOKUP($A1047,kurspris!$A$1:$Q$835,6,FALSE)</f>
        <v>0</v>
      </c>
      <c r="AH1047" s="31">
        <f>VLOOKUP($A1047,kurspris!$A$1:$Q$835,7,FALSE)</f>
        <v>0</v>
      </c>
      <c r="AI1047" s="31">
        <f>VLOOKUP($A1047,kurspris!$A$1:$Q$835,8,FALSE)</f>
        <v>0</v>
      </c>
      <c r="AJ1047" s="31">
        <f>VLOOKUP($A1047,kurspris!$A$1:$Q$835,9,FALSE)</f>
        <v>0</v>
      </c>
      <c r="AK1047" s="31">
        <f>VLOOKUP($A1047,kurspris!$A$1:$Q$835,10,FALSE)</f>
        <v>0</v>
      </c>
      <c r="AL1047" s="31">
        <f>VLOOKUP($A1047,kurspris!$A$1:$Q$835,11,FALSE)</f>
        <v>0</v>
      </c>
      <c r="AM1047" s="31">
        <f>VLOOKUP($A1047,kurspris!$A$1:$Q$835,12,FALSE)</f>
        <v>0</v>
      </c>
      <c r="AN1047" s="31">
        <f>VLOOKUP($A1047,kurspris!$A$1:$Q$835,13,FALSE)</f>
        <v>0</v>
      </c>
      <c r="AO1047" s="31">
        <f>VLOOKUP($A1047,kurspris!$A$1:$Q$835,14,FALSE)</f>
        <v>0</v>
      </c>
      <c r="AP1047" s="39" t="s">
        <v>2204</v>
      </c>
      <c r="AQ1047"/>
      <c r="AR1047" s="31">
        <f t="shared" si="557"/>
        <v>0</v>
      </c>
      <c r="AS1047" s="255">
        <f t="shared" si="558"/>
        <v>0</v>
      </c>
      <c r="AT1047" s="31">
        <f t="shared" si="559"/>
        <v>0.5</v>
      </c>
      <c r="AU1047" s="255">
        <f t="shared" si="560"/>
        <v>0.42499999999999999</v>
      </c>
      <c r="AV1047" s="31">
        <f t="shared" si="561"/>
        <v>0</v>
      </c>
      <c r="AW1047" s="31">
        <f t="shared" si="562"/>
        <v>0</v>
      </c>
      <c r="AX1047" s="31">
        <f t="shared" si="563"/>
        <v>0</v>
      </c>
      <c r="AY1047" s="255">
        <f t="shared" si="564"/>
        <v>0</v>
      </c>
      <c r="AZ1047" s="232">
        <f t="shared" si="565"/>
        <v>0</v>
      </c>
      <c r="BA1047" s="255">
        <f t="shared" si="566"/>
        <v>0</v>
      </c>
      <c r="BB1047" s="31">
        <f t="shared" si="567"/>
        <v>0</v>
      </c>
      <c r="BC1047" s="255">
        <f t="shared" si="568"/>
        <v>0</v>
      </c>
      <c r="BD1047" s="31">
        <f t="shared" si="569"/>
        <v>0</v>
      </c>
      <c r="BE1047" s="255">
        <f t="shared" si="570"/>
        <v>0</v>
      </c>
      <c r="BF1047" s="31">
        <f t="shared" si="571"/>
        <v>0</v>
      </c>
      <c r="BG1047" s="255">
        <f t="shared" si="572"/>
        <v>0</v>
      </c>
      <c r="BH1047" s="31">
        <f t="shared" si="573"/>
        <v>0</v>
      </c>
      <c r="BI1047" s="255">
        <f t="shared" si="574"/>
        <v>0</v>
      </c>
      <c r="BJ1047" s="31">
        <f t="shared" si="575"/>
        <v>0</v>
      </c>
      <c r="BK1047" s="31">
        <f t="shared" si="576"/>
        <v>0</v>
      </c>
      <c r="BL1047" s="255">
        <f t="shared" si="577"/>
        <v>0</v>
      </c>
      <c r="BM1047" s="31">
        <f t="shared" si="578"/>
        <v>0</v>
      </c>
      <c r="BN1047" s="255">
        <f t="shared" si="579"/>
        <v>0</v>
      </c>
    </row>
    <row r="1048" spans="1:66" x14ac:dyDescent="0.25">
      <c r="A1048" t="s">
        <v>603</v>
      </c>
      <c r="B1048" s="186" t="str">
        <f>VLOOKUP(A1048,kurspris!$A$1:$B$877,2,FALSE)</f>
        <v>Samhällskunskap 3</v>
      </c>
      <c r="C1048"/>
      <c r="D1048" t="s">
        <v>483</v>
      </c>
      <c r="E1048" t="s">
        <v>1976</v>
      </c>
      <c r="F1048" s="59" t="s">
        <v>1930</v>
      </c>
      <c r="G1048" t="s">
        <v>1995</v>
      </c>
      <c r="H1048" t="s">
        <v>1910</v>
      </c>
      <c r="I1048"/>
      <c r="J1048" t="s">
        <v>771</v>
      </c>
      <c r="K1048"/>
      <c r="L1048">
        <v>100</v>
      </c>
      <c r="M1048">
        <v>30</v>
      </c>
      <c r="N1048"/>
      <c r="O1048"/>
      <c r="P1048" s="31">
        <v>1</v>
      </c>
      <c r="Q1048" s="232">
        <f t="shared" si="552"/>
        <v>0.5</v>
      </c>
      <c r="R1048" s="40">
        <v>0.85</v>
      </c>
      <c r="S1048" s="334">
        <f t="shared" si="553"/>
        <v>0.42499999999999999</v>
      </c>
      <c r="T1048" s="31">
        <f>VLOOKUP(A1048,'Ansvar kurs'!$A$1:$C$1010,2,FALSE)</f>
        <v>2340</v>
      </c>
      <c r="U1048" s="31" t="str">
        <f>VLOOKUP(T1048,Orgenheter!$A$1:$C$165,2,FALSE)</f>
        <v xml:space="preserve">Statsvetenskap                </v>
      </c>
      <c r="V1048" s="31" t="str">
        <f>VLOOKUP(T1048,Orgenheter!$A$1:$C$165,3,FALSE)</f>
        <v>Sam</v>
      </c>
      <c r="W1048" s="37" t="str">
        <f>VLOOKUP(D1048,Program!$A$1:$B$34,2,FALSE)</f>
        <v>Ämneslärarprogrammet - Gy</v>
      </c>
      <c r="X1048" s="42">
        <f>VLOOKUP(A1048,kurspris!$A$1:$Q$798,15,FALSE)</f>
        <v>18405</v>
      </c>
      <c r="Y1048" s="42">
        <f>VLOOKUP(A1048,kurspris!$A$1:$Q$798,16,FALSE)</f>
        <v>15773</v>
      </c>
      <c r="Z1048" s="42">
        <f t="shared" si="554"/>
        <v>15906.025</v>
      </c>
      <c r="AA1048" s="42">
        <f>VLOOKUP(A1048,kurspris!$A$1:$Q$798,17,FALSE)</f>
        <v>5800</v>
      </c>
      <c r="AB1048" s="42">
        <f t="shared" si="555"/>
        <v>2900</v>
      </c>
      <c r="AC1048" s="42">
        <f t="shared" si="556"/>
        <v>18806.025000000001</v>
      </c>
      <c r="AD1048" s="31">
        <f>VLOOKUP($A1048,kurspris!$A$1:$Q$835,3,FALSE)</f>
        <v>0</v>
      </c>
      <c r="AE1048" s="31">
        <f>VLOOKUP($A1048,kurspris!$A$1:$Q$835,4,FALSE)</f>
        <v>1</v>
      </c>
      <c r="AF1048" s="31">
        <f>VLOOKUP($A1048,kurspris!$A$1:$Q$835,5,FALSE)</f>
        <v>0</v>
      </c>
      <c r="AG1048" s="31">
        <f>VLOOKUP($A1048,kurspris!$A$1:$Q$835,6,FALSE)</f>
        <v>0</v>
      </c>
      <c r="AH1048" s="31">
        <f>VLOOKUP($A1048,kurspris!$A$1:$Q$835,7,FALSE)</f>
        <v>0</v>
      </c>
      <c r="AI1048" s="31">
        <f>VLOOKUP($A1048,kurspris!$A$1:$Q$835,8,FALSE)</f>
        <v>0</v>
      </c>
      <c r="AJ1048" s="31">
        <f>VLOOKUP($A1048,kurspris!$A$1:$Q$835,9,FALSE)</f>
        <v>0</v>
      </c>
      <c r="AK1048" s="31">
        <f>VLOOKUP($A1048,kurspris!$A$1:$Q$835,10,FALSE)</f>
        <v>0</v>
      </c>
      <c r="AL1048" s="31">
        <f>VLOOKUP($A1048,kurspris!$A$1:$Q$835,11,FALSE)</f>
        <v>0</v>
      </c>
      <c r="AM1048" s="31">
        <f>VLOOKUP($A1048,kurspris!$A$1:$Q$835,12,FALSE)</f>
        <v>0</v>
      </c>
      <c r="AN1048" s="31">
        <f>VLOOKUP($A1048,kurspris!$A$1:$Q$835,13,FALSE)</f>
        <v>0</v>
      </c>
      <c r="AO1048" s="31">
        <f>VLOOKUP($A1048,kurspris!$A$1:$Q$835,14,FALSE)</f>
        <v>0</v>
      </c>
      <c r="AP1048" s="39" t="s">
        <v>2204</v>
      </c>
      <c r="AQ1048"/>
      <c r="AR1048" s="31">
        <f t="shared" si="557"/>
        <v>0</v>
      </c>
      <c r="AS1048" s="255">
        <f t="shared" si="558"/>
        <v>0</v>
      </c>
      <c r="AT1048" s="31">
        <f t="shared" si="559"/>
        <v>0.5</v>
      </c>
      <c r="AU1048" s="255">
        <f t="shared" si="560"/>
        <v>0.42499999999999999</v>
      </c>
      <c r="AV1048" s="31">
        <f t="shared" si="561"/>
        <v>0</v>
      </c>
      <c r="AW1048" s="31">
        <f t="shared" si="562"/>
        <v>0</v>
      </c>
      <c r="AX1048" s="31">
        <f t="shared" si="563"/>
        <v>0</v>
      </c>
      <c r="AY1048" s="255">
        <f t="shared" si="564"/>
        <v>0</v>
      </c>
      <c r="AZ1048" s="232">
        <f t="shared" si="565"/>
        <v>0</v>
      </c>
      <c r="BA1048" s="255">
        <f t="shared" si="566"/>
        <v>0</v>
      </c>
      <c r="BB1048" s="31">
        <f t="shared" si="567"/>
        <v>0</v>
      </c>
      <c r="BC1048" s="255">
        <f t="shared" si="568"/>
        <v>0</v>
      </c>
      <c r="BD1048" s="31">
        <f t="shared" si="569"/>
        <v>0</v>
      </c>
      <c r="BE1048" s="255">
        <f t="shared" si="570"/>
        <v>0</v>
      </c>
      <c r="BF1048" s="31">
        <f t="shared" si="571"/>
        <v>0</v>
      </c>
      <c r="BG1048" s="255">
        <f t="shared" si="572"/>
        <v>0</v>
      </c>
      <c r="BH1048" s="31">
        <f t="shared" si="573"/>
        <v>0</v>
      </c>
      <c r="BI1048" s="255">
        <f t="shared" si="574"/>
        <v>0</v>
      </c>
      <c r="BJ1048" s="31">
        <f t="shared" si="575"/>
        <v>0</v>
      </c>
      <c r="BK1048" s="31">
        <f t="shared" si="576"/>
        <v>0</v>
      </c>
      <c r="BL1048" s="255">
        <f t="shared" si="577"/>
        <v>0</v>
      </c>
      <c r="BM1048" s="31">
        <f t="shared" si="578"/>
        <v>0</v>
      </c>
      <c r="BN1048" s="255">
        <f t="shared" si="579"/>
        <v>0</v>
      </c>
    </row>
    <row r="1049" spans="1:66" x14ac:dyDescent="0.25">
      <c r="A1049" t="s">
        <v>603</v>
      </c>
      <c r="B1049" s="186" t="str">
        <f>VLOOKUP(A1049,kurspris!$A$1:$B$877,2,FALSE)</f>
        <v>Samhällskunskap 3</v>
      </c>
      <c r="C1049"/>
      <c r="D1049" t="s">
        <v>483</v>
      </c>
      <c r="E1049" t="s">
        <v>1976</v>
      </c>
      <c r="F1049" s="59" t="s">
        <v>1930</v>
      </c>
      <c r="G1049" t="s">
        <v>1995</v>
      </c>
      <c r="H1049" t="s">
        <v>1910</v>
      </c>
      <c r="I1049"/>
      <c r="J1049" t="s">
        <v>772</v>
      </c>
      <c r="K1049"/>
      <c r="L1049">
        <v>100</v>
      </c>
      <c r="M1049">
        <v>30</v>
      </c>
      <c r="N1049"/>
      <c r="O1049"/>
      <c r="P1049" s="31">
        <v>4</v>
      </c>
      <c r="Q1049" s="232">
        <f t="shared" si="552"/>
        <v>2</v>
      </c>
      <c r="R1049" s="40">
        <v>0.85</v>
      </c>
      <c r="S1049" s="334">
        <f t="shared" si="553"/>
        <v>1.7</v>
      </c>
      <c r="T1049" s="31">
        <f>VLOOKUP(A1049,'Ansvar kurs'!$A$1:$C$1010,2,FALSE)</f>
        <v>2340</v>
      </c>
      <c r="U1049" s="31" t="str">
        <f>VLOOKUP(T1049,Orgenheter!$A$1:$C$165,2,FALSE)</f>
        <v xml:space="preserve">Statsvetenskap                </v>
      </c>
      <c r="V1049" s="31" t="str">
        <f>VLOOKUP(T1049,Orgenheter!$A$1:$C$165,3,FALSE)</f>
        <v>Sam</v>
      </c>
      <c r="W1049" s="37" t="str">
        <f>VLOOKUP(D1049,Program!$A$1:$B$34,2,FALSE)</f>
        <v>Ämneslärarprogrammet - Gy</v>
      </c>
      <c r="X1049" s="42">
        <f>VLOOKUP(A1049,kurspris!$A$1:$Q$798,15,FALSE)</f>
        <v>18405</v>
      </c>
      <c r="Y1049" s="42">
        <f>VLOOKUP(A1049,kurspris!$A$1:$Q$798,16,FALSE)</f>
        <v>15773</v>
      </c>
      <c r="Z1049" s="42">
        <f t="shared" si="554"/>
        <v>63624.1</v>
      </c>
      <c r="AA1049" s="42">
        <f>VLOOKUP(A1049,kurspris!$A$1:$Q$798,17,FALSE)</f>
        <v>5800</v>
      </c>
      <c r="AB1049" s="42">
        <f t="shared" si="555"/>
        <v>11600</v>
      </c>
      <c r="AC1049" s="42">
        <f t="shared" si="556"/>
        <v>75224.100000000006</v>
      </c>
      <c r="AD1049" s="31">
        <f>VLOOKUP($A1049,kurspris!$A$1:$Q$835,3,FALSE)</f>
        <v>0</v>
      </c>
      <c r="AE1049" s="31">
        <f>VLOOKUP($A1049,kurspris!$A$1:$Q$835,4,FALSE)</f>
        <v>1</v>
      </c>
      <c r="AF1049" s="31">
        <f>VLOOKUP($A1049,kurspris!$A$1:$Q$835,5,FALSE)</f>
        <v>0</v>
      </c>
      <c r="AG1049" s="31">
        <f>VLOOKUP($A1049,kurspris!$A$1:$Q$835,6,FALSE)</f>
        <v>0</v>
      </c>
      <c r="AH1049" s="31">
        <f>VLOOKUP($A1049,kurspris!$A$1:$Q$835,7,FALSE)</f>
        <v>0</v>
      </c>
      <c r="AI1049" s="31">
        <f>VLOOKUP($A1049,kurspris!$A$1:$Q$835,8,FALSE)</f>
        <v>0</v>
      </c>
      <c r="AJ1049" s="31">
        <f>VLOOKUP($A1049,kurspris!$A$1:$Q$835,9,FALSE)</f>
        <v>0</v>
      </c>
      <c r="AK1049" s="31">
        <f>VLOOKUP($A1049,kurspris!$A$1:$Q$835,10,FALSE)</f>
        <v>0</v>
      </c>
      <c r="AL1049" s="31">
        <f>VLOOKUP($A1049,kurspris!$A$1:$Q$835,11,FALSE)</f>
        <v>0</v>
      </c>
      <c r="AM1049" s="31">
        <f>VLOOKUP($A1049,kurspris!$A$1:$Q$835,12,FALSE)</f>
        <v>0</v>
      </c>
      <c r="AN1049" s="31">
        <f>VLOOKUP($A1049,kurspris!$A$1:$Q$835,13,FALSE)</f>
        <v>0</v>
      </c>
      <c r="AO1049" s="31">
        <f>VLOOKUP($A1049,kurspris!$A$1:$Q$835,14,FALSE)</f>
        <v>0</v>
      </c>
      <c r="AP1049" s="39" t="s">
        <v>2204</v>
      </c>
      <c r="AQ1049"/>
      <c r="AR1049" s="31">
        <f t="shared" si="557"/>
        <v>0</v>
      </c>
      <c r="AS1049" s="255">
        <f t="shared" si="558"/>
        <v>0</v>
      </c>
      <c r="AT1049" s="31">
        <f t="shared" si="559"/>
        <v>2</v>
      </c>
      <c r="AU1049" s="255">
        <f t="shared" si="560"/>
        <v>1.7</v>
      </c>
      <c r="AV1049" s="31">
        <f t="shared" si="561"/>
        <v>0</v>
      </c>
      <c r="AW1049" s="31">
        <f t="shared" si="562"/>
        <v>0</v>
      </c>
      <c r="AX1049" s="31">
        <f t="shared" si="563"/>
        <v>0</v>
      </c>
      <c r="AY1049" s="255">
        <f t="shared" si="564"/>
        <v>0</v>
      </c>
      <c r="AZ1049" s="232">
        <f t="shared" si="565"/>
        <v>0</v>
      </c>
      <c r="BA1049" s="255">
        <f t="shared" si="566"/>
        <v>0</v>
      </c>
      <c r="BB1049" s="31">
        <f t="shared" si="567"/>
        <v>0</v>
      </c>
      <c r="BC1049" s="255">
        <f t="shared" si="568"/>
        <v>0</v>
      </c>
      <c r="BD1049" s="31">
        <f t="shared" si="569"/>
        <v>0</v>
      </c>
      <c r="BE1049" s="255">
        <f t="shared" si="570"/>
        <v>0</v>
      </c>
      <c r="BF1049" s="31">
        <f t="shared" si="571"/>
        <v>0</v>
      </c>
      <c r="BG1049" s="255">
        <f t="shared" si="572"/>
        <v>0</v>
      </c>
      <c r="BH1049" s="31">
        <f t="shared" si="573"/>
        <v>0</v>
      </c>
      <c r="BI1049" s="255">
        <f t="shared" si="574"/>
        <v>0</v>
      </c>
      <c r="BJ1049" s="31">
        <f t="shared" si="575"/>
        <v>0</v>
      </c>
      <c r="BK1049" s="31">
        <f t="shared" si="576"/>
        <v>0</v>
      </c>
      <c r="BL1049" s="255">
        <f t="shared" si="577"/>
        <v>0</v>
      </c>
      <c r="BM1049" s="31">
        <f t="shared" si="578"/>
        <v>0</v>
      </c>
      <c r="BN1049" s="255">
        <f t="shared" si="579"/>
        <v>0</v>
      </c>
    </row>
    <row r="1050" spans="1:66" x14ac:dyDescent="0.25">
      <c r="A1050" t="s">
        <v>603</v>
      </c>
      <c r="B1050" s="186" t="str">
        <f>VLOOKUP(A1050,kurspris!$A$1:$B$877,2,FALSE)</f>
        <v>Samhällskunskap 3</v>
      </c>
      <c r="C1050"/>
      <c r="D1050" t="s">
        <v>483</v>
      </c>
      <c r="E1050" t="s">
        <v>1609</v>
      </c>
      <c r="F1050" s="59" t="s">
        <v>1930</v>
      </c>
      <c r="G1050" t="s">
        <v>1995</v>
      </c>
      <c r="H1050" t="s">
        <v>1910</v>
      </c>
      <c r="I1050"/>
      <c r="J1050" t="s">
        <v>777</v>
      </c>
      <c r="K1050"/>
      <c r="L1050">
        <v>100</v>
      </c>
      <c r="M1050">
        <v>30</v>
      </c>
      <c r="N1050"/>
      <c r="O1050"/>
      <c r="P1050" s="31">
        <v>7</v>
      </c>
      <c r="Q1050" s="232">
        <f t="shared" si="552"/>
        <v>3.5</v>
      </c>
      <c r="R1050" s="40">
        <v>0.85</v>
      </c>
      <c r="S1050" s="334">
        <f t="shared" si="553"/>
        <v>2.9750000000000001</v>
      </c>
      <c r="T1050" s="31">
        <f>VLOOKUP(A1050,'Ansvar kurs'!$A$1:$C$1010,2,FALSE)</f>
        <v>2340</v>
      </c>
      <c r="U1050" s="31" t="str">
        <f>VLOOKUP(T1050,Orgenheter!$A$1:$C$165,2,FALSE)</f>
        <v xml:space="preserve">Statsvetenskap                </v>
      </c>
      <c r="V1050" s="31" t="str">
        <f>VLOOKUP(T1050,Orgenheter!$A$1:$C$165,3,FALSE)</f>
        <v>Sam</v>
      </c>
      <c r="W1050" s="37" t="str">
        <f>VLOOKUP(D1050,Program!$A$1:$B$34,2,FALSE)</f>
        <v>Ämneslärarprogrammet - Gy</v>
      </c>
      <c r="X1050" s="42">
        <f>VLOOKUP(A1050,kurspris!$A$1:$Q$798,15,FALSE)</f>
        <v>18405</v>
      </c>
      <c r="Y1050" s="42">
        <f>VLOOKUP(A1050,kurspris!$A$1:$Q$798,16,FALSE)</f>
        <v>15773</v>
      </c>
      <c r="Z1050" s="42">
        <f t="shared" si="554"/>
        <v>111342.175</v>
      </c>
      <c r="AA1050" s="42">
        <f>VLOOKUP(A1050,kurspris!$A$1:$Q$798,17,FALSE)</f>
        <v>5800</v>
      </c>
      <c r="AB1050" s="42">
        <f t="shared" si="555"/>
        <v>20300</v>
      </c>
      <c r="AC1050" s="42">
        <f t="shared" si="556"/>
        <v>131642.17499999999</v>
      </c>
      <c r="AD1050" s="31">
        <f>VLOOKUP($A1050,kurspris!$A$1:$Q$835,3,FALSE)</f>
        <v>0</v>
      </c>
      <c r="AE1050" s="31">
        <f>VLOOKUP($A1050,kurspris!$A$1:$Q$835,4,FALSE)</f>
        <v>1</v>
      </c>
      <c r="AF1050" s="31">
        <f>VLOOKUP($A1050,kurspris!$A$1:$Q$835,5,FALSE)</f>
        <v>0</v>
      </c>
      <c r="AG1050" s="31">
        <f>VLOOKUP($A1050,kurspris!$A$1:$Q$835,6,FALSE)</f>
        <v>0</v>
      </c>
      <c r="AH1050" s="31">
        <f>VLOOKUP($A1050,kurspris!$A$1:$Q$835,7,FALSE)</f>
        <v>0</v>
      </c>
      <c r="AI1050" s="31">
        <f>VLOOKUP($A1050,kurspris!$A$1:$Q$835,8,FALSE)</f>
        <v>0</v>
      </c>
      <c r="AJ1050" s="31">
        <f>VLOOKUP($A1050,kurspris!$A$1:$Q$835,9,FALSE)</f>
        <v>0</v>
      </c>
      <c r="AK1050" s="31">
        <f>VLOOKUP($A1050,kurspris!$A$1:$Q$835,10,FALSE)</f>
        <v>0</v>
      </c>
      <c r="AL1050" s="31">
        <f>VLOOKUP($A1050,kurspris!$A$1:$Q$835,11,FALSE)</f>
        <v>0</v>
      </c>
      <c r="AM1050" s="31">
        <f>VLOOKUP($A1050,kurspris!$A$1:$Q$835,12,FALSE)</f>
        <v>0</v>
      </c>
      <c r="AN1050" s="31">
        <f>VLOOKUP($A1050,kurspris!$A$1:$Q$835,13,FALSE)</f>
        <v>0</v>
      </c>
      <c r="AO1050" s="31">
        <f>VLOOKUP($A1050,kurspris!$A$1:$Q$835,14,FALSE)</f>
        <v>0</v>
      </c>
      <c r="AP1050" s="39" t="s">
        <v>2204</v>
      </c>
      <c r="AQ1050"/>
      <c r="AR1050" s="31">
        <f t="shared" si="557"/>
        <v>0</v>
      </c>
      <c r="AS1050" s="255">
        <f t="shared" si="558"/>
        <v>0</v>
      </c>
      <c r="AT1050" s="31">
        <f t="shared" si="559"/>
        <v>3.5</v>
      </c>
      <c r="AU1050" s="255">
        <f t="shared" si="560"/>
        <v>2.9750000000000001</v>
      </c>
      <c r="AV1050" s="31">
        <f t="shared" si="561"/>
        <v>0</v>
      </c>
      <c r="AW1050" s="31">
        <f t="shared" si="562"/>
        <v>0</v>
      </c>
      <c r="AX1050" s="31">
        <f t="shared" si="563"/>
        <v>0</v>
      </c>
      <c r="AY1050" s="255">
        <f t="shared" si="564"/>
        <v>0</v>
      </c>
      <c r="AZ1050" s="232">
        <f t="shared" si="565"/>
        <v>0</v>
      </c>
      <c r="BA1050" s="255">
        <f t="shared" si="566"/>
        <v>0</v>
      </c>
      <c r="BB1050" s="31">
        <f t="shared" si="567"/>
        <v>0</v>
      </c>
      <c r="BC1050" s="255">
        <f t="shared" si="568"/>
        <v>0</v>
      </c>
      <c r="BD1050" s="31">
        <f t="shared" si="569"/>
        <v>0</v>
      </c>
      <c r="BE1050" s="255">
        <f t="shared" si="570"/>
        <v>0</v>
      </c>
      <c r="BF1050" s="31">
        <f t="shared" si="571"/>
        <v>0</v>
      </c>
      <c r="BG1050" s="255">
        <f t="shared" si="572"/>
        <v>0</v>
      </c>
      <c r="BH1050" s="31">
        <f t="shared" si="573"/>
        <v>0</v>
      </c>
      <c r="BI1050" s="255">
        <f t="shared" si="574"/>
        <v>0</v>
      </c>
      <c r="BJ1050" s="31">
        <f t="shared" si="575"/>
        <v>0</v>
      </c>
      <c r="BK1050" s="31">
        <f t="shared" si="576"/>
        <v>0</v>
      </c>
      <c r="BL1050" s="255">
        <f t="shared" si="577"/>
        <v>0</v>
      </c>
      <c r="BM1050" s="31">
        <f t="shared" si="578"/>
        <v>0</v>
      </c>
      <c r="BN1050" s="255">
        <f t="shared" si="579"/>
        <v>0</v>
      </c>
    </row>
    <row r="1051" spans="1:66" x14ac:dyDescent="0.25">
      <c r="A1051" s="18" t="s">
        <v>1051</v>
      </c>
      <c r="B1051" s="186" t="str">
        <f>VLOOKUP(A1051,kurspris!$A$1:$B$877,2,FALSE)</f>
        <v>Examensarbete</v>
      </c>
      <c r="C1051" s="37"/>
      <c r="D1051" s="31" t="s">
        <v>482</v>
      </c>
      <c r="E1051" s="31" t="s">
        <v>1975</v>
      </c>
      <c r="F1051" s="59" t="s">
        <v>1931</v>
      </c>
      <c r="G1051" s="295" t="s">
        <v>1997</v>
      </c>
      <c r="J1051" s="31" t="s">
        <v>777</v>
      </c>
      <c r="L1051" s="31">
        <v>100</v>
      </c>
      <c r="M1051" s="31">
        <v>7.5</v>
      </c>
      <c r="P1051" s="31">
        <v>1</v>
      </c>
      <c r="Q1051" s="232">
        <f t="shared" si="552"/>
        <v>0.125</v>
      </c>
      <c r="R1051" s="40">
        <v>0.85</v>
      </c>
      <c r="S1051" s="334">
        <f t="shared" si="553"/>
        <v>0.10625</v>
      </c>
      <c r="T1051" s="31">
        <f>VLOOKUP(A1051,'Ansvar kurs'!$A$1:$C$1010,2,FALSE)</f>
        <v>2340</v>
      </c>
      <c r="U1051" s="31" t="str">
        <f>VLOOKUP(T1051,Orgenheter!$A$1:$C$165,2,FALSE)</f>
        <v xml:space="preserve">Statsvetenskap                </v>
      </c>
      <c r="V1051" s="31" t="str">
        <f>VLOOKUP(T1051,Orgenheter!$A$1:$C$165,3,FALSE)</f>
        <v>Sam</v>
      </c>
      <c r="W1051" s="37" t="str">
        <f>VLOOKUP(D1051,Program!$A$1:$B$34,2,FALSE)</f>
        <v>Ämneslärarprogrammet - åk 7-9</v>
      </c>
      <c r="X1051" s="42">
        <f>VLOOKUP(A1051,kurspris!$A$1:$Q$798,15,FALSE)</f>
        <v>18405</v>
      </c>
      <c r="Y1051" s="42">
        <f>VLOOKUP(A1051,kurspris!$A$1:$Q$798,16,FALSE)</f>
        <v>15773</v>
      </c>
      <c r="Z1051" s="42">
        <f t="shared" si="554"/>
        <v>3976.5062499999999</v>
      </c>
      <c r="AA1051" s="42">
        <f>VLOOKUP(A1051,kurspris!$A$1:$Q$798,17,FALSE)</f>
        <v>5800</v>
      </c>
      <c r="AB1051" s="42">
        <f t="shared" si="555"/>
        <v>725</v>
      </c>
      <c r="AC1051" s="42">
        <f t="shared" si="556"/>
        <v>4701.5062500000004</v>
      </c>
      <c r="AD1051" s="31">
        <f>VLOOKUP($A1051,kurspris!$A$1:$Q$835,3,FALSE)</f>
        <v>0</v>
      </c>
      <c r="AE1051" s="31">
        <f>VLOOKUP($A1051,kurspris!$A$1:$Q$835,4,FALSE)</f>
        <v>0</v>
      </c>
      <c r="AF1051" s="31">
        <f>VLOOKUP($A1051,kurspris!$A$1:$Q$835,5,FALSE)</f>
        <v>0</v>
      </c>
      <c r="AG1051" s="31">
        <f>VLOOKUP($A1051,kurspris!$A$1:$Q$835,6,FALSE)</f>
        <v>0</v>
      </c>
      <c r="AH1051" s="31">
        <f>VLOOKUP($A1051,kurspris!$A$1:$Q$835,7,FALSE)</f>
        <v>0</v>
      </c>
      <c r="AI1051" s="31">
        <f>VLOOKUP($A1051,kurspris!$A$1:$Q$835,8,FALSE)</f>
        <v>0</v>
      </c>
      <c r="AJ1051" s="31">
        <f>VLOOKUP($A1051,kurspris!$A$1:$Q$835,9,FALSE)</f>
        <v>1</v>
      </c>
      <c r="AK1051" s="31">
        <f>VLOOKUP($A1051,kurspris!$A$1:$Q$835,10,FALSE)</f>
        <v>0</v>
      </c>
      <c r="AL1051" s="31">
        <f>VLOOKUP($A1051,kurspris!$A$1:$Q$835,11,FALSE)</f>
        <v>0</v>
      </c>
      <c r="AM1051" s="31">
        <f>VLOOKUP($A1051,kurspris!$A$1:$Q$835,12,FALSE)</f>
        <v>0</v>
      </c>
      <c r="AN1051" s="31">
        <f>VLOOKUP($A1051,kurspris!$A$1:$Q$835,13,FALSE)</f>
        <v>0</v>
      </c>
      <c r="AO1051" s="31">
        <f>VLOOKUP($A1051,kurspris!$A$1:$Q$835,14,FALSE)</f>
        <v>0</v>
      </c>
      <c r="AP1051" s="39" t="s">
        <v>2326</v>
      </c>
      <c r="AQ1051" t="s">
        <v>2300</v>
      </c>
      <c r="AR1051" s="31">
        <f t="shared" si="557"/>
        <v>0</v>
      </c>
      <c r="AS1051" s="255">
        <f t="shared" si="558"/>
        <v>0</v>
      </c>
      <c r="AT1051" s="31">
        <f t="shared" si="559"/>
        <v>0</v>
      </c>
      <c r="AU1051" s="255">
        <f t="shared" si="560"/>
        <v>0</v>
      </c>
      <c r="AV1051" s="31">
        <f t="shared" si="561"/>
        <v>0</v>
      </c>
      <c r="AW1051" s="31">
        <f t="shared" si="562"/>
        <v>0</v>
      </c>
      <c r="AX1051" s="31">
        <f t="shared" si="563"/>
        <v>0</v>
      </c>
      <c r="AY1051" s="255">
        <f t="shared" si="564"/>
        <v>0</v>
      </c>
      <c r="AZ1051" s="232">
        <f t="shared" si="565"/>
        <v>0</v>
      </c>
      <c r="BA1051" s="255">
        <f t="shared" si="566"/>
        <v>0</v>
      </c>
      <c r="BB1051" s="31">
        <f t="shared" si="567"/>
        <v>0</v>
      </c>
      <c r="BC1051" s="255">
        <f t="shared" si="568"/>
        <v>0</v>
      </c>
      <c r="BD1051" s="31">
        <f t="shared" si="569"/>
        <v>0.125</v>
      </c>
      <c r="BE1051" s="255">
        <f t="shared" si="570"/>
        <v>0.10625</v>
      </c>
      <c r="BF1051" s="31">
        <f t="shared" si="571"/>
        <v>0</v>
      </c>
      <c r="BG1051" s="255">
        <f t="shared" si="572"/>
        <v>0</v>
      </c>
      <c r="BH1051" s="31">
        <f t="shared" si="573"/>
        <v>0</v>
      </c>
      <c r="BI1051" s="255">
        <f t="shared" si="574"/>
        <v>0</v>
      </c>
      <c r="BJ1051" s="31">
        <f t="shared" si="575"/>
        <v>0</v>
      </c>
      <c r="BK1051" s="31">
        <f t="shared" si="576"/>
        <v>0</v>
      </c>
      <c r="BL1051" s="255">
        <f t="shared" si="577"/>
        <v>0</v>
      </c>
      <c r="BM1051" s="31">
        <f t="shared" si="578"/>
        <v>0</v>
      </c>
      <c r="BN1051" s="255">
        <f t="shared" si="579"/>
        <v>0</v>
      </c>
    </row>
    <row r="1052" spans="1:66" x14ac:dyDescent="0.25">
      <c r="A1052" t="s">
        <v>1051</v>
      </c>
      <c r="B1052" s="186" t="str">
        <f>VLOOKUP(A1052,kurspris!$A$1:$B$877,2,FALSE)</f>
        <v>Examensarbete</v>
      </c>
      <c r="C1052"/>
      <c r="D1052" t="s">
        <v>483</v>
      </c>
      <c r="E1052" s="39" t="s">
        <v>2166</v>
      </c>
      <c r="F1052" s="39" t="s">
        <v>1930</v>
      </c>
      <c r="G1052" t="s">
        <v>1993</v>
      </c>
      <c r="H1052" t="s">
        <v>1910</v>
      </c>
      <c r="I1052"/>
      <c r="J1052" t="s">
        <v>777</v>
      </c>
      <c r="K1052"/>
      <c r="L1052">
        <v>100</v>
      </c>
      <c r="M1052" s="295">
        <v>22.5</v>
      </c>
      <c r="N1052"/>
      <c r="O1052"/>
      <c r="P1052" s="31">
        <v>1</v>
      </c>
      <c r="Q1052" s="232">
        <f t="shared" si="552"/>
        <v>0.375</v>
      </c>
      <c r="R1052" s="40">
        <v>0.85</v>
      </c>
      <c r="S1052" s="334">
        <f t="shared" si="553"/>
        <v>0.31874999999999998</v>
      </c>
      <c r="T1052" s="31">
        <f>VLOOKUP(A1052,'Ansvar kurs'!$A$1:$C$1010,2,FALSE)</f>
        <v>2340</v>
      </c>
      <c r="U1052" s="31" t="str">
        <f>VLOOKUP(T1052,Orgenheter!$A$1:$C$165,2,FALSE)</f>
        <v xml:space="preserve">Statsvetenskap                </v>
      </c>
      <c r="V1052" s="31" t="str">
        <f>VLOOKUP(T1052,Orgenheter!$A$1:$C$165,3,FALSE)</f>
        <v>Sam</v>
      </c>
      <c r="W1052" s="37" t="str">
        <f>VLOOKUP(D1052,Program!$A$1:$B$34,2,FALSE)</f>
        <v>Ämneslärarprogrammet - Gy</v>
      </c>
      <c r="X1052" s="42">
        <f>VLOOKUP(A1052,kurspris!$A$1:$Q$798,15,FALSE)</f>
        <v>18405</v>
      </c>
      <c r="Y1052" s="42">
        <f>VLOOKUP(A1052,kurspris!$A$1:$Q$798,16,FALSE)</f>
        <v>15773</v>
      </c>
      <c r="Z1052" s="42">
        <f t="shared" si="554"/>
        <v>11929.518749999999</v>
      </c>
      <c r="AA1052" s="42">
        <f>VLOOKUP(A1052,kurspris!$A$1:$Q$798,17,FALSE)</f>
        <v>5800</v>
      </c>
      <c r="AB1052" s="42">
        <f t="shared" si="555"/>
        <v>2175</v>
      </c>
      <c r="AC1052" s="42">
        <f t="shared" si="556"/>
        <v>14104.518749999999</v>
      </c>
      <c r="AD1052" s="31">
        <f>VLOOKUP($A1052,kurspris!$A$1:$Q$835,3,FALSE)</f>
        <v>0</v>
      </c>
      <c r="AE1052" s="31">
        <f>VLOOKUP($A1052,kurspris!$A$1:$Q$835,4,FALSE)</f>
        <v>0</v>
      </c>
      <c r="AF1052" s="31">
        <f>VLOOKUP($A1052,kurspris!$A$1:$Q$835,5,FALSE)</f>
        <v>0</v>
      </c>
      <c r="AG1052" s="31">
        <f>VLOOKUP($A1052,kurspris!$A$1:$Q$835,6,FALSE)</f>
        <v>0</v>
      </c>
      <c r="AH1052" s="31">
        <f>VLOOKUP($A1052,kurspris!$A$1:$Q$835,7,FALSE)</f>
        <v>0</v>
      </c>
      <c r="AI1052" s="31">
        <f>VLOOKUP($A1052,kurspris!$A$1:$Q$835,8,FALSE)</f>
        <v>0</v>
      </c>
      <c r="AJ1052" s="31">
        <f>VLOOKUP($A1052,kurspris!$A$1:$Q$835,9,FALSE)</f>
        <v>1</v>
      </c>
      <c r="AK1052" s="31">
        <f>VLOOKUP($A1052,kurspris!$A$1:$Q$835,10,FALSE)</f>
        <v>0</v>
      </c>
      <c r="AL1052" s="31">
        <f>VLOOKUP($A1052,kurspris!$A$1:$Q$835,11,FALSE)</f>
        <v>0</v>
      </c>
      <c r="AM1052" s="31">
        <f>VLOOKUP($A1052,kurspris!$A$1:$Q$835,12,FALSE)</f>
        <v>0</v>
      </c>
      <c r="AN1052" s="31">
        <f>VLOOKUP($A1052,kurspris!$A$1:$Q$835,13,FALSE)</f>
        <v>0</v>
      </c>
      <c r="AO1052" s="31">
        <f>VLOOKUP($A1052,kurspris!$A$1:$Q$835,14,FALSE)</f>
        <v>0</v>
      </c>
      <c r="AP1052" s="39" t="s">
        <v>2204</v>
      </c>
      <c r="AQ1052" s="39" t="s">
        <v>2035</v>
      </c>
      <c r="AR1052" s="31">
        <f t="shared" si="557"/>
        <v>0</v>
      </c>
      <c r="AS1052" s="255">
        <f t="shared" si="558"/>
        <v>0</v>
      </c>
      <c r="AT1052" s="31">
        <f t="shared" si="559"/>
        <v>0</v>
      </c>
      <c r="AU1052" s="255">
        <f t="shared" si="560"/>
        <v>0</v>
      </c>
      <c r="AV1052" s="31">
        <f t="shared" si="561"/>
        <v>0</v>
      </c>
      <c r="AW1052" s="31">
        <f t="shared" si="562"/>
        <v>0</v>
      </c>
      <c r="AX1052" s="31">
        <f t="shared" si="563"/>
        <v>0</v>
      </c>
      <c r="AY1052" s="255">
        <f t="shared" si="564"/>
        <v>0</v>
      </c>
      <c r="AZ1052" s="232">
        <f t="shared" si="565"/>
        <v>0</v>
      </c>
      <c r="BA1052" s="255">
        <f t="shared" si="566"/>
        <v>0</v>
      </c>
      <c r="BB1052" s="31">
        <f t="shared" si="567"/>
        <v>0</v>
      </c>
      <c r="BC1052" s="255">
        <f t="shared" si="568"/>
        <v>0</v>
      </c>
      <c r="BD1052" s="31">
        <f t="shared" si="569"/>
        <v>0.375</v>
      </c>
      <c r="BE1052" s="255">
        <f t="shared" si="570"/>
        <v>0.31874999999999998</v>
      </c>
      <c r="BF1052" s="31">
        <f t="shared" si="571"/>
        <v>0</v>
      </c>
      <c r="BG1052" s="255">
        <f t="shared" si="572"/>
        <v>0</v>
      </c>
      <c r="BH1052" s="31">
        <f t="shared" si="573"/>
        <v>0</v>
      </c>
      <c r="BI1052" s="255">
        <f t="shared" si="574"/>
        <v>0</v>
      </c>
      <c r="BJ1052" s="31">
        <f t="shared" si="575"/>
        <v>0</v>
      </c>
      <c r="BK1052" s="31">
        <f t="shared" si="576"/>
        <v>0</v>
      </c>
      <c r="BL1052" s="255">
        <f t="shared" si="577"/>
        <v>0</v>
      </c>
      <c r="BM1052" s="31">
        <f t="shared" si="578"/>
        <v>0</v>
      </c>
      <c r="BN1052" s="255">
        <f t="shared" si="579"/>
        <v>0</v>
      </c>
    </row>
    <row r="1053" spans="1:66" x14ac:dyDescent="0.25">
      <c r="A1053" t="s">
        <v>1051</v>
      </c>
      <c r="B1053" s="186" t="str">
        <f>VLOOKUP(A1053,kurspris!$A$1:$B$877,2,FALSE)</f>
        <v>Examensarbete</v>
      </c>
      <c r="C1053"/>
      <c r="D1053" t="s">
        <v>483</v>
      </c>
      <c r="E1053" t="s">
        <v>1975</v>
      </c>
      <c r="F1053" s="39" t="s">
        <v>1930</v>
      </c>
      <c r="G1053" t="s">
        <v>1993</v>
      </c>
      <c r="H1053" t="s">
        <v>1910</v>
      </c>
      <c r="I1053"/>
      <c r="J1053" t="s">
        <v>772</v>
      </c>
      <c r="K1053"/>
      <c r="L1053">
        <v>100</v>
      </c>
      <c r="M1053" s="295">
        <v>22.5</v>
      </c>
      <c r="N1053"/>
      <c r="O1053"/>
      <c r="P1053" s="31">
        <v>4</v>
      </c>
      <c r="Q1053" s="232">
        <f t="shared" si="552"/>
        <v>1.5</v>
      </c>
      <c r="R1053" s="40">
        <v>0.85</v>
      </c>
      <c r="S1053" s="334">
        <f t="shared" si="553"/>
        <v>1.2749999999999999</v>
      </c>
      <c r="T1053" s="31">
        <f>VLOOKUP(A1053,'Ansvar kurs'!$A$1:$C$1010,2,FALSE)</f>
        <v>2340</v>
      </c>
      <c r="U1053" s="31" t="str">
        <f>VLOOKUP(T1053,Orgenheter!$A$1:$C$165,2,FALSE)</f>
        <v xml:space="preserve">Statsvetenskap                </v>
      </c>
      <c r="V1053" s="31" t="str">
        <f>VLOOKUP(T1053,Orgenheter!$A$1:$C$165,3,FALSE)</f>
        <v>Sam</v>
      </c>
      <c r="W1053" s="37" t="str">
        <f>VLOOKUP(D1053,Program!$A$1:$B$34,2,FALSE)</f>
        <v>Ämneslärarprogrammet - Gy</v>
      </c>
      <c r="X1053" s="42">
        <f>VLOOKUP(A1053,kurspris!$A$1:$Q$798,15,FALSE)</f>
        <v>18405</v>
      </c>
      <c r="Y1053" s="42">
        <f>VLOOKUP(A1053,kurspris!$A$1:$Q$798,16,FALSE)</f>
        <v>15773</v>
      </c>
      <c r="Z1053" s="42">
        <f t="shared" si="554"/>
        <v>47718.074999999997</v>
      </c>
      <c r="AA1053" s="42">
        <f>VLOOKUP(A1053,kurspris!$A$1:$Q$798,17,FALSE)</f>
        <v>5800</v>
      </c>
      <c r="AB1053" s="42">
        <f t="shared" si="555"/>
        <v>8700</v>
      </c>
      <c r="AC1053" s="42">
        <f t="shared" si="556"/>
        <v>56418.074999999997</v>
      </c>
      <c r="AD1053" s="31">
        <f>VLOOKUP($A1053,kurspris!$A$1:$Q$835,3,FALSE)</f>
        <v>0</v>
      </c>
      <c r="AE1053" s="31">
        <f>VLOOKUP($A1053,kurspris!$A$1:$Q$835,4,FALSE)</f>
        <v>0</v>
      </c>
      <c r="AF1053" s="31">
        <f>VLOOKUP($A1053,kurspris!$A$1:$Q$835,5,FALSE)</f>
        <v>0</v>
      </c>
      <c r="AG1053" s="31">
        <f>VLOOKUP($A1053,kurspris!$A$1:$Q$835,6,FALSE)</f>
        <v>0</v>
      </c>
      <c r="AH1053" s="31">
        <f>VLOOKUP($A1053,kurspris!$A$1:$Q$835,7,FALSE)</f>
        <v>0</v>
      </c>
      <c r="AI1053" s="31">
        <f>VLOOKUP($A1053,kurspris!$A$1:$Q$835,8,FALSE)</f>
        <v>0</v>
      </c>
      <c r="AJ1053" s="31">
        <f>VLOOKUP($A1053,kurspris!$A$1:$Q$835,9,FALSE)</f>
        <v>1</v>
      </c>
      <c r="AK1053" s="31">
        <f>VLOOKUP($A1053,kurspris!$A$1:$Q$835,10,FALSE)</f>
        <v>0</v>
      </c>
      <c r="AL1053" s="31">
        <f>VLOOKUP($A1053,kurspris!$A$1:$Q$835,11,FALSE)</f>
        <v>0</v>
      </c>
      <c r="AM1053" s="31">
        <f>VLOOKUP($A1053,kurspris!$A$1:$Q$835,12,FALSE)</f>
        <v>0</v>
      </c>
      <c r="AN1053" s="31">
        <f>VLOOKUP($A1053,kurspris!$A$1:$Q$835,13,FALSE)</f>
        <v>0</v>
      </c>
      <c r="AO1053" s="31">
        <f>VLOOKUP($A1053,kurspris!$A$1:$Q$835,14,FALSE)</f>
        <v>0</v>
      </c>
      <c r="AP1053" s="39" t="s">
        <v>2204</v>
      </c>
      <c r="AQ1053" s="39" t="s">
        <v>2035</v>
      </c>
      <c r="AR1053" s="31">
        <f t="shared" si="557"/>
        <v>0</v>
      </c>
      <c r="AS1053" s="255">
        <f t="shared" si="558"/>
        <v>0</v>
      </c>
      <c r="AT1053" s="31">
        <f t="shared" si="559"/>
        <v>0</v>
      </c>
      <c r="AU1053" s="255">
        <f t="shared" si="560"/>
        <v>0</v>
      </c>
      <c r="AV1053" s="31">
        <f t="shared" si="561"/>
        <v>0</v>
      </c>
      <c r="AW1053" s="31">
        <f t="shared" si="562"/>
        <v>0</v>
      </c>
      <c r="AX1053" s="31">
        <f t="shared" si="563"/>
        <v>0</v>
      </c>
      <c r="AY1053" s="255">
        <f t="shared" si="564"/>
        <v>0</v>
      </c>
      <c r="AZ1053" s="232">
        <f t="shared" si="565"/>
        <v>0</v>
      </c>
      <c r="BA1053" s="255">
        <f t="shared" si="566"/>
        <v>0</v>
      </c>
      <c r="BB1053" s="31">
        <f t="shared" si="567"/>
        <v>0</v>
      </c>
      <c r="BC1053" s="255">
        <f t="shared" si="568"/>
        <v>0</v>
      </c>
      <c r="BD1053" s="31">
        <f t="shared" si="569"/>
        <v>1.5</v>
      </c>
      <c r="BE1053" s="255">
        <f t="shared" si="570"/>
        <v>1.2749999999999999</v>
      </c>
      <c r="BF1053" s="31">
        <f t="shared" si="571"/>
        <v>0</v>
      </c>
      <c r="BG1053" s="255">
        <f t="shared" si="572"/>
        <v>0</v>
      </c>
      <c r="BH1053" s="31">
        <f t="shared" si="573"/>
        <v>0</v>
      </c>
      <c r="BI1053" s="255">
        <f t="shared" si="574"/>
        <v>0</v>
      </c>
      <c r="BJ1053" s="31">
        <f t="shared" si="575"/>
        <v>0</v>
      </c>
      <c r="BK1053" s="31">
        <f t="shared" si="576"/>
        <v>0</v>
      </c>
      <c r="BL1053" s="255">
        <f t="shared" si="577"/>
        <v>0</v>
      </c>
      <c r="BM1053" s="31">
        <f t="shared" si="578"/>
        <v>0</v>
      </c>
      <c r="BN1053" s="255">
        <f t="shared" si="579"/>
        <v>0</v>
      </c>
    </row>
    <row r="1054" spans="1:66" x14ac:dyDescent="0.25">
      <c r="A1054" t="s">
        <v>1051</v>
      </c>
      <c r="B1054" s="186" t="str">
        <f>VLOOKUP(A1054,kurspris!$A$1:$B$877,2,FALSE)</f>
        <v>Examensarbete</v>
      </c>
      <c r="C1054"/>
      <c r="D1054" t="s">
        <v>483</v>
      </c>
      <c r="E1054" t="s">
        <v>1975</v>
      </c>
      <c r="F1054" s="39" t="s">
        <v>1930</v>
      </c>
      <c r="G1054" t="s">
        <v>1993</v>
      </c>
      <c r="H1054" t="s">
        <v>1910</v>
      </c>
      <c r="I1054"/>
      <c r="J1054" t="s">
        <v>773</v>
      </c>
      <c r="K1054"/>
      <c r="L1054">
        <v>100</v>
      </c>
      <c r="M1054" s="295">
        <v>22.5</v>
      </c>
      <c r="N1054"/>
      <c r="O1054"/>
      <c r="P1054" s="31">
        <v>2</v>
      </c>
      <c r="Q1054" s="232">
        <f t="shared" si="552"/>
        <v>0.75</v>
      </c>
      <c r="R1054" s="40">
        <v>0.85</v>
      </c>
      <c r="S1054" s="334">
        <f t="shared" si="553"/>
        <v>0.63749999999999996</v>
      </c>
      <c r="T1054" s="31">
        <f>VLOOKUP(A1054,'Ansvar kurs'!$A$1:$C$1010,2,FALSE)</f>
        <v>2340</v>
      </c>
      <c r="U1054" s="31" t="str">
        <f>VLOOKUP(T1054,Orgenheter!$A$1:$C$165,2,FALSE)</f>
        <v xml:space="preserve">Statsvetenskap                </v>
      </c>
      <c r="V1054" s="31" t="str">
        <f>VLOOKUP(T1054,Orgenheter!$A$1:$C$165,3,FALSE)</f>
        <v>Sam</v>
      </c>
      <c r="W1054" s="37" t="str">
        <f>VLOOKUP(D1054,Program!$A$1:$B$34,2,FALSE)</f>
        <v>Ämneslärarprogrammet - Gy</v>
      </c>
      <c r="X1054" s="42">
        <f>VLOOKUP(A1054,kurspris!$A$1:$Q$798,15,FALSE)</f>
        <v>18405</v>
      </c>
      <c r="Y1054" s="42">
        <f>VLOOKUP(A1054,kurspris!$A$1:$Q$798,16,FALSE)</f>
        <v>15773</v>
      </c>
      <c r="Z1054" s="42">
        <f t="shared" si="554"/>
        <v>23859.037499999999</v>
      </c>
      <c r="AA1054" s="42">
        <f>VLOOKUP(A1054,kurspris!$A$1:$Q$798,17,FALSE)</f>
        <v>5800</v>
      </c>
      <c r="AB1054" s="42">
        <f t="shared" si="555"/>
        <v>4350</v>
      </c>
      <c r="AC1054" s="42">
        <f t="shared" si="556"/>
        <v>28209.037499999999</v>
      </c>
      <c r="AD1054" s="31">
        <f>VLOOKUP($A1054,kurspris!$A$1:$Q$835,3,FALSE)</f>
        <v>0</v>
      </c>
      <c r="AE1054" s="31">
        <f>VLOOKUP($A1054,kurspris!$A$1:$Q$835,4,FALSE)</f>
        <v>0</v>
      </c>
      <c r="AF1054" s="31">
        <f>VLOOKUP($A1054,kurspris!$A$1:$Q$835,5,FALSE)</f>
        <v>0</v>
      </c>
      <c r="AG1054" s="31">
        <f>VLOOKUP($A1054,kurspris!$A$1:$Q$835,6,FALSE)</f>
        <v>0</v>
      </c>
      <c r="AH1054" s="31">
        <f>VLOOKUP($A1054,kurspris!$A$1:$Q$835,7,FALSE)</f>
        <v>0</v>
      </c>
      <c r="AI1054" s="31">
        <f>VLOOKUP($A1054,kurspris!$A$1:$Q$835,8,FALSE)</f>
        <v>0</v>
      </c>
      <c r="AJ1054" s="31">
        <f>VLOOKUP($A1054,kurspris!$A$1:$Q$835,9,FALSE)</f>
        <v>1</v>
      </c>
      <c r="AK1054" s="31">
        <f>VLOOKUP($A1054,kurspris!$A$1:$Q$835,10,FALSE)</f>
        <v>0</v>
      </c>
      <c r="AL1054" s="31">
        <f>VLOOKUP($A1054,kurspris!$A$1:$Q$835,11,FALSE)</f>
        <v>0</v>
      </c>
      <c r="AM1054" s="31">
        <f>VLOOKUP($A1054,kurspris!$A$1:$Q$835,12,FALSE)</f>
        <v>0</v>
      </c>
      <c r="AN1054" s="31">
        <f>VLOOKUP($A1054,kurspris!$A$1:$Q$835,13,FALSE)</f>
        <v>0</v>
      </c>
      <c r="AO1054" s="31">
        <f>VLOOKUP($A1054,kurspris!$A$1:$Q$835,14,FALSE)</f>
        <v>0</v>
      </c>
      <c r="AP1054" s="39" t="s">
        <v>2204</v>
      </c>
      <c r="AQ1054" s="39" t="s">
        <v>2035</v>
      </c>
      <c r="AR1054" s="31">
        <f t="shared" si="557"/>
        <v>0</v>
      </c>
      <c r="AS1054" s="255">
        <f t="shared" si="558"/>
        <v>0</v>
      </c>
      <c r="AT1054" s="31">
        <f t="shared" si="559"/>
        <v>0</v>
      </c>
      <c r="AU1054" s="255">
        <f t="shared" si="560"/>
        <v>0</v>
      </c>
      <c r="AV1054" s="31">
        <f t="shared" si="561"/>
        <v>0</v>
      </c>
      <c r="AW1054" s="31">
        <f t="shared" si="562"/>
        <v>0</v>
      </c>
      <c r="AX1054" s="31">
        <f t="shared" si="563"/>
        <v>0</v>
      </c>
      <c r="AY1054" s="255">
        <f t="shared" si="564"/>
        <v>0</v>
      </c>
      <c r="AZ1054" s="232">
        <f t="shared" si="565"/>
        <v>0</v>
      </c>
      <c r="BA1054" s="255">
        <f t="shared" si="566"/>
        <v>0</v>
      </c>
      <c r="BB1054" s="31">
        <f t="shared" si="567"/>
        <v>0</v>
      </c>
      <c r="BC1054" s="255">
        <f t="shared" si="568"/>
        <v>0</v>
      </c>
      <c r="BD1054" s="31">
        <f t="shared" si="569"/>
        <v>0.75</v>
      </c>
      <c r="BE1054" s="255">
        <f t="shared" si="570"/>
        <v>0.63749999999999996</v>
      </c>
      <c r="BF1054" s="31">
        <f t="shared" si="571"/>
        <v>0</v>
      </c>
      <c r="BG1054" s="255">
        <f t="shared" si="572"/>
        <v>0</v>
      </c>
      <c r="BH1054" s="31">
        <f t="shared" si="573"/>
        <v>0</v>
      </c>
      <c r="BI1054" s="255">
        <f t="shared" si="574"/>
        <v>0</v>
      </c>
      <c r="BJ1054" s="31">
        <f t="shared" si="575"/>
        <v>0</v>
      </c>
      <c r="BK1054" s="31">
        <f t="shared" si="576"/>
        <v>0</v>
      </c>
      <c r="BL1054" s="255">
        <f t="shared" si="577"/>
        <v>0</v>
      </c>
      <c r="BM1054" s="31">
        <f t="shared" si="578"/>
        <v>0</v>
      </c>
      <c r="BN1054" s="255">
        <f t="shared" si="579"/>
        <v>0</v>
      </c>
    </row>
    <row r="1055" spans="1:66" x14ac:dyDescent="0.25">
      <c r="A1055" t="s">
        <v>1051</v>
      </c>
      <c r="B1055" s="186" t="str">
        <f>VLOOKUP(A1055,kurspris!$A$1:$B$877,2,FALSE)</f>
        <v>Examensarbete</v>
      </c>
      <c r="C1055"/>
      <c r="D1055" t="s">
        <v>483</v>
      </c>
      <c r="E1055" t="s">
        <v>1975</v>
      </c>
      <c r="F1055" s="39" t="s">
        <v>1930</v>
      </c>
      <c r="G1055" t="s">
        <v>1993</v>
      </c>
      <c r="H1055" t="s">
        <v>1910</v>
      </c>
      <c r="I1055"/>
      <c r="J1055" t="s">
        <v>776</v>
      </c>
      <c r="K1055"/>
      <c r="L1055">
        <v>100</v>
      </c>
      <c r="M1055" s="295">
        <v>22.5</v>
      </c>
      <c r="N1055"/>
      <c r="O1055"/>
      <c r="P1055" s="31">
        <v>2</v>
      </c>
      <c r="Q1055" s="232">
        <f t="shared" si="552"/>
        <v>0.75</v>
      </c>
      <c r="R1055" s="40">
        <v>0.85</v>
      </c>
      <c r="S1055" s="334">
        <f t="shared" si="553"/>
        <v>0.63749999999999996</v>
      </c>
      <c r="T1055" s="31">
        <f>VLOOKUP(A1055,'Ansvar kurs'!$A$1:$C$1010,2,FALSE)</f>
        <v>2340</v>
      </c>
      <c r="U1055" s="31" t="str">
        <f>VLOOKUP(T1055,Orgenheter!$A$1:$C$165,2,FALSE)</f>
        <v xml:space="preserve">Statsvetenskap                </v>
      </c>
      <c r="V1055" s="31" t="str">
        <f>VLOOKUP(T1055,Orgenheter!$A$1:$C$165,3,FALSE)</f>
        <v>Sam</v>
      </c>
      <c r="W1055" s="37" t="str">
        <f>VLOOKUP(D1055,Program!$A$1:$B$34,2,FALSE)</f>
        <v>Ämneslärarprogrammet - Gy</v>
      </c>
      <c r="X1055" s="42">
        <f>VLOOKUP(A1055,kurspris!$A$1:$Q$798,15,FALSE)</f>
        <v>18405</v>
      </c>
      <c r="Y1055" s="42">
        <f>VLOOKUP(A1055,kurspris!$A$1:$Q$798,16,FALSE)</f>
        <v>15773</v>
      </c>
      <c r="Z1055" s="42">
        <f t="shared" si="554"/>
        <v>23859.037499999999</v>
      </c>
      <c r="AA1055" s="42">
        <f>VLOOKUP(A1055,kurspris!$A$1:$Q$798,17,FALSE)</f>
        <v>5800</v>
      </c>
      <c r="AB1055" s="42">
        <f t="shared" si="555"/>
        <v>4350</v>
      </c>
      <c r="AC1055" s="42">
        <f t="shared" si="556"/>
        <v>28209.037499999999</v>
      </c>
      <c r="AD1055" s="31">
        <f>VLOOKUP($A1055,kurspris!$A$1:$Q$835,3,FALSE)</f>
        <v>0</v>
      </c>
      <c r="AE1055" s="31">
        <f>VLOOKUP($A1055,kurspris!$A$1:$Q$835,4,FALSE)</f>
        <v>0</v>
      </c>
      <c r="AF1055" s="31">
        <f>VLOOKUP($A1055,kurspris!$A$1:$Q$835,5,FALSE)</f>
        <v>0</v>
      </c>
      <c r="AG1055" s="31">
        <f>VLOOKUP($A1055,kurspris!$A$1:$Q$835,6,FALSE)</f>
        <v>0</v>
      </c>
      <c r="AH1055" s="31">
        <f>VLOOKUP($A1055,kurspris!$A$1:$Q$835,7,FALSE)</f>
        <v>0</v>
      </c>
      <c r="AI1055" s="31">
        <f>VLOOKUP($A1055,kurspris!$A$1:$Q$835,8,FALSE)</f>
        <v>0</v>
      </c>
      <c r="AJ1055" s="31">
        <f>VLOOKUP($A1055,kurspris!$A$1:$Q$835,9,FALSE)</f>
        <v>1</v>
      </c>
      <c r="AK1055" s="31">
        <f>VLOOKUP($A1055,kurspris!$A$1:$Q$835,10,FALSE)</f>
        <v>0</v>
      </c>
      <c r="AL1055" s="31">
        <f>VLOOKUP($A1055,kurspris!$A$1:$Q$835,11,FALSE)</f>
        <v>0</v>
      </c>
      <c r="AM1055" s="31">
        <f>VLOOKUP($A1055,kurspris!$A$1:$Q$835,12,FALSE)</f>
        <v>0</v>
      </c>
      <c r="AN1055" s="31">
        <f>VLOOKUP($A1055,kurspris!$A$1:$Q$835,13,FALSE)</f>
        <v>0</v>
      </c>
      <c r="AO1055" s="31">
        <f>VLOOKUP($A1055,kurspris!$A$1:$Q$835,14,FALSE)</f>
        <v>0</v>
      </c>
      <c r="AP1055" s="39" t="s">
        <v>2204</v>
      </c>
      <c r="AQ1055" s="39" t="s">
        <v>2035</v>
      </c>
      <c r="AR1055" s="31">
        <f t="shared" si="557"/>
        <v>0</v>
      </c>
      <c r="AS1055" s="255">
        <f t="shared" si="558"/>
        <v>0</v>
      </c>
      <c r="AT1055" s="31">
        <f t="shared" si="559"/>
        <v>0</v>
      </c>
      <c r="AU1055" s="255">
        <f t="shared" si="560"/>
        <v>0</v>
      </c>
      <c r="AV1055" s="31">
        <f t="shared" si="561"/>
        <v>0</v>
      </c>
      <c r="AW1055" s="31">
        <f t="shared" si="562"/>
        <v>0</v>
      </c>
      <c r="AX1055" s="31">
        <f t="shared" si="563"/>
        <v>0</v>
      </c>
      <c r="AY1055" s="255">
        <f t="shared" si="564"/>
        <v>0</v>
      </c>
      <c r="AZ1055" s="232">
        <f t="shared" si="565"/>
        <v>0</v>
      </c>
      <c r="BA1055" s="255">
        <f t="shared" si="566"/>
        <v>0</v>
      </c>
      <c r="BB1055" s="31">
        <f t="shared" si="567"/>
        <v>0</v>
      </c>
      <c r="BC1055" s="255">
        <f t="shared" si="568"/>
        <v>0</v>
      </c>
      <c r="BD1055" s="31">
        <f t="shared" si="569"/>
        <v>0.75</v>
      </c>
      <c r="BE1055" s="255">
        <f t="shared" si="570"/>
        <v>0.63749999999999996</v>
      </c>
      <c r="BF1055" s="31">
        <f t="shared" si="571"/>
        <v>0</v>
      </c>
      <c r="BG1055" s="255">
        <f t="shared" si="572"/>
        <v>0</v>
      </c>
      <c r="BH1055" s="31">
        <f t="shared" si="573"/>
        <v>0</v>
      </c>
      <c r="BI1055" s="255">
        <f t="shared" si="574"/>
        <v>0</v>
      </c>
      <c r="BJ1055" s="31">
        <f t="shared" si="575"/>
        <v>0</v>
      </c>
      <c r="BK1055" s="31">
        <f t="shared" si="576"/>
        <v>0</v>
      </c>
      <c r="BL1055" s="255">
        <f t="shared" si="577"/>
        <v>0</v>
      </c>
      <c r="BM1055" s="31">
        <f t="shared" si="578"/>
        <v>0</v>
      </c>
      <c r="BN1055" s="255">
        <f t="shared" si="579"/>
        <v>0</v>
      </c>
    </row>
    <row r="1056" spans="1:66" x14ac:dyDescent="0.25">
      <c r="A1056" t="s">
        <v>1051</v>
      </c>
      <c r="B1056" s="186" t="str">
        <f>VLOOKUP(A1056,kurspris!$A$1:$B$877,2,FALSE)</f>
        <v>Examensarbete</v>
      </c>
      <c r="C1056"/>
      <c r="D1056" t="s">
        <v>483</v>
      </c>
      <c r="E1056" t="s">
        <v>1975</v>
      </c>
      <c r="F1056" s="39" t="s">
        <v>1930</v>
      </c>
      <c r="G1056" t="s">
        <v>1993</v>
      </c>
      <c r="H1056" t="s">
        <v>1910</v>
      </c>
      <c r="I1056"/>
      <c r="J1056" t="s">
        <v>777</v>
      </c>
      <c r="K1056"/>
      <c r="L1056">
        <v>100</v>
      </c>
      <c r="M1056" s="295">
        <v>22.5</v>
      </c>
      <c r="N1056"/>
      <c r="O1056"/>
      <c r="P1056" s="31">
        <v>7</v>
      </c>
      <c r="Q1056" s="232">
        <f t="shared" si="552"/>
        <v>2.625</v>
      </c>
      <c r="R1056" s="40">
        <v>0.85</v>
      </c>
      <c r="S1056" s="334">
        <f t="shared" si="553"/>
        <v>2.2312499999999997</v>
      </c>
      <c r="T1056" s="31">
        <f>VLOOKUP(A1056,'Ansvar kurs'!$A$1:$C$1010,2,FALSE)</f>
        <v>2340</v>
      </c>
      <c r="U1056" s="31" t="str">
        <f>VLOOKUP(T1056,Orgenheter!$A$1:$C$165,2,FALSE)</f>
        <v xml:space="preserve">Statsvetenskap                </v>
      </c>
      <c r="V1056" s="31" t="str">
        <f>VLOOKUP(T1056,Orgenheter!$A$1:$C$165,3,FALSE)</f>
        <v>Sam</v>
      </c>
      <c r="W1056" s="37" t="str">
        <f>VLOOKUP(D1056,Program!$A$1:$B$34,2,FALSE)</f>
        <v>Ämneslärarprogrammet - Gy</v>
      </c>
      <c r="X1056" s="42">
        <f>VLOOKUP(A1056,kurspris!$A$1:$Q$798,15,FALSE)</f>
        <v>18405</v>
      </c>
      <c r="Y1056" s="42">
        <f>VLOOKUP(A1056,kurspris!$A$1:$Q$798,16,FALSE)</f>
        <v>15773</v>
      </c>
      <c r="Z1056" s="42">
        <f t="shared" si="554"/>
        <v>83506.631250000006</v>
      </c>
      <c r="AA1056" s="42">
        <f>VLOOKUP(A1056,kurspris!$A$1:$Q$798,17,FALSE)</f>
        <v>5800</v>
      </c>
      <c r="AB1056" s="42">
        <f t="shared" si="555"/>
        <v>15225</v>
      </c>
      <c r="AC1056" s="42">
        <f t="shared" si="556"/>
        <v>98731.631250000006</v>
      </c>
      <c r="AD1056" s="31">
        <f>VLOOKUP($A1056,kurspris!$A$1:$Q$835,3,FALSE)</f>
        <v>0</v>
      </c>
      <c r="AE1056" s="31">
        <f>VLOOKUP($A1056,kurspris!$A$1:$Q$835,4,FALSE)</f>
        <v>0</v>
      </c>
      <c r="AF1056" s="31">
        <f>VLOOKUP($A1056,kurspris!$A$1:$Q$835,5,FALSE)</f>
        <v>0</v>
      </c>
      <c r="AG1056" s="31">
        <f>VLOOKUP($A1056,kurspris!$A$1:$Q$835,6,FALSE)</f>
        <v>0</v>
      </c>
      <c r="AH1056" s="31">
        <f>VLOOKUP($A1056,kurspris!$A$1:$Q$835,7,FALSE)</f>
        <v>0</v>
      </c>
      <c r="AI1056" s="31">
        <f>VLOOKUP($A1056,kurspris!$A$1:$Q$835,8,FALSE)</f>
        <v>0</v>
      </c>
      <c r="AJ1056" s="31">
        <f>VLOOKUP($A1056,kurspris!$A$1:$Q$835,9,FALSE)</f>
        <v>1</v>
      </c>
      <c r="AK1056" s="31">
        <f>VLOOKUP($A1056,kurspris!$A$1:$Q$835,10,FALSE)</f>
        <v>0</v>
      </c>
      <c r="AL1056" s="31">
        <f>VLOOKUP($A1056,kurspris!$A$1:$Q$835,11,FALSE)</f>
        <v>0</v>
      </c>
      <c r="AM1056" s="31">
        <f>VLOOKUP($A1056,kurspris!$A$1:$Q$835,12,FALSE)</f>
        <v>0</v>
      </c>
      <c r="AN1056" s="31">
        <f>VLOOKUP($A1056,kurspris!$A$1:$Q$835,13,FALSE)</f>
        <v>0</v>
      </c>
      <c r="AO1056" s="31">
        <f>VLOOKUP($A1056,kurspris!$A$1:$Q$835,14,FALSE)</f>
        <v>0</v>
      </c>
      <c r="AP1056" s="39" t="s">
        <v>2204</v>
      </c>
      <c r="AQ1056" s="39" t="s">
        <v>2035</v>
      </c>
      <c r="AR1056" s="31">
        <f t="shared" si="557"/>
        <v>0</v>
      </c>
      <c r="AS1056" s="255">
        <f t="shared" si="558"/>
        <v>0</v>
      </c>
      <c r="AT1056" s="31">
        <f t="shared" si="559"/>
        <v>0</v>
      </c>
      <c r="AU1056" s="255">
        <f t="shared" si="560"/>
        <v>0</v>
      </c>
      <c r="AV1056" s="31">
        <f t="shared" si="561"/>
        <v>0</v>
      </c>
      <c r="AW1056" s="31">
        <f t="shared" si="562"/>
        <v>0</v>
      </c>
      <c r="AX1056" s="31">
        <f t="shared" si="563"/>
        <v>0</v>
      </c>
      <c r="AY1056" s="255">
        <f t="shared" si="564"/>
        <v>0</v>
      </c>
      <c r="AZ1056" s="232">
        <f t="shared" si="565"/>
        <v>0</v>
      </c>
      <c r="BA1056" s="255">
        <f t="shared" si="566"/>
        <v>0</v>
      </c>
      <c r="BB1056" s="31">
        <f t="shared" si="567"/>
        <v>0</v>
      </c>
      <c r="BC1056" s="255">
        <f t="shared" si="568"/>
        <v>0</v>
      </c>
      <c r="BD1056" s="31">
        <f t="shared" si="569"/>
        <v>2.625</v>
      </c>
      <c r="BE1056" s="255">
        <f t="shared" si="570"/>
        <v>2.2312499999999997</v>
      </c>
      <c r="BF1056" s="31">
        <f t="shared" si="571"/>
        <v>0</v>
      </c>
      <c r="BG1056" s="255">
        <f t="shared" si="572"/>
        <v>0</v>
      </c>
      <c r="BH1056" s="31">
        <f t="shared" si="573"/>
        <v>0</v>
      </c>
      <c r="BI1056" s="255">
        <f t="shared" si="574"/>
        <v>0</v>
      </c>
      <c r="BJ1056" s="31">
        <f t="shared" si="575"/>
        <v>0</v>
      </c>
      <c r="BK1056" s="31">
        <f t="shared" si="576"/>
        <v>0</v>
      </c>
      <c r="BL1056" s="255">
        <f t="shared" si="577"/>
        <v>0</v>
      </c>
      <c r="BM1056" s="31">
        <f t="shared" si="578"/>
        <v>0</v>
      </c>
      <c r="BN1056" s="255">
        <f t="shared" si="579"/>
        <v>0</v>
      </c>
    </row>
    <row r="1057" spans="1:66" x14ac:dyDescent="0.25">
      <c r="A1057" s="18" t="s">
        <v>1051</v>
      </c>
      <c r="B1057" s="186" t="str">
        <f>VLOOKUP(A1057,kurspris!$A$1:$B$877,2,FALSE)</f>
        <v>Examensarbete</v>
      </c>
      <c r="C1057" s="37"/>
      <c r="D1057" s="31" t="s">
        <v>483</v>
      </c>
      <c r="E1057" s="31" t="s">
        <v>1976</v>
      </c>
      <c r="F1057" s="59" t="s">
        <v>1931</v>
      </c>
      <c r="G1057" s="295" t="s">
        <v>2268</v>
      </c>
      <c r="J1057" t="s">
        <v>771</v>
      </c>
      <c r="L1057" s="31">
        <v>100</v>
      </c>
      <c r="M1057" s="31">
        <v>7.5</v>
      </c>
      <c r="P1057" s="31">
        <v>1</v>
      </c>
      <c r="Q1057" s="232">
        <f t="shared" si="552"/>
        <v>0.125</v>
      </c>
      <c r="R1057" s="40">
        <v>0.85</v>
      </c>
      <c r="S1057" s="334">
        <f t="shared" si="553"/>
        <v>0.10625</v>
      </c>
      <c r="T1057" s="31">
        <f>VLOOKUP(A1057,'Ansvar kurs'!$A$1:$C$1010,2,FALSE)</f>
        <v>2340</v>
      </c>
      <c r="U1057" s="31" t="str">
        <f>VLOOKUP(T1057,Orgenheter!$A$1:$C$165,2,FALSE)</f>
        <v xml:space="preserve">Statsvetenskap                </v>
      </c>
      <c r="V1057" s="31" t="str">
        <f>VLOOKUP(T1057,Orgenheter!$A$1:$C$165,3,FALSE)</f>
        <v>Sam</v>
      </c>
      <c r="W1057" s="37" t="str">
        <f>VLOOKUP(D1057,Program!$A$1:$B$34,2,FALSE)</f>
        <v>Ämneslärarprogrammet - Gy</v>
      </c>
      <c r="X1057" s="42">
        <f>VLOOKUP(A1057,kurspris!$A$1:$Q$798,15,FALSE)</f>
        <v>18405</v>
      </c>
      <c r="Y1057" s="42">
        <f>VLOOKUP(A1057,kurspris!$A$1:$Q$798,16,FALSE)</f>
        <v>15773</v>
      </c>
      <c r="Z1057" s="42">
        <f t="shared" si="554"/>
        <v>3976.5062499999999</v>
      </c>
      <c r="AA1057" s="42">
        <f>VLOOKUP(A1057,kurspris!$A$1:$Q$798,17,FALSE)</f>
        <v>5800</v>
      </c>
      <c r="AB1057" s="42">
        <f t="shared" si="555"/>
        <v>725</v>
      </c>
      <c r="AC1057" s="42">
        <f t="shared" si="556"/>
        <v>4701.5062500000004</v>
      </c>
      <c r="AD1057" s="31">
        <f>VLOOKUP($A1057,kurspris!$A$1:$Q$835,3,FALSE)</f>
        <v>0</v>
      </c>
      <c r="AE1057" s="31">
        <f>VLOOKUP($A1057,kurspris!$A$1:$Q$835,4,FALSE)</f>
        <v>0</v>
      </c>
      <c r="AF1057" s="31">
        <f>VLOOKUP($A1057,kurspris!$A$1:$Q$835,5,FALSE)</f>
        <v>0</v>
      </c>
      <c r="AG1057" s="31">
        <f>VLOOKUP($A1057,kurspris!$A$1:$Q$835,6,FALSE)</f>
        <v>0</v>
      </c>
      <c r="AH1057" s="31">
        <f>VLOOKUP($A1057,kurspris!$A$1:$Q$835,7,FALSE)</f>
        <v>0</v>
      </c>
      <c r="AI1057" s="31">
        <f>VLOOKUP($A1057,kurspris!$A$1:$Q$835,8,FALSE)</f>
        <v>0</v>
      </c>
      <c r="AJ1057" s="31">
        <f>VLOOKUP($A1057,kurspris!$A$1:$Q$835,9,FALSE)</f>
        <v>1</v>
      </c>
      <c r="AK1057" s="31">
        <f>VLOOKUP($A1057,kurspris!$A$1:$Q$835,10,FALSE)</f>
        <v>0</v>
      </c>
      <c r="AL1057" s="31">
        <f>VLOOKUP($A1057,kurspris!$A$1:$Q$835,11,FALSE)</f>
        <v>0</v>
      </c>
      <c r="AM1057" s="31">
        <f>VLOOKUP($A1057,kurspris!$A$1:$Q$835,12,FALSE)</f>
        <v>0</v>
      </c>
      <c r="AN1057" s="31">
        <f>VLOOKUP($A1057,kurspris!$A$1:$Q$835,13,FALSE)</f>
        <v>0</v>
      </c>
      <c r="AO1057" s="31">
        <f>VLOOKUP($A1057,kurspris!$A$1:$Q$835,14,FALSE)</f>
        <v>0</v>
      </c>
      <c r="AP1057" s="39" t="s">
        <v>2326</v>
      </c>
      <c r="AQ1057" t="s">
        <v>2300</v>
      </c>
      <c r="AR1057" s="31">
        <f t="shared" si="557"/>
        <v>0</v>
      </c>
      <c r="AS1057" s="255">
        <f t="shared" si="558"/>
        <v>0</v>
      </c>
      <c r="AT1057" s="31">
        <f t="shared" si="559"/>
        <v>0</v>
      </c>
      <c r="AU1057" s="255">
        <f t="shared" si="560"/>
        <v>0</v>
      </c>
      <c r="AV1057" s="31">
        <f t="shared" si="561"/>
        <v>0</v>
      </c>
      <c r="AW1057" s="31">
        <f t="shared" si="562"/>
        <v>0</v>
      </c>
      <c r="AX1057" s="31">
        <f t="shared" si="563"/>
        <v>0</v>
      </c>
      <c r="AY1057" s="255">
        <f t="shared" si="564"/>
        <v>0</v>
      </c>
      <c r="AZ1057" s="232">
        <f t="shared" si="565"/>
        <v>0</v>
      </c>
      <c r="BA1057" s="255">
        <f t="shared" si="566"/>
        <v>0</v>
      </c>
      <c r="BB1057" s="31">
        <f t="shared" si="567"/>
        <v>0</v>
      </c>
      <c r="BC1057" s="255">
        <f t="shared" si="568"/>
        <v>0</v>
      </c>
      <c r="BD1057" s="31">
        <f t="shared" si="569"/>
        <v>0.125</v>
      </c>
      <c r="BE1057" s="255">
        <f t="shared" si="570"/>
        <v>0.10625</v>
      </c>
      <c r="BF1057" s="31">
        <f t="shared" si="571"/>
        <v>0</v>
      </c>
      <c r="BG1057" s="255">
        <f t="shared" si="572"/>
        <v>0</v>
      </c>
      <c r="BH1057" s="31">
        <f t="shared" si="573"/>
        <v>0</v>
      </c>
      <c r="BI1057" s="255">
        <f t="shared" si="574"/>
        <v>0</v>
      </c>
      <c r="BJ1057" s="31">
        <f t="shared" si="575"/>
        <v>0</v>
      </c>
      <c r="BK1057" s="31">
        <f t="shared" si="576"/>
        <v>0</v>
      </c>
      <c r="BL1057" s="255">
        <f t="shared" si="577"/>
        <v>0</v>
      </c>
      <c r="BM1057" s="31">
        <f t="shared" si="578"/>
        <v>0</v>
      </c>
      <c r="BN1057" s="255">
        <f t="shared" si="579"/>
        <v>0</v>
      </c>
    </row>
    <row r="1058" spans="1:66" x14ac:dyDescent="0.25">
      <c r="A1058" s="18" t="s">
        <v>1051</v>
      </c>
      <c r="B1058" s="186" t="str">
        <f>VLOOKUP(A1058,kurspris!$A$1:$B$877,2,FALSE)</f>
        <v>Examensarbete</v>
      </c>
      <c r="C1058" s="37"/>
      <c r="D1058" s="31" t="s">
        <v>483</v>
      </c>
      <c r="E1058" s="31" t="s">
        <v>1976</v>
      </c>
      <c r="F1058" s="59" t="s">
        <v>1931</v>
      </c>
      <c r="G1058" s="295" t="s">
        <v>2268</v>
      </c>
      <c r="J1058" t="s">
        <v>772</v>
      </c>
      <c r="L1058" s="31">
        <v>100</v>
      </c>
      <c r="M1058" s="31">
        <v>7.5</v>
      </c>
      <c r="P1058" s="31">
        <v>2</v>
      </c>
      <c r="Q1058" s="232">
        <f t="shared" si="552"/>
        <v>0.25</v>
      </c>
      <c r="R1058" s="40">
        <v>0.85</v>
      </c>
      <c r="S1058" s="334">
        <f t="shared" si="553"/>
        <v>0.21249999999999999</v>
      </c>
      <c r="T1058" s="31">
        <f>VLOOKUP(A1058,'Ansvar kurs'!$A$1:$C$1010,2,FALSE)</f>
        <v>2340</v>
      </c>
      <c r="U1058" s="31" t="str">
        <f>VLOOKUP(T1058,Orgenheter!$A$1:$C$165,2,FALSE)</f>
        <v xml:space="preserve">Statsvetenskap                </v>
      </c>
      <c r="V1058" s="31" t="str">
        <f>VLOOKUP(T1058,Orgenheter!$A$1:$C$165,3,FALSE)</f>
        <v>Sam</v>
      </c>
      <c r="W1058" s="37" t="str">
        <f>VLOOKUP(D1058,Program!$A$1:$B$34,2,FALSE)</f>
        <v>Ämneslärarprogrammet - Gy</v>
      </c>
      <c r="X1058" s="42">
        <f>VLOOKUP(A1058,kurspris!$A$1:$Q$798,15,FALSE)</f>
        <v>18405</v>
      </c>
      <c r="Y1058" s="42">
        <f>VLOOKUP(A1058,kurspris!$A$1:$Q$798,16,FALSE)</f>
        <v>15773</v>
      </c>
      <c r="Z1058" s="42">
        <f t="shared" si="554"/>
        <v>7953.0124999999998</v>
      </c>
      <c r="AA1058" s="42">
        <f>VLOOKUP(A1058,kurspris!$A$1:$Q$798,17,FALSE)</f>
        <v>5800</v>
      </c>
      <c r="AB1058" s="42">
        <f t="shared" si="555"/>
        <v>1450</v>
      </c>
      <c r="AC1058" s="42">
        <f t="shared" si="556"/>
        <v>9403.0125000000007</v>
      </c>
      <c r="AD1058" s="31">
        <f>VLOOKUP($A1058,kurspris!$A$1:$Q$835,3,FALSE)</f>
        <v>0</v>
      </c>
      <c r="AE1058" s="31">
        <f>VLOOKUP($A1058,kurspris!$A$1:$Q$835,4,FALSE)</f>
        <v>0</v>
      </c>
      <c r="AF1058" s="31">
        <f>VLOOKUP($A1058,kurspris!$A$1:$Q$835,5,FALSE)</f>
        <v>0</v>
      </c>
      <c r="AG1058" s="31">
        <f>VLOOKUP($A1058,kurspris!$A$1:$Q$835,6,FALSE)</f>
        <v>0</v>
      </c>
      <c r="AH1058" s="31">
        <f>VLOOKUP($A1058,kurspris!$A$1:$Q$835,7,FALSE)</f>
        <v>0</v>
      </c>
      <c r="AI1058" s="31">
        <f>VLOOKUP($A1058,kurspris!$A$1:$Q$835,8,FALSE)</f>
        <v>0</v>
      </c>
      <c r="AJ1058" s="31">
        <f>VLOOKUP($A1058,kurspris!$A$1:$Q$835,9,FALSE)</f>
        <v>1</v>
      </c>
      <c r="AK1058" s="31">
        <f>VLOOKUP($A1058,kurspris!$A$1:$Q$835,10,FALSE)</f>
        <v>0</v>
      </c>
      <c r="AL1058" s="31">
        <f>VLOOKUP($A1058,kurspris!$A$1:$Q$835,11,FALSE)</f>
        <v>0</v>
      </c>
      <c r="AM1058" s="31">
        <f>VLOOKUP($A1058,kurspris!$A$1:$Q$835,12,FALSE)</f>
        <v>0</v>
      </c>
      <c r="AN1058" s="31">
        <f>VLOOKUP($A1058,kurspris!$A$1:$Q$835,13,FALSE)</f>
        <v>0</v>
      </c>
      <c r="AO1058" s="31">
        <f>VLOOKUP($A1058,kurspris!$A$1:$Q$835,14,FALSE)</f>
        <v>0</v>
      </c>
      <c r="AP1058" s="39" t="s">
        <v>2326</v>
      </c>
      <c r="AQ1058" t="s">
        <v>2300</v>
      </c>
      <c r="AR1058" s="31">
        <f t="shared" si="557"/>
        <v>0</v>
      </c>
      <c r="AS1058" s="255">
        <f t="shared" si="558"/>
        <v>0</v>
      </c>
      <c r="AT1058" s="31">
        <f t="shared" si="559"/>
        <v>0</v>
      </c>
      <c r="AU1058" s="255">
        <f t="shared" si="560"/>
        <v>0</v>
      </c>
      <c r="AV1058" s="31">
        <f t="shared" si="561"/>
        <v>0</v>
      </c>
      <c r="AW1058" s="31">
        <f t="shared" si="562"/>
        <v>0</v>
      </c>
      <c r="AX1058" s="31">
        <f t="shared" si="563"/>
        <v>0</v>
      </c>
      <c r="AY1058" s="255">
        <f t="shared" si="564"/>
        <v>0</v>
      </c>
      <c r="AZ1058" s="232">
        <f t="shared" si="565"/>
        <v>0</v>
      </c>
      <c r="BA1058" s="255">
        <f t="shared" si="566"/>
        <v>0</v>
      </c>
      <c r="BB1058" s="31">
        <f t="shared" si="567"/>
        <v>0</v>
      </c>
      <c r="BC1058" s="255">
        <f t="shared" si="568"/>
        <v>0</v>
      </c>
      <c r="BD1058" s="31">
        <f t="shared" si="569"/>
        <v>0.25</v>
      </c>
      <c r="BE1058" s="255">
        <f t="shared" si="570"/>
        <v>0.21249999999999999</v>
      </c>
      <c r="BF1058" s="31">
        <f t="shared" si="571"/>
        <v>0</v>
      </c>
      <c r="BG1058" s="255">
        <f t="shared" si="572"/>
        <v>0</v>
      </c>
      <c r="BH1058" s="31">
        <f t="shared" si="573"/>
        <v>0</v>
      </c>
      <c r="BI1058" s="255">
        <f t="shared" si="574"/>
        <v>0</v>
      </c>
      <c r="BJ1058" s="31">
        <f t="shared" si="575"/>
        <v>0</v>
      </c>
      <c r="BK1058" s="31">
        <f t="shared" si="576"/>
        <v>0</v>
      </c>
      <c r="BL1058" s="255">
        <f t="shared" si="577"/>
        <v>0</v>
      </c>
      <c r="BM1058" s="31">
        <f t="shared" si="578"/>
        <v>0</v>
      </c>
      <c r="BN1058" s="255">
        <f t="shared" si="579"/>
        <v>0</v>
      </c>
    </row>
    <row r="1059" spans="1:66" x14ac:dyDescent="0.25">
      <c r="A1059" s="18" t="s">
        <v>1051</v>
      </c>
      <c r="B1059" s="186" t="str">
        <f>VLOOKUP(A1059,kurspris!$A$1:$B$877,2,FALSE)</f>
        <v>Examensarbete</v>
      </c>
      <c r="C1059" s="37"/>
      <c r="D1059" s="31" t="s">
        <v>483</v>
      </c>
      <c r="E1059" s="31" t="s">
        <v>1976</v>
      </c>
      <c r="F1059" s="59" t="s">
        <v>1931</v>
      </c>
      <c r="G1059" s="295" t="s">
        <v>2268</v>
      </c>
      <c r="J1059" t="s">
        <v>777</v>
      </c>
      <c r="L1059" s="31">
        <v>100</v>
      </c>
      <c r="M1059" s="31">
        <v>7.5</v>
      </c>
      <c r="P1059" s="31">
        <v>4</v>
      </c>
      <c r="Q1059" s="232">
        <f t="shared" si="552"/>
        <v>0.5</v>
      </c>
      <c r="R1059" s="40">
        <v>0.85</v>
      </c>
      <c r="S1059" s="334">
        <f t="shared" si="553"/>
        <v>0.42499999999999999</v>
      </c>
      <c r="T1059" s="31">
        <f>VLOOKUP(A1059,'Ansvar kurs'!$A$1:$C$1010,2,FALSE)</f>
        <v>2340</v>
      </c>
      <c r="U1059" s="31" t="str">
        <f>VLOOKUP(T1059,Orgenheter!$A$1:$C$165,2,FALSE)</f>
        <v xml:space="preserve">Statsvetenskap                </v>
      </c>
      <c r="V1059" s="31" t="str">
        <f>VLOOKUP(T1059,Orgenheter!$A$1:$C$165,3,FALSE)</f>
        <v>Sam</v>
      </c>
      <c r="W1059" s="37" t="str">
        <f>VLOOKUP(D1059,Program!$A$1:$B$34,2,FALSE)</f>
        <v>Ämneslärarprogrammet - Gy</v>
      </c>
      <c r="X1059" s="42">
        <f>VLOOKUP(A1059,kurspris!$A$1:$Q$798,15,FALSE)</f>
        <v>18405</v>
      </c>
      <c r="Y1059" s="42">
        <f>VLOOKUP(A1059,kurspris!$A$1:$Q$798,16,FALSE)</f>
        <v>15773</v>
      </c>
      <c r="Z1059" s="42">
        <f t="shared" si="554"/>
        <v>15906.025</v>
      </c>
      <c r="AA1059" s="42">
        <f>VLOOKUP(A1059,kurspris!$A$1:$Q$798,17,FALSE)</f>
        <v>5800</v>
      </c>
      <c r="AB1059" s="42">
        <f t="shared" si="555"/>
        <v>2900</v>
      </c>
      <c r="AC1059" s="42">
        <f t="shared" si="556"/>
        <v>18806.025000000001</v>
      </c>
      <c r="AD1059" s="31">
        <f>VLOOKUP($A1059,kurspris!$A$1:$Q$835,3,FALSE)</f>
        <v>0</v>
      </c>
      <c r="AE1059" s="31">
        <f>VLOOKUP($A1059,kurspris!$A$1:$Q$835,4,FALSE)</f>
        <v>0</v>
      </c>
      <c r="AF1059" s="31">
        <f>VLOOKUP($A1059,kurspris!$A$1:$Q$835,5,FALSE)</f>
        <v>0</v>
      </c>
      <c r="AG1059" s="31">
        <f>VLOOKUP($A1059,kurspris!$A$1:$Q$835,6,FALSE)</f>
        <v>0</v>
      </c>
      <c r="AH1059" s="31">
        <f>VLOOKUP($A1059,kurspris!$A$1:$Q$835,7,FALSE)</f>
        <v>0</v>
      </c>
      <c r="AI1059" s="31">
        <f>VLOOKUP($A1059,kurspris!$A$1:$Q$835,8,FALSE)</f>
        <v>0</v>
      </c>
      <c r="AJ1059" s="31">
        <f>VLOOKUP($A1059,kurspris!$A$1:$Q$835,9,FALSE)</f>
        <v>1</v>
      </c>
      <c r="AK1059" s="31">
        <f>VLOOKUP($A1059,kurspris!$A$1:$Q$835,10,FALSE)</f>
        <v>0</v>
      </c>
      <c r="AL1059" s="31">
        <f>VLOOKUP($A1059,kurspris!$A$1:$Q$835,11,FALSE)</f>
        <v>0</v>
      </c>
      <c r="AM1059" s="31">
        <f>VLOOKUP($A1059,kurspris!$A$1:$Q$835,12,FALSE)</f>
        <v>0</v>
      </c>
      <c r="AN1059" s="31">
        <f>VLOOKUP($A1059,kurspris!$A$1:$Q$835,13,FALSE)</f>
        <v>0</v>
      </c>
      <c r="AO1059" s="31">
        <f>VLOOKUP($A1059,kurspris!$A$1:$Q$835,14,FALSE)</f>
        <v>0</v>
      </c>
      <c r="AP1059" s="39" t="s">
        <v>2326</v>
      </c>
      <c r="AQ1059" t="s">
        <v>2300</v>
      </c>
      <c r="AR1059" s="31">
        <f t="shared" si="557"/>
        <v>0</v>
      </c>
      <c r="AS1059" s="255">
        <f t="shared" si="558"/>
        <v>0</v>
      </c>
      <c r="AT1059" s="31">
        <f t="shared" si="559"/>
        <v>0</v>
      </c>
      <c r="AU1059" s="255">
        <f t="shared" si="560"/>
        <v>0</v>
      </c>
      <c r="AV1059" s="31">
        <f t="shared" si="561"/>
        <v>0</v>
      </c>
      <c r="AW1059" s="31">
        <f t="shared" si="562"/>
        <v>0</v>
      </c>
      <c r="AX1059" s="31">
        <f t="shared" si="563"/>
        <v>0</v>
      </c>
      <c r="AY1059" s="255">
        <f t="shared" si="564"/>
        <v>0</v>
      </c>
      <c r="AZ1059" s="232">
        <f t="shared" si="565"/>
        <v>0</v>
      </c>
      <c r="BA1059" s="255">
        <f t="shared" si="566"/>
        <v>0</v>
      </c>
      <c r="BB1059" s="31">
        <f t="shared" si="567"/>
        <v>0</v>
      </c>
      <c r="BC1059" s="255">
        <f t="shared" si="568"/>
        <v>0</v>
      </c>
      <c r="BD1059" s="31">
        <f t="shared" si="569"/>
        <v>0.5</v>
      </c>
      <c r="BE1059" s="255">
        <f t="shared" si="570"/>
        <v>0.42499999999999999</v>
      </c>
      <c r="BF1059" s="31">
        <f t="shared" si="571"/>
        <v>0</v>
      </c>
      <c r="BG1059" s="255">
        <f t="shared" si="572"/>
        <v>0</v>
      </c>
      <c r="BH1059" s="31">
        <f t="shared" si="573"/>
        <v>0</v>
      </c>
      <c r="BI1059" s="255">
        <f t="shared" si="574"/>
        <v>0</v>
      </c>
      <c r="BJ1059" s="31">
        <f t="shared" si="575"/>
        <v>0</v>
      </c>
      <c r="BK1059" s="31">
        <f t="shared" si="576"/>
        <v>0</v>
      </c>
      <c r="BL1059" s="255">
        <f t="shared" si="577"/>
        <v>0</v>
      </c>
      <c r="BM1059" s="31">
        <f t="shared" si="578"/>
        <v>0</v>
      </c>
      <c r="BN1059" s="255">
        <f t="shared" si="579"/>
        <v>0</v>
      </c>
    </row>
    <row r="1060" spans="1:66" x14ac:dyDescent="0.25">
      <c r="A1060" t="s">
        <v>1052</v>
      </c>
      <c r="B1060" s="186" t="str">
        <f>VLOOKUP(A1060,kurspris!$A$1:$B$877,2,FALSE)</f>
        <v>Profession och vetenskap</v>
      </c>
      <c r="C1060"/>
      <c r="D1060" t="s">
        <v>117</v>
      </c>
      <c r="E1060"/>
      <c r="F1060" s="39" t="s">
        <v>1930</v>
      </c>
      <c r="G1060"/>
      <c r="H1060" t="s">
        <v>1910</v>
      </c>
      <c r="I1060"/>
      <c r="J1060"/>
      <c r="K1060"/>
      <c r="L1060">
        <v>100</v>
      </c>
      <c r="M1060" s="295">
        <v>7.5</v>
      </c>
      <c r="N1060"/>
      <c r="O1060"/>
      <c r="P1060" s="31">
        <v>1</v>
      </c>
      <c r="Q1060" s="232">
        <f t="shared" si="552"/>
        <v>0.125</v>
      </c>
      <c r="R1060" s="40">
        <v>0.85</v>
      </c>
      <c r="S1060" s="334">
        <f t="shared" si="553"/>
        <v>0.10625</v>
      </c>
      <c r="T1060" s="31">
        <f>VLOOKUP(A1060,'Ansvar kurs'!$A$1:$C$1010,2,FALSE)</f>
        <v>2340</v>
      </c>
      <c r="U1060" s="31" t="str">
        <f>VLOOKUP(T1060,Orgenheter!$A$1:$C$165,2,FALSE)</f>
        <v xml:space="preserve">Statsvetenskap                </v>
      </c>
      <c r="V1060" s="31" t="str">
        <f>VLOOKUP(T1060,Orgenheter!$A$1:$C$165,3,FALSE)</f>
        <v>Sam</v>
      </c>
      <c r="W1060" s="37" t="str">
        <f>VLOOKUP(D1060,Program!$A$1:$B$34,2,FALSE)</f>
        <v>Fristående och övriga kurser</v>
      </c>
      <c r="X1060" s="42">
        <f>VLOOKUP(A1060,kurspris!$A$1:$Q$798,15,FALSE)</f>
        <v>23641</v>
      </c>
      <c r="Y1060" s="42">
        <f>VLOOKUP(A1060,kurspris!$A$1:$Q$798,16,FALSE)</f>
        <v>28786</v>
      </c>
      <c r="Z1060" s="42">
        <f t="shared" si="554"/>
        <v>6013.6374999999998</v>
      </c>
      <c r="AA1060" s="42">
        <f>VLOOKUP(A1060,kurspris!$A$1:$Q$798,17,FALSE)</f>
        <v>5800</v>
      </c>
      <c r="AB1060" s="42">
        <f t="shared" si="555"/>
        <v>725</v>
      </c>
      <c r="AC1060" s="42">
        <f t="shared" si="556"/>
        <v>6738.6374999999998</v>
      </c>
      <c r="AD1060" s="31">
        <f>VLOOKUP($A1060,kurspris!$A$1:$Q$835,3,FALSE)</f>
        <v>0</v>
      </c>
      <c r="AE1060" s="31">
        <f>VLOOKUP($A1060,kurspris!$A$1:$Q$835,4,FALSE)</f>
        <v>0</v>
      </c>
      <c r="AF1060" s="31">
        <f>VLOOKUP($A1060,kurspris!$A$1:$Q$835,5,FALSE)</f>
        <v>0</v>
      </c>
      <c r="AG1060" s="31">
        <f>VLOOKUP($A1060,kurspris!$A$1:$Q$835,6,FALSE)</f>
        <v>1</v>
      </c>
      <c r="AH1060" s="31">
        <f>VLOOKUP($A1060,kurspris!$A$1:$Q$835,7,FALSE)</f>
        <v>0</v>
      </c>
      <c r="AI1060" s="31">
        <f>VLOOKUP($A1060,kurspris!$A$1:$Q$835,8,FALSE)</f>
        <v>0</v>
      </c>
      <c r="AJ1060" s="31">
        <f>VLOOKUP($A1060,kurspris!$A$1:$Q$835,9,FALSE)</f>
        <v>0</v>
      </c>
      <c r="AK1060" s="31">
        <f>VLOOKUP($A1060,kurspris!$A$1:$Q$835,10,FALSE)</f>
        <v>0</v>
      </c>
      <c r="AL1060" s="31">
        <f>VLOOKUP($A1060,kurspris!$A$1:$Q$835,11,FALSE)</f>
        <v>0</v>
      </c>
      <c r="AM1060" s="31">
        <f>VLOOKUP($A1060,kurspris!$A$1:$Q$835,12,FALSE)</f>
        <v>0</v>
      </c>
      <c r="AN1060" s="31">
        <f>VLOOKUP($A1060,kurspris!$A$1:$Q$835,13,FALSE)</f>
        <v>0</v>
      </c>
      <c r="AO1060" s="31">
        <f>VLOOKUP($A1060,kurspris!$A$1:$Q$835,14,FALSE)</f>
        <v>0</v>
      </c>
      <c r="AP1060" s="39" t="s">
        <v>2232</v>
      </c>
      <c r="AQ1060" s="39"/>
      <c r="AR1060" s="31">
        <f t="shared" si="557"/>
        <v>0</v>
      </c>
      <c r="AS1060" s="255">
        <f t="shared" si="558"/>
        <v>0</v>
      </c>
      <c r="AT1060" s="31">
        <f t="shared" si="559"/>
        <v>0</v>
      </c>
      <c r="AU1060" s="255">
        <f t="shared" si="560"/>
        <v>0</v>
      </c>
      <c r="AV1060" s="31">
        <f t="shared" si="561"/>
        <v>0</v>
      </c>
      <c r="AW1060" s="31">
        <f t="shared" si="562"/>
        <v>0</v>
      </c>
      <c r="AX1060" s="31">
        <f t="shared" si="563"/>
        <v>0.125</v>
      </c>
      <c r="AY1060" s="255">
        <f t="shared" si="564"/>
        <v>0.10625</v>
      </c>
      <c r="AZ1060" s="232">
        <f t="shared" si="565"/>
        <v>0</v>
      </c>
      <c r="BA1060" s="255">
        <f t="shared" si="566"/>
        <v>0</v>
      </c>
      <c r="BB1060" s="31">
        <f t="shared" si="567"/>
        <v>0</v>
      </c>
      <c r="BC1060" s="255">
        <f t="shared" si="568"/>
        <v>0</v>
      </c>
      <c r="BD1060" s="31">
        <f t="shared" si="569"/>
        <v>0</v>
      </c>
      <c r="BE1060" s="255">
        <f t="shared" si="570"/>
        <v>0</v>
      </c>
      <c r="BF1060" s="31">
        <f t="shared" si="571"/>
        <v>0</v>
      </c>
      <c r="BG1060" s="255">
        <f t="shared" si="572"/>
        <v>0</v>
      </c>
      <c r="BH1060" s="31">
        <f t="shared" si="573"/>
        <v>0</v>
      </c>
      <c r="BI1060" s="255">
        <f t="shared" si="574"/>
        <v>0</v>
      </c>
      <c r="BJ1060" s="31">
        <f t="shared" si="575"/>
        <v>0</v>
      </c>
      <c r="BK1060" s="31">
        <f t="shared" si="576"/>
        <v>0</v>
      </c>
      <c r="BL1060" s="255">
        <f t="shared" si="577"/>
        <v>0</v>
      </c>
      <c r="BM1060" s="31">
        <f t="shared" si="578"/>
        <v>0</v>
      </c>
      <c r="BN1060" s="255">
        <f t="shared" si="579"/>
        <v>0</v>
      </c>
    </row>
    <row r="1061" spans="1:66" x14ac:dyDescent="0.25">
      <c r="A1061" t="s">
        <v>1052</v>
      </c>
      <c r="B1061" s="186" t="str">
        <f>VLOOKUP(A1061,kurspris!$A$1:$B$877,2,FALSE)</f>
        <v>Profession och vetenskap</v>
      </c>
      <c r="C1061"/>
      <c r="D1061" t="s">
        <v>482</v>
      </c>
      <c r="E1061" t="s">
        <v>1975</v>
      </c>
      <c r="F1061" s="59" t="s">
        <v>1930</v>
      </c>
      <c r="G1061" t="s">
        <v>1933</v>
      </c>
      <c r="H1061" t="s">
        <v>1910</v>
      </c>
      <c r="I1061"/>
      <c r="J1061" t="s">
        <v>2000</v>
      </c>
      <c r="K1061"/>
      <c r="L1061">
        <v>100</v>
      </c>
      <c r="M1061">
        <v>7.5</v>
      </c>
      <c r="N1061"/>
      <c r="O1061"/>
      <c r="P1061" s="31">
        <v>1</v>
      </c>
      <c r="Q1061" s="232">
        <f t="shared" si="552"/>
        <v>0.125</v>
      </c>
      <c r="R1061" s="40">
        <v>0.85</v>
      </c>
      <c r="S1061" s="334">
        <f t="shared" si="553"/>
        <v>0.10625</v>
      </c>
      <c r="T1061" s="31">
        <f>VLOOKUP(A1061,'Ansvar kurs'!$A$1:$C$1010,2,FALSE)</f>
        <v>2340</v>
      </c>
      <c r="U1061" s="31" t="str">
        <f>VLOOKUP(T1061,Orgenheter!$A$1:$C$165,2,FALSE)</f>
        <v xml:space="preserve">Statsvetenskap                </v>
      </c>
      <c r="V1061" s="31" t="str">
        <f>VLOOKUP(T1061,Orgenheter!$A$1:$C$165,3,FALSE)</f>
        <v>Sam</v>
      </c>
      <c r="W1061" s="37" t="str">
        <f>VLOOKUP(D1061,Program!$A$1:$B$34,2,FALSE)</f>
        <v>Ämneslärarprogrammet - åk 7-9</v>
      </c>
      <c r="X1061" s="42">
        <f>VLOOKUP(A1061,kurspris!$A$1:$Q$798,15,FALSE)</f>
        <v>23641</v>
      </c>
      <c r="Y1061" s="42">
        <f>VLOOKUP(A1061,kurspris!$A$1:$Q$798,16,FALSE)</f>
        <v>28786</v>
      </c>
      <c r="Z1061" s="42">
        <f t="shared" si="554"/>
        <v>6013.6374999999998</v>
      </c>
      <c r="AA1061" s="42">
        <f>VLOOKUP(A1061,kurspris!$A$1:$Q$798,17,FALSE)</f>
        <v>5800</v>
      </c>
      <c r="AB1061" s="42">
        <f t="shared" si="555"/>
        <v>725</v>
      </c>
      <c r="AC1061" s="42">
        <f t="shared" si="556"/>
        <v>6738.6374999999998</v>
      </c>
      <c r="AD1061" s="31">
        <f>VLOOKUP($A1061,kurspris!$A$1:$Q$835,3,FALSE)</f>
        <v>0</v>
      </c>
      <c r="AE1061" s="31">
        <f>VLOOKUP($A1061,kurspris!$A$1:$Q$835,4,FALSE)</f>
        <v>0</v>
      </c>
      <c r="AF1061" s="31">
        <f>VLOOKUP($A1061,kurspris!$A$1:$Q$835,5,FALSE)</f>
        <v>0</v>
      </c>
      <c r="AG1061" s="31">
        <f>VLOOKUP($A1061,kurspris!$A$1:$Q$835,6,FALSE)</f>
        <v>1</v>
      </c>
      <c r="AH1061" s="31">
        <f>VLOOKUP($A1061,kurspris!$A$1:$Q$835,7,FALSE)</f>
        <v>0</v>
      </c>
      <c r="AI1061" s="31">
        <f>VLOOKUP($A1061,kurspris!$A$1:$Q$835,8,FALSE)</f>
        <v>0</v>
      </c>
      <c r="AJ1061" s="31">
        <f>VLOOKUP($A1061,kurspris!$A$1:$Q$835,9,FALSE)</f>
        <v>0</v>
      </c>
      <c r="AK1061" s="31">
        <f>VLOOKUP($A1061,kurspris!$A$1:$Q$835,10,FALSE)</f>
        <v>0</v>
      </c>
      <c r="AL1061" s="31">
        <f>VLOOKUP($A1061,kurspris!$A$1:$Q$835,11,FALSE)</f>
        <v>0</v>
      </c>
      <c r="AM1061" s="31">
        <f>VLOOKUP($A1061,kurspris!$A$1:$Q$835,12,FALSE)</f>
        <v>0</v>
      </c>
      <c r="AN1061" s="31">
        <f>VLOOKUP($A1061,kurspris!$A$1:$Q$835,13,FALSE)</f>
        <v>0</v>
      </c>
      <c r="AO1061" s="31">
        <f>VLOOKUP($A1061,kurspris!$A$1:$Q$835,14,FALSE)</f>
        <v>0</v>
      </c>
      <c r="AP1061" s="39" t="s">
        <v>2235</v>
      </c>
      <c r="AQ1061"/>
      <c r="AR1061" s="31">
        <f t="shared" si="557"/>
        <v>0</v>
      </c>
      <c r="AS1061" s="255">
        <f t="shared" si="558"/>
        <v>0</v>
      </c>
      <c r="AT1061" s="31">
        <f t="shared" si="559"/>
        <v>0</v>
      </c>
      <c r="AU1061" s="255">
        <f t="shared" si="560"/>
        <v>0</v>
      </c>
      <c r="AV1061" s="31">
        <f t="shared" si="561"/>
        <v>0</v>
      </c>
      <c r="AW1061" s="31">
        <f t="shared" si="562"/>
        <v>0</v>
      </c>
      <c r="AX1061" s="31">
        <f t="shared" si="563"/>
        <v>0.125</v>
      </c>
      <c r="AY1061" s="255">
        <f t="shared" si="564"/>
        <v>0.10625</v>
      </c>
      <c r="AZ1061" s="232">
        <f t="shared" si="565"/>
        <v>0</v>
      </c>
      <c r="BA1061" s="255">
        <f t="shared" si="566"/>
        <v>0</v>
      </c>
      <c r="BB1061" s="31">
        <f t="shared" si="567"/>
        <v>0</v>
      </c>
      <c r="BC1061" s="255">
        <f t="shared" si="568"/>
        <v>0</v>
      </c>
      <c r="BD1061" s="31">
        <f t="shared" si="569"/>
        <v>0</v>
      </c>
      <c r="BE1061" s="255">
        <f t="shared" si="570"/>
        <v>0</v>
      </c>
      <c r="BF1061" s="31">
        <f t="shared" si="571"/>
        <v>0</v>
      </c>
      <c r="BG1061" s="255">
        <f t="shared" si="572"/>
        <v>0</v>
      </c>
      <c r="BH1061" s="31">
        <f t="shared" si="573"/>
        <v>0</v>
      </c>
      <c r="BI1061" s="255">
        <f t="shared" si="574"/>
        <v>0</v>
      </c>
      <c r="BJ1061" s="31">
        <f t="shared" si="575"/>
        <v>0</v>
      </c>
      <c r="BK1061" s="31">
        <f t="shared" si="576"/>
        <v>0</v>
      </c>
      <c r="BL1061" s="255">
        <f t="shared" si="577"/>
        <v>0</v>
      </c>
      <c r="BM1061" s="31">
        <f t="shared" si="578"/>
        <v>0</v>
      </c>
      <c r="BN1061" s="255">
        <f t="shared" si="579"/>
        <v>0</v>
      </c>
    </row>
    <row r="1062" spans="1:66" x14ac:dyDescent="0.25">
      <c r="A1062" t="s">
        <v>1052</v>
      </c>
      <c r="B1062" s="186" t="str">
        <f>VLOOKUP(A1062,kurspris!$A$1:$B$877,2,FALSE)</f>
        <v>Profession och vetenskap</v>
      </c>
      <c r="C1062"/>
      <c r="D1062" t="s">
        <v>482</v>
      </c>
      <c r="E1062" t="s">
        <v>1975</v>
      </c>
      <c r="F1062" s="59" t="s">
        <v>1930</v>
      </c>
      <c r="G1062" t="s">
        <v>1933</v>
      </c>
      <c r="H1062" t="s">
        <v>1910</v>
      </c>
      <c r="I1062"/>
      <c r="J1062" t="s">
        <v>773</v>
      </c>
      <c r="K1062"/>
      <c r="L1062">
        <v>100</v>
      </c>
      <c r="M1062">
        <v>7.5</v>
      </c>
      <c r="N1062"/>
      <c r="O1062"/>
      <c r="P1062" s="31">
        <v>2</v>
      </c>
      <c r="Q1062" s="232">
        <f t="shared" si="552"/>
        <v>0.25</v>
      </c>
      <c r="R1062" s="40">
        <v>0.85</v>
      </c>
      <c r="S1062" s="334">
        <f t="shared" si="553"/>
        <v>0.21249999999999999</v>
      </c>
      <c r="T1062" s="31">
        <f>VLOOKUP(A1062,'Ansvar kurs'!$A$1:$C$1010,2,FALSE)</f>
        <v>2340</v>
      </c>
      <c r="U1062" s="31" t="str">
        <f>VLOOKUP(T1062,Orgenheter!$A$1:$C$165,2,FALSE)</f>
        <v xml:space="preserve">Statsvetenskap                </v>
      </c>
      <c r="V1062" s="31" t="str">
        <f>VLOOKUP(T1062,Orgenheter!$A$1:$C$165,3,FALSE)</f>
        <v>Sam</v>
      </c>
      <c r="W1062" s="37" t="str">
        <f>VLOOKUP(D1062,Program!$A$1:$B$34,2,FALSE)</f>
        <v>Ämneslärarprogrammet - åk 7-9</v>
      </c>
      <c r="X1062" s="42">
        <f>VLOOKUP(A1062,kurspris!$A$1:$Q$798,15,FALSE)</f>
        <v>23641</v>
      </c>
      <c r="Y1062" s="42">
        <f>VLOOKUP(A1062,kurspris!$A$1:$Q$798,16,FALSE)</f>
        <v>28786</v>
      </c>
      <c r="Z1062" s="42">
        <f t="shared" si="554"/>
        <v>12027.275</v>
      </c>
      <c r="AA1062" s="42">
        <f>VLOOKUP(A1062,kurspris!$A$1:$Q$798,17,FALSE)</f>
        <v>5800</v>
      </c>
      <c r="AB1062" s="42">
        <f t="shared" si="555"/>
        <v>1450</v>
      </c>
      <c r="AC1062" s="42">
        <f t="shared" si="556"/>
        <v>13477.275</v>
      </c>
      <c r="AD1062" s="31">
        <f>VLOOKUP($A1062,kurspris!$A$1:$Q$835,3,FALSE)</f>
        <v>0</v>
      </c>
      <c r="AE1062" s="31">
        <f>VLOOKUP($A1062,kurspris!$A$1:$Q$835,4,FALSE)</f>
        <v>0</v>
      </c>
      <c r="AF1062" s="31">
        <f>VLOOKUP($A1062,kurspris!$A$1:$Q$835,5,FALSE)</f>
        <v>0</v>
      </c>
      <c r="AG1062" s="31">
        <f>VLOOKUP($A1062,kurspris!$A$1:$Q$835,6,FALSE)</f>
        <v>1</v>
      </c>
      <c r="AH1062" s="31">
        <f>VLOOKUP($A1062,kurspris!$A$1:$Q$835,7,FALSE)</f>
        <v>0</v>
      </c>
      <c r="AI1062" s="31">
        <f>VLOOKUP($A1062,kurspris!$A$1:$Q$835,8,FALSE)</f>
        <v>0</v>
      </c>
      <c r="AJ1062" s="31">
        <f>VLOOKUP($A1062,kurspris!$A$1:$Q$835,9,FALSE)</f>
        <v>0</v>
      </c>
      <c r="AK1062" s="31">
        <f>VLOOKUP($A1062,kurspris!$A$1:$Q$835,10,FALSE)</f>
        <v>0</v>
      </c>
      <c r="AL1062" s="31">
        <f>VLOOKUP($A1062,kurspris!$A$1:$Q$835,11,FALSE)</f>
        <v>0</v>
      </c>
      <c r="AM1062" s="31">
        <f>VLOOKUP($A1062,kurspris!$A$1:$Q$835,12,FALSE)</f>
        <v>0</v>
      </c>
      <c r="AN1062" s="31">
        <f>VLOOKUP($A1062,kurspris!$A$1:$Q$835,13,FALSE)</f>
        <v>0</v>
      </c>
      <c r="AO1062" s="31">
        <f>VLOOKUP($A1062,kurspris!$A$1:$Q$835,14,FALSE)</f>
        <v>0</v>
      </c>
      <c r="AP1062" s="39" t="s">
        <v>2235</v>
      </c>
      <c r="AQ1062"/>
      <c r="AR1062" s="31">
        <f t="shared" si="557"/>
        <v>0</v>
      </c>
      <c r="AS1062" s="255">
        <f t="shared" si="558"/>
        <v>0</v>
      </c>
      <c r="AT1062" s="31">
        <f t="shared" si="559"/>
        <v>0</v>
      </c>
      <c r="AU1062" s="255">
        <f t="shared" si="560"/>
        <v>0</v>
      </c>
      <c r="AV1062" s="31">
        <f t="shared" si="561"/>
        <v>0</v>
      </c>
      <c r="AW1062" s="31">
        <f t="shared" si="562"/>
        <v>0</v>
      </c>
      <c r="AX1062" s="31">
        <f t="shared" si="563"/>
        <v>0.25</v>
      </c>
      <c r="AY1062" s="255">
        <f t="shared" si="564"/>
        <v>0.21249999999999999</v>
      </c>
      <c r="AZ1062" s="232">
        <f t="shared" si="565"/>
        <v>0</v>
      </c>
      <c r="BA1062" s="255">
        <f t="shared" si="566"/>
        <v>0</v>
      </c>
      <c r="BB1062" s="31">
        <f t="shared" si="567"/>
        <v>0</v>
      </c>
      <c r="BC1062" s="255">
        <f t="shared" si="568"/>
        <v>0</v>
      </c>
      <c r="BD1062" s="31">
        <f t="shared" si="569"/>
        <v>0</v>
      </c>
      <c r="BE1062" s="255">
        <f t="shared" si="570"/>
        <v>0</v>
      </c>
      <c r="BF1062" s="31">
        <f t="shared" si="571"/>
        <v>0</v>
      </c>
      <c r="BG1062" s="255">
        <f t="shared" si="572"/>
        <v>0</v>
      </c>
      <c r="BH1062" s="31">
        <f t="shared" si="573"/>
        <v>0</v>
      </c>
      <c r="BI1062" s="255">
        <f t="shared" si="574"/>
        <v>0</v>
      </c>
      <c r="BJ1062" s="31">
        <f t="shared" si="575"/>
        <v>0</v>
      </c>
      <c r="BK1062" s="31">
        <f t="shared" si="576"/>
        <v>0</v>
      </c>
      <c r="BL1062" s="255">
        <f t="shared" si="577"/>
        <v>0</v>
      </c>
      <c r="BM1062" s="31">
        <f t="shared" si="578"/>
        <v>0</v>
      </c>
      <c r="BN1062" s="255">
        <f t="shared" si="579"/>
        <v>0</v>
      </c>
    </row>
    <row r="1063" spans="1:66" x14ac:dyDescent="0.25">
      <c r="A1063" s="18" t="s">
        <v>1052</v>
      </c>
      <c r="B1063" s="186" t="str">
        <f>VLOOKUP(A1063,kurspris!$A$1:$B$877,2,FALSE)</f>
        <v>Profession och vetenskap</v>
      </c>
      <c r="C1063" s="37"/>
      <c r="D1063" s="31" t="s">
        <v>482</v>
      </c>
      <c r="E1063" s="31" t="s">
        <v>1975</v>
      </c>
      <c r="F1063" s="59" t="s">
        <v>1931</v>
      </c>
      <c r="G1063" s="31" t="s">
        <v>2269</v>
      </c>
      <c r="J1063" s="31" t="s">
        <v>774</v>
      </c>
      <c r="L1063" s="31">
        <v>100</v>
      </c>
      <c r="M1063" s="31">
        <v>7.5</v>
      </c>
      <c r="P1063" s="31">
        <v>1</v>
      </c>
      <c r="Q1063" s="232">
        <f t="shared" si="552"/>
        <v>0.125</v>
      </c>
      <c r="R1063" s="40">
        <v>0.85</v>
      </c>
      <c r="S1063" s="334">
        <f t="shared" si="553"/>
        <v>0.10625</v>
      </c>
      <c r="T1063" s="31">
        <f>VLOOKUP(A1063,'Ansvar kurs'!$A$1:$C$1010,2,FALSE)</f>
        <v>2340</v>
      </c>
      <c r="U1063" s="31" t="str">
        <f>VLOOKUP(T1063,Orgenheter!$A$1:$C$165,2,FALSE)</f>
        <v xml:space="preserve">Statsvetenskap                </v>
      </c>
      <c r="V1063" s="31" t="str">
        <f>VLOOKUP(T1063,Orgenheter!$A$1:$C$165,3,FALSE)</f>
        <v>Sam</v>
      </c>
      <c r="W1063" s="37" t="str">
        <f>VLOOKUP(D1063,Program!$A$1:$B$34,2,FALSE)</f>
        <v>Ämneslärarprogrammet - åk 7-9</v>
      </c>
      <c r="X1063" s="42">
        <f>VLOOKUP(A1063,kurspris!$A$1:$Q$798,15,FALSE)</f>
        <v>23641</v>
      </c>
      <c r="Y1063" s="42">
        <f>VLOOKUP(A1063,kurspris!$A$1:$Q$798,16,FALSE)</f>
        <v>28786</v>
      </c>
      <c r="Z1063" s="42">
        <f t="shared" si="554"/>
        <v>6013.6374999999998</v>
      </c>
      <c r="AA1063" s="42">
        <f>VLOOKUP(A1063,kurspris!$A$1:$Q$798,17,FALSE)</f>
        <v>5800</v>
      </c>
      <c r="AB1063" s="42">
        <f t="shared" si="555"/>
        <v>725</v>
      </c>
      <c r="AC1063" s="42">
        <f t="shared" si="556"/>
        <v>6738.6374999999998</v>
      </c>
      <c r="AD1063" s="31">
        <f>VLOOKUP($A1063,kurspris!$A$1:$Q$835,3,FALSE)</f>
        <v>0</v>
      </c>
      <c r="AE1063" s="31">
        <f>VLOOKUP($A1063,kurspris!$A$1:$Q$835,4,FALSE)</f>
        <v>0</v>
      </c>
      <c r="AF1063" s="31">
        <f>VLOOKUP($A1063,kurspris!$A$1:$Q$835,5,FALSE)</f>
        <v>0</v>
      </c>
      <c r="AG1063" s="31">
        <f>VLOOKUP($A1063,kurspris!$A$1:$Q$835,6,FALSE)</f>
        <v>1</v>
      </c>
      <c r="AH1063" s="31">
        <f>VLOOKUP($A1063,kurspris!$A$1:$Q$835,7,FALSE)</f>
        <v>0</v>
      </c>
      <c r="AI1063" s="31">
        <f>VLOOKUP($A1063,kurspris!$A$1:$Q$835,8,FALSE)</f>
        <v>0</v>
      </c>
      <c r="AJ1063" s="31">
        <f>VLOOKUP($A1063,kurspris!$A$1:$Q$835,9,FALSE)</f>
        <v>0</v>
      </c>
      <c r="AK1063" s="31">
        <f>VLOOKUP($A1063,kurspris!$A$1:$Q$835,10,FALSE)</f>
        <v>0</v>
      </c>
      <c r="AL1063" s="31">
        <f>VLOOKUP($A1063,kurspris!$A$1:$Q$835,11,FALSE)</f>
        <v>0</v>
      </c>
      <c r="AM1063" s="31">
        <f>VLOOKUP($A1063,kurspris!$A$1:$Q$835,12,FALSE)</f>
        <v>0</v>
      </c>
      <c r="AN1063" s="31">
        <f>VLOOKUP($A1063,kurspris!$A$1:$Q$835,13,FALSE)</f>
        <v>0</v>
      </c>
      <c r="AO1063" s="31">
        <f>VLOOKUP($A1063,kurspris!$A$1:$Q$835,14,FALSE)</f>
        <v>0</v>
      </c>
      <c r="AP1063" s="39" t="s">
        <v>2326</v>
      </c>
      <c r="AQ1063"/>
      <c r="AR1063" s="31">
        <f t="shared" si="557"/>
        <v>0</v>
      </c>
      <c r="AS1063" s="255">
        <f t="shared" si="558"/>
        <v>0</v>
      </c>
      <c r="AT1063" s="31">
        <f t="shared" si="559"/>
        <v>0</v>
      </c>
      <c r="AU1063" s="255">
        <f t="shared" si="560"/>
        <v>0</v>
      </c>
      <c r="AV1063" s="31">
        <f t="shared" si="561"/>
        <v>0</v>
      </c>
      <c r="AW1063" s="31">
        <f t="shared" si="562"/>
        <v>0</v>
      </c>
      <c r="AX1063" s="31">
        <f t="shared" si="563"/>
        <v>0.125</v>
      </c>
      <c r="AY1063" s="255">
        <f t="shared" si="564"/>
        <v>0.10625</v>
      </c>
      <c r="AZ1063" s="232">
        <f t="shared" si="565"/>
        <v>0</v>
      </c>
      <c r="BA1063" s="255">
        <f t="shared" si="566"/>
        <v>0</v>
      </c>
      <c r="BB1063" s="31">
        <f t="shared" si="567"/>
        <v>0</v>
      </c>
      <c r="BC1063" s="255">
        <f t="shared" si="568"/>
        <v>0</v>
      </c>
      <c r="BD1063" s="31">
        <f t="shared" si="569"/>
        <v>0</v>
      </c>
      <c r="BE1063" s="255">
        <f t="shared" si="570"/>
        <v>0</v>
      </c>
      <c r="BF1063" s="31">
        <f t="shared" si="571"/>
        <v>0</v>
      </c>
      <c r="BG1063" s="255">
        <f t="shared" si="572"/>
        <v>0</v>
      </c>
      <c r="BH1063" s="31">
        <f t="shared" si="573"/>
        <v>0</v>
      </c>
      <c r="BI1063" s="255">
        <f t="shared" si="574"/>
        <v>0</v>
      </c>
      <c r="BJ1063" s="31">
        <f t="shared" si="575"/>
        <v>0</v>
      </c>
      <c r="BK1063" s="31">
        <f t="shared" si="576"/>
        <v>0</v>
      </c>
      <c r="BL1063" s="255">
        <f t="shared" si="577"/>
        <v>0</v>
      </c>
      <c r="BM1063" s="31">
        <f t="shared" si="578"/>
        <v>0</v>
      </c>
      <c r="BN1063" s="255">
        <f t="shared" si="579"/>
        <v>0</v>
      </c>
    </row>
    <row r="1064" spans="1:66" x14ac:dyDescent="0.25">
      <c r="A1064" s="18" t="s">
        <v>1052</v>
      </c>
      <c r="B1064" s="186" t="str">
        <f>VLOOKUP(A1064,kurspris!$A$1:$B$877,2,FALSE)</f>
        <v>Profession och vetenskap</v>
      </c>
      <c r="C1064" s="37"/>
      <c r="D1064" s="31" t="s">
        <v>482</v>
      </c>
      <c r="E1064" s="31" t="s">
        <v>1975</v>
      </c>
      <c r="F1064" s="59" t="s">
        <v>1931</v>
      </c>
      <c r="G1064" s="31" t="s">
        <v>2269</v>
      </c>
      <c r="J1064" s="31" t="s">
        <v>777</v>
      </c>
      <c r="L1064" s="31">
        <v>100</v>
      </c>
      <c r="M1064" s="31">
        <v>7.5</v>
      </c>
      <c r="P1064" s="31">
        <v>1</v>
      </c>
      <c r="Q1064" s="232">
        <f t="shared" si="552"/>
        <v>0.125</v>
      </c>
      <c r="R1064" s="40">
        <v>0.85</v>
      </c>
      <c r="S1064" s="334">
        <f t="shared" si="553"/>
        <v>0.10625</v>
      </c>
      <c r="T1064" s="31">
        <f>VLOOKUP(A1064,'Ansvar kurs'!$A$1:$C$1010,2,FALSE)</f>
        <v>2340</v>
      </c>
      <c r="U1064" s="31" t="str">
        <f>VLOOKUP(T1064,Orgenheter!$A$1:$C$165,2,FALSE)</f>
        <v xml:space="preserve">Statsvetenskap                </v>
      </c>
      <c r="V1064" s="31" t="str">
        <f>VLOOKUP(T1064,Orgenheter!$A$1:$C$165,3,FALSE)</f>
        <v>Sam</v>
      </c>
      <c r="W1064" s="37" t="str">
        <f>VLOOKUP(D1064,Program!$A$1:$B$34,2,FALSE)</f>
        <v>Ämneslärarprogrammet - åk 7-9</v>
      </c>
      <c r="X1064" s="42">
        <f>VLOOKUP(A1064,kurspris!$A$1:$Q$798,15,FALSE)</f>
        <v>23641</v>
      </c>
      <c r="Y1064" s="42">
        <f>VLOOKUP(A1064,kurspris!$A$1:$Q$798,16,FALSE)</f>
        <v>28786</v>
      </c>
      <c r="Z1064" s="42">
        <f t="shared" si="554"/>
        <v>6013.6374999999998</v>
      </c>
      <c r="AA1064" s="42">
        <f>VLOOKUP(A1064,kurspris!$A$1:$Q$798,17,FALSE)</f>
        <v>5800</v>
      </c>
      <c r="AB1064" s="42">
        <f t="shared" si="555"/>
        <v>725</v>
      </c>
      <c r="AC1064" s="42">
        <f t="shared" si="556"/>
        <v>6738.6374999999998</v>
      </c>
      <c r="AD1064" s="31">
        <f>VLOOKUP($A1064,kurspris!$A$1:$Q$835,3,FALSE)</f>
        <v>0</v>
      </c>
      <c r="AE1064" s="31">
        <f>VLOOKUP($A1064,kurspris!$A$1:$Q$835,4,FALSE)</f>
        <v>0</v>
      </c>
      <c r="AF1064" s="31">
        <f>VLOOKUP($A1064,kurspris!$A$1:$Q$835,5,FALSE)</f>
        <v>0</v>
      </c>
      <c r="AG1064" s="31">
        <f>VLOOKUP($A1064,kurspris!$A$1:$Q$835,6,FALSE)</f>
        <v>1</v>
      </c>
      <c r="AH1064" s="31">
        <f>VLOOKUP($A1064,kurspris!$A$1:$Q$835,7,FALSE)</f>
        <v>0</v>
      </c>
      <c r="AI1064" s="31">
        <f>VLOOKUP($A1064,kurspris!$A$1:$Q$835,8,FALSE)</f>
        <v>0</v>
      </c>
      <c r="AJ1064" s="31">
        <f>VLOOKUP($A1064,kurspris!$A$1:$Q$835,9,FALSE)</f>
        <v>0</v>
      </c>
      <c r="AK1064" s="31">
        <f>VLOOKUP($A1064,kurspris!$A$1:$Q$835,10,FALSE)</f>
        <v>0</v>
      </c>
      <c r="AL1064" s="31">
        <f>VLOOKUP($A1064,kurspris!$A$1:$Q$835,11,FALSE)</f>
        <v>0</v>
      </c>
      <c r="AM1064" s="31">
        <f>VLOOKUP($A1064,kurspris!$A$1:$Q$835,12,FALSE)</f>
        <v>0</v>
      </c>
      <c r="AN1064" s="31">
        <f>VLOOKUP($A1064,kurspris!$A$1:$Q$835,13,FALSE)</f>
        <v>0</v>
      </c>
      <c r="AO1064" s="31">
        <f>VLOOKUP($A1064,kurspris!$A$1:$Q$835,14,FALSE)</f>
        <v>0</v>
      </c>
      <c r="AP1064" s="39" t="s">
        <v>2326</v>
      </c>
      <c r="AQ1064"/>
      <c r="AR1064" s="31">
        <f t="shared" si="557"/>
        <v>0</v>
      </c>
      <c r="AS1064" s="255">
        <f t="shared" si="558"/>
        <v>0</v>
      </c>
      <c r="AT1064" s="31">
        <f t="shared" si="559"/>
        <v>0</v>
      </c>
      <c r="AU1064" s="255">
        <f t="shared" si="560"/>
        <v>0</v>
      </c>
      <c r="AV1064" s="31">
        <f t="shared" si="561"/>
        <v>0</v>
      </c>
      <c r="AW1064" s="31">
        <f t="shared" si="562"/>
        <v>0</v>
      </c>
      <c r="AX1064" s="31">
        <f t="shared" si="563"/>
        <v>0.125</v>
      </c>
      <c r="AY1064" s="255">
        <f t="shared" si="564"/>
        <v>0.10625</v>
      </c>
      <c r="AZ1064" s="232">
        <f t="shared" si="565"/>
        <v>0</v>
      </c>
      <c r="BA1064" s="255">
        <f t="shared" si="566"/>
        <v>0</v>
      </c>
      <c r="BB1064" s="31">
        <f t="shared" si="567"/>
        <v>0</v>
      </c>
      <c r="BC1064" s="255">
        <f t="shared" si="568"/>
        <v>0</v>
      </c>
      <c r="BD1064" s="31">
        <f t="shared" si="569"/>
        <v>0</v>
      </c>
      <c r="BE1064" s="255">
        <f t="shared" si="570"/>
        <v>0</v>
      </c>
      <c r="BF1064" s="31">
        <f t="shared" si="571"/>
        <v>0</v>
      </c>
      <c r="BG1064" s="255">
        <f t="shared" si="572"/>
        <v>0</v>
      </c>
      <c r="BH1064" s="31">
        <f t="shared" si="573"/>
        <v>0</v>
      </c>
      <c r="BI1064" s="255">
        <f t="shared" si="574"/>
        <v>0</v>
      </c>
      <c r="BJ1064" s="31">
        <f t="shared" si="575"/>
        <v>0</v>
      </c>
      <c r="BK1064" s="31">
        <f t="shared" si="576"/>
        <v>0</v>
      </c>
      <c r="BL1064" s="255">
        <f t="shared" si="577"/>
        <v>0</v>
      </c>
      <c r="BM1064" s="31">
        <f t="shared" si="578"/>
        <v>0</v>
      </c>
      <c r="BN1064" s="255">
        <f t="shared" si="579"/>
        <v>0</v>
      </c>
    </row>
    <row r="1065" spans="1:66" x14ac:dyDescent="0.25">
      <c r="A1065" s="18" t="s">
        <v>1052</v>
      </c>
      <c r="B1065" s="186" t="str">
        <f>VLOOKUP(A1065,kurspris!$A$1:$B$877,2,FALSE)</f>
        <v>Profession och vetenskap</v>
      </c>
      <c r="C1065" s="37"/>
      <c r="D1065" s="31" t="s">
        <v>482</v>
      </c>
      <c r="E1065" s="31" t="s">
        <v>1976</v>
      </c>
      <c r="F1065" s="59" t="s">
        <v>1931</v>
      </c>
      <c r="G1065" s="31" t="s">
        <v>2269</v>
      </c>
      <c r="J1065" s="31" t="s">
        <v>773</v>
      </c>
      <c r="L1065" s="31">
        <v>100</v>
      </c>
      <c r="M1065" s="31">
        <v>7.5</v>
      </c>
      <c r="P1065" s="31">
        <v>1</v>
      </c>
      <c r="Q1065" s="232">
        <f t="shared" si="552"/>
        <v>0.125</v>
      </c>
      <c r="R1065" s="40">
        <v>0.85</v>
      </c>
      <c r="S1065" s="334">
        <f t="shared" si="553"/>
        <v>0.10625</v>
      </c>
      <c r="T1065" s="31">
        <f>VLOOKUP(A1065,'Ansvar kurs'!$A$1:$C$1010,2,FALSE)</f>
        <v>2340</v>
      </c>
      <c r="U1065" s="31" t="str">
        <f>VLOOKUP(T1065,Orgenheter!$A$1:$C$165,2,FALSE)</f>
        <v xml:space="preserve">Statsvetenskap                </v>
      </c>
      <c r="V1065" s="31" t="str">
        <f>VLOOKUP(T1065,Orgenheter!$A$1:$C$165,3,FALSE)</f>
        <v>Sam</v>
      </c>
      <c r="W1065" s="37" t="str">
        <f>VLOOKUP(D1065,Program!$A$1:$B$34,2,FALSE)</f>
        <v>Ämneslärarprogrammet - åk 7-9</v>
      </c>
      <c r="X1065" s="42">
        <f>VLOOKUP(A1065,kurspris!$A$1:$Q$798,15,FALSE)</f>
        <v>23641</v>
      </c>
      <c r="Y1065" s="42">
        <f>VLOOKUP(A1065,kurspris!$A$1:$Q$798,16,FALSE)</f>
        <v>28786</v>
      </c>
      <c r="Z1065" s="42">
        <f t="shared" si="554"/>
        <v>6013.6374999999998</v>
      </c>
      <c r="AA1065" s="42">
        <f>VLOOKUP(A1065,kurspris!$A$1:$Q$798,17,FALSE)</f>
        <v>5800</v>
      </c>
      <c r="AB1065" s="42">
        <f t="shared" si="555"/>
        <v>725</v>
      </c>
      <c r="AC1065" s="42">
        <f t="shared" si="556"/>
        <v>6738.6374999999998</v>
      </c>
      <c r="AD1065" s="31">
        <f>VLOOKUP($A1065,kurspris!$A$1:$Q$835,3,FALSE)</f>
        <v>0</v>
      </c>
      <c r="AE1065" s="31">
        <f>VLOOKUP($A1065,kurspris!$A$1:$Q$835,4,FALSE)</f>
        <v>0</v>
      </c>
      <c r="AF1065" s="31">
        <f>VLOOKUP($A1065,kurspris!$A$1:$Q$835,5,FALSE)</f>
        <v>0</v>
      </c>
      <c r="AG1065" s="31">
        <f>VLOOKUP($A1065,kurspris!$A$1:$Q$835,6,FALSE)</f>
        <v>1</v>
      </c>
      <c r="AH1065" s="31">
        <f>VLOOKUP($A1065,kurspris!$A$1:$Q$835,7,FALSE)</f>
        <v>0</v>
      </c>
      <c r="AI1065" s="31">
        <f>VLOOKUP($A1065,kurspris!$A$1:$Q$835,8,FALSE)</f>
        <v>0</v>
      </c>
      <c r="AJ1065" s="31">
        <f>VLOOKUP($A1065,kurspris!$A$1:$Q$835,9,FALSE)</f>
        <v>0</v>
      </c>
      <c r="AK1065" s="31">
        <f>VLOOKUP($A1065,kurspris!$A$1:$Q$835,10,FALSE)</f>
        <v>0</v>
      </c>
      <c r="AL1065" s="31">
        <f>VLOOKUP($A1065,kurspris!$A$1:$Q$835,11,FALSE)</f>
        <v>0</v>
      </c>
      <c r="AM1065" s="31">
        <f>VLOOKUP($A1065,kurspris!$A$1:$Q$835,12,FALSE)</f>
        <v>0</v>
      </c>
      <c r="AN1065" s="31">
        <f>VLOOKUP($A1065,kurspris!$A$1:$Q$835,13,FALSE)</f>
        <v>0</v>
      </c>
      <c r="AO1065" s="31">
        <f>VLOOKUP($A1065,kurspris!$A$1:$Q$835,14,FALSE)</f>
        <v>0</v>
      </c>
      <c r="AP1065" s="39" t="s">
        <v>2326</v>
      </c>
      <c r="AQ1065"/>
      <c r="AR1065" s="31">
        <f t="shared" si="557"/>
        <v>0</v>
      </c>
      <c r="AS1065" s="255">
        <f t="shared" si="558"/>
        <v>0</v>
      </c>
      <c r="AT1065" s="31">
        <f t="shared" si="559"/>
        <v>0</v>
      </c>
      <c r="AU1065" s="255">
        <f t="shared" si="560"/>
        <v>0</v>
      </c>
      <c r="AV1065" s="31">
        <f t="shared" si="561"/>
        <v>0</v>
      </c>
      <c r="AW1065" s="31">
        <f t="shared" si="562"/>
        <v>0</v>
      </c>
      <c r="AX1065" s="31">
        <f t="shared" si="563"/>
        <v>0.125</v>
      </c>
      <c r="AY1065" s="255">
        <f t="shared" si="564"/>
        <v>0.10625</v>
      </c>
      <c r="AZ1065" s="232">
        <f t="shared" si="565"/>
        <v>0</v>
      </c>
      <c r="BA1065" s="255">
        <f t="shared" si="566"/>
        <v>0</v>
      </c>
      <c r="BB1065" s="31">
        <f t="shared" si="567"/>
        <v>0</v>
      </c>
      <c r="BC1065" s="255">
        <f t="shared" si="568"/>
        <v>0</v>
      </c>
      <c r="BD1065" s="31">
        <f t="shared" si="569"/>
        <v>0</v>
      </c>
      <c r="BE1065" s="255">
        <f t="shared" si="570"/>
        <v>0</v>
      </c>
      <c r="BF1065" s="31">
        <f t="shared" si="571"/>
        <v>0</v>
      </c>
      <c r="BG1065" s="255">
        <f t="shared" si="572"/>
        <v>0</v>
      </c>
      <c r="BH1065" s="31">
        <f t="shared" si="573"/>
        <v>0</v>
      </c>
      <c r="BI1065" s="255">
        <f t="shared" si="574"/>
        <v>0</v>
      </c>
      <c r="BJ1065" s="31">
        <f t="shared" si="575"/>
        <v>0</v>
      </c>
      <c r="BK1065" s="31">
        <f t="shared" si="576"/>
        <v>0</v>
      </c>
      <c r="BL1065" s="255">
        <f t="shared" si="577"/>
        <v>0</v>
      </c>
      <c r="BM1065" s="31">
        <f t="shared" si="578"/>
        <v>0</v>
      </c>
      <c r="BN1065" s="255">
        <f t="shared" si="579"/>
        <v>0</v>
      </c>
    </row>
    <row r="1066" spans="1:66" x14ac:dyDescent="0.25">
      <c r="A1066" t="s">
        <v>1052</v>
      </c>
      <c r="B1066" s="186" t="str">
        <f>VLOOKUP(A1066,kurspris!$A$1:$B$877,2,FALSE)</f>
        <v>Profession och vetenskap</v>
      </c>
      <c r="C1066"/>
      <c r="D1066" t="s">
        <v>483</v>
      </c>
      <c r="E1066" t="s">
        <v>1992</v>
      </c>
      <c r="F1066" s="59" t="s">
        <v>1930</v>
      </c>
      <c r="G1066" t="s">
        <v>1933</v>
      </c>
      <c r="H1066" t="s">
        <v>1910</v>
      </c>
      <c r="I1066"/>
      <c r="J1066" t="s">
        <v>772</v>
      </c>
      <c r="K1066"/>
      <c r="L1066">
        <v>100</v>
      </c>
      <c r="M1066">
        <v>7.5</v>
      </c>
      <c r="N1066"/>
      <c r="O1066"/>
      <c r="P1066" s="31">
        <v>1</v>
      </c>
      <c r="Q1066" s="232">
        <f t="shared" si="552"/>
        <v>0.125</v>
      </c>
      <c r="R1066" s="40">
        <v>0.85</v>
      </c>
      <c r="S1066" s="334">
        <f t="shared" si="553"/>
        <v>0.10625</v>
      </c>
      <c r="T1066" s="31">
        <f>VLOOKUP(A1066,'Ansvar kurs'!$A$1:$C$1010,2,FALSE)</f>
        <v>2340</v>
      </c>
      <c r="U1066" s="31" t="str">
        <f>VLOOKUP(T1066,Orgenheter!$A$1:$C$165,2,FALSE)</f>
        <v xml:space="preserve">Statsvetenskap                </v>
      </c>
      <c r="V1066" s="31" t="str">
        <f>VLOOKUP(T1066,Orgenheter!$A$1:$C$165,3,FALSE)</f>
        <v>Sam</v>
      </c>
      <c r="W1066" s="37" t="str">
        <f>VLOOKUP(D1066,Program!$A$1:$B$34,2,FALSE)</f>
        <v>Ämneslärarprogrammet - Gy</v>
      </c>
      <c r="X1066" s="42">
        <f>VLOOKUP(A1066,kurspris!$A$1:$Q$798,15,FALSE)</f>
        <v>23641</v>
      </c>
      <c r="Y1066" s="42">
        <f>VLOOKUP(A1066,kurspris!$A$1:$Q$798,16,FALSE)</f>
        <v>28786</v>
      </c>
      <c r="Z1066" s="42">
        <f t="shared" si="554"/>
        <v>6013.6374999999998</v>
      </c>
      <c r="AA1066" s="42">
        <f>VLOOKUP(A1066,kurspris!$A$1:$Q$798,17,FALSE)</f>
        <v>5800</v>
      </c>
      <c r="AB1066" s="42">
        <f t="shared" si="555"/>
        <v>725</v>
      </c>
      <c r="AC1066" s="42">
        <f t="shared" si="556"/>
        <v>6738.6374999999998</v>
      </c>
      <c r="AD1066" s="31">
        <f>VLOOKUP($A1066,kurspris!$A$1:$Q$835,3,FALSE)</f>
        <v>0</v>
      </c>
      <c r="AE1066" s="31">
        <f>VLOOKUP($A1066,kurspris!$A$1:$Q$835,4,FALSE)</f>
        <v>0</v>
      </c>
      <c r="AF1066" s="31">
        <f>VLOOKUP($A1066,kurspris!$A$1:$Q$835,5,FALSE)</f>
        <v>0</v>
      </c>
      <c r="AG1066" s="31">
        <f>VLOOKUP($A1066,kurspris!$A$1:$Q$835,6,FALSE)</f>
        <v>1</v>
      </c>
      <c r="AH1066" s="31">
        <f>VLOOKUP($A1066,kurspris!$A$1:$Q$835,7,FALSE)</f>
        <v>0</v>
      </c>
      <c r="AI1066" s="31">
        <f>VLOOKUP($A1066,kurspris!$A$1:$Q$835,8,FALSE)</f>
        <v>0</v>
      </c>
      <c r="AJ1066" s="31">
        <f>VLOOKUP($A1066,kurspris!$A$1:$Q$835,9,FALSE)</f>
        <v>0</v>
      </c>
      <c r="AK1066" s="31">
        <f>VLOOKUP($A1066,kurspris!$A$1:$Q$835,10,FALSE)</f>
        <v>0</v>
      </c>
      <c r="AL1066" s="31">
        <f>VLOOKUP($A1066,kurspris!$A$1:$Q$835,11,FALSE)</f>
        <v>0</v>
      </c>
      <c r="AM1066" s="31">
        <f>VLOOKUP($A1066,kurspris!$A$1:$Q$835,12,FALSE)</f>
        <v>0</v>
      </c>
      <c r="AN1066" s="31">
        <f>VLOOKUP($A1066,kurspris!$A$1:$Q$835,13,FALSE)</f>
        <v>0</v>
      </c>
      <c r="AO1066" s="31">
        <f>VLOOKUP($A1066,kurspris!$A$1:$Q$835,14,FALSE)</f>
        <v>0</v>
      </c>
      <c r="AP1066" s="39" t="s">
        <v>2235</v>
      </c>
      <c r="AQ1066"/>
      <c r="AR1066" s="31">
        <f t="shared" si="557"/>
        <v>0</v>
      </c>
      <c r="AS1066" s="255">
        <f t="shared" si="558"/>
        <v>0</v>
      </c>
      <c r="AT1066" s="31">
        <f t="shared" si="559"/>
        <v>0</v>
      </c>
      <c r="AU1066" s="255">
        <f t="shared" si="560"/>
        <v>0</v>
      </c>
      <c r="AV1066" s="31">
        <f t="shared" si="561"/>
        <v>0</v>
      </c>
      <c r="AW1066" s="31">
        <f t="shared" si="562"/>
        <v>0</v>
      </c>
      <c r="AX1066" s="31">
        <f t="shared" si="563"/>
        <v>0.125</v>
      </c>
      <c r="AY1066" s="255">
        <f t="shared" si="564"/>
        <v>0.10625</v>
      </c>
      <c r="AZ1066" s="232">
        <f t="shared" si="565"/>
        <v>0</v>
      </c>
      <c r="BA1066" s="255">
        <f t="shared" si="566"/>
        <v>0</v>
      </c>
      <c r="BB1066" s="31">
        <f t="shared" si="567"/>
        <v>0</v>
      </c>
      <c r="BC1066" s="255">
        <f t="shared" si="568"/>
        <v>0</v>
      </c>
      <c r="BD1066" s="31">
        <f t="shared" si="569"/>
        <v>0</v>
      </c>
      <c r="BE1066" s="255">
        <f t="shared" si="570"/>
        <v>0</v>
      </c>
      <c r="BF1066" s="31">
        <f t="shared" si="571"/>
        <v>0</v>
      </c>
      <c r="BG1066" s="255">
        <f t="shared" si="572"/>
        <v>0</v>
      </c>
      <c r="BH1066" s="31">
        <f t="shared" si="573"/>
        <v>0</v>
      </c>
      <c r="BI1066" s="255">
        <f t="shared" si="574"/>
        <v>0</v>
      </c>
      <c r="BJ1066" s="31">
        <f t="shared" si="575"/>
        <v>0</v>
      </c>
      <c r="BK1066" s="31">
        <f t="shared" si="576"/>
        <v>0</v>
      </c>
      <c r="BL1066" s="255">
        <f t="shared" si="577"/>
        <v>0</v>
      </c>
      <c r="BM1066" s="31">
        <f t="shared" si="578"/>
        <v>0</v>
      </c>
      <c r="BN1066" s="255">
        <f t="shared" si="579"/>
        <v>0</v>
      </c>
    </row>
    <row r="1067" spans="1:66" x14ac:dyDescent="0.25">
      <c r="A1067" t="s">
        <v>1052</v>
      </c>
      <c r="B1067" s="186" t="str">
        <f>VLOOKUP(A1067,kurspris!$A$1:$B$877,2,FALSE)</f>
        <v>Profession och vetenskap</v>
      </c>
      <c r="C1067"/>
      <c r="D1067" t="s">
        <v>483</v>
      </c>
      <c r="E1067" t="s">
        <v>1992</v>
      </c>
      <c r="F1067" s="59" t="s">
        <v>1930</v>
      </c>
      <c r="G1067" t="s">
        <v>1933</v>
      </c>
      <c r="H1067" t="s">
        <v>1910</v>
      </c>
      <c r="I1067"/>
      <c r="J1067" t="s">
        <v>773</v>
      </c>
      <c r="K1067"/>
      <c r="L1067">
        <v>100</v>
      </c>
      <c r="M1067">
        <v>7.5</v>
      </c>
      <c r="N1067"/>
      <c r="O1067"/>
      <c r="P1067" s="31">
        <v>1</v>
      </c>
      <c r="Q1067" s="232">
        <f t="shared" si="552"/>
        <v>0.125</v>
      </c>
      <c r="R1067" s="40">
        <v>0.85</v>
      </c>
      <c r="S1067" s="334">
        <f t="shared" si="553"/>
        <v>0.10625</v>
      </c>
      <c r="T1067" s="31">
        <f>VLOOKUP(A1067,'Ansvar kurs'!$A$1:$C$1010,2,FALSE)</f>
        <v>2340</v>
      </c>
      <c r="U1067" s="31" t="str">
        <f>VLOOKUP(T1067,Orgenheter!$A$1:$C$165,2,FALSE)</f>
        <v xml:space="preserve">Statsvetenskap                </v>
      </c>
      <c r="V1067" s="31" t="str">
        <f>VLOOKUP(T1067,Orgenheter!$A$1:$C$165,3,FALSE)</f>
        <v>Sam</v>
      </c>
      <c r="W1067" s="37" t="str">
        <f>VLOOKUP(D1067,Program!$A$1:$B$34,2,FALSE)</f>
        <v>Ämneslärarprogrammet - Gy</v>
      </c>
      <c r="X1067" s="42">
        <f>VLOOKUP(A1067,kurspris!$A$1:$Q$798,15,FALSE)</f>
        <v>23641</v>
      </c>
      <c r="Y1067" s="42">
        <f>VLOOKUP(A1067,kurspris!$A$1:$Q$798,16,FALSE)</f>
        <v>28786</v>
      </c>
      <c r="Z1067" s="42">
        <f t="shared" si="554"/>
        <v>6013.6374999999998</v>
      </c>
      <c r="AA1067" s="42">
        <f>VLOOKUP(A1067,kurspris!$A$1:$Q$798,17,FALSE)</f>
        <v>5800</v>
      </c>
      <c r="AB1067" s="42">
        <f t="shared" si="555"/>
        <v>725</v>
      </c>
      <c r="AC1067" s="42">
        <f t="shared" si="556"/>
        <v>6738.6374999999998</v>
      </c>
      <c r="AD1067" s="31">
        <f>VLOOKUP($A1067,kurspris!$A$1:$Q$835,3,FALSE)</f>
        <v>0</v>
      </c>
      <c r="AE1067" s="31">
        <f>VLOOKUP($A1067,kurspris!$A$1:$Q$835,4,FALSE)</f>
        <v>0</v>
      </c>
      <c r="AF1067" s="31">
        <f>VLOOKUP($A1067,kurspris!$A$1:$Q$835,5,FALSE)</f>
        <v>0</v>
      </c>
      <c r="AG1067" s="31">
        <f>VLOOKUP($A1067,kurspris!$A$1:$Q$835,6,FALSE)</f>
        <v>1</v>
      </c>
      <c r="AH1067" s="31">
        <f>VLOOKUP($A1067,kurspris!$A$1:$Q$835,7,FALSE)</f>
        <v>0</v>
      </c>
      <c r="AI1067" s="31">
        <f>VLOOKUP($A1067,kurspris!$A$1:$Q$835,8,FALSE)</f>
        <v>0</v>
      </c>
      <c r="AJ1067" s="31">
        <f>VLOOKUP($A1067,kurspris!$A$1:$Q$835,9,FALSE)</f>
        <v>0</v>
      </c>
      <c r="AK1067" s="31">
        <f>VLOOKUP($A1067,kurspris!$A$1:$Q$835,10,FALSE)</f>
        <v>0</v>
      </c>
      <c r="AL1067" s="31">
        <f>VLOOKUP($A1067,kurspris!$A$1:$Q$835,11,FALSE)</f>
        <v>0</v>
      </c>
      <c r="AM1067" s="31">
        <f>VLOOKUP($A1067,kurspris!$A$1:$Q$835,12,FALSE)</f>
        <v>0</v>
      </c>
      <c r="AN1067" s="31">
        <f>VLOOKUP($A1067,kurspris!$A$1:$Q$835,13,FALSE)</f>
        <v>0</v>
      </c>
      <c r="AO1067" s="31">
        <f>VLOOKUP($A1067,kurspris!$A$1:$Q$835,14,FALSE)</f>
        <v>0</v>
      </c>
      <c r="AP1067" s="39" t="s">
        <v>2235</v>
      </c>
      <c r="AQ1067"/>
      <c r="AR1067" s="31">
        <f t="shared" si="557"/>
        <v>0</v>
      </c>
      <c r="AS1067" s="255">
        <f t="shared" si="558"/>
        <v>0</v>
      </c>
      <c r="AT1067" s="31">
        <f t="shared" si="559"/>
        <v>0</v>
      </c>
      <c r="AU1067" s="255">
        <f t="shared" si="560"/>
        <v>0</v>
      </c>
      <c r="AV1067" s="31">
        <f t="shared" si="561"/>
        <v>0</v>
      </c>
      <c r="AW1067" s="31">
        <f t="shared" si="562"/>
        <v>0</v>
      </c>
      <c r="AX1067" s="31">
        <f t="shared" si="563"/>
        <v>0.125</v>
      </c>
      <c r="AY1067" s="255">
        <f t="shared" si="564"/>
        <v>0.10625</v>
      </c>
      <c r="AZ1067" s="232">
        <f t="shared" si="565"/>
        <v>0</v>
      </c>
      <c r="BA1067" s="255">
        <f t="shared" si="566"/>
        <v>0</v>
      </c>
      <c r="BB1067" s="31">
        <f t="shared" si="567"/>
        <v>0</v>
      </c>
      <c r="BC1067" s="255">
        <f t="shared" si="568"/>
        <v>0</v>
      </c>
      <c r="BD1067" s="31">
        <f t="shared" si="569"/>
        <v>0</v>
      </c>
      <c r="BE1067" s="255">
        <f t="shared" si="570"/>
        <v>0</v>
      </c>
      <c r="BF1067" s="31">
        <f t="shared" si="571"/>
        <v>0</v>
      </c>
      <c r="BG1067" s="255">
        <f t="shared" si="572"/>
        <v>0</v>
      </c>
      <c r="BH1067" s="31">
        <f t="shared" si="573"/>
        <v>0</v>
      </c>
      <c r="BI1067" s="255">
        <f t="shared" si="574"/>
        <v>0</v>
      </c>
      <c r="BJ1067" s="31">
        <f t="shared" si="575"/>
        <v>0</v>
      </c>
      <c r="BK1067" s="31">
        <f t="shared" si="576"/>
        <v>0</v>
      </c>
      <c r="BL1067" s="255">
        <f t="shared" si="577"/>
        <v>0</v>
      </c>
      <c r="BM1067" s="31">
        <f t="shared" si="578"/>
        <v>0</v>
      </c>
      <c r="BN1067" s="255">
        <f t="shared" si="579"/>
        <v>0</v>
      </c>
    </row>
    <row r="1068" spans="1:66" x14ac:dyDescent="0.25">
      <c r="A1068" t="s">
        <v>1052</v>
      </c>
      <c r="B1068" s="186" t="str">
        <f>VLOOKUP(A1068,kurspris!$A$1:$B$877,2,FALSE)</f>
        <v>Profession och vetenskap</v>
      </c>
      <c r="C1068"/>
      <c r="D1068" t="s">
        <v>483</v>
      </c>
      <c r="E1068" t="s">
        <v>1975</v>
      </c>
      <c r="F1068" s="59" t="s">
        <v>1930</v>
      </c>
      <c r="G1068" t="s">
        <v>1933</v>
      </c>
      <c r="H1068" t="s">
        <v>1910</v>
      </c>
      <c r="I1068"/>
      <c r="J1068" t="s">
        <v>771</v>
      </c>
      <c r="K1068"/>
      <c r="L1068">
        <v>100</v>
      </c>
      <c r="M1068">
        <v>7.5</v>
      </c>
      <c r="N1068"/>
      <c r="O1068"/>
      <c r="P1068" s="31">
        <v>1</v>
      </c>
      <c r="Q1068" s="232">
        <f t="shared" si="552"/>
        <v>0.125</v>
      </c>
      <c r="R1068" s="40">
        <v>0.85</v>
      </c>
      <c r="S1068" s="334">
        <f t="shared" si="553"/>
        <v>0.10625</v>
      </c>
      <c r="T1068" s="31">
        <f>VLOOKUP(A1068,'Ansvar kurs'!$A$1:$C$1010,2,FALSE)</f>
        <v>2340</v>
      </c>
      <c r="U1068" s="31" t="str">
        <f>VLOOKUP(T1068,Orgenheter!$A$1:$C$165,2,FALSE)</f>
        <v xml:space="preserve">Statsvetenskap                </v>
      </c>
      <c r="V1068" s="31" t="str">
        <f>VLOOKUP(T1068,Orgenheter!$A$1:$C$165,3,FALSE)</f>
        <v>Sam</v>
      </c>
      <c r="W1068" s="37" t="str">
        <f>VLOOKUP(D1068,Program!$A$1:$B$34,2,FALSE)</f>
        <v>Ämneslärarprogrammet - Gy</v>
      </c>
      <c r="X1068" s="42">
        <f>VLOOKUP(A1068,kurspris!$A$1:$Q$798,15,FALSE)</f>
        <v>23641</v>
      </c>
      <c r="Y1068" s="42">
        <f>VLOOKUP(A1068,kurspris!$A$1:$Q$798,16,FALSE)</f>
        <v>28786</v>
      </c>
      <c r="Z1068" s="42">
        <f t="shared" si="554"/>
        <v>6013.6374999999998</v>
      </c>
      <c r="AA1068" s="42">
        <f>VLOOKUP(A1068,kurspris!$A$1:$Q$798,17,FALSE)</f>
        <v>5800</v>
      </c>
      <c r="AB1068" s="42">
        <f t="shared" si="555"/>
        <v>725</v>
      </c>
      <c r="AC1068" s="42">
        <f t="shared" si="556"/>
        <v>6738.6374999999998</v>
      </c>
      <c r="AD1068" s="31">
        <f>VLOOKUP($A1068,kurspris!$A$1:$Q$835,3,FALSE)</f>
        <v>0</v>
      </c>
      <c r="AE1068" s="31">
        <f>VLOOKUP($A1068,kurspris!$A$1:$Q$835,4,FALSE)</f>
        <v>0</v>
      </c>
      <c r="AF1068" s="31">
        <f>VLOOKUP($A1068,kurspris!$A$1:$Q$835,5,FALSE)</f>
        <v>0</v>
      </c>
      <c r="AG1068" s="31">
        <f>VLOOKUP($A1068,kurspris!$A$1:$Q$835,6,FALSE)</f>
        <v>1</v>
      </c>
      <c r="AH1068" s="31">
        <f>VLOOKUP($A1068,kurspris!$A$1:$Q$835,7,FALSE)</f>
        <v>0</v>
      </c>
      <c r="AI1068" s="31">
        <f>VLOOKUP($A1068,kurspris!$A$1:$Q$835,8,FALSE)</f>
        <v>0</v>
      </c>
      <c r="AJ1068" s="31">
        <f>VLOOKUP($A1068,kurspris!$A$1:$Q$835,9,FALSE)</f>
        <v>0</v>
      </c>
      <c r="AK1068" s="31">
        <f>VLOOKUP($A1068,kurspris!$A$1:$Q$835,10,FALSE)</f>
        <v>0</v>
      </c>
      <c r="AL1068" s="31">
        <f>VLOOKUP($A1068,kurspris!$A$1:$Q$835,11,FALSE)</f>
        <v>0</v>
      </c>
      <c r="AM1068" s="31">
        <f>VLOOKUP($A1068,kurspris!$A$1:$Q$835,12,FALSE)</f>
        <v>0</v>
      </c>
      <c r="AN1068" s="31">
        <f>VLOOKUP($A1068,kurspris!$A$1:$Q$835,13,FALSE)</f>
        <v>0</v>
      </c>
      <c r="AO1068" s="31">
        <f>VLOOKUP($A1068,kurspris!$A$1:$Q$835,14,FALSE)</f>
        <v>0</v>
      </c>
      <c r="AP1068" s="39" t="s">
        <v>2235</v>
      </c>
      <c r="AQ1068"/>
      <c r="AR1068" s="31">
        <f t="shared" si="557"/>
        <v>0</v>
      </c>
      <c r="AS1068" s="255">
        <f t="shared" si="558"/>
        <v>0</v>
      </c>
      <c r="AT1068" s="31">
        <f t="shared" si="559"/>
        <v>0</v>
      </c>
      <c r="AU1068" s="255">
        <f t="shared" si="560"/>
        <v>0</v>
      </c>
      <c r="AV1068" s="31">
        <f t="shared" si="561"/>
        <v>0</v>
      </c>
      <c r="AW1068" s="31">
        <f t="shared" si="562"/>
        <v>0</v>
      </c>
      <c r="AX1068" s="31">
        <f t="shared" si="563"/>
        <v>0.125</v>
      </c>
      <c r="AY1068" s="255">
        <f t="shared" si="564"/>
        <v>0.10625</v>
      </c>
      <c r="AZ1068" s="232">
        <f t="shared" si="565"/>
        <v>0</v>
      </c>
      <c r="BA1068" s="255">
        <f t="shared" si="566"/>
        <v>0</v>
      </c>
      <c r="BB1068" s="31">
        <f t="shared" si="567"/>
        <v>0</v>
      </c>
      <c r="BC1068" s="255">
        <f t="shared" si="568"/>
        <v>0</v>
      </c>
      <c r="BD1068" s="31">
        <f t="shared" si="569"/>
        <v>0</v>
      </c>
      <c r="BE1068" s="255">
        <f t="shared" si="570"/>
        <v>0</v>
      </c>
      <c r="BF1068" s="31">
        <f t="shared" si="571"/>
        <v>0</v>
      </c>
      <c r="BG1068" s="255">
        <f t="shared" si="572"/>
        <v>0</v>
      </c>
      <c r="BH1068" s="31">
        <f t="shared" si="573"/>
        <v>0</v>
      </c>
      <c r="BI1068" s="255">
        <f t="shared" si="574"/>
        <v>0</v>
      </c>
      <c r="BJ1068" s="31">
        <f t="shared" si="575"/>
        <v>0</v>
      </c>
      <c r="BK1068" s="31">
        <f t="shared" si="576"/>
        <v>0</v>
      </c>
      <c r="BL1068" s="255">
        <f t="shared" si="577"/>
        <v>0</v>
      </c>
      <c r="BM1068" s="31">
        <f t="shared" si="578"/>
        <v>0</v>
      </c>
      <c r="BN1068" s="255">
        <f t="shared" si="579"/>
        <v>0</v>
      </c>
    </row>
    <row r="1069" spans="1:66" x14ac:dyDescent="0.25">
      <c r="A1069" t="s">
        <v>1052</v>
      </c>
      <c r="B1069" s="186" t="str">
        <f>VLOOKUP(A1069,kurspris!$A$1:$B$877,2,FALSE)</f>
        <v>Profession och vetenskap</v>
      </c>
      <c r="C1069"/>
      <c r="D1069" t="s">
        <v>483</v>
      </c>
      <c r="E1069" t="s">
        <v>1975</v>
      </c>
      <c r="F1069" s="59" t="s">
        <v>1930</v>
      </c>
      <c r="G1069" t="s">
        <v>1933</v>
      </c>
      <c r="H1069" t="s">
        <v>1910</v>
      </c>
      <c r="I1069"/>
      <c r="J1069" t="s">
        <v>771</v>
      </c>
      <c r="K1069"/>
      <c r="L1069">
        <v>100</v>
      </c>
      <c r="M1069">
        <v>7.5</v>
      </c>
      <c r="N1069"/>
      <c r="O1069"/>
      <c r="P1069" s="31">
        <v>14</v>
      </c>
      <c r="Q1069" s="232">
        <f t="shared" si="552"/>
        <v>1.75</v>
      </c>
      <c r="R1069" s="40">
        <v>0.85</v>
      </c>
      <c r="S1069" s="334">
        <f t="shared" si="553"/>
        <v>1.4875</v>
      </c>
      <c r="T1069" s="31">
        <f>VLOOKUP(A1069,'Ansvar kurs'!$A$1:$C$1010,2,FALSE)</f>
        <v>2340</v>
      </c>
      <c r="U1069" s="31" t="str">
        <f>VLOOKUP(T1069,Orgenheter!$A$1:$C$165,2,FALSE)</f>
        <v xml:space="preserve">Statsvetenskap                </v>
      </c>
      <c r="V1069" s="31" t="str">
        <f>VLOOKUP(T1069,Orgenheter!$A$1:$C$165,3,FALSE)</f>
        <v>Sam</v>
      </c>
      <c r="W1069" s="37" t="str">
        <f>VLOOKUP(D1069,Program!$A$1:$B$34,2,FALSE)</f>
        <v>Ämneslärarprogrammet - Gy</v>
      </c>
      <c r="X1069" s="42">
        <f>VLOOKUP(A1069,kurspris!$A$1:$Q$798,15,FALSE)</f>
        <v>23641</v>
      </c>
      <c r="Y1069" s="42">
        <f>VLOOKUP(A1069,kurspris!$A$1:$Q$798,16,FALSE)</f>
        <v>28786</v>
      </c>
      <c r="Z1069" s="42">
        <f t="shared" si="554"/>
        <v>84190.925000000003</v>
      </c>
      <c r="AA1069" s="42">
        <f>VLOOKUP(A1069,kurspris!$A$1:$Q$798,17,FALSE)</f>
        <v>5800</v>
      </c>
      <c r="AB1069" s="42">
        <f t="shared" si="555"/>
        <v>10150</v>
      </c>
      <c r="AC1069" s="42">
        <f t="shared" si="556"/>
        <v>94340.925000000003</v>
      </c>
      <c r="AD1069" s="31">
        <f>VLOOKUP($A1069,kurspris!$A$1:$Q$835,3,FALSE)</f>
        <v>0</v>
      </c>
      <c r="AE1069" s="31">
        <f>VLOOKUP($A1069,kurspris!$A$1:$Q$835,4,FALSE)</f>
        <v>0</v>
      </c>
      <c r="AF1069" s="31">
        <f>VLOOKUP($A1069,kurspris!$A$1:$Q$835,5,FALSE)</f>
        <v>0</v>
      </c>
      <c r="AG1069" s="31">
        <f>VLOOKUP($A1069,kurspris!$A$1:$Q$835,6,FALSE)</f>
        <v>1</v>
      </c>
      <c r="AH1069" s="31">
        <f>VLOOKUP($A1069,kurspris!$A$1:$Q$835,7,FALSE)</f>
        <v>0</v>
      </c>
      <c r="AI1069" s="31">
        <f>VLOOKUP($A1069,kurspris!$A$1:$Q$835,8,FALSE)</f>
        <v>0</v>
      </c>
      <c r="AJ1069" s="31">
        <f>VLOOKUP($A1069,kurspris!$A$1:$Q$835,9,FALSE)</f>
        <v>0</v>
      </c>
      <c r="AK1069" s="31">
        <f>VLOOKUP($A1069,kurspris!$A$1:$Q$835,10,FALSE)</f>
        <v>0</v>
      </c>
      <c r="AL1069" s="31">
        <f>VLOOKUP($A1069,kurspris!$A$1:$Q$835,11,FALSE)</f>
        <v>0</v>
      </c>
      <c r="AM1069" s="31">
        <f>VLOOKUP($A1069,kurspris!$A$1:$Q$835,12,FALSE)</f>
        <v>0</v>
      </c>
      <c r="AN1069" s="31">
        <f>VLOOKUP($A1069,kurspris!$A$1:$Q$835,13,FALSE)</f>
        <v>0</v>
      </c>
      <c r="AO1069" s="31">
        <f>VLOOKUP($A1069,kurspris!$A$1:$Q$835,14,FALSE)</f>
        <v>0</v>
      </c>
      <c r="AP1069" s="39" t="s">
        <v>2235</v>
      </c>
      <c r="AQ1069"/>
      <c r="AR1069" s="31">
        <f t="shared" si="557"/>
        <v>0</v>
      </c>
      <c r="AS1069" s="255">
        <f t="shared" si="558"/>
        <v>0</v>
      </c>
      <c r="AT1069" s="31">
        <f t="shared" si="559"/>
        <v>0</v>
      </c>
      <c r="AU1069" s="255">
        <f t="shared" si="560"/>
        <v>0</v>
      </c>
      <c r="AV1069" s="31">
        <f t="shared" si="561"/>
        <v>0</v>
      </c>
      <c r="AW1069" s="31">
        <f t="shared" si="562"/>
        <v>0</v>
      </c>
      <c r="AX1069" s="31">
        <f t="shared" si="563"/>
        <v>1.75</v>
      </c>
      <c r="AY1069" s="255">
        <f t="shared" si="564"/>
        <v>1.4875</v>
      </c>
      <c r="AZ1069" s="232">
        <f t="shared" si="565"/>
        <v>0</v>
      </c>
      <c r="BA1069" s="255">
        <f t="shared" si="566"/>
        <v>0</v>
      </c>
      <c r="BB1069" s="31">
        <f t="shared" si="567"/>
        <v>0</v>
      </c>
      <c r="BC1069" s="255">
        <f t="shared" si="568"/>
        <v>0</v>
      </c>
      <c r="BD1069" s="31">
        <f t="shared" si="569"/>
        <v>0</v>
      </c>
      <c r="BE1069" s="255">
        <f t="shared" si="570"/>
        <v>0</v>
      </c>
      <c r="BF1069" s="31">
        <f t="shared" si="571"/>
        <v>0</v>
      </c>
      <c r="BG1069" s="255">
        <f t="shared" si="572"/>
        <v>0</v>
      </c>
      <c r="BH1069" s="31">
        <f t="shared" si="573"/>
        <v>0</v>
      </c>
      <c r="BI1069" s="255">
        <f t="shared" si="574"/>
        <v>0</v>
      </c>
      <c r="BJ1069" s="31">
        <f t="shared" si="575"/>
        <v>0</v>
      </c>
      <c r="BK1069" s="31">
        <f t="shared" si="576"/>
        <v>0</v>
      </c>
      <c r="BL1069" s="255">
        <f t="shared" si="577"/>
        <v>0</v>
      </c>
      <c r="BM1069" s="31">
        <f t="shared" si="578"/>
        <v>0</v>
      </c>
      <c r="BN1069" s="255">
        <f t="shared" si="579"/>
        <v>0</v>
      </c>
    </row>
    <row r="1070" spans="1:66" x14ac:dyDescent="0.25">
      <c r="A1070" t="s">
        <v>1052</v>
      </c>
      <c r="B1070" s="186" t="str">
        <f>VLOOKUP(A1070,kurspris!$A$1:$B$877,2,FALSE)</f>
        <v>Profession och vetenskap</v>
      </c>
      <c r="C1070"/>
      <c r="D1070" t="s">
        <v>483</v>
      </c>
      <c r="E1070" t="s">
        <v>1975</v>
      </c>
      <c r="F1070" s="59" t="s">
        <v>1930</v>
      </c>
      <c r="G1070" t="s">
        <v>1933</v>
      </c>
      <c r="H1070" t="s">
        <v>1910</v>
      </c>
      <c r="I1070"/>
      <c r="J1070" t="s">
        <v>772</v>
      </c>
      <c r="K1070"/>
      <c r="L1070">
        <v>100</v>
      </c>
      <c r="M1070">
        <v>7.5</v>
      </c>
      <c r="N1070"/>
      <c r="O1070"/>
      <c r="P1070" s="31">
        <v>7</v>
      </c>
      <c r="Q1070" s="232">
        <f t="shared" si="552"/>
        <v>0.875</v>
      </c>
      <c r="R1070" s="40">
        <v>0.85</v>
      </c>
      <c r="S1070" s="334">
        <f t="shared" si="553"/>
        <v>0.74375000000000002</v>
      </c>
      <c r="T1070" s="31">
        <f>VLOOKUP(A1070,'Ansvar kurs'!$A$1:$C$1010,2,FALSE)</f>
        <v>2340</v>
      </c>
      <c r="U1070" s="31" t="str">
        <f>VLOOKUP(T1070,Orgenheter!$A$1:$C$165,2,FALSE)</f>
        <v xml:space="preserve">Statsvetenskap                </v>
      </c>
      <c r="V1070" s="31" t="str">
        <f>VLOOKUP(T1070,Orgenheter!$A$1:$C$165,3,FALSE)</f>
        <v>Sam</v>
      </c>
      <c r="W1070" s="37" t="str">
        <f>VLOOKUP(D1070,Program!$A$1:$B$34,2,FALSE)</f>
        <v>Ämneslärarprogrammet - Gy</v>
      </c>
      <c r="X1070" s="42">
        <f>VLOOKUP(A1070,kurspris!$A$1:$Q$798,15,FALSE)</f>
        <v>23641</v>
      </c>
      <c r="Y1070" s="42">
        <f>VLOOKUP(A1070,kurspris!$A$1:$Q$798,16,FALSE)</f>
        <v>28786</v>
      </c>
      <c r="Z1070" s="42">
        <f t="shared" si="554"/>
        <v>42095.462500000001</v>
      </c>
      <c r="AA1070" s="42">
        <f>VLOOKUP(A1070,kurspris!$A$1:$Q$798,17,FALSE)</f>
        <v>5800</v>
      </c>
      <c r="AB1070" s="42">
        <f t="shared" si="555"/>
        <v>5075</v>
      </c>
      <c r="AC1070" s="42">
        <f t="shared" si="556"/>
        <v>47170.462500000001</v>
      </c>
      <c r="AD1070" s="31">
        <f>VLOOKUP($A1070,kurspris!$A$1:$Q$835,3,FALSE)</f>
        <v>0</v>
      </c>
      <c r="AE1070" s="31">
        <f>VLOOKUP($A1070,kurspris!$A$1:$Q$835,4,FALSE)</f>
        <v>0</v>
      </c>
      <c r="AF1070" s="31">
        <f>VLOOKUP($A1070,kurspris!$A$1:$Q$835,5,FALSE)</f>
        <v>0</v>
      </c>
      <c r="AG1070" s="31">
        <f>VLOOKUP($A1070,kurspris!$A$1:$Q$835,6,FALSE)</f>
        <v>1</v>
      </c>
      <c r="AH1070" s="31">
        <f>VLOOKUP($A1070,kurspris!$A$1:$Q$835,7,FALSE)</f>
        <v>0</v>
      </c>
      <c r="AI1070" s="31">
        <f>VLOOKUP($A1070,kurspris!$A$1:$Q$835,8,FALSE)</f>
        <v>0</v>
      </c>
      <c r="AJ1070" s="31">
        <f>VLOOKUP($A1070,kurspris!$A$1:$Q$835,9,FALSE)</f>
        <v>0</v>
      </c>
      <c r="AK1070" s="31">
        <f>VLOOKUP($A1070,kurspris!$A$1:$Q$835,10,FALSE)</f>
        <v>0</v>
      </c>
      <c r="AL1070" s="31">
        <f>VLOOKUP($A1070,kurspris!$A$1:$Q$835,11,FALSE)</f>
        <v>0</v>
      </c>
      <c r="AM1070" s="31">
        <f>VLOOKUP($A1070,kurspris!$A$1:$Q$835,12,FALSE)</f>
        <v>0</v>
      </c>
      <c r="AN1070" s="31">
        <f>VLOOKUP($A1070,kurspris!$A$1:$Q$835,13,FALSE)</f>
        <v>0</v>
      </c>
      <c r="AO1070" s="31">
        <f>VLOOKUP($A1070,kurspris!$A$1:$Q$835,14,FALSE)</f>
        <v>0</v>
      </c>
      <c r="AP1070" s="39" t="s">
        <v>2235</v>
      </c>
      <c r="AQ1070"/>
      <c r="AR1070" s="31">
        <f t="shared" si="557"/>
        <v>0</v>
      </c>
      <c r="AS1070" s="255">
        <f t="shared" si="558"/>
        <v>0</v>
      </c>
      <c r="AT1070" s="31">
        <f t="shared" si="559"/>
        <v>0</v>
      </c>
      <c r="AU1070" s="255">
        <f t="shared" si="560"/>
        <v>0</v>
      </c>
      <c r="AV1070" s="31">
        <f t="shared" si="561"/>
        <v>0</v>
      </c>
      <c r="AW1070" s="31">
        <f t="shared" si="562"/>
        <v>0</v>
      </c>
      <c r="AX1070" s="31">
        <f t="shared" si="563"/>
        <v>0.875</v>
      </c>
      <c r="AY1070" s="255">
        <f t="shared" si="564"/>
        <v>0.74375000000000002</v>
      </c>
      <c r="AZ1070" s="232">
        <f t="shared" si="565"/>
        <v>0</v>
      </c>
      <c r="BA1070" s="255">
        <f t="shared" si="566"/>
        <v>0</v>
      </c>
      <c r="BB1070" s="31">
        <f t="shared" si="567"/>
        <v>0</v>
      </c>
      <c r="BC1070" s="255">
        <f t="shared" si="568"/>
        <v>0</v>
      </c>
      <c r="BD1070" s="31">
        <f t="shared" si="569"/>
        <v>0</v>
      </c>
      <c r="BE1070" s="255">
        <f t="shared" si="570"/>
        <v>0</v>
      </c>
      <c r="BF1070" s="31">
        <f t="shared" si="571"/>
        <v>0</v>
      </c>
      <c r="BG1070" s="255">
        <f t="shared" si="572"/>
        <v>0</v>
      </c>
      <c r="BH1070" s="31">
        <f t="shared" si="573"/>
        <v>0</v>
      </c>
      <c r="BI1070" s="255">
        <f t="shared" si="574"/>
        <v>0</v>
      </c>
      <c r="BJ1070" s="31">
        <f t="shared" si="575"/>
        <v>0</v>
      </c>
      <c r="BK1070" s="31">
        <f t="shared" si="576"/>
        <v>0</v>
      </c>
      <c r="BL1070" s="255">
        <f t="shared" si="577"/>
        <v>0</v>
      </c>
      <c r="BM1070" s="31">
        <f t="shared" si="578"/>
        <v>0</v>
      </c>
      <c r="BN1070" s="255">
        <f t="shared" si="579"/>
        <v>0</v>
      </c>
    </row>
    <row r="1071" spans="1:66" x14ac:dyDescent="0.25">
      <c r="A1071" t="s">
        <v>1052</v>
      </c>
      <c r="B1071" s="186" t="str">
        <f>VLOOKUP(A1071,kurspris!$A$1:$B$877,2,FALSE)</f>
        <v>Profession och vetenskap</v>
      </c>
      <c r="C1071"/>
      <c r="D1071" t="s">
        <v>483</v>
      </c>
      <c r="E1071" t="s">
        <v>1975</v>
      </c>
      <c r="F1071" s="59" t="s">
        <v>1930</v>
      </c>
      <c r="G1071" t="s">
        <v>1933</v>
      </c>
      <c r="H1071" t="s">
        <v>1910</v>
      </c>
      <c r="I1071"/>
      <c r="J1071" t="s">
        <v>773</v>
      </c>
      <c r="K1071"/>
      <c r="L1071">
        <v>100</v>
      </c>
      <c r="M1071">
        <v>7.5</v>
      </c>
      <c r="N1071"/>
      <c r="O1071"/>
      <c r="P1071" s="31">
        <v>12</v>
      </c>
      <c r="Q1071" s="232">
        <f t="shared" si="552"/>
        <v>1.5</v>
      </c>
      <c r="R1071" s="40">
        <v>0.85</v>
      </c>
      <c r="S1071" s="334">
        <f t="shared" si="553"/>
        <v>1.2749999999999999</v>
      </c>
      <c r="T1071" s="31">
        <f>VLOOKUP(A1071,'Ansvar kurs'!$A$1:$C$1010,2,FALSE)</f>
        <v>2340</v>
      </c>
      <c r="U1071" s="31" t="str">
        <f>VLOOKUP(T1071,Orgenheter!$A$1:$C$165,2,FALSE)</f>
        <v xml:space="preserve">Statsvetenskap                </v>
      </c>
      <c r="V1071" s="31" t="str">
        <f>VLOOKUP(T1071,Orgenheter!$A$1:$C$165,3,FALSE)</f>
        <v>Sam</v>
      </c>
      <c r="W1071" s="37" t="str">
        <f>VLOOKUP(D1071,Program!$A$1:$B$34,2,FALSE)</f>
        <v>Ämneslärarprogrammet - Gy</v>
      </c>
      <c r="X1071" s="42">
        <f>VLOOKUP(A1071,kurspris!$A$1:$Q$798,15,FALSE)</f>
        <v>23641</v>
      </c>
      <c r="Y1071" s="42">
        <f>VLOOKUP(A1071,kurspris!$A$1:$Q$798,16,FALSE)</f>
        <v>28786</v>
      </c>
      <c r="Z1071" s="42">
        <f t="shared" si="554"/>
        <v>72163.649999999994</v>
      </c>
      <c r="AA1071" s="42">
        <f>VLOOKUP(A1071,kurspris!$A$1:$Q$798,17,FALSE)</f>
        <v>5800</v>
      </c>
      <c r="AB1071" s="42">
        <f t="shared" si="555"/>
        <v>8700</v>
      </c>
      <c r="AC1071" s="42">
        <f t="shared" si="556"/>
        <v>80863.649999999994</v>
      </c>
      <c r="AD1071" s="31">
        <f>VLOOKUP($A1071,kurspris!$A$1:$Q$835,3,FALSE)</f>
        <v>0</v>
      </c>
      <c r="AE1071" s="31">
        <f>VLOOKUP($A1071,kurspris!$A$1:$Q$835,4,FALSE)</f>
        <v>0</v>
      </c>
      <c r="AF1071" s="31">
        <f>VLOOKUP($A1071,kurspris!$A$1:$Q$835,5,FALSE)</f>
        <v>0</v>
      </c>
      <c r="AG1071" s="31">
        <f>VLOOKUP($A1071,kurspris!$A$1:$Q$835,6,FALSE)</f>
        <v>1</v>
      </c>
      <c r="AH1071" s="31">
        <f>VLOOKUP($A1071,kurspris!$A$1:$Q$835,7,FALSE)</f>
        <v>0</v>
      </c>
      <c r="AI1071" s="31">
        <f>VLOOKUP($A1071,kurspris!$A$1:$Q$835,8,FALSE)</f>
        <v>0</v>
      </c>
      <c r="AJ1071" s="31">
        <f>VLOOKUP($A1071,kurspris!$A$1:$Q$835,9,FALSE)</f>
        <v>0</v>
      </c>
      <c r="AK1071" s="31">
        <f>VLOOKUP($A1071,kurspris!$A$1:$Q$835,10,FALSE)</f>
        <v>0</v>
      </c>
      <c r="AL1071" s="31">
        <f>VLOOKUP($A1071,kurspris!$A$1:$Q$835,11,FALSE)</f>
        <v>0</v>
      </c>
      <c r="AM1071" s="31">
        <f>VLOOKUP($A1071,kurspris!$A$1:$Q$835,12,FALSE)</f>
        <v>0</v>
      </c>
      <c r="AN1071" s="31">
        <f>VLOOKUP($A1071,kurspris!$A$1:$Q$835,13,FALSE)</f>
        <v>0</v>
      </c>
      <c r="AO1071" s="31">
        <f>VLOOKUP($A1071,kurspris!$A$1:$Q$835,14,FALSE)</f>
        <v>0</v>
      </c>
      <c r="AP1071" s="39" t="s">
        <v>2235</v>
      </c>
      <c r="AQ1071"/>
      <c r="AR1071" s="31">
        <f t="shared" si="557"/>
        <v>0</v>
      </c>
      <c r="AS1071" s="255">
        <f t="shared" si="558"/>
        <v>0</v>
      </c>
      <c r="AT1071" s="31">
        <f t="shared" si="559"/>
        <v>0</v>
      </c>
      <c r="AU1071" s="255">
        <f t="shared" si="560"/>
        <v>0</v>
      </c>
      <c r="AV1071" s="31">
        <f t="shared" si="561"/>
        <v>0</v>
      </c>
      <c r="AW1071" s="31">
        <f t="shared" si="562"/>
        <v>0</v>
      </c>
      <c r="AX1071" s="31">
        <f t="shared" si="563"/>
        <v>1.5</v>
      </c>
      <c r="AY1071" s="255">
        <f t="shared" si="564"/>
        <v>1.2749999999999999</v>
      </c>
      <c r="AZ1071" s="232">
        <f t="shared" si="565"/>
        <v>0</v>
      </c>
      <c r="BA1071" s="255">
        <f t="shared" si="566"/>
        <v>0</v>
      </c>
      <c r="BB1071" s="31">
        <f t="shared" si="567"/>
        <v>0</v>
      </c>
      <c r="BC1071" s="255">
        <f t="shared" si="568"/>
        <v>0</v>
      </c>
      <c r="BD1071" s="31">
        <f t="shared" si="569"/>
        <v>0</v>
      </c>
      <c r="BE1071" s="255">
        <f t="shared" si="570"/>
        <v>0</v>
      </c>
      <c r="BF1071" s="31">
        <f t="shared" si="571"/>
        <v>0</v>
      </c>
      <c r="BG1071" s="255">
        <f t="shared" si="572"/>
        <v>0</v>
      </c>
      <c r="BH1071" s="31">
        <f t="shared" si="573"/>
        <v>0</v>
      </c>
      <c r="BI1071" s="255">
        <f t="shared" si="574"/>
        <v>0</v>
      </c>
      <c r="BJ1071" s="31">
        <f t="shared" si="575"/>
        <v>0</v>
      </c>
      <c r="BK1071" s="31">
        <f t="shared" si="576"/>
        <v>0</v>
      </c>
      <c r="BL1071" s="255">
        <f t="shared" si="577"/>
        <v>0</v>
      </c>
      <c r="BM1071" s="31">
        <f t="shared" si="578"/>
        <v>0</v>
      </c>
      <c r="BN1071" s="255">
        <f t="shared" si="579"/>
        <v>0</v>
      </c>
    </row>
    <row r="1072" spans="1:66" x14ac:dyDescent="0.25">
      <c r="A1072" t="s">
        <v>1052</v>
      </c>
      <c r="B1072" s="186" t="str">
        <f>VLOOKUP(A1072,kurspris!$A$1:$B$877,2,FALSE)</f>
        <v>Profession och vetenskap</v>
      </c>
      <c r="C1072"/>
      <c r="D1072" t="s">
        <v>483</v>
      </c>
      <c r="E1072" t="s">
        <v>1975</v>
      </c>
      <c r="F1072" s="59" t="s">
        <v>1930</v>
      </c>
      <c r="G1072" t="s">
        <v>1933</v>
      </c>
      <c r="H1072" t="s">
        <v>1910</v>
      </c>
      <c r="I1072"/>
      <c r="J1072" t="s">
        <v>774</v>
      </c>
      <c r="K1072"/>
      <c r="L1072">
        <v>100</v>
      </c>
      <c r="M1072">
        <v>7.5</v>
      </c>
      <c r="N1072"/>
      <c r="O1072"/>
      <c r="P1072" s="31">
        <v>3</v>
      </c>
      <c r="Q1072" s="232">
        <f t="shared" si="552"/>
        <v>0.375</v>
      </c>
      <c r="R1072" s="40">
        <v>0.85</v>
      </c>
      <c r="S1072" s="334">
        <f t="shared" si="553"/>
        <v>0.31874999999999998</v>
      </c>
      <c r="T1072" s="31">
        <f>VLOOKUP(A1072,'Ansvar kurs'!$A$1:$C$1010,2,FALSE)</f>
        <v>2340</v>
      </c>
      <c r="U1072" s="31" t="str">
        <f>VLOOKUP(T1072,Orgenheter!$A$1:$C$165,2,FALSE)</f>
        <v xml:space="preserve">Statsvetenskap                </v>
      </c>
      <c r="V1072" s="31" t="str">
        <f>VLOOKUP(T1072,Orgenheter!$A$1:$C$165,3,FALSE)</f>
        <v>Sam</v>
      </c>
      <c r="W1072" s="37" t="str">
        <f>VLOOKUP(D1072,Program!$A$1:$B$34,2,FALSE)</f>
        <v>Ämneslärarprogrammet - Gy</v>
      </c>
      <c r="X1072" s="42">
        <f>VLOOKUP(A1072,kurspris!$A$1:$Q$798,15,FALSE)</f>
        <v>23641</v>
      </c>
      <c r="Y1072" s="42">
        <f>VLOOKUP(A1072,kurspris!$A$1:$Q$798,16,FALSE)</f>
        <v>28786</v>
      </c>
      <c r="Z1072" s="42">
        <f t="shared" si="554"/>
        <v>18040.912499999999</v>
      </c>
      <c r="AA1072" s="42">
        <f>VLOOKUP(A1072,kurspris!$A$1:$Q$798,17,FALSE)</f>
        <v>5800</v>
      </c>
      <c r="AB1072" s="42">
        <f t="shared" si="555"/>
        <v>2175</v>
      </c>
      <c r="AC1072" s="42">
        <f t="shared" si="556"/>
        <v>20215.912499999999</v>
      </c>
      <c r="AD1072" s="31">
        <f>VLOOKUP($A1072,kurspris!$A$1:$Q$835,3,FALSE)</f>
        <v>0</v>
      </c>
      <c r="AE1072" s="31">
        <f>VLOOKUP($A1072,kurspris!$A$1:$Q$835,4,FALSE)</f>
        <v>0</v>
      </c>
      <c r="AF1072" s="31">
        <f>VLOOKUP($A1072,kurspris!$A$1:$Q$835,5,FALSE)</f>
        <v>0</v>
      </c>
      <c r="AG1072" s="31">
        <f>VLOOKUP($A1072,kurspris!$A$1:$Q$835,6,FALSE)</f>
        <v>1</v>
      </c>
      <c r="AH1072" s="31">
        <f>VLOOKUP($A1072,kurspris!$A$1:$Q$835,7,FALSE)</f>
        <v>0</v>
      </c>
      <c r="AI1072" s="31">
        <f>VLOOKUP($A1072,kurspris!$A$1:$Q$835,8,FALSE)</f>
        <v>0</v>
      </c>
      <c r="AJ1072" s="31">
        <f>VLOOKUP($A1072,kurspris!$A$1:$Q$835,9,FALSE)</f>
        <v>0</v>
      </c>
      <c r="AK1072" s="31">
        <f>VLOOKUP($A1072,kurspris!$A$1:$Q$835,10,FALSE)</f>
        <v>0</v>
      </c>
      <c r="AL1072" s="31">
        <f>VLOOKUP($A1072,kurspris!$A$1:$Q$835,11,FALSE)</f>
        <v>0</v>
      </c>
      <c r="AM1072" s="31">
        <f>VLOOKUP($A1072,kurspris!$A$1:$Q$835,12,FALSE)</f>
        <v>0</v>
      </c>
      <c r="AN1072" s="31">
        <f>VLOOKUP($A1072,kurspris!$A$1:$Q$835,13,FALSE)</f>
        <v>0</v>
      </c>
      <c r="AO1072" s="31">
        <f>VLOOKUP($A1072,kurspris!$A$1:$Q$835,14,FALSE)</f>
        <v>0</v>
      </c>
      <c r="AP1072" s="39" t="s">
        <v>2235</v>
      </c>
      <c r="AQ1072"/>
      <c r="AR1072" s="31">
        <f t="shared" si="557"/>
        <v>0</v>
      </c>
      <c r="AS1072" s="255">
        <f t="shared" si="558"/>
        <v>0</v>
      </c>
      <c r="AT1072" s="31">
        <f t="shared" si="559"/>
        <v>0</v>
      </c>
      <c r="AU1072" s="255">
        <f t="shared" si="560"/>
        <v>0</v>
      </c>
      <c r="AV1072" s="31">
        <f t="shared" si="561"/>
        <v>0</v>
      </c>
      <c r="AW1072" s="31">
        <f t="shared" si="562"/>
        <v>0</v>
      </c>
      <c r="AX1072" s="31">
        <f t="shared" si="563"/>
        <v>0.375</v>
      </c>
      <c r="AY1072" s="255">
        <f t="shared" si="564"/>
        <v>0.31874999999999998</v>
      </c>
      <c r="AZ1072" s="232">
        <f t="shared" si="565"/>
        <v>0</v>
      </c>
      <c r="BA1072" s="255">
        <f t="shared" si="566"/>
        <v>0</v>
      </c>
      <c r="BB1072" s="31">
        <f t="shared" si="567"/>
        <v>0</v>
      </c>
      <c r="BC1072" s="255">
        <f t="shared" si="568"/>
        <v>0</v>
      </c>
      <c r="BD1072" s="31">
        <f t="shared" si="569"/>
        <v>0</v>
      </c>
      <c r="BE1072" s="255">
        <f t="shared" si="570"/>
        <v>0</v>
      </c>
      <c r="BF1072" s="31">
        <f t="shared" si="571"/>
        <v>0</v>
      </c>
      <c r="BG1072" s="255">
        <f t="shared" si="572"/>
        <v>0</v>
      </c>
      <c r="BH1072" s="31">
        <f t="shared" si="573"/>
        <v>0</v>
      </c>
      <c r="BI1072" s="255">
        <f t="shared" si="574"/>
        <v>0</v>
      </c>
      <c r="BJ1072" s="31">
        <f t="shared" si="575"/>
        <v>0</v>
      </c>
      <c r="BK1072" s="31">
        <f t="shared" si="576"/>
        <v>0</v>
      </c>
      <c r="BL1072" s="255">
        <f t="shared" si="577"/>
        <v>0</v>
      </c>
      <c r="BM1072" s="31">
        <f t="shared" si="578"/>
        <v>0</v>
      </c>
      <c r="BN1072" s="255">
        <f t="shared" si="579"/>
        <v>0</v>
      </c>
    </row>
    <row r="1073" spans="1:66" x14ac:dyDescent="0.25">
      <c r="A1073" t="s">
        <v>1052</v>
      </c>
      <c r="B1073" s="186" t="str">
        <f>VLOOKUP(A1073,kurspris!$A$1:$B$877,2,FALSE)</f>
        <v>Profession och vetenskap</v>
      </c>
      <c r="C1073"/>
      <c r="D1073" t="s">
        <v>483</v>
      </c>
      <c r="E1073" t="s">
        <v>1975</v>
      </c>
      <c r="F1073" s="59" t="s">
        <v>1930</v>
      </c>
      <c r="G1073" t="s">
        <v>1933</v>
      </c>
      <c r="H1073" t="s">
        <v>1910</v>
      </c>
      <c r="I1073"/>
      <c r="J1073" t="s">
        <v>775</v>
      </c>
      <c r="K1073"/>
      <c r="L1073">
        <v>100</v>
      </c>
      <c r="M1073">
        <v>7.5</v>
      </c>
      <c r="N1073"/>
      <c r="O1073"/>
      <c r="P1073" s="31">
        <v>1</v>
      </c>
      <c r="Q1073" s="232">
        <f t="shared" si="552"/>
        <v>0.125</v>
      </c>
      <c r="R1073" s="40">
        <v>0.85</v>
      </c>
      <c r="S1073" s="334">
        <f t="shared" si="553"/>
        <v>0.10625</v>
      </c>
      <c r="T1073" s="31">
        <f>VLOOKUP(A1073,'Ansvar kurs'!$A$1:$C$1010,2,FALSE)</f>
        <v>2340</v>
      </c>
      <c r="U1073" s="31" t="str">
        <f>VLOOKUP(T1073,Orgenheter!$A$1:$C$165,2,FALSE)</f>
        <v xml:space="preserve">Statsvetenskap                </v>
      </c>
      <c r="V1073" s="31" t="str">
        <f>VLOOKUP(T1073,Orgenheter!$A$1:$C$165,3,FALSE)</f>
        <v>Sam</v>
      </c>
      <c r="W1073" s="37" t="str">
        <f>VLOOKUP(D1073,Program!$A$1:$B$34,2,FALSE)</f>
        <v>Ämneslärarprogrammet - Gy</v>
      </c>
      <c r="X1073" s="42">
        <f>VLOOKUP(A1073,kurspris!$A$1:$Q$798,15,FALSE)</f>
        <v>23641</v>
      </c>
      <c r="Y1073" s="42">
        <f>VLOOKUP(A1073,kurspris!$A$1:$Q$798,16,FALSE)</f>
        <v>28786</v>
      </c>
      <c r="Z1073" s="42">
        <f t="shared" si="554"/>
        <v>6013.6374999999998</v>
      </c>
      <c r="AA1073" s="42">
        <f>VLOOKUP(A1073,kurspris!$A$1:$Q$798,17,FALSE)</f>
        <v>5800</v>
      </c>
      <c r="AB1073" s="42">
        <f t="shared" si="555"/>
        <v>725</v>
      </c>
      <c r="AC1073" s="42">
        <f t="shared" si="556"/>
        <v>6738.6374999999998</v>
      </c>
      <c r="AD1073" s="31">
        <f>VLOOKUP($A1073,kurspris!$A$1:$Q$835,3,FALSE)</f>
        <v>0</v>
      </c>
      <c r="AE1073" s="31">
        <f>VLOOKUP($A1073,kurspris!$A$1:$Q$835,4,FALSE)</f>
        <v>0</v>
      </c>
      <c r="AF1073" s="31">
        <f>VLOOKUP($A1073,kurspris!$A$1:$Q$835,5,FALSE)</f>
        <v>0</v>
      </c>
      <c r="AG1073" s="31">
        <f>VLOOKUP($A1073,kurspris!$A$1:$Q$835,6,FALSE)</f>
        <v>1</v>
      </c>
      <c r="AH1073" s="31">
        <f>VLOOKUP($A1073,kurspris!$A$1:$Q$835,7,FALSE)</f>
        <v>0</v>
      </c>
      <c r="AI1073" s="31">
        <f>VLOOKUP($A1073,kurspris!$A$1:$Q$835,8,FALSE)</f>
        <v>0</v>
      </c>
      <c r="AJ1073" s="31">
        <f>VLOOKUP($A1073,kurspris!$A$1:$Q$835,9,FALSE)</f>
        <v>0</v>
      </c>
      <c r="AK1073" s="31">
        <f>VLOOKUP($A1073,kurspris!$A$1:$Q$835,10,FALSE)</f>
        <v>0</v>
      </c>
      <c r="AL1073" s="31">
        <f>VLOOKUP($A1073,kurspris!$A$1:$Q$835,11,FALSE)</f>
        <v>0</v>
      </c>
      <c r="AM1073" s="31">
        <f>VLOOKUP($A1073,kurspris!$A$1:$Q$835,12,FALSE)</f>
        <v>0</v>
      </c>
      <c r="AN1073" s="31">
        <f>VLOOKUP($A1073,kurspris!$A$1:$Q$835,13,FALSE)</f>
        <v>0</v>
      </c>
      <c r="AO1073" s="31">
        <f>VLOOKUP($A1073,kurspris!$A$1:$Q$835,14,FALSE)</f>
        <v>0</v>
      </c>
      <c r="AP1073" s="39" t="s">
        <v>2235</v>
      </c>
      <c r="AQ1073"/>
      <c r="AR1073" s="31">
        <f t="shared" si="557"/>
        <v>0</v>
      </c>
      <c r="AS1073" s="255">
        <f t="shared" si="558"/>
        <v>0</v>
      </c>
      <c r="AT1073" s="31">
        <f t="shared" si="559"/>
        <v>0</v>
      </c>
      <c r="AU1073" s="255">
        <f t="shared" si="560"/>
        <v>0</v>
      </c>
      <c r="AV1073" s="31">
        <f t="shared" si="561"/>
        <v>0</v>
      </c>
      <c r="AW1073" s="31">
        <f t="shared" si="562"/>
        <v>0</v>
      </c>
      <c r="AX1073" s="31">
        <f t="shared" si="563"/>
        <v>0.125</v>
      </c>
      <c r="AY1073" s="255">
        <f t="shared" si="564"/>
        <v>0.10625</v>
      </c>
      <c r="AZ1073" s="232">
        <f t="shared" si="565"/>
        <v>0</v>
      </c>
      <c r="BA1073" s="255">
        <f t="shared" si="566"/>
        <v>0</v>
      </c>
      <c r="BB1073" s="31">
        <f t="shared" si="567"/>
        <v>0</v>
      </c>
      <c r="BC1073" s="255">
        <f t="shared" si="568"/>
        <v>0</v>
      </c>
      <c r="BD1073" s="31">
        <f t="shared" si="569"/>
        <v>0</v>
      </c>
      <c r="BE1073" s="255">
        <f t="shared" si="570"/>
        <v>0</v>
      </c>
      <c r="BF1073" s="31">
        <f t="shared" si="571"/>
        <v>0</v>
      </c>
      <c r="BG1073" s="255">
        <f t="shared" si="572"/>
        <v>0</v>
      </c>
      <c r="BH1073" s="31">
        <f t="shared" si="573"/>
        <v>0</v>
      </c>
      <c r="BI1073" s="255">
        <f t="shared" si="574"/>
        <v>0</v>
      </c>
      <c r="BJ1073" s="31">
        <f t="shared" si="575"/>
        <v>0</v>
      </c>
      <c r="BK1073" s="31">
        <f t="shared" si="576"/>
        <v>0</v>
      </c>
      <c r="BL1073" s="255">
        <f t="shared" si="577"/>
        <v>0</v>
      </c>
      <c r="BM1073" s="31">
        <f t="shared" si="578"/>
        <v>0</v>
      </c>
      <c r="BN1073" s="255">
        <f t="shared" si="579"/>
        <v>0</v>
      </c>
    </row>
    <row r="1074" spans="1:66" x14ac:dyDescent="0.25">
      <c r="A1074" t="s">
        <v>1052</v>
      </c>
      <c r="B1074" s="186" t="str">
        <f>VLOOKUP(A1074,kurspris!$A$1:$B$877,2,FALSE)</f>
        <v>Profession och vetenskap</v>
      </c>
      <c r="C1074"/>
      <c r="D1074" t="s">
        <v>483</v>
      </c>
      <c r="E1074" t="s">
        <v>1975</v>
      </c>
      <c r="F1074" s="59" t="s">
        <v>1930</v>
      </c>
      <c r="G1074" t="s">
        <v>1933</v>
      </c>
      <c r="H1074" t="s">
        <v>1910</v>
      </c>
      <c r="I1074"/>
      <c r="J1074" t="s">
        <v>776</v>
      </c>
      <c r="K1074"/>
      <c r="L1074">
        <v>100</v>
      </c>
      <c r="M1074">
        <v>7.5</v>
      </c>
      <c r="N1074"/>
      <c r="O1074"/>
      <c r="P1074" s="31">
        <v>4</v>
      </c>
      <c r="Q1074" s="232">
        <f t="shared" si="552"/>
        <v>0.5</v>
      </c>
      <c r="R1074" s="40">
        <v>0.85</v>
      </c>
      <c r="S1074" s="334">
        <f t="shared" si="553"/>
        <v>0.42499999999999999</v>
      </c>
      <c r="T1074" s="31">
        <f>VLOOKUP(A1074,'Ansvar kurs'!$A$1:$C$1010,2,FALSE)</f>
        <v>2340</v>
      </c>
      <c r="U1074" s="31" t="str">
        <f>VLOOKUP(T1074,Orgenheter!$A$1:$C$165,2,FALSE)</f>
        <v xml:space="preserve">Statsvetenskap                </v>
      </c>
      <c r="V1074" s="31" t="str">
        <f>VLOOKUP(T1074,Orgenheter!$A$1:$C$165,3,FALSE)</f>
        <v>Sam</v>
      </c>
      <c r="W1074" s="37" t="str">
        <f>VLOOKUP(D1074,Program!$A$1:$B$34,2,FALSE)</f>
        <v>Ämneslärarprogrammet - Gy</v>
      </c>
      <c r="X1074" s="42">
        <f>VLOOKUP(A1074,kurspris!$A$1:$Q$798,15,FALSE)</f>
        <v>23641</v>
      </c>
      <c r="Y1074" s="42">
        <f>VLOOKUP(A1074,kurspris!$A$1:$Q$798,16,FALSE)</f>
        <v>28786</v>
      </c>
      <c r="Z1074" s="42">
        <f t="shared" si="554"/>
        <v>24054.55</v>
      </c>
      <c r="AA1074" s="42">
        <f>VLOOKUP(A1074,kurspris!$A$1:$Q$798,17,FALSE)</f>
        <v>5800</v>
      </c>
      <c r="AB1074" s="42">
        <f t="shared" si="555"/>
        <v>2900</v>
      </c>
      <c r="AC1074" s="42">
        <f t="shared" si="556"/>
        <v>26954.55</v>
      </c>
      <c r="AD1074" s="31">
        <f>VLOOKUP($A1074,kurspris!$A$1:$Q$835,3,FALSE)</f>
        <v>0</v>
      </c>
      <c r="AE1074" s="31">
        <f>VLOOKUP($A1074,kurspris!$A$1:$Q$835,4,FALSE)</f>
        <v>0</v>
      </c>
      <c r="AF1074" s="31">
        <f>VLOOKUP($A1074,kurspris!$A$1:$Q$835,5,FALSE)</f>
        <v>0</v>
      </c>
      <c r="AG1074" s="31">
        <f>VLOOKUP($A1074,kurspris!$A$1:$Q$835,6,FALSE)</f>
        <v>1</v>
      </c>
      <c r="AH1074" s="31">
        <f>VLOOKUP($A1074,kurspris!$A$1:$Q$835,7,FALSE)</f>
        <v>0</v>
      </c>
      <c r="AI1074" s="31">
        <f>VLOOKUP($A1074,kurspris!$A$1:$Q$835,8,FALSE)</f>
        <v>0</v>
      </c>
      <c r="AJ1074" s="31">
        <f>VLOOKUP($A1074,kurspris!$A$1:$Q$835,9,FALSE)</f>
        <v>0</v>
      </c>
      <c r="AK1074" s="31">
        <f>VLOOKUP($A1074,kurspris!$A$1:$Q$835,10,FALSE)</f>
        <v>0</v>
      </c>
      <c r="AL1074" s="31">
        <f>VLOOKUP($A1074,kurspris!$A$1:$Q$835,11,FALSE)</f>
        <v>0</v>
      </c>
      <c r="AM1074" s="31">
        <f>VLOOKUP($A1074,kurspris!$A$1:$Q$835,12,FALSE)</f>
        <v>0</v>
      </c>
      <c r="AN1074" s="31">
        <f>VLOOKUP($A1074,kurspris!$A$1:$Q$835,13,FALSE)</f>
        <v>0</v>
      </c>
      <c r="AO1074" s="31">
        <f>VLOOKUP($A1074,kurspris!$A$1:$Q$835,14,FALSE)</f>
        <v>0</v>
      </c>
      <c r="AP1074" s="39" t="s">
        <v>2235</v>
      </c>
      <c r="AQ1074"/>
      <c r="AR1074" s="31">
        <f t="shared" si="557"/>
        <v>0</v>
      </c>
      <c r="AS1074" s="255">
        <f t="shared" si="558"/>
        <v>0</v>
      </c>
      <c r="AT1074" s="31">
        <f t="shared" si="559"/>
        <v>0</v>
      </c>
      <c r="AU1074" s="255">
        <f t="shared" si="560"/>
        <v>0</v>
      </c>
      <c r="AV1074" s="31">
        <f t="shared" si="561"/>
        <v>0</v>
      </c>
      <c r="AW1074" s="31">
        <f t="shared" si="562"/>
        <v>0</v>
      </c>
      <c r="AX1074" s="31">
        <f t="shared" si="563"/>
        <v>0.5</v>
      </c>
      <c r="AY1074" s="255">
        <f t="shared" si="564"/>
        <v>0.42499999999999999</v>
      </c>
      <c r="AZ1074" s="232">
        <f t="shared" si="565"/>
        <v>0</v>
      </c>
      <c r="BA1074" s="255">
        <f t="shared" si="566"/>
        <v>0</v>
      </c>
      <c r="BB1074" s="31">
        <f t="shared" si="567"/>
        <v>0</v>
      </c>
      <c r="BC1074" s="255">
        <f t="shared" si="568"/>
        <v>0</v>
      </c>
      <c r="BD1074" s="31">
        <f t="shared" si="569"/>
        <v>0</v>
      </c>
      <c r="BE1074" s="255">
        <f t="shared" si="570"/>
        <v>0</v>
      </c>
      <c r="BF1074" s="31">
        <f t="shared" si="571"/>
        <v>0</v>
      </c>
      <c r="BG1074" s="255">
        <f t="shared" si="572"/>
        <v>0</v>
      </c>
      <c r="BH1074" s="31">
        <f t="shared" si="573"/>
        <v>0</v>
      </c>
      <c r="BI1074" s="255">
        <f t="shared" si="574"/>
        <v>0</v>
      </c>
      <c r="BJ1074" s="31">
        <f t="shared" si="575"/>
        <v>0</v>
      </c>
      <c r="BK1074" s="31">
        <f t="shared" si="576"/>
        <v>0</v>
      </c>
      <c r="BL1074" s="255">
        <f t="shared" si="577"/>
        <v>0</v>
      </c>
      <c r="BM1074" s="31">
        <f t="shared" si="578"/>
        <v>0</v>
      </c>
      <c r="BN1074" s="255">
        <f t="shared" si="579"/>
        <v>0</v>
      </c>
    </row>
    <row r="1075" spans="1:66" x14ac:dyDescent="0.25">
      <c r="A1075" t="s">
        <v>1052</v>
      </c>
      <c r="B1075" s="186" t="str">
        <f>VLOOKUP(A1075,kurspris!$A$1:$B$877,2,FALSE)</f>
        <v>Profession och vetenskap</v>
      </c>
      <c r="C1075"/>
      <c r="D1075" t="s">
        <v>483</v>
      </c>
      <c r="E1075" t="s">
        <v>1975</v>
      </c>
      <c r="F1075" s="59" t="s">
        <v>1930</v>
      </c>
      <c r="G1075" t="s">
        <v>1933</v>
      </c>
      <c r="H1075" t="s">
        <v>1910</v>
      </c>
      <c r="I1075"/>
      <c r="J1075" t="s">
        <v>777</v>
      </c>
      <c r="K1075"/>
      <c r="L1075">
        <v>100</v>
      </c>
      <c r="M1075">
        <v>7.5</v>
      </c>
      <c r="N1075"/>
      <c r="O1075"/>
      <c r="P1075" s="31">
        <v>7</v>
      </c>
      <c r="Q1075" s="232">
        <f t="shared" si="552"/>
        <v>0.875</v>
      </c>
      <c r="R1075" s="40">
        <v>0.85</v>
      </c>
      <c r="S1075" s="334">
        <f t="shared" si="553"/>
        <v>0.74375000000000002</v>
      </c>
      <c r="T1075" s="31">
        <f>VLOOKUP(A1075,'Ansvar kurs'!$A$1:$C$1010,2,FALSE)</f>
        <v>2340</v>
      </c>
      <c r="U1075" s="31" t="str">
        <f>VLOOKUP(T1075,Orgenheter!$A$1:$C$165,2,FALSE)</f>
        <v xml:space="preserve">Statsvetenskap                </v>
      </c>
      <c r="V1075" s="31" t="str">
        <f>VLOOKUP(T1075,Orgenheter!$A$1:$C$165,3,FALSE)</f>
        <v>Sam</v>
      </c>
      <c r="W1075" s="37" t="str">
        <f>VLOOKUP(D1075,Program!$A$1:$B$34,2,FALSE)</f>
        <v>Ämneslärarprogrammet - Gy</v>
      </c>
      <c r="X1075" s="42">
        <f>VLOOKUP(A1075,kurspris!$A$1:$Q$798,15,FALSE)</f>
        <v>23641</v>
      </c>
      <c r="Y1075" s="42">
        <f>VLOOKUP(A1075,kurspris!$A$1:$Q$798,16,FALSE)</f>
        <v>28786</v>
      </c>
      <c r="Z1075" s="42">
        <f t="shared" si="554"/>
        <v>42095.462500000001</v>
      </c>
      <c r="AA1075" s="42">
        <f>VLOOKUP(A1075,kurspris!$A$1:$Q$798,17,FALSE)</f>
        <v>5800</v>
      </c>
      <c r="AB1075" s="42">
        <f t="shared" si="555"/>
        <v>5075</v>
      </c>
      <c r="AC1075" s="42">
        <f t="shared" si="556"/>
        <v>47170.462500000001</v>
      </c>
      <c r="AD1075" s="31">
        <f>VLOOKUP($A1075,kurspris!$A$1:$Q$835,3,FALSE)</f>
        <v>0</v>
      </c>
      <c r="AE1075" s="31">
        <f>VLOOKUP($A1075,kurspris!$A$1:$Q$835,4,FALSE)</f>
        <v>0</v>
      </c>
      <c r="AF1075" s="31">
        <f>VLOOKUP($A1075,kurspris!$A$1:$Q$835,5,FALSE)</f>
        <v>0</v>
      </c>
      <c r="AG1075" s="31">
        <f>VLOOKUP($A1075,kurspris!$A$1:$Q$835,6,FALSE)</f>
        <v>1</v>
      </c>
      <c r="AH1075" s="31">
        <f>VLOOKUP($A1075,kurspris!$A$1:$Q$835,7,FALSE)</f>
        <v>0</v>
      </c>
      <c r="AI1075" s="31">
        <f>VLOOKUP($A1075,kurspris!$A$1:$Q$835,8,FALSE)</f>
        <v>0</v>
      </c>
      <c r="AJ1075" s="31">
        <f>VLOOKUP($A1075,kurspris!$A$1:$Q$835,9,FALSE)</f>
        <v>0</v>
      </c>
      <c r="AK1075" s="31">
        <f>VLOOKUP($A1075,kurspris!$A$1:$Q$835,10,FALSE)</f>
        <v>0</v>
      </c>
      <c r="AL1075" s="31">
        <f>VLOOKUP($A1075,kurspris!$A$1:$Q$835,11,FALSE)</f>
        <v>0</v>
      </c>
      <c r="AM1075" s="31">
        <f>VLOOKUP($A1075,kurspris!$A$1:$Q$835,12,FALSE)</f>
        <v>0</v>
      </c>
      <c r="AN1075" s="31">
        <f>VLOOKUP($A1075,kurspris!$A$1:$Q$835,13,FALSE)</f>
        <v>0</v>
      </c>
      <c r="AO1075" s="31">
        <f>VLOOKUP($A1075,kurspris!$A$1:$Q$835,14,FALSE)</f>
        <v>0</v>
      </c>
      <c r="AP1075" s="39" t="s">
        <v>2235</v>
      </c>
      <c r="AQ1075"/>
      <c r="AR1075" s="31">
        <f t="shared" si="557"/>
        <v>0</v>
      </c>
      <c r="AS1075" s="255">
        <f t="shared" si="558"/>
        <v>0</v>
      </c>
      <c r="AT1075" s="31">
        <f t="shared" si="559"/>
        <v>0</v>
      </c>
      <c r="AU1075" s="255">
        <f t="shared" si="560"/>
        <v>0</v>
      </c>
      <c r="AV1075" s="31">
        <f t="shared" si="561"/>
        <v>0</v>
      </c>
      <c r="AW1075" s="31">
        <f t="shared" si="562"/>
        <v>0</v>
      </c>
      <c r="AX1075" s="31">
        <f t="shared" si="563"/>
        <v>0.875</v>
      </c>
      <c r="AY1075" s="255">
        <f t="shared" si="564"/>
        <v>0.74375000000000002</v>
      </c>
      <c r="AZ1075" s="232">
        <f t="shared" si="565"/>
        <v>0</v>
      </c>
      <c r="BA1075" s="255">
        <f t="shared" si="566"/>
        <v>0</v>
      </c>
      <c r="BB1075" s="31">
        <f t="shared" si="567"/>
        <v>0</v>
      </c>
      <c r="BC1075" s="255">
        <f t="shared" si="568"/>
        <v>0</v>
      </c>
      <c r="BD1075" s="31">
        <f t="shared" si="569"/>
        <v>0</v>
      </c>
      <c r="BE1075" s="255">
        <f t="shared" si="570"/>
        <v>0</v>
      </c>
      <c r="BF1075" s="31">
        <f t="shared" si="571"/>
        <v>0</v>
      </c>
      <c r="BG1075" s="255">
        <f t="shared" si="572"/>
        <v>0</v>
      </c>
      <c r="BH1075" s="31">
        <f t="shared" si="573"/>
        <v>0</v>
      </c>
      <c r="BI1075" s="255">
        <f t="shared" si="574"/>
        <v>0</v>
      </c>
      <c r="BJ1075" s="31">
        <f t="shared" si="575"/>
        <v>0</v>
      </c>
      <c r="BK1075" s="31">
        <f t="shared" si="576"/>
        <v>0</v>
      </c>
      <c r="BL1075" s="255">
        <f t="shared" si="577"/>
        <v>0</v>
      </c>
      <c r="BM1075" s="31">
        <f t="shared" si="578"/>
        <v>0</v>
      </c>
      <c r="BN1075" s="255">
        <f t="shared" si="579"/>
        <v>0</v>
      </c>
    </row>
    <row r="1076" spans="1:66" x14ac:dyDescent="0.25">
      <c r="A1076" t="s">
        <v>1052</v>
      </c>
      <c r="B1076" s="186" t="str">
        <f>VLOOKUP(A1076,kurspris!$A$1:$B$877,2,FALSE)</f>
        <v>Profession och vetenskap</v>
      </c>
      <c r="C1076"/>
      <c r="D1076" t="s">
        <v>483</v>
      </c>
      <c r="E1076" t="s">
        <v>1975</v>
      </c>
      <c r="F1076" s="59" t="s">
        <v>1930</v>
      </c>
      <c r="G1076" t="s">
        <v>1933</v>
      </c>
      <c r="H1076" t="s">
        <v>1910</v>
      </c>
      <c r="I1076"/>
      <c r="J1076" t="s">
        <v>778</v>
      </c>
      <c r="K1076"/>
      <c r="L1076">
        <v>100</v>
      </c>
      <c r="M1076">
        <v>7.5</v>
      </c>
      <c r="N1076"/>
      <c r="O1076"/>
      <c r="P1076" s="31">
        <v>7</v>
      </c>
      <c r="Q1076" s="232">
        <f t="shared" ref="Q1076:Q1116" si="580">(M1076/60)*P1076</f>
        <v>0.875</v>
      </c>
      <c r="R1076" s="40">
        <v>0.85</v>
      </c>
      <c r="S1076" s="334">
        <f t="shared" ref="S1076:S1116" si="581">Q1076*R1076</f>
        <v>0.74375000000000002</v>
      </c>
      <c r="T1076" s="31">
        <f>VLOOKUP(A1076,'Ansvar kurs'!$A$1:$C$1010,2,FALSE)</f>
        <v>2340</v>
      </c>
      <c r="U1076" s="31" t="str">
        <f>VLOOKUP(T1076,Orgenheter!$A$1:$C$165,2,FALSE)</f>
        <v xml:space="preserve">Statsvetenskap                </v>
      </c>
      <c r="V1076" s="31" t="str">
        <f>VLOOKUP(T1076,Orgenheter!$A$1:$C$165,3,FALSE)</f>
        <v>Sam</v>
      </c>
      <c r="W1076" s="37" t="str">
        <f>VLOOKUP(D1076,Program!$A$1:$B$34,2,FALSE)</f>
        <v>Ämneslärarprogrammet - Gy</v>
      </c>
      <c r="X1076" s="42">
        <f>VLOOKUP(A1076,kurspris!$A$1:$Q$798,15,FALSE)</f>
        <v>23641</v>
      </c>
      <c r="Y1076" s="42">
        <f>VLOOKUP(A1076,kurspris!$A$1:$Q$798,16,FALSE)</f>
        <v>28786</v>
      </c>
      <c r="Z1076" s="42">
        <f t="shared" ref="Z1076:Z1116" si="582">X1076*Q1076+S1076*Y1076</f>
        <v>42095.462500000001</v>
      </c>
      <c r="AA1076" s="42">
        <f>VLOOKUP(A1076,kurspris!$A$1:$Q$798,17,FALSE)</f>
        <v>5800</v>
      </c>
      <c r="AB1076" s="42">
        <f t="shared" ref="AB1076:AB1116" si="583">AA1076*Q1076</f>
        <v>5075</v>
      </c>
      <c r="AC1076" s="42">
        <f t="shared" ref="AC1076:AC1116" si="584">Z1076+AB1076</f>
        <v>47170.462500000001</v>
      </c>
      <c r="AD1076" s="31">
        <f>VLOOKUP($A1076,kurspris!$A$1:$Q$835,3,FALSE)</f>
        <v>0</v>
      </c>
      <c r="AE1076" s="31">
        <f>VLOOKUP($A1076,kurspris!$A$1:$Q$835,4,FALSE)</f>
        <v>0</v>
      </c>
      <c r="AF1076" s="31">
        <f>VLOOKUP($A1076,kurspris!$A$1:$Q$835,5,FALSE)</f>
        <v>0</v>
      </c>
      <c r="AG1076" s="31">
        <f>VLOOKUP($A1076,kurspris!$A$1:$Q$835,6,FALSE)</f>
        <v>1</v>
      </c>
      <c r="AH1076" s="31">
        <f>VLOOKUP($A1076,kurspris!$A$1:$Q$835,7,FALSE)</f>
        <v>0</v>
      </c>
      <c r="AI1076" s="31">
        <f>VLOOKUP($A1076,kurspris!$A$1:$Q$835,8,FALSE)</f>
        <v>0</v>
      </c>
      <c r="AJ1076" s="31">
        <f>VLOOKUP($A1076,kurspris!$A$1:$Q$835,9,FALSE)</f>
        <v>0</v>
      </c>
      <c r="AK1076" s="31">
        <f>VLOOKUP($A1076,kurspris!$A$1:$Q$835,10,FALSE)</f>
        <v>0</v>
      </c>
      <c r="AL1076" s="31">
        <f>VLOOKUP($A1076,kurspris!$A$1:$Q$835,11,FALSE)</f>
        <v>0</v>
      </c>
      <c r="AM1076" s="31">
        <f>VLOOKUP($A1076,kurspris!$A$1:$Q$835,12,FALSE)</f>
        <v>0</v>
      </c>
      <c r="AN1076" s="31">
        <f>VLOOKUP($A1076,kurspris!$A$1:$Q$835,13,FALSE)</f>
        <v>0</v>
      </c>
      <c r="AO1076" s="31">
        <f>VLOOKUP($A1076,kurspris!$A$1:$Q$835,14,FALSE)</f>
        <v>0</v>
      </c>
      <c r="AP1076" s="39" t="s">
        <v>2235</v>
      </c>
      <c r="AQ1076"/>
      <c r="AR1076" s="31">
        <f t="shared" ref="AR1076:AR1116" si="585">$Q1076*AD1076</f>
        <v>0</v>
      </c>
      <c r="AS1076" s="255">
        <f t="shared" ref="AS1076:AS1116" si="586">$S1076*AD1076</f>
        <v>0</v>
      </c>
      <c r="AT1076" s="31">
        <f t="shared" ref="AT1076:AT1116" si="587">$Q1076*AE1076</f>
        <v>0</v>
      </c>
      <c r="AU1076" s="255">
        <f t="shared" ref="AU1076:AU1116" si="588">$S1076*AE1076</f>
        <v>0</v>
      </c>
      <c r="AV1076" s="31">
        <f t="shared" ref="AV1076:AV1116" si="589">$Q1076*AF1076</f>
        <v>0</v>
      </c>
      <c r="AW1076" s="31">
        <f t="shared" ref="AW1076:AW1116" si="590">$S1076*AF1076</f>
        <v>0</v>
      </c>
      <c r="AX1076" s="31">
        <f t="shared" ref="AX1076:AX1116" si="591">$Q1076*AG1076</f>
        <v>0.875</v>
      </c>
      <c r="AY1076" s="255">
        <f t="shared" ref="AY1076:AY1116" si="592">$S1076*AG1076</f>
        <v>0.74375000000000002</v>
      </c>
      <c r="AZ1076" s="232">
        <f t="shared" ref="AZ1076:AZ1116" si="593">$Q1076*AH1076</f>
        <v>0</v>
      </c>
      <c r="BA1076" s="255">
        <f t="shared" ref="BA1076:BA1116" si="594">$S1076*AH1076</f>
        <v>0</v>
      </c>
      <c r="BB1076" s="31">
        <f t="shared" ref="BB1076:BB1116" si="595">$Q1076*AI1076</f>
        <v>0</v>
      </c>
      <c r="BC1076" s="255">
        <f t="shared" ref="BC1076:BC1116" si="596">$S1076*AI1076</f>
        <v>0</v>
      </c>
      <c r="BD1076" s="31">
        <f t="shared" ref="BD1076:BD1116" si="597">$Q1076*AJ1076</f>
        <v>0</v>
      </c>
      <c r="BE1076" s="255">
        <f t="shared" ref="BE1076:BE1116" si="598">$S1076*AJ1076</f>
        <v>0</v>
      </c>
      <c r="BF1076" s="31">
        <f t="shared" ref="BF1076:BF1116" si="599">$Q1076*AK1076</f>
        <v>0</v>
      </c>
      <c r="BG1076" s="255">
        <f t="shared" ref="BG1076:BG1116" si="600">$S1076*AK1076</f>
        <v>0</v>
      </c>
      <c r="BH1076" s="31">
        <f t="shared" ref="BH1076:BH1116" si="601">$Q1076*AL1076</f>
        <v>0</v>
      </c>
      <c r="BI1076" s="255">
        <f t="shared" ref="BI1076:BI1116" si="602">$S1076*AL1076</f>
        <v>0</v>
      </c>
      <c r="BJ1076" s="31">
        <f t="shared" ref="BJ1076:BJ1116" si="603">$Q1076*AM1076</f>
        <v>0</v>
      </c>
      <c r="BK1076" s="31">
        <f t="shared" ref="BK1076:BK1116" si="604">$Q1076*AN1076</f>
        <v>0</v>
      </c>
      <c r="BL1076" s="255">
        <f t="shared" ref="BL1076:BL1116" si="605">$S1076*AN1076</f>
        <v>0</v>
      </c>
      <c r="BM1076" s="31">
        <f t="shared" ref="BM1076:BM1116" si="606">$Q1076*AO1076</f>
        <v>0</v>
      </c>
      <c r="BN1076" s="255">
        <f t="shared" ref="BN1076:BN1116" si="607">$S1076*AO1076</f>
        <v>0</v>
      </c>
    </row>
    <row r="1077" spans="1:66" x14ac:dyDescent="0.25">
      <c r="A1077" t="s">
        <v>1052</v>
      </c>
      <c r="B1077" s="186" t="str">
        <f>VLOOKUP(A1077,kurspris!$A$1:$B$877,2,FALSE)</f>
        <v>Profession och vetenskap</v>
      </c>
      <c r="C1077"/>
      <c r="D1077" t="s">
        <v>483</v>
      </c>
      <c r="E1077" t="s">
        <v>1976</v>
      </c>
      <c r="F1077" s="59" t="s">
        <v>1930</v>
      </c>
      <c r="G1077" t="s">
        <v>1933</v>
      </c>
      <c r="H1077" t="s">
        <v>1910</v>
      </c>
      <c r="I1077"/>
      <c r="J1077" t="s">
        <v>773</v>
      </c>
      <c r="K1077"/>
      <c r="L1077">
        <v>100</v>
      </c>
      <c r="M1077">
        <v>7.5</v>
      </c>
      <c r="N1077"/>
      <c r="O1077"/>
      <c r="P1077" s="31">
        <v>1</v>
      </c>
      <c r="Q1077" s="232">
        <f t="shared" si="580"/>
        <v>0.125</v>
      </c>
      <c r="R1077" s="40">
        <v>0.85</v>
      </c>
      <c r="S1077" s="334">
        <f t="shared" si="581"/>
        <v>0.10625</v>
      </c>
      <c r="T1077" s="31">
        <f>VLOOKUP(A1077,'Ansvar kurs'!$A$1:$C$1010,2,FALSE)</f>
        <v>2340</v>
      </c>
      <c r="U1077" s="31" t="str">
        <f>VLOOKUP(T1077,Orgenheter!$A$1:$C$165,2,FALSE)</f>
        <v xml:space="preserve">Statsvetenskap                </v>
      </c>
      <c r="V1077" s="31" t="str">
        <f>VLOOKUP(T1077,Orgenheter!$A$1:$C$165,3,FALSE)</f>
        <v>Sam</v>
      </c>
      <c r="W1077" s="37" t="str">
        <f>VLOOKUP(D1077,Program!$A$1:$B$34,2,FALSE)</f>
        <v>Ämneslärarprogrammet - Gy</v>
      </c>
      <c r="X1077" s="42">
        <f>VLOOKUP(A1077,kurspris!$A$1:$Q$798,15,FALSE)</f>
        <v>23641</v>
      </c>
      <c r="Y1077" s="42">
        <f>VLOOKUP(A1077,kurspris!$A$1:$Q$798,16,FALSE)</f>
        <v>28786</v>
      </c>
      <c r="Z1077" s="42">
        <f t="shared" si="582"/>
        <v>6013.6374999999998</v>
      </c>
      <c r="AA1077" s="42">
        <f>VLOOKUP(A1077,kurspris!$A$1:$Q$798,17,FALSE)</f>
        <v>5800</v>
      </c>
      <c r="AB1077" s="42">
        <f t="shared" si="583"/>
        <v>725</v>
      </c>
      <c r="AC1077" s="42">
        <f t="shared" si="584"/>
        <v>6738.6374999999998</v>
      </c>
      <c r="AD1077" s="31">
        <f>VLOOKUP($A1077,kurspris!$A$1:$Q$835,3,FALSE)</f>
        <v>0</v>
      </c>
      <c r="AE1077" s="31">
        <f>VLOOKUP($A1077,kurspris!$A$1:$Q$835,4,FALSE)</f>
        <v>0</v>
      </c>
      <c r="AF1077" s="31">
        <f>VLOOKUP($A1077,kurspris!$A$1:$Q$835,5,FALSE)</f>
        <v>0</v>
      </c>
      <c r="AG1077" s="31">
        <f>VLOOKUP($A1077,kurspris!$A$1:$Q$835,6,FALSE)</f>
        <v>1</v>
      </c>
      <c r="AH1077" s="31">
        <f>VLOOKUP($A1077,kurspris!$A$1:$Q$835,7,FALSE)</f>
        <v>0</v>
      </c>
      <c r="AI1077" s="31">
        <f>VLOOKUP($A1077,kurspris!$A$1:$Q$835,8,FALSE)</f>
        <v>0</v>
      </c>
      <c r="AJ1077" s="31">
        <f>VLOOKUP($A1077,kurspris!$A$1:$Q$835,9,FALSE)</f>
        <v>0</v>
      </c>
      <c r="AK1077" s="31">
        <f>VLOOKUP($A1077,kurspris!$A$1:$Q$835,10,FALSE)</f>
        <v>0</v>
      </c>
      <c r="AL1077" s="31">
        <f>VLOOKUP($A1077,kurspris!$A$1:$Q$835,11,FALSE)</f>
        <v>0</v>
      </c>
      <c r="AM1077" s="31">
        <f>VLOOKUP($A1077,kurspris!$A$1:$Q$835,12,FALSE)</f>
        <v>0</v>
      </c>
      <c r="AN1077" s="31">
        <f>VLOOKUP($A1077,kurspris!$A$1:$Q$835,13,FALSE)</f>
        <v>0</v>
      </c>
      <c r="AO1077" s="31">
        <f>VLOOKUP($A1077,kurspris!$A$1:$Q$835,14,FALSE)</f>
        <v>0</v>
      </c>
      <c r="AP1077" s="39" t="s">
        <v>2235</v>
      </c>
      <c r="AQ1077"/>
      <c r="AR1077" s="31">
        <f t="shared" si="585"/>
        <v>0</v>
      </c>
      <c r="AS1077" s="255">
        <f t="shared" si="586"/>
        <v>0</v>
      </c>
      <c r="AT1077" s="31">
        <f t="shared" si="587"/>
        <v>0</v>
      </c>
      <c r="AU1077" s="255">
        <f t="shared" si="588"/>
        <v>0</v>
      </c>
      <c r="AV1077" s="31">
        <f t="shared" si="589"/>
        <v>0</v>
      </c>
      <c r="AW1077" s="31">
        <f t="shared" si="590"/>
        <v>0</v>
      </c>
      <c r="AX1077" s="31">
        <f t="shared" si="591"/>
        <v>0.125</v>
      </c>
      <c r="AY1077" s="255">
        <f t="shared" si="592"/>
        <v>0.10625</v>
      </c>
      <c r="AZ1077" s="232">
        <f t="shared" si="593"/>
        <v>0</v>
      </c>
      <c r="BA1077" s="255">
        <f t="shared" si="594"/>
        <v>0</v>
      </c>
      <c r="BB1077" s="31">
        <f t="shared" si="595"/>
        <v>0</v>
      </c>
      <c r="BC1077" s="255">
        <f t="shared" si="596"/>
        <v>0</v>
      </c>
      <c r="BD1077" s="31">
        <f t="shared" si="597"/>
        <v>0</v>
      </c>
      <c r="BE1077" s="255">
        <f t="shared" si="598"/>
        <v>0</v>
      </c>
      <c r="BF1077" s="31">
        <f t="shared" si="599"/>
        <v>0</v>
      </c>
      <c r="BG1077" s="255">
        <f t="shared" si="600"/>
        <v>0</v>
      </c>
      <c r="BH1077" s="31">
        <f t="shared" si="601"/>
        <v>0</v>
      </c>
      <c r="BI1077" s="255">
        <f t="shared" si="602"/>
        <v>0</v>
      </c>
      <c r="BJ1077" s="31">
        <f t="shared" si="603"/>
        <v>0</v>
      </c>
      <c r="BK1077" s="31">
        <f t="shared" si="604"/>
        <v>0</v>
      </c>
      <c r="BL1077" s="255">
        <f t="shared" si="605"/>
        <v>0</v>
      </c>
      <c r="BM1077" s="31">
        <f t="shared" si="606"/>
        <v>0</v>
      </c>
      <c r="BN1077" s="255">
        <f t="shared" si="607"/>
        <v>0</v>
      </c>
    </row>
    <row r="1078" spans="1:66" x14ac:dyDescent="0.25">
      <c r="A1078" s="18" t="s">
        <v>569</v>
      </c>
      <c r="B1078" s="186" t="str">
        <f>VLOOKUP(A1078,kurspris!$A$1:$B$877,2,FALSE)</f>
        <v>Slöjd, Trä- och metall 2a, distans</v>
      </c>
      <c r="C1078" s="37"/>
      <c r="D1078" t="s">
        <v>117</v>
      </c>
      <c r="E1078"/>
      <c r="F1078" s="59" t="s">
        <v>1931</v>
      </c>
      <c r="G1078"/>
      <c r="H1078"/>
      <c r="I1078" t="s">
        <v>2066</v>
      </c>
      <c r="L1078">
        <v>50</v>
      </c>
      <c r="M1078">
        <v>15</v>
      </c>
      <c r="P1078">
        <v>22</v>
      </c>
      <c r="Q1078" s="232">
        <f t="shared" si="580"/>
        <v>5.5</v>
      </c>
      <c r="R1078" s="40">
        <v>0.8</v>
      </c>
      <c r="S1078" s="334">
        <f t="shared" si="581"/>
        <v>4.4000000000000004</v>
      </c>
      <c r="T1078" s="31">
        <f>VLOOKUP(A1078,'Ansvar kurs'!$A$1:$C$1010,2,FALSE)</f>
        <v>1650</v>
      </c>
      <c r="U1078" s="31" t="str">
        <f>VLOOKUP(T1078,Orgenheter!$A$1:$C$165,2,FALSE)</f>
        <v xml:space="preserve">Estetiska ämnen               </v>
      </c>
      <c r="V1078" s="31" t="str">
        <f>VLOOKUP(T1078,Orgenheter!$A$1:$C$165,3,FALSE)</f>
        <v>Hum</v>
      </c>
      <c r="W1078" s="37" t="str">
        <f>VLOOKUP(D1078,Program!$A$1:$B$34,2,FALSE)</f>
        <v>Fristående och övriga kurser</v>
      </c>
      <c r="X1078" s="42">
        <f>VLOOKUP(A1078,kurspris!$A$1:$Q$798,15,FALSE)</f>
        <v>19473</v>
      </c>
      <c r="Y1078" s="42">
        <f>VLOOKUP(A1078,kurspris!$A$1:$Q$798,16,FALSE)</f>
        <v>34806</v>
      </c>
      <c r="Z1078" s="42">
        <f t="shared" si="582"/>
        <v>260247.90000000002</v>
      </c>
      <c r="AA1078" s="42">
        <f>VLOOKUP(A1078,kurspris!$A$1:$Q$798,17,FALSE)</f>
        <v>21800</v>
      </c>
      <c r="AB1078" s="42">
        <f t="shared" si="583"/>
        <v>119900</v>
      </c>
      <c r="AC1078" s="42">
        <f t="shared" si="584"/>
        <v>380147.9</v>
      </c>
      <c r="AD1078" s="31">
        <f>VLOOKUP($A1078,kurspris!$A$1:$Q$835,3,FALSE)</f>
        <v>0</v>
      </c>
      <c r="AE1078" s="31">
        <f>VLOOKUP($A1078,kurspris!$A$1:$Q$835,4,FALSE)</f>
        <v>0</v>
      </c>
      <c r="AF1078" s="31">
        <f>VLOOKUP($A1078,kurspris!$A$1:$Q$835,5,FALSE)</f>
        <v>0</v>
      </c>
      <c r="AG1078" s="31">
        <f>VLOOKUP($A1078,kurspris!$A$1:$Q$835,6,FALSE)</f>
        <v>0</v>
      </c>
      <c r="AH1078" s="31">
        <f>VLOOKUP($A1078,kurspris!$A$1:$Q$835,7,FALSE)</f>
        <v>0</v>
      </c>
      <c r="AI1078" s="31">
        <f>VLOOKUP($A1078,kurspris!$A$1:$Q$835,8,FALSE)</f>
        <v>0</v>
      </c>
      <c r="AJ1078" s="31">
        <f>VLOOKUP($A1078,kurspris!$A$1:$Q$835,9,FALSE)</f>
        <v>0</v>
      </c>
      <c r="AK1078" s="31">
        <f>VLOOKUP($A1078,kurspris!$A$1:$Q$835,10,FALSE)</f>
        <v>1</v>
      </c>
      <c r="AL1078" s="31">
        <f>VLOOKUP($A1078,kurspris!$A$1:$Q$835,11,FALSE)</f>
        <v>0</v>
      </c>
      <c r="AM1078" s="31">
        <f>VLOOKUP($A1078,kurspris!$A$1:$Q$835,12,FALSE)</f>
        <v>0</v>
      </c>
      <c r="AN1078" s="31">
        <f>VLOOKUP($A1078,kurspris!$A$1:$Q$835,13,FALSE)</f>
        <v>0</v>
      </c>
      <c r="AO1078" s="31">
        <f>VLOOKUP($A1078,kurspris!$A$1:$Q$835,14,FALSE)</f>
        <v>0</v>
      </c>
      <c r="AP1078" s="39" t="s">
        <v>2095</v>
      </c>
      <c r="AQ1078"/>
      <c r="AR1078" s="31">
        <f t="shared" si="585"/>
        <v>0</v>
      </c>
      <c r="AS1078" s="255">
        <f t="shared" si="586"/>
        <v>0</v>
      </c>
      <c r="AT1078" s="31">
        <f t="shared" si="587"/>
        <v>0</v>
      </c>
      <c r="AU1078" s="255">
        <f t="shared" si="588"/>
        <v>0</v>
      </c>
      <c r="AV1078" s="31">
        <f t="shared" si="589"/>
        <v>0</v>
      </c>
      <c r="AW1078" s="31">
        <f t="shared" si="590"/>
        <v>0</v>
      </c>
      <c r="AX1078" s="31">
        <f t="shared" si="591"/>
        <v>0</v>
      </c>
      <c r="AY1078" s="255">
        <f t="shared" si="592"/>
        <v>0</v>
      </c>
      <c r="AZ1078" s="232">
        <f t="shared" si="593"/>
        <v>0</v>
      </c>
      <c r="BA1078" s="255">
        <f t="shared" si="594"/>
        <v>0</v>
      </c>
      <c r="BB1078" s="31">
        <f t="shared" si="595"/>
        <v>0</v>
      </c>
      <c r="BC1078" s="255">
        <f t="shared" si="596"/>
        <v>0</v>
      </c>
      <c r="BD1078" s="31">
        <f t="shared" si="597"/>
        <v>0</v>
      </c>
      <c r="BE1078" s="255">
        <f t="shared" si="598"/>
        <v>0</v>
      </c>
      <c r="BF1078" s="31">
        <f t="shared" si="599"/>
        <v>5.5</v>
      </c>
      <c r="BG1078" s="255">
        <f t="shared" si="600"/>
        <v>4.4000000000000004</v>
      </c>
      <c r="BH1078" s="31">
        <f t="shared" si="601"/>
        <v>0</v>
      </c>
      <c r="BI1078" s="255">
        <f t="shared" si="602"/>
        <v>0</v>
      </c>
      <c r="BJ1078" s="31">
        <f t="shared" si="603"/>
        <v>0</v>
      </c>
      <c r="BK1078" s="31">
        <f t="shared" si="604"/>
        <v>0</v>
      </c>
      <c r="BL1078" s="255">
        <f t="shared" si="605"/>
        <v>0</v>
      </c>
      <c r="BM1078" s="31">
        <f t="shared" si="606"/>
        <v>0</v>
      </c>
      <c r="BN1078" s="255">
        <f t="shared" si="607"/>
        <v>0</v>
      </c>
    </row>
    <row r="1079" spans="1:66" x14ac:dyDescent="0.25">
      <c r="A1079" s="18" t="s">
        <v>648</v>
      </c>
      <c r="B1079" s="186" t="str">
        <f>VLOOKUP(A1079,kurspris!$A$1:$B$877,2,FALSE)</f>
        <v>Slöjd, Trä- och metall 2b, distans</v>
      </c>
      <c r="C1079" s="37"/>
      <c r="D1079" t="s">
        <v>117</v>
      </c>
      <c r="E1079"/>
      <c r="F1079" s="59" t="s">
        <v>1930</v>
      </c>
      <c r="G1079"/>
      <c r="H1079"/>
      <c r="I1079" t="s">
        <v>2066</v>
      </c>
      <c r="L1079">
        <v>50</v>
      </c>
      <c r="M1079">
        <v>15</v>
      </c>
      <c r="P1079" s="31">
        <v>11</v>
      </c>
      <c r="Q1079" s="232">
        <f t="shared" si="580"/>
        <v>2.75</v>
      </c>
      <c r="R1079" s="40">
        <v>0.8</v>
      </c>
      <c r="S1079" s="334">
        <f t="shared" si="581"/>
        <v>2.2000000000000002</v>
      </c>
      <c r="T1079" s="31">
        <f>VLOOKUP(A1079,'Ansvar kurs'!$A$1:$C$1010,2,FALSE)</f>
        <v>1650</v>
      </c>
      <c r="U1079" s="31" t="str">
        <f>VLOOKUP(T1079,Orgenheter!$A$1:$C$165,2,FALSE)</f>
        <v xml:space="preserve">Estetiska ämnen               </v>
      </c>
      <c r="V1079" s="31" t="str">
        <f>VLOOKUP(T1079,Orgenheter!$A$1:$C$165,3,FALSE)</f>
        <v>Hum</v>
      </c>
      <c r="W1079" s="37" t="str">
        <f>VLOOKUP(D1079,Program!$A$1:$B$34,2,FALSE)</f>
        <v>Fristående och övriga kurser</v>
      </c>
      <c r="X1079" s="42">
        <f>VLOOKUP(A1079,kurspris!$A$1:$Q$798,15,FALSE)</f>
        <v>19473</v>
      </c>
      <c r="Y1079" s="42">
        <f>VLOOKUP(A1079,kurspris!$A$1:$Q$798,16,FALSE)</f>
        <v>34806</v>
      </c>
      <c r="Z1079" s="42">
        <f t="shared" si="582"/>
        <v>130123.95000000001</v>
      </c>
      <c r="AA1079" s="42">
        <f>VLOOKUP(A1079,kurspris!$A$1:$Q$798,17,FALSE)</f>
        <v>21800</v>
      </c>
      <c r="AB1079" s="42">
        <f t="shared" si="583"/>
        <v>59950</v>
      </c>
      <c r="AC1079" s="42">
        <f t="shared" si="584"/>
        <v>190073.95</v>
      </c>
      <c r="AD1079" s="31">
        <f>VLOOKUP($A1079,kurspris!$A$1:$Q$835,3,FALSE)</f>
        <v>0</v>
      </c>
      <c r="AE1079" s="31">
        <f>VLOOKUP($A1079,kurspris!$A$1:$Q$835,4,FALSE)</f>
        <v>0</v>
      </c>
      <c r="AF1079" s="31">
        <f>VLOOKUP($A1079,kurspris!$A$1:$Q$835,5,FALSE)</f>
        <v>0</v>
      </c>
      <c r="AG1079" s="31">
        <f>VLOOKUP($A1079,kurspris!$A$1:$Q$835,6,FALSE)</f>
        <v>0</v>
      </c>
      <c r="AH1079" s="31">
        <f>VLOOKUP($A1079,kurspris!$A$1:$Q$835,7,FALSE)</f>
        <v>0</v>
      </c>
      <c r="AI1079" s="31">
        <f>VLOOKUP($A1079,kurspris!$A$1:$Q$835,8,FALSE)</f>
        <v>0</v>
      </c>
      <c r="AJ1079" s="31">
        <f>VLOOKUP($A1079,kurspris!$A$1:$Q$835,9,FALSE)</f>
        <v>0</v>
      </c>
      <c r="AK1079" s="31">
        <f>VLOOKUP($A1079,kurspris!$A$1:$Q$835,10,FALSE)</f>
        <v>1</v>
      </c>
      <c r="AL1079" s="31">
        <f>VLOOKUP($A1079,kurspris!$A$1:$Q$835,11,FALSE)</f>
        <v>0</v>
      </c>
      <c r="AM1079" s="31">
        <f>VLOOKUP($A1079,kurspris!$A$1:$Q$835,12,FALSE)</f>
        <v>0</v>
      </c>
      <c r="AN1079" s="31">
        <f>VLOOKUP($A1079,kurspris!$A$1:$Q$835,13,FALSE)</f>
        <v>0</v>
      </c>
      <c r="AO1079" s="31">
        <f>VLOOKUP($A1079,kurspris!$A$1:$Q$835,14,FALSE)</f>
        <v>0</v>
      </c>
      <c r="AP1079" s="39" t="s">
        <v>2204</v>
      </c>
      <c r="AQ1079" s="39" t="s">
        <v>2095</v>
      </c>
      <c r="AR1079" s="31">
        <f t="shared" si="585"/>
        <v>0</v>
      </c>
      <c r="AS1079" s="255">
        <f t="shared" si="586"/>
        <v>0</v>
      </c>
      <c r="AT1079" s="31">
        <f t="shared" si="587"/>
        <v>0</v>
      </c>
      <c r="AU1079" s="255">
        <f t="shared" si="588"/>
        <v>0</v>
      </c>
      <c r="AV1079" s="31">
        <f t="shared" si="589"/>
        <v>0</v>
      </c>
      <c r="AW1079" s="31">
        <f t="shared" si="590"/>
        <v>0</v>
      </c>
      <c r="AX1079" s="31">
        <f t="shared" si="591"/>
        <v>0</v>
      </c>
      <c r="AY1079" s="255">
        <f t="shared" si="592"/>
        <v>0</v>
      </c>
      <c r="AZ1079" s="232">
        <f t="shared" si="593"/>
        <v>0</v>
      </c>
      <c r="BA1079" s="255">
        <f t="shared" si="594"/>
        <v>0</v>
      </c>
      <c r="BB1079" s="31">
        <f t="shared" si="595"/>
        <v>0</v>
      </c>
      <c r="BC1079" s="255">
        <f t="shared" si="596"/>
        <v>0</v>
      </c>
      <c r="BD1079" s="31">
        <f t="shared" si="597"/>
        <v>0</v>
      </c>
      <c r="BE1079" s="255">
        <f t="shared" si="598"/>
        <v>0</v>
      </c>
      <c r="BF1079" s="31">
        <f t="shared" si="599"/>
        <v>2.75</v>
      </c>
      <c r="BG1079" s="255">
        <f t="shared" si="600"/>
        <v>2.2000000000000002</v>
      </c>
      <c r="BH1079" s="31">
        <f t="shared" si="601"/>
        <v>0</v>
      </c>
      <c r="BI1079" s="255">
        <f t="shared" si="602"/>
        <v>0</v>
      </c>
      <c r="BJ1079" s="31">
        <f t="shared" si="603"/>
        <v>0</v>
      </c>
      <c r="BK1079" s="31">
        <f t="shared" si="604"/>
        <v>0</v>
      </c>
      <c r="BL1079" s="255">
        <f t="shared" si="605"/>
        <v>0</v>
      </c>
      <c r="BM1079" s="31">
        <f t="shared" si="606"/>
        <v>0</v>
      </c>
      <c r="BN1079" s="255">
        <f t="shared" si="607"/>
        <v>0</v>
      </c>
    </row>
    <row r="1080" spans="1:66" x14ac:dyDescent="0.25">
      <c r="A1080" s="18" t="s">
        <v>1133</v>
      </c>
      <c r="B1080" s="186" t="str">
        <f>VLOOKUP(A1080,kurspris!$A$1:$B$877,2,FALSE)</f>
        <v>Slöjd trä och metall 1 30 hp, fristående</v>
      </c>
      <c r="C1080" s="37"/>
      <c r="D1080" t="s">
        <v>117</v>
      </c>
      <c r="E1080"/>
      <c r="F1080" s="59" t="s">
        <v>1930</v>
      </c>
      <c r="G1080"/>
      <c r="H1080"/>
      <c r="I1080" t="s">
        <v>1634</v>
      </c>
      <c r="L1080">
        <v>100</v>
      </c>
      <c r="M1080">
        <v>30</v>
      </c>
      <c r="P1080" s="31">
        <v>0</v>
      </c>
      <c r="Q1080" s="232">
        <f t="shared" si="580"/>
        <v>0</v>
      </c>
      <c r="R1080" s="40">
        <v>0.8</v>
      </c>
      <c r="S1080" s="334">
        <f t="shared" si="581"/>
        <v>0</v>
      </c>
      <c r="T1080" s="31">
        <f>VLOOKUP(A1080,'Ansvar kurs'!$A$1:$C$1010,2,FALSE)</f>
        <v>1650</v>
      </c>
      <c r="U1080" s="31" t="str">
        <f>VLOOKUP(T1080,Orgenheter!$A$1:$C$165,2,FALSE)</f>
        <v xml:space="preserve">Estetiska ämnen               </v>
      </c>
      <c r="V1080" s="31" t="str">
        <f>VLOOKUP(T1080,Orgenheter!$A$1:$C$165,3,FALSE)</f>
        <v>Hum</v>
      </c>
      <c r="W1080" s="37" t="str">
        <f>VLOOKUP(D1080,Program!$A$1:$B$34,2,FALSE)</f>
        <v>Fristående och övriga kurser</v>
      </c>
      <c r="X1080" s="42">
        <f>VLOOKUP(A1080,kurspris!$A$1:$Q$798,15,FALSE)</f>
        <v>19473</v>
      </c>
      <c r="Y1080" s="42">
        <f>VLOOKUP(A1080,kurspris!$A$1:$Q$798,16,FALSE)</f>
        <v>34806</v>
      </c>
      <c r="Z1080" s="42">
        <f t="shared" si="582"/>
        <v>0</v>
      </c>
      <c r="AA1080" s="42">
        <f>VLOOKUP(A1080,kurspris!$A$1:$Q$798,17,FALSE)</f>
        <v>21800</v>
      </c>
      <c r="AB1080" s="42">
        <f t="shared" si="583"/>
        <v>0</v>
      </c>
      <c r="AC1080" s="42">
        <f t="shared" si="584"/>
        <v>0</v>
      </c>
      <c r="AD1080" s="31">
        <f>VLOOKUP($A1080,kurspris!$A$1:$Q$835,3,FALSE)</f>
        <v>0</v>
      </c>
      <c r="AE1080" s="31">
        <f>VLOOKUP($A1080,kurspris!$A$1:$Q$835,4,FALSE)</f>
        <v>0</v>
      </c>
      <c r="AF1080" s="31">
        <f>VLOOKUP($A1080,kurspris!$A$1:$Q$835,5,FALSE)</f>
        <v>0</v>
      </c>
      <c r="AG1080" s="31">
        <f>VLOOKUP($A1080,kurspris!$A$1:$Q$835,6,FALSE)</f>
        <v>0</v>
      </c>
      <c r="AH1080" s="31">
        <f>VLOOKUP($A1080,kurspris!$A$1:$Q$835,7,FALSE)</f>
        <v>0</v>
      </c>
      <c r="AI1080" s="31">
        <f>VLOOKUP($A1080,kurspris!$A$1:$Q$835,8,FALSE)</f>
        <v>0</v>
      </c>
      <c r="AJ1080" s="31">
        <f>VLOOKUP($A1080,kurspris!$A$1:$Q$835,9,FALSE)</f>
        <v>0</v>
      </c>
      <c r="AK1080" s="31">
        <f>VLOOKUP($A1080,kurspris!$A$1:$Q$835,10,FALSE)</f>
        <v>1</v>
      </c>
      <c r="AL1080" s="31">
        <f>VLOOKUP($A1080,kurspris!$A$1:$Q$835,11,FALSE)</f>
        <v>0</v>
      </c>
      <c r="AM1080" s="31">
        <f>VLOOKUP($A1080,kurspris!$A$1:$Q$835,12,FALSE)</f>
        <v>0</v>
      </c>
      <c r="AN1080" s="31">
        <f>VLOOKUP($A1080,kurspris!$A$1:$Q$835,13,FALSE)</f>
        <v>0</v>
      </c>
      <c r="AO1080" s="31">
        <f>VLOOKUP($A1080,kurspris!$A$1:$Q$835,14,FALSE)</f>
        <v>0</v>
      </c>
      <c r="AP1080" s="39" t="s">
        <v>2204</v>
      </c>
      <c r="AQ1080" s="39" t="s">
        <v>2095</v>
      </c>
      <c r="AR1080" s="31">
        <f t="shared" si="585"/>
        <v>0</v>
      </c>
      <c r="AS1080" s="255">
        <f t="shared" si="586"/>
        <v>0</v>
      </c>
      <c r="AT1080" s="31">
        <f t="shared" si="587"/>
        <v>0</v>
      </c>
      <c r="AU1080" s="255">
        <f t="shared" si="588"/>
        <v>0</v>
      </c>
      <c r="AV1080" s="31">
        <f t="shared" si="589"/>
        <v>0</v>
      </c>
      <c r="AW1080" s="31">
        <f t="shared" si="590"/>
        <v>0</v>
      </c>
      <c r="AX1080" s="31">
        <f t="shared" si="591"/>
        <v>0</v>
      </c>
      <c r="AY1080" s="255">
        <f t="shared" si="592"/>
        <v>0</v>
      </c>
      <c r="AZ1080" s="232">
        <f t="shared" si="593"/>
        <v>0</v>
      </c>
      <c r="BA1080" s="255">
        <f t="shared" si="594"/>
        <v>0</v>
      </c>
      <c r="BB1080" s="31">
        <f t="shared" si="595"/>
        <v>0</v>
      </c>
      <c r="BC1080" s="255">
        <f t="shared" si="596"/>
        <v>0</v>
      </c>
      <c r="BD1080" s="31">
        <f t="shared" si="597"/>
        <v>0</v>
      </c>
      <c r="BE1080" s="255">
        <f t="shared" si="598"/>
        <v>0</v>
      </c>
      <c r="BF1080" s="31">
        <f t="shared" si="599"/>
        <v>0</v>
      </c>
      <c r="BG1080" s="255">
        <f t="shared" si="600"/>
        <v>0</v>
      </c>
      <c r="BH1080" s="31">
        <f t="shared" si="601"/>
        <v>0</v>
      </c>
      <c r="BI1080" s="255">
        <f t="shared" si="602"/>
        <v>0</v>
      </c>
      <c r="BJ1080" s="31">
        <f t="shared" si="603"/>
        <v>0</v>
      </c>
      <c r="BK1080" s="31">
        <f t="shared" si="604"/>
        <v>0</v>
      </c>
      <c r="BL1080" s="255">
        <f t="shared" si="605"/>
        <v>0</v>
      </c>
      <c r="BM1080" s="31">
        <f t="shared" si="606"/>
        <v>0</v>
      </c>
      <c r="BN1080" s="255">
        <f t="shared" si="607"/>
        <v>0</v>
      </c>
    </row>
    <row r="1081" spans="1:66" x14ac:dyDescent="0.25">
      <c r="A1081" s="18" t="s">
        <v>1771</v>
      </c>
      <c r="B1081" s="186" t="str">
        <f>VLOOKUP(A1081,kurspris!$A$1:$B$877,2,FALSE)</f>
        <v>Slöjd 1, trä- och metall</v>
      </c>
      <c r="C1081" s="37"/>
      <c r="D1081" t="s">
        <v>117</v>
      </c>
      <c r="E1081"/>
      <c r="F1081" s="59" t="s">
        <v>1930</v>
      </c>
      <c r="G1081"/>
      <c r="H1081"/>
      <c r="I1081" t="s">
        <v>2066</v>
      </c>
      <c r="L1081">
        <v>50</v>
      </c>
      <c r="M1081">
        <v>15</v>
      </c>
      <c r="P1081" s="31">
        <v>25</v>
      </c>
      <c r="Q1081" s="232">
        <f t="shared" si="580"/>
        <v>6.25</v>
      </c>
      <c r="R1081" s="40">
        <v>0.8</v>
      </c>
      <c r="S1081" s="334">
        <f t="shared" si="581"/>
        <v>5</v>
      </c>
      <c r="T1081" s="31">
        <f>VLOOKUP(A1081,'Ansvar kurs'!$A$1:$C$1010,2,FALSE)</f>
        <v>1650</v>
      </c>
      <c r="U1081" s="31" t="str">
        <f>VLOOKUP(T1081,Orgenheter!$A$1:$C$165,2,FALSE)</f>
        <v xml:space="preserve">Estetiska ämnen               </v>
      </c>
      <c r="V1081" s="31" t="str">
        <f>VLOOKUP(T1081,Orgenheter!$A$1:$C$165,3,FALSE)</f>
        <v>Hum</v>
      </c>
      <c r="W1081" s="37" t="str">
        <f>VLOOKUP(D1081,Program!$A$1:$B$34,2,FALSE)</f>
        <v>Fristående och övriga kurser</v>
      </c>
      <c r="X1081" s="42">
        <f>VLOOKUP(A1081,kurspris!$A$1:$Q$798,15,FALSE)</f>
        <v>19473</v>
      </c>
      <c r="Y1081" s="42">
        <f>VLOOKUP(A1081,kurspris!$A$1:$Q$798,16,FALSE)</f>
        <v>34806</v>
      </c>
      <c r="Z1081" s="42">
        <f t="shared" si="582"/>
        <v>295736.25</v>
      </c>
      <c r="AA1081" s="42">
        <f>VLOOKUP(A1081,kurspris!$A$1:$Q$798,17,FALSE)</f>
        <v>21800</v>
      </c>
      <c r="AB1081" s="42">
        <f t="shared" si="583"/>
        <v>136250</v>
      </c>
      <c r="AC1081" s="42">
        <f t="shared" si="584"/>
        <v>431986.25</v>
      </c>
      <c r="AD1081" s="31">
        <f>VLOOKUP($A1081,kurspris!$A$1:$Q$835,3,FALSE)</f>
        <v>0</v>
      </c>
      <c r="AE1081" s="31">
        <f>VLOOKUP($A1081,kurspris!$A$1:$Q$835,4,FALSE)</f>
        <v>0</v>
      </c>
      <c r="AF1081" s="31">
        <f>VLOOKUP($A1081,kurspris!$A$1:$Q$835,5,FALSE)</f>
        <v>0</v>
      </c>
      <c r="AG1081" s="31">
        <f>VLOOKUP($A1081,kurspris!$A$1:$Q$835,6,FALSE)</f>
        <v>0</v>
      </c>
      <c r="AH1081" s="31">
        <f>VLOOKUP($A1081,kurspris!$A$1:$Q$835,7,FALSE)</f>
        <v>0</v>
      </c>
      <c r="AI1081" s="31">
        <f>VLOOKUP($A1081,kurspris!$A$1:$Q$835,8,FALSE)</f>
        <v>0</v>
      </c>
      <c r="AJ1081" s="31">
        <f>VLOOKUP($A1081,kurspris!$A$1:$Q$835,9,FALSE)</f>
        <v>0</v>
      </c>
      <c r="AK1081" s="31">
        <f>VLOOKUP($A1081,kurspris!$A$1:$Q$835,10,FALSE)</f>
        <v>1</v>
      </c>
      <c r="AL1081" s="31">
        <f>VLOOKUP($A1081,kurspris!$A$1:$Q$835,11,FALSE)</f>
        <v>0</v>
      </c>
      <c r="AM1081" s="31">
        <f>VLOOKUP($A1081,kurspris!$A$1:$Q$835,12,FALSE)</f>
        <v>0</v>
      </c>
      <c r="AN1081" s="31">
        <f>VLOOKUP($A1081,kurspris!$A$1:$Q$835,13,FALSE)</f>
        <v>0</v>
      </c>
      <c r="AO1081" s="31">
        <f>VLOOKUP($A1081,kurspris!$A$1:$Q$835,14,FALSE)</f>
        <v>0</v>
      </c>
      <c r="AP1081" s="39" t="s">
        <v>2204</v>
      </c>
      <c r="AQ1081" s="39" t="s">
        <v>2095</v>
      </c>
      <c r="AR1081" s="31">
        <f t="shared" si="585"/>
        <v>0</v>
      </c>
      <c r="AS1081" s="255">
        <f t="shared" si="586"/>
        <v>0</v>
      </c>
      <c r="AT1081" s="31">
        <f t="shared" si="587"/>
        <v>0</v>
      </c>
      <c r="AU1081" s="255">
        <f t="shared" si="588"/>
        <v>0</v>
      </c>
      <c r="AV1081" s="31">
        <f t="shared" si="589"/>
        <v>0</v>
      </c>
      <c r="AW1081" s="31">
        <f t="shared" si="590"/>
        <v>0</v>
      </c>
      <c r="AX1081" s="31">
        <f t="shared" si="591"/>
        <v>0</v>
      </c>
      <c r="AY1081" s="255">
        <f t="shared" si="592"/>
        <v>0</v>
      </c>
      <c r="AZ1081" s="232">
        <f t="shared" si="593"/>
        <v>0</v>
      </c>
      <c r="BA1081" s="255">
        <f t="shared" si="594"/>
        <v>0</v>
      </c>
      <c r="BB1081" s="31">
        <f t="shared" si="595"/>
        <v>0</v>
      </c>
      <c r="BC1081" s="255">
        <f t="shared" si="596"/>
        <v>0</v>
      </c>
      <c r="BD1081" s="31">
        <f t="shared" si="597"/>
        <v>0</v>
      </c>
      <c r="BE1081" s="255">
        <f t="shared" si="598"/>
        <v>0</v>
      </c>
      <c r="BF1081" s="31">
        <f t="shared" si="599"/>
        <v>6.25</v>
      </c>
      <c r="BG1081" s="255">
        <f t="shared" si="600"/>
        <v>5</v>
      </c>
      <c r="BH1081" s="31">
        <f t="shared" si="601"/>
        <v>0</v>
      </c>
      <c r="BI1081" s="255">
        <f t="shared" si="602"/>
        <v>0</v>
      </c>
      <c r="BJ1081" s="31">
        <f t="shared" si="603"/>
        <v>0</v>
      </c>
      <c r="BK1081" s="31">
        <f t="shared" si="604"/>
        <v>0</v>
      </c>
      <c r="BL1081" s="255">
        <f t="shared" si="605"/>
        <v>0</v>
      </c>
      <c r="BM1081" s="31">
        <f t="shared" si="606"/>
        <v>0</v>
      </c>
      <c r="BN1081" s="255">
        <f t="shared" si="607"/>
        <v>0</v>
      </c>
    </row>
    <row r="1082" spans="1:66" x14ac:dyDescent="0.25">
      <c r="A1082" s="18" t="s">
        <v>1771</v>
      </c>
      <c r="B1082" s="186" t="str">
        <f>VLOOKUP(A1082,kurspris!$A$1:$B$877,2,FALSE)</f>
        <v>Slöjd 1, trä- och metall</v>
      </c>
      <c r="C1082" s="37"/>
      <c r="D1082" t="s">
        <v>117</v>
      </c>
      <c r="E1082"/>
      <c r="F1082" s="59" t="s">
        <v>1931</v>
      </c>
      <c r="G1082"/>
      <c r="H1082"/>
      <c r="I1082" t="s">
        <v>2066</v>
      </c>
      <c r="L1082">
        <v>50</v>
      </c>
      <c r="M1082">
        <v>15</v>
      </c>
      <c r="P1082">
        <v>36</v>
      </c>
      <c r="Q1082" s="232">
        <f t="shared" si="580"/>
        <v>9</v>
      </c>
      <c r="R1082" s="40">
        <v>0.8</v>
      </c>
      <c r="S1082" s="334">
        <f t="shared" si="581"/>
        <v>7.2</v>
      </c>
      <c r="T1082" s="31">
        <f>VLOOKUP(A1082,'Ansvar kurs'!$A$1:$C$1010,2,FALSE)</f>
        <v>1650</v>
      </c>
      <c r="U1082" s="31" t="str">
        <f>VLOOKUP(T1082,Orgenheter!$A$1:$C$165,2,FALSE)</f>
        <v xml:space="preserve">Estetiska ämnen               </v>
      </c>
      <c r="V1082" s="31" t="str">
        <f>VLOOKUP(T1082,Orgenheter!$A$1:$C$165,3,FALSE)</f>
        <v>Hum</v>
      </c>
      <c r="W1082" s="37" t="str">
        <f>VLOOKUP(D1082,Program!$A$1:$B$34,2,FALSE)</f>
        <v>Fristående och övriga kurser</v>
      </c>
      <c r="X1082" s="42">
        <f>VLOOKUP(A1082,kurspris!$A$1:$Q$798,15,FALSE)</f>
        <v>19473</v>
      </c>
      <c r="Y1082" s="42">
        <f>VLOOKUP(A1082,kurspris!$A$1:$Q$798,16,FALSE)</f>
        <v>34806</v>
      </c>
      <c r="Z1082" s="42">
        <f t="shared" si="582"/>
        <v>425860.2</v>
      </c>
      <c r="AA1082" s="42">
        <f>VLOOKUP(A1082,kurspris!$A$1:$Q$798,17,FALSE)</f>
        <v>21800</v>
      </c>
      <c r="AB1082" s="42">
        <f t="shared" si="583"/>
        <v>196200</v>
      </c>
      <c r="AC1082" s="42">
        <f t="shared" si="584"/>
        <v>622060.19999999995</v>
      </c>
      <c r="AD1082" s="31">
        <f>VLOOKUP($A1082,kurspris!$A$1:$Q$835,3,FALSE)</f>
        <v>0</v>
      </c>
      <c r="AE1082" s="31">
        <f>VLOOKUP($A1082,kurspris!$A$1:$Q$835,4,FALSE)</f>
        <v>0</v>
      </c>
      <c r="AF1082" s="31">
        <f>VLOOKUP($A1082,kurspris!$A$1:$Q$835,5,FALSE)</f>
        <v>0</v>
      </c>
      <c r="AG1082" s="31">
        <f>VLOOKUP($A1082,kurspris!$A$1:$Q$835,6,FALSE)</f>
        <v>0</v>
      </c>
      <c r="AH1082" s="31">
        <f>VLOOKUP($A1082,kurspris!$A$1:$Q$835,7,FALSE)</f>
        <v>0</v>
      </c>
      <c r="AI1082" s="31">
        <f>VLOOKUP($A1082,kurspris!$A$1:$Q$835,8,FALSE)</f>
        <v>0</v>
      </c>
      <c r="AJ1082" s="31">
        <f>VLOOKUP($A1082,kurspris!$A$1:$Q$835,9,FALSE)</f>
        <v>0</v>
      </c>
      <c r="AK1082" s="31">
        <f>VLOOKUP($A1082,kurspris!$A$1:$Q$835,10,FALSE)</f>
        <v>1</v>
      </c>
      <c r="AL1082" s="31">
        <f>VLOOKUP($A1082,kurspris!$A$1:$Q$835,11,FALSE)</f>
        <v>0</v>
      </c>
      <c r="AM1082" s="31">
        <f>VLOOKUP($A1082,kurspris!$A$1:$Q$835,12,FALSE)</f>
        <v>0</v>
      </c>
      <c r="AN1082" s="31">
        <f>VLOOKUP($A1082,kurspris!$A$1:$Q$835,13,FALSE)</f>
        <v>0</v>
      </c>
      <c r="AO1082" s="31">
        <f>VLOOKUP($A1082,kurspris!$A$1:$Q$835,14,FALSE)</f>
        <v>0</v>
      </c>
      <c r="AP1082" s="39" t="s">
        <v>2095</v>
      </c>
      <c r="AQ1082"/>
      <c r="AR1082" s="31">
        <f t="shared" si="585"/>
        <v>0</v>
      </c>
      <c r="AS1082" s="255">
        <f t="shared" si="586"/>
        <v>0</v>
      </c>
      <c r="AT1082" s="31">
        <f t="shared" si="587"/>
        <v>0</v>
      </c>
      <c r="AU1082" s="255">
        <f t="shared" si="588"/>
        <v>0</v>
      </c>
      <c r="AV1082" s="31">
        <f t="shared" si="589"/>
        <v>0</v>
      </c>
      <c r="AW1082" s="31">
        <f t="shared" si="590"/>
        <v>0</v>
      </c>
      <c r="AX1082" s="31">
        <f t="shared" si="591"/>
        <v>0</v>
      </c>
      <c r="AY1082" s="255">
        <f t="shared" si="592"/>
        <v>0</v>
      </c>
      <c r="AZ1082" s="232">
        <f t="shared" si="593"/>
        <v>0</v>
      </c>
      <c r="BA1082" s="255">
        <f t="shared" si="594"/>
        <v>0</v>
      </c>
      <c r="BB1082" s="31">
        <f t="shared" si="595"/>
        <v>0</v>
      </c>
      <c r="BC1082" s="255">
        <f t="shared" si="596"/>
        <v>0</v>
      </c>
      <c r="BD1082" s="31">
        <f t="shared" si="597"/>
        <v>0</v>
      </c>
      <c r="BE1082" s="255">
        <f t="shared" si="598"/>
        <v>0</v>
      </c>
      <c r="BF1082" s="31">
        <f t="shared" si="599"/>
        <v>9</v>
      </c>
      <c r="BG1082" s="255">
        <f t="shared" si="600"/>
        <v>7.2</v>
      </c>
      <c r="BH1082" s="31">
        <f t="shared" si="601"/>
        <v>0</v>
      </c>
      <c r="BI1082" s="255">
        <f t="shared" si="602"/>
        <v>0</v>
      </c>
      <c r="BJ1082" s="31">
        <f t="shared" si="603"/>
        <v>0</v>
      </c>
      <c r="BK1082" s="31">
        <f t="shared" si="604"/>
        <v>0</v>
      </c>
      <c r="BL1082" s="255">
        <f t="shared" si="605"/>
        <v>0</v>
      </c>
      <c r="BM1082" s="31">
        <f t="shared" si="606"/>
        <v>0</v>
      </c>
      <c r="BN1082" s="255">
        <f t="shared" si="607"/>
        <v>0</v>
      </c>
    </row>
    <row r="1083" spans="1:66" x14ac:dyDescent="0.25">
      <c r="A1083" s="18" t="s">
        <v>1638</v>
      </c>
      <c r="B1083" s="186" t="str">
        <f>VLOOKUP(A1083,kurspris!$A$1:$B$877,2,FALSE)</f>
        <v>Form, färg, estetik och uttryck - Utveckla ditt formspråk i trä</v>
      </c>
      <c r="C1083" s="37"/>
      <c r="D1083" t="s">
        <v>117</v>
      </c>
      <c r="E1083"/>
      <c r="F1083" s="59" t="s">
        <v>1931</v>
      </c>
      <c r="G1083"/>
      <c r="H1083"/>
      <c r="I1083" t="s">
        <v>2066</v>
      </c>
      <c r="L1083">
        <v>50</v>
      </c>
      <c r="M1083">
        <v>15</v>
      </c>
      <c r="P1083">
        <v>8</v>
      </c>
      <c r="Q1083" s="232">
        <f t="shared" si="580"/>
        <v>2</v>
      </c>
      <c r="R1083" s="40">
        <v>0.8</v>
      </c>
      <c r="S1083" s="334">
        <f t="shared" si="581"/>
        <v>1.6</v>
      </c>
      <c r="T1083" s="31">
        <f>VLOOKUP(A1083,'Ansvar kurs'!$A$1:$C$1010,2,FALSE)</f>
        <v>1650</v>
      </c>
      <c r="U1083" s="31" t="str">
        <f>VLOOKUP(T1083,Orgenheter!$A$1:$C$165,2,FALSE)</f>
        <v xml:space="preserve">Estetiska ämnen               </v>
      </c>
      <c r="V1083" s="31" t="str">
        <f>VLOOKUP(T1083,Orgenheter!$A$1:$C$165,3,FALSE)</f>
        <v>Hum</v>
      </c>
      <c r="W1083" s="37" t="str">
        <f>VLOOKUP(D1083,Program!$A$1:$B$34,2,FALSE)</f>
        <v>Fristående och övriga kurser</v>
      </c>
      <c r="X1083" s="42">
        <f>VLOOKUP(A1083,kurspris!$A$1:$Q$798,15,FALSE)</f>
        <v>19473</v>
      </c>
      <c r="Y1083" s="42">
        <f>VLOOKUP(A1083,kurspris!$A$1:$Q$798,16,FALSE)</f>
        <v>34806</v>
      </c>
      <c r="Z1083" s="42">
        <f t="shared" si="582"/>
        <v>94635.6</v>
      </c>
      <c r="AA1083" s="42">
        <f>VLOOKUP(A1083,kurspris!$A$1:$Q$798,17,FALSE)</f>
        <v>21800</v>
      </c>
      <c r="AB1083" s="42">
        <f t="shared" si="583"/>
        <v>43600</v>
      </c>
      <c r="AC1083" s="42">
        <f t="shared" si="584"/>
        <v>138235.6</v>
      </c>
      <c r="AD1083" s="31">
        <f>VLOOKUP($A1083,kurspris!$A$1:$Q$835,3,FALSE)</f>
        <v>0</v>
      </c>
      <c r="AE1083" s="31">
        <f>VLOOKUP($A1083,kurspris!$A$1:$Q$835,4,FALSE)</f>
        <v>0</v>
      </c>
      <c r="AF1083" s="31">
        <f>VLOOKUP($A1083,kurspris!$A$1:$Q$835,5,FALSE)</f>
        <v>0</v>
      </c>
      <c r="AG1083" s="31">
        <f>VLOOKUP($A1083,kurspris!$A$1:$Q$835,6,FALSE)</f>
        <v>0</v>
      </c>
      <c r="AH1083" s="31">
        <f>VLOOKUP($A1083,kurspris!$A$1:$Q$835,7,FALSE)</f>
        <v>0</v>
      </c>
      <c r="AI1083" s="31">
        <f>VLOOKUP($A1083,kurspris!$A$1:$Q$835,8,FALSE)</f>
        <v>0</v>
      </c>
      <c r="AJ1083" s="31">
        <f>VLOOKUP($A1083,kurspris!$A$1:$Q$835,9,FALSE)</f>
        <v>0</v>
      </c>
      <c r="AK1083" s="31">
        <f>VLOOKUP($A1083,kurspris!$A$1:$Q$835,10,FALSE)</f>
        <v>1</v>
      </c>
      <c r="AL1083" s="31">
        <f>VLOOKUP($A1083,kurspris!$A$1:$Q$835,11,FALSE)</f>
        <v>0</v>
      </c>
      <c r="AM1083" s="31">
        <f>VLOOKUP($A1083,kurspris!$A$1:$Q$835,12,FALSE)</f>
        <v>0</v>
      </c>
      <c r="AN1083" s="31">
        <f>VLOOKUP($A1083,kurspris!$A$1:$Q$835,13,FALSE)</f>
        <v>0</v>
      </c>
      <c r="AO1083" s="31">
        <f>VLOOKUP($A1083,kurspris!$A$1:$Q$835,14,FALSE)</f>
        <v>0</v>
      </c>
      <c r="AP1083" s="39" t="s">
        <v>2095</v>
      </c>
      <c r="AQ1083"/>
      <c r="AR1083" s="31">
        <f t="shared" si="585"/>
        <v>0</v>
      </c>
      <c r="AS1083" s="255">
        <f t="shared" si="586"/>
        <v>0</v>
      </c>
      <c r="AT1083" s="31">
        <f t="shared" si="587"/>
        <v>0</v>
      </c>
      <c r="AU1083" s="255">
        <f t="shared" si="588"/>
        <v>0</v>
      </c>
      <c r="AV1083" s="31">
        <f t="shared" si="589"/>
        <v>0</v>
      </c>
      <c r="AW1083" s="31">
        <f t="shared" si="590"/>
        <v>0</v>
      </c>
      <c r="AX1083" s="31">
        <f t="shared" si="591"/>
        <v>0</v>
      </c>
      <c r="AY1083" s="255">
        <f t="shared" si="592"/>
        <v>0</v>
      </c>
      <c r="AZ1083" s="232">
        <f t="shared" si="593"/>
        <v>0</v>
      </c>
      <c r="BA1083" s="255">
        <f t="shared" si="594"/>
        <v>0</v>
      </c>
      <c r="BB1083" s="31">
        <f t="shared" si="595"/>
        <v>0</v>
      </c>
      <c r="BC1083" s="255">
        <f t="shared" si="596"/>
        <v>0</v>
      </c>
      <c r="BD1083" s="31">
        <f t="shared" si="597"/>
        <v>0</v>
      </c>
      <c r="BE1083" s="255">
        <f t="shared" si="598"/>
        <v>0</v>
      </c>
      <c r="BF1083" s="31">
        <f t="shared" si="599"/>
        <v>2</v>
      </c>
      <c r="BG1083" s="255">
        <f t="shared" si="600"/>
        <v>1.6</v>
      </c>
      <c r="BH1083" s="31">
        <f t="shared" si="601"/>
        <v>0</v>
      </c>
      <c r="BI1083" s="255">
        <f t="shared" si="602"/>
        <v>0</v>
      </c>
      <c r="BJ1083" s="31">
        <f t="shared" si="603"/>
        <v>0</v>
      </c>
      <c r="BK1083" s="31">
        <f t="shared" si="604"/>
        <v>0</v>
      </c>
      <c r="BL1083" s="255">
        <f t="shared" si="605"/>
        <v>0</v>
      </c>
      <c r="BM1083" s="31">
        <f t="shared" si="606"/>
        <v>0</v>
      </c>
      <c r="BN1083" s="255">
        <f t="shared" si="607"/>
        <v>0</v>
      </c>
    </row>
    <row r="1084" spans="1:66" x14ac:dyDescent="0.25">
      <c r="A1084" s="18" t="s">
        <v>1639</v>
      </c>
      <c r="B1084" s="186" t="str">
        <f>VLOOKUP(A1084,kurspris!$A$1:$B$877,2,FALSE)</f>
        <v>Slöjd trä och metall 2, fristående</v>
      </c>
      <c r="C1084" s="37"/>
      <c r="D1084" t="s">
        <v>117</v>
      </c>
      <c r="E1084"/>
      <c r="F1084" s="59" t="s">
        <v>1931</v>
      </c>
      <c r="G1084"/>
      <c r="H1084"/>
      <c r="I1084" t="s">
        <v>1634</v>
      </c>
      <c r="L1084">
        <v>100</v>
      </c>
      <c r="M1084">
        <v>30</v>
      </c>
      <c r="P1084">
        <v>3</v>
      </c>
      <c r="Q1084" s="232">
        <f t="shared" si="580"/>
        <v>1.5</v>
      </c>
      <c r="R1084" s="40">
        <v>0.8</v>
      </c>
      <c r="S1084" s="334">
        <f t="shared" si="581"/>
        <v>1.2000000000000002</v>
      </c>
      <c r="T1084" s="31">
        <f>VLOOKUP(A1084,'Ansvar kurs'!$A$1:$C$1010,2,FALSE)</f>
        <v>1650</v>
      </c>
      <c r="U1084" s="31" t="str">
        <f>VLOOKUP(T1084,Orgenheter!$A$1:$C$165,2,FALSE)</f>
        <v xml:space="preserve">Estetiska ämnen               </v>
      </c>
      <c r="V1084" s="31" t="str">
        <f>VLOOKUP(T1084,Orgenheter!$A$1:$C$165,3,FALSE)</f>
        <v>Hum</v>
      </c>
      <c r="W1084" s="37" t="str">
        <f>VLOOKUP(D1084,Program!$A$1:$B$34,2,FALSE)</f>
        <v>Fristående och övriga kurser</v>
      </c>
      <c r="X1084" s="42">
        <f>VLOOKUP(A1084,kurspris!$A$1:$Q$798,15,FALSE)</f>
        <v>19473</v>
      </c>
      <c r="Y1084" s="42">
        <f>VLOOKUP(A1084,kurspris!$A$1:$Q$798,16,FALSE)</f>
        <v>34806</v>
      </c>
      <c r="Z1084" s="42">
        <f t="shared" si="582"/>
        <v>70976.700000000012</v>
      </c>
      <c r="AA1084" s="42">
        <f>VLOOKUP(A1084,kurspris!$A$1:$Q$798,17,FALSE)</f>
        <v>21800</v>
      </c>
      <c r="AB1084" s="42">
        <f t="shared" si="583"/>
        <v>32700</v>
      </c>
      <c r="AC1084" s="42">
        <f t="shared" si="584"/>
        <v>103676.70000000001</v>
      </c>
      <c r="AD1084" s="31">
        <f>VLOOKUP($A1084,kurspris!$A$1:$Q$835,3,FALSE)</f>
        <v>0</v>
      </c>
      <c r="AE1084" s="31">
        <f>VLOOKUP($A1084,kurspris!$A$1:$Q$835,4,FALSE)</f>
        <v>0</v>
      </c>
      <c r="AF1084" s="31">
        <f>VLOOKUP($A1084,kurspris!$A$1:$Q$835,5,FALSE)</f>
        <v>0</v>
      </c>
      <c r="AG1084" s="31">
        <f>VLOOKUP($A1084,kurspris!$A$1:$Q$835,6,FALSE)</f>
        <v>0</v>
      </c>
      <c r="AH1084" s="31">
        <f>VLOOKUP($A1084,kurspris!$A$1:$Q$835,7,FALSE)</f>
        <v>0</v>
      </c>
      <c r="AI1084" s="31">
        <f>VLOOKUP($A1084,kurspris!$A$1:$Q$835,8,FALSE)</f>
        <v>0</v>
      </c>
      <c r="AJ1084" s="31">
        <f>VLOOKUP($A1084,kurspris!$A$1:$Q$835,9,FALSE)</f>
        <v>0</v>
      </c>
      <c r="AK1084" s="31">
        <f>VLOOKUP($A1084,kurspris!$A$1:$Q$835,10,FALSE)</f>
        <v>1</v>
      </c>
      <c r="AL1084" s="31">
        <f>VLOOKUP($A1084,kurspris!$A$1:$Q$835,11,FALSE)</f>
        <v>0</v>
      </c>
      <c r="AM1084" s="31">
        <f>VLOOKUP($A1084,kurspris!$A$1:$Q$835,12,FALSE)</f>
        <v>0</v>
      </c>
      <c r="AN1084" s="31">
        <f>VLOOKUP($A1084,kurspris!$A$1:$Q$835,13,FALSE)</f>
        <v>0</v>
      </c>
      <c r="AO1084" s="31">
        <f>VLOOKUP($A1084,kurspris!$A$1:$Q$835,14,FALSE)</f>
        <v>0</v>
      </c>
      <c r="AP1084" s="39" t="s">
        <v>2095</v>
      </c>
      <c r="AQ1084"/>
      <c r="AR1084" s="31">
        <f t="shared" si="585"/>
        <v>0</v>
      </c>
      <c r="AS1084" s="255">
        <f t="shared" si="586"/>
        <v>0</v>
      </c>
      <c r="AT1084" s="31">
        <f t="shared" si="587"/>
        <v>0</v>
      </c>
      <c r="AU1084" s="255">
        <f t="shared" si="588"/>
        <v>0</v>
      </c>
      <c r="AV1084" s="31">
        <f t="shared" si="589"/>
        <v>0</v>
      </c>
      <c r="AW1084" s="31">
        <f t="shared" si="590"/>
        <v>0</v>
      </c>
      <c r="AX1084" s="31">
        <f t="shared" si="591"/>
        <v>0</v>
      </c>
      <c r="AY1084" s="255">
        <f t="shared" si="592"/>
        <v>0</v>
      </c>
      <c r="AZ1084" s="232">
        <f t="shared" si="593"/>
        <v>0</v>
      </c>
      <c r="BA1084" s="255">
        <f t="shared" si="594"/>
        <v>0</v>
      </c>
      <c r="BB1084" s="31">
        <f t="shared" si="595"/>
        <v>0</v>
      </c>
      <c r="BC1084" s="255">
        <f t="shared" si="596"/>
        <v>0</v>
      </c>
      <c r="BD1084" s="31">
        <f t="shared" si="597"/>
        <v>0</v>
      </c>
      <c r="BE1084" s="255">
        <f t="shared" si="598"/>
        <v>0</v>
      </c>
      <c r="BF1084" s="31">
        <f t="shared" si="599"/>
        <v>1.5</v>
      </c>
      <c r="BG1084" s="255">
        <f t="shared" si="600"/>
        <v>1.2000000000000002</v>
      </c>
      <c r="BH1084" s="31">
        <f t="shared" si="601"/>
        <v>0</v>
      </c>
      <c r="BI1084" s="255">
        <f t="shared" si="602"/>
        <v>0</v>
      </c>
      <c r="BJ1084" s="31">
        <f t="shared" si="603"/>
        <v>0</v>
      </c>
      <c r="BK1084" s="31">
        <f t="shared" si="604"/>
        <v>0</v>
      </c>
      <c r="BL1084" s="255">
        <f t="shared" si="605"/>
        <v>0</v>
      </c>
      <c r="BM1084" s="31">
        <f t="shared" si="606"/>
        <v>0</v>
      </c>
      <c r="BN1084" s="255">
        <f t="shared" si="607"/>
        <v>0</v>
      </c>
    </row>
    <row r="1085" spans="1:66" x14ac:dyDescent="0.25">
      <c r="A1085" s="18" t="s">
        <v>1635</v>
      </c>
      <c r="B1085" s="186" t="str">
        <f>VLOOKUP(A1085,kurspris!$A$1:$B$877,2,FALSE)</f>
        <v>Skapandets intryck - utveckla och tala om hantverkets tysta kunskap</v>
      </c>
      <c r="C1085" s="37"/>
      <c r="D1085" t="s">
        <v>117</v>
      </c>
      <c r="E1085"/>
      <c r="F1085" s="59" t="s">
        <v>1930</v>
      </c>
      <c r="G1085"/>
      <c r="H1085"/>
      <c r="I1085" t="s">
        <v>2066</v>
      </c>
      <c r="L1085">
        <v>50</v>
      </c>
      <c r="M1085">
        <v>15</v>
      </c>
      <c r="P1085" s="31">
        <v>7</v>
      </c>
      <c r="Q1085" s="232">
        <f t="shared" si="580"/>
        <v>1.75</v>
      </c>
      <c r="R1085" s="40">
        <v>0.8</v>
      </c>
      <c r="S1085" s="334">
        <f t="shared" si="581"/>
        <v>1.4000000000000001</v>
      </c>
      <c r="T1085" s="31">
        <f>VLOOKUP(A1085,'Ansvar kurs'!$A$1:$C$1010,2,FALSE)</f>
        <v>1650</v>
      </c>
      <c r="U1085" s="31" t="str">
        <f>VLOOKUP(T1085,Orgenheter!$A$1:$C$165,2,FALSE)</f>
        <v xml:space="preserve">Estetiska ämnen               </v>
      </c>
      <c r="V1085" s="31" t="str">
        <f>VLOOKUP(T1085,Orgenheter!$A$1:$C$165,3,FALSE)</f>
        <v>Hum</v>
      </c>
      <c r="W1085" s="37" t="str">
        <f>VLOOKUP(D1085,Program!$A$1:$B$34,2,FALSE)</f>
        <v>Fristående och övriga kurser</v>
      </c>
      <c r="X1085" s="42">
        <f>VLOOKUP(A1085,kurspris!$A$1:$Q$798,15,FALSE)</f>
        <v>19473</v>
      </c>
      <c r="Y1085" s="42">
        <f>VLOOKUP(A1085,kurspris!$A$1:$Q$798,16,FALSE)</f>
        <v>34806</v>
      </c>
      <c r="Z1085" s="42">
        <f t="shared" si="582"/>
        <v>82806.149999999994</v>
      </c>
      <c r="AA1085" s="42">
        <f>VLOOKUP(A1085,kurspris!$A$1:$Q$798,17,FALSE)</f>
        <v>21800</v>
      </c>
      <c r="AB1085" s="42">
        <f t="shared" si="583"/>
        <v>38150</v>
      </c>
      <c r="AC1085" s="42">
        <f t="shared" si="584"/>
        <v>120956.15</v>
      </c>
      <c r="AD1085" s="31">
        <f>VLOOKUP($A1085,kurspris!$A$1:$Q$835,3,FALSE)</f>
        <v>0</v>
      </c>
      <c r="AE1085" s="31">
        <f>VLOOKUP($A1085,kurspris!$A$1:$Q$835,4,FALSE)</f>
        <v>0</v>
      </c>
      <c r="AF1085" s="31">
        <f>VLOOKUP($A1085,kurspris!$A$1:$Q$835,5,FALSE)</f>
        <v>0</v>
      </c>
      <c r="AG1085" s="31">
        <f>VLOOKUP($A1085,kurspris!$A$1:$Q$835,6,FALSE)</f>
        <v>0</v>
      </c>
      <c r="AH1085" s="31">
        <f>VLOOKUP($A1085,kurspris!$A$1:$Q$835,7,FALSE)</f>
        <v>0</v>
      </c>
      <c r="AI1085" s="31">
        <f>VLOOKUP($A1085,kurspris!$A$1:$Q$835,8,FALSE)</f>
        <v>0</v>
      </c>
      <c r="AJ1085" s="31">
        <f>VLOOKUP($A1085,kurspris!$A$1:$Q$835,9,FALSE)</f>
        <v>0</v>
      </c>
      <c r="AK1085" s="31">
        <f>VLOOKUP($A1085,kurspris!$A$1:$Q$835,10,FALSE)</f>
        <v>1</v>
      </c>
      <c r="AL1085" s="31">
        <f>VLOOKUP($A1085,kurspris!$A$1:$Q$835,11,FALSE)</f>
        <v>0</v>
      </c>
      <c r="AM1085" s="31">
        <f>VLOOKUP($A1085,kurspris!$A$1:$Q$835,12,FALSE)</f>
        <v>0</v>
      </c>
      <c r="AN1085" s="31">
        <f>VLOOKUP($A1085,kurspris!$A$1:$Q$835,13,FALSE)</f>
        <v>0</v>
      </c>
      <c r="AO1085" s="31">
        <f>VLOOKUP($A1085,kurspris!$A$1:$Q$835,14,FALSE)</f>
        <v>0</v>
      </c>
      <c r="AP1085" s="39" t="s">
        <v>2204</v>
      </c>
      <c r="AQ1085" s="39" t="s">
        <v>2095</v>
      </c>
      <c r="AR1085" s="31">
        <f t="shared" si="585"/>
        <v>0</v>
      </c>
      <c r="AS1085" s="255">
        <f t="shared" si="586"/>
        <v>0</v>
      </c>
      <c r="AT1085" s="31">
        <f t="shared" si="587"/>
        <v>0</v>
      </c>
      <c r="AU1085" s="255">
        <f t="shared" si="588"/>
        <v>0</v>
      </c>
      <c r="AV1085" s="31">
        <f t="shared" si="589"/>
        <v>0</v>
      </c>
      <c r="AW1085" s="31">
        <f t="shared" si="590"/>
        <v>0</v>
      </c>
      <c r="AX1085" s="31">
        <f t="shared" si="591"/>
        <v>0</v>
      </c>
      <c r="AY1085" s="255">
        <f t="shared" si="592"/>
        <v>0</v>
      </c>
      <c r="AZ1085" s="232">
        <f t="shared" si="593"/>
        <v>0</v>
      </c>
      <c r="BA1085" s="255">
        <f t="shared" si="594"/>
        <v>0</v>
      </c>
      <c r="BB1085" s="31">
        <f t="shared" si="595"/>
        <v>0</v>
      </c>
      <c r="BC1085" s="255">
        <f t="shared" si="596"/>
        <v>0</v>
      </c>
      <c r="BD1085" s="31">
        <f t="shared" si="597"/>
        <v>0</v>
      </c>
      <c r="BE1085" s="255">
        <f t="shared" si="598"/>
        <v>0</v>
      </c>
      <c r="BF1085" s="31">
        <f t="shared" si="599"/>
        <v>1.75</v>
      </c>
      <c r="BG1085" s="255">
        <f t="shared" si="600"/>
        <v>1.4000000000000001</v>
      </c>
      <c r="BH1085" s="31">
        <f t="shared" si="601"/>
        <v>0</v>
      </c>
      <c r="BI1085" s="255">
        <f t="shared" si="602"/>
        <v>0</v>
      </c>
      <c r="BJ1085" s="31">
        <f t="shared" si="603"/>
        <v>0</v>
      </c>
      <c r="BK1085" s="31">
        <f t="shared" si="604"/>
        <v>0</v>
      </c>
      <c r="BL1085" s="255">
        <f t="shared" si="605"/>
        <v>0</v>
      </c>
      <c r="BM1085" s="31">
        <f t="shared" si="606"/>
        <v>0</v>
      </c>
      <c r="BN1085" s="255">
        <f t="shared" si="607"/>
        <v>0</v>
      </c>
    </row>
    <row r="1086" spans="1:66" x14ac:dyDescent="0.25">
      <c r="A1086" s="18" t="s">
        <v>1775</v>
      </c>
      <c r="B1086" s="186" t="str">
        <f>VLOOKUP(A1086,kurspris!$A$1:$B$877,2,FALSE)</f>
        <v>"Fatta Sapmi" (prel. namn)</v>
      </c>
      <c r="C1086" s="37"/>
      <c r="D1086" t="s">
        <v>117</v>
      </c>
      <c r="E1086"/>
      <c r="F1086" s="59" t="s">
        <v>1931</v>
      </c>
      <c r="G1086"/>
      <c r="H1086"/>
      <c r="I1086" t="s">
        <v>2066</v>
      </c>
      <c r="L1086">
        <v>25</v>
      </c>
      <c r="M1086">
        <v>7.5</v>
      </c>
      <c r="P1086">
        <v>10</v>
      </c>
      <c r="Q1086" s="232">
        <f t="shared" si="580"/>
        <v>1.25</v>
      </c>
      <c r="R1086" s="40">
        <v>0.8</v>
      </c>
      <c r="S1086" s="334">
        <f t="shared" si="581"/>
        <v>1</v>
      </c>
      <c r="T1086" s="31">
        <f>VLOOKUP(A1086,'Ansvar kurs'!$A$1:$C$1010,2,FALSE)</f>
        <v>1620</v>
      </c>
      <c r="U1086" s="31" t="str">
        <f>VLOOKUP(T1086,Orgenheter!$A$1:$C$165,2,FALSE)</f>
        <v>Inst för språkstudier</v>
      </c>
      <c r="V1086" s="31" t="str">
        <f>VLOOKUP(T1086,Orgenheter!$A$1:$C$165,3,FALSE)</f>
        <v>Hum</v>
      </c>
      <c r="W1086" s="37" t="str">
        <f>VLOOKUP(D1086,Program!$A$1:$B$34,2,FALSE)</f>
        <v>Fristående och övriga kurser</v>
      </c>
      <c r="X1086" s="42">
        <f>VLOOKUP(A1086,kurspris!$A$1:$Q$798,15,FALSE)</f>
        <v>15846</v>
      </c>
      <c r="Y1086" s="42">
        <f>VLOOKUP(A1086,kurspris!$A$1:$Q$798,16,FALSE)</f>
        <v>26926</v>
      </c>
      <c r="Z1086" s="42">
        <f t="shared" si="582"/>
        <v>46733.5</v>
      </c>
      <c r="AA1086" s="42">
        <f>VLOOKUP(A1086,kurspris!$A$1:$Q$798,17,FALSE)</f>
        <v>17300</v>
      </c>
      <c r="AB1086" s="42">
        <f t="shared" si="583"/>
        <v>21625</v>
      </c>
      <c r="AC1086" s="42">
        <f t="shared" si="584"/>
        <v>68358.5</v>
      </c>
      <c r="AD1086" s="31">
        <f>VLOOKUP($A1086,kurspris!$A$1:$Q$835,3,FALSE)</f>
        <v>0</v>
      </c>
      <c r="AE1086" s="31">
        <f>VLOOKUP($A1086,kurspris!$A$1:$Q$835,4,FALSE)</f>
        <v>0</v>
      </c>
      <c r="AF1086" s="31">
        <f>VLOOKUP($A1086,kurspris!$A$1:$Q$835,5,FALSE)</f>
        <v>0</v>
      </c>
      <c r="AG1086" s="31">
        <f>VLOOKUP($A1086,kurspris!$A$1:$Q$835,6,FALSE)</f>
        <v>0</v>
      </c>
      <c r="AH1086" s="31">
        <f>VLOOKUP($A1086,kurspris!$A$1:$Q$835,7,FALSE)</f>
        <v>0</v>
      </c>
      <c r="AI1086" s="31">
        <f>VLOOKUP($A1086,kurspris!$A$1:$Q$835,8,FALSE)</f>
        <v>0</v>
      </c>
      <c r="AJ1086" s="31">
        <f>VLOOKUP($A1086,kurspris!$A$1:$Q$835,9,FALSE)</f>
        <v>0</v>
      </c>
      <c r="AK1086" s="31">
        <f>VLOOKUP($A1086,kurspris!$A$1:$Q$835,10,FALSE)</f>
        <v>0</v>
      </c>
      <c r="AL1086" s="31">
        <f>VLOOKUP($A1086,kurspris!$A$1:$Q$835,11,FALSE)</f>
        <v>0</v>
      </c>
      <c r="AM1086" s="31">
        <f>VLOOKUP($A1086,kurspris!$A$1:$Q$835,12,FALSE)</f>
        <v>0</v>
      </c>
      <c r="AN1086" s="31">
        <f>VLOOKUP($A1086,kurspris!$A$1:$Q$835,13,FALSE)</f>
        <v>1</v>
      </c>
      <c r="AO1086" s="31">
        <f>VLOOKUP($A1086,kurspris!$A$1:$Q$835,14,FALSE)</f>
        <v>0</v>
      </c>
      <c r="AP1086" s="39" t="s">
        <v>2095</v>
      </c>
      <c r="AQ1086"/>
      <c r="AR1086" s="31">
        <f t="shared" si="585"/>
        <v>0</v>
      </c>
      <c r="AS1086" s="255">
        <f t="shared" si="586"/>
        <v>0</v>
      </c>
      <c r="AT1086" s="31">
        <f t="shared" si="587"/>
        <v>0</v>
      </c>
      <c r="AU1086" s="255">
        <f t="shared" si="588"/>
        <v>0</v>
      </c>
      <c r="AV1086" s="31">
        <f t="shared" si="589"/>
        <v>0</v>
      </c>
      <c r="AW1086" s="31">
        <f t="shared" si="590"/>
        <v>0</v>
      </c>
      <c r="AX1086" s="31">
        <f t="shared" si="591"/>
        <v>0</v>
      </c>
      <c r="AY1086" s="255">
        <f t="shared" si="592"/>
        <v>0</v>
      </c>
      <c r="AZ1086" s="232">
        <f t="shared" si="593"/>
        <v>0</v>
      </c>
      <c r="BA1086" s="255">
        <f t="shared" si="594"/>
        <v>0</v>
      </c>
      <c r="BB1086" s="31">
        <f t="shared" si="595"/>
        <v>0</v>
      </c>
      <c r="BC1086" s="255">
        <f t="shared" si="596"/>
        <v>0</v>
      </c>
      <c r="BD1086" s="31">
        <f t="shared" si="597"/>
        <v>0</v>
      </c>
      <c r="BE1086" s="255">
        <f t="shared" si="598"/>
        <v>0</v>
      </c>
      <c r="BF1086" s="31">
        <f t="shared" si="599"/>
        <v>0</v>
      </c>
      <c r="BG1086" s="255">
        <f t="shared" si="600"/>
        <v>0</v>
      </c>
      <c r="BH1086" s="31">
        <f t="shared" si="601"/>
        <v>0</v>
      </c>
      <c r="BI1086" s="255">
        <f t="shared" si="602"/>
        <v>0</v>
      </c>
      <c r="BJ1086" s="31">
        <f t="shared" si="603"/>
        <v>0</v>
      </c>
      <c r="BK1086" s="31">
        <f t="shared" si="604"/>
        <v>1.25</v>
      </c>
      <c r="BL1086" s="255">
        <f t="shared" si="605"/>
        <v>1</v>
      </c>
      <c r="BM1086" s="31">
        <f t="shared" si="606"/>
        <v>0</v>
      </c>
      <c r="BN1086" s="255">
        <f t="shared" si="607"/>
        <v>0</v>
      </c>
    </row>
    <row r="1087" spans="1:66" x14ac:dyDescent="0.25">
      <c r="A1087" s="18" t="s">
        <v>2067</v>
      </c>
      <c r="B1087" s="186" t="str">
        <f>VLOOKUP(A1087,kurspris!$A$1:$B$877,2,FALSE)</f>
        <v>Ämnesmetodik inom mat, måltider och hälsa</v>
      </c>
      <c r="C1087" s="37"/>
      <c r="D1087" t="s">
        <v>117</v>
      </c>
      <c r="E1087"/>
      <c r="F1087" s="59" t="s">
        <v>2093</v>
      </c>
      <c r="G1087" t="s">
        <v>2065</v>
      </c>
      <c r="H1087"/>
      <c r="I1087" s="18" t="s">
        <v>2066</v>
      </c>
      <c r="J1087" s="159"/>
      <c r="K1087" s="159"/>
      <c r="L1087">
        <v>50</v>
      </c>
      <c r="M1087">
        <v>5</v>
      </c>
      <c r="P1087" s="295">
        <v>0</v>
      </c>
      <c r="Q1087" s="232">
        <f t="shared" si="580"/>
        <v>0</v>
      </c>
      <c r="R1087" s="40">
        <v>0.8</v>
      </c>
      <c r="S1087" s="334">
        <f t="shared" si="581"/>
        <v>0</v>
      </c>
      <c r="T1087" s="31">
        <f>VLOOKUP(A1087,'Ansvar kurs'!$A$1:$C$1010,2,FALSE)</f>
        <v>2750</v>
      </c>
      <c r="U1087" s="31" t="str">
        <f>VLOOKUP(T1087,Orgenheter!$A$1:$C$165,2,FALSE)</f>
        <v xml:space="preserve">Kostvetenskap                 </v>
      </c>
      <c r="V1087" s="31" t="str">
        <f>VLOOKUP(T1087,Orgenheter!$A$1:$C$165,3,FALSE)</f>
        <v>Sam</v>
      </c>
      <c r="W1087" s="37" t="str">
        <f>VLOOKUP(D1087,Program!$A$1:$B$34,2,FALSE)</f>
        <v>Fristående och övriga kurser</v>
      </c>
      <c r="X1087" s="42">
        <f>VLOOKUP(A1087,kurspris!$A$1:$Q$798,15,FALSE)</f>
        <v>19473</v>
      </c>
      <c r="Y1087" s="42">
        <f>VLOOKUP(A1087,kurspris!$A$1:$Q$798,16,FALSE)</f>
        <v>34806</v>
      </c>
      <c r="Z1087" s="42">
        <f t="shared" si="582"/>
        <v>0</v>
      </c>
      <c r="AA1087" s="42">
        <f>VLOOKUP(A1087,kurspris!$A$1:$Q$798,17,FALSE)</f>
        <v>21800</v>
      </c>
      <c r="AB1087" s="42">
        <f t="shared" si="583"/>
        <v>0</v>
      </c>
      <c r="AC1087" s="42">
        <f t="shared" si="584"/>
        <v>0</v>
      </c>
      <c r="AD1087" s="31">
        <f>VLOOKUP($A1087,kurspris!$A$1:$Q$835,3,FALSE)</f>
        <v>0</v>
      </c>
      <c r="AE1087" s="31">
        <f>VLOOKUP($A1087,kurspris!$A$1:$Q$835,4,FALSE)</f>
        <v>0</v>
      </c>
      <c r="AF1087" s="31">
        <f>VLOOKUP($A1087,kurspris!$A$1:$Q$835,5,FALSE)</f>
        <v>0</v>
      </c>
      <c r="AG1087" s="31">
        <f>VLOOKUP($A1087,kurspris!$A$1:$Q$835,6,FALSE)</f>
        <v>0</v>
      </c>
      <c r="AH1087" s="31">
        <f>VLOOKUP($A1087,kurspris!$A$1:$Q$835,7,FALSE)</f>
        <v>0</v>
      </c>
      <c r="AI1087" s="31">
        <f>VLOOKUP($A1087,kurspris!$A$1:$Q$835,8,FALSE)</f>
        <v>1</v>
      </c>
      <c r="AJ1087" s="31">
        <f>VLOOKUP($A1087,kurspris!$A$1:$Q$835,9,FALSE)</f>
        <v>0</v>
      </c>
      <c r="AK1087" s="31">
        <f>VLOOKUP($A1087,kurspris!$A$1:$Q$835,10,FALSE)</f>
        <v>0</v>
      </c>
      <c r="AL1087" s="31">
        <f>VLOOKUP($A1087,kurspris!$A$1:$Q$835,11,FALSE)</f>
        <v>0</v>
      </c>
      <c r="AM1087" s="31">
        <f>VLOOKUP($A1087,kurspris!$A$1:$Q$835,12,FALSE)</f>
        <v>0</v>
      </c>
      <c r="AN1087" s="31">
        <f>VLOOKUP($A1087,kurspris!$A$1:$Q$835,13,FALSE)</f>
        <v>0</v>
      </c>
      <c r="AO1087" s="31">
        <f>VLOOKUP($A1087,kurspris!$A$1:$Q$835,14,FALSE)</f>
        <v>0</v>
      </c>
      <c r="AP1087" s="39" t="s">
        <v>2095</v>
      </c>
      <c r="AQ1087" t="s">
        <v>2155</v>
      </c>
      <c r="AR1087" s="31">
        <f t="shared" si="585"/>
        <v>0</v>
      </c>
      <c r="AS1087" s="255">
        <f t="shared" si="586"/>
        <v>0</v>
      </c>
      <c r="AT1087" s="31">
        <f t="shared" si="587"/>
        <v>0</v>
      </c>
      <c r="AU1087" s="255">
        <f t="shared" si="588"/>
        <v>0</v>
      </c>
      <c r="AV1087" s="31">
        <f t="shared" si="589"/>
        <v>0</v>
      </c>
      <c r="AW1087" s="31">
        <f t="shared" si="590"/>
        <v>0</v>
      </c>
      <c r="AX1087" s="31">
        <f t="shared" si="591"/>
        <v>0</v>
      </c>
      <c r="AY1087" s="255">
        <f t="shared" si="592"/>
        <v>0</v>
      </c>
      <c r="AZ1087" s="232">
        <f t="shared" si="593"/>
        <v>0</v>
      </c>
      <c r="BA1087" s="255">
        <f t="shared" si="594"/>
        <v>0</v>
      </c>
      <c r="BB1087" s="31">
        <f t="shared" si="595"/>
        <v>0</v>
      </c>
      <c r="BC1087" s="255">
        <f t="shared" si="596"/>
        <v>0</v>
      </c>
      <c r="BD1087" s="31">
        <f t="shared" si="597"/>
        <v>0</v>
      </c>
      <c r="BE1087" s="255">
        <f t="shared" si="598"/>
        <v>0</v>
      </c>
      <c r="BF1087" s="31">
        <f t="shared" si="599"/>
        <v>0</v>
      </c>
      <c r="BG1087" s="255">
        <f t="shared" si="600"/>
        <v>0</v>
      </c>
      <c r="BH1087" s="31">
        <f t="shared" si="601"/>
        <v>0</v>
      </c>
      <c r="BI1087" s="255">
        <f t="shared" si="602"/>
        <v>0</v>
      </c>
      <c r="BJ1087" s="31">
        <f t="shared" si="603"/>
        <v>0</v>
      </c>
      <c r="BK1087" s="31">
        <f t="shared" si="604"/>
        <v>0</v>
      </c>
      <c r="BL1087" s="255">
        <f t="shared" si="605"/>
        <v>0</v>
      </c>
      <c r="BM1087" s="31">
        <f t="shared" si="606"/>
        <v>0</v>
      </c>
      <c r="BN1087" s="255">
        <f t="shared" si="607"/>
        <v>0</v>
      </c>
    </row>
    <row r="1088" spans="1:66" x14ac:dyDescent="0.25">
      <c r="A1088" s="59" t="s">
        <v>1944</v>
      </c>
      <c r="B1088" s="186" t="str">
        <f>VLOOKUP(A1088,kurspris!$A$1:$B$877,2,FALSE)</f>
        <v>Introduktion till det specialpedagogiska fältet</v>
      </c>
      <c r="C1088" s="37"/>
      <c r="D1088" s="59" t="s">
        <v>120</v>
      </c>
      <c r="E1088" s="62" t="s">
        <v>1931</v>
      </c>
      <c r="F1088" s="59" t="s">
        <v>1931</v>
      </c>
      <c r="G1088" s="31" t="s">
        <v>2274</v>
      </c>
      <c r="I1088" s="62"/>
      <c r="J1088" s="62"/>
      <c r="L1088" s="31">
        <v>100</v>
      </c>
      <c r="M1088" s="378">
        <v>7.5</v>
      </c>
      <c r="N1088" s="40"/>
      <c r="P1088" s="377">
        <v>34</v>
      </c>
      <c r="Q1088" s="232">
        <f t="shared" si="580"/>
        <v>4.25</v>
      </c>
      <c r="R1088" s="40">
        <v>0.85</v>
      </c>
      <c r="S1088" s="334">
        <f t="shared" si="581"/>
        <v>3.6124999999999998</v>
      </c>
      <c r="T1088" s="31">
        <f>VLOOKUP(A1088,'Ansvar kurs'!$A$1:$C$1010,2,FALSE)</f>
        <v>2180</v>
      </c>
      <c r="U1088" s="31" t="str">
        <f>VLOOKUP(T1088,Orgenheter!$A$1:$C$165,2,FALSE)</f>
        <v xml:space="preserve">Pedagogik                     </v>
      </c>
      <c r="V1088" s="31" t="str">
        <f>VLOOKUP(T1088,Orgenheter!$A$1:$C$165,3,FALSE)</f>
        <v>Sam</v>
      </c>
      <c r="W1088" s="37" t="str">
        <f>VLOOKUP(D1088,Program!$A$1:$B$34,2,FALSE)</f>
        <v>Specialpedagogprogrammet</v>
      </c>
      <c r="X1088" s="42">
        <f>VLOOKUP(A1088,kurspris!$A$1:$Q$798,15,FALSE)</f>
        <v>18405</v>
      </c>
      <c r="Y1088" s="42">
        <f>VLOOKUP(A1088,kurspris!$A$1:$Q$798,16,FALSE)</f>
        <v>15773</v>
      </c>
      <c r="Z1088" s="42">
        <f t="shared" si="582"/>
        <v>135201.21249999999</v>
      </c>
      <c r="AA1088" s="42">
        <f>VLOOKUP(A1088,kurspris!$A$1:$Q$798,17,FALSE)</f>
        <v>5800</v>
      </c>
      <c r="AB1088" s="42">
        <f t="shared" si="583"/>
        <v>24650</v>
      </c>
      <c r="AC1088" s="42">
        <f t="shared" si="584"/>
        <v>159851.21249999999</v>
      </c>
      <c r="AD1088" s="31">
        <f>VLOOKUP($A1088,kurspris!$A$1:$Q$835,3,FALSE)</f>
        <v>0</v>
      </c>
      <c r="AE1088" s="31">
        <f>VLOOKUP($A1088,kurspris!$A$1:$Q$835,4,FALSE)</f>
        <v>0</v>
      </c>
      <c r="AF1088" s="31">
        <f>VLOOKUP($A1088,kurspris!$A$1:$Q$835,5,FALSE)</f>
        <v>0</v>
      </c>
      <c r="AG1088" s="31">
        <f>VLOOKUP($A1088,kurspris!$A$1:$Q$835,6,FALSE)</f>
        <v>0</v>
      </c>
      <c r="AH1088" s="31">
        <f>VLOOKUP($A1088,kurspris!$A$1:$Q$835,7,FALSE)</f>
        <v>0</v>
      </c>
      <c r="AI1088" s="31">
        <f>VLOOKUP($A1088,kurspris!$A$1:$Q$835,8,FALSE)</f>
        <v>0</v>
      </c>
      <c r="AJ1088" s="31">
        <f>VLOOKUP($A1088,kurspris!$A$1:$Q$835,9,FALSE)</f>
        <v>1</v>
      </c>
      <c r="AK1088" s="31">
        <f>VLOOKUP($A1088,kurspris!$A$1:$Q$835,10,FALSE)</f>
        <v>0</v>
      </c>
      <c r="AL1088" s="31">
        <f>VLOOKUP($A1088,kurspris!$A$1:$Q$835,11,FALSE)</f>
        <v>0</v>
      </c>
      <c r="AM1088" s="31">
        <f>VLOOKUP($A1088,kurspris!$A$1:$Q$835,12,FALSE)</f>
        <v>0</v>
      </c>
      <c r="AN1088" s="31">
        <f>VLOOKUP($A1088,kurspris!$A$1:$Q$835,13,FALSE)</f>
        <v>0</v>
      </c>
      <c r="AO1088" s="31">
        <f>VLOOKUP($A1088,kurspris!$A$1:$Q$835,14,FALSE)</f>
        <v>0</v>
      </c>
      <c r="AP1088" s="39" t="s">
        <v>2326</v>
      </c>
      <c r="AQ1088"/>
      <c r="AR1088" s="31">
        <f t="shared" si="585"/>
        <v>0</v>
      </c>
      <c r="AS1088" s="255">
        <f t="shared" si="586"/>
        <v>0</v>
      </c>
      <c r="AT1088" s="31">
        <f t="shared" si="587"/>
        <v>0</v>
      </c>
      <c r="AU1088" s="255">
        <f t="shared" si="588"/>
        <v>0</v>
      </c>
      <c r="AV1088" s="31">
        <f t="shared" si="589"/>
        <v>0</v>
      </c>
      <c r="AW1088" s="31">
        <f t="shared" si="590"/>
        <v>0</v>
      </c>
      <c r="AX1088" s="31">
        <f t="shared" si="591"/>
        <v>0</v>
      </c>
      <c r="AY1088" s="255">
        <f t="shared" si="592"/>
        <v>0</v>
      </c>
      <c r="AZ1088" s="232">
        <f t="shared" si="593"/>
        <v>0</v>
      </c>
      <c r="BA1088" s="255">
        <f t="shared" si="594"/>
        <v>0</v>
      </c>
      <c r="BB1088" s="31">
        <f t="shared" si="595"/>
        <v>0</v>
      </c>
      <c r="BC1088" s="255">
        <f t="shared" si="596"/>
        <v>0</v>
      </c>
      <c r="BD1088" s="31">
        <f t="shared" si="597"/>
        <v>4.25</v>
      </c>
      <c r="BE1088" s="255">
        <f t="shared" si="598"/>
        <v>3.6124999999999998</v>
      </c>
      <c r="BF1088" s="31">
        <f t="shared" si="599"/>
        <v>0</v>
      </c>
      <c r="BG1088" s="255">
        <f t="shared" si="600"/>
        <v>0</v>
      </c>
      <c r="BH1088" s="31">
        <f t="shared" si="601"/>
        <v>0</v>
      </c>
      <c r="BI1088" s="255">
        <f t="shared" si="602"/>
        <v>0</v>
      </c>
      <c r="BJ1088" s="31">
        <f t="shared" si="603"/>
        <v>0</v>
      </c>
      <c r="BK1088" s="31">
        <f t="shared" si="604"/>
        <v>0</v>
      </c>
      <c r="BL1088" s="255">
        <f t="shared" si="605"/>
        <v>0</v>
      </c>
      <c r="BM1088" s="31">
        <f t="shared" si="606"/>
        <v>0</v>
      </c>
      <c r="BN1088" s="255">
        <f t="shared" si="607"/>
        <v>0</v>
      </c>
    </row>
    <row r="1089" spans="1:66" x14ac:dyDescent="0.25">
      <c r="A1089" s="18" t="s">
        <v>1944</v>
      </c>
      <c r="B1089" s="186" t="str">
        <f>VLOOKUP(A1089,kurspris!$A$1:$B$877,2,FALSE)</f>
        <v>Introduktion till det specialpedagogiska fältet</v>
      </c>
      <c r="C1089" s="37"/>
      <c r="D1089" s="31" t="s">
        <v>115</v>
      </c>
      <c r="E1089" s="31" t="s">
        <v>2264</v>
      </c>
      <c r="F1089" s="59" t="s">
        <v>1931</v>
      </c>
      <c r="G1089" s="31" t="s">
        <v>2274</v>
      </c>
      <c r="J1089" t="s">
        <v>2165</v>
      </c>
      <c r="L1089" s="31">
        <v>100</v>
      </c>
      <c r="M1089" s="31">
        <v>7.5</v>
      </c>
      <c r="P1089" s="31">
        <v>2</v>
      </c>
      <c r="Q1089" s="232">
        <f t="shared" si="580"/>
        <v>0.25</v>
      </c>
      <c r="R1089" s="40">
        <v>0.85</v>
      </c>
      <c r="S1089" s="334">
        <f t="shared" si="581"/>
        <v>0.21249999999999999</v>
      </c>
      <c r="T1089" s="31">
        <f>VLOOKUP(A1089,'Ansvar kurs'!$A$1:$C$1010,2,FALSE)</f>
        <v>2180</v>
      </c>
      <c r="U1089" s="31" t="str">
        <f>VLOOKUP(T1089,Orgenheter!$A$1:$C$165,2,FALSE)</f>
        <v xml:space="preserve">Pedagogik                     </v>
      </c>
      <c r="V1089" s="31" t="str">
        <f>VLOOKUP(T1089,Orgenheter!$A$1:$C$165,3,FALSE)</f>
        <v>Sam</v>
      </c>
      <c r="W1089" s="37" t="str">
        <f>VLOOKUP(D1089,Program!$A$1:$B$34,2,FALSE)</f>
        <v>Speciallärarprogrammet</v>
      </c>
      <c r="X1089" s="42">
        <f>VLOOKUP(A1089,kurspris!$A$1:$Q$798,15,FALSE)</f>
        <v>18405</v>
      </c>
      <c r="Y1089" s="42">
        <f>VLOOKUP(A1089,kurspris!$A$1:$Q$798,16,FALSE)</f>
        <v>15773</v>
      </c>
      <c r="Z1089" s="42">
        <f t="shared" si="582"/>
        <v>7953.0124999999998</v>
      </c>
      <c r="AA1089" s="42">
        <f>VLOOKUP(A1089,kurspris!$A$1:$Q$798,17,FALSE)</f>
        <v>5800</v>
      </c>
      <c r="AB1089" s="42">
        <f t="shared" si="583"/>
        <v>1450</v>
      </c>
      <c r="AC1089" s="42">
        <f t="shared" si="584"/>
        <v>9403.0125000000007</v>
      </c>
      <c r="AD1089" s="31">
        <f>VLOOKUP($A1089,kurspris!$A$1:$Q$835,3,FALSE)</f>
        <v>0</v>
      </c>
      <c r="AE1089" s="31">
        <f>VLOOKUP($A1089,kurspris!$A$1:$Q$835,4,FALSE)</f>
        <v>0</v>
      </c>
      <c r="AF1089" s="31">
        <f>VLOOKUP($A1089,kurspris!$A$1:$Q$835,5,FALSE)</f>
        <v>0</v>
      </c>
      <c r="AG1089" s="31">
        <f>VLOOKUP($A1089,kurspris!$A$1:$Q$835,6,FALSE)</f>
        <v>0</v>
      </c>
      <c r="AH1089" s="31">
        <f>VLOOKUP($A1089,kurspris!$A$1:$Q$835,7,FALSE)</f>
        <v>0</v>
      </c>
      <c r="AI1089" s="31">
        <f>VLOOKUP($A1089,kurspris!$A$1:$Q$835,8,FALSE)</f>
        <v>0</v>
      </c>
      <c r="AJ1089" s="31">
        <f>VLOOKUP($A1089,kurspris!$A$1:$Q$835,9,FALSE)</f>
        <v>1</v>
      </c>
      <c r="AK1089" s="31">
        <f>VLOOKUP($A1089,kurspris!$A$1:$Q$835,10,FALSE)</f>
        <v>0</v>
      </c>
      <c r="AL1089" s="31">
        <f>VLOOKUP($A1089,kurspris!$A$1:$Q$835,11,FALSE)</f>
        <v>0</v>
      </c>
      <c r="AM1089" s="31">
        <f>VLOOKUP($A1089,kurspris!$A$1:$Q$835,12,FALSE)</f>
        <v>0</v>
      </c>
      <c r="AN1089" s="31">
        <f>VLOOKUP($A1089,kurspris!$A$1:$Q$835,13,FALSE)</f>
        <v>0</v>
      </c>
      <c r="AO1089" s="31">
        <f>VLOOKUP($A1089,kurspris!$A$1:$Q$835,14,FALSE)</f>
        <v>0</v>
      </c>
      <c r="AP1089" s="39" t="s">
        <v>2326</v>
      </c>
      <c r="AQ1089"/>
      <c r="AR1089" s="31">
        <f t="shared" si="585"/>
        <v>0</v>
      </c>
      <c r="AS1089" s="255">
        <f t="shared" si="586"/>
        <v>0</v>
      </c>
      <c r="AT1089" s="31">
        <f t="shared" si="587"/>
        <v>0</v>
      </c>
      <c r="AU1089" s="255">
        <f t="shared" si="588"/>
        <v>0</v>
      </c>
      <c r="AV1089" s="31">
        <f t="shared" si="589"/>
        <v>0</v>
      </c>
      <c r="AW1089" s="31">
        <f t="shared" si="590"/>
        <v>0</v>
      </c>
      <c r="AX1089" s="31">
        <f t="shared" si="591"/>
        <v>0</v>
      </c>
      <c r="AY1089" s="255">
        <f t="shared" si="592"/>
        <v>0</v>
      </c>
      <c r="AZ1089" s="232">
        <f t="shared" si="593"/>
        <v>0</v>
      </c>
      <c r="BA1089" s="255">
        <f t="shared" si="594"/>
        <v>0</v>
      </c>
      <c r="BB1089" s="31">
        <f t="shared" si="595"/>
        <v>0</v>
      </c>
      <c r="BC1089" s="255">
        <f t="shared" si="596"/>
        <v>0</v>
      </c>
      <c r="BD1089" s="31">
        <f t="shared" si="597"/>
        <v>0.25</v>
      </c>
      <c r="BE1089" s="255">
        <f t="shared" si="598"/>
        <v>0.21249999999999999</v>
      </c>
      <c r="BF1089" s="31">
        <f t="shared" si="599"/>
        <v>0</v>
      </c>
      <c r="BG1089" s="255">
        <f t="shared" si="600"/>
        <v>0</v>
      </c>
      <c r="BH1089" s="31">
        <f t="shared" si="601"/>
        <v>0</v>
      </c>
      <c r="BI1089" s="255">
        <f t="shared" si="602"/>
        <v>0</v>
      </c>
      <c r="BJ1089" s="31">
        <f t="shared" si="603"/>
        <v>0</v>
      </c>
      <c r="BK1089" s="31">
        <f t="shared" si="604"/>
        <v>0</v>
      </c>
      <c r="BL1089" s="255">
        <f t="shared" si="605"/>
        <v>0</v>
      </c>
      <c r="BM1089" s="31">
        <f t="shared" si="606"/>
        <v>0</v>
      </c>
      <c r="BN1089" s="255">
        <f t="shared" si="607"/>
        <v>0</v>
      </c>
    </row>
    <row r="1090" spans="1:66" x14ac:dyDescent="0.25">
      <c r="A1090" s="18" t="s">
        <v>1944</v>
      </c>
      <c r="B1090" s="186" t="str">
        <f>VLOOKUP(A1090,kurspris!$A$1:$B$877,2,FALSE)</f>
        <v>Introduktion till det specialpedagogiska fältet</v>
      </c>
      <c r="C1090" s="37"/>
      <c r="D1090" s="31" t="s">
        <v>115</v>
      </c>
      <c r="E1090" s="31" t="s">
        <v>2264</v>
      </c>
      <c r="F1090" s="59" t="s">
        <v>1931</v>
      </c>
      <c r="G1090" s="31" t="s">
        <v>2274</v>
      </c>
      <c r="J1090" t="s">
        <v>1812</v>
      </c>
      <c r="L1090" s="31">
        <v>100</v>
      </c>
      <c r="M1090" s="31">
        <v>7.5</v>
      </c>
      <c r="P1090" s="31">
        <v>1</v>
      </c>
      <c r="Q1090" s="232">
        <f t="shared" si="580"/>
        <v>0.125</v>
      </c>
      <c r="R1090" s="40">
        <v>0.85</v>
      </c>
      <c r="S1090" s="334">
        <f t="shared" si="581"/>
        <v>0.10625</v>
      </c>
      <c r="T1090" s="31">
        <f>VLOOKUP(A1090,'Ansvar kurs'!$A$1:$C$1010,2,FALSE)</f>
        <v>2180</v>
      </c>
      <c r="U1090" s="31" t="str">
        <f>VLOOKUP(T1090,Orgenheter!$A$1:$C$165,2,FALSE)</f>
        <v xml:space="preserve">Pedagogik                     </v>
      </c>
      <c r="V1090" s="31" t="str">
        <f>VLOOKUP(T1090,Orgenheter!$A$1:$C$165,3,FALSE)</f>
        <v>Sam</v>
      </c>
      <c r="W1090" s="37" t="str">
        <f>VLOOKUP(D1090,Program!$A$1:$B$34,2,FALSE)</f>
        <v>Speciallärarprogrammet</v>
      </c>
      <c r="X1090" s="42">
        <f>VLOOKUP(A1090,kurspris!$A$1:$Q$798,15,FALSE)</f>
        <v>18405</v>
      </c>
      <c r="Y1090" s="42">
        <f>VLOOKUP(A1090,kurspris!$A$1:$Q$798,16,FALSE)</f>
        <v>15773</v>
      </c>
      <c r="Z1090" s="42">
        <f t="shared" si="582"/>
        <v>3976.5062499999999</v>
      </c>
      <c r="AA1090" s="42">
        <f>VLOOKUP(A1090,kurspris!$A$1:$Q$798,17,FALSE)</f>
        <v>5800</v>
      </c>
      <c r="AB1090" s="42">
        <f t="shared" si="583"/>
        <v>725</v>
      </c>
      <c r="AC1090" s="42">
        <f t="shared" si="584"/>
        <v>4701.5062500000004</v>
      </c>
      <c r="AD1090" s="31">
        <f>VLOOKUP($A1090,kurspris!$A$1:$Q$835,3,FALSE)</f>
        <v>0</v>
      </c>
      <c r="AE1090" s="31">
        <f>VLOOKUP($A1090,kurspris!$A$1:$Q$835,4,FALSE)</f>
        <v>0</v>
      </c>
      <c r="AF1090" s="31">
        <f>VLOOKUP($A1090,kurspris!$A$1:$Q$835,5,FALSE)</f>
        <v>0</v>
      </c>
      <c r="AG1090" s="31">
        <f>VLOOKUP($A1090,kurspris!$A$1:$Q$835,6,FALSE)</f>
        <v>0</v>
      </c>
      <c r="AH1090" s="31">
        <f>VLOOKUP($A1090,kurspris!$A$1:$Q$835,7,FALSE)</f>
        <v>0</v>
      </c>
      <c r="AI1090" s="31">
        <f>VLOOKUP($A1090,kurspris!$A$1:$Q$835,8,FALSE)</f>
        <v>0</v>
      </c>
      <c r="AJ1090" s="31">
        <f>VLOOKUP($A1090,kurspris!$A$1:$Q$835,9,FALSE)</f>
        <v>1</v>
      </c>
      <c r="AK1090" s="31">
        <f>VLOOKUP($A1090,kurspris!$A$1:$Q$835,10,FALSE)</f>
        <v>0</v>
      </c>
      <c r="AL1090" s="31">
        <f>VLOOKUP($A1090,kurspris!$A$1:$Q$835,11,FALSE)</f>
        <v>0</v>
      </c>
      <c r="AM1090" s="31">
        <f>VLOOKUP($A1090,kurspris!$A$1:$Q$835,12,FALSE)</f>
        <v>0</v>
      </c>
      <c r="AN1090" s="31">
        <f>VLOOKUP($A1090,kurspris!$A$1:$Q$835,13,FALSE)</f>
        <v>0</v>
      </c>
      <c r="AO1090" s="31">
        <f>VLOOKUP($A1090,kurspris!$A$1:$Q$835,14,FALSE)</f>
        <v>0</v>
      </c>
      <c r="AP1090" s="39" t="s">
        <v>2326</v>
      </c>
      <c r="AQ1090"/>
      <c r="AR1090" s="31">
        <f t="shared" si="585"/>
        <v>0</v>
      </c>
      <c r="AS1090" s="255">
        <f t="shared" si="586"/>
        <v>0</v>
      </c>
      <c r="AT1090" s="31">
        <f t="shared" si="587"/>
        <v>0</v>
      </c>
      <c r="AU1090" s="255">
        <f t="shared" si="588"/>
        <v>0</v>
      </c>
      <c r="AV1090" s="31">
        <f t="shared" si="589"/>
        <v>0</v>
      </c>
      <c r="AW1090" s="31">
        <f t="shared" si="590"/>
        <v>0</v>
      </c>
      <c r="AX1090" s="31">
        <f t="shared" si="591"/>
        <v>0</v>
      </c>
      <c r="AY1090" s="255">
        <f t="shared" si="592"/>
        <v>0</v>
      </c>
      <c r="AZ1090" s="232">
        <f t="shared" si="593"/>
        <v>0</v>
      </c>
      <c r="BA1090" s="255">
        <f t="shared" si="594"/>
        <v>0</v>
      </c>
      <c r="BB1090" s="31">
        <f t="shared" si="595"/>
        <v>0</v>
      </c>
      <c r="BC1090" s="255">
        <f t="shared" si="596"/>
        <v>0</v>
      </c>
      <c r="BD1090" s="31">
        <f t="shared" si="597"/>
        <v>0.125</v>
      </c>
      <c r="BE1090" s="255">
        <f t="shared" si="598"/>
        <v>0.10625</v>
      </c>
      <c r="BF1090" s="31">
        <f t="shared" si="599"/>
        <v>0</v>
      </c>
      <c r="BG1090" s="255">
        <f t="shared" si="600"/>
        <v>0</v>
      </c>
      <c r="BH1090" s="31">
        <f t="shared" si="601"/>
        <v>0</v>
      </c>
      <c r="BI1090" s="255">
        <f t="shared" si="602"/>
        <v>0</v>
      </c>
      <c r="BJ1090" s="31">
        <f t="shared" si="603"/>
        <v>0</v>
      </c>
      <c r="BK1090" s="31">
        <f t="shared" si="604"/>
        <v>0</v>
      </c>
      <c r="BL1090" s="255">
        <f t="shared" si="605"/>
        <v>0</v>
      </c>
      <c r="BM1090" s="31">
        <f t="shared" si="606"/>
        <v>0</v>
      </c>
      <c r="BN1090" s="255">
        <f t="shared" si="607"/>
        <v>0</v>
      </c>
    </row>
    <row r="1091" spans="1:66" x14ac:dyDescent="0.25">
      <c r="A1091" s="59" t="s">
        <v>1944</v>
      </c>
      <c r="B1091" s="186" t="str">
        <f>VLOOKUP(A1091,kurspris!$A$1:$B$877,2,FALSE)</f>
        <v>Introduktion till det specialpedagogiska fältet</v>
      </c>
      <c r="C1091" s="37"/>
      <c r="D1091" s="31" t="s">
        <v>115</v>
      </c>
      <c r="E1091" s="59" t="s">
        <v>1931</v>
      </c>
      <c r="F1091" s="59" t="s">
        <v>1931</v>
      </c>
      <c r="G1091" s="31" t="s">
        <v>2274</v>
      </c>
      <c r="J1091" t="s">
        <v>2163</v>
      </c>
      <c r="L1091" s="31">
        <v>100</v>
      </c>
      <c r="M1091" s="378">
        <v>7.5</v>
      </c>
      <c r="P1091" s="31">
        <v>15</v>
      </c>
      <c r="Q1091" s="232">
        <f t="shared" si="580"/>
        <v>1.875</v>
      </c>
      <c r="R1091" s="40">
        <v>0.85</v>
      </c>
      <c r="S1091" s="334">
        <f t="shared" si="581"/>
        <v>1.59375</v>
      </c>
      <c r="T1091" s="31">
        <f>VLOOKUP(A1091,'Ansvar kurs'!$A$1:$C$1010,2,FALSE)</f>
        <v>2180</v>
      </c>
      <c r="U1091" s="31" t="str">
        <f>VLOOKUP(T1091,Orgenheter!$A$1:$C$165,2,FALSE)</f>
        <v xml:space="preserve">Pedagogik                     </v>
      </c>
      <c r="V1091" s="31" t="str">
        <f>VLOOKUP(T1091,Orgenheter!$A$1:$C$165,3,FALSE)</f>
        <v>Sam</v>
      </c>
      <c r="W1091" s="37" t="str">
        <f>VLOOKUP(D1091,Program!$A$1:$B$34,2,FALSE)</f>
        <v>Speciallärarprogrammet</v>
      </c>
      <c r="X1091" s="42">
        <f>VLOOKUP(A1091,kurspris!$A$1:$Q$798,15,FALSE)</f>
        <v>18405</v>
      </c>
      <c r="Y1091" s="42">
        <f>VLOOKUP(A1091,kurspris!$A$1:$Q$798,16,FALSE)</f>
        <v>15773</v>
      </c>
      <c r="Z1091" s="42">
        <f t="shared" si="582"/>
        <v>59647.59375</v>
      </c>
      <c r="AA1091" s="42">
        <f>VLOOKUP(A1091,kurspris!$A$1:$Q$798,17,FALSE)</f>
        <v>5800</v>
      </c>
      <c r="AB1091" s="42">
        <f t="shared" si="583"/>
        <v>10875</v>
      </c>
      <c r="AC1091" s="42">
        <f t="shared" si="584"/>
        <v>70522.59375</v>
      </c>
      <c r="AD1091" s="31">
        <f>VLOOKUP($A1091,kurspris!$A$1:$Q$835,3,FALSE)</f>
        <v>0</v>
      </c>
      <c r="AE1091" s="31">
        <f>VLOOKUP($A1091,kurspris!$A$1:$Q$835,4,FALSE)</f>
        <v>0</v>
      </c>
      <c r="AF1091" s="31">
        <f>VLOOKUP($A1091,kurspris!$A$1:$Q$835,5,FALSE)</f>
        <v>0</v>
      </c>
      <c r="AG1091" s="31">
        <f>VLOOKUP($A1091,kurspris!$A$1:$Q$835,6,FALSE)</f>
        <v>0</v>
      </c>
      <c r="AH1091" s="31">
        <f>VLOOKUP($A1091,kurspris!$A$1:$Q$835,7,FALSE)</f>
        <v>0</v>
      </c>
      <c r="AI1091" s="31">
        <f>VLOOKUP($A1091,kurspris!$A$1:$Q$835,8,FALSE)</f>
        <v>0</v>
      </c>
      <c r="AJ1091" s="31">
        <f>VLOOKUP($A1091,kurspris!$A$1:$Q$835,9,FALSE)</f>
        <v>1</v>
      </c>
      <c r="AK1091" s="31">
        <f>VLOOKUP($A1091,kurspris!$A$1:$Q$835,10,FALSE)</f>
        <v>0</v>
      </c>
      <c r="AL1091" s="31">
        <f>VLOOKUP($A1091,kurspris!$A$1:$Q$835,11,FALSE)</f>
        <v>0</v>
      </c>
      <c r="AM1091" s="31">
        <f>VLOOKUP($A1091,kurspris!$A$1:$Q$835,12,FALSE)</f>
        <v>0</v>
      </c>
      <c r="AN1091" s="31">
        <f>VLOOKUP($A1091,kurspris!$A$1:$Q$835,13,FALSE)</f>
        <v>0</v>
      </c>
      <c r="AO1091" s="31">
        <f>VLOOKUP($A1091,kurspris!$A$1:$Q$835,14,FALSE)</f>
        <v>0</v>
      </c>
      <c r="AP1091" s="39" t="s">
        <v>2326</v>
      </c>
      <c r="AQ1091"/>
      <c r="AR1091" s="31">
        <f t="shared" si="585"/>
        <v>0</v>
      </c>
      <c r="AS1091" s="255">
        <f t="shared" si="586"/>
        <v>0</v>
      </c>
      <c r="AT1091" s="31">
        <f t="shared" si="587"/>
        <v>0</v>
      </c>
      <c r="AU1091" s="255">
        <f t="shared" si="588"/>
        <v>0</v>
      </c>
      <c r="AV1091" s="31">
        <f t="shared" si="589"/>
        <v>0</v>
      </c>
      <c r="AW1091" s="31">
        <f t="shared" si="590"/>
        <v>0</v>
      </c>
      <c r="AX1091" s="31">
        <f t="shared" si="591"/>
        <v>0</v>
      </c>
      <c r="AY1091" s="255">
        <f t="shared" si="592"/>
        <v>0</v>
      </c>
      <c r="AZ1091" s="232">
        <f t="shared" si="593"/>
        <v>0</v>
      </c>
      <c r="BA1091" s="255">
        <f t="shared" si="594"/>
        <v>0</v>
      </c>
      <c r="BB1091" s="31">
        <f t="shared" si="595"/>
        <v>0</v>
      </c>
      <c r="BC1091" s="255">
        <f t="shared" si="596"/>
        <v>0</v>
      </c>
      <c r="BD1091" s="31">
        <f t="shared" si="597"/>
        <v>1.875</v>
      </c>
      <c r="BE1091" s="255">
        <f t="shared" si="598"/>
        <v>1.59375</v>
      </c>
      <c r="BF1091" s="31">
        <f t="shared" si="599"/>
        <v>0</v>
      </c>
      <c r="BG1091" s="255">
        <f t="shared" si="600"/>
        <v>0</v>
      </c>
      <c r="BH1091" s="31">
        <f t="shared" si="601"/>
        <v>0</v>
      </c>
      <c r="BI1091" s="255">
        <f t="shared" si="602"/>
        <v>0</v>
      </c>
      <c r="BJ1091" s="31">
        <f t="shared" si="603"/>
        <v>0</v>
      </c>
      <c r="BK1091" s="31">
        <f t="shared" si="604"/>
        <v>0</v>
      </c>
      <c r="BL1091" s="255">
        <f t="shared" si="605"/>
        <v>0</v>
      </c>
      <c r="BM1091" s="31">
        <f t="shared" si="606"/>
        <v>0</v>
      </c>
      <c r="BN1091" s="255">
        <f t="shared" si="607"/>
        <v>0</v>
      </c>
    </row>
    <row r="1092" spans="1:66" x14ac:dyDescent="0.25">
      <c r="A1092" s="59" t="s">
        <v>1944</v>
      </c>
      <c r="B1092" s="186" t="str">
        <f>VLOOKUP(A1092,kurspris!$A$1:$B$877,2,FALSE)</f>
        <v>Introduktion till det specialpedagogiska fältet</v>
      </c>
      <c r="C1092" s="37"/>
      <c r="D1092" s="31" t="s">
        <v>115</v>
      </c>
      <c r="E1092" s="59" t="s">
        <v>1931</v>
      </c>
      <c r="F1092" s="59" t="s">
        <v>1931</v>
      </c>
      <c r="G1092" s="31" t="s">
        <v>2274</v>
      </c>
      <c r="J1092" t="s">
        <v>2165</v>
      </c>
      <c r="L1092" s="31">
        <v>100</v>
      </c>
      <c r="M1092" s="378">
        <v>7.5</v>
      </c>
      <c r="P1092" s="31">
        <v>16</v>
      </c>
      <c r="Q1092" s="232">
        <f t="shared" si="580"/>
        <v>2</v>
      </c>
      <c r="R1092" s="40">
        <v>0.85</v>
      </c>
      <c r="S1092" s="334">
        <f t="shared" si="581"/>
        <v>1.7</v>
      </c>
      <c r="T1092" s="31">
        <f>VLOOKUP(A1092,'Ansvar kurs'!$A$1:$C$1010,2,FALSE)</f>
        <v>2180</v>
      </c>
      <c r="U1092" s="31" t="str">
        <f>VLOOKUP(T1092,Orgenheter!$A$1:$C$165,2,FALSE)</f>
        <v xml:space="preserve">Pedagogik                     </v>
      </c>
      <c r="V1092" s="31" t="str">
        <f>VLOOKUP(T1092,Orgenheter!$A$1:$C$165,3,FALSE)</f>
        <v>Sam</v>
      </c>
      <c r="W1092" s="37" t="str">
        <f>VLOOKUP(D1092,Program!$A$1:$B$34,2,FALSE)</f>
        <v>Speciallärarprogrammet</v>
      </c>
      <c r="X1092" s="42">
        <f>VLOOKUP(A1092,kurspris!$A$1:$Q$798,15,FALSE)</f>
        <v>18405</v>
      </c>
      <c r="Y1092" s="42">
        <f>VLOOKUP(A1092,kurspris!$A$1:$Q$798,16,FALSE)</f>
        <v>15773</v>
      </c>
      <c r="Z1092" s="42">
        <f t="shared" si="582"/>
        <v>63624.1</v>
      </c>
      <c r="AA1092" s="42">
        <f>VLOOKUP(A1092,kurspris!$A$1:$Q$798,17,FALSE)</f>
        <v>5800</v>
      </c>
      <c r="AB1092" s="42">
        <f t="shared" si="583"/>
        <v>11600</v>
      </c>
      <c r="AC1092" s="42">
        <f t="shared" si="584"/>
        <v>75224.100000000006</v>
      </c>
      <c r="AD1092" s="31">
        <f>VLOOKUP($A1092,kurspris!$A$1:$Q$835,3,FALSE)</f>
        <v>0</v>
      </c>
      <c r="AE1092" s="31">
        <f>VLOOKUP($A1092,kurspris!$A$1:$Q$835,4,FALSE)</f>
        <v>0</v>
      </c>
      <c r="AF1092" s="31">
        <f>VLOOKUP($A1092,kurspris!$A$1:$Q$835,5,FALSE)</f>
        <v>0</v>
      </c>
      <c r="AG1092" s="31">
        <f>VLOOKUP($A1092,kurspris!$A$1:$Q$835,6,FALSE)</f>
        <v>0</v>
      </c>
      <c r="AH1092" s="31">
        <f>VLOOKUP($A1092,kurspris!$A$1:$Q$835,7,FALSE)</f>
        <v>0</v>
      </c>
      <c r="AI1092" s="31">
        <f>VLOOKUP($A1092,kurspris!$A$1:$Q$835,8,FALSE)</f>
        <v>0</v>
      </c>
      <c r="AJ1092" s="31">
        <f>VLOOKUP($A1092,kurspris!$A$1:$Q$835,9,FALSE)</f>
        <v>1</v>
      </c>
      <c r="AK1092" s="31">
        <f>VLOOKUP($A1092,kurspris!$A$1:$Q$835,10,FALSE)</f>
        <v>0</v>
      </c>
      <c r="AL1092" s="31">
        <f>VLOOKUP($A1092,kurspris!$A$1:$Q$835,11,FALSE)</f>
        <v>0</v>
      </c>
      <c r="AM1092" s="31">
        <f>VLOOKUP($A1092,kurspris!$A$1:$Q$835,12,FALSE)</f>
        <v>0</v>
      </c>
      <c r="AN1092" s="31">
        <f>VLOOKUP($A1092,kurspris!$A$1:$Q$835,13,FALSE)</f>
        <v>0</v>
      </c>
      <c r="AO1092" s="31">
        <f>VLOOKUP($A1092,kurspris!$A$1:$Q$835,14,FALSE)</f>
        <v>0</v>
      </c>
      <c r="AP1092" s="39" t="s">
        <v>2326</v>
      </c>
      <c r="AQ1092"/>
      <c r="AR1092" s="31">
        <f t="shared" si="585"/>
        <v>0</v>
      </c>
      <c r="AS1092" s="255">
        <f t="shared" si="586"/>
        <v>0</v>
      </c>
      <c r="AT1092" s="31">
        <f t="shared" si="587"/>
        <v>0</v>
      </c>
      <c r="AU1092" s="255">
        <f t="shared" si="588"/>
        <v>0</v>
      </c>
      <c r="AV1092" s="31">
        <f t="shared" si="589"/>
        <v>0</v>
      </c>
      <c r="AW1092" s="31">
        <f t="shared" si="590"/>
        <v>0</v>
      </c>
      <c r="AX1092" s="31">
        <f t="shared" si="591"/>
        <v>0</v>
      </c>
      <c r="AY1092" s="255">
        <f t="shared" si="592"/>
        <v>0</v>
      </c>
      <c r="AZ1092" s="232">
        <f t="shared" si="593"/>
        <v>0</v>
      </c>
      <c r="BA1092" s="255">
        <f t="shared" si="594"/>
        <v>0</v>
      </c>
      <c r="BB1092" s="31">
        <f t="shared" si="595"/>
        <v>0</v>
      </c>
      <c r="BC1092" s="255">
        <f t="shared" si="596"/>
        <v>0</v>
      </c>
      <c r="BD1092" s="31">
        <f t="shared" si="597"/>
        <v>2</v>
      </c>
      <c r="BE1092" s="255">
        <f t="shared" si="598"/>
        <v>1.7</v>
      </c>
      <c r="BF1092" s="31">
        <f t="shared" si="599"/>
        <v>0</v>
      </c>
      <c r="BG1092" s="255">
        <f t="shared" si="600"/>
        <v>0</v>
      </c>
      <c r="BH1092" s="31">
        <f t="shared" si="601"/>
        <v>0</v>
      </c>
      <c r="BI1092" s="255">
        <f t="shared" si="602"/>
        <v>0</v>
      </c>
      <c r="BJ1092" s="31">
        <f t="shared" si="603"/>
        <v>0</v>
      </c>
      <c r="BK1092" s="31">
        <f t="shared" si="604"/>
        <v>0</v>
      </c>
      <c r="BL1092" s="255">
        <f t="shared" si="605"/>
        <v>0</v>
      </c>
      <c r="BM1092" s="31">
        <f t="shared" si="606"/>
        <v>0</v>
      </c>
      <c r="BN1092" s="255">
        <f t="shared" si="607"/>
        <v>0</v>
      </c>
    </row>
    <row r="1093" spans="1:66" x14ac:dyDescent="0.25">
      <c r="A1093" s="39" t="s">
        <v>1944</v>
      </c>
      <c r="B1093" s="186" t="str">
        <f>VLOOKUP(A1093,kurspris!$A$1:$B$877,2,FALSE)</f>
        <v>Introduktion till det specialpedagogiska fältet</v>
      </c>
      <c r="C1093" s="37"/>
      <c r="D1093" s="31" t="s">
        <v>115</v>
      </c>
      <c r="E1093" s="59" t="s">
        <v>1931</v>
      </c>
      <c r="F1093" s="59" t="s">
        <v>1931</v>
      </c>
      <c r="G1093" s="31" t="s">
        <v>2274</v>
      </c>
      <c r="J1093" t="s">
        <v>1812</v>
      </c>
      <c r="L1093" s="31">
        <v>100</v>
      </c>
      <c r="M1093" s="378">
        <v>7.5</v>
      </c>
      <c r="N1093" s="40"/>
      <c r="P1093" s="377">
        <v>14</v>
      </c>
      <c r="Q1093" s="232">
        <f t="shared" si="580"/>
        <v>1.75</v>
      </c>
      <c r="R1093" s="40">
        <v>0.85</v>
      </c>
      <c r="S1093" s="334">
        <f t="shared" si="581"/>
        <v>1.4875</v>
      </c>
      <c r="T1093" s="31">
        <f>VLOOKUP(A1093,'Ansvar kurs'!$A$1:$C$1010,2,FALSE)</f>
        <v>2180</v>
      </c>
      <c r="U1093" s="31" t="str">
        <f>VLOOKUP(T1093,Orgenheter!$A$1:$C$165,2,FALSE)</f>
        <v xml:space="preserve">Pedagogik                     </v>
      </c>
      <c r="V1093" s="31" t="str">
        <f>VLOOKUP(T1093,Orgenheter!$A$1:$C$165,3,FALSE)</f>
        <v>Sam</v>
      </c>
      <c r="W1093" s="37" t="str">
        <f>VLOOKUP(D1093,Program!$A$1:$B$34,2,FALSE)</f>
        <v>Speciallärarprogrammet</v>
      </c>
      <c r="X1093" s="42">
        <f>VLOOKUP(A1093,kurspris!$A$1:$Q$798,15,FALSE)</f>
        <v>18405</v>
      </c>
      <c r="Y1093" s="42">
        <f>VLOOKUP(A1093,kurspris!$A$1:$Q$798,16,FALSE)</f>
        <v>15773</v>
      </c>
      <c r="Z1093" s="42">
        <f t="shared" si="582"/>
        <v>55671.087500000001</v>
      </c>
      <c r="AA1093" s="42">
        <f>VLOOKUP(A1093,kurspris!$A$1:$Q$798,17,FALSE)</f>
        <v>5800</v>
      </c>
      <c r="AB1093" s="42">
        <f t="shared" si="583"/>
        <v>10150</v>
      </c>
      <c r="AC1093" s="42">
        <f t="shared" si="584"/>
        <v>65821.087499999994</v>
      </c>
      <c r="AD1093" s="31">
        <f>VLOOKUP($A1093,kurspris!$A$1:$Q$835,3,FALSE)</f>
        <v>0</v>
      </c>
      <c r="AE1093" s="31">
        <f>VLOOKUP($A1093,kurspris!$A$1:$Q$835,4,FALSE)</f>
        <v>0</v>
      </c>
      <c r="AF1093" s="31">
        <f>VLOOKUP($A1093,kurspris!$A$1:$Q$835,5,FALSE)</f>
        <v>0</v>
      </c>
      <c r="AG1093" s="31">
        <f>VLOOKUP($A1093,kurspris!$A$1:$Q$835,6,FALSE)</f>
        <v>0</v>
      </c>
      <c r="AH1093" s="31">
        <f>VLOOKUP($A1093,kurspris!$A$1:$Q$835,7,FALSE)</f>
        <v>0</v>
      </c>
      <c r="AI1093" s="31">
        <f>VLOOKUP($A1093,kurspris!$A$1:$Q$835,8,FALSE)</f>
        <v>0</v>
      </c>
      <c r="AJ1093" s="31">
        <f>VLOOKUP($A1093,kurspris!$A$1:$Q$835,9,FALSE)</f>
        <v>1</v>
      </c>
      <c r="AK1093" s="31">
        <f>VLOOKUP($A1093,kurspris!$A$1:$Q$835,10,FALSE)</f>
        <v>0</v>
      </c>
      <c r="AL1093" s="31">
        <f>VLOOKUP($A1093,kurspris!$A$1:$Q$835,11,FALSE)</f>
        <v>0</v>
      </c>
      <c r="AM1093" s="31">
        <f>VLOOKUP($A1093,kurspris!$A$1:$Q$835,12,FALSE)</f>
        <v>0</v>
      </c>
      <c r="AN1093" s="31">
        <f>VLOOKUP($A1093,kurspris!$A$1:$Q$835,13,FALSE)</f>
        <v>0</v>
      </c>
      <c r="AO1093" s="31">
        <f>VLOOKUP($A1093,kurspris!$A$1:$Q$835,14,FALSE)</f>
        <v>0</v>
      </c>
      <c r="AP1093" s="39" t="s">
        <v>2326</v>
      </c>
      <c r="AQ1093"/>
      <c r="AR1093" s="31">
        <f t="shared" si="585"/>
        <v>0</v>
      </c>
      <c r="AS1093" s="255">
        <f t="shared" si="586"/>
        <v>0</v>
      </c>
      <c r="AT1093" s="31">
        <f t="shared" si="587"/>
        <v>0</v>
      </c>
      <c r="AU1093" s="255">
        <f t="shared" si="588"/>
        <v>0</v>
      </c>
      <c r="AV1093" s="31">
        <f t="shared" si="589"/>
        <v>0</v>
      </c>
      <c r="AW1093" s="31">
        <f t="shared" si="590"/>
        <v>0</v>
      </c>
      <c r="AX1093" s="31">
        <f t="shared" si="591"/>
        <v>0</v>
      </c>
      <c r="AY1093" s="255">
        <f t="shared" si="592"/>
        <v>0</v>
      </c>
      <c r="AZ1093" s="232">
        <f t="shared" si="593"/>
        <v>0</v>
      </c>
      <c r="BA1093" s="255">
        <f t="shared" si="594"/>
        <v>0</v>
      </c>
      <c r="BB1093" s="31">
        <f t="shared" si="595"/>
        <v>0</v>
      </c>
      <c r="BC1093" s="255">
        <f t="shared" si="596"/>
        <v>0</v>
      </c>
      <c r="BD1093" s="31">
        <f t="shared" si="597"/>
        <v>1.75</v>
      </c>
      <c r="BE1093" s="255">
        <f t="shared" si="598"/>
        <v>1.4875</v>
      </c>
      <c r="BF1093" s="31">
        <f t="shared" si="599"/>
        <v>0</v>
      </c>
      <c r="BG1093" s="255">
        <f t="shared" si="600"/>
        <v>0</v>
      </c>
      <c r="BH1093" s="31">
        <f t="shared" si="601"/>
        <v>0</v>
      </c>
      <c r="BI1093" s="255">
        <f t="shared" si="602"/>
        <v>0</v>
      </c>
      <c r="BJ1093" s="31">
        <f t="shared" si="603"/>
        <v>0</v>
      </c>
      <c r="BK1093" s="31">
        <f t="shared" si="604"/>
        <v>0</v>
      </c>
      <c r="BL1093" s="255">
        <f t="shared" si="605"/>
        <v>0</v>
      </c>
      <c r="BM1093" s="31">
        <f t="shared" si="606"/>
        <v>0</v>
      </c>
      <c r="BN1093" s="255">
        <f t="shared" si="607"/>
        <v>0</v>
      </c>
    </row>
    <row r="1094" spans="1:66" x14ac:dyDescent="0.25">
      <c r="A1094" s="18" t="s">
        <v>1944</v>
      </c>
      <c r="B1094" s="186" t="str">
        <f>VLOOKUP(A1094,kurspris!$A$1:$B$877,2,FALSE)</f>
        <v>Introduktion till det specialpedagogiska fältet</v>
      </c>
      <c r="C1094" s="37"/>
      <c r="D1094" s="31" t="s">
        <v>115</v>
      </c>
      <c r="E1094" s="31" t="s">
        <v>2265</v>
      </c>
      <c r="F1094" s="59" t="s">
        <v>1931</v>
      </c>
      <c r="G1094" s="31" t="s">
        <v>2274</v>
      </c>
      <c r="J1094" t="s">
        <v>1812</v>
      </c>
      <c r="L1094" s="31">
        <v>100</v>
      </c>
      <c r="M1094" s="31">
        <v>7.5</v>
      </c>
      <c r="P1094" s="31">
        <v>1</v>
      </c>
      <c r="Q1094" s="232">
        <f t="shared" si="580"/>
        <v>0.125</v>
      </c>
      <c r="R1094" s="40">
        <v>0.85</v>
      </c>
      <c r="S1094" s="334">
        <f t="shared" si="581"/>
        <v>0.10625</v>
      </c>
      <c r="T1094" s="31">
        <f>VLOOKUP(A1094,'Ansvar kurs'!$A$1:$C$1010,2,FALSE)</f>
        <v>2180</v>
      </c>
      <c r="U1094" s="31" t="str">
        <f>VLOOKUP(T1094,Orgenheter!$A$1:$C$165,2,FALSE)</f>
        <v xml:space="preserve">Pedagogik                     </v>
      </c>
      <c r="V1094" s="31" t="str">
        <f>VLOOKUP(T1094,Orgenheter!$A$1:$C$165,3,FALSE)</f>
        <v>Sam</v>
      </c>
      <c r="W1094" s="37" t="str">
        <f>VLOOKUP(D1094,Program!$A$1:$B$34,2,FALSE)</f>
        <v>Speciallärarprogrammet</v>
      </c>
      <c r="X1094" s="42">
        <f>VLOOKUP(A1094,kurspris!$A$1:$Q$798,15,FALSE)</f>
        <v>18405</v>
      </c>
      <c r="Y1094" s="42">
        <f>VLOOKUP(A1094,kurspris!$A$1:$Q$798,16,FALSE)</f>
        <v>15773</v>
      </c>
      <c r="Z1094" s="42">
        <f t="shared" si="582"/>
        <v>3976.5062499999999</v>
      </c>
      <c r="AA1094" s="42">
        <f>VLOOKUP(A1094,kurspris!$A$1:$Q$798,17,FALSE)</f>
        <v>5800</v>
      </c>
      <c r="AB1094" s="42">
        <f t="shared" si="583"/>
        <v>725</v>
      </c>
      <c r="AC1094" s="42">
        <f t="shared" si="584"/>
        <v>4701.5062500000004</v>
      </c>
      <c r="AD1094" s="31">
        <f>VLOOKUP($A1094,kurspris!$A$1:$Q$835,3,FALSE)</f>
        <v>0</v>
      </c>
      <c r="AE1094" s="31">
        <f>VLOOKUP($A1094,kurspris!$A$1:$Q$835,4,FALSE)</f>
        <v>0</v>
      </c>
      <c r="AF1094" s="31">
        <f>VLOOKUP($A1094,kurspris!$A$1:$Q$835,5,FALSE)</f>
        <v>0</v>
      </c>
      <c r="AG1094" s="31">
        <f>VLOOKUP($A1094,kurspris!$A$1:$Q$835,6,FALSE)</f>
        <v>0</v>
      </c>
      <c r="AH1094" s="31">
        <f>VLOOKUP($A1094,kurspris!$A$1:$Q$835,7,FALSE)</f>
        <v>0</v>
      </c>
      <c r="AI1094" s="31">
        <f>VLOOKUP($A1094,kurspris!$A$1:$Q$835,8,FALSE)</f>
        <v>0</v>
      </c>
      <c r="AJ1094" s="31">
        <f>VLOOKUP($A1094,kurspris!$A$1:$Q$835,9,FALSE)</f>
        <v>1</v>
      </c>
      <c r="AK1094" s="31">
        <f>VLOOKUP($A1094,kurspris!$A$1:$Q$835,10,FALSE)</f>
        <v>0</v>
      </c>
      <c r="AL1094" s="31">
        <f>VLOOKUP($A1094,kurspris!$A$1:$Q$835,11,FALSE)</f>
        <v>0</v>
      </c>
      <c r="AM1094" s="31">
        <f>VLOOKUP($A1094,kurspris!$A$1:$Q$835,12,FALSE)</f>
        <v>0</v>
      </c>
      <c r="AN1094" s="31">
        <f>VLOOKUP($A1094,kurspris!$A$1:$Q$835,13,FALSE)</f>
        <v>0</v>
      </c>
      <c r="AO1094" s="31">
        <f>VLOOKUP($A1094,kurspris!$A$1:$Q$835,14,FALSE)</f>
        <v>0</v>
      </c>
      <c r="AP1094" s="39" t="s">
        <v>2326</v>
      </c>
      <c r="AQ1094"/>
      <c r="AR1094" s="31">
        <f t="shared" si="585"/>
        <v>0</v>
      </c>
      <c r="AS1094" s="255">
        <f t="shared" si="586"/>
        <v>0</v>
      </c>
      <c r="AT1094" s="31">
        <f t="shared" si="587"/>
        <v>0</v>
      </c>
      <c r="AU1094" s="255">
        <f t="shared" si="588"/>
        <v>0</v>
      </c>
      <c r="AV1094" s="31">
        <f t="shared" si="589"/>
        <v>0</v>
      </c>
      <c r="AW1094" s="31">
        <f t="shared" si="590"/>
        <v>0</v>
      </c>
      <c r="AX1094" s="31">
        <f t="shared" si="591"/>
        <v>0</v>
      </c>
      <c r="AY1094" s="255">
        <f t="shared" si="592"/>
        <v>0</v>
      </c>
      <c r="AZ1094" s="232">
        <f t="shared" si="593"/>
        <v>0</v>
      </c>
      <c r="BA1094" s="255">
        <f t="shared" si="594"/>
        <v>0</v>
      </c>
      <c r="BB1094" s="31">
        <f t="shared" si="595"/>
        <v>0</v>
      </c>
      <c r="BC1094" s="255">
        <f t="shared" si="596"/>
        <v>0</v>
      </c>
      <c r="BD1094" s="31">
        <f t="shared" si="597"/>
        <v>0.125</v>
      </c>
      <c r="BE1094" s="255">
        <f t="shared" si="598"/>
        <v>0.10625</v>
      </c>
      <c r="BF1094" s="31">
        <f t="shared" si="599"/>
        <v>0</v>
      </c>
      <c r="BG1094" s="255">
        <f t="shared" si="600"/>
        <v>0</v>
      </c>
      <c r="BH1094" s="31">
        <f t="shared" si="601"/>
        <v>0</v>
      </c>
      <c r="BI1094" s="255">
        <f t="shared" si="602"/>
        <v>0</v>
      </c>
      <c r="BJ1094" s="31">
        <f t="shared" si="603"/>
        <v>0</v>
      </c>
      <c r="BK1094" s="31">
        <f t="shared" si="604"/>
        <v>0</v>
      </c>
      <c r="BL1094" s="255">
        <f t="shared" si="605"/>
        <v>0</v>
      </c>
      <c r="BM1094" s="31">
        <f t="shared" si="606"/>
        <v>0</v>
      </c>
      <c r="BN1094" s="255">
        <f t="shared" si="607"/>
        <v>0</v>
      </c>
    </row>
    <row r="1095" spans="1:66" x14ac:dyDescent="0.25">
      <c r="A1095" s="18" t="s">
        <v>1944</v>
      </c>
      <c r="B1095" s="186" t="str">
        <f>VLOOKUP(A1095,kurspris!$A$1:$B$877,2,FALSE)</f>
        <v>Introduktion till det specialpedagogiska fältet</v>
      </c>
      <c r="C1095" s="37"/>
      <c r="D1095" s="31" t="s">
        <v>115</v>
      </c>
      <c r="E1095" s="31" t="s">
        <v>2262</v>
      </c>
      <c r="F1095" s="59" t="s">
        <v>1931</v>
      </c>
      <c r="G1095" s="31" t="s">
        <v>2274</v>
      </c>
      <c r="J1095" t="s">
        <v>2165</v>
      </c>
      <c r="L1095" s="31">
        <v>100</v>
      </c>
      <c r="M1095" s="31">
        <v>7.5</v>
      </c>
      <c r="P1095" s="31">
        <v>2</v>
      </c>
      <c r="Q1095" s="232">
        <f t="shared" si="580"/>
        <v>0.25</v>
      </c>
      <c r="R1095" s="40">
        <v>0.85</v>
      </c>
      <c r="S1095" s="334">
        <f t="shared" si="581"/>
        <v>0.21249999999999999</v>
      </c>
      <c r="T1095" s="31">
        <f>VLOOKUP(A1095,'Ansvar kurs'!$A$1:$C$1010,2,FALSE)</f>
        <v>2180</v>
      </c>
      <c r="U1095" s="31" t="str">
        <f>VLOOKUP(T1095,Orgenheter!$A$1:$C$165,2,FALSE)</f>
        <v xml:space="preserve">Pedagogik                     </v>
      </c>
      <c r="V1095" s="31" t="str">
        <f>VLOOKUP(T1095,Orgenheter!$A$1:$C$165,3,FALSE)</f>
        <v>Sam</v>
      </c>
      <c r="W1095" s="37" t="str">
        <f>VLOOKUP(D1095,Program!$A$1:$B$34,2,FALSE)</f>
        <v>Speciallärarprogrammet</v>
      </c>
      <c r="X1095" s="42">
        <f>VLOOKUP(A1095,kurspris!$A$1:$Q$798,15,FALSE)</f>
        <v>18405</v>
      </c>
      <c r="Y1095" s="42">
        <f>VLOOKUP(A1095,kurspris!$A$1:$Q$798,16,FALSE)</f>
        <v>15773</v>
      </c>
      <c r="Z1095" s="42">
        <f t="shared" si="582"/>
        <v>7953.0124999999998</v>
      </c>
      <c r="AA1095" s="42">
        <f>VLOOKUP(A1095,kurspris!$A$1:$Q$798,17,FALSE)</f>
        <v>5800</v>
      </c>
      <c r="AB1095" s="42">
        <f t="shared" si="583"/>
        <v>1450</v>
      </c>
      <c r="AC1095" s="42">
        <f t="shared" si="584"/>
        <v>9403.0125000000007</v>
      </c>
      <c r="AD1095" s="31">
        <f>VLOOKUP($A1095,kurspris!$A$1:$Q$835,3,FALSE)</f>
        <v>0</v>
      </c>
      <c r="AE1095" s="31">
        <f>VLOOKUP($A1095,kurspris!$A$1:$Q$835,4,FALSE)</f>
        <v>0</v>
      </c>
      <c r="AF1095" s="31">
        <f>VLOOKUP($A1095,kurspris!$A$1:$Q$835,5,FALSE)</f>
        <v>0</v>
      </c>
      <c r="AG1095" s="31">
        <f>VLOOKUP($A1095,kurspris!$A$1:$Q$835,6,FALSE)</f>
        <v>0</v>
      </c>
      <c r="AH1095" s="31">
        <f>VLOOKUP($A1095,kurspris!$A$1:$Q$835,7,FALSE)</f>
        <v>0</v>
      </c>
      <c r="AI1095" s="31">
        <f>VLOOKUP($A1095,kurspris!$A$1:$Q$835,8,FALSE)</f>
        <v>0</v>
      </c>
      <c r="AJ1095" s="31">
        <f>VLOOKUP($A1095,kurspris!$A$1:$Q$835,9,FALSE)</f>
        <v>1</v>
      </c>
      <c r="AK1095" s="31">
        <f>VLOOKUP($A1095,kurspris!$A$1:$Q$835,10,FALSE)</f>
        <v>0</v>
      </c>
      <c r="AL1095" s="31">
        <f>VLOOKUP($A1095,kurspris!$A$1:$Q$835,11,FALSE)</f>
        <v>0</v>
      </c>
      <c r="AM1095" s="31">
        <f>VLOOKUP($A1095,kurspris!$A$1:$Q$835,12,FALSE)</f>
        <v>0</v>
      </c>
      <c r="AN1095" s="31">
        <f>VLOOKUP($A1095,kurspris!$A$1:$Q$835,13,FALSE)</f>
        <v>0</v>
      </c>
      <c r="AO1095" s="31">
        <f>VLOOKUP($A1095,kurspris!$A$1:$Q$835,14,FALSE)</f>
        <v>0</v>
      </c>
      <c r="AP1095" s="39" t="s">
        <v>2326</v>
      </c>
      <c r="AQ1095"/>
      <c r="AR1095" s="31">
        <f t="shared" si="585"/>
        <v>0</v>
      </c>
      <c r="AS1095" s="255">
        <f t="shared" si="586"/>
        <v>0</v>
      </c>
      <c r="AT1095" s="31">
        <f t="shared" si="587"/>
        <v>0</v>
      </c>
      <c r="AU1095" s="255">
        <f t="shared" si="588"/>
        <v>0</v>
      </c>
      <c r="AV1095" s="31">
        <f t="shared" si="589"/>
        <v>0</v>
      </c>
      <c r="AW1095" s="31">
        <f t="shared" si="590"/>
        <v>0</v>
      </c>
      <c r="AX1095" s="31">
        <f t="shared" si="591"/>
        <v>0</v>
      </c>
      <c r="AY1095" s="255">
        <f t="shared" si="592"/>
        <v>0</v>
      </c>
      <c r="AZ1095" s="232">
        <f t="shared" si="593"/>
        <v>0</v>
      </c>
      <c r="BA1095" s="255">
        <f t="shared" si="594"/>
        <v>0</v>
      </c>
      <c r="BB1095" s="31">
        <f t="shared" si="595"/>
        <v>0</v>
      </c>
      <c r="BC1095" s="255">
        <f t="shared" si="596"/>
        <v>0</v>
      </c>
      <c r="BD1095" s="31">
        <f t="shared" si="597"/>
        <v>0.25</v>
      </c>
      <c r="BE1095" s="255">
        <f t="shared" si="598"/>
        <v>0.21249999999999999</v>
      </c>
      <c r="BF1095" s="31">
        <f t="shared" si="599"/>
        <v>0</v>
      </c>
      <c r="BG1095" s="255">
        <f t="shared" si="600"/>
        <v>0</v>
      </c>
      <c r="BH1095" s="31">
        <f t="shared" si="601"/>
        <v>0</v>
      </c>
      <c r="BI1095" s="255">
        <f t="shared" si="602"/>
        <v>0</v>
      </c>
      <c r="BJ1095" s="31">
        <f t="shared" si="603"/>
        <v>0</v>
      </c>
      <c r="BK1095" s="31">
        <f t="shared" si="604"/>
        <v>0</v>
      </c>
      <c r="BL1095" s="255">
        <f t="shared" si="605"/>
        <v>0</v>
      </c>
      <c r="BM1095" s="31">
        <f t="shared" si="606"/>
        <v>0</v>
      </c>
      <c r="BN1095" s="255">
        <f t="shared" si="607"/>
        <v>0</v>
      </c>
    </row>
    <row r="1096" spans="1:66" x14ac:dyDescent="0.25">
      <c r="A1096" s="18" t="s">
        <v>1947</v>
      </c>
      <c r="B1096" s="186" t="str">
        <f>VLOOKUP(A1096,kurspris!$A$1:$B$877,2,FALSE)</f>
        <v>Neuropsykiatriska svårigheter i olika lärmiljöer</v>
      </c>
      <c r="C1096" s="37"/>
      <c r="D1096" t="s">
        <v>117</v>
      </c>
      <c r="E1096"/>
      <c r="F1096" s="59" t="s">
        <v>1931</v>
      </c>
      <c r="G1096"/>
      <c r="H1096"/>
      <c r="I1096" t="s">
        <v>1634</v>
      </c>
      <c r="L1096">
        <v>100</v>
      </c>
      <c r="M1096">
        <v>7.5</v>
      </c>
      <c r="P1096">
        <v>10</v>
      </c>
      <c r="Q1096" s="232">
        <f t="shared" si="580"/>
        <v>1.25</v>
      </c>
      <c r="R1096" s="40">
        <v>0.8</v>
      </c>
      <c r="S1096" s="334">
        <f t="shared" si="581"/>
        <v>1</v>
      </c>
      <c r="T1096" s="31">
        <f>VLOOKUP(A1096,'Ansvar kurs'!$A$1:$C$1010,2,FALSE)</f>
        <v>2180</v>
      </c>
      <c r="U1096" s="31" t="str">
        <f>VLOOKUP(T1096,Orgenheter!$A$1:$C$165,2,FALSE)</f>
        <v xml:space="preserve">Pedagogik                     </v>
      </c>
      <c r="V1096" s="31" t="str">
        <f>VLOOKUP(T1096,Orgenheter!$A$1:$C$165,3,FALSE)</f>
        <v>Sam</v>
      </c>
      <c r="W1096" s="37" t="str">
        <f>VLOOKUP(D1096,Program!$A$1:$B$34,2,FALSE)</f>
        <v>Fristående och övriga kurser</v>
      </c>
      <c r="X1096" s="42">
        <f>VLOOKUP(A1096,kurspris!$A$1:$Q$798,15,FALSE)</f>
        <v>18405</v>
      </c>
      <c r="Y1096" s="42">
        <f>VLOOKUP(A1096,kurspris!$A$1:$Q$798,16,FALSE)</f>
        <v>15773</v>
      </c>
      <c r="Z1096" s="42">
        <f t="shared" si="582"/>
        <v>38779.25</v>
      </c>
      <c r="AA1096" s="42">
        <f>VLOOKUP(A1096,kurspris!$A$1:$Q$798,17,FALSE)</f>
        <v>5800</v>
      </c>
      <c r="AB1096" s="42">
        <f t="shared" si="583"/>
        <v>7250</v>
      </c>
      <c r="AC1096" s="42">
        <f t="shared" si="584"/>
        <v>46029.25</v>
      </c>
      <c r="AD1096" s="31">
        <f>VLOOKUP($A1096,kurspris!$A$1:$Q$835,3,FALSE)</f>
        <v>0</v>
      </c>
      <c r="AE1096" s="31">
        <f>VLOOKUP($A1096,kurspris!$A$1:$Q$835,4,FALSE)</f>
        <v>0</v>
      </c>
      <c r="AF1096" s="31">
        <f>VLOOKUP($A1096,kurspris!$A$1:$Q$835,5,FALSE)</f>
        <v>0</v>
      </c>
      <c r="AG1096" s="31">
        <f>VLOOKUP($A1096,kurspris!$A$1:$Q$835,6,FALSE)</f>
        <v>0</v>
      </c>
      <c r="AH1096" s="31">
        <f>VLOOKUP($A1096,kurspris!$A$1:$Q$835,7,FALSE)</f>
        <v>0</v>
      </c>
      <c r="AI1096" s="31">
        <f>VLOOKUP($A1096,kurspris!$A$1:$Q$835,8,FALSE)</f>
        <v>0</v>
      </c>
      <c r="AJ1096" s="31">
        <f>VLOOKUP($A1096,kurspris!$A$1:$Q$835,9,FALSE)</f>
        <v>1</v>
      </c>
      <c r="AK1096" s="31">
        <f>VLOOKUP($A1096,kurspris!$A$1:$Q$835,10,FALSE)</f>
        <v>0</v>
      </c>
      <c r="AL1096" s="31">
        <f>VLOOKUP($A1096,kurspris!$A$1:$Q$835,11,FALSE)</f>
        <v>0</v>
      </c>
      <c r="AM1096" s="31">
        <f>VLOOKUP($A1096,kurspris!$A$1:$Q$835,12,FALSE)</f>
        <v>0</v>
      </c>
      <c r="AN1096" s="31">
        <f>VLOOKUP($A1096,kurspris!$A$1:$Q$835,13,FALSE)</f>
        <v>0</v>
      </c>
      <c r="AO1096" s="31">
        <f>VLOOKUP($A1096,kurspris!$A$1:$Q$835,14,FALSE)</f>
        <v>0</v>
      </c>
      <c r="AP1096" s="39" t="s">
        <v>2095</v>
      </c>
      <c r="AQ1096"/>
      <c r="AR1096" s="31">
        <f t="shared" si="585"/>
        <v>0</v>
      </c>
      <c r="AS1096" s="255">
        <f t="shared" si="586"/>
        <v>0</v>
      </c>
      <c r="AT1096" s="31">
        <f t="shared" si="587"/>
        <v>0</v>
      </c>
      <c r="AU1096" s="255">
        <f t="shared" si="588"/>
        <v>0</v>
      </c>
      <c r="AV1096" s="31">
        <f t="shared" si="589"/>
        <v>0</v>
      </c>
      <c r="AW1096" s="31">
        <f t="shared" si="590"/>
        <v>0</v>
      </c>
      <c r="AX1096" s="31">
        <f t="shared" si="591"/>
        <v>0</v>
      </c>
      <c r="AY1096" s="255">
        <f t="shared" si="592"/>
        <v>0</v>
      </c>
      <c r="AZ1096" s="232">
        <f t="shared" si="593"/>
        <v>0</v>
      </c>
      <c r="BA1096" s="255">
        <f t="shared" si="594"/>
        <v>0</v>
      </c>
      <c r="BB1096" s="31">
        <f t="shared" si="595"/>
        <v>0</v>
      </c>
      <c r="BC1096" s="255">
        <f t="shared" si="596"/>
        <v>0</v>
      </c>
      <c r="BD1096" s="31">
        <f t="shared" si="597"/>
        <v>1.25</v>
      </c>
      <c r="BE1096" s="255">
        <f t="shared" si="598"/>
        <v>1</v>
      </c>
      <c r="BF1096" s="31">
        <f t="shared" si="599"/>
        <v>0</v>
      </c>
      <c r="BG1096" s="255">
        <f t="shared" si="600"/>
        <v>0</v>
      </c>
      <c r="BH1096" s="31">
        <f t="shared" si="601"/>
        <v>0</v>
      </c>
      <c r="BI1096" s="255">
        <f t="shared" si="602"/>
        <v>0</v>
      </c>
      <c r="BJ1096" s="31">
        <f t="shared" si="603"/>
        <v>0</v>
      </c>
      <c r="BK1096" s="31">
        <f t="shared" si="604"/>
        <v>0</v>
      </c>
      <c r="BL1096" s="255">
        <f t="shared" si="605"/>
        <v>0</v>
      </c>
      <c r="BM1096" s="31">
        <f t="shared" si="606"/>
        <v>0</v>
      </c>
      <c r="BN1096" s="255">
        <f t="shared" si="607"/>
        <v>0</v>
      </c>
    </row>
    <row r="1097" spans="1:66" x14ac:dyDescent="0.25">
      <c r="A1097" s="18" t="s">
        <v>1947</v>
      </c>
      <c r="B1097" s="186" t="str">
        <f>VLOOKUP(A1097,kurspris!$A$1:$B$877,2,FALSE)</f>
        <v>Neuropsykiatriska svårigheter i olika lärmiljöer</v>
      </c>
      <c r="C1097" s="37"/>
      <c r="D1097" s="31" t="s">
        <v>120</v>
      </c>
      <c r="E1097" s="31" t="s">
        <v>1931</v>
      </c>
      <c r="F1097" s="59" t="s">
        <v>1931</v>
      </c>
      <c r="G1097" s="31" t="s">
        <v>2269</v>
      </c>
      <c r="L1097" s="31">
        <v>100</v>
      </c>
      <c r="M1097" s="31">
        <v>7.5</v>
      </c>
      <c r="N1097" s="19">
        <v>-0.1</v>
      </c>
      <c r="O1097" s="31">
        <v>34</v>
      </c>
      <c r="P1097" s="31">
        <f>O1097+(N1097*O1097)</f>
        <v>30.6</v>
      </c>
      <c r="Q1097" s="232">
        <f t="shared" si="580"/>
        <v>3.8250000000000002</v>
      </c>
      <c r="R1097" s="40">
        <v>0.85</v>
      </c>
      <c r="S1097" s="334">
        <f t="shared" si="581"/>
        <v>3.2512500000000002</v>
      </c>
      <c r="T1097" s="31">
        <f>VLOOKUP(A1097,'Ansvar kurs'!$A$1:$C$1010,2,FALSE)</f>
        <v>2180</v>
      </c>
      <c r="U1097" s="31" t="str">
        <f>VLOOKUP(T1097,Orgenheter!$A$1:$C$165,2,FALSE)</f>
        <v xml:space="preserve">Pedagogik                     </v>
      </c>
      <c r="V1097" s="31" t="str">
        <f>VLOOKUP(T1097,Orgenheter!$A$1:$C$165,3,FALSE)</f>
        <v>Sam</v>
      </c>
      <c r="W1097" s="37" t="str">
        <f>VLOOKUP(D1097,Program!$A$1:$B$34,2,FALSE)</f>
        <v>Specialpedagogprogrammet</v>
      </c>
      <c r="X1097" s="42">
        <f>VLOOKUP(A1097,kurspris!$A$1:$Q$798,15,FALSE)</f>
        <v>18405</v>
      </c>
      <c r="Y1097" s="42">
        <f>VLOOKUP(A1097,kurspris!$A$1:$Q$798,16,FALSE)</f>
        <v>15773</v>
      </c>
      <c r="Z1097" s="42">
        <f t="shared" si="582"/>
        <v>121681.09125</v>
      </c>
      <c r="AA1097" s="42">
        <f>VLOOKUP(A1097,kurspris!$A$1:$Q$798,17,FALSE)</f>
        <v>5800</v>
      </c>
      <c r="AB1097" s="42">
        <f t="shared" si="583"/>
        <v>22185</v>
      </c>
      <c r="AC1097" s="42">
        <f t="shared" si="584"/>
        <v>143866.09125</v>
      </c>
      <c r="AD1097" s="31">
        <f>VLOOKUP($A1097,kurspris!$A$1:$Q$835,3,FALSE)</f>
        <v>0</v>
      </c>
      <c r="AE1097" s="31">
        <f>VLOOKUP($A1097,kurspris!$A$1:$Q$835,4,FALSE)</f>
        <v>0</v>
      </c>
      <c r="AF1097" s="31">
        <f>VLOOKUP($A1097,kurspris!$A$1:$Q$835,5,FALSE)</f>
        <v>0</v>
      </c>
      <c r="AG1097" s="31">
        <f>VLOOKUP($A1097,kurspris!$A$1:$Q$835,6,FALSE)</f>
        <v>0</v>
      </c>
      <c r="AH1097" s="31">
        <f>VLOOKUP($A1097,kurspris!$A$1:$Q$835,7,FALSE)</f>
        <v>0</v>
      </c>
      <c r="AI1097" s="31">
        <f>VLOOKUP($A1097,kurspris!$A$1:$Q$835,8,FALSE)</f>
        <v>0</v>
      </c>
      <c r="AJ1097" s="31">
        <f>VLOOKUP($A1097,kurspris!$A$1:$Q$835,9,FALSE)</f>
        <v>1</v>
      </c>
      <c r="AK1097" s="31">
        <f>VLOOKUP($A1097,kurspris!$A$1:$Q$835,10,FALSE)</f>
        <v>0</v>
      </c>
      <c r="AL1097" s="31">
        <f>VLOOKUP($A1097,kurspris!$A$1:$Q$835,11,FALSE)</f>
        <v>0</v>
      </c>
      <c r="AM1097" s="31">
        <f>VLOOKUP($A1097,kurspris!$A$1:$Q$835,12,FALSE)</f>
        <v>0</v>
      </c>
      <c r="AN1097" s="31">
        <f>VLOOKUP($A1097,kurspris!$A$1:$Q$835,13,FALSE)</f>
        <v>0</v>
      </c>
      <c r="AO1097" s="31">
        <f>VLOOKUP($A1097,kurspris!$A$1:$Q$835,14,FALSE)</f>
        <v>0</v>
      </c>
      <c r="AP1097" s="39" t="s">
        <v>1631</v>
      </c>
      <c r="AQ1097"/>
      <c r="AR1097" s="31">
        <f t="shared" si="585"/>
        <v>0</v>
      </c>
      <c r="AS1097" s="255">
        <f t="shared" si="586"/>
        <v>0</v>
      </c>
      <c r="AT1097" s="31">
        <f t="shared" si="587"/>
        <v>0</v>
      </c>
      <c r="AU1097" s="255">
        <f t="shared" si="588"/>
        <v>0</v>
      </c>
      <c r="AV1097" s="31">
        <f t="shared" si="589"/>
        <v>0</v>
      </c>
      <c r="AW1097" s="31">
        <f t="shared" si="590"/>
        <v>0</v>
      </c>
      <c r="AX1097" s="31">
        <f t="shared" si="591"/>
        <v>0</v>
      </c>
      <c r="AY1097" s="255">
        <f t="shared" si="592"/>
        <v>0</v>
      </c>
      <c r="AZ1097" s="232">
        <f t="shared" si="593"/>
        <v>0</v>
      </c>
      <c r="BA1097" s="255">
        <f t="shared" si="594"/>
        <v>0</v>
      </c>
      <c r="BB1097" s="31">
        <f t="shared" si="595"/>
        <v>0</v>
      </c>
      <c r="BC1097" s="255">
        <f t="shared" si="596"/>
        <v>0</v>
      </c>
      <c r="BD1097" s="31">
        <f t="shared" si="597"/>
        <v>3.8250000000000002</v>
      </c>
      <c r="BE1097" s="255">
        <f t="shared" si="598"/>
        <v>3.2512500000000002</v>
      </c>
      <c r="BF1097" s="31">
        <f t="shared" si="599"/>
        <v>0</v>
      </c>
      <c r="BG1097" s="255">
        <f t="shared" si="600"/>
        <v>0</v>
      </c>
      <c r="BH1097" s="31">
        <f t="shared" si="601"/>
        <v>0</v>
      </c>
      <c r="BI1097" s="255">
        <f t="shared" si="602"/>
        <v>0</v>
      </c>
      <c r="BJ1097" s="31">
        <f t="shared" si="603"/>
        <v>0</v>
      </c>
      <c r="BK1097" s="31">
        <f t="shared" si="604"/>
        <v>0</v>
      </c>
      <c r="BL1097" s="255">
        <f t="shared" si="605"/>
        <v>0</v>
      </c>
      <c r="BM1097" s="31">
        <f t="shared" si="606"/>
        <v>0</v>
      </c>
      <c r="BN1097" s="255">
        <f t="shared" si="607"/>
        <v>0</v>
      </c>
    </row>
    <row r="1098" spans="1:66" x14ac:dyDescent="0.25">
      <c r="A1098" s="18" t="s">
        <v>1947</v>
      </c>
      <c r="B1098" s="186" t="str">
        <f>VLOOKUP(A1098,kurspris!$A$1:$B$877,2,FALSE)</f>
        <v>Neuropsykiatriska svårigheter i olika lärmiljöer</v>
      </c>
      <c r="C1098" s="37"/>
      <c r="D1098" s="31" t="s">
        <v>115</v>
      </c>
      <c r="E1098" s="31" t="s">
        <v>2264</v>
      </c>
      <c r="F1098" s="59" t="s">
        <v>1931</v>
      </c>
      <c r="G1098" s="31" t="s">
        <v>2269</v>
      </c>
      <c r="J1098" t="s">
        <v>2165</v>
      </c>
      <c r="L1098" s="31">
        <v>100</v>
      </c>
      <c r="M1098" s="31">
        <v>7.5</v>
      </c>
      <c r="P1098" s="31">
        <v>2</v>
      </c>
      <c r="Q1098" s="232">
        <f t="shared" si="580"/>
        <v>0.25</v>
      </c>
      <c r="R1098" s="40">
        <v>0.85</v>
      </c>
      <c r="S1098" s="334">
        <f t="shared" si="581"/>
        <v>0.21249999999999999</v>
      </c>
      <c r="T1098" s="31">
        <f>VLOOKUP(A1098,'Ansvar kurs'!$A$1:$C$1010,2,FALSE)</f>
        <v>2180</v>
      </c>
      <c r="U1098" s="31" t="str">
        <f>VLOOKUP(T1098,Orgenheter!$A$1:$C$165,2,FALSE)</f>
        <v xml:space="preserve">Pedagogik                     </v>
      </c>
      <c r="V1098" s="31" t="str">
        <f>VLOOKUP(T1098,Orgenheter!$A$1:$C$165,3,FALSE)</f>
        <v>Sam</v>
      </c>
      <c r="W1098" s="37" t="str">
        <f>VLOOKUP(D1098,Program!$A$1:$B$34,2,FALSE)</f>
        <v>Speciallärarprogrammet</v>
      </c>
      <c r="X1098" s="42">
        <f>VLOOKUP(A1098,kurspris!$A$1:$Q$798,15,FALSE)</f>
        <v>18405</v>
      </c>
      <c r="Y1098" s="42">
        <f>VLOOKUP(A1098,kurspris!$A$1:$Q$798,16,FALSE)</f>
        <v>15773</v>
      </c>
      <c r="Z1098" s="42">
        <f t="shared" si="582"/>
        <v>7953.0124999999998</v>
      </c>
      <c r="AA1098" s="42">
        <f>VLOOKUP(A1098,kurspris!$A$1:$Q$798,17,FALSE)</f>
        <v>5800</v>
      </c>
      <c r="AB1098" s="42">
        <f t="shared" si="583"/>
        <v>1450</v>
      </c>
      <c r="AC1098" s="42">
        <f t="shared" si="584"/>
        <v>9403.0125000000007</v>
      </c>
      <c r="AD1098" s="31">
        <f>VLOOKUP($A1098,kurspris!$A$1:$Q$835,3,FALSE)</f>
        <v>0</v>
      </c>
      <c r="AE1098" s="31">
        <f>VLOOKUP($A1098,kurspris!$A$1:$Q$835,4,FALSE)</f>
        <v>0</v>
      </c>
      <c r="AF1098" s="31">
        <f>VLOOKUP($A1098,kurspris!$A$1:$Q$835,5,FALSE)</f>
        <v>0</v>
      </c>
      <c r="AG1098" s="31">
        <f>VLOOKUP($A1098,kurspris!$A$1:$Q$835,6,FALSE)</f>
        <v>0</v>
      </c>
      <c r="AH1098" s="31">
        <f>VLOOKUP($A1098,kurspris!$A$1:$Q$835,7,FALSE)</f>
        <v>0</v>
      </c>
      <c r="AI1098" s="31">
        <f>VLOOKUP($A1098,kurspris!$A$1:$Q$835,8,FALSE)</f>
        <v>0</v>
      </c>
      <c r="AJ1098" s="31">
        <f>VLOOKUP($A1098,kurspris!$A$1:$Q$835,9,FALSE)</f>
        <v>1</v>
      </c>
      <c r="AK1098" s="31">
        <f>VLOOKUP($A1098,kurspris!$A$1:$Q$835,10,FALSE)</f>
        <v>0</v>
      </c>
      <c r="AL1098" s="31">
        <f>VLOOKUP($A1098,kurspris!$A$1:$Q$835,11,FALSE)</f>
        <v>0</v>
      </c>
      <c r="AM1098" s="31">
        <f>VLOOKUP($A1098,kurspris!$A$1:$Q$835,12,FALSE)</f>
        <v>0</v>
      </c>
      <c r="AN1098" s="31">
        <f>VLOOKUP($A1098,kurspris!$A$1:$Q$835,13,FALSE)</f>
        <v>0</v>
      </c>
      <c r="AO1098" s="31">
        <f>VLOOKUP($A1098,kurspris!$A$1:$Q$835,14,FALSE)</f>
        <v>0</v>
      </c>
      <c r="AP1098" s="39" t="s">
        <v>2326</v>
      </c>
      <c r="AQ1098"/>
      <c r="AR1098" s="31">
        <f t="shared" si="585"/>
        <v>0</v>
      </c>
      <c r="AS1098" s="255">
        <f t="shared" si="586"/>
        <v>0</v>
      </c>
      <c r="AT1098" s="31">
        <f t="shared" si="587"/>
        <v>0</v>
      </c>
      <c r="AU1098" s="255">
        <f t="shared" si="588"/>
        <v>0</v>
      </c>
      <c r="AV1098" s="31">
        <f t="shared" si="589"/>
        <v>0</v>
      </c>
      <c r="AW1098" s="31">
        <f t="shared" si="590"/>
        <v>0</v>
      </c>
      <c r="AX1098" s="31">
        <f t="shared" si="591"/>
        <v>0</v>
      </c>
      <c r="AY1098" s="255">
        <f t="shared" si="592"/>
        <v>0</v>
      </c>
      <c r="AZ1098" s="232">
        <f t="shared" si="593"/>
        <v>0</v>
      </c>
      <c r="BA1098" s="255">
        <f t="shared" si="594"/>
        <v>0</v>
      </c>
      <c r="BB1098" s="31">
        <f t="shared" si="595"/>
        <v>0</v>
      </c>
      <c r="BC1098" s="255">
        <f t="shared" si="596"/>
        <v>0</v>
      </c>
      <c r="BD1098" s="31">
        <f t="shared" si="597"/>
        <v>0.25</v>
      </c>
      <c r="BE1098" s="255">
        <f t="shared" si="598"/>
        <v>0.21249999999999999</v>
      </c>
      <c r="BF1098" s="31">
        <f t="shared" si="599"/>
        <v>0</v>
      </c>
      <c r="BG1098" s="255">
        <f t="shared" si="600"/>
        <v>0</v>
      </c>
      <c r="BH1098" s="31">
        <f t="shared" si="601"/>
        <v>0</v>
      </c>
      <c r="BI1098" s="255">
        <f t="shared" si="602"/>
        <v>0</v>
      </c>
      <c r="BJ1098" s="31">
        <f t="shared" si="603"/>
        <v>0</v>
      </c>
      <c r="BK1098" s="31">
        <f t="shared" si="604"/>
        <v>0</v>
      </c>
      <c r="BL1098" s="255">
        <f t="shared" si="605"/>
        <v>0</v>
      </c>
      <c r="BM1098" s="31">
        <f t="shared" si="606"/>
        <v>0</v>
      </c>
      <c r="BN1098" s="255">
        <f t="shared" si="607"/>
        <v>0</v>
      </c>
    </row>
    <row r="1099" spans="1:66" x14ac:dyDescent="0.25">
      <c r="A1099" s="18" t="s">
        <v>1947</v>
      </c>
      <c r="B1099" s="186" t="str">
        <f>VLOOKUP(A1099,kurspris!$A$1:$B$877,2,FALSE)</f>
        <v>Neuropsykiatriska svårigheter i olika lärmiljöer</v>
      </c>
      <c r="C1099" s="37"/>
      <c r="D1099" s="31" t="s">
        <v>115</v>
      </c>
      <c r="E1099" s="31" t="s">
        <v>2264</v>
      </c>
      <c r="F1099" s="59" t="s">
        <v>1931</v>
      </c>
      <c r="G1099" s="31" t="s">
        <v>2269</v>
      </c>
      <c r="J1099" t="s">
        <v>1812</v>
      </c>
      <c r="L1099" s="31">
        <v>100</v>
      </c>
      <c r="M1099" s="31">
        <v>7.5</v>
      </c>
      <c r="P1099" s="31">
        <v>1</v>
      </c>
      <c r="Q1099" s="232">
        <f t="shared" si="580"/>
        <v>0.125</v>
      </c>
      <c r="R1099" s="40">
        <v>0.85</v>
      </c>
      <c r="S1099" s="334">
        <f t="shared" si="581"/>
        <v>0.10625</v>
      </c>
      <c r="T1099" s="31">
        <f>VLOOKUP(A1099,'Ansvar kurs'!$A$1:$C$1010,2,FALSE)</f>
        <v>2180</v>
      </c>
      <c r="U1099" s="31" t="str">
        <f>VLOOKUP(T1099,Orgenheter!$A$1:$C$165,2,FALSE)</f>
        <v xml:space="preserve">Pedagogik                     </v>
      </c>
      <c r="V1099" s="31" t="str">
        <f>VLOOKUP(T1099,Orgenheter!$A$1:$C$165,3,FALSE)</f>
        <v>Sam</v>
      </c>
      <c r="W1099" s="37" t="str">
        <f>VLOOKUP(D1099,Program!$A$1:$B$34,2,FALSE)</f>
        <v>Speciallärarprogrammet</v>
      </c>
      <c r="X1099" s="42">
        <f>VLOOKUP(A1099,kurspris!$A$1:$Q$798,15,FALSE)</f>
        <v>18405</v>
      </c>
      <c r="Y1099" s="42">
        <f>VLOOKUP(A1099,kurspris!$A$1:$Q$798,16,FALSE)</f>
        <v>15773</v>
      </c>
      <c r="Z1099" s="42">
        <f t="shared" si="582"/>
        <v>3976.5062499999999</v>
      </c>
      <c r="AA1099" s="42">
        <f>VLOOKUP(A1099,kurspris!$A$1:$Q$798,17,FALSE)</f>
        <v>5800</v>
      </c>
      <c r="AB1099" s="42">
        <f t="shared" si="583"/>
        <v>725</v>
      </c>
      <c r="AC1099" s="42">
        <f t="shared" si="584"/>
        <v>4701.5062500000004</v>
      </c>
      <c r="AD1099" s="31">
        <f>VLOOKUP($A1099,kurspris!$A$1:$Q$835,3,FALSE)</f>
        <v>0</v>
      </c>
      <c r="AE1099" s="31">
        <f>VLOOKUP($A1099,kurspris!$A$1:$Q$835,4,FALSE)</f>
        <v>0</v>
      </c>
      <c r="AF1099" s="31">
        <f>VLOOKUP($A1099,kurspris!$A$1:$Q$835,5,FALSE)</f>
        <v>0</v>
      </c>
      <c r="AG1099" s="31">
        <f>VLOOKUP($A1099,kurspris!$A$1:$Q$835,6,FALSE)</f>
        <v>0</v>
      </c>
      <c r="AH1099" s="31">
        <f>VLOOKUP($A1099,kurspris!$A$1:$Q$835,7,FALSE)</f>
        <v>0</v>
      </c>
      <c r="AI1099" s="31">
        <f>VLOOKUP($A1099,kurspris!$A$1:$Q$835,8,FALSE)</f>
        <v>0</v>
      </c>
      <c r="AJ1099" s="31">
        <f>VLOOKUP($A1099,kurspris!$A$1:$Q$835,9,FALSE)</f>
        <v>1</v>
      </c>
      <c r="AK1099" s="31">
        <f>VLOOKUP($A1099,kurspris!$A$1:$Q$835,10,FALSE)</f>
        <v>0</v>
      </c>
      <c r="AL1099" s="31">
        <f>VLOOKUP($A1099,kurspris!$A$1:$Q$835,11,FALSE)</f>
        <v>0</v>
      </c>
      <c r="AM1099" s="31">
        <f>VLOOKUP($A1099,kurspris!$A$1:$Q$835,12,FALSE)</f>
        <v>0</v>
      </c>
      <c r="AN1099" s="31">
        <f>VLOOKUP($A1099,kurspris!$A$1:$Q$835,13,FALSE)</f>
        <v>0</v>
      </c>
      <c r="AO1099" s="31">
        <f>VLOOKUP($A1099,kurspris!$A$1:$Q$835,14,FALSE)</f>
        <v>0</v>
      </c>
      <c r="AP1099" s="39" t="s">
        <v>2326</v>
      </c>
      <c r="AQ1099"/>
      <c r="AR1099" s="31">
        <f t="shared" si="585"/>
        <v>0</v>
      </c>
      <c r="AS1099" s="255">
        <f t="shared" si="586"/>
        <v>0</v>
      </c>
      <c r="AT1099" s="31">
        <f t="shared" si="587"/>
        <v>0</v>
      </c>
      <c r="AU1099" s="255">
        <f t="shared" si="588"/>
        <v>0</v>
      </c>
      <c r="AV1099" s="31">
        <f t="shared" si="589"/>
        <v>0</v>
      </c>
      <c r="AW1099" s="31">
        <f t="shared" si="590"/>
        <v>0</v>
      </c>
      <c r="AX1099" s="31">
        <f t="shared" si="591"/>
        <v>0</v>
      </c>
      <c r="AY1099" s="255">
        <f t="shared" si="592"/>
        <v>0</v>
      </c>
      <c r="AZ1099" s="232">
        <f t="shared" si="593"/>
        <v>0</v>
      </c>
      <c r="BA1099" s="255">
        <f t="shared" si="594"/>
        <v>0</v>
      </c>
      <c r="BB1099" s="31">
        <f t="shared" si="595"/>
        <v>0</v>
      </c>
      <c r="BC1099" s="255">
        <f t="shared" si="596"/>
        <v>0</v>
      </c>
      <c r="BD1099" s="31">
        <f t="shared" si="597"/>
        <v>0.125</v>
      </c>
      <c r="BE1099" s="255">
        <f t="shared" si="598"/>
        <v>0.10625</v>
      </c>
      <c r="BF1099" s="31">
        <f t="shared" si="599"/>
        <v>0</v>
      </c>
      <c r="BG1099" s="255">
        <f t="shared" si="600"/>
        <v>0</v>
      </c>
      <c r="BH1099" s="31">
        <f t="shared" si="601"/>
        <v>0</v>
      </c>
      <c r="BI1099" s="255">
        <f t="shared" si="602"/>
        <v>0</v>
      </c>
      <c r="BJ1099" s="31">
        <f t="shared" si="603"/>
        <v>0</v>
      </c>
      <c r="BK1099" s="31">
        <f t="shared" si="604"/>
        <v>0</v>
      </c>
      <c r="BL1099" s="255">
        <f t="shared" si="605"/>
        <v>0</v>
      </c>
      <c r="BM1099" s="31">
        <f t="shared" si="606"/>
        <v>0</v>
      </c>
      <c r="BN1099" s="255">
        <f t="shared" si="607"/>
        <v>0</v>
      </c>
    </row>
    <row r="1100" spans="1:66" x14ac:dyDescent="0.25">
      <c r="A1100" s="39" t="s">
        <v>1947</v>
      </c>
      <c r="B1100" s="186" t="str">
        <f>VLOOKUP(A1100,kurspris!$A$1:$B$877,2,FALSE)</f>
        <v>Neuropsykiatriska svårigheter i olika lärmiljöer</v>
      </c>
      <c r="C1100" s="37"/>
      <c r="D1100" s="31" t="s">
        <v>115</v>
      </c>
      <c r="E1100" s="59" t="s">
        <v>1788</v>
      </c>
      <c r="F1100" s="59" t="s">
        <v>1931</v>
      </c>
      <c r="G1100" s="31" t="s">
        <v>2269</v>
      </c>
      <c r="J1100" t="s">
        <v>1812</v>
      </c>
      <c r="L1100" s="31">
        <v>100</v>
      </c>
      <c r="M1100" s="376">
        <v>7.5</v>
      </c>
      <c r="N1100" s="40"/>
      <c r="P1100" s="377">
        <v>1</v>
      </c>
      <c r="Q1100" s="232">
        <f t="shared" si="580"/>
        <v>0.125</v>
      </c>
      <c r="R1100" s="40">
        <v>0.85</v>
      </c>
      <c r="S1100" s="334">
        <f t="shared" si="581"/>
        <v>0.10625</v>
      </c>
      <c r="T1100" s="31">
        <f>VLOOKUP(A1100,'Ansvar kurs'!$A$1:$C$1010,2,FALSE)</f>
        <v>2180</v>
      </c>
      <c r="U1100" s="31" t="str">
        <f>VLOOKUP(T1100,Orgenheter!$A$1:$C$165,2,FALSE)</f>
        <v xml:space="preserve">Pedagogik                     </v>
      </c>
      <c r="V1100" s="31" t="str">
        <f>VLOOKUP(T1100,Orgenheter!$A$1:$C$165,3,FALSE)</f>
        <v>Sam</v>
      </c>
      <c r="W1100" s="37" t="str">
        <f>VLOOKUP(D1100,Program!$A$1:$B$34,2,FALSE)</f>
        <v>Speciallärarprogrammet</v>
      </c>
      <c r="X1100" s="42">
        <f>VLOOKUP(A1100,kurspris!$A$1:$Q$798,15,FALSE)</f>
        <v>18405</v>
      </c>
      <c r="Y1100" s="42">
        <f>VLOOKUP(A1100,kurspris!$A$1:$Q$798,16,FALSE)</f>
        <v>15773</v>
      </c>
      <c r="Z1100" s="42">
        <f t="shared" si="582"/>
        <v>3976.5062499999999</v>
      </c>
      <c r="AA1100" s="42">
        <f>VLOOKUP(A1100,kurspris!$A$1:$Q$798,17,FALSE)</f>
        <v>5800</v>
      </c>
      <c r="AB1100" s="42">
        <f t="shared" si="583"/>
        <v>725</v>
      </c>
      <c r="AC1100" s="42">
        <f t="shared" si="584"/>
        <v>4701.5062500000004</v>
      </c>
      <c r="AD1100" s="31">
        <f>VLOOKUP($A1100,kurspris!$A$1:$Q$835,3,FALSE)</f>
        <v>0</v>
      </c>
      <c r="AE1100" s="31">
        <f>VLOOKUP($A1100,kurspris!$A$1:$Q$835,4,FALSE)</f>
        <v>0</v>
      </c>
      <c r="AF1100" s="31">
        <f>VLOOKUP($A1100,kurspris!$A$1:$Q$835,5,FALSE)</f>
        <v>0</v>
      </c>
      <c r="AG1100" s="31">
        <f>VLOOKUP($A1100,kurspris!$A$1:$Q$835,6,FALSE)</f>
        <v>0</v>
      </c>
      <c r="AH1100" s="31">
        <f>VLOOKUP($A1100,kurspris!$A$1:$Q$835,7,FALSE)</f>
        <v>0</v>
      </c>
      <c r="AI1100" s="31">
        <f>VLOOKUP($A1100,kurspris!$A$1:$Q$835,8,FALSE)</f>
        <v>0</v>
      </c>
      <c r="AJ1100" s="31">
        <f>VLOOKUP($A1100,kurspris!$A$1:$Q$835,9,FALSE)</f>
        <v>1</v>
      </c>
      <c r="AK1100" s="31">
        <f>VLOOKUP($A1100,kurspris!$A$1:$Q$835,10,FALSE)</f>
        <v>0</v>
      </c>
      <c r="AL1100" s="31">
        <f>VLOOKUP($A1100,kurspris!$A$1:$Q$835,11,FALSE)</f>
        <v>0</v>
      </c>
      <c r="AM1100" s="31">
        <f>VLOOKUP($A1100,kurspris!$A$1:$Q$835,12,FALSE)</f>
        <v>0</v>
      </c>
      <c r="AN1100" s="31">
        <f>VLOOKUP($A1100,kurspris!$A$1:$Q$835,13,FALSE)</f>
        <v>0</v>
      </c>
      <c r="AO1100" s="31">
        <f>VLOOKUP($A1100,kurspris!$A$1:$Q$835,14,FALSE)</f>
        <v>0</v>
      </c>
      <c r="AP1100" s="39" t="s">
        <v>2326</v>
      </c>
      <c r="AQ1100"/>
      <c r="AR1100" s="31">
        <f t="shared" si="585"/>
        <v>0</v>
      </c>
      <c r="AS1100" s="255">
        <f t="shared" si="586"/>
        <v>0</v>
      </c>
      <c r="AT1100" s="31">
        <f t="shared" si="587"/>
        <v>0</v>
      </c>
      <c r="AU1100" s="255">
        <f t="shared" si="588"/>
        <v>0</v>
      </c>
      <c r="AV1100" s="31">
        <f t="shared" si="589"/>
        <v>0</v>
      </c>
      <c r="AW1100" s="31">
        <f t="shared" si="590"/>
        <v>0</v>
      </c>
      <c r="AX1100" s="31">
        <f t="shared" si="591"/>
        <v>0</v>
      </c>
      <c r="AY1100" s="255">
        <f t="shared" si="592"/>
        <v>0</v>
      </c>
      <c r="AZ1100" s="232">
        <f t="shared" si="593"/>
        <v>0</v>
      </c>
      <c r="BA1100" s="255">
        <f t="shared" si="594"/>
        <v>0</v>
      </c>
      <c r="BB1100" s="31">
        <f t="shared" si="595"/>
        <v>0</v>
      </c>
      <c r="BC1100" s="255">
        <f t="shared" si="596"/>
        <v>0</v>
      </c>
      <c r="BD1100" s="31">
        <f t="shared" si="597"/>
        <v>0.125</v>
      </c>
      <c r="BE1100" s="255">
        <f t="shared" si="598"/>
        <v>0.10625</v>
      </c>
      <c r="BF1100" s="31">
        <f t="shared" si="599"/>
        <v>0</v>
      </c>
      <c r="BG1100" s="255">
        <f t="shared" si="600"/>
        <v>0</v>
      </c>
      <c r="BH1100" s="31">
        <f t="shared" si="601"/>
        <v>0</v>
      </c>
      <c r="BI1100" s="255">
        <f t="shared" si="602"/>
        <v>0</v>
      </c>
      <c r="BJ1100" s="31">
        <f t="shared" si="603"/>
        <v>0</v>
      </c>
      <c r="BK1100" s="31">
        <f t="shared" si="604"/>
        <v>0</v>
      </c>
      <c r="BL1100" s="255">
        <f t="shared" si="605"/>
        <v>0</v>
      </c>
      <c r="BM1100" s="31">
        <f t="shared" si="606"/>
        <v>0</v>
      </c>
      <c r="BN1100" s="255">
        <f t="shared" si="607"/>
        <v>0</v>
      </c>
    </row>
    <row r="1101" spans="1:66" x14ac:dyDescent="0.25">
      <c r="A1101" s="39" t="s">
        <v>1947</v>
      </c>
      <c r="B1101" s="186" t="str">
        <f>VLOOKUP(A1101,kurspris!$A$1:$B$877,2,FALSE)</f>
        <v>Neuropsykiatriska svårigheter i olika lärmiljöer</v>
      </c>
      <c r="D1101" s="31" t="s">
        <v>115</v>
      </c>
      <c r="E1101" s="59" t="s">
        <v>1931</v>
      </c>
      <c r="F1101" s="59" t="s">
        <v>1931</v>
      </c>
      <c r="G1101" s="31" t="s">
        <v>2269</v>
      </c>
      <c r="J1101" t="s">
        <v>2163</v>
      </c>
      <c r="L1101" s="31">
        <v>100</v>
      </c>
      <c r="M1101" s="378">
        <v>7.5</v>
      </c>
      <c r="N1101" s="40"/>
      <c r="P1101" s="377">
        <v>15</v>
      </c>
      <c r="Q1101" s="232">
        <f t="shared" si="580"/>
        <v>1.875</v>
      </c>
      <c r="R1101" s="40">
        <v>0.85</v>
      </c>
      <c r="S1101" s="334">
        <f t="shared" si="581"/>
        <v>1.59375</v>
      </c>
      <c r="T1101" s="31">
        <f>VLOOKUP(A1101,'Ansvar kurs'!$A$1:$C$1010,2,FALSE)</f>
        <v>2180</v>
      </c>
      <c r="U1101" s="31" t="str">
        <f>VLOOKUP(T1101,Orgenheter!$A$1:$C$165,2,FALSE)</f>
        <v xml:space="preserve">Pedagogik                     </v>
      </c>
      <c r="V1101" s="31" t="str">
        <f>VLOOKUP(T1101,Orgenheter!$A$1:$C$165,3,FALSE)</f>
        <v>Sam</v>
      </c>
      <c r="W1101" s="37" t="str">
        <f>VLOOKUP(D1101,Program!$A$1:$B$34,2,FALSE)</f>
        <v>Speciallärarprogrammet</v>
      </c>
      <c r="X1101" s="42">
        <f>VLOOKUP(A1101,kurspris!$A$1:$Q$798,15,FALSE)</f>
        <v>18405</v>
      </c>
      <c r="Y1101" s="42">
        <f>VLOOKUP(A1101,kurspris!$A$1:$Q$798,16,FALSE)</f>
        <v>15773</v>
      </c>
      <c r="Z1101" s="42">
        <f t="shared" si="582"/>
        <v>59647.59375</v>
      </c>
      <c r="AA1101" s="42">
        <f>VLOOKUP(A1101,kurspris!$A$1:$Q$798,17,FALSE)</f>
        <v>5800</v>
      </c>
      <c r="AB1101" s="42">
        <f t="shared" si="583"/>
        <v>10875</v>
      </c>
      <c r="AC1101" s="42">
        <f t="shared" si="584"/>
        <v>70522.59375</v>
      </c>
      <c r="AD1101" s="31">
        <f>VLOOKUP($A1101,kurspris!$A$1:$Q$835,3,FALSE)</f>
        <v>0</v>
      </c>
      <c r="AE1101" s="31">
        <f>VLOOKUP($A1101,kurspris!$A$1:$Q$835,4,FALSE)</f>
        <v>0</v>
      </c>
      <c r="AF1101" s="31">
        <f>VLOOKUP($A1101,kurspris!$A$1:$Q$835,5,FALSE)</f>
        <v>0</v>
      </c>
      <c r="AG1101" s="31">
        <f>VLOOKUP($A1101,kurspris!$A$1:$Q$835,6,FALSE)</f>
        <v>0</v>
      </c>
      <c r="AH1101" s="31">
        <f>VLOOKUP($A1101,kurspris!$A$1:$Q$835,7,FALSE)</f>
        <v>0</v>
      </c>
      <c r="AI1101" s="31">
        <f>VLOOKUP($A1101,kurspris!$A$1:$Q$835,8,FALSE)</f>
        <v>0</v>
      </c>
      <c r="AJ1101" s="31">
        <f>VLOOKUP($A1101,kurspris!$A$1:$Q$835,9,FALSE)</f>
        <v>1</v>
      </c>
      <c r="AK1101" s="31">
        <f>VLOOKUP($A1101,kurspris!$A$1:$Q$835,10,FALSE)</f>
        <v>0</v>
      </c>
      <c r="AL1101" s="31">
        <f>VLOOKUP($A1101,kurspris!$A$1:$Q$835,11,FALSE)</f>
        <v>0</v>
      </c>
      <c r="AM1101" s="31">
        <f>VLOOKUP($A1101,kurspris!$A$1:$Q$835,12,FALSE)</f>
        <v>0</v>
      </c>
      <c r="AN1101" s="31">
        <f>VLOOKUP($A1101,kurspris!$A$1:$Q$835,13,FALSE)</f>
        <v>0</v>
      </c>
      <c r="AO1101" s="31">
        <f>VLOOKUP($A1101,kurspris!$A$1:$Q$835,14,FALSE)</f>
        <v>0</v>
      </c>
      <c r="AP1101" s="39" t="s">
        <v>2326</v>
      </c>
      <c r="AQ1101"/>
      <c r="AR1101" s="31">
        <f t="shared" si="585"/>
        <v>0</v>
      </c>
      <c r="AS1101" s="255">
        <f t="shared" si="586"/>
        <v>0</v>
      </c>
      <c r="AT1101" s="31">
        <f t="shared" si="587"/>
        <v>0</v>
      </c>
      <c r="AU1101" s="255">
        <f t="shared" si="588"/>
        <v>0</v>
      </c>
      <c r="AV1101" s="31">
        <f t="shared" si="589"/>
        <v>0</v>
      </c>
      <c r="AW1101" s="31">
        <f t="shared" si="590"/>
        <v>0</v>
      </c>
      <c r="AX1101" s="31">
        <f t="shared" si="591"/>
        <v>0</v>
      </c>
      <c r="AY1101" s="255">
        <f t="shared" si="592"/>
        <v>0</v>
      </c>
      <c r="AZ1101" s="232">
        <f t="shared" si="593"/>
        <v>0</v>
      </c>
      <c r="BA1101" s="255">
        <f t="shared" si="594"/>
        <v>0</v>
      </c>
      <c r="BB1101" s="31">
        <f t="shared" si="595"/>
        <v>0</v>
      </c>
      <c r="BC1101" s="255">
        <f t="shared" si="596"/>
        <v>0</v>
      </c>
      <c r="BD1101" s="31">
        <f t="shared" si="597"/>
        <v>1.875</v>
      </c>
      <c r="BE1101" s="255">
        <f t="shared" si="598"/>
        <v>1.59375</v>
      </c>
      <c r="BF1101" s="31">
        <f t="shared" si="599"/>
        <v>0</v>
      </c>
      <c r="BG1101" s="255">
        <f t="shared" si="600"/>
        <v>0</v>
      </c>
      <c r="BH1101" s="31">
        <f t="shared" si="601"/>
        <v>0</v>
      </c>
      <c r="BI1101" s="255">
        <f t="shared" si="602"/>
        <v>0</v>
      </c>
      <c r="BJ1101" s="31">
        <f t="shared" si="603"/>
        <v>0</v>
      </c>
      <c r="BK1101" s="31">
        <f t="shared" si="604"/>
        <v>0</v>
      </c>
      <c r="BL1101" s="255">
        <f t="shared" si="605"/>
        <v>0</v>
      </c>
      <c r="BM1101" s="31">
        <f t="shared" si="606"/>
        <v>0</v>
      </c>
      <c r="BN1101" s="255">
        <f t="shared" si="607"/>
        <v>0</v>
      </c>
    </row>
    <row r="1102" spans="1:66" x14ac:dyDescent="0.25">
      <c r="A1102" s="18" t="s">
        <v>1947</v>
      </c>
      <c r="B1102" s="186" t="str">
        <f>VLOOKUP(A1102,kurspris!$A$1:$B$877,2,FALSE)</f>
        <v>Neuropsykiatriska svårigheter i olika lärmiljöer</v>
      </c>
      <c r="C1102" s="37"/>
      <c r="D1102" s="31" t="s">
        <v>115</v>
      </c>
      <c r="E1102" s="31" t="s">
        <v>1931</v>
      </c>
      <c r="F1102" s="59" t="s">
        <v>1931</v>
      </c>
      <c r="G1102" s="31" t="s">
        <v>2269</v>
      </c>
      <c r="J1102" t="s">
        <v>2165</v>
      </c>
      <c r="L1102" s="31">
        <v>100</v>
      </c>
      <c r="M1102" s="31">
        <v>7.5</v>
      </c>
      <c r="P1102" s="31">
        <v>15</v>
      </c>
      <c r="Q1102" s="232">
        <f t="shared" si="580"/>
        <v>1.875</v>
      </c>
      <c r="R1102" s="40">
        <v>0.85</v>
      </c>
      <c r="S1102" s="334">
        <f t="shared" si="581"/>
        <v>1.59375</v>
      </c>
      <c r="T1102" s="31">
        <f>VLOOKUP(A1102,'Ansvar kurs'!$A$1:$C$1010,2,FALSE)</f>
        <v>2180</v>
      </c>
      <c r="U1102" s="31" t="str">
        <f>VLOOKUP(T1102,Orgenheter!$A$1:$C$165,2,FALSE)</f>
        <v xml:space="preserve">Pedagogik                     </v>
      </c>
      <c r="V1102" s="31" t="str">
        <f>VLOOKUP(T1102,Orgenheter!$A$1:$C$165,3,FALSE)</f>
        <v>Sam</v>
      </c>
      <c r="W1102" s="37" t="str">
        <f>VLOOKUP(D1102,Program!$A$1:$B$34,2,FALSE)</f>
        <v>Speciallärarprogrammet</v>
      </c>
      <c r="X1102" s="42">
        <f>VLOOKUP(A1102,kurspris!$A$1:$Q$798,15,FALSE)</f>
        <v>18405</v>
      </c>
      <c r="Y1102" s="42">
        <f>VLOOKUP(A1102,kurspris!$A$1:$Q$798,16,FALSE)</f>
        <v>15773</v>
      </c>
      <c r="Z1102" s="42">
        <f t="shared" si="582"/>
        <v>59647.59375</v>
      </c>
      <c r="AA1102" s="42">
        <f>VLOOKUP(A1102,kurspris!$A$1:$Q$798,17,FALSE)</f>
        <v>5800</v>
      </c>
      <c r="AB1102" s="42">
        <f t="shared" si="583"/>
        <v>10875</v>
      </c>
      <c r="AC1102" s="42">
        <f t="shared" si="584"/>
        <v>70522.59375</v>
      </c>
      <c r="AD1102" s="31">
        <f>VLOOKUP($A1102,kurspris!$A$1:$Q$835,3,FALSE)</f>
        <v>0</v>
      </c>
      <c r="AE1102" s="31">
        <f>VLOOKUP($A1102,kurspris!$A$1:$Q$835,4,FALSE)</f>
        <v>0</v>
      </c>
      <c r="AF1102" s="31">
        <f>VLOOKUP($A1102,kurspris!$A$1:$Q$835,5,FALSE)</f>
        <v>0</v>
      </c>
      <c r="AG1102" s="31">
        <f>VLOOKUP($A1102,kurspris!$A$1:$Q$835,6,FALSE)</f>
        <v>0</v>
      </c>
      <c r="AH1102" s="31">
        <f>VLOOKUP($A1102,kurspris!$A$1:$Q$835,7,FALSE)</f>
        <v>0</v>
      </c>
      <c r="AI1102" s="31">
        <f>VLOOKUP($A1102,kurspris!$A$1:$Q$835,8,FALSE)</f>
        <v>0</v>
      </c>
      <c r="AJ1102" s="31">
        <f>VLOOKUP($A1102,kurspris!$A$1:$Q$835,9,FALSE)</f>
        <v>1</v>
      </c>
      <c r="AK1102" s="31">
        <f>VLOOKUP($A1102,kurspris!$A$1:$Q$835,10,FALSE)</f>
        <v>0</v>
      </c>
      <c r="AL1102" s="31">
        <f>VLOOKUP($A1102,kurspris!$A$1:$Q$835,11,FALSE)</f>
        <v>0</v>
      </c>
      <c r="AM1102" s="31">
        <f>VLOOKUP($A1102,kurspris!$A$1:$Q$835,12,FALSE)</f>
        <v>0</v>
      </c>
      <c r="AN1102" s="31">
        <f>VLOOKUP($A1102,kurspris!$A$1:$Q$835,13,FALSE)</f>
        <v>0</v>
      </c>
      <c r="AO1102" s="31">
        <f>VLOOKUP($A1102,kurspris!$A$1:$Q$835,14,FALSE)</f>
        <v>0</v>
      </c>
      <c r="AP1102" s="39" t="s">
        <v>2326</v>
      </c>
      <c r="AQ1102"/>
      <c r="AR1102" s="31">
        <f t="shared" si="585"/>
        <v>0</v>
      </c>
      <c r="AS1102" s="255">
        <f t="shared" si="586"/>
        <v>0</v>
      </c>
      <c r="AT1102" s="31">
        <f t="shared" si="587"/>
        <v>0</v>
      </c>
      <c r="AU1102" s="255">
        <f t="shared" si="588"/>
        <v>0</v>
      </c>
      <c r="AV1102" s="31">
        <f t="shared" si="589"/>
        <v>0</v>
      </c>
      <c r="AW1102" s="31">
        <f t="shared" si="590"/>
        <v>0</v>
      </c>
      <c r="AX1102" s="31">
        <f t="shared" si="591"/>
        <v>0</v>
      </c>
      <c r="AY1102" s="255">
        <f t="shared" si="592"/>
        <v>0</v>
      </c>
      <c r="AZ1102" s="232">
        <f t="shared" si="593"/>
        <v>0</v>
      </c>
      <c r="BA1102" s="255">
        <f t="shared" si="594"/>
        <v>0</v>
      </c>
      <c r="BB1102" s="31">
        <f t="shared" si="595"/>
        <v>0</v>
      </c>
      <c r="BC1102" s="255">
        <f t="shared" si="596"/>
        <v>0</v>
      </c>
      <c r="BD1102" s="31">
        <f t="shared" si="597"/>
        <v>1.875</v>
      </c>
      <c r="BE1102" s="255">
        <f t="shared" si="598"/>
        <v>1.59375</v>
      </c>
      <c r="BF1102" s="31">
        <f t="shared" si="599"/>
        <v>0</v>
      </c>
      <c r="BG1102" s="255">
        <f t="shared" si="600"/>
        <v>0</v>
      </c>
      <c r="BH1102" s="31">
        <f t="shared" si="601"/>
        <v>0</v>
      </c>
      <c r="BI1102" s="255">
        <f t="shared" si="602"/>
        <v>0</v>
      </c>
      <c r="BJ1102" s="31">
        <f t="shared" si="603"/>
        <v>0</v>
      </c>
      <c r="BK1102" s="31">
        <f t="shared" si="604"/>
        <v>0</v>
      </c>
      <c r="BL1102" s="255">
        <f t="shared" si="605"/>
        <v>0</v>
      </c>
      <c r="BM1102" s="31">
        <f t="shared" si="606"/>
        <v>0</v>
      </c>
      <c r="BN1102" s="255">
        <f t="shared" si="607"/>
        <v>0</v>
      </c>
    </row>
    <row r="1103" spans="1:66" x14ac:dyDescent="0.25">
      <c r="A1103" s="18" t="s">
        <v>1947</v>
      </c>
      <c r="B1103" s="186" t="str">
        <f>VLOOKUP(A1103,kurspris!$A$1:$B$877,2,FALSE)</f>
        <v>Neuropsykiatriska svårigheter i olika lärmiljöer</v>
      </c>
      <c r="C1103" s="37"/>
      <c r="D1103" s="31" t="s">
        <v>115</v>
      </c>
      <c r="E1103" s="31" t="s">
        <v>1931</v>
      </c>
      <c r="F1103" s="59" t="s">
        <v>1931</v>
      </c>
      <c r="G1103" s="31" t="s">
        <v>2269</v>
      </c>
      <c r="J1103" t="s">
        <v>1812</v>
      </c>
      <c r="L1103" s="31">
        <v>100</v>
      </c>
      <c r="M1103" s="31">
        <v>7.5</v>
      </c>
      <c r="P1103" s="31">
        <v>14</v>
      </c>
      <c r="Q1103" s="232">
        <f t="shared" si="580"/>
        <v>1.75</v>
      </c>
      <c r="R1103" s="40">
        <v>0.85</v>
      </c>
      <c r="S1103" s="334">
        <f t="shared" si="581"/>
        <v>1.4875</v>
      </c>
      <c r="T1103" s="31">
        <f>VLOOKUP(A1103,'Ansvar kurs'!$A$1:$C$1010,2,FALSE)</f>
        <v>2180</v>
      </c>
      <c r="U1103" s="31" t="str">
        <f>VLOOKUP(T1103,Orgenheter!$A$1:$C$165,2,FALSE)</f>
        <v xml:space="preserve">Pedagogik                     </v>
      </c>
      <c r="V1103" s="31" t="str">
        <f>VLOOKUP(T1103,Orgenheter!$A$1:$C$165,3,FALSE)</f>
        <v>Sam</v>
      </c>
      <c r="W1103" s="37" t="str">
        <f>VLOOKUP(D1103,Program!$A$1:$B$34,2,FALSE)</f>
        <v>Speciallärarprogrammet</v>
      </c>
      <c r="X1103" s="42">
        <f>VLOOKUP(A1103,kurspris!$A$1:$Q$798,15,FALSE)</f>
        <v>18405</v>
      </c>
      <c r="Y1103" s="42">
        <f>VLOOKUP(A1103,kurspris!$A$1:$Q$798,16,FALSE)</f>
        <v>15773</v>
      </c>
      <c r="Z1103" s="42">
        <f t="shared" si="582"/>
        <v>55671.087500000001</v>
      </c>
      <c r="AA1103" s="42">
        <f>VLOOKUP(A1103,kurspris!$A$1:$Q$798,17,FALSE)</f>
        <v>5800</v>
      </c>
      <c r="AB1103" s="42">
        <f t="shared" si="583"/>
        <v>10150</v>
      </c>
      <c r="AC1103" s="42">
        <f t="shared" si="584"/>
        <v>65821.087499999994</v>
      </c>
      <c r="AD1103" s="31">
        <f>VLOOKUP($A1103,kurspris!$A$1:$Q$835,3,FALSE)</f>
        <v>0</v>
      </c>
      <c r="AE1103" s="31">
        <f>VLOOKUP($A1103,kurspris!$A$1:$Q$835,4,FALSE)</f>
        <v>0</v>
      </c>
      <c r="AF1103" s="31">
        <f>VLOOKUP($A1103,kurspris!$A$1:$Q$835,5,FALSE)</f>
        <v>0</v>
      </c>
      <c r="AG1103" s="31">
        <f>VLOOKUP($A1103,kurspris!$A$1:$Q$835,6,FALSE)</f>
        <v>0</v>
      </c>
      <c r="AH1103" s="31">
        <f>VLOOKUP($A1103,kurspris!$A$1:$Q$835,7,FALSE)</f>
        <v>0</v>
      </c>
      <c r="AI1103" s="31">
        <f>VLOOKUP($A1103,kurspris!$A$1:$Q$835,8,FALSE)</f>
        <v>0</v>
      </c>
      <c r="AJ1103" s="31">
        <f>VLOOKUP($A1103,kurspris!$A$1:$Q$835,9,FALSE)</f>
        <v>1</v>
      </c>
      <c r="AK1103" s="31">
        <f>VLOOKUP($A1103,kurspris!$A$1:$Q$835,10,FALSE)</f>
        <v>0</v>
      </c>
      <c r="AL1103" s="31">
        <f>VLOOKUP($A1103,kurspris!$A$1:$Q$835,11,FALSE)</f>
        <v>0</v>
      </c>
      <c r="AM1103" s="31">
        <f>VLOOKUP($A1103,kurspris!$A$1:$Q$835,12,FALSE)</f>
        <v>0</v>
      </c>
      <c r="AN1103" s="31">
        <f>VLOOKUP($A1103,kurspris!$A$1:$Q$835,13,FALSE)</f>
        <v>0</v>
      </c>
      <c r="AO1103" s="31">
        <f>VLOOKUP($A1103,kurspris!$A$1:$Q$835,14,FALSE)</f>
        <v>0</v>
      </c>
      <c r="AP1103" s="39" t="s">
        <v>2326</v>
      </c>
      <c r="AQ1103"/>
      <c r="AR1103" s="31">
        <f t="shared" si="585"/>
        <v>0</v>
      </c>
      <c r="AS1103" s="255">
        <f t="shared" si="586"/>
        <v>0</v>
      </c>
      <c r="AT1103" s="31">
        <f t="shared" si="587"/>
        <v>0</v>
      </c>
      <c r="AU1103" s="255">
        <f t="shared" si="588"/>
        <v>0</v>
      </c>
      <c r="AV1103" s="31">
        <f t="shared" si="589"/>
        <v>0</v>
      </c>
      <c r="AW1103" s="31">
        <f t="shared" si="590"/>
        <v>0</v>
      </c>
      <c r="AX1103" s="31">
        <f t="shared" si="591"/>
        <v>0</v>
      </c>
      <c r="AY1103" s="255">
        <f t="shared" si="592"/>
        <v>0</v>
      </c>
      <c r="AZ1103" s="232">
        <f t="shared" si="593"/>
        <v>0</v>
      </c>
      <c r="BA1103" s="255">
        <f t="shared" si="594"/>
        <v>0</v>
      </c>
      <c r="BB1103" s="31">
        <f t="shared" si="595"/>
        <v>0</v>
      </c>
      <c r="BC1103" s="255">
        <f t="shared" si="596"/>
        <v>0</v>
      </c>
      <c r="BD1103" s="31">
        <f t="shared" si="597"/>
        <v>1.75</v>
      </c>
      <c r="BE1103" s="255">
        <f t="shared" si="598"/>
        <v>1.4875</v>
      </c>
      <c r="BF1103" s="31">
        <f t="shared" si="599"/>
        <v>0</v>
      </c>
      <c r="BG1103" s="255">
        <f t="shared" si="600"/>
        <v>0</v>
      </c>
      <c r="BH1103" s="31">
        <f t="shared" si="601"/>
        <v>0</v>
      </c>
      <c r="BI1103" s="255">
        <f t="shared" si="602"/>
        <v>0</v>
      </c>
      <c r="BJ1103" s="31">
        <f t="shared" si="603"/>
        <v>0</v>
      </c>
      <c r="BK1103" s="31">
        <f t="shared" si="604"/>
        <v>0</v>
      </c>
      <c r="BL1103" s="255">
        <f t="shared" si="605"/>
        <v>0</v>
      </c>
      <c r="BM1103" s="31">
        <f t="shared" si="606"/>
        <v>0</v>
      </c>
      <c r="BN1103" s="255">
        <f t="shared" si="607"/>
        <v>0</v>
      </c>
    </row>
    <row r="1104" spans="1:66" x14ac:dyDescent="0.25">
      <c r="A1104" s="18" t="s">
        <v>1947</v>
      </c>
      <c r="B1104" s="186" t="str">
        <f>VLOOKUP(A1104,kurspris!$A$1:$B$877,2,FALSE)</f>
        <v>Neuropsykiatriska svårigheter i olika lärmiljöer</v>
      </c>
      <c r="C1104" s="37"/>
      <c r="D1104" s="31" t="s">
        <v>115</v>
      </c>
      <c r="E1104" s="31" t="s">
        <v>2265</v>
      </c>
      <c r="F1104" s="59" t="s">
        <v>1931</v>
      </c>
      <c r="G1104" s="31" t="s">
        <v>2269</v>
      </c>
      <c r="J1104" t="s">
        <v>1812</v>
      </c>
      <c r="L1104" s="31">
        <v>100</v>
      </c>
      <c r="M1104" s="31">
        <v>7.5</v>
      </c>
      <c r="P1104" s="31">
        <v>1</v>
      </c>
      <c r="Q1104" s="232">
        <f t="shared" si="580"/>
        <v>0.125</v>
      </c>
      <c r="R1104" s="40">
        <v>0.85</v>
      </c>
      <c r="S1104" s="334">
        <f t="shared" si="581"/>
        <v>0.10625</v>
      </c>
      <c r="T1104" s="31">
        <f>VLOOKUP(A1104,'Ansvar kurs'!$A$1:$C$1010,2,FALSE)</f>
        <v>2180</v>
      </c>
      <c r="U1104" s="31" t="str">
        <f>VLOOKUP(T1104,Orgenheter!$A$1:$C$165,2,FALSE)</f>
        <v xml:space="preserve">Pedagogik                     </v>
      </c>
      <c r="V1104" s="31" t="str">
        <f>VLOOKUP(T1104,Orgenheter!$A$1:$C$165,3,FALSE)</f>
        <v>Sam</v>
      </c>
      <c r="W1104" s="37" t="str">
        <f>VLOOKUP(D1104,Program!$A$1:$B$34,2,FALSE)</f>
        <v>Speciallärarprogrammet</v>
      </c>
      <c r="X1104" s="42">
        <f>VLOOKUP(A1104,kurspris!$A$1:$Q$798,15,FALSE)</f>
        <v>18405</v>
      </c>
      <c r="Y1104" s="42">
        <f>VLOOKUP(A1104,kurspris!$A$1:$Q$798,16,FALSE)</f>
        <v>15773</v>
      </c>
      <c r="Z1104" s="42">
        <f t="shared" si="582"/>
        <v>3976.5062499999999</v>
      </c>
      <c r="AA1104" s="42">
        <f>VLOOKUP(A1104,kurspris!$A$1:$Q$798,17,FALSE)</f>
        <v>5800</v>
      </c>
      <c r="AB1104" s="42">
        <f t="shared" si="583"/>
        <v>725</v>
      </c>
      <c r="AC1104" s="42">
        <f t="shared" si="584"/>
        <v>4701.5062500000004</v>
      </c>
      <c r="AD1104" s="31">
        <f>VLOOKUP($A1104,kurspris!$A$1:$Q$835,3,FALSE)</f>
        <v>0</v>
      </c>
      <c r="AE1104" s="31">
        <f>VLOOKUP($A1104,kurspris!$A$1:$Q$835,4,FALSE)</f>
        <v>0</v>
      </c>
      <c r="AF1104" s="31">
        <f>VLOOKUP($A1104,kurspris!$A$1:$Q$835,5,FALSE)</f>
        <v>0</v>
      </c>
      <c r="AG1104" s="31">
        <f>VLOOKUP($A1104,kurspris!$A$1:$Q$835,6,FALSE)</f>
        <v>0</v>
      </c>
      <c r="AH1104" s="31">
        <f>VLOOKUP($A1104,kurspris!$A$1:$Q$835,7,FALSE)</f>
        <v>0</v>
      </c>
      <c r="AI1104" s="31">
        <f>VLOOKUP($A1104,kurspris!$A$1:$Q$835,8,FALSE)</f>
        <v>0</v>
      </c>
      <c r="AJ1104" s="31">
        <f>VLOOKUP($A1104,kurspris!$A$1:$Q$835,9,FALSE)</f>
        <v>1</v>
      </c>
      <c r="AK1104" s="31">
        <f>VLOOKUP($A1104,kurspris!$A$1:$Q$835,10,FALSE)</f>
        <v>0</v>
      </c>
      <c r="AL1104" s="31">
        <f>VLOOKUP($A1104,kurspris!$A$1:$Q$835,11,FALSE)</f>
        <v>0</v>
      </c>
      <c r="AM1104" s="31">
        <f>VLOOKUP($A1104,kurspris!$A$1:$Q$835,12,FALSE)</f>
        <v>0</v>
      </c>
      <c r="AN1104" s="31">
        <f>VLOOKUP($A1104,kurspris!$A$1:$Q$835,13,FALSE)</f>
        <v>0</v>
      </c>
      <c r="AO1104" s="31">
        <f>VLOOKUP($A1104,kurspris!$A$1:$Q$835,14,FALSE)</f>
        <v>0</v>
      </c>
      <c r="AP1104" s="39" t="s">
        <v>2326</v>
      </c>
      <c r="AQ1104"/>
      <c r="AR1104" s="31">
        <f t="shared" si="585"/>
        <v>0</v>
      </c>
      <c r="AS1104" s="255">
        <f t="shared" si="586"/>
        <v>0</v>
      </c>
      <c r="AT1104" s="31">
        <f t="shared" si="587"/>
        <v>0</v>
      </c>
      <c r="AU1104" s="255">
        <f t="shared" si="588"/>
        <v>0</v>
      </c>
      <c r="AV1104" s="31">
        <f t="shared" si="589"/>
        <v>0</v>
      </c>
      <c r="AW1104" s="31">
        <f t="shared" si="590"/>
        <v>0</v>
      </c>
      <c r="AX1104" s="31">
        <f t="shared" si="591"/>
        <v>0</v>
      </c>
      <c r="AY1104" s="255">
        <f t="shared" si="592"/>
        <v>0</v>
      </c>
      <c r="AZ1104" s="232">
        <f t="shared" si="593"/>
        <v>0</v>
      </c>
      <c r="BA1104" s="255">
        <f t="shared" si="594"/>
        <v>0</v>
      </c>
      <c r="BB1104" s="31">
        <f t="shared" si="595"/>
        <v>0</v>
      </c>
      <c r="BC1104" s="255">
        <f t="shared" si="596"/>
        <v>0</v>
      </c>
      <c r="BD1104" s="31">
        <f t="shared" si="597"/>
        <v>0.125</v>
      </c>
      <c r="BE1104" s="255">
        <f t="shared" si="598"/>
        <v>0.10625</v>
      </c>
      <c r="BF1104" s="31">
        <f t="shared" si="599"/>
        <v>0</v>
      </c>
      <c r="BG1104" s="255">
        <f t="shared" si="600"/>
        <v>0</v>
      </c>
      <c r="BH1104" s="31">
        <f t="shared" si="601"/>
        <v>0</v>
      </c>
      <c r="BI1104" s="255">
        <f t="shared" si="602"/>
        <v>0</v>
      </c>
      <c r="BJ1104" s="31">
        <f t="shared" si="603"/>
        <v>0</v>
      </c>
      <c r="BK1104" s="31">
        <f t="shared" si="604"/>
        <v>0</v>
      </c>
      <c r="BL1104" s="255">
        <f t="shared" si="605"/>
        <v>0</v>
      </c>
      <c r="BM1104" s="31">
        <f t="shared" si="606"/>
        <v>0</v>
      </c>
      <c r="BN1104" s="255">
        <f t="shared" si="607"/>
        <v>0</v>
      </c>
    </row>
    <row r="1105" spans="1:66" x14ac:dyDescent="0.25">
      <c r="A1105" s="18" t="s">
        <v>1947</v>
      </c>
      <c r="B1105" s="186" t="str">
        <f>VLOOKUP(A1105,kurspris!$A$1:$B$877,2,FALSE)</f>
        <v>Neuropsykiatriska svårigheter i olika lärmiljöer</v>
      </c>
      <c r="C1105" s="37"/>
      <c r="D1105" s="31" t="s">
        <v>115</v>
      </c>
      <c r="E1105" s="31" t="s">
        <v>2262</v>
      </c>
      <c r="F1105" s="59" t="s">
        <v>1931</v>
      </c>
      <c r="G1105" s="31" t="s">
        <v>2269</v>
      </c>
      <c r="J1105" t="s">
        <v>2165</v>
      </c>
      <c r="L1105" s="31">
        <v>100</v>
      </c>
      <c r="M1105" s="31">
        <v>7.5</v>
      </c>
      <c r="P1105" s="31">
        <v>2</v>
      </c>
      <c r="Q1105" s="232">
        <f t="shared" si="580"/>
        <v>0.25</v>
      </c>
      <c r="R1105" s="40">
        <v>0.85</v>
      </c>
      <c r="S1105" s="334">
        <f t="shared" si="581"/>
        <v>0.21249999999999999</v>
      </c>
      <c r="T1105" s="31">
        <f>VLOOKUP(A1105,'Ansvar kurs'!$A$1:$C$1010,2,FALSE)</f>
        <v>2180</v>
      </c>
      <c r="U1105" s="31" t="str">
        <f>VLOOKUP(T1105,Orgenheter!$A$1:$C$165,2,FALSE)</f>
        <v xml:space="preserve">Pedagogik                     </v>
      </c>
      <c r="V1105" s="31" t="str">
        <f>VLOOKUP(T1105,Orgenheter!$A$1:$C$165,3,FALSE)</f>
        <v>Sam</v>
      </c>
      <c r="W1105" s="37" t="str">
        <f>VLOOKUP(D1105,Program!$A$1:$B$34,2,FALSE)</f>
        <v>Speciallärarprogrammet</v>
      </c>
      <c r="X1105" s="42">
        <f>VLOOKUP(A1105,kurspris!$A$1:$Q$798,15,FALSE)</f>
        <v>18405</v>
      </c>
      <c r="Y1105" s="42">
        <f>VLOOKUP(A1105,kurspris!$A$1:$Q$798,16,FALSE)</f>
        <v>15773</v>
      </c>
      <c r="Z1105" s="42">
        <f t="shared" si="582"/>
        <v>7953.0124999999998</v>
      </c>
      <c r="AA1105" s="42">
        <f>VLOOKUP(A1105,kurspris!$A$1:$Q$798,17,FALSE)</f>
        <v>5800</v>
      </c>
      <c r="AB1105" s="42">
        <f t="shared" si="583"/>
        <v>1450</v>
      </c>
      <c r="AC1105" s="42">
        <f t="shared" si="584"/>
        <v>9403.0125000000007</v>
      </c>
      <c r="AD1105" s="31">
        <f>VLOOKUP($A1105,kurspris!$A$1:$Q$835,3,FALSE)</f>
        <v>0</v>
      </c>
      <c r="AE1105" s="31">
        <f>VLOOKUP($A1105,kurspris!$A$1:$Q$835,4,FALSE)</f>
        <v>0</v>
      </c>
      <c r="AF1105" s="31">
        <f>VLOOKUP($A1105,kurspris!$A$1:$Q$835,5,FALSE)</f>
        <v>0</v>
      </c>
      <c r="AG1105" s="31">
        <f>VLOOKUP($A1105,kurspris!$A$1:$Q$835,6,FALSE)</f>
        <v>0</v>
      </c>
      <c r="AH1105" s="31">
        <f>VLOOKUP($A1105,kurspris!$A$1:$Q$835,7,FALSE)</f>
        <v>0</v>
      </c>
      <c r="AI1105" s="31">
        <f>VLOOKUP($A1105,kurspris!$A$1:$Q$835,8,FALSE)</f>
        <v>0</v>
      </c>
      <c r="AJ1105" s="31">
        <f>VLOOKUP($A1105,kurspris!$A$1:$Q$835,9,FALSE)</f>
        <v>1</v>
      </c>
      <c r="AK1105" s="31">
        <f>VLOOKUP($A1105,kurspris!$A$1:$Q$835,10,FALSE)</f>
        <v>0</v>
      </c>
      <c r="AL1105" s="31">
        <f>VLOOKUP($A1105,kurspris!$A$1:$Q$835,11,FALSE)</f>
        <v>0</v>
      </c>
      <c r="AM1105" s="31">
        <f>VLOOKUP($A1105,kurspris!$A$1:$Q$835,12,FALSE)</f>
        <v>0</v>
      </c>
      <c r="AN1105" s="31">
        <f>VLOOKUP($A1105,kurspris!$A$1:$Q$835,13,FALSE)</f>
        <v>0</v>
      </c>
      <c r="AO1105" s="31">
        <f>VLOOKUP($A1105,kurspris!$A$1:$Q$835,14,FALSE)</f>
        <v>0</v>
      </c>
      <c r="AP1105" s="39" t="s">
        <v>2326</v>
      </c>
      <c r="AQ1105"/>
      <c r="AR1105" s="31">
        <f t="shared" si="585"/>
        <v>0</v>
      </c>
      <c r="AS1105" s="255">
        <f t="shared" si="586"/>
        <v>0</v>
      </c>
      <c r="AT1105" s="31">
        <f t="shared" si="587"/>
        <v>0</v>
      </c>
      <c r="AU1105" s="255">
        <f t="shared" si="588"/>
        <v>0</v>
      </c>
      <c r="AV1105" s="31">
        <f t="shared" si="589"/>
        <v>0</v>
      </c>
      <c r="AW1105" s="31">
        <f t="shared" si="590"/>
        <v>0</v>
      </c>
      <c r="AX1105" s="31">
        <f t="shared" si="591"/>
        <v>0</v>
      </c>
      <c r="AY1105" s="255">
        <f t="shared" si="592"/>
        <v>0</v>
      </c>
      <c r="AZ1105" s="232">
        <f t="shared" si="593"/>
        <v>0</v>
      </c>
      <c r="BA1105" s="255">
        <f t="shared" si="594"/>
        <v>0</v>
      </c>
      <c r="BB1105" s="31">
        <f t="shared" si="595"/>
        <v>0</v>
      </c>
      <c r="BC1105" s="255">
        <f t="shared" si="596"/>
        <v>0</v>
      </c>
      <c r="BD1105" s="31">
        <f t="shared" si="597"/>
        <v>0.25</v>
      </c>
      <c r="BE1105" s="255">
        <f t="shared" si="598"/>
        <v>0.21249999999999999</v>
      </c>
      <c r="BF1105" s="31">
        <f t="shared" si="599"/>
        <v>0</v>
      </c>
      <c r="BG1105" s="255">
        <f t="shared" si="600"/>
        <v>0</v>
      </c>
      <c r="BH1105" s="31">
        <f t="shared" si="601"/>
        <v>0</v>
      </c>
      <c r="BI1105" s="255">
        <f t="shared" si="602"/>
        <v>0</v>
      </c>
      <c r="BJ1105" s="31">
        <f t="shared" si="603"/>
        <v>0</v>
      </c>
      <c r="BK1105" s="31">
        <f t="shared" si="604"/>
        <v>0</v>
      </c>
      <c r="BL1105" s="255">
        <f t="shared" si="605"/>
        <v>0</v>
      </c>
      <c r="BM1105" s="31">
        <f t="shared" si="606"/>
        <v>0</v>
      </c>
      <c r="BN1105" s="255">
        <f t="shared" si="607"/>
        <v>0</v>
      </c>
    </row>
    <row r="1106" spans="1:66" x14ac:dyDescent="0.25">
      <c r="A1106" s="18" t="s">
        <v>1946</v>
      </c>
      <c r="B1106" s="186" t="str">
        <f>VLOOKUP(A1106,kurspris!$A$1:$B$877,2,FALSE)</f>
        <v>Speciallärarens och specialpedagogens yrkesfunktion</v>
      </c>
      <c r="C1106" s="37"/>
      <c r="D1106" s="31" t="s">
        <v>120</v>
      </c>
      <c r="E1106" s="31" t="s">
        <v>1931</v>
      </c>
      <c r="F1106" s="59" t="s">
        <v>1931</v>
      </c>
      <c r="G1106" s="31" t="s">
        <v>2281</v>
      </c>
      <c r="L1106" s="31">
        <v>100</v>
      </c>
      <c r="M1106" s="31">
        <v>15</v>
      </c>
      <c r="N1106" s="19">
        <v>-0.05</v>
      </c>
      <c r="O1106" s="31">
        <v>34</v>
      </c>
      <c r="P1106" s="31">
        <f>O1106+(N1106*O1106)</f>
        <v>32.299999999999997</v>
      </c>
      <c r="Q1106" s="232">
        <f t="shared" si="580"/>
        <v>8.0749999999999993</v>
      </c>
      <c r="R1106" s="40">
        <v>0.85</v>
      </c>
      <c r="S1106" s="334">
        <f t="shared" si="581"/>
        <v>6.8637499999999996</v>
      </c>
      <c r="T1106" s="31">
        <f>VLOOKUP(A1106,'Ansvar kurs'!$A$1:$C$1010,2,FALSE)</f>
        <v>2193</v>
      </c>
      <c r="U1106" s="31" t="str">
        <f>VLOOKUP(T1106,Orgenheter!$A$1:$C$165,2,FALSE)</f>
        <v xml:space="preserve">TUV </v>
      </c>
      <c r="V1106" s="31" t="str">
        <f>VLOOKUP(T1106,Orgenheter!$A$1:$C$165,3,FALSE)</f>
        <v>Sam</v>
      </c>
      <c r="W1106" s="37" t="str">
        <f>VLOOKUP(D1106,Program!$A$1:$B$34,2,FALSE)</f>
        <v>Specialpedagogprogrammet</v>
      </c>
      <c r="X1106" s="42">
        <f>VLOOKUP(A1106,kurspris!$A$1:$Q$798,15,FALSE)</f>
        <v>34144.199999999997</v>
      </c>
      <c r="Y1106" s="42">
        <f>VLOOKUP(A1106,kurspris!$A$1:$Q$798,16,FALSE)</f>
        <v>33557.800000000003</v>
      </c>
      <c r="Z1106" s="42">
        <f t="shared" si="582"/>
        <v>506046.76474999997</v>
      </c>
      <c r="AA1106" s="42">
        <f>VLOOKUP(A1106,kurspris!$A$1:$Q$798,17,FALSE)</f>
        <v>5800</v>
      </c>
      <c r="AB1106" s="42">
        <f t="shared" si="583"/>
        <v>46834.999999999993</v>
      </c>
      <c r="AC1106" s="42">
        <f t="shared" si="584"/>
        <v>552881.76474999997</v>
      </c>
      <c r="AD1106" s="31">
        <f>VLOOKUP($A1106,kurspris!$A$1:$Q$835,3,FALSE)</f>
        <v>0</v>
      </c>
      <c r="AE1106" s="31">
        <f>VLOOKUP($A1106,kurspris!$A$1:$Q$835,4,FALSE)</f>
        <v>0</v>
      </c>
      <c r="AF1106" s="31">
        <f>VLOOKUP($A1106,kurspris!$A$1:$Q$835,5,FALSE)</f>
        <v>0</v>
      </c>
      <c r="AG1106" s="31">
        <f>VLOOKUP($A1106,kurspris!$A$1:$Q$835,6,FALSE)</f>
        <v>0</v>
      </c>
      <c r="AH1106" s="31">
        <f>VLOOKUP($A1106,kurspris!$A$1:$Q$835,7,FALSE)</f>
        <v>0</v>
      </c>
      <c r="AI1106" s="31">
        <f>VLOOKUP($A1106,kurspris!$A$1:$Q$835,8,FALSE)</f>
        <v>0</v>
      </c>
      <c r="AJ1106" s="31">
        <f>VLOOKUP($A1106,kurspris!$A$1:$Q$835,9,FALSE)</f>
        <v>0.2</v>
      </c>
      <c r="AK1106" s="31">
        <f>VLOOKUP($A1106,kurspris!$A$1:$Q$835,10,FALSE)</f>
        <v>0</v>
      </c>
      <c r="AL1106" s="31">
        <f>VLOOKUP($A1106,kurspris!$A$1:$Q$835,11,FALSE)</f>
        <v>0</v>
      </c>
      <c r="AM1106" s="31">
        <f>VLOOKUP($A1106,kurspris!$A$1:$Q$835,12,FALSE)</f>
        <v>0</v>
      </c>
      <c r="AN1106" s="31">
        <f>VLOOKUP($A1106,kurspris!$A$1:$Q$835,13,FALSE)</f>
        <v>0</v>
      </c>
      <c r="AO1106" s="31">
        <f>VLOOKUP($A1106,kurspris!$A$1:$Q$835,14,FALSE)</f>
        <v>0.8</v>
      </c>
      <c r="AP1106" s="39" t="s">
        <v>1631</v>
      </c>
      <c r="AQ1106"/>
      <c r="AR1106" s="31">
        <f t="shared" si="585"/>
        <v>0</v>
      </c>
      <c r="AS1106" s="255">
        <f t="shared" si="586"/>
        <v>0</v>
      </c>
      <c r="AT1106" s="31">
        <f t="shared" si="587"/>
        <v>0</v>
      </c>
      <c r="AU1106" s="255">
        <f t="shared" si="588"/>
        <v>0</v>
      </c>
      <c r="AV1106" s="31">
        <f t="shared" si="589"/>
        <v>0</v>
      </c>
      <c r="AW1106" s="31">
        <f t="shared" si="590"/>
        <v>0</v>
      </c>
      <c r="AX1106" s="31">
        <f t="shared" si="591"/>
        <v>0</v>
      </c>
      <c r="AY1106" s="255">
        <f t="shared" si="592"/>
        <v>0</v>
      </c>
      <c r="AZ1106" s="232">
        <f t="shared" si="593"/>
        <v>0</v>
      </c>
      <c r="BA1106" s="255">
        <f t="shared" si="594"/>
        <v>0</v>
      </c>
      <c r="BB1106" s="31">
        <f t="shared" si="595"/>
        <v>0</v>
      </c>
      <c r="BC1106" s="255">
        <f t="shared" si="596"/>
        <v>0</v>
      </c>
      <c r="BD1106" s="31">
        <f t="shared" si="597"/>
        <v>1.615</v>
      </c>
      <c r="BE1106" s="255">
        <f t="shared" si="598"/>
        <v>1.3727499999999999</v>
      </c>
      <c r="BF1106" s="31">
        <f t="shared" si="599"/>
        <v>0</v>
      </c>
      <c r="BG1106" s="255">
        <f t="shared" si="600"/>
        <v>0</v>
      </c>
      <c r="BH1106" s="31">
        <f t="shared" si="601"/>
        <v>0</v>
      </c>
      <c r="BI1106" s="255">
        <f t="shared" si="602"/>
        <v>0</v>
      </c>
      <c r="BJ1106" s="31">
        <f t="shared" si="603"/>
        <v>0</v>
      </c>
      <c r="BK1106" s="31">
        <f t="shared" si="604"/>
        <v>0</v>
      </c>
      <c r="BL1106" s="255">
        <f t="shared" si="605"/>
        <v>0</v>
      </c>
      <c r="BM1106" s="31">
        <f t="shared" si="606"/>
        <v>6.46</v>
      </c>
      <c r="BN1106" s="255">
        <f t="shared" si="607"/>
        <v>5.4909999999999997</v>
      </c>
    </row>
    <row r="1107" spans="1:66" x14ac:dyDescent="0.25">
      <c r="A1107" s="18" t="s">
        <v>1946</v>
      </c>
      <c r="B1107" s="186" t="str">
        <f>VLOOKUP(A1107,kurspris!$A$1:$B$877,2,FALSE)</f>
        <v>Speciallärarens och specialpedagogens yrkesfunktion</v>
      </c>
      <c r="C1107" s="37"/>
      <c r="D1107" s="31" t="s">
        <v>115</v>
      </c>
      <c r="E1107" s="31" t="s">
        <v>2264</v>
      </c>
      <c r="F1107" s="59" t="s">
        <v>1931</v>
      </c>
      <c r="G1107" s="31" t="s">
        <v>2281</v>
      </c>
      <c r="J1107" t="s">
        <v>2165</v>
      </c>
      <c r="L1107" s="31">
        <v>100</v>
      </c>
      <c r="M1107" s="31">
        <v>15</v>
      </c>
      <c r="P1107" s="31">
        <v>2</v>
      </c>
      <c r="Q1107" s="232">
        <f t="shared" si="580"/>
        <v>0.5</v>
      </c>
      <c r="R1107" s="40">
        <v>0.85</v>
      </c>
      <c r="S1107" s="334">
        <f t="shared" si="581"/>
        <v>0.42499999999999999</v>
      </c>
      <c r="T1107" s="31">
        <f>VLOOKUP(A1107,'Ansvar kurs'!$A$1:$C$1010,2,FALSE)</f>
        <v>2193</v>
      </c>
      <c r="U1107" s="31" t="str">
        <f>VLOOKUP(T1107,Orgenheter!$A$1:$C$165,2,FALSE)</f>
        <v xml:space="preserve">TUV </v>
      </c>
      <c r="V1107" s="31" t="str">
        <f>VLOOKUP(T1107,Orgenheter!$A$1:$C$165,3,FALSE)</f>
        <v>Sam</v>
      </c>
      <c r="W1107" s="37" t="str">
        <f>VLOOKUP(D1107,Program!$A$1:$B$34,2,FALSE)</f>
        <v>Speciallärarprogrammet</v>
      </c>
      <c r="X1107" s="42">
        <f>VLOOKUP(A1107,kurspris!$A$1:$Q$798,15,FALSE)</f>
        <v>34144.199999999997</v>
      </c>
      <c r="Y1107" s="42">
        <f>VLOOKUP(A1107,kurspris!$A$1:$Q$798,16,FALSE)</f>
        <v>33557.800000000003</v>
      </c>
      <c r="Z1107" s="42">
        <f t="shared" si="582"/>
        <v>31334.165000000001</v>
      </c>
      <c r="AA1107" s="42">
        <f>VLOOKUP(A1107,kurspris!$A$1:$Q$798,17,FALSE)</f>
        <v>5800</v>
      </c>
      <c r="AB1107" s="42">
        <f t="shared" si="583"/>
        <v>2900</v>
      </c>
      <c r="AC1107" s="42">
        <f t="shared" si="584"/>
        <v>34234.165000000001</v>
      </c>
      <c r="AD1107" s="31">
        <f>VLOOKUP($A1107,kurspris!$A$1:$Q$835,3,FALSE)</f>
        <v>0</v>
      </c>
      <c r="AE1107" s="31">
        <f>VLOOKUP($A1107,kurspris!$A$1:$Q$835,4,FALSE)</f>
        <v>0</v>
      </c>
      <c r="AF1107" s="31">
        <f>VLOOKUP($A1107,kurspris!$A$1:$Q$835,5,FALSE)</f>
        <v>0</v>
      </c>
      <c r="AG1107" s="31">
        <f>VLOOKUP($A1107,kurspris!$A$1:$Q$835,6,FALSE)</f>
        <v>0</v>
      </c>
      <c r="AH1107" s="31">
        <f>VLOOKUP($A1107,kurspris!$A$1:$Q$835,7,FALSE)</f>
        <v>0</v>
      </c>
      <c r="AI1107" s="31">
        <f>VLOOKUP($A1107,kurspris!$A$1:$Q$835,8,FALSE)</f>
        <v>0</v>
      </c>
      <c r="AJ1107" s="31">
        <f>VLOOKUP($A1107,kurspris!$A$1:$Q$835,9,FALSE)</f>
        <v>0.2</v>
      </c>
      <c r="AK1107" s="31">
        <f>VLOOKUP($A1107,kurspris!$A$1:$Q$835,10,FALSE)</f>
        <v>0</v>
      </c>
      <c r="AL1107" s="31">
        <f>VLOOKUP($A1107,kurspris!$A$1:$Q$835,11,FALSE)</f>
        <v>0</v>
      </c>
      <c r="AM1107" s="31">
        <f>VLOOKUP($A1107,kurspris!$A$1:$Q$835,12,FALSE)</f>
        <v>0</v>
      </c>
      <c r="AN1107" s="31">
        <f>VLOOKUP($A1107,kurspris!$A$1:$Q$835,13,FALSE)</f>
        <v>0</v>
      </c>
      <c r="AO1107" s="31">
        <f>VLOOKUP($A1107,kurspris!$A$1:$Q$835,14,FALSE)</f>
        <v>0.8</v>
      </c>
      <c r="AP1107" s="39" t="s">
        <v>2326</v>
      </c>
      <c r="AQ1107"/>
      <c r="AR1107" s="31">
        <f t="shared" si="585"/>
        <v>0</v>
      </c>
      <c r="AS1107" s="255">
        <f t="shared" si="586"/>
        <v>0</v>
      </c>
      <c r="AT1107" s="31">
        <f t="shared" si="587"/>
        <v>0</v>
      </c>
      <c r="AU1107" s="255">
        <f t="shared" si="588"/>
        <v>0</v>
      </c>
      <c r="AV1107" s="31">
        <f t="shared" si="589"/>
        <v>0</v>
      </c>
      <c r="AW1107" s="31">
        <f t="shared" si="590"/>
        <v>0</v>
      </c>
      <c r="AX1107" s="31">
        <f t="shared" si="591"/>
        <v>0</v>
      </c>
      <c r="AY1107" s="255">
        <f t="shared" si="592"/>
        <v>0</v>
      </c>
      <c r="AZ1107" s="232">
        <f t="shared" si="593"/>
        <v>0</v>
      </c>
      <c r="BA1107" s="255">
        <f t="shared" si="594"/>
        <v>0</v>
      </c>
      <c r="BB1107" s="31">
        <f t="shared" si="595"/>
        <v>0</v>
      </c>
      <c r="BC1107" s="255">
        <f t="shared" si="596"/>
        <v>0</v>
      </c>
      <c r="BD1107" s="31">
        <f t="shared" si="597"/>
        <v>0.1</v>
      </c>
      <c r="BE1107" s="255">
        <f t="shared" si="598"/>
        <v>8.5000000000000006E-2</v>
      </c>
      <c r="BF1107" s="31">
        <f t="shared" si="599"/>
        <v>0</v>
      </c>
      <c r="BG1107" s="255">
        <f t="shared" si="600"/>
        <v>0</v>
      </c>
      <c r="BH1107" s="31">
        <f t="shared" si="601"/>
        <v>0</v>
      </c>
      <c r="BI1107" s="255">
        <f t="shared" si="602"/>
        <v>0</v>
      </c>
      <c r="BJ1107" s="31">
        <f t="shared" si="603"/>
        <v>0</v>
      </c>
      <c r="BK1107" s="31">
        <f t="shared" si="604"/>
        <v>0</v>
      </c>
      <c r="BL1107" s="255">
        <f t="shared" si="605"/>
        <v>0</v>
      </c>
      <c r="BM1107" s="31">
        <f t="shared" si="606"/>
        <v>0.4</v>
      </c>
      <c r="BN1107" s="255">
        <f t="shared" si="607"/>
        <v>0.34</v>
      </c>
    </row>
    <row r="1108" spans="1:66" x14ac:dyDescent="0.25">
      <c r="A1108" s="18" t="s">
        <v>1946</v>
      </c>
      <c r="B1108" s="186" t="str">
        <f>VLOOKUP(A1108,kurspris!$A$1:$B$877,2,FALSE)</f>
        <v>Speciallärarens och specialpedagogens yrkesfunktion</v>
      </c>
      <c r="C1108" s="37"/>
      <c r="D1108" s="31" t="s">
        <v>115</v>
      </c>
      <c r="E1108" s="31" t="s">
        <v>2264</v>
      </c>
      <c r="F1108" s="59" t="s">
        <v>1931</v>
      </c>
      <c r="G1108" s="31" t="s">
        <v>2281</v>
      </c>
      <c r="J1108" t="s">
        <v>1812</v>
      </c>
      <c r="L1108" s="31">
        <v>100</v>
      </c>
      <c r="M1108" s="31">
        <v>15</v>
      </c>
      <c r="P1108" s="31">
        <v>1</v>
      </c>
      <c r="Q1108" s="232">
        <f t="shared" si="580"/>
        <v>0.25</v>
      </c>
      <c r="R1108" s="40">
        <v>0.85</v>
      </c>
      <c r="S1108" s="334">
        <f t="shared" si="581"/>
        <v>0.21249999999999999</v>
      </c>
      <c r="T1108" s="31">
        <f>VLOOKUP(A1108,'Ansvar kurs'!$A$1:$C$1010,2,FALSE)</f>
        <v>2193</v>
      </c>
      <c r="U1108" s="31" t="str">
        <f>VLOOKUP(T1108,Orgenheter!$A$1:$C$165,2,FALSE)</f>
        <v xml:space="preserve">TUV </v>
      </c>
      <c r="V1108" s="31" t="str">
        <f>VLOOKUP(T1108,Orgenheter!$A$1:$C$165,3,FALSE)</f>
        <v>Sam</v>
      </c>
      <c r="W1108" s="37" t="str">
        <f>VLOOKUP(D1108,Program!$A$1:$B$34,2,FALSE)</f>
        <v>Speciallärarprogrammet</v>
      </c>
      <c r="X1108" s="42">
        <f>VLOOKUP(A1108,kurspris!$A$1:$Q$798,15,FALSE)</f>
        <v>34144.199999999997</v>
      </c>
      <c r="Y1108" s="42">
        <f>VLOOKUP(A1108,kurspris!$A$1:$Q$798,16,FALSE)</f>
        <v>33557.800000000003</v>
      </c>
      <c r="Z1108" s="42">
        <f t="shared" si="582"/>
        <v>15667.0825</v>
      </c>
      <c r="AA1108" s="42">
        <f>VLOOKUP(A1108,kurspris!$A$1:$Q$798,17,FALSE)</f>
        <v>5800</v>
      </c>
      <c r="AB1108" s="42">
        <f t="shared" si="583"/>
        <v>1450</v>
      </c>
      <c r="AC1108" s="42">
        <f t="shared" si="584"/>
        <v>17117.0825</v>
      </c>
      <c r="AD1108" s="31">
        <f>VLOOKUP($A1108,kurspris!$A$1:$Q$835,3,FALSE)</f>
        <v>0</v>
      </c>
      <c r="AE1108" s="31">
        <f>VLOOKUP($A1108,kurspris!$A$1:$Q$835,4,FALSE)</f>
        <v>0</v>
      </c>
      <c r="AF1108" s="31">
        <f>VLOOKUP($A1108,kurspris!$A$1:$Q$835,5,FALSE)</f>
        <v>0</v>
      </c>
      <c r="AG1108" s="31">
        <f>VLOOKUP($A1108,kurspris!$A$1:$Q$835,6,FALSE)</f>
        <v>0</v>
      </c>
      <c r="AH1108" s="31">
        <f>VLOOKUP($A1108,kurspris!$A$1:$Q$835,7,FALSE)</f>
        <v>0</v>
      </c>
      <c r="AI1108" s="31">
        <f>VLOOKUP($A1108,kurspris!$A$1:$Q$835,8,FALSE)</f>
        <v>0</v>
      </c>
      <c r="AJ1108" s="31">
        <f>VLOOKUP($A1108,kurspris!$A$1:$Q$835,9,FALSE)</f>
        <v>0.2</v>
      </c>
      <c r="AK1108" s="31">
        <f>VLOOKUP($A1108,kurspris!$A$1:$Q$835,10,FALSE)</f>
        <v>0</v>
      </c>
      <c r="AL1108" s="31">
        <f>VLOOKUP($A1108,kurspris!$A$1:$Q$835,11,FALSE)</f>
        <v>0</v>
      </c>
      <c r="AM1108" s="31">
        <f>VLOOKUP($A1108,kurspris!$A$1:$Q$835,12,FALSE)</f>
        <v>0</v>
      </c>
      <c r="AN1108" s="31">
        <f>VLOOKUP($A1108,kurspris!$A$1:$Q$835,13,FALSE)</f>
        <v>0</v>
      </c>
      <c r="AO1108" s="31">
        <f>VLOOKUP($A1108,kurspris!$A$1:$Q$835,14,FALSE)</f>
        <v>0.8</v>
      </c>
      <c r="AP1108" s="39" t="s">
        <v>2326</v>
      </c>
      <c r="AQ1108"/>
      <c r="AR1108" s="31">
        <f t="shared" si="585"/>
        <v>0</v>
      </c>
      <c r="AS1108" s="255">
        <f t="shared" si="586"/>
        <v>0</v>
      </c>
      <c r="AT1108" s="31">
        <f t="shared" si="587"/>
        <v>0</v>
      </c>
      <c r="AU1108" s="255">
        <f t="shared" si="588"/>
        <v>0</v>
      </c>
      <c r="AV1108" s="31">
        <f t="shared" si="589"/>
        <v>0</v>
      </c>
      <c r="AW1108" s="31">
        <f t="shared" si="590"/>
        <v>0</v>
      </c>
      <c r="AX1108" s="31">
        <f t="shared" si="591"/>
        <v>0</v>
      </c>
      <c r="AY1108" s="255">
        <f t="shared" si="592"/>
        <v>0</v>
      </c>
      <c r="AZ1108" s="232">
        <f t="shared" si="593"/>
        <v>0</v>
      </c>
      <c r="BA1108" s="255">
        <f t="shared" si="594"/>
        <v>0</v>
      </c>
      <c r="BB1108" s="31">
        <f t="shared" si="595"/>
        <v>0</v>
      </c>
      <c r="BC1108" s="255">
        <f t="shared" si="596"/>
        <v>0</v>
      </c>
      <c r="BD1108" s="31">
        <f t="shared" si="597"/>
        <v>0.05</v>
      </c>
      <c r="BE1108" s="255">
        <f t="shared" si="598"/>
        <v>4.2500000000000003E-2</v>
      </c>
      <c r="BF1108" s="31">
        <f t="shared" si="599"/>
        <v>0</v>
      </c>
      <c r="BG1108" s="255">
        <f t="shared" si="600"/>
        <v>0</v>
      </c>
      <c r="BH1108" s="31">
        <f t="shared" si="601"/>
        <v>0</v>
      </c>
      <c r="BI1108" s="255">
        <f t="shared" si="602"/>
        <v>0</v>
      </c>
      <c r="BJ1108" s="31">
        <f t="shared" si="603"/>
        <v>0</v>
      </c>
      <c r="BK1108" s="31">
        <f t="shared" si="604"/>
        <v>0</v>
      </c>
      <c r="BL1108" s="255">
        <f t="shared" si="605"/>
        <v>0</v>
      </c>
      <c r="BM1108" s="31">
        <f t="shared" si="606"/>
        <v>0.2</v>
      </c>
      <c r="BN1108" s="255">
        <f t="shared" si="607"/>
        <v>0.17</v>
      </c>
    </row>
    <row r="1109" spans="1:66" x14ac:dyDescent="0.25">
      <c r="A1109" s="18" t="s">
        <v>1946</v>
      </c>
      <c r="B1109" s="186" t="str">
        <f>VLOOKUP(A1109,kurspris!$A$1:$B$877,2,FALSE)</f>
        <v>Speciallärarens och specialpedagogens yrkesfunktion</v>
      </c>
      <c r="C1109" s="37"/>
      <c r="D1109" s="31" t="s">
        <v>115</v>
      </c>
      <c r="E1109" s="31" t="s">
        <v>1931</v>
      </c>
      <c r="F1109" s="59" t="s">
        <v>1931</v>
      </c>
      <c r="G1109" s="31" t="s">
        <v>2281</v>
      </c>
      <c r="J1109" t="s">
        <v>2163</v>
      </c>
      <c r="L1109" s="31">
        <v>100</v>
      </c>
      <c r="M1109" s="31">
        <v>15</v>
      </c>
      <c r="P1109" s="31">
        <v>15</v>
      </c>
      <c r="Q1109" s="232">
        <f t="shared" si="580"/>
        <v>3.75</v>
      </c>
      <c r="R1109" s="40">
        <v>0.85</v>
      </c>
      <c r="S1109" s="334">
        <f t="shared" si="581"/>
        <v>3.1875</v>
      </c>
      <c r="T1109" s="31">
        <f>VLOOKUP(A1109,'Ansvar kurs'!$A$1:$C$1010,2,FALSE)</f>
        <v>2193</v>
      </c>
      <c r="U1109" s="31" t="str">
        <f>VLOOKUP(T1109,Orgenheter!$A$1:$C$165,2,FALSE)</f>
        <v xml:space="preserve">TUV </v>
      </c>
      <c r="V1109" s="31" t="str">
        <f>VLOOKUP(T1109,Orgenheter!$A$1:$C$165,3,FALSE)</f>
        <v>Sam</v>
      </c>
      <c r="W1109" s="37" t="str">
        <f>VLOOKUP(D1109,Program!$A$1:$B$34,2,FALSE)</f>
        <v>Speciallärarprogrammet</v>
      </c>
      <c r="X1109" s="42">
        <f>VLOOKUP(A1109,kurspris!$A$1:$Q$798,15,FALSE)</f>
        <v>34144.199999999997</v>
      </c>
      <c r="Y1109" s="42">
        <f>VLOOKUP(A1109,kurspris!$A$1:$Q$798,16,FALSE)</f>
        <v>33557.800000000003</v>
      </c>
      <c r="Z1109" s="42">
        <f t="shared" si="582"/>
        <v>235006.23749999999</v>
      </c>
      <c r="AA1109" s="42">
        <f>VLOOKUP(A1109,kurspris!$A$1:$Q$798,17,FALSE)</f>
        <v>5800</v>
      </c>
      <c r="AB1109" s="42">
        <f t="shared" si="583"/>
        <v>21750</v>
      </c>
      <c r="AC1109" s="42">
        <f t="shared" si="584"/>
        <v>256756.23749999999</v>
      </c>
      <c r="AD1109" s="31">
        <f>VLOOKUP($A1109,kurspris!$A$1:$Q$835,3,FALSE)</f>
        <v>0</v>
      </c>
      <c r="AE1109" s="31">
        <f>VLOOKUP($A1109,kurspris!$A$1:$Q$835,4,FALSE)</f>
        <v>0</v>
      </c>
      <c r="AF1109" s="31">
        <f>VLOOKUP($A1109,kurspris!$A$1:$Q$835,5,FALSE)</f>
        <v>0</v>
      </c>
      <c r="AG1109" s="31">
        <f>VLOOKUP($A1109,kurspris!$A$1:$Q$835,6,FALSE)</f>
        <v>0</v>
      </c>
      <c r="AH1109" s="31">
        <f>VLOOKUP($A1109,kurspris!$A$1:$Q$835,7,FALSE)</f>
        <v>0</v>
      </c>
      <c r="AI1109" s="31">
        <f>VLOOKUP($A1109,kurspris!$A$1:$Q$835,8,FALSE)</f>
        <v>0</v>
      </c>
      <c r="AJ1109" s="31">
        <f>VLOOKUP($A1109,kurspris!$A$1:$Q$835,9,FALSE)</f>
        <v>0.2</v>
      </c>
      <c r="AK1109" s="31">
        <f>VLOOKUP($A1109,kurspris!$A$1:$Q$835,10,FALSE)</f>
        <v>0</v>
      </c>
      <c r="AL1109" s="31">
        <f>VLOOKUP($A1109,kurspris!$A$1:$Q$835,11,FALSE)</f>
        <v>0</v>
      </c>
      <c r="AM1109" s="31">
        <f>VLOOKUP($A1109,kurspris!$A$1:$Q$835,12,FALSE)</f>
        <v>0</v>
      </c>
      <c r="AN1109" s="31">
        <f>VLOOKUP($A1109,kurspris!$A$1:$Q$835,13,FALSE)</f>
        <v>0</v>
      </c>
      <c r="AO1109" s="31">
        <f>VLOOKUP($A1109,kurspris!$A$1:$Q$835,14,FALSE)</f>
        <v>0.8</v>
      </c>
      <c r="AP1109" s="39" t="s">
        <v>2326</v>
      </c>
      <c r="AQ1109"/>
      <c r="AR1109" s="31">
        <f t="shared" si="585"/>
        <v>0</v>
      </c>
      <c r="AS1109" s="255">
        <f t="shared" si="586"/>
        <v>0</v>
      </c>
      <c r="AT1109" s="31">
        <f t="shared" si="587"/>
        <v>0</v>
      </c>
      <c r="AU1109" s="255">
        <f t="shared" si="588"/>
        <v>0</v>
      </c>
      <c r="AV1109" s="31">
        <f t="shared" si="589"/>
        <v>0</v>
      </c>
      <c r="AW1109" s="31">
        <f t="shared" si="590"/>
        <v>0</v>
      </c>
      <c r="AX1109" s="31">
        <f t="shared" si="591"/>
        <v>0</v>
      </c>
      <c r="AY1109" s="255">
        <f t="shared" si="592"/>
        <v>0</v>
      </c>
      <c r="AZ1109" s="232">
        <f t="shared" si="593"/>
        <v>0</v>
      </c>
      <c r="BA1109" s="255">
        <f t="shared" si="594"/>
        <v>0</v>
      </c>
      <c r="BB1109" s="31">
        <f t="shared" si="595"/>
        <v>0</v>
      </c>
      <c r="BC1109" s="255">
        <f t="shared" si="596"/>
        <v>0</v>
      </c>
      <c r="BD1109" s="31">
        <f t="shared" si="597"/>
        <v>0.75</v>
      </c>
      <c r="BE1109" s="255">
        <f t="shared" si="598"/>
        <v>0.63750000000000007</v>
      </c>
      <c r="BF1109" s="31">
        <f t="shared" si="599"/>
        <v>0</v>
      </c>
      <c r="BG1109" s="255">
        <f t="shared" si="600"/>
        <v>0</v>
      </c>
      <c r="BH1109" s="31">
        <f t="shared" si="601"/>
        <v>0</v>
      </c>
      <c r="BI1109" s="255">
        <f t="shared" si="602"/>
        <v>0</v>
      </c>
      <c r="BJ1109" s="31">
        <f t="shared" si="603"/>
        <v>0</v>
      </c>
      <c r="BK1109" s="31">
        <f t="shared" si="604"/>
        <v>0</v>
      </c>
      <c r="BL1109" s="255">
        <f t="shared" si="605"/>
        <v>0</v>
      </c>
      <c r="BM1109" s="31">
        <f t="shared" si="606"/>
        <v>3</v>
      </c>
      <c r="BN1109" s="255">
        <f t="shared" si="607"/>
        <v>2.5500000000000003</v>
      </c>
    </row>
    <row r="1110" spans="1:66" x14ac:dyDescent="0.25">
      <c r="A1110" s="18" t="s">
        <v>1946</v>
      </c>
      <c r="B1110" s="186" t="str">
        <f>VLOOKUP(A1110,kurspris!$A$1:$B$877,2,FALSE)</f>
        <v>Speciallärarens och specialpedagogens yrkesfunktion</v>
      </c>
      <c r="C1110" s="37"/>
      <c r="D1110" s="31" t="s">
        <v>115</v>
      </c>
      <c r="E1110" s="31" t="s">
        <v>1931</v>
      </c>
      <c r="F1110" s="59" t="s">
        <v>1931</v>
      </c>
      <c r="G1110" s="31" t="s">
        <v>2281</v>
      </c>
      <c r="J1110" t="s">
        <v>2165</v>
      </c>
      <c r="L1110" s="31">
        <v>100</v>
      </c>
      <c r="M1110" s="31">
        <v>15</v>
      </c>
      <c r="P1110" s="31">
        <v>15</v>
      </c>
      <c r="Q1110" s="232">
        <f t="shared" si="580"/>
        <v>3.75</v>
      </c>
      <c r="R1110" s="40">
        <v>0.85</v>
      </c>
      <c r="S1110" s="334">
        <f t="shared" si="581"/>
        <v>3.1875</v>
      </c>
      <c r="T1110" s="31">
        <f>VLOOKUP(A1110,'Ansvar kurs'!$A$1:$C$1010,2,FALSE)</f>
        <v>2193</v>
      </c>
      <c r="U1110" s="31" t="str">
        <f>VLOOKUP(T1110,Orgenheter!$A$1:$C$165,2,FALSE)</f>
        <v xml:space="preserve">TUV </v>
      </c>
      <c r="V1110" s="31" t="str">
        <f>VLOOKUP(T1110,Orgenheter!$A$1:$C$165,3,FALSE)</f>
        <v>Sam</v>
      </c>
      <c r="W1110" s="37" t="str">
        <f>VLOOKUP(D1110,Program!$A$1:$B$34,2,FALSE)</f>
        <v>Speciallärarprogrammet</v>
      </c>
      <c r="X1110" s="42">
        <f>VLOOKUP(A1110,kurspris!$A$1:$Q$798,15,FALSE)</f>
        <v>34144.199999999997</v>
      </c>
      <c r="Y1110" s="42">
        <f>VLOOKUP(A1110,kurspris!$A$1:$Q$798,16,FALSE)</f>
        <v>33557.800000000003</v>
      </c>
      <c r="Z1110" s="42">
        <f t="shared" si="582"/>
        <v>235006.23749999999</v>
      </c>
      <c r="AA1110" s="42">
        <f>VLOOKUP(A1110,kurspris!$A$1:$Q$798,17,FALSE)</f>
        <v>5800</v>
      </c>
      <c r="AB1110" s="42">
        <f t="shared" si="583"/>
        <v>21750</v>
      </c>
      <c r="AC1110" s="42">
        <f t="shared" si="584"/>
        <v>256756.23749999999</v>
      </c>
      <c r="AD1110" s="31">
        <f>VLOOKUP($A1110,kurspris!$A$1:$Q$835,3,FALSE)</f>
        <v>0</v>
      </c>
      <c r="AE1110" s="31">
        <f>VLOOKUP($A1110,kurspris!$A$1:$Q$835,4,FALSE)</f>
        <v>0</v>
      </c>
      <c r="AF1110" s="31">
        <f>VLOOKUP($A1110,kurspris!$A$1:$Q$835,5,FALSE)</f>
        <v>0</v>
      </c>
      <c r="AG1110" s="31">
        <f>VLOOKUP($A1110,kurspris!$A$1:$Q$835,6,FALSE)</f>
        <v>0</v>
      </c>
      <c r="AH1110" s="31">
        <f>VLOOKUP($A1110,kurspris!$A$1:$Q$835,7,FALSE)</f>
        <v>0</v>
      </c>
      <c r="AI1110" s="31">
        <f>VLOOKUP($A1110,kurspris!$A$1:$Q$835,8,FALSE)</f>
        <v>0</v>
      </c>
      <c r="AJ1110" s="31">
        <f>VLOOKUP($A1110,kurspris!$A$1:$Q$835,9,FALSE)</f>
        <v>0.2</v>
      </c>
      <c r="AK1110" s="31">
        <f>VLOOKUP($A1110,kurspris!$A$1:$Q$835,10,FALSE)</f>
        <v>0</v>
      </c>
      <c r="AL1110" s="31">
        <f>VLOOKUP($A1110,kurspris!$A$1:$Q$835,11,FALSE)</f>
        <v>0</v>
      </c>
      <c r="AM1110" s="31">
        <f>VLOOKUP($A1110,kurspris!$A$1:$Q$835,12,FALSE)</f>
        <v>0</v>
      </c>
      <c r="AN1110" s="31">
        <f>VLOOKUP($A1110,kurspris!$A$1:$Q$835,13,FALSE)</f>
        <v>0</v>
      </c>
      <c r="AO1110" s="31">
        <f>VLOOKUP($A1110,kurspris!$A$1:$Q$835,14,FALSE)</f>
        <v>0.8</v>
      </c>
      <c r="AP1110" s="39" t="s">
        <v>2326</v>
      </c>
      <c r="AQ1110"/>
      <c r="AR1110" s="31">
        <f t="shared" si="585"/>
        <v>0</v>
      </c>
      <c r="AS1110" s="255">
        <f t="shared" si="586"/>
        <v>0</v>
      </c>
      <c r="AT1110" s="31">
        <f t="shared" si="587"/>
        <v>0</v>
      </c>
      <c r="AU1110" s="255">
        <f t="shared" si="588"/>
        <v>0</v>
      </c>
      <c r="AV1110" s="31">
        <f t="shared" si="589"/>
        <v>0</v>
      </c>
      <c r="AW1110" s="31">
        <f t="shared" si="590"/>
        <v>0</v>
      </c>
      <c r="AX1110" s="31">
        <f t="shared" si="591"/>
        <v>0</v>
      </c>
      <c r="AY1110" s="255">
        <f t="shared" si="592"/>
        <v>0</v>
      </c>
      <c r="AZ1110" s="232">
        <f t="shared" si="593"/>
        <v>0</v>
      </c>
      <c r="BA1110" s="255">
        <f t="shared" si="594"/>
        <v>0</v>
      </c>
      <c r="BB1110" s="31">
        <f t="shared" si="595"/>
        <v>0</v>
      </c>
      <c r="BC1110" s="255">
        <f t="shared" si="596"/>
        <v>0</v>
      </c>
      <c r="BD1110" s="31">
        <f t="shared" si="597"/>
        <v>0.75</v>
      </c>
      <c r="BE1110" s="255">
        <f t="shared" si="598"/>
        <v>0.63750000000000007</v>
      </c>
      <c r="BF1110" s="31">
        <f t="shared" si="599"/>
        <v>0</v>
      </c>
      <c r="BG1110" s="255">
        <f t="shared" si="600"/>
        <v>0</v>
      </c>
      <c r="BH1110" s="31">
        <f t="shared" si="601"/>
        <v>0</v>
      </c>
      <c r="BI1110" s="255">
        <f t="shared" si="602"/>
        <v>0</v>
      </c>
      <c r="BJ1110" s="31">
        <f t="shared" si="603"/>
        <v>0</v>
      </c>
      <c r="BK1110" s="31">
        <f t="shared" si="604"/>
        <v>0</v>
      </c>
      <c r="BL1110" s="255">
        <f t="shared" si="605"/>
        <v>0</v>
      </c>
      <c r="BM1110" s="31">
        <f t="shared" si="606"/>
        <v>3</v>
      </c>
      <c r="BN1110" s="255">
        <f t="shared" si="607"/>
        <v>2.5500000000000003</v>
      </c>
    </row>
    <row r="1111" spans="1:66" x14ac:dyDescent="0.25">
      <c r="A1111" s="18" t="s">
        <v>1946</v>
      </c>
      <c r="B1111" s="186" t="str">
        <f>VLOOKUP(A1111,kurspris!$A$1:$B$877,2,FALSE)</f>
        <v>Speciallärarens och specialpedagogens yrkesfunktion</v>
      </c>
      <c r="C1111" s="37"/>
      <c r="D1111" s="31" t="s">
        <v>115</v>
      </c>
      <c r="E1111" s="31" t="s">
        <v>1931</v>
      </c>
      <c r="F1111" s="59" t="s">
        <v>1931</v>
      </c>
      <c r="G1111" s="31" t="s">
        <v>2281</v>
      </c>
      <c r="J1111" t="s">
        <v>1812</v>
      </c>
      <c r="L1111" s="31">
        <v>100</v>
      </c>
      <c r="M1111" s="31">
        <v>15</v>
      </c>
      <c r="P1111" s="31">
        <v>14</v>
      </c>
      <c r="Q1111" s="232">
        <f t="shared" si="580"/>
        <v>3.5</v>
      </c>
      <c r="R1111" s="40">
        <v>0.85</v>
      </c>
      <c r="S1111" s="334">
        <f t="shared" si="581"/>
        <v>2.9750000000000001</v>
      </c>
      <c r="T1111" s="31">
        <f>VLOOKUP(A1111,'Ansvar kurs'!$A$1:$C$1010,2,FALSE)</f>
        <v>2193</v>
      </c>
      <c r="U1111" s="31" t="str">
        <f>VLOOKUP(T1111,Orgenheter!$A$1:$C$165,2,FALSE)</f>
        <v xml:space="preserve">TUV </v>
      </c>
      <c r="V1111" s="31" t="str">
        <f>VLOOKUP(T1111,Orgenheter!$A$1:$C$165,3,FALSE)</f>
        <v>Sam</v>
      </c>
      <c r="W1111" s="37" t="str">
        <f>VLOOKUP(D1111,Program!$A$1:$B$34,2,FALSE)</f>
        <v>Speciallärarprogrammet</v>
      </c>
      <c r="X1111" s="42">
        <f>VLOOKUP(A1111,kurspris!$A$1:$Q$798,15,FALSE)</f>
        <v>34144.199999999997</v>
      </c>
      <c r="Y1111" s="42">
        <f>VLOOKUP(A1111,kurspris!$A$1:$Q$798,16,FALSE)</f>
        <v>33557.800000000003</v>
      </c>
      <c r="Z1111" s="42">
        <f t="shared" si="582"/>
        <v>219339.155</v>
      </c>
      <c r="AA1111" s="42">
        <f>VLOOKUP(A1111,kurspris!$A$1:$Q$798,17,FALSE)</f>
        <v>5800</v>
      </c>
      <c r="AB1111" s="42">
        <f t="shared" si="583"/>
        <v>20300</v>
      </c>
      <c r="AC1111" s="42">
        <f t="shared" si="584"/>
        <v>239639.155</v>
      </c>
      <c r="AD1111" s="31">
        <f>VLOOKUP($A1111,kurspris!$A$1:$Q$835,3,FALSE)</f>
        <v>0</v>
      </c>
      <c r="AE1111" s="31">
        <f>VLOOKUP($A1111,kurspris!$A$1:$Q$835,4,FALSE)</f>
        <v>0</v>
      </c>
      <c r="AF1111" s="31">
        <f>VLOOKUP($A1111,kurspris!$A$1:$Q$835,5,FALSE)</f>
        <v>0</v>
      </c>
      <c r="AG1111" s="31">
        <f>VLOOKUP($A1111,kurspris!$A$1:$Q$835,6,FALSE)</f>
        <v>0</v>
      </c>
      <c r="AH1111" s="31">
        <f>VLOOKUP($A1111,kurspris!$A$1:$Q$835,7,FALSE)</f>
        <v>0</v>
      </c>
      <c r="AI1111" s="31">
        <f>VLOOKUP($A1111,kurspris!$A$1:$Q$835,8,FALSE)</f>
        <v>0</v>
      </c>
      <c r="AJ1111" s="31">
        <f>VLOOKUP($A1111,kurspris!$A$1:$Q$835,9,FALSE)</f>
        <v>0.2</v>
      </c>
      <c r="AK1111" s="31">
        <f>VLOOKUP($A1111,kurspris!$A$1:$Q$835,10,FALSE)</f>
        <v>0</v>
      </c>
      <c r="AL1111" s="31">
        <f>VLOOKUP($A1111,kurspris!$A$1:$Q$835,11,FALSE)</f>
        <v>0</v>
      </c>
      <c r="AM1111" s="31">
        <f>VLOOKUP($A1111,kurspris!$A$1:$Q$835,12,FALSE)</f>
        <v>0</v>
      </c>
      <c r="AN1111" s="31">
        <f>VLOOKUP($A1111,kurspris!$A$1:$Q$835,13,FALSE)</f>
        <v>0</v>
      </c>
      <c r="AO1111" s="31">
        <f>VLOOKUP($A1111,kurspris!$A$1:$Q$835,14,FALSE)</f>
        <v>0.8</v>
      </c>
      <c r="AP1111" s="39" t="s">
        <v>2326</v>
      </c>
      <c r="AQ1111"/>
      <c r="AR1111" s="31">
        <f t="shared" si="585"/>
        <v>0</v>
      </c>
      <c r="AS1111" s="255">
        <f t="shared" si="586"/>
        <v>0</v>
      </c>
      <c r="AT1111" s="31">
        <f t="shared" si="587"/>
        <v>0</v>
      </c>
      <c r="AU1111" s="255">
        <f t="shared" si="588"/>
        <v>0</v>
      </c>
      <c r="AV1111" s="31">
        <f t="shared" si="589"/>
        <v>0</v>
      </c>
      <c r="AW1111" s="31">
        <f t="shared" si="590"/>
        <v>0</v>
      </c>
      <c r="AX1111" s="31">
        <f t="shared" si="591"/>
        <v>0</v>
      </c>
      <c r="AY1111" s="255">
        <f t="shared" si="592"/>
        <v>0</v>
      </c>
      <c r="AZ1111" s="232">
        <f t="shared" si="593"/>
        <v>0</v>
      </c>
      <c r="BA1111" s="255">
        <f t="shared" si="594"/>
        <v>0</v>
      </c>
      <c r="BB1111" s="31">
        <f t="shared" si="595"/>
        <v>0</v>
      </c>
      <c r="BC1111" s="255">
        <f t="shared" si="596"/>
        <v>0</v>
      </c>
      <c r="BD1111" s="31">
        <f t="shared" si="597"/>
        <v>0.70000000000000007</v>
      </c>
      <c r="BE1111" s="255">
        <f t="shared" si="598"/>
        <v>0.59500000000000008</v>
      </c>
      <c r="BF1111" s="31">
        <f t="shared" si="599"/>
        <v>0</v>
      </c>
      <c r="BG1111" s="255">
        <f t="shared" si="600"/>
        <v>0</v>
      </c>
      <c r="BH1111" s="31">
        <f t="shared" si="601"/>
        <v>0</v>
      </c>
      <c r="BI1111" s="255">
        <f t="shared" si="602"/>
        <v>0</v>
      </c>
      <c r="BJ1111" s="31">
        <f t="shared" si="603"/>
        <v>0</v>
      </c>
      <c r="BK1111" s="31">
        <f t="shared" si="604"/>
        <v>0</v>
      </c>
      <c r="BL1111" s="255">
        <f t="shared" si="605"/>
        <v>0</v>
      </c>
      <c r="BM1111" s="31">
        <f t="shared" si="606"/>
        <v>2.8000000000000003</v>
      </c>
      <c r="BN1111" s="255">
        <f t="shared" si="607"/>
        <v>2.3800000000000003</v>
      </c>
    </row>
    <row r="1112" spans="1:66" x14ac:dyDescent="0.25">
      <c r="A1112" s="18" t="s">
        <v>1946</v>
      </c>
      <c r="B1112" s="186" t="str">
        <f>VLOOKUP(A1112,kurspris!$A$1:$B$877,2,FALSE)</f>
        <v>Speciallärarens och specialpedagogens yrkesfunktion</v>
      </c>
      <c r="C1112" s="37"/>
      <c r="D1112" s="31" t="s">
        <v>115</v>
      </c>
      <c r="E1112" s="31" t="s">
        <v>2265</v>
      </c>
      <c r="F1112" s="59" t="s">
        <v>1931</v>
      </c>
      <c r="G1112" s="31" t="s">
        <v>2281</v>
      </c>
      <c r="J1112" t="s">
        <v>1812</v>
      </c>
      <c r="L1112" s="31">
        <v>100</v>
      </c>
      <c r="M1112" s="31">
        <v>15</v>
      </c>
      <c r="P1112" s="31">
        <v>1</v>
      </c>
      <c r="Q1112" s="232">
        <f t="shared" si="580"/>
        <v>0.25</v>
      </c>
      <c r="R1112" s="40">
        <v>0.85</v>
      </c>
      <c r="S1112" s="334">
        <f t="shared" si="581"/>
        <v>0.21249999999999999</v>
      </c>
      <c r="T1112" s="31">
        <f>VLOOKUP(A1112,'Ansvar kurs'!$A$1:$C$1010,2,FALSE)</f>
        <v>2193</v>
      </c>
      <c r="U1112" s="31" t="str">
        <f>VLOOKUP(T1112,Orgenheter!$A$1:$C$165,2,FALSE)</f>
        <v xml:space="preserve">TUV </v>
      </c>
      <c r="V1112" s="31" t="str">
        <f>VLOOKUP(T1112,Orgenheter!$A$1:$C$165,3,FALSE)</f>
        <v>Sam</v>
      </c>
      <c r="W1112" s="37" t="str">
        <f>VLOOKUP(D1112,Program!$A$1:$B$34,2,FALSE)</f>
        <v>Speciallärarprogrammet</v>
      </c>
      <c r="X1112" s="42">
        <f>VLOOKUP(A1112,kurspris!$A$1:$Q$798,15,FALSE)</f>
        <v>34144.199999999997</v>
      </c>
      <c r="Y1112" s="42">
        <f>VLOOKUP(A1112,kurspris!$A$1:$Q$798,16,FALSE)</f>
        <v>33557.800000000003</v>
      </c>
      <c r="Z1112" s="42">
        <f t="shared" si="582"/>
        <v>15667.0825</v>
      </c>
      <c r="AA1112" s="42">
        <f>VLOOKUP(A1112,kurspris!$A$1:$Q$798,17,FALSE)</f>
        <v>5800</v>
      </c>
      <c r="AB1112" s="42">
        <f t="shared" si="583"/>
        <v>1450</v>
      </c>
      <c r="AC1112" s="42">
        <f t="shared" si="584"/>
        <v>17117.0825</v>
      </c>
      <c r="AD1112" s="31">
        <f>VLOOKUP($A1112,kurspris!$A$1:$Q$835,3,FALSE)</f>
        <v>0</v>
      </c>
      <c r="AE1112" s="31">
        <f>VLOOKUP($A1112,kurspris!$A$1:$Q$835,4,FALSE)</f>
        <v>0</v>
      </c>
      <c r="AF1112" s="31">
        <f>VLOOKUP($A1112,kurspris!$A$1:$Q$835,5,FALSE)</f>
        <v>0</v>
      </c>
      <c r="AG1112" s="31">
        <f>VLOOKUP($A1112,kurspris!$A$1:$Q$835,6,FALSE)</f>
        <v>0</v>
      </c>
      <c r="AH1112" s="31">
        <f>VLOOKUP($A1112,kurspris!$A$1:$Q$835,7,FALSE)</f>
        <v>0</v>
      </c>
      <c r="AI1112" s="31">
        <f>VLOOKUP($A1112,kurspris!$A$1:$Q$835,8,FALSE)</f>
        <v>0</v>
      </c>
      <c r="AJ1112" s="31">
        <f>VLOOKUP($A1112,kurspris!$A$1:$Q$835,9,FALSE)</f>
        <v>0.2</v>
      </c>
      <c r="AK1112" s="31">
        <f>VLOOKUP($A1112,kurspris!$A$1:$Q$835,10,FALSE)</f>
        <v>0</v>
      </c>
      <c r="AL1112" s="31">
        <f>VLOOKUP($A1112,kurspris!$A$1:$Q$835,11,FALSE)</f>
        <v>0</v>
      </c>
      <c r="AM1112" s="31">
        <f>VLOOKUP($A1112,kurspris!$A$1:$Q$835,12,FALSE)</f>
        <v>0</v>
      </c>
      <c r="AN1112" s="31">
        <f>VLOOKUP($A1112,kurspris!$A$1:$Q$835,13,FALSE)</f>
        <v>0</v>
      </c>
      <c r="AO1112" s="31">
        <f>VLOOKUP($A1112,kurspris!$A$1:$Q$835,14,FALSE)</f>
        <v>0.8</v>
      </c>
      <c r="AP1112" s="39" t="s">
        <v>2326</v>
      </c>
      <c r="AQ1112"/>
      <c r="AR1112" s="31">
        <f t="shared" si="585"/>
        <v>0</v>
      </c>
      <c r="AS1112" s="255">
        <f t="shared" si="586"/>
        <v>0</v>
      </c>
      <c r="AT1112" s="31">
        <f t="shared" si="587"/>
        <v>0</v>
      </c>
      <c r="AU1112" s="255">
        <f t="shared" si="588"/>
        <v>0</v>
      </c>
      <c r="AV1112" s="31">
        <f t="shared" si="589"/>
        <v>0</v>
      </c>
      <c r="AW1112" s="31">
        <f t="shared" si="590"/>
        <v>0</v>
      </c>
      <c r="AX1112" s="31">
        <f t="shared" si="591"/>
        <v>0</v>
      </c>
      <c r="AY1112" s="255">
        <f t="shared" si="592"/>
        <v>0</v>
      </c>
      <c r="AZ1112" s="232">
        <f t="shared" si="593"/>
        <v>0</v>
      </c>
      <c r="BA1112" s="255">
        <f t="shared" si="594"/>
        <v>0</v>
      </c>
      <c r="BB1112" s="31">
        <f t="shared" si="595"/>
        <v>0</v>
      </c>
      <c r="BC1112" s="255">
        <f t="shared" si="596"/>
        <v>0</v>
      </c>
      <c r="BD1112" s="31">
        <f t="shared" si="597"/>
        <v>0.05</v>
      </c>
      <c r="BE1112" s="255">
        <f t="shared" si="598"/>
        <v>4.2500000000000003E-2</v>
      </c>
      <c r="BF1112" s="31">
        <f t="shared" si="599"/>
        <v>0</v>
      </c>
      <c r="BG1112" s="255">
        <f t="shared" si="600"/>
        <v>0</v>
      </c>
      <c r="BH1112" s="31">
        <f t="shared" si="601"/>
        <v>0</v>
      </c>
      <c r="BI1112" s="255">
        <f t="shared" si="602"/>
        <v>0</v>
      </c>
      <c r="BJ1112" s="31">
        <f t="shared" si="603"/>
        <v>0</v>
      </c>
      <c r="BK1112" s="31">
        <f t="shared" si="604"/>
        <v>0</v>
      </c>
      <c r="BL1112" s="255">
        <f t="shared" si="605"/>
        <v>0</v>
      </c>
      <c r="BM1112" s="31">
        <f t="shared" si="606"/>
        <v>0.2</v>
      </c>
      <c r="BN1112" s="255">
        <f t="shared" si="607"/>
        <v>0.17</v>
      </c>
    </row>
    <row r="1113" spans="1:66" x14ac:dyDescent="0.25">
      <c r="A1113" s="39" t="s">
        <v>1946</v>
      </c>
      <c r="B1113" s="186" t="str">
        <f>VLOOKUP(A1113,kurspris!$A$1:$B$877,2,FALSE)</f>
        <v>Speciallärarens och specialpedagogens yrkesfunktion</v>
      </c>
      <c r="C1113" s="37"/>
      <c r="D1113" s="59" t="s">
        <v>115</v>
      </c>
      <c r="E1113" s="59" t="s">
        <v>2262</v>
      </c>
      <c r="F1113" s="59" t="s">
        <v>1931</v>
      </c>
      <c r="G1113" s="31" t="s">
        <v>2281</v>
      </c>
      <c r="J1113" t="s">
        <v>2165</v>
      </c>
      <c r="L1113" s="31">
        <v>100</v>
      </c>
      <c r="M1113" s="378">
        <v>15</v>
      </c>
      <c r="P1113" s="31">
        <v>2</v>
      </c>
      <c r="Q1113" s="232">
        <f t="shared" si="580"/>
        <v>0.5</v>
      </c>
      <c r="R1113" s="40">
        <v>0.85</v>
      </c>
      <c r="S1113" s="334">
        <f t="shared" si="581"/>
        <v>0.42499999999999999</v>
      </c>
      <c r="T1113" s="31">
        <f>VLOOKUP(A1113,'Ansvar kurs'!$A$1:$C$1010,2,FALSE)</f>
        <v>2193</v>
      </c>
      <c r="U1113" s="31" t="str">
        <f>VLOOKUP(T1113,Orgenheter!$A$1:$C$165,2,FALSE)</f>
        <v xml:space="preserve">TUV </v>
      </c>
      <c r="V1113" s="31" t="str">
        <f>VLOOKUP(T1113,Orgenheter!$A$1:$C$165,3,FALSE)</f>
        <v>Sam</v>
      </c>
      <c r="W1113" s="37" t="str">
        <f>VLOOKUP(D1113,Program!$A$1:$B$34,2,FALSE)</f>
        <v>Speciallärarprogrammet</v>
      </c>
      <c r="X1113" s="42">
        <f>VLOOKUP(A1113,kurspris!$A$1:$Q$798,15,FALSE)</f>
        <v>34144.199999999997</v>
      </c>
      <c r="Y1113" s="42">
        <f>VLOOKUP(A1113,kurspris!$A$1:$Q$798,16,FALSE)</f>
        <v>33557.800000000003</v>
      </c>
      <c r="Z1113" s="42">
        <f t="shared" si="582"/>
        <v>31334.165000000001</v>
      </c>
      <c r="AA1113" s="42">
        <f>VLOOKUP(A1113,kurspris!$A$1:$Q$798,17,FALSE)</f>
        <v>5800</v>
      </c>
      <c r="AB1113" s="42">
        <f t="shared" si="583"/>
        <v>2900</v>
      </c>
      <c r="AC1113" s="42">
        <f t="shared" si="584"/>
        <v>34234.165000000001</v>
      </c>
      <c r="AD1113" s="31">
        <f>VLOOKUP($A1113,kurspris!$A$1:$Q$835,3,FALSE)</f>
        <v>0</v>
      </c>
      <c r="AE1113" s="31">
        <f>VLOOKUP($A1113,kurspris!$A$1:$Q$835,4,FALSE)</f>
        <v>0</v>
      </c>
      <c r="AF1113" s="31">
        <f>VLOOKUP($A1113,kurspris!$A$1:$Q$835,5,FALSE)</f>
        <v>0</v>
      </c>
      <c r="AG1113" s="31">
        <f>VLOOKUP($A1113,kurspris!$A$1:$Q$835,6,FALSE)</f>
        <v>0</v>
      </c>
      <c r="AH1113" s="31">
        <f>VLOOKUP($A1113,kurspris!$A$1:$Q$835,7,FALSE)</f>
        <v>0</v>
      </c>
      <c r="AI1113" s="31">
        <f>VLOOKUP($A1113,kurspris!$A$1:$Q$835,8,FALSE)</f>
        <v>0</v>
      </c>
      <c r="AJ1113" s="31">
        <f>VLOOKUP($A1113,kurspris!$A$1:$Q$835,9,FALSE)</f>
        <v>0.2</v>
      </c>
      <c r="AK1113" s="31">
        <f>VLOOKUP($A1113,kurspris!$A$1:$Q$835,10,FALSE)</f>
        <v>0</v>
      </c>
      <c r="AL1113" s="31">
        <f>VLOOKUP($A1113,kurspris!$A$1:$Q$835,11,FALSE)</f>
        <v>0</v>
      </c>
      <c r="AM1113" s="31">
        <f>VLOOKUP($A1113,kurspris!$A$1:$Q$835,12,FALSE)</f>
        <v>0</v>
      </c>
      <c r="AN1113" s="31">
        <f>VLOOKUP($A1113,kurspris!$A$1:$Q$835,13,FALSE)</f>
        <v>0</v>
      </c>
      <c r="AO1113" s="31">
        <f>VLOOKUP($A1113,kurspris!$A$1:$Q$835,14,FALSE)</f>
        <v>0.8</v>
      </c>
      <c r="AP1113" s="39" t="s">
        <v>2326</v>
      </c>
      <c r="AQ1113"/>
      <c r="AR1113" s="31">
        <f t="shared" si="585"/>
        <v>0</v>
      </c>
      <c r="AS1113" s="255">
        <f t="shared" si="586"/>
        <v>0</v>
      </c>
      <c r="AT1113" s="31">
        <f t="shared" si="587"/>
        <v>0</v>
      </c>
      <c r="AU1113" s="255">
        <f t="shared" si="588"/>
        <v>0</v>
      </c>
      <c r="AV1113" s="31">
        <f t="shared" si="589"/>
        <v>0</v>
      </c>
      <c r="AW1113" s="31">
        <f t="shared" si="590"/>
        <v>0</v>
      </c>
      <c r="AX1113" s="31">
        <f t="shared" si="591"/>
        <v>0</v>
      </c>
      <c r="AY1113" s="255">
        <f t="shared" si="592"/>
        <v>0</v>
      </c>
      <c r="AZ1113" s="232">
        <f t="shared" si="593"/>
        <v>0</v>
      </c>
      <c r="BA1113" s="255">
        <f t="shared" si="594"/>
        <v>0</v>
      </c>
      <c r="BB1113" s="31">
        <f t="shared" si="595"/>
        <v>0</v>
      </c>
      <c r="BC1113" s="255">
        <f t="shared" si="596"/>
        <v>0</v>
      </c>
      <c r="BD1113" s="31">
        <f t="shared" si="597"/>
        <v>0.1</v>
      </c>
      <c r="BE1113" s="255">
        <f t="shared" si="598"/>
        <v>8.5000000000000006E-2</v>
      </c>
      <c r="BF1113" s="31">
        <f t="shared" si="599"/>
        <v>0</v>
      </c>
      <c r="BG1113" s="255">
        <f t="shared" si="600"/>
        <v>0</v>
      </c>
      <c r="BH1113" s="31">
        <f t="shared" si="601"/>
        <v>0</v>
      </c>
      <c r="BI1113" s="255">
        <f t="shared" si="602"/>
        <v>0</v>
      </c>
      <c r="BJ1113" s="31">
        <f t="shared" si="603"/>
        <v>0</v>
      </c>
      <c r="BK1113" s="31">
        <f t="shared" si="604"/>
        <v>0</v>
      </c>
      <c r="BL1113" s="255">
        <f t="shared" si="605"/>
        <v>0</v>
      </c>
      <c r="BM1113" s="31">
        <f t="shared" si="606"/>
        <v>0.4</v>
      </c>
      <c r="BN1113" s="255">
        <f t="shared" si="607"/>
        <v>0.34</v>
      </c>
    </row>
    <row r="1114" spans="1:66" x14ac:dyDescent="0.25">
      <c r="A1114" s="18" t="s">
        <v>2100</v>
      </c>
      <c r="B1114" s="186" t="str">
        <f>VLOOKUP(A1114,kurspris!$A$1:$B$877,2,FALSE)</f>
        <v>Utvärdering, ledarskap och förändringsarbete</v>
      </c>
      <c r="C1114" s="37"/>
      <c r="D1114" t="s">
        <v>117</v>
      </c>
      <c r="E1114"/>
      <c r="F1114" s="59" t="s">
        <v>1930</v>
      </c>
      <c r="G1114"/>
      <c r="H1114"/>
      <c r="I1114" t="s">
        <v>2066</v>
      </c>
      <c r="L1114">
        <v>100</v>
      </c>
      <c r="M1114">
        <v>22.5</v>
      </c>
      <c r="P1114" s="31">
        <v>1</v>
      </c>
      <c r="Q1114" s="232">
        <f t="shared" si="580"/>
        <v>0.375</v>
      </c>
      <c r="R1114" s="40">
        <v>0.8</v>
      </c>
      <c r="S1114" s="334">
        <f t="shared" si="581"/>
        <v>0.30000000000000004</v>
      </c>
      <c r="T1114" s="31">
        <f>VLOOKUP(A1114,'Ansvar kurs'!$A$1:$C$1010,2,FALSE)</f>
        <v>2180</v>
      </c>
      <c r="U1114" s="31" t="str">
        <f>VLOOKUP(T1114,Orgenheter!$A$1:$C$165,2,FALSE)</f>
        <v xml:space="preserve">Pedagogik                     </v>
      </c>
      <c r="V1114" s="31" t="str">
        <f>VLOOKUP(T1114,Orgenheter!$A$1:$C$165,3,FALSE)</f>
        <v>Sam</v>
      </c>
      <c r="W1114" s="37" t="str">
        <f>VLOOKUP(D1114,Program!$A$1:$B$34,2,FALSE)</f>
        <v>Fristående och övriga kurser</v>
      </c>
      <c r="X1114" s="42">
        <f>VLOOKUP(A1114,kurspris!$A$1:$Q$798,15,FALSE)</f>
        <v>18405</v>
      </c>
      <c r="Y1114" s="42">
        <f>VLOOKUP(A1114,kurspris!$A$1:$Q$798,16,FALSE)</f>
        <v>15773</v>
      </c>
      <c r="Z1114" s="42">
        <f t="shared" si="582"/>
        <v>11633.775000000001</v>
      </c>
      <c r="AA1114" s="42">
        <f>VLOOKUP(A1114,kurspris!$A$1:$Q$798,17,FALSE)</f>
        <v>5800</v>
      </c>
      <c r="AB1114" s="42">
        <f t="shared" si="583"/>
        <v>2175</v>
      </c>
      <c r="AC1114" s="42">
        <f t="shared" si="584"/>
        <v>13808.775000000001</v>
      </c>
      <c r="AD1114" s="31">
        <f>VLOOKUP($A1114,kurspris!$A$1:$Q$835,3,FALSE)</f>
        <v>0</v>
      </c>
      <c r="AE1114" s="31">
        <f>VLOOKUP($A1114,kurspris!$A$1:$Q$835,4,FALSE)</f>
        <v>0</v>
      </c>
      <c r="AF1114" s="31">
        <f>VLOOKUP($A1114,kurspris!$A$1:$Q$835,5,FALSE)</f>
        <v>0</v>
      </c>
      <c r="AG1114" s="31">
        <f>VLOOKUP($A1114,kurspris!$A$1:$Q$835,6,FALSE)</f>
        <v>0</v>
      </c>
      <c r="AH1114" s="31">
        <f>VLOOKUP($A1114,kurspris!$A$1:$Q$835,7,FALSE)</f>
        <v>0</v>
      </c>
      <c r="AI1114" s="31">
        <f>VLOOKUP($A1114,kurspris!$A$1:$Q$835,8,FALSE)</f>
        <v>0</v>
      </c>
      <c r="AJ1114" s="31">
        <f>VLOOKUP($A1114,kurspris!$A$1:$Q$835,9,FALSE)</f>
        <v>1</v>
      </c>
      <c r="AK1114" s="31">
        <f>VLOOKUP($A1114,kurspris!$A$1:$Q$835,10,FALSE)</f>
        <v>0</v>
      </c>
      <c r="AL1114" s="31">
        <f>VLOOKUP($A1114,kurspris!$A$1:$Q$835,11,FALSE)</f>
        <v>0</v>
      </c>
      <c r="AM1114" s="31">
        <f>VLOOKUP($A1114,kurspris!$A$1:$Q$835,12,FALSE)</f>
        <v>0</v>
      </c>
      <c r="AN1114" s="31">
        <f>VLOOKUP($A1114,kurspris!$A$1:$Q$835,13,FALSE)</f>
        <v>0</v>
      </c>
      <c r="AO1114" s="31">
        <f>VLOOKUP($A1114,kurspris!$A$1:$Q$835,14,FALSE)</f>
        <v>0</v>
      </c>
      <c r="AP1114" s="39" t="s">
        <v>2204</v>
      </c>
      <c r="AQ1114" s="39" t="s">
        <v>2095</v>
      </c>
      <c r="AR1114" s="31">
        <f t="shared" si="585"/>
        <v>0</v>
      </c>
      <c r="AS1114" s="255">
        <f t="shared" si="586"/>
        <v>0</v>
      </c>
      <c r="AT1114" s="31">
        <f t="shared" si="587"/>
        <v>0</v>
      </c>
      <c r="AU1114" s="255">
        <f t="shared" si="588"/>
        <v>0</v>
      </c>
      <c r="AV1114" s="31">
        <f t="shared" si="589"/>
        <v>0</v>
      </c>
      <c r="AW1114" s="31">
        <f t="shared" si="590"/>
        <v>0</v>
      </c>
      <c r="AX1114" s="31">
        <f t="shared" si="591"/>
        <v>0</v>
      </c>
      <c r="AY1114" s="255">
        <f t="shared" si="592"/>
        <v>0</v>
      </c>
      <c r="AZ1114" s="232">
        <f t="shared" si="593"/>
        <v>0</v>
      </c>
      <c r="BA1114" s="255">
        <f t="shared" si="594"/>
        <v>0</v>
      </c>
      <c r="BB1114" s="31">
        <f t="shared" si="595"/>
        <v>0</v>
      </c>
      <c r="BC1114" s="255">
        <f t="shared" si="596"/>
        <v>0</v>
      </c>
      <c r="BD1114" s="31">
        <f t="shared" si="597"/>
        <v>0.375</v>
      </c>
      <c r="BE1114" s="255">
        <f t="shared" si="598"/>
        <v>0.30000000000000004</v>
      </c>
      <c r="BF1114" s="31">
        <f t="shared" si="599"/>
        <v>0</v>
      </c>
      <c r="BG1114" s="255">
        <f t="shared" si="600"/>
        <v>0</v>
      </c>
      <c r="BH1114" s="31">
        <f t="shared" si="601"/>
        <v>0</v>
      </c>
      <c r="BI1114" s="255">
        <f t="shared" si="602"/>
        <v>0</v>
      </c>
      <c r="BJ1114" s="31">
        <f t="shared" si="603"/>
        <v>0</v>
      </c>
      <c r="BK1114" s="31">
        <f t="shared" si="604"/>
        <v>0</v>
      </c>
      <c r="BL1114" s="255">
        <f t="shared" si="605"/>
        <v>0</v>
      </c>
      <c r="BM1114" s="31">
        <f t="shared" si="606"/>
        <v>0</v>
      </c>
      <c r="BN1114" s="255">
        <f t="shared" si="607"/>
        <v>0</v>
      </c>
    </row>
    <row r="1115" spans="1:66" x14ac:dyDescent="0.25">
      <c r="A1115" t="s">
        <v>2100</v>
      </c>
      <c r="B1115" s="186" t="str">
        <f>VLOOKUP(A1115,kurspris!$A$1:$B$877,2,FALSE)</f>
        <v>Utvärdering, ledarskap och förändringsarbete</v>
      </c>
      <c r="C1115"/>
      <c r="D1115" t="s">
        <v>120</v>
      </c>
      <c r="E1115" t="s">
        <v>1994</v>
      </c>
      <c r="F1115" s="59" t="s">
        <v>1930</v>
      </c>
      <c r="G1115" t="s">
        <v>2162</v>
      </c>
      <c r="H1115" t="s">
        <v>1910</v>
      </c>
      <c r="I1115"/>
      <c r="J1115" t="s">
        <v>2164</v>
      </c>
      <c r="K1115"/>
      <c r="L1115">
        <v>100</v>
      </c>
      <c r="M1115">
        <v>22.5</v>
      </c>
      <c r="N1115"/>
      <c r="O1115"/>
      <c r="P1115" s="31">
        <v>1</v>
      </c>
      <c r="Q1115" s="232">
        <f t="shared" si="580"/>
        <v>0.375</v>
      </c>
      <c r="R1115" s="40">
        <v>0.85</v>
      </c>
      <c r="S1115" s="334">
        <f t="shared" si="581"/>
        <v>0.31874999999999998</v>
      </c>
      <c r="T1115" s="31">
        <f>VLOOKUP(A1115,'Ansvar kurs'!$A$1:$C$1010,2,FALSE)</f>
        <v>2180</v>
      </c>
      <c r="U1115" s="31" t="str">
        <f>VLOOKUP(T1115,Orgenheter!$A$1:$C$165,2,FALSE)</f>
        <v xml:space="preserve">Pedagogik                     </v>
      </c>
      <c r="V1115" s="31" t="str">
        <f>VLOOKUP(T1115,Orgenheter!$A$1:$C$165,3,FALSE)</f>
        <v>Sam</v>
      </c>
      <c r="W1115" s="37" t="str">
        <f>VLOOKUP(D1115,Program!$A$1:$B$34,2,FALSE)</f>
        <v>Specialpedagogprogrammet</v>
      </c>
      <c r="X1115" s="42">
        <f>VLOOKUP(A1115,kurspris!$A$1:$Q$798,15,FALSE)</f>
        <v>18405</v>
      </c>
      <c r="Y1115" s="42">
        <f>VLOOKUP(A1115,kurspris!$A$1:$Q$798,16,FALSE)</f>
        <v>15773</v>
      </c>
      <c r="Z1115" s="42">
        <f t="shared" si="582"/>
        <v>11929.518749999999</v>
      </c>
      <c r="AA1115" s="42">
        <f>VLOOKUP(A1115,kurspris!$A$1:$Q$798,17,FALSE)</f>
        <v>5800</v>
      </c>
      <c r="AB1115" s="42">
        <f t="shared" si="583"/>
        <v>2175</v>
      </c>
      <c r="AC1115" s="42">
        <f t="shared" si="584"/>
        <v>14104.518749999999</v>
      </c>
      <c r="AD1115" s="31">
        <f>VLOOKUP($A1115,kurspris!$A$1:$Q$835,3,FALSE)</f>
        <v>0</v>
      </c>
      <c r="AE1115" s="31">
        <f>VLOOKUP($A1115,kurspris!$A$1:$Q$835,4,FALSE)</f>
        <v>0</v>
      </c>
      <c r="AF1115" s="31">
        <f>VLOOKUP($A1115,kurspris!$A$1:$Q$835,5,FALSE)</f>
        <v>0</v>
      </c>
      <c r="AG1115" s="31">
        <f>VLOOKUP($A1115,kurspris!$A$1:$Q$835,6,FALSE)</f>
        <v>0</v>
      </c>
      <c r="AH1115" s="31">
        <f>VLOOKUP($A1115,kurspris!$A$1:$Q$835,7,FALSE)</f>
        <v>0</v>
      </c>
      <c r="AI1115" s="31">
        <f>VLOOKUP($A1115,kurspris!$A$1:$Q$835,8,FALSE)</f>
        <v>0</v>
      </c>
      <c r="AJ1115" s="31">
        <f>VLOOKUP($A1115,kurspris!$A$1:$Q$835,9,FALSE)</f>
        <v>1</v>
      </c>
      <c r="AK1115" s="31">
        <f>VLOOKUP($A1115,kurspris!$A$1:$Q$835,10,FALSE)</f>
        <v>0</v>
      </c>
      <c r="AL1115" s="31">
        <f>VLOOKUP($A1115,kurspris!$A$1:$Q$835,11,FALSE)</f>
        <v>0</v>
      </c>
      <c r="AM1115" s="31">
        <f>VLOOKUP($A1115,kurspris!$A$1:$Q$835,12,FALSE)</f>
        <v>0</v>
      </c>
      <c r="AN1115" s="31">
        <f>VLOOKUP($A1115,kurspris!$A$1:$Q$835,13,FALSE)</f>
        <v>0</v>
      </c>
      <c r="AO1115" s="31">
        <f>VLOOKUP($A1115,kurspris!$A$1:$Q$835,14,FALSE)</f>
        <v>0</v>
      </c>
      <c r="AP1115" s="39" t="s">
        <v>2204</v>
      </c>
      <c r="AQ1115"/>
      <c r="AR1115" s="31">
        <f t="shared" si="585"/>
        <v>0</v>
      </c>
      <c r="AS1115" s="255">
        <f t="shared" si="586"/>
        <v>0</v>
      </c>
      <c r="AT1115" s="31">
        <f t="shared" si="587"/>
        <v>0</v>
      </c>
      <c r="AU1115" s="255">
        <f t="shared" si="588"/>
        <v>0</v>
      </c>
      <c r="AV1115" s="31">
        <f t="shared" si="589"/>
        <v>0</v>
      </c>
      <c r="AW1115" s="31">
        <f t="shared" si="590"/>
        <v>0</v>
      </c>
      <c r="AX1115" s="31">
        <f t="shared" si="591"/>
        <v>0</v>
      </c>
      <c r="AY1115" s="255">
        <f t="shared" si="592"/>
        <v>0</v>
      </c>
      <c r="AZ1115" s="232">
        <f t="shared" si="593"/>
        <v>0</v>
      </c>
      <c r="BA1115" s="255">
        <f t="shared" si="594"/>
        <v>0</v>
      </c>
      <c r="BB1115" s="31">
        <f t="shared" si="595"/>
        <v>0</v>
      </c>
      <c r="BC1115" s="255">
        <f t="shared" si="596"/>
        <v>0</v>
      </c>
      <c r="BD1115" s="31">
        <f t="shared" si="597"/>
        <v>0.375</v>
      </c>
      <c r="BE1115" s="255">
        <f t="shared" si="598"/>
        <v>0.31874999999999998</v>
      </c>
      <c r="BF1115" s="31">
        <f t="shared" si="599"/>
        <v>0</v>
      </c>
      <c r="BG1115" s="255">
        <f t="shared" si="600"/>
        <v>0</v>
      </c>
      <c r="BH1115" s="31">
        <f t="shared" si="601"/>
        <v>0</v>
      </c>
      <c r="BI1115" s="255">
        <f t="shared" si="602"/>
        <v>0</v>
      </c>
      <c r="BJ1115" s="31">
        <f t="shared" si="603"/>
        <v>0</v>
      </c>
      <c r="BK1115" s="31">
        <f t="shared" si="604"/>
        <v>0</v>
      </c>
      <c r="BL1115" s="255">
        <f t="shared" si="605"/>
        <v>0</v>
      </c>
      <c r="BM1115" s="31">
        <f t="shared" si="606"/>
        <v>0</v>
      </c>
      <c r="BN1115" s="255">
        <f t="shared" si="607"/>
        <v>0</v>
      </c>
    </row>
    <row r="1116" spans="1:66" x14ac:dyDescent="0.25">
      <c r="A1116" t="s">
        <v>2100</v>
      </c>
      <c r="B1116" s="186" t="str">
        <f>VLOOKUP(A1116,kurspris!$A$1:$B$877,2,FALSE)</f>
        <v>Utvärdering, ledarskap och förändringsarbete</v>
      </c>
      <c r="C1116"/>
      <c r="D1116" t="s">
        <v>120</v>
      </c>
      <c r="E1116" t="s">
        <v>1788</v>
      </c>
      <c r="F1116" s="59" t="s">
        <v>1930</v>
      </c>
      <c r="G1116" t="s">
        <v>2162</v>
      </c>
      <c r="H1116" t="s">
        <v>1910</v>
      </c>
      <c r="I1116"/>
      <c r="J1116" t="s">
        <v>2164</v>
      </c>
      <c r="K1116"/>
      <c r="L1116">
        <v>100</v>
      </c>
      <c r="M1116">
        <v>22.5</v>
      </c>
      <c r="N1116"/>
      <c r="O1116"/>
      <c r="P1116" s="31">
        <v>38</v>
      </c>
      <c r="Q1116" s="232">
        <f t="shared" si="580"/>
        <v>14.25</v>
      </c>
      <c r="R1116" s="40">
        <v>0.85</v>
      </c>
      <c r="S1116" s="334">
        <f t="shared" si="581"/>
        <v>12.112499999999999</v>
      </c>
      <c r="T1116" s="31">
        <f>VLOOKUP(A1116,'Ansvar kurs'!$A$1:$C$1010,2,FALSE)</f>
        <v>2180</v>
      </c>
      <c r="U1116" s="31" t="str">
        <f>VLOOKUP(T1116,Orgenheter!$A$1:$C$165,2,FALSE)</f>
        <v xml:space="preserve">Pedagogik                     </v>
      </c>
      <c r="V1116" s="31" t="str">
        <f>VLOOKUP(T1116,Orgenheter!$A$1:$C$165,3,FALSE)</f>
        <v>Sam</v>
      </c>
      <c r="W1116" s="37" t="str">
        <f>VLOOKUP(D1116,Program!$A$1:$B$34,2,FALSE)</f>
        <v>Specialpedagogprogrammet</v>
      </c>
      <c r="X1116" s="42">
        <f>VLOOKUP(A1116,kurspris!$A$1:$Q$798,15,FALSE)</f>
        <v>18405</v>
      </c>
      <c r="Y1116" s="42">
        <f>VLOOKUP(A1116,kurspris!$A$1:$Q$798,16,FALSE)</f>
        <v>15773</v>
      </c>
      <c r="Z1116" s="42">
        <f t="shared" si="582"/>
        <v>453321.71250000002</v>
      </c>
      <c r="AA1116" s="42">
        <f>VLOOKUP(A1116,kurspris!$A$1:$Q$798,17,FALSE)</f>
        <v>5800</v>
      </c>
      <c r="AB1116" s="42">
        <f t="shared" si="583"/>
        <v>82650</v>
      </c>
      <c r="AC1116" s="42">
        <f t="shared" si="584"/>
        <v>535971.71250000002</v>
      </c>
      <c r="AD1116" s="31">
        <f>VLOOKUP($A1116,kurspris!$A$1:$Q$835,3,FALSE)</f>
        <v>0</v>
      </c>
      <c r="AE1116" s="31">
        <f>VLOOKUP($A1116,kurspris!$A$1:$Q$835,4,FALSE)</f>
        <v>0</v>
      </c>
      <c r="AF1116" s="31">
        <f>VLOOKUP($A1116,kurspris!$A$1:$Q$835,5,FALSE)</f>
        <v>0</v>
      </c>
      <c r="AG1116" s="31">
        <f>VLOOKUP($A1116,kurspris!$A$1:$Q$835,6,FALSE)</f>
        <v>0</v>
      </c>
      <c r="AH1116" s="31">
        <f>VLOOKUP($A1116,kurspris!$A$1:$Q$835,7,FALSE)</f>
        <v>0</v>
      </c>
      <c r="AI1116" s="31">
        <f>VLOOKUP($A1116,kurspris!$A$1:$Q$835,8,FALSE)</f>
        <v>0</v>
      </c>
      <c r="AJ1116" s="31">
        <f>VLOOKUP($A1116,kurspris!$A$1:$Q$835,9,FALSE)</f>
        <v>1</v>
      </c>
      <c r="AK1116" s="31">
        <f>VLOOKUP($A1116,kurspris!$A$1:$Q$835,10,FALSE)</f>
        <v>0</v>
      </c>
      <c r="AL1116" s="31">
        <f>VLOOKUP($A1116,kurspris!$A$1:$Q$835,11,FALSE)</f>
        <v>0</v>
      </c>
      <c r="AM1116" s="31">
        <f>VLOOKUP($A1116,kurspris!$A$1:$Q$835,12,FALSE)</f>
        <v>0</v>
      </c>
      <c r="AN1116" s="31">
        <f>VLOOKUP($A1116,kurspris!$A$1:$Q$835,13,FALSE)</f>
        <v>0</v>
      </c>
      <c r="AO1116" s="31">
        <f>VLOOKUP($A1116,kurspris!$A$1:$Q$835,14,FALSE)</f>
        <v>0</v>
      </c>
      <c r="AP1116" s="39" t="s">
        <v>2204</v>
      </c>
      <c r="AQ1116"/>
      <c r="AR1116" s="31">
        <f t="shared" si="585"/>
        <v>0</v>
      </c>
      <c r="AS1116" s="255">
        <f t="shared" si="586"/>
        <v>0</v>
      </c>
      <c r="AT1116" s="31">
        <f t="shared" si="587"/>
        <v>0</v>
      </c>
      <c r="AU1116" s="255">
        <f t="shared" si="588"/>
        <v>0</v>
      </c>
      <c r="AV1116" s="31">
        <f t="shared" si="589"/>
        <v>0</v>
      </c>
      <c r="AW1116" s="31">
        <f t="shared" si="590"/>
        <v>0</v>
      </c>
      <c r="AX1116" s="31">
        <f t="shared" si="591"/>
        <v>0</v>
      </c>
      <c r="AY1116" s="255">
        <f t="shared" si="592"/>
        <v>0</v>
      </c>
      <c r="AZ1116" s="232">
        <f t="shared" si="593"/>
        <v>0</v>
      </c>
      <c r="BA1116" s="255">
        <f t="shared" si="594"/>
        <v>0</v>
      </c>
      <c r="BB1116" s="31">
        <f t="shared" si="595"/>
        <v>0</v>
      </c>
      <c r="BC1116" s="255">
        <f t="shared" si="596"/>
        <v>0</v>
      </c>
      <c r="BD1116" s="31">
        <f t="shared" si="597"/>
        <v>14.25</v>
      </c>
      <c r="BE1116" s="255">
        <f t="shared" si="598"/>
        <v>12.112499999999999</v>
      </c>
      <c r="BF1116" s="31">
        <f t="shared" si="599"/>
        <v>0</v>
      </c>
      <c r="BG1116" s="255">
        <f t="shared" si="600"/>
        <v>0</v>
      </c>
      <c r="BH1116" s="31">
        <f t="shared" si="601"/>
        <v>0</v>
      </c>
      <c r="BI1116" s="255">
        <f t="shared" si="602"/>
        <v>0</v>
      </c>
      <c r="BJ1116" s="31">
        <f t="shared" si="603"/>
        <v>0</v>
      </c>
      <c r="BK1116" s="31">
        <f t="shared" si="604"/>
        <v>0</v>
      </c>
      <c r="BL1116" s="255">
        <f t="shared" si="605"/>
        <v>0</v>
      </c>
      <c r="BM1116" s="31">
        <f t="shared" si="606"/>
        <v>0</v>
      </c>
      <c r="BN1116" s="255">
        <f t="shared" si="607"/>
        <v>0</v>
      </c>
    </row>
    <row r="1117" spans="1:66" x14ac:dyDescent="0.25">
      <c r="A1117" s="495" t="s">
        <v>2102</v>
      </c>
      <c r="B1117" s="186" t="str">
        <f>VLOOKUP(A1117,kurspris!$A$1:$B$877,2,FALSE)</f>
        <v>Att utveckla lärande i skola och vardag - Utvecklingsstörning</v>
      </c>
      <c r="C1117" s="37"/>
      <c r="D1117" t="s">
        <v>117</v>
      </c>
      <c r="E1117"/>
      <c r="F1117" s="59" t="s">
        <v>1930</v>
      </c>
      <c r="G1117"/>
      <c r="H1117"/>
      <c r="I1117" t="s">
        <v>2066</v>
      </c>
      <c r="L1117">
        <v>100</v>
      </c>
      <c r="M1117">
        <v>15</v>
      </c>
      <c r="P1117" s="31">
        <v>0</v>
      </c>
      <c r="Q1117" s="232">
        <f t="shared" ref="Q1117:Q1180" si="608">(M1117/60)*P1117</f>
        <v>0</v>
      </c>
      <c r="R1117" s="40">
        <v>0.8</v>
      </c>
      <c r="S1117" s="334">
        <f t="shared" ref="S1117:S1180" si="609">Q1117*R1117</f>
        <v>0</v>
      </c>
      <c r="T1117" s="31">
        <f>VLOOKUP(A1117,'Ansvar kurs'!$A$1:$C$1010,2,FALSE)</f>
        <v>2180</v>
      </c>
      <c r="U1117" s="31" t="str">
        <f>VLOOKUP(T1117,Orgenheter!$A$1:$C$165,2,FALSE)</f>
        <v xml:space="preserve">Pedagogik                     </v>
      </c>
      <c r="V1117" s="31" t="str">
        <f>VLOOKUP(T1117,Orgenheter!$A$1:$C$165,3,FALSE)</f>
        <v>Sam</v>
      </c>
      <c r="W1117" s="37" t="str">
        <f>VLOOKUP(D1117,Program!$A$1:$B$34,2,FALSE)</f>
        <v>Fristående och övriga kurser</v>
      </c>
      <c r="X1117" s="42">
        <f>VLOOKUP(A1117,kurspris!$A$1:$Q$798,15,FALSE)</f>
        <v>18405</v>
      </c>
      <c r="Y1117" s="42">
        <f>VLOOKUP(A1117,kurspris!$A$1:$Q$798,16,FALSE)</f>
        <v>15773</v>
      </c>
      <c r="Z1117" s="42">
        <f t="shared" ref="Z1117:Z1180" si="610">X1117*Q1117+S1117*Y1117</f>
        <v>0</v>
      </c>
      <c r="AA1117" s="42">
        <f>VLOOKUP(A1117,kurspris!$A$1:$Q$798,17,FALSE)</f>
        <v>5800</v>
      </c>
      <c r="AB1117" s="42">
        <f t="shared" ref="AB1117:AB1180" si="611">AA1117*Q1117</f>
        <v>0</v>
      </c>
      <c r="AC1117" s="42">
        <f t="shared" ref="AC1117:AC1180" si="612">Z1117+AB1117</f>
        <v>0</v>
      </c>
      <c r="AD1117" s="31">
        <f>VLOOKUP($A1117,kurspris!$A$1:$Q$835,3,FALSE)</f>
        <v>0</v>
      </c>
      <c r="AE1117" s="31">
        <f>VLOOKUP($A1117,kurspris!$A$1:$Q$835,4,FALSE)</f>
        <v>0</v>
      </c>
      <c r="AF1117" s="31">
        <f>VLOOKUP($A1117,kurspris!$A$1:$Q$835,5,FALSE)</f>
        <v>0</v>
      </c>
      <c r="AG1117" s="31">
        <f>VLOOKUP($A1117,kurspris!$A$1:$Q$835,6,FALSE)</f>
        <v>0</v>
      </c>
      <c r="AH1117" s="31">
        <f>VLOOKUP($A1117,kurspris!$A$1:$Q$835,7,FALSE)</f>
        <v>0</v>
      </c>
      <c r="AI1117" s="31">
        <f>VLOOKUP($A1117,kurspris!$A$1:$Q$835,8,FALSE)</f>
        <v>0</v>
      </c>
      <c r="AJ1117" s="31">
        <f>VLOOKUP($A1117,kurspris!$A$1:$Q$835,9,FALSE)</f>
        <v>1</v>
      </c>
      <c r="AK1117" s="31">
        <f>VLOOKUP($A1117,kurspris!$A$1:$Q$835,10,FALSE)</f>
        <v>0</v>
      </c>
      <c r="AL1117" s="31">
        <f>VLOOKUP($A1117,kurspris!$A$1:$Q$835,11,FALSE)</f>
        <v>0</v>
      </c>
      <c r="AM1117" s="31">
        <f>VLOOKUP($A1117,kurspris!$A$1:$Q$835,12,FALSE)</f>
        <v>0</v>
      </c>
      <c r="AN1117" s="31">
        <f>VLOOKUP($A1117,kurspris!$A$1:$Q$835,13,FALSE)</f>
        <v>0</v>
      </c>
      <c r="AO1117" s="31">
        <f>VLOOKUP($A1117,kurspris!$A$1:$Q$835,14,FALSE)</f>
        <v>0</v>
      </c>
      <c r="AP1117" s="39" t="s">
        <v>2232</v>
      </c>
      <c r="AQ1117" s="39" t="s">
        <v>2095</v>
      </c>
      <c r="AR1117" s="31">
        <f t="shared" ref="AR1117:AR1180" si="613">$Q1117*AD1117</f>
        <v>0</v>
      </c>
      <c r="AS1117" s="255">
        <f t="shared" ref="AS1117:AS1180" si="614">$S1117*AD1117</f>
        <v>0</v>
      </c>
      <c r="AT1117" s="31">
        <f t="shared" ref="AT1117:AT1180" si="615">$Q1117*AE1117</f>
        <v>0</v>
      </c>
      <c r="AU1117" s="255">
        <f t="shared" ref="AU1117:AU1180" si="616">$S1117*AE1117</f>
        <v>0</v>
      </c>
      <c r="AV1117" s="31">
        <f t="shared" ref="AV1117:AV1180" si="617">$Q1117*AF1117</f>
        <v>0</v>
      </c>
      <c r="AW1117" s="31">
        <f t="shared" ref="AW1117:AW1180" si="618">$S1117*AF1117</f>
        <v>0</v>
      </c>
      <c r="AX1117" s="31">
        <f t="shared" ref="AX1117:AX1180" si="619">$Q1117*AG1117</f>
        <v>0</v>
      </c>
      <c r="AY1117" s="255">
        <f t="shared" ref="AY1117:AY1180" si="620">$S1117*AG1117</f>
        <v>0</v>
      </c>
      <c r="AZ1117" s="232">
        <f t="shared" ref="AZ1117:AZ1180" si="621">$Q1117*AH1117</f>
        <v>0</v>
      </c>
      <c r="BA1117" s="255">
        <f t="shared" ref="BA1117:BA1180" si="622">$S1117*AH1117</f>
        <v>0</v>
      </c>
      <c r="BB1117" s="31">
        <f t="shared" ref="BB1117:BB1180" si="623">$Q1117*AI1117</f>
        <v>0</v>
      </c>
      <c r="BC1117" s="255">
        <f t="shared" ref="BC1117:BC1180" si="624">$S1117*AI1117</f>
        <v>0</v>
      </c>
      <c r="BD1117" s="31">
        <f t="shared" ref="BD1117:BD1180" si="625">$Q1117*AJ1117</f>
        <v>0</v>
      </c>
      <c r="BE1117" s="255">
        <f t="shared" ref="BE1117:BE1180" si="626">$S1117*AJ1117</f>
        <v>0</v>
      </c>
      <c r="BF1117" s="31">
        <f t="shared" ref="BF1117:BF1180" si="627">$Q1117*AK1117</f>
        <v>0</v>
      </c>
      <c r="BG1117" s="255">
        <f t="shared" ref="BG1117:BG1180" si="628">$S1117*AK1117</f>
        <v>0</v>
      </c>
      <c r="BH1117" s="31">
        <f t="shared" ref="BH1117:BH1180" si="629">$Q1117*AL1117</f>
        <v>0</v>
      </c>
      <c r="BI1117" s="255">
        <f t="shared" ref="BI1117:BI1180" si="630">$S1117*AL1117</f>
        <v>0</v>
      </c>
      <c r="BJ1117" s="31">
        <f t="shared" ref="BJ1117:BJ1180" si="631">$Q1117*AM1117</f>
        <v>0</v>
      </c>
      <c r="BK1117" s="31">
        <f t="shared" ref="BK1117:BK1180" si="632">$Q1117*AN1117</f>
        <v>0</v>
      </c>
      <c r="BL1117" s="255">
        <f t="shared" ref="BL1117:BL1180" si="633">$S1117*AN1117</f>
        <v>0</v>
      </c>
      <c r="BM1117" s="31">
        <f t="shared" ref="BM1117:BM1180" si="634">$Q1117*AO1117</f>
        <v>0</v>
      </c>
      <c r="BN1117" s="255">
        <f t="shared" ref="BN1117:BN1180" si="635">$S1117*AO1117</f>
        <v>0</v>
      </c>
    </row>
    <row r="1118" spans="1:66" x14ac:dyDescent="0.25">
      <c r="A1118" t="s">
        <v>2102</v>
      </c>
      <c r="B1118" s="186" t="str">
        <f>VLOOKUP(A1118,kurspris!$A$1:$B$877,2,FALSE)</f>
        <v>Att utveckla lärande i skola och vardag - Utvecklingsstörning</v>
      </c>
      <c r="C1118"/>
      <c r="D1118" t="s">
        <v>115</v>
      </c>
      <c r="E1118" t="s">
        <v>1788</v>
      </c>
      <c r="F1118" s="59" t="s">
        <v>1930</v>
      </c>
      <c r="G1118" t="s">
        <v>1979</v>
      </c>
      <c r="H1118" t="s">
        <v>1910</v>
      </c>
      <c r="I1118"/>
      <c r="J1118" t="s">
        <v>1812</v>
      </c>
      <c r="K1118"/>
      <c r="L1118">
        <v>100</v>
      </c>
      <c r="M1118">
        <v>15</v>
      </c>
      <c r="N1118"/>
      <c r="O1118"/>
      <c r="P1118" s="31">
        <v>3</v>
      </c>
      <c r="Q1118" s="232">
        <f t="shared" si="608"/>
        <v>0.75</v>
      </c>
      <c r="R1118" s="40">
        <v>0.85</v>
      </c>
      <c r="S1118" s="334">
        <f t="shared" si="609"/>
        <v>0.63749999999999996</v>
      </c>
      <c r="T1118" s="31">
        <f>VLOOKUP(A1118,'Ansvar kurs'!$A$1:$C$1010,2,FALSE)</f>
        <v>2180</v>
      </c>
      <c r="U1118" s="31" t="str">
        <f>VLOOKUP(T1118,Orgenheter!$A$1:$C$165,2,FALSE)</f>
        <v xml:space="preserve">Pedagogik                     </v>
      </c>
      <c r="V1118" s="31" t="str">
        <f>VLOOKUP(T1118,Orgenheter!$A$1:$C$165,3,FALSE)</f>
        <v>Sam</v>
      </c>
      <c r="W1118" s="37" t="str">
        <f>VLOOKUP(D1118,Program!$A$1:$B$34,2,FALSE)</f>
        <v>Speciallärarprogrammet</v>
      </c>
      <c r="X1118" s="42">
        <f>VLOOKUP(A1118,kurspris!$A$1:$Q$798,15,FALSE)</f>
        <v>18405</v>
      </c>
      <c r="Y1118" s="42">
        <f>VLOOKUP(A1118,kurspris!$A$1:$Q$798,16,FALSE)</f>
        <v>15773</v>
      </c>
      <c r="Z1118" s="42">
        <f t="shared" si="610"/>
        <v>23859.037499999999</v>
      </c>
      <c r="AA1118" s="42">
        <f>VLOOKUP(A1118,kurspris!$A$1:$Q$798,17,FALSE)</f>
        <v>5800</v>
      </c>
      <c r="AB1118" s="42">
        <f t="shared" si="611"/>
        <v>4350</v>
      </c>
      <c r="AC1118" s="42">
        <f t="shared" si="612"/>
        <v>28209.037499999999</v>
      </c>
      <c r="AD1118" s="31">
        <f>VLOOKUP($A1118,kurspris!$A$1:$Q$835,3,FALSE)</f>
        <v>0</v>
      </c>
      <c r="AE1118" s="31">
        <f>VLOOKUP($A1118,kurspris!$A$1:$Q$835,4,FALSE)</f>
        <v>0</v>
      </c>
      <c r="AF1118" s="31">
        <f>VLOOKUP($A1118,kurspris!$A$1:$Q$835,5,FALSE)</f>
        <v>0</v>
      </c>
      <c r="AG1118" s="31">
        <f>VLOOKUP($A1118,kurspris!$A$1:$Q$835,6,FALSE)</f>
        <v>0</v>
      </c>
      <c r="AH1118" s="31">
        <f>VLOOKUP($A1118,kurspris!$A$1:$Q$835,7,FALSE)</f>
        <v>0</v>
      </c>
      <c r="AI1118" s="31">
        <f>VLOOKUP($A1118,kurspris!$A$1:$Q$835,8,FALSE)</f>
        <v>0</v>
      </c>
      <c r="AJ1118" s="31">
        <f>VLOOKUP($A1118,kurspris!$A$1:$Q$835,9,FALSE)</f>
        <v>1</v>
      </c>
      <c r="AK1118" s="31">
        <f>VLOOKUP($A1118,kurspris!$A$1:$Q$835,10,FALSE)</f>
        <v>0</v>
      </c>
      <c r="AL1118" s="31">
        <f>VLOOKUP($A1118,kurspris!$A$1:$Q$835,11,FALSE)</f>
        <v>0</v>
      </c>
      <c r="AM1118" s="31">
        <f>VLOOKUP($A1118,kurspris!$A$1:$Q$835,12,FALSE)</f>
        <v>0</v>
      </c>
      <c r="AN1118" s="31">
        <f>VLOOKUP($A1118,kurspris!$A$1:$Q$835,13,FALSE)</f>
        <v>0</v>
      </c>
      <c r="AO1118" s="31">
        <f>VLOOKUP($A1118,kurspris!$A$1:$Q$835,14,FALSE)</f>
        <v>0</v>
      </c>
      <c r="AP1118" s="39" t="s">
        <v>2204</v>
      </c>
      <c r="AQ1118"/>
      <c r="AR1118" s="31">
        <f t="shared" si="613"/>
        <v>0</v>
      </c>
      <c r="AS1118" s="255">
        <f t="shared" si="614"/>
        <v>0</v>
      </c>
      <c r="AT1118" s="31">
        <f t="shared" si="615"/>
        <v>0</v>
      </c>
      <c r="AU1118" s="255">
        <f t="shared" si="616"/>
        <v>0</v>
      </c>
      <c r="AV1118" s="31">
        <f t="shared" si="617"/>
        <v>0</v>
      </c>
      <c r="AW1118" s="31">
        <f t="shared" si="618"/>
        <v>0</v>
      </c>
      <c r="AX1118" s="31">
        <f t="shared" si="619"/>
        <v>0</v>
      </c>
      <c r="AY1118" s="255">
        <f t="shared" si="620"/>
        <v>0</v>
      </c>
      <c r="AZ1118" s="232">
        <f t="shared" si="621"/>
        <v>0</v>
      </c>
      <c r="BA1118" s="255">
        <f t="shared" si="622"/>
        <v>0</v>
      </c>
      <c r="BB1118" s="31">
        <f t="shared" si="623"/>
        <v>0</v>
      </c>
      <c r="BC1118" s="255">
        <f t="shared" si="624"/>
        <v>0</v>
      </c>
      <c r="BD1118" s="31">
        <f t="shared" si="625"/>
        <v>0.75</v>
      </c>
      <c r="BE1118" s="255">
        <f t="shared" si="626"/>
        <v>0.63749999999999996</v>
      </c>
      <c r="BF1118" s="31">
        <f t="shared" si="627"/>
        <v>0</v>
      </c>
      <c r="BG1118" s="255">
        <f t="shared" si="628"/>
        <v>0</v>
      </c>
      <c r="BH1118" s="31">
        <f t="shared" si="629"/>
        <v>0</v>
      </c>
      <c r="BI1118" s="255">
        <f t="shared" si="630"/>
        <v>0</v>
      </c>
      <c r="BJ1118" s="31">
        <f t="shared" si="631"/>
        <v>0</v>
      </c>
      <c r="BK1118" s="31">
        <f t="shared" si="632"/>
        <v>0</v>
      </c>
      <c r="BL1118" s="255">
        <f t="shared" si="633"/>
        <v>0</v>
      </c>
      <c r="BM1118" s="31">
        <f t="shared" si="634"/>
        <v>0</v>
      </c>
      <c r="BN1118" s="255">
        <f t="shared" si="635"/>
        <v>0</v>
      </c>
    </row>
    <row r="1119" spans="1:66" x14ac:dyDescent="0.25">
      <c r="A1119" s="495" t="s">
        <v>2101</v>
      </c>
      <c r="B1119" s="186" t="str">
        <f>VLOOKUP(A1119,kurspris!$A$1:$B$877,2,FALSE)</f>
        <v>Undervisning, kommunikation och kunskapsutveckling - Utvecklingsstörning</v>
      </c>
      <c r="C1119" s="37"/>
      <c r="D1119" t="s">
        <v>117</v>
      </c>
      <c r="E1119"/>
      <c r="F1119" s="59" t="s">
        <v>1930</v>
      </c>
      <c r="G1119"/>
      <c r="H1119"/>
      <c r="I1119" t="s">
        <v>2066</v>
      </c>
      <c r="L1119">
        <v>100</v>
      </c>
      <c r="M1119">
        <v>15</v>
      </c>
      <c r="P1119" s="31">
        <v>0</v>
      </c>
      <c r="Q1119" s="232">
        <f t="shared" si="608"/>
        <v>0</v>
      </c>
      <c r="R1119" s="40">
        <v>0.8</v>
      </c>
      <c r="S1119" s="334">
        <f t="shared" si="609"/>
        <v>0</v>
      </c>
      <c r="T1119" s="31">
        <f>VLOOKUP(A1119,'Ansvar kurs'!$A$1:$C$1010,2,FALSE)</f>
        <v>2180</v>
      </c>
      <c r="U1119" s="31" t="str">
        <f>VLOOKUP(T1119,Orgenheter!$A$1:$C$165,2,FALSE)</f>
        <v xml:space="preserve">Pedagogik                     </v>
      </c>
      <c r="V1119" s="31" t="str">
        <f>VLOOKUP(T1119,Orgenheter!$A$1:$C$165,3,FALSE)</f>
        <v>Sam</v>
      </c>
      <c r="W1119" s="37" t="str">
        <f>VLOOKUP(D1119,Program!$A$1:$B$34,2,FALSE)</f>
        <v>Fristående och övriga kurser</v>
      </c>
      <c r="X1119" s="42">
        <f>VLOOKUP(A1119,kurspris!$A$1:$Q$798,15,FALSE)</f>
        <v>18405</v>
      </c>
      <c r="Y1119" s="42">
        <f>VLOOKUP(A1119,kurspris!$A$1:$Q$798,16,FALSE)</f>
        <v>15773</v>
      </c>
      <c r="Z1119" s="42">
        <f t="shared" si="610"/>
        <v>0</v>
      </c>
      <c r="AA1119" s="42">
        <f>VLOOKUP(A1119,kurspris!$A$1:$Q$798,17,FALSE)</f>
        <v>5800</v>
      </c>
      <c r="AB1119" s="42">
        <f t="shared" si="611"/>
        <v>0</v>
      </c>
      <c r="AC1119" s="42">
        <f t="shared" si="612"/>
        <v>0</v>
      </c>
      <c r="AD1119" s="31">
        <f>VLOOKUP($A1119,kurspris!$A$1:$Q$835,3,FALSE)</f>
        <v>0</v>
      </c>
      <c r="AE1119" s="31">
        <f>VLOOKUP($A1119,kurspris!$A$1:$Q$835,4,FALSE)</f>
        <v>0</v>
      </c>
      <c r="AF1119" s="31">
        <f>VLOOKUP($A1119,kurspris!$A$1:$Q$835,5,FALSE)</f>
        <v>0</v>
      </c>
      <c r="AG1119" s="31">
        <f>VLOOKUP($A1119,kurspris!$A$1:$Q$835,6,FALSE)</f>
        <v>0</v>
      </c>
      <c r="AH1119" s="31">
        <f>VLOOKUP($A1119,kurspris!$A$1:$Q$835,7,FALSE)</f>
        <v>0</v>
      </c>
      <c r="AI1119" s="31">
        <f>VLOOKUP($A1119,kurspris!$A$1:$Q$835,8,FALSE)</f>
        <v>0</v>
      </c>
      <c r="AJ1119" s="31">
        <f>VLOOKUP($A1119,kurspris!$A$1:$Q$835,9,FALSE)</f>
        <v>1</v>
      </c>
      <c r="AK1119" s="31">
        <f>VLOOKUP($A1119,kurspris!$A$1:$Q$835,10,FALSE)</f>
        <v>0</v>
      </c>
      <c r="AL1119" s="31">
        <f>VLOOKUP($A1119,kurspris!$A$1:$Q$835,11,FALSE)</f>
        <v>0</v>
      </c>
      <c r="AM1119" s="31">
        <f>VLOOKUP($A1119,kurspris!$A$1:$Q$835,12,FALSE)</f>
        <v>0</v>
      </c>
      <c r="AN1119" s="31">
        <f>VLOOKUP($A1119,kurspris!$A$1:$Q$835,13,FALSE)</f>
        <v>0</v>
      </c>
      <c r="AO1119" s="31">
        <f>VLOOKUP($A1119,kurspris!$A$1:$Q$835,14,FALSE)</f>
        <v>0</v>
      </c>
      <c r="AP1119" s="39" t="s">
        <v>2232</v>
      </c>
      <c r="AQ1119" s="39" t="s">
        <v>2095</v>
      </c>
      <c r="AR1119" s="31">
        <f t="shared" si="613"/>
        <v>0</v>
      </c>
      <c r="AS1119" s="255">
        <f t="shared" si="614"/>
        <v>0</v>
      </c>
      <c r="AT1119" s="31">
        <f t="shared" si="615"/>
        <v>0</v>
      </c>
      <c r="AU1119" s="255">
        <f t="shared" si="616"/>
        <v>0</v>
      </c>
      <c r="AV1119" s="31">
        <f t="shared" si="617"/>
        <v>0</v>
      </c>
      <c r="AW1119" s="31">
        <f t="shared" si="618"/>
        <v>0</v>
      </c>
      <c r="AX1119" s="31">
        <f t="shared" si="619"/>
        <v>0</v>
      </c>
      <c r="AY1119" s="255">
        <f t="shared" si="620"/>
        <v>0</v>
      </c>
      <c r="AZ1119" s="232">
        <f t="shared" si="621"/>
        <v>0</v>
      </c>
      <c r="BA1119" s="255">
        <f t="shared" si="622"/>
        <v>0</v>
      </c>
      <c r="BB1119" s="31">
        <f t="shared" si="623"/>
        <v>0</v>
      </c>
      <c r="BC1119" s="255">
        <f t="shared" si="624"/>
        <v>0</v>
      </c>
      <c r="BD1119" s="31">
        <f t="shared" si="625"/>
        <v>0</v>
      </c>
      <c r="BE1119" s="255">
        <f t="shared" si="626"/>
        <v>0</v>
      </c>
      <c r="BF1119" s="31">
        <f t="shared" si="627"/>
        <v>0</v>
      </c>
      <c r="BG1119" s="255">
        <f t="shared" si="628"/>
        <v>0</v>
      </c>
      <c r="BH1119" s="31">
        <f t="shared" si="629"/>
        <v>0</v>
      </c>
      <c r="BI1119" s="255">
        <f t="shared" si="630"/>
        <v>0</v>
      </c>
      <c r="BJ1119" s="31">
        <f t="shared" si="631"/>
        <v>0</v>
      </c>
      <c r="BK1119" s="31">
        <f t="shared" si="632"/>
        <v>0</v>
      </c>
      <c r="BL1119" s="255">
        <f t="shared" si="633"/>
        <v>0</v>
      </c>
      <c r="BM1119" s="31">
        <f t="shared" si="634"/>
        <v>0</v>
      </c>
      <c r="BN1119" s="255">
        <f t="shared" si="635"/>
        <v>0</v>
      </c>
    </row>
    <row r="1120" spans="1:66" x14ac:dyDescent="0.25">
      <c r="A1120" t="s">
        <v>2101</v>
      </c>
      <c r="B1120" s="186" t="str">
        <f>VLOOKUP(A1120,kurspris!$A$1:$B$877,2,FALSE)</f>
        <v>Undervisning, kommunikation och kunskapsutveckling - Utvecklingsstörning</v>
      </c>
      <c r="C1120"/>
      <c r="D1120" t="s">
        <v>115</v>
      </c>
      <c r="E1120" t="s">
        <v>1788</v>
      </c>
      <c r="F1120" s="59" t="s">
        <v>1930</v>
      </c>
      <c r="G1120" t="s">
        <v>1980</v>
      </c>
      <c r="H1120" t="s">
        <v>1910</v>
      </c>
      <c r="I1120"/>
      <c r="J1120" t="s">
        <v>1812</v>
      </c>
      <c r="K1120"/>
      <c r="L1120">
        <v>100</v>
      </c>
      <c r="M1120">
        <v>15</v>
      </c>
      <c r="N1120"/>
      <c r="O1120"/>
      <c r="P1120" s="31">
        <v>3</v>
      </c>
      <c r="Q1120" s="232">
        <f t="shared" si="608"/>
        <v>0.75</v>
      </c>
      <c r="R1120" s="40">
        <v>0.85</v>
      </c>
      <c r="S1120" s="334">
        <f t="shared" si="609"/>
        <v>0.63749999999999996</v>
      </c>
      <c r="T1120" s="31">
        <f>VLOOKUP(A1120,'Ansvar kurs'!$A$1:$C$1010,2,FALSE)</f>
        <v>2180</v>
      </c>
      <c r="U1120" s="31" t="str">
        <f>VLOOKUP(T1120,Orgenheter!$A$1:$C$165,2,FALSE)</f>
        <v xml:space="preserve">Pedagogik                     </v>
      </c>
      <c r="V1120" s="31" t="str">
        <f>VLOOKUP(T1120,Orgenheter!$A$1:$C$165,3,FALSE)</f>
        <v>Sam</v>
      </c>
      <c r="W1120" s="37" t="str">
        <f>VLOOKUP(D1120,Program!$A$1:$B$34,2,FALSE)</f>
        <v>Speciallärarprogrammet</v>
      </c>
      <c r="X1120" s="42">
        <f>VLOOKUP(A1120,kurspris!$A$1:$Q$798,15,FALSE)</f>
        <v>18405</v>
      </c>
      <c r="Y1120" s="42">
        <f>VLOOKUP(A1120,kurspris!$A$1:$Q$798,16,FALSE)</f>
        <v>15773</v>
      </c>
      <c r="Z1120" s="42">
        <f t="shared" si="610"/>
        <v>23859.037499999999</v>
      </c>
      <c r="AA1120" s="42">
        <f>VLOOKUP(A1120,kurspris!$A$1:$Q$798,17,FALSE)</f>
        <v>5800</v>
      </c>
      <c r="AB1120" s="42">
        <f t="shared" si="611"/>
        <v>4350</v>
      </c>
      <c r="AC1120" s="42">
        <f t="shared" si="612"/>
        <v>28209.037499999999</v>
      </c>
      <c r="AD1120" s="31">
        <f>VLOOKUP($A1120,kurspris!$A$1:$Q$835,3,FALSE)</f>
        <v>0</v>
      </c>
      <c r="AE1120" s="31">
        <f>VLOOKUP($A1120,kurspris!$A$1:$Q$835,4,FALSE)</f>
        <v>0</v>
      </c>
      <c r="AF1120" s="31">
        <f>VLOOKUP($A1120,kurspris!$A$1:$Q$835,5,FALSE)</f>
        <v>0</v>
      </c>
      <c r="AG1120" s="31">
        <f>VLOOKUP($A1120,kurspris!$A$1:$Q$835,6,FALSE)</f>
        <v>0</v>
      </c>
      <c r="AH1120" s="31">
        <f>VLOOKUP($A1120,kurspris!$A$1:$Q$835,7,FALSE)</f>
        <v>0</v>
      </c>
      <c r="AI1120" s="31">
        <f>VLOOKUP($A1120,kurspris!$A$1:$Q$835,8,FALSE)</f>
        <v>0</v>
      </c>
      <c r="AJ1120" s="31">
        <f>VLOOKUP($A1120,kurspris!$A$1:$Q$835,9,FALSE)</f>
        <v>1</v>
      </c>
      <c r="AK1120" s="31">
        <f>VLOOKUP($A1120,kurspris!$A$1:$Q$835,10,FALSE)</f>
        <v>0</v>
      </c>
      <c r="AL1120" s="31">
        <f>VLOOKUP($A1120,kurspris!$A$1:$Q$835,11,FALSE)</f>
        <v>0</v>
      </c>
      <c r="AM1120" s="31">
        <f>VLOOKUP($A1120,kurspris!$A$1:$Q$835,12,FALSE)</f>
        <v>0</v>
      </c>
      <c r="AN1120" s="31">
        <f>VLOOKUP($A1120,kurspris!$A$1:$Q$835,13,FALSE)</f>
        <v>0</v>
      </c>
      <c r="AO1120" s="31">
        <f>VLOOKUP($A1120,kurspris!$A$1:$Q$835,14,FALSE)</f>
        <v>0</v>
      </c>
      <c r="AP1120" s="39" t="s">
        <v>2235</v>
      </c>
      <c r="AQ1120"/>
      <c r="AR1120" s="31">
        <f t="shared" si="613"/>
        <v>0</v>
      </c>
      <c r="AS1120" s="255">
        <f t="shared" si="614"/>
        <v>0</v>
      </c>
      <c r="AT1120" s="31">
        <f t="shared" si="615"/>
        <v>0</v>
      </c>
      <c r="AU1120" s="255">
        <f t="shared" si="616"/>
        <v>0</v>
      </c>
      <c r="AV1120" s="31">
        <f t="shared" si="617"/>
        <v>0</v>
      </c>
      <c r="AW1120" s="31">
        <f t="shared" si="618"/>
        <v>0</v>
      </c>
      <c r="AX1120" s="31">
        <f t="shared" si="619"/>
        <v>0</v>
      </c>
      <c r="AY1120" s="255">
        <f t="shared" si="620"/>
        <v>0</v>
      </c>
      <c r="AZ1120" s="232">
        <f t="shared" si="621"/>
        <v>0</v>
      </c>
      <c r="BA1120" s="255">
        <f t="shared" si="622"/>
        <v>0</v>
      </c>
      <c r="BB1120" s="31">
        <f t="shared" si="623"/>
        <v>0</v>
      </c>
      <c r="BC1120" s="255">
        <f t="shared" si="624"/>
        <v>0</v>
      </c>
      <c r="BD1120" s="31">
        <f t="shared" si="625"/>
        <v>0.75</v>
      </c>
      <c r="BE1120" s="255">
        <f t="shared" si="626"/>
        <v>0.63749999999999996</v>
      </c>
      <c r="BF1120" s="31">
        <f t="shared" si="627"/>
        <v>0</v>
      </c>
      <c r="BG1120" s="255">
        <f t="shared" si="628"/>
        <v>0</v>
      </c>
      <c r="BH1120" s="31">
        <f t="shared" si="629"/>
        <v>0</v>
      </c>
      <c r="BI1120" s="255">
        <f t="shared" si="630"/>
        <v>0</v>
      </c>
      <c r="BJ1120" s="31">
        <f t="shared" si="631"/>
        <v>0</v>
      </c>
      <c r="BK1120" s="31">
        <f t="shared" si="632"/>
        <v>0</v>
      </c>
      <c r="BL1120" s="255">
        <f t="shared" si="633"/>
        <v>0</v>
      </c>
      <c r="BM1120" s="31">
        <f t="shared" si="634"/>
        <v>0</v>
      </c>
      <c r="BN1120" s="255">
        <f t="shared" si="635"/>
        <v>0</v>
      </c>
    </row>
    <row r="1121" spans="1:66" x14ac:dyDescent="0.25">
      <c r="A1121" s="186" t="s">
        <v>2181</v>
      </c>
      <c r="B1121" s="186" t="str">
        <f>VLOOKUP(A1121,kurspris!$A$1:$B$877,2,FALSE)</f>
        <v>Neuropsykiatriska svårigheter - förhållningsätt, bemötande och strategier i pedagogisk verksamhet</v>
      </c>
      <c r="C1121" s="37"/>
      <c r="D1121" t="s">
        <v>117</v>
      </c>
      <c r="E1121"/>
      <c r="F1121" s="59" t="s">
        <v>1930</v>
      </c>
      <c r="G1121"/>
      <c r="H1121"/>
      <c r="I1121" t="s">
        <v>2066</v>
      </c>
      <c r="L1121">
        <v>50</v>
      </c>
      <c r="M1121">
        <v>15</v>
      </c>
      <c r="P1121" s="31">
        <v>57</v>
      </c>
      <c r="Q1121" s="232">
        <f t="shared" si="608"/>
        <v>14.25</v>
      </c>
      <c r="R1121" s="40">
        <v>0.8</v>
      </c>
      <c r="S1121" s="334">
        <f t="shared" si="609"/>
        <v>11.4</v>
      </c>
      <c r="T1121" s="31">
        <f>VLOOKUP(A1121,'Ansvar kurs'!$A$1:$C$1010,2,FALSE)</f>
        <v>2193</v>
      </c>
      <c r="U1121" s="31" t="str">
        <f>VLOOKUP(T1121,Orgenheter!$A$1:$C$165,2,FALSE)</f>
        <v xml:space="preserve">TUV </v>
      </c>
      <c r="V1121" s="31" t="str">
        <f>VLOOKUP(T1121,Orgenheter!$A$1:$C$165,3,FALSE)</f>
        <v>Sam</v>
      </c>
      <c r="W1121" s="37" t="str">
        <f>VLOOKUP(D1121,Program!$A$1:$B$34,2,FALSE)</f>
        <v>Fristående och övriga kurser</v>
      </c>
      <c r="X1121" s="42">
        <f>VLOOKUP(A1121,kurspris!$A$1:$Q$798,15,FALSE)</f>
        <v>18405</v>
      </c>
      <c r="Y1121" s="42">
        <f>VLOOKUP(A1121,kurspris!$A$1:$Q$798,16,FALSE)</f>
        <v>15773</v>
      </c>
      <c r="Z1121" s="42">
        <f t="shared" si="610"/>
        <v>442083.45</v>
      </c>
      <c r="AA1121" s="42">
        <f>VLOOKUP(A1121,kurspris!$A$1:$Q$798,17,FALSE)</f>
        <v>5800</v>
      </c>
      <c r="AB1121" s="42">
        <f t="shared" si="611"/>
        <v>82650</v>
      </c>
      <c r="AC1121" s="42">
        <f t="shared" si="612"/>
        <v>524733.44999999995</v>
      </c>
      <c r="AD1121" s="31">
        <f>VLOOKUP($A1121,kurspris!$A$1:$Q$835,3,FALSE)</f>
        <v>0</v>
      </c>
      <c r="AE1121" s="31">
        <f>VLOOKUP($A1121,kurspris!$A$1:$Q$835,4,FALSE)</f>
        <v>0</v>
      </c>
      <c r="AF1121" s="31">
        <f>VLOOKUP($A1121,kurspris!$A$1:$Q$835,5,FALSE)</f>
        <v>0</v>
      </c>
      <c r="AG1121" s="31">
        <f>VLOOKUP($A1121,kurspris!$A$1:$Q$835,6,FALSE)</f>
        <v>0</v>
      </c>
      <c r="AH1121" s="31">
        <f>VLOOKUP($A1121,kurspris!$A$1:$Q$835,7,FALSE)</f>
        <v>0</v>
      </c>
      <c r="AI1121" s="31">
        <f>VLOOKUP($A1121,kurspris!$A$1:$Q$835,8,FALSE)</f>
        <v>0</v>
      </c>
      <c r="AJ1121" s="31">
        <f>VLOOKUP($A1121,kurspris!$A$1:$Q$835,9,FALSE)</f>
        <v>1</v>
      </c>
      <c r="AK1121" s="31">
        <f>VLOOKUP($A1121,kurspris!$A$1:$Q$835,10,FALSE)</f>
        <v>0</v>
      </c>
      <c r="AL1121" s="31">
        <f>VLOOKUP($A1121,kurspris!$A$1:$Q$835,11,FALSE)</f>
        <v>0</v>
      </c>
      <c r="AM1121" s="31">
        <f>VLOOKUP($A1121,kurspris!$A$1:$Q$835,12,FALSE)</f>
        <v>0</v>
      </c>
      <c r="AN1121" s="31">
        <f>VLOOKUP($A1121,kurspris!$A$1:$Q$835,13,FALSE)</f>
        <v>0</v>
      </c>
      <c r="AO1121" s="31">
        <f>VLOOKUP($A1121,kurspris!$A$1:$Q$835,14,FALSE)</f>
        <v>0</v>
      </c>
      <c r="AP1121" s="39" t="s">
        <v>2204</v>
      </c>
      <c r="AQ1121" s="39" t="s">
        <v>2095</v>
      </c>
      <c r="AR1121" s="31">
        <f t="shared" si="613"/>
        <v>0</v>
      </c>
      <c r="AS1121" s="255">
        <f t="shared" si="614"/>
        <v>0</v>
      </c>
      <c r="AT1121" s="31">
        <f t="shared" si="615"/>
        <v>0</v>
      </c>
      <c r="AU1121" s="255">
        <f t="shared" si="616"/>
        <v>0</v>
      </c>
      <c r="AV1121" s="31">
        <f t="shared" si="617"/>
        <v>0</v>
      </c>
      <c r="AW1121" s="31">
        <f t="shared" si="618"/>
        <v>0</v>
      </c>
      <c r="AX1121" s="31">
        <f t="shared" si="619"/>
        <v>0</v>
      </c>
      <c r="AY1121" s="255">
        <f t="shared" si="620"/>
        <v>0</v>
      </c>
      <c r="AZ1121" s="232">
        <f t="shared" si="621"/>
        <v>0</v>
      </c>
      <c r="BA1121" s="255">
        <f t="shared" si="622"/>
        <v>0</v>
      </c>
      <c r="BB1121" s="31">
        <f t="shared" si="623"/>
        <v>0</v>
      </c>
      <c r="BC1121" s="255">
        <f t="shared" si="624"/>
        <v>0</v>
      </c>
      <c r="BD1121" s="31">
        <f t="shared" si="625"/>
        <v>14.25</v>
      </c>
      <c r="BE1121" s="255">
        <f t="shared" si="626"/>
        <v>11.4</v>
      </c>
      <c r="BF1121" s="31">
        <f t="shared" si="627"/>
        <v>0</v>
      </c>
      <c r="BG1121" s="255">
        <f t="shared" si="628"/>
        <v>0</v>
      </c>
      <c r="BH1121" s="31">
        <f t="shared" si="629"/>
        <v>0</v>
      </c>
      <c r="BI1121" s="255">
        <f t="shared" si="630"/>
        <v>0</v>
      </c>
      <c r="BJ1121" s="31">
        <f t="shared" si="631"/>
        <v>0</v>
      </c>
      <c r="BK1121" s="31">
        <f t="shared" si="632"/>
        <v>0</v>
      </c>
      <c r="BL1121" s="255">
        <f t="shared" si="633"/>
        <v>0</v>
      </c>
      <c r="BM1121" s="31">
        <f t="shared" si="634"/>
        <v>0</v>
      </c>
      <c r="BN1121" s="255">
        <f t="shared" si="635"/>
        <v>0</v>
      </c>
    </row>
    <row r="1122" spans="1:66" x14ac:dyDescent="0.25">
      <c r="A1122" s="186" t="s">
        <v>2181</v>
      </c>
      <c r="B1122" s="186" t="str">
        <f>VLOOKUP(A1122,kurspris!$A$1:$B$877,2,FALSE)</f>
        <v>Neuropsykiatriska svårigheter - förhållningsätt, bemötande och strategier i pedagogisk verksamhet</v>
      </c>
      <c r="C1122" s="37"/>
      <c r="D1122" t="s">
        <v>117</v>
      </c>
      <c r="E1122"/>
      <c r="F1122" s="59" t="s">
        <v>1931</v>
      </c>
      <c r="G1122"/>
      <c r="H1122"/>
      <c r="I1122" t="s">
        <v>2066</v>
      </c>
      <c r="L1122">
        <v>50</v>
      </c>
      <c r="M1122">
        <v>15</v>
      </c>
      <c r="P1122">
        <v>30</v>
      </c>
      <c r="Q1122" s="232">
        <f t="shared" si="608"/>
        <v>7.5</v>
      </c>
      <c r="R1122" s="40">
        <v>0.8</v>
      </c>
      <c r="S1122" s="334">
        <f t="shared" si="609"/>
        <v>6</v>
      </c>
      <c r="T1122" s="31">
        <f>VLOOKUP(A1122,'Ansvar kurs'!$A$1:$C$1010,2,FALSE)</f>
        <v>2193</v>
      </c>
      <c r="U1122" s="31" t="str">
        <f>VLOOKUP(T1122,Orgenheter!$A$1:$C$165,2,FALSE)</f>
        <v xml:space="preserve">TUV </v>
      </c>
      <c r="V1122" s="31" t="str">
        <f>VLOOKUP(T1122,Orgenheter!$A$1:$C$165,3,FALSE)</f>
        <v>Sam</v>
      </c>
      <c r="W1122" s="37" t="str">
        <f>VLOOKUP(D1122,Program!$A$1:$B$34,2,FALSE)</f>
        <v>Fristående och övriga kurser</v>
      </c>
      <c r="X1122" s="42">
        <f>VLOOKUP(A1122,kurspris!$A$1:$Q$798,15,FALSE)</f>
        <v>18405</v>
      </c>
      <c r="Y1122" s="42">
        <f>VLOOKUP(A1122,kurspris!$A$1:$Q$798,16,FALSE)</f>
        <v>15773</v>
      </c>
      <c r="Z1122" s="42">
        <f t="shared" si="610"/>
        <v>232675.5</v>
      </c>
      <c r="AA1122" s="42">
        <f>VLOOKUP(A1122,kurspris!$A$1:$Q$798,17,FALSE)</f>
        <v>5800</v>
      </c>
      <c r="AB1122" s="42">
        <f t="shared" si="611"/>
        <v>43500</v>
      </c>
      <c r="AC1122" s="42">
        <f t="shared" si="612"/>
        <v>276175.5</v>
      </c>
      <c r="AD1122" s="31">
        <f>VLOOKUP($A1122,kurspris!$A$1:$Q$835,3,FALSE)</f>
        <v>0</v>
      </c>
      <c r="AE1122" s="31">
        <f>VLOOKUP($A1122,kurspris!$A$1:$Q$835,4,FALSE)</f>
        <v>0</v>
      </c>
      <c r="AF1122" s="31">
        <f>VLOOKUP($A1122,kurspris!$A$1:$Q$835,5,FALSE)</f>
        <v>0</v>
      </c>
      <c r="AG1122" s="31">
        <f>VLOOKUP($A1122,kurspris!$A$1:$Q$835,6,FALSE)</f>
        <v>0</v>
      </c>
      <c r="AH1122" s="31">
        <f>VLOOKUP($A1122,kurspris!$A$1:$Q$835,7,FALSE)</f>
        <v>0</v>
      </c>
      <c r="AI1122" s="31">
        <f>VLOOKUP($A1122,kurspris!$A$1:$Q$835,8,FALSE)</f>
        <v>0</v>
      </c>
      <c r="AJ1122" s="31">
        <f>VLOOKUP($A1122,kurspris!$A$1:$Q$835,9,FALSE)</f>
        <v>1</v>
      </c>
      <c r="AK1122" s="31">
        <f>VLOOKUP($A1122,kurspris!$A$1:$Q$835,10,FALSE)</f>
        <v>0</v>
      </c>
      <c r="AL1122" s="31">
        <f>VLOOKUP($A1122,kurspris!$A$1:$Q$835,11,FALSE)</f>
        <v>0</v>
      </c>
      <c r="AM1122" s="31">
        <f>VLOOKUP($A1122,kurspris!$A$1:$Q$835,12,FALSE)</f>
        <v>0</v>
      </c>
      <c r="AN1122" s="31">
        <f>VLOOKUP($A1122,kurspris!$A$1:$Q$835,13,FALSE)</f>
        <v>0</v>
      </c>
      <c r="AO1122" s="31">
        <f>VLOOKUP($A1122,kurspris!$A$1:$Q$835,14,FALSE)</f>
        <v>0</v>
      </c>
      <c r="AP1122" s="39" t="s">
        <v>2095</v>
      </c>
      <c r="AQ1122"/>
      <c r="AR1122" s="31">
        <f t="shared" si="613"/>
        <v>0</v>
      </c>
      <c r="AS1122" s="255">
        <f t="shared" si="614"/>
        <v>0</v>
      </c>
      <c r="AT1122" s="31">
        <f t="shared" si="615"/>
        <v>0</v>
      </c>
      <c r="AU1122" s="255">
        <f t="shared" si="616"/>
        <v>0</v>
      </c>
      <c r="AV1122" s="31">
        <f t="shared" si="617"/>
        <v>0</v>
      </c>
      <c r="AW1122" s="31">
        <f t="shared" si="618"/>
        <v>0</v>
      </c>
      <c r="AX1122" s="31">
        <f t="shared" si="619"/>
        <v>0</v>
      </c>
      <c r="AY1122" s="255">
        <f t="shared" si="620"/>
        <v>0</v>
      </c>
      <c r="AZ1122" s="232">
        <f t="shared" si="621"/>
        <v>0</v>
      </c>
      <c r="BA1122" s="255">
        <f t="shared" si="622"/>
        <v>0</v>
      </c>
      <c r="BB1122" s="31">
        <f t="shared" si="623"/>
        <v>0</v>
      </c>
      <c r="BC1122" s="255">
        <f t="shared" si="624"/>
        <v>0</v>
      </c>
      <c r="BD1122" s="31">
        <f t="shared" si="625"/>
        <v>7.5</v>
      </c>
      <c r="BE1122" s="255">
        <f t="shared" si="626"/>
        <v>6</v>
      </c>
      <c r="BF1122" s="31">
        <f t="shared" si="627"/>
        <v>0</v>
      </c>
      <c r="BG1122" s="255">
        <f t="shared" si="628"/>
        <v>0</v>
      </c>
      <c r="BH1122" s="31">
        <f t="shared" si="629"/>
        <v>0</v>
      </c>
      <c r="BI1122" s="255">
        <f t="shared" si="630"/>
        <v>0</v>
      </c>
      <c r="BJ1122" s="31">
        <f t="shared" si="631"/>
        <v>0</v>
      </c>
      <c r="BK1122" s="31">
        <f t="shared" si="632"/>
        <v>0</v>
      </c>
      <c r="BL1122" s="255">
        <f t="shared" si="633"/>
        <v>0</v>
      </c>
      <c r="BM1122" s="31">
        <f t="shared" si="634"/>
        <v>0</v>
      </c>
      <c r="BN1122" s="255">
        <f t="shared" si="635"/>
        <v>0</v>
      </c>
    </row>
    <row r="1123" spans="1:66" x14ac:dyDescent="0.25">
      <c r="A1123" t="s">
        <v>2103</v>
      </c>
      <c r="B1123" s="186" t="str">
        <f>VLOOKUP(A1123,kurspris!$A$1:$B$877,2,FALSE)</f>
        <v>Specialpedagogiska kunskapsområden</v>
      </c>
      <c r="C1123"/>
      <c r="D1123" t="s">
        <v>120</v>
      </c>
      <c r="E1123" t="s">
        <v>1994</v>
      </c>
      <c r="F1123" s="59" t="s">
        <v>1930</v>
      </c>
      <c r="G1123" t="s">
        <v>1989</v>
      </c>
      <c r="H1123" t="s">
        <v>1910</v>
      </c>
      <c r="I1123"/>
      <c r="J1123" t="s">
        <v>2164</v>
      </c>
      <c r="K1123"/>
      <c r="L1123">
        <v>100</v>
      </c>
      <c r="M1123">
        <v>7.5</v>
      </c>
      <c r="N1123"/>
      <c r="O1123"/>
      <c r="P1123" s="31">
        <v>1</v>
      </c>
      <c r="Q1123" s="232">
        <f t="shared" si="608"/>
        <v>0.125</v>
      </c>
      <c r="R1123" s="40">
        <v>0.85</v>
      </c>
      <c r="S1123" s="334">
        <f t="shared" si="609"/>
        <v>0.10625</v>
      </c>
      <c r="T1123" s="31">
        <f>VLOOKUP(A1123,'Ansvar kurs'!$A$1:$C$1010,2,FALSE)</f>
        <v>2193</v>
      </c>
      <c r="U1123" s="31" t="str">
        <f>VLOOKUP(T1123,Orgenheter!$A$1:$C$165,2,FALSE)</f>
        <v xml:space="preserve">TUV </v>
      </c>
      <c r="V1123" s="31" t="str">
        <f>VLOOKUP(T1123,Orgenheter!$A$1:$C$165,3,FALSE)</f>
        <v>Sam</v>
      </c>
      <c r="W1123" s="37" t="str">
        <f>VLOOKUP(D1123,Program!$A$1:$B$34,2,FALSE)</f>
        <v>Specialpedagogprogrammet</v>
      </c>
      <c r="X1123" s="42">
        <f>VLOOKUP(A1123,kurspris!$A$1:$Q$798,15,FALSE)</f>
        <v>18405</v>
      </c>
      <c r="Y1123" s="42">
        <f>VLOOKUP(A1123,kurspris!$A$1:$Q$798,16,FALSE)</f>
        <v>15773</v>
      </c>
      <c r="Z1123" s="42">
        <f t="shared" si="610"/>
        <v>3976.5062499999999</v>
      </c>
      <c r="AA1123" s="42">
        <f>VLOOKUP(A1123,kurspris!$A$1:$Q$798,17,FALSE)</f>
        <v>5800</v>
      </c>
      <c r="AB1123" s="42">
        <f t="shared" si="611"/>
        <v>725</v>
      </c>
      <c r="AC1123" s="42">
        <f t="shared" si="612"/>
        <v>4701.5062500000004</v>
      </c>
      <c r="AD1123" s="31">
        <f>VLOOKUP($A1123,kurspris!$A$1:$Q$835,3,FALSE)</f>
        <v>0</v>
      </c>
      <c r="AE1123" s="31">
        <f>VLOOKUP($A1123,kurspris!$A$1:$Q$835,4,FALSE)</f>
        <v>0</v>
      </c>
      <c r="AF1123" s="31">
        <f>VLOOKUP($A1123,kurspris!$A$1:$Q$835,5,FALSE)</f>
        <v>0</v>
      </c>
      <c r="AG1123" s="31">
        <f>VLOOKUP($A1123,kurspris!$A$1:$Q$835,6,FALSE)</f>
        <v>0</v>
      </c>
      <c r="AH1123" s="31">
        <f>VLOOKUP($A1123,kurspris!$A$1:$Q$835,7,FALSE)</f>
        <v>0</v>
      </c>
      <c r="AI1123" s="31">
        <f>VLOOKUP($A1123,kurspris!$A$1:$Q$835,8,FALSE)</f>
        <v>0</v>
      </c>
      <c r="AJ1123" s="31">
        <f>VLOOKUP($A1123,kurspris!$A$1:$Q$835,9,FALSE)</f>
        <v>1</v>
      </c>
      <c r="AK1123" s="31">
        <f>VLOOKUP($A1123,kurspris!$A$1:$Q$835,10,FALSE)</f>
        <v>0</v>
      </c>
      <c r="AL1123" s="31">
        <f>VLOOKUP($A1123,kurspris!$A$1:$Q$835,11,FALSE)</f>
        <v>0</v>
      </c>
      <c r="AM1123" s="31">
        <f>VLOOKUP($A1123,kurspris!$A$1:$Q$835,12,FALSE)</f>
        <v>0</v>
      </c>
      <c r="AN1123" s="31">
        <f>VLOOKUP($A1123,kurspris!$A$1:$Q$835,13,FALSE)</f>
        <v>0</v>
      </c>
      <c r="AO1123" s="31">
        <f>VLOOKUP($A1123,kurspris!$A$1:$Q$835,14,FALSE)</f>
        <v>0</v>
      </c>
      <c r="AP1123" s="39" t="s">
        <v>2204</v>
      </c>
      <c r="AQ1123"/>
      <c r="AR1123" s="31">
        <f t="shared" si="613"/>
        <v>0</v>
      </c>
      <c r="AS1123" s="255">
        <f t="shared" si="614"/>
        <v>0</v>
      </c>
      <c r="AT1123" s="31">
        <f t="shared" si="615"/>
        <v>0</v>
      </c>
      <c r="AU1123" s="255">
        <f t="shared" si="616"/>
        <v>0</v>
      </c>
      <c r="AV1123" s="31">
        <f t="shared" si="617"/>
        <v>0</v>
      </c>
      <c r="AW1123" s="31">
        <f t="shared" si="618"/>
        <v>0</v>
      </c>
      <c r="AX1123" s="31">
        <f t="shared" si="619"/>
        <v>0</v>
      </c>
      <c r="AY1123" s="255">
        <f t="shared" si="620"/>
        <v>0</v>
      </c>
      <c r="AZ1123" s="232">
        <f t="shared" si="621"/>
        <v>0</v>
      </c>
      <c r="BA1123" s="255">
        <f t="shared" si="622"/>
        <v>0</v>
      </c>
      <c r="BB1123" s="31">
        <f t="shared" si="623"/>
        <v>0</v>
      </c>
      <c r="BC1123" s="255">
        <f t="shared" si="624"/>
        <v>0</v>
      </c>
      <c r="BD1123" s="31">
        <f t="shared" si="625"/>
        <v>0.125</v>
      </c>
      <c r="BE1123" s="255">
        <f t="shared" si="626"/>
        <v>0.10625</v>
      </c>
      <c r="BF1123" s="31">
        <f t="shared" si="627"/>
        <v>0</v>
      </c>
      <c r="BG1123" s="255">
        <f t="shared" si="628"/>
        <v>0</v>
      </c>
      <c r="BH1123" s="31">
        <f t="shared" si="629"/>
        <v>0</v>
      </c>
      <c r="BI1123" s="255">
        <f t="shared" si="630"/>
        <v>0</v>
      </c>
      <c r="BJ1123" s="31">
        <f t="shared" si="631"/>
        <v>0</v>
      </c>
      <c r="BK1123" s="31">
        <f t="shared" si="632"/>
        <v>0</v>
      </c>
      <c r="BL1123" s="255">
        <f t="shared" si="633"/>
        <v>0</v>
      </c>
      <c r="BM1123" s="31">
        <f t="shared" si="634"/>
        <v>0</v>
      </c>
      <c r="BN1123" s="255">
        <f t="shared" si="635"/>
        <v>0</v>
      </c>
    </row>
    <row r="1124" spans="1:66" x14ac:dyDescent="0.25">
      <c r="A1124" t="s">
        <v>2103</v>
      </c>
      <c r="B1124" s="186" t="str">
        <f>VLOOKUP(A1124,kurspris!$A$1:$B$877,2,FALSE)</f>
        <v>Specialpedagogiska kunskapsområden</v>
      </c>
      <c r="C1124"/>
      <c r="D1124" t="s">
        <v>120</v>
      </c>
      <c r="E1124" t="s">
        <v>1788</v>
      </c>
      <c r="F1124" s="59" t="s">
        <v>1930</v>
      </c>
      <c r="G1124" t="s">
        <v>1989</v>
      </c>
      <c r="H1124" t="s">
        <v>1910</v>
      </c>
      <c r="I1124"/>
      <c r="J1124" t="s">
        <v>2164</v>
      </c>
      <c r="K1124"/>
      <c r="L1124">
        <v>100</v>
      </c>
      <c r="M1124">
        <v>7.5</v>
      </c>
      <c r="N1124"/>
      <c r="O1124"/>
      <c r="P1124" s="31">
        <v>38</v>
      </c>
      <c r="Q1124" s="232">
        <f t="shared" si="608"/>
        <v>4.75</v>
      </c>
      <c r="R1124" s="40">
        <v>0.85</v>
      </c>
      <c r="S1124" s="334">
        <f t="shared" si="609"/>
        <v>4.0374999999999996</v>
      </c>
      <c r="T1124" s="31">
        <f>VLOOKUP(A1124,'Ansvar kurs'!$A$1:$C$1010,2,FALSE)</f>
        <v>2193</v>
      </c>
      <c r="U1124" s="31" t="str">
        <f>VLOOKUP(T1124,Orgenheter!$A$1:$C$165,2,FALSE)</f>
        <v xml:space="preserve">TUV </v>
      </c>
      <c r="V1124" s="31" t="str">
        <f>VLOOKUP(T1124,Orgenheter!$A$1:$C$165,3,FALSE)</f>
        <v>Sam</v>
      </c>
      <c r="W1124" s="37" t="str">
        <f>VLOOKUP(D1124,Program!$A$1:$B$34,2,FALSE)</f>
        <v>Specialpedagogprogrammet</v>
      </c>
      <c r="X1124" s="42">
        <f>VLOOKUP(A1124,kurspris!$A$1:$Q$798,15,FALSE)</f>
        <v>18405</v>
      </c>
      <c r="Y1124" s="42">
        <f>VLOOKUP(A1124,kurspris!$A$1:$Q$798,16,FALSE)</f>
        <v>15773</v>
      </c>
      <c r="Z1124" s="42">
        <f t="shared" si="610"/>
        <v>151107.23749999999</v>
      </c>
      <c r="AA1124" s="42">
        <f>VLOOKUP(A1124,kurspris!$A$1:$Q$798,17,FALSE)</f>
        <v>5800</v>
      </c>
      <c r="AB1124" s="42">
        <f t="shared" si="611"/>
        <v>27550</v>
      </c>
      <c r="AC1124" s="42">
        <f t="shared" si="612"/>
        <v>178657.23749999999</v>
      </c>
      <c r="AD1124" s="31">
        <f>VLOOKUP($A1124,kurspris!$A$1:$Q$835,3,FALSE)</f>
        <v>0</v>
      </c>
      <c r="AE1124" s="31">
        <f>VLOOKUP($A1124,kurspris!$A$1:$Q$835,4,FALSE)</f>
        <v>0</v>
      </c>
      <c r="AF1124" s="31">
        <f>VLOOKUP($A1124,kurspris!$A$1:$Q$835,5,FALSE)</f>
        <v>0</v>
      </c>
      <c r="AG1124" s="31">
        <f>VLOOKUP($A1124,kurspris!$A$1:$Q$835,6,FALSE)</f>
        <v>0</v>
      </c>
      <c r="AH1124" s="31">
        <f>VLOOKUP($A1124,kurspris!$A$1:$Q$835,7,FALSE)</f>
        <v>0</v>
      </c>
      <c r="AI1124" s="31">
        <f>VLOOKUP($A1124,kurspris!$A$1:$Q$835,8,FALSE)</f>
        <v>0</v>
      </c>
      <c r="AJ1124" s="31">
        <f>VLOOKUP($A1124,kurspris!$A$1:$Q$835,9,FALSE)</f>
        <v>1</v>
      </c>
      <c r="AK1124" s="31">
        <f>VLOOKUP($A1124,kurspris!$A$1:$Q$835,10,FALSE)</f>
        <v>0</v>
      </c>
      <c r="AL1124" s="31">
        <f>VLOOKUP($A1124,kurspris!$A$1:$Q$835,11,FALSE)</f>
        <v>0</v>
      </c>
      <c r="AM1124" s="31">
        <f>VLOOKUP($A1124,kurspris!$A$1:$Q$835,12,FALSE)</f>
        <v>0</v>
      </c>
      <c r="AN1124" s="31">
        <f>VLOOKUP($A1124,kurspris!$A$1:$Q$835,13,FALSE)</f>
        <v>0</v>
      </c>
      <c r="AO1124" s="31">
        <f>VLOOKUP($A1124,kurspris!$A$1:$Q$835,14,FALSE)</f>
        <v>0</v>
      </c>
      <c r="AP1124" s="39" t="s">
        <v>2204</v>
      </c>
      <c r="AQ1124"/>
      <c r="AR1124" s="31">
        <f t="shared" si="613"/>
        <v>0</v>
      </c>
      <c r="AS1124" s="255">
        <f t="shared" si="614"/>
        <v>0</v>
      </c>
      <c r="AT1124" s="31">
        <f t="shared" si="615"/>
        <v>0</v>
      </c>
      <c r="AU1124" s="255">
        <f t="shared" si="616"/>
        <v>0</v>
      </c>
      <c r="AV1124" s="31">
        <f t="shared" si="617"/>
        <v>0</v>
      </c>
      <c r="AW1124" s="31">
        <f t="shared" si="618"/>
        <v>0</v>
      </c>
      <c r="AX1124" s="31">
        <f t="shared" si="619"/>
        <v>0</v>
      </c>
      <c r="AY1124" s="255">
        <f t="shared" si="620"/>
        <v>0</v>
      </c>
      <c r="AZ1124" s="232">
        <f t="shared" si="621"/>
        <v>0</v>
      </c>
      <c r="BA1124" s="255">
        <f t="shared" si="622"/>
        <v>0</v>
      </c>
      <c r="BB1124" s="31">
        <f t="shared" si="623"/>
        <v>0</v>
      </c>
      <c r="BC1124" s="255">
        <f t="shared" si="624"/>
        <v>0</v>
      </c>
      <c r="BD1124" s="31">
        <f t="shared" si="625"/>
        <v>4.75</v>
      </c>
      <c r="BE1124" s="255">
        <f t="shared" si="626"/>
        <v>4.0374999999999996</v>
      </c>
      <c r="BF1124" s="31">
        <f t="shared" si="627"/>
        <v>0</v>
      </c>
      <c r="BG1124" s="255">
        <f t="shared" si="628"/>
        <v>0</v>
      </c>
      <c r="BH1124" s="31">
        <f t="shared" si="629"/>
        <v>0</v>
      </c>
      <c r="BI1124" s="255">
        <f t="shared" si="630"/>
        <v>0</v>
      </c>
      <c r="BJ1124" s="31">
        <f t="shared" si="631"/>
        <v>0</v>
      </c>
      <c r="BK1124" s="31">
        <f t="shared" si="632"/>
        <v>0</v>
      </c>
      <c r="BL1124" s="255">
        <f t="shared" si="633"/>
        <v>0</v>
      </c>
      <c r="BM1124" s="31">
        <f t="shared" si="634"/>
        <v>0</v>
      </c>
      <c r="BN1124" s="255">
        <f t="shared" si="635"/>
        <v>0</v>
      </c>
    </row>
    <row r="1125" spans="1:66" x14ac:dyDescent="0.25">
      <c r="A1125" s="59" t="s">
        <v>2135</v>
      </c>
      <c r="B1125" s="186" t="str">
        <f>VLOOKUP(A1125,kurspris!$A$1:$B$877,2,FALSE)</f>
        <v>Vetenskaplig metodkurs Speciallärar- och specialpedagogprogrammen</v>
      </c>
      <c r="C1125" s="37"/>
      <c r="D1125" s="59" t="s">
        <v>120</v>
      </c>
      <c r="E1125" s="62" t="s">
        <v>1788</v>
      </c>
      <c r="F1125" s="59" t="s">
        <v>1931</v>
      </c>
      <c r="G1125" s="31" t="s">
        <v>2274</v>
      </c>
      <c r="I1125" s="62"/>
      <c r="J1125" s="62"/>
      <c r="L1125" s="31">
        <v>100</v>
      </c>
      <c r="M1125" s="378">
        <v>7.5</v>
      </c>
      <c r="N1125" s="40"/>
      <c r="P1125" s="377">
        <v>33</v>
      </c>
      <c r="Q1125" s="232">
        <f t="shared" si="608"/>
        <v>4.125</v>
      </c>
      <c r="R1125" s="40">
        <v>0.85</v>
      </c>
      <c r="S1125" s="334">
        <f t="shared" si="609"/>
        <v>3.5062500000000001</v>
      </c>
      <c r="T1125" s="31">
        <f>VLOOKUP(A1125,'Ansvar kurs'!$A$1:$C$1010,2,FALSE)</f>
        <v>2180</v>
      </c>
      <c r="U1125" s="31" t="str">
        <f>VLOOKUP(T1125,Orgenheter!$A$1:$C$165,2,FALSE)</f>
        <v xml:space="preserve">Pedagogik                     </v>
      </c>
      <c r="V1125" s="31" t="str">
        <f>VLOOKUP(T1125,Orgenheter!$A$1:$C$165,3,FALSE)</f>
        <v>Sam</v>
      </c>
      <c r="W1125" s="37" t="str">
        <f>VLOOKUP(D1125,Program!$A$1:$B$34,2,FALSE)</f>
        <v>Specialpedagogprogrammet</v>
      </c>
      <c r="X1125" s="42">
        <f>VLOOKUP(A1125,kurspris!$A$1:$Q$798,15,FALSE)</f>
        <v>18405</v>
      </c>
      <c r="Y1125" s="42">
        <f>VLOOKUP(A1125,kurspris!$A$1:$Q$798,16,FALSE)</f>
        <v>15773</v>
      </c>
      <c r="Z1125" s="42">
        <f t="shared" si="610"/>
        <v>131224.70624999999</v>
      </c>
      <c r="AA1125" s="42">
        <f>VLOOKUP(A1125,kurspris!$A$1:$Q$798,17,FALSE)</f>
        <v>5800</v>
      </c>
      <c r="AB1125" s="42">
        <f t="shared" si="611"/>
        <v>23925</v>
      </c>
      <c r="AC1125" s="42">
        <f t="shared" si="612"/>
        <v>155149.70624999999</v>
      </c>
      <c r="AD1125" s="31">
        <f>VLOOKUP($A1125,kurspris!$A$1:$Q$835,3,FALSE)</f>
        <v>0</v>
      </c>
      <c r="AE1125" s="31">
        <f>VLOOKUP($A1125,kurspris!$A$1:$Q$835,4,FALSE)</f>
        <v>0</v>
      </c>
      <c r="AF1125" s="31">
        <f>VLOOKUP($A1125,kurspris!$A$1:$Q$835,5,FALSE)</f>
        <v>0</v>
      </c>
      <c r="AG1125" s="31">
        <f>VLOOKUP($A1125,kurspris!$A$1:$Q$835,6,FALSE)</f>
        <v>0</v>
      </c>
      <c r="AH1125" s="31">
        <f>VLOOKUP($A1125,kurspris!$A$1:$Q$835,7,FALSE)</f>
        <v>0</v>
      </c>
      <c r="AI1125" s="31">
        <f>VLOOKUP($A1125,kurspris!$A$1:$Q$835,8,FALSE)</f>
        <v>0</v>
      </c>
      <c r="AJ1125" s="31">
        <f>VLOOKUP($A1125,kurspris!$A$1:$Q$835,9,FALSE)</f>
        <v>1</v>
      </c>
      <c r="AK1125" s="31">
        <f>VLOOKUP($A1125,kurspris!$A$1:$Q$835,10,FALSE)</f>
        <v>0</v>
      </c>
      <c r="AL1125" s="31">
        <f>VLOOKUP($A1125,kurspris!$A$1:$Q$835,11,FALSE)</f>
        <v>0</v>
      </c>
      <c r="AM1125" s="31">
        <f>VLOOKUP($A1125,kurspris!$A$1:$Q$835,12,FALSE)</f>
        <v>0</v>
      </c>
      <c r="AN1125" s="31">
        <f>VLOOKUP($A1125,kurspris!$A$1:$Q$835,13,FALSE)</f>
        <v>0</v>
      </c>
      <c r="AO1125" s="31">
        <f>VLOOKUP($A1125,kurspris!$A$1:$Q$835,14,FALSE)</f>
        <v>0</v>
      </c>
      <c r="AP1125" s="39" t="s">
        <v>2326</v>
      </c>
      <c r="AQ1125"/>
      <c r="AR1125" s="31">
        <f t="shared" si="613"/>
        <v>0</v>
      </c>
      <c r="AS1125" s="255">
        <f t="shared" si="614"/>
        <v>0</v>
      </c>
      <c r="AT1125" s="31">
        <f t="shared" si="615"/>
        <v>0</v>
      </c>
      <c r="AU1125" s="255">
        <f t="shared" si="616"/>
        <v>0</v>
      </c>
      <c r="AV1125" s="31">
        <f t="shared" si="617"/>
        <v>0</v>
      </c>
      <c r="AW1125" s="31">
        <f t="shared" si="618"/>
        <v>0</v>
      </c>
      <c r="AX1125" s="31">
        <f t="shared" si="619"/>
        <v>0</v>
      </c>
      <c r="AY1125" s="255">
        <f t="shared" si="620"/>
        <v>0</v>
      </c>
      <c r="AZ1125" s="232">
        <f t="shared" si="621"/>
        <v>0</v>
      </c>
      <c r="BA1125" s="255">
        <f t="shared" si="622"/>
        <v>0</v>
      </c>
      <c r="BB1125" s="31">
        <f t="shared" si="623"/>
        <v>0</v>
      </c>
      <c r="BC1125" s="255">
        <f t="shared" si="624"/>
        <v>0</v>
      </c>
      <c r="BD1125" s="31">
        <f t="shared" si="625"/>
        <v>4.125</v>
      </c>
      <c r="BE1125" s="255">
        <f t="shared" si="626"/>
        <v>3.5062500000000001</v>
      </c>
      <c r="BF1125" s="31">
        <f t="shared" si="627"/>
        <v>0</v>
      </c>
      <c r="BG1125" s="255">
        <f t="shared" si="628"/>
        <v>0</v>
      </c>
      <c r="BH1125" s="31">
        <f t="shared" si="629"/>
        <v>0</v>
      </c>
      <c r="BI1125" s="255">
        <f t="shared" si="630"/>
        <v>0</v>
      </c>
      <c r="BJ1125" s="31">
        <f t="shared" si="631"/>
        <v>0</v>
      </c>
      <c r="BK1125" s="31">
        <f t="shared" si="632"/>
        <v>0</v>
      </c>
      <c r="BL1125" s="255">
        <f t="shared" si="633"/>
        <v>0</v>
      </c>
      <c r="BM1125" s="31">
        <f t="shared" si="634"/>
        <v>0</v>
      </c>
      <c r="BN1125" s="255">
        <f t="shared" si="635"/>
        <v>0</v>
      </c>
    </row>
    <row r="1126" spans="1:66" x14ac:dyDescent="0.25">
      <c r="A1126" s="18" t="s">
        <v>2135</v>
      </c>
      <c r="B1126" s="186" t="str">
        <f>VLOOKUP(A1126,kurspris!$A$1:$B$877,2,FALSE)</f>
        <v>Vetenskaplig metodkurs Speciallärar- och specialpedagogprogrammen</v>
      </c>
      <c r="C1126" s="37"/>
      <c r="D1126" s="31" t="s">
        <v>115</v>
      </c>
      <c r="E1126" s="31" t="s">
        <v>1788</v>
      </c>
      <c r="F1126" s="59" t="s">
        <v>1931</v>
      </c>
      <c r="G1126" s="31" t="s">
        <v>2274</v>
      </c>
      <c r="J1126" t="s">
        <v>2163</v>
      </c>
      <c r="L1126" s="31">
        <v>100</v>
      </c>
      <c r="M1126" s="31">
        <v>7.5</v>
      </c>
      <c r="P1126" s="31">
        <v>8</v>
      </c>
      <c r="Q1126" s="232">
        <f t="shared" si="608"/>
        <v>1</v>
      </c>
      <c r="R1126" s="40">
        <v>0.85</v>
      </c>
      <c r="S1126" s="334">
        <f t="shared" si="609"/>
        <v>0.85</v>
      </c>
      <c r="T1126" s="31">
        <f>VLOOKUP(A1126,'Ansvar kurs'!$A$1:$C$1010,2,FALSE)</f>
        <v>2180</v>
      </c>
      <c r="U1126" s="31" t="str">
        <f>VLOOKUP(T1126,Orgenheter!$A$1:$C$165,2,FALSE)</f>
        <v xml:space="preserve">Pedagogik                     </v>
      </c>
      <c r="V1126" s="31" t="str">
        <f>VLOOKUP(T1126,Orgenheter!$A$1:$C$165,3,FALSE)</f>
        <v>Sam</v>
      </c>
      <c r="W1126" s="37" t="str">
        <f>VLOOKUP(D1126,Program!$A$1:$B$34,2,FALSE)</f>
        <v>Speciallärarprogrammet</v>
      </c>
      <c r="X1126" s="42">
        <f>VLOOKUP(A1126,kurspris!$A$1:$Q$798,15,FALSE)</f>
        <v>18405</v>
      </c>
      <c r="Y1126" s="42">
        <f>VLOOKUP(A1126,kurspris!$A$1:$Q$798,16,FALSE)</f>
        <v>15773</v>
      </c>
      <c r="Z1126" s="42">
        <f t="shared" si="610"/>
        <v>31812.05</v>
      </c>
      <c r="AA1126" s="42">
        <f>VLOOKUP(A1126,kurspris!$A$1:$Q$798,17,FALSE)</f>
        <v>5800</v>
      </c>
      <c r="AB1126" s="42">
        <f t="shared" si="611"/>
        <v>5800</v>
      </c>
      <c r="AC1126" s="42">
        <f t="shared" si="612"/>
        <v>37612.050000000003</v>
      </c>
      <c r="AD1126" s="31">
        <f>VLOOKUP($A1126,kurspris!$A$1:$Q$835,3,FALSE)</f>
        <v>0</v>
      </c>
      <c r="AE1126" s="31">
        <f>VLOOKUP($A1126,kurspris!$A$1:$Q$835,4,FALSE)</f>
        <v>0</v>
      </c>
      <c r="AF1126" s="31">
        <f>VLOOKUP($A1126,kurspris!$A$1:$Q$835,5,FALSE)</f>
        <v>0</v>
      </c>
      <c r="AG1126" s="31">
        <f>VLOOKUP($A1126,kurspris!$A$1:$Q$835,6,FALSE)</f>
        <v>0</v>
      </c>
      <c r="AH1126" s="31">
        <f>VLOOKUP($A1126,kurspris!$A$1:$Q$835,7,FALSE)</f>
        <v>0</v>
      </c>
      <c r="AI1126" s="31">
        <f>VLOOKUP($A1126,kurspris!$A$1:$Q$835,8,FALSE)</f>
        <v>0</v>
      </c>
      <c r="AJ1126" s="31">
        <f>VLOOKUP($A1126,kurspris!$A$1:$Q$835,9,FALSE)</f>
        <v>1</v>
      </c>
      <c r="AK1126" s="31">
        <f>VLOOKUP($A1126,kurspris!$A$1:$Q$835,10,FALSE)</f>
        <v>0</v>
      </c>
      <c r="AL1126" s="31">
        <f>VLOOKUP($A1126,kurspris!$A$1:$Q$835,11,FALSE)</f>
        <v>0</v>
      </c>
      <c r="AM1126" s="31">
        <f>VLOOKUP($A1126,kurspris!$A$1:$Q$835,12,FALSE)</f>
        <v>0</v>
      </c>
      <c r="AN1126" s="31">
        <f>VLOOKUP($A1126,kurspris!$A$1:$Q$835,13,FALSE)</f>
        <v>0</v>
      </c>
      <c r="AO1126" s="31">
        <f>VLOOKUP($A1126,kurspris!$A$1:$Q$835,14,FALSE)</f>
        <v>0</v>
      </c>
      <c r="AP1126" s="39" t="s">
        <v>2326</v>
      </c>
      <c r="AQ1126"/>
      <c r="AR1126" s="31">
        <f t="shared" si="613"/>
        <v>0</v>
      </c>
      <c r="AS1126" s="255">
        <f t="shared" si="614"/>
        <v>0</v>
      </c>
      <c r="AT1126" s="31">
        <f t="shared" si="615"/>
        <v>0</v>
      </c>
      <c r="AU1126" s="255">
        <f t="shared" si="616"/>
        <v>0</v>
      </c>
      <c r="AV1126" s="31">
        <f t="shared" si="617"/>
        <v>0</v>
      </c>
      <c r="AW1126" s="31">
        <f t="shared" si="618"/>
        <v>0</v>
      </c>
      <c r="AX1126" s="31">
        <f t="shared" si="619"/>
        <v>0</v>
      </c>
      <c r="AY1126" s="255">
        <f t="shared" si="620"/>
        <v>0</v>
      </c>
      <c r="AZ1126" s="232">
        <f t="shared" si="621"/>
        <v>0</v>
      </c>
      <c r="BA1126" s="255">
        <f t="shared" si="622"/>
        <v>0</v>
      </c>
      <c r="BB1126" s="31">
        <f t="shared" si="623"/>
        <v>0</v>
      </c>
      <c r="BC1126" s="255">
        <f t="shared" si="624"/>
        <v>0</v>
      </c>
      <c r="BD1126" s="31">
        <f t="shared" si="625"/>
        <v>1</v>
      </c>
      <c r="BE1126" s="255">
        <f t="shared" si="626"/>
        <v>0.85</v>
      </c>
      <c r="BF1126" s="31">
        <f t="shared" si="627"/>
        <v>0</v>
      </c>
      <c r="BG1126" s="255">
        <f t="shared" si="628"/>
        <v>0</v>
      </c>
      <c r="BH1126" s="31">
        <f t="shared" si="629"/>
        <v>0</v>
      </c>
      <c r="BI1126" s="255">
        <f t="shared" si="630"/>
        <v>0</v>
      </c>
      <c r="BJ1126" s="31">
        <f t="shared" si="631"/>
        <v>0</v>
      </c>
      <c r="BK1126" s="31">
        <f t="shared" si="632"/>
        <v>0</v>
      </c>
      <c r="BL1126" s="255">
        <f t="shared" si="633"/>
        <v>0</v>
      </c>
      <c r="BM1126" s="31">
        <f t="shared" si="634"/>
        <v>0</v>
      </c>
      <c r="BN1126" s="255">
        <f t="shared" si="635"/>
        <v>0</v>
      </c>
    </row>
    <row r="1127" spans="1:66" x14ac:dyDescent="0.25">
      <c r="A1127" s="18" t="s">
        <v>2135</v>
      </c>
      <c r="B1127" s="186" t="str">
        <f>VLOOKUP(A1127,kurspris!$A$1:$B$877,2,FALSE)</f>
        <v>Vetenskaplig metodkurs Speciallärar- och specialpedagogprogrammen</v>
      </c>
      <c r="C1127" s="37"/>
      <c r="D1127" s="31" t="s">
        <v>115</v>
      </c>
      <c r="E1127" s="31" t="s">
        <v>1788</v>
      </c>
      <c r="F1127" s="59" t="s">
        <v>1931</v>
      </c>
      <c r="G1127" s="31" t="s">
        <v>2274</v>
      </c>
      <c r="J1127" t="s">
        <v>2165</v>
      </c>
      <c r="L1127" s="31">
        <v>100</v>
      </c>
      <c r="M1127" s="31">
        <v>7.5</v>
      </c>
      <c r="P1127" s="31">
        <v>16</v>
      </c>
      <c r="Q1127" s="232">
        <f t="shared" si="608"/>
        <v>2</v>
      </c>
      <c r="R1127" s="40">
        <v>0.85</v>
      </c>
      <c r="S1127" s="334">
        <f t="shared" si="609"/>
        <v>1.7</v>
      </c>
      <c r="T1127" s="31">
        <f>VLOOKUP(A1127,'Ansvar kurs'!$A$1:$C$1010,2,FALSE)</f>
        <v>2180</v>
      </c>
      <c r="U1127" s="31" t="str">
        <f>VLOOKUP(T1127,Orgenheter!$A$1:$C$165,2,FALSE)</f>
        <v xml:space="preserve">Pedagogik                     </v>
      </c>
      <c r="V1127" s="31" t="str">
        <f>VLOOKUP(T1127,Orgenheter!$A$1:$C$165,3,FALSE)</f>
        <v>Sam</v>
      </c>
      <c r="W1127" s="37" t="str">
        <f>VLOOKUP(D1127,Program!$A$1:$B$34,2,FALSE)</f>
        <v>Speciallärarprogrammet</v>
      </c>
      <c r="X1127" s="42">
        <f>VLOOKUP(A1127,kurspris!$A$1:$Q$798,15,FALSE)</f>
        <v>18405</v>
      </c>
      <c r="Y1127" s="42">
        <f>VLOOKUP(A1127,kurspris!$A$1:$Q$798,16,FALSE)</f>
        <v>15773</v>
      </c>
      <c r="Z1127" s="42">
        <f t="shared" si="610"/>
        <v>63624.1</v>
      </c>
      <c r="AA1127" s="42">
        <f>VLOOKUP(A1127,kurspris!$A$1:$Q$798,17,FALSE)</f>
        <v>5800</v>
      </c>
      <c r="AB1127" s="42">
        <f t="shared" si="611"/>
        <v>11600</v>
      </c>
      <c r="AC1127" s="42">
        <f t="shared" si="612"/>
        <v>75224.100000000006</v>
      </c>
      <c r="AD1127" s="31">
        <f>VLOOKUP($A1127,kurspris!$A$1:$Q$835,3,FALSE)</f>
        <v>0</v>
      </c>
      <c r="AE1127" s="31">
        <f>VLOOKUP($A1127,kurspris!$A$1:$Q$835,4,FALSE)</f>
        <v>0</v>
      </c>
      <c r="AF1127" s="31">
        <f>VLOOKUP($A1127,kurspris!$A$1:$Q$835,5,FALSE)</f>
        <v>0</v>
      </c>
      <c r="AG1127" s="31">
        <f>VLOOKUP($A1127,kurspris!$A$1:$Q$835,6,FALSE)</f>
        <v>0</v>
      </c>
      <c r="AH1127" s="31">
        <f>VLOOKUP($A1127,kurspris!$A$1:$Q$835,7,FALSE)</f>
        <v>0</v>
      </c>
      <c r="AI1127" s="31">
        <f>VLOOKUP($A1127,kurspris!$A$1:$Q$835,8,FALSE)</f>
        <v>0</v>
      </c>
      <c r="AJ1127" s="31">
        <f>VLOOKUP($A1127,kurspris!$A$1:$Q$835,9,FALSE)</f>
        <v>1</v>
      </c>
      <c r="AK1127" s="31">
        <f>VLOOKUP($A1127,kurspris!$A$1:$Q$835,10,FALSE)</f>
        <v>0</v>
      </c>
      <c r="AL1127" s="31">
        <f>VLOOKUP($A1127,kurspris!$A$1:$Q$835,11,FALSE)</f>
        <v>0</v>
      </c>
      <c r="AM1127" s="31">
        <f>VLOOKUP($A1127,kurspris!$A$1:$Q$835,12,FALSE)</f>
        <v>0</v>
      </c>
      <c r="AN1127" s="31">
        <f>VLOOKUP($A1127,kurspris!$A$1:$Q$835,13,FALSE)</f>
        <v>0</v>
      </c>
      <c r="AO1127" s="31">
        <f>VLOOKUP($A1127,kurspris!$A$1:$Q$835,14,FALSE)</f>
        <v>0</v>
      </c>
      <c r="AP1127" s="39" t="s">
        <v>2326</v>
      </c>
      <c r="AQ1127"/>
      <c r="AR1127" s="31">
        <f t="shared" si="613"/>
        <v>0</v>
      </c>
      <c r="AS1127" s="255">
        <f t="shared" si="614"/>
        <v>0</v>
      </c>
      <c r="AT1127" s="31">
        <f t="shared" si="615"/>
        <v>0</v>
      </c>
      <c r="AU1127" s="255">
        <f t="shared" si="616"/>
        <v>0</v>
      </c>
      <c r="AV1127" s="31">
        <f t="shared" si="617"/>
        <v>0</v>
      </c>
      <c r="AW1127" s="31">
        <f t="shared" si="618"/>
        <v>0</v>
      </c>
      <c r="AX1127" s="31">
        <f t="shared" si="619"/>
        <v>0</v>
      </c>
      <c r="AY1127" s="255">
        <f t="shared" si="620"/>
        <v>0</v>
      </c>
      <c r="AZ1127" s="232">
        <f t="shared" si="621"/>
        <v>0</v>
      </c>
      <c r="BA1127" s="255">
        <f t="shared" si="622"/>
        <v>0</v>
      </c>
      <c r="BB1127" s="31">
        <f t="shared" si="623"/>
        <v>0</v>
      </c>
      <c r="BC1127" s="255">
        <f t="shared" si="624"/>
        <v>0</v>
      </c>
      <c r="BD1127" s="31">
        <f t="shared" si="625"/>
        <v>2</v>
      </c>
      <c r="BE1127" s="255">
        <f t="shared" si="626"/>
        <v>1.7</v>
      </c>
      <c r="BF1127" s="31">
        <f t="shared" si="627"/>
        <v>0</v>
      </c>
      <c r="BG1127" s="255">
        <f t="shared" si="628"/>
        <v>0</v>
      </c>
      <c r="BH1127" s="31">
        <f t="shared" si="629"/>
        <v>0</v>
      </c>
      <c r="BI1127" s="255">
        <f t="shared" si="630"/>
        <v>0</v>
      </c>
      <c r="BJ1127" s="31">
        <f t="shared" si="631"/>
        <v>0</v>
      </c>
      <c r="BK1127" s="31">
        <f t="shared" si="632"/>
        <v>0</v>
      </c>
      <c r="BL1127" s="255">
        <f t="shared" si="633"/>
        <v>0</v>
      </c>
      <c r="BM1127" s="31">
        <f t="shared" si="634"/>
        <v>0</v>
      </c>
      <c r="BN1127" s="255">
        <f t="shared" si="635"/>
        <v>0</v>
      </c>
    </row>
    <row r="1128" spans="1:66" x14ac:dyDescent="0.25">
      <c r="A1128" s="18" t="s">
        <v>2135</v>
      </c>
      <c r="B1128" s="186" t="str">
        <f>VLOOKUP(A1128,kurspris!$A$1:$B$877,2,FALSE)</f>
        <v>Vetenskaplig metodkurs Speciallärar- och specialpedagogprogrammen</v>
      </c>
      <c r="C1128" s="37"/>
      <c r="D1128" s="31" t="s">
        <v>115</v>
      </c>
      <c r="E1128" s="31" t="s">
        <v>1788</v>
      </c>
      <c r="F1128" s="59" t="s">
        <v>1931</v>
      </c>
      <c r="G1128" s="31" t="s">
        <v>2274</v>
      </c>
      <c r="J1128" t="s">
        <v>1812</v>
      </c>
      <c r="L1128" s="31">
        <v>100</v>
      </c>
      <c r="M1128" s="31">
        <v>7.5</v>
      </c>
      <c r="P1128" s="31">
        <v>3</v>
      </c>
      <c r="Q1128" s="232">
        <f t="shared" si="608"/>
        <v>0.375</v>
      </c>
      <c r="R1128" s="40">
        <v>0.85</v>
      </c>
      <c r="S1128" s="334">
        <f t="shared" si="609"/>
        <v>0.31874999999999998</v>
      </c>
      <c r="T1128" s="31">
        <f>VLOOKUP(A1128,'Ansvar kurs'!$A$1:$C$1010,2,FALSE)</f>
        <v>2180</v>
      </c>
      <c r="U1128" s="31" t="str">
        <f>VLOOKUP(T1128,Orgenheter!$A$1:$C$165,2,FALSE)</f>
        <v xml:space="preserve">Pedagogik                     </v>
      </c>
      <c r="V1128" s="31" t="str">
        <f>VLOOKUP(T1128,Orgenheter!$A$1:$C$165,3,FALSE)</f>
        <v>Sam</v>
      </c>
      <c r="W1128" s="37" t="str">
        <f>VLOOKUP(D1128,Program!$A$1:$B$34,2,FALSE)</f>
        <v>Speciallärarprogrammet</v>
      </c>
      <c r="X1128" s="42">
        <f>VLOOKUP(A1128,kurspris!$A$1:$Q$798,15,FALSE)</f>
        <v>18405</v>
      </c>
      <c r="Y1128" s="42">
        <f>VLOOKUP(A1128,kurspris!$A$1:$Q$798,16,FALSE)</f>
        <v>15773</v>
      </c>
      <c r="Z1128" s="42">
        <f t="shared" si="610"/>
        <v>11929.518749999999</v>
      </c>
      <c r="AA1128" s="42">
        <f>VLOOKUP(A1128,kurspris!$A$1:$Q$798,17,FALSE)</f>
        <v>5800</v>
      </c>
      <c r="AB1128" s="42">
        <f t="shared" si="611"/>
        <v>2175</v>
      </c>
      <c r="AC1128" s="42">
        <f t="shared" si="612"/>
        <v>14104.518749999999</v>
      </c>
      <c r="AD1128" s="31">
        <f>VLOOKUP($A1128,kurspris!$A$1:$Q$835,3,FALSE)</f>
        <v>0</v>
      </c>
      <c r="AE1128" s="31">
        <f>VLOOKUP($A1128,kurspris!$A$1:$Q$835,4,FALSE)</f>
        <v>0</v>
      </c>
      <c r="AF1128" s="31">
        <f>VLOOKUP($A1128,kurspris!$A$1:$Q$835,5,FALSE)</f>
        <v>0</v>
      </c>
      <c r="AG1128" s="31">
        <f>VLOOKUP($A1128,kurspris!$A$1:$Q$835,6,FALSE)</f>
        <v>0</v>
      </c>
      <c r="AH1128" s="31">
        <f>VLOOKUP($A1128,kurspris!$A$1:$Q$835,7,FALSE)</f>
        <v>0</v>
      </c>
      <c r="AI1128" s="31">
        <f>VLOOKUP($A1128,kurspris!$A$1:$Q$835,8,FALSE)</f>
        <v>0</v>
      </c>
      <c r="AJ1128" s="31">
        <f>VLOOKUP($A1128,kurspris!$A$1:$Q$835,9,FALSE)</f>
        <v>1</v>
      </c>
      <c r="AK1128" s="31">
        <f>VLOOKUP($A1128,kurspris!$A$1:$Q$835,10,FALSE)</f>
        <v>0</v>
      </c>
      <c r="AL1128" s="31">
        <f>VLOOKUP($A1128,kurspris!$A$1:$Q$835,11,FALSE)</f>
        <v>0</v>
      </c>
      <c r="AM1128" s="31">
        <f>VLOOKUP($A1128,kurspris!$A$1:$Q$835,12,FALSE)</f>
        <v>0</v>
      </c>
      <c r="AN1128" s="31">
        <f>VLOOKUP($A1128,kurspris!$A$1:$Q$835,13,FALSE)</f>
        <v>0</v>
      </c>
      <c r="AO1128" s="31">
        <f>VLOOKUP($A1128,kurspris!$A$1:$Q$835,14,FALSE)</f>
        <v>0</v>
      </c>
      <c r="AP1128" s="39" t="s">
        <v>2326</v>
      </c>
      <c r="AQ1128"/>
      <c r="AR1128" s="31">
        <f t="shared" si="613"/>
        <v>0</v>
      </c>
      <c r="AS1128" s="255">
        <f t="shared" si="614"/>
        <v>0</v>
      </c>
      <c r="AT1128" s="31">
        <f t="shared" si="615"/>
        <v>0</v>
      </c>
      <c r="AU1128" s="255">
        <f t="shared" si="616"/>
        <v>0</v>
      </c>
      <c r="AV1128" s="31">
        <f t="shared" si="617"/>
        <v>0</v>
      </c>
      <c r="AW1128" s="31">
        <f t="shared" si="618"/>
        <v>0</v>
      </c>
      <c r="AX1128" s="31">
        <f t="shared" si="619"/>
        <v>0</v>
      </c>
      <c r="AY1128" s="255">
        <f t="shared" si="620"/>
        <v>0</v>
      </c>
      <c r="AZ1128" s="232">
        <f t="shared" si="621"/>
        <v>0</v>
      </c>
      <c r="BA1128" s="255">
        <f t="shared" si="622"/>
        <v>0</v>
      </c>
      <c r="BB1128" s="31">
        <f t="shared" si="623"/>
        <v>0</v>
      </c>
      <c r="BC1128" s="255">
        <f t="shared" si="624"/>
        <v>0</v>
      </c>
      <c r="BD1128" s="31">
        <f t="shared" si="625"/>
        <v>0.375</v>
      </c>
      <c r="BE1128" s="255">
        <f t="shared" si="626"/>
        <v>0.31874999999999998</v>
      </c>
      <c r="BF1128" s="31">
        <f t="shared" si="627"/>
        <v>0</v>
      </c>
      <c r="BG1128" s="255">
        <f t="shared" si="628"/>
        <v>0</v>
      </c>
      <c r="BH1128" s="31">
        <f t="shared" si="629"/>
        <v>0</v>
      </c>
      <c r="BI1128" s="255">
        <f t="shared" si="630"/>
        <v>0</v>
      </c>
      <c r="BJ1128" s="31">
        <f t="shared" si="631"/>
        <v>0</v>
      </c>
      <c r="BK1128" s="31">
        <f t="shared" si="632"/>
        <v>0</v>
      </c>
      <c r="BL1128" s="255">
        <f t="shared" si="633"/>
        <v>0</v>
      </c>
      <c r="BM1128" s="31">
        <f t="shared" si="634"/>
        <v>0</v>
      </c>
      <c r="BN1128" s="255">
        <f t="shared" si="635"/>
        <v>0</v>
      </c>
    </row>
    <row r="1129" spans="1:66" x14ac:dyDescent="0.25">
      <c r="A1129" s="18" t="s">
        <v>2139</v>
      </c>
      <c r="B1129" s="186" t="str">
        <f>VLOOKUP(A1129,kurspris!$A$1:$B$877,2,FALSE)</f>
        <v>Examensarbete speciallärarprogrammet med specialisering mot utvecklingsstörning</v>
      </c>
      <c r="C1129" s="37"/>
      <c r="D1129" s="31" t="s">
        <v>115</v>
      </c>
      <c r="E1129" s="31" t="s">
        <v>1788</v>
      </c>
      <c r="F1129" s="59" t="s">
        <v>1931</v>
      </c>
      <c r="G1129" s="31" t="s">
        <v>2281</v>
      </c>
      <c r="J1129" t="s">
        <v>1812</v>
      </c>
      <c r="L1129" s="31">
        <v>100</v>
      </c>
      <c r="M1129" s="31">
        <v>15</v>
      </c>
      <c r="P1129" s="31">
        <v>3</v>
      </c>
      <c r="Q1129" s="232">
        <f t="shared" si="608"/>
        <v>0.75</v>
      </c>
      <c r="R1129" s="40">
        <v>0.85</v>
      </c>
      <c r="S1129" s="334">
        <f t="shared" si="609"/>
        <v>0.63749999999999996</v>
      </c>
      <c r="T1129" s="31">
        <f>VLOOKUP(A1129,'Ansvar kurs'!$A$1:$C$1010,2,FALSE)</f>
        <v>2180</v>
      </c>
      <c r="U1129" s="31" t="str">
        <f>VLOOKUP(T1129,Orgenheter!$A$1:$C$165,2,FALSE)</f>
        <v xml:space="preserve">Pedagogik                     </v>
      </c>
      <c r="V1129" s="31" t="str">
        <f>VLOOKUP(T1129,Orgenheter!$A$1:$C$165,3,FALSE)</f>
        <v>Sam</v>
      </c>
      <c r="W1129" s="37" t="str">
        <f>VLOOKUP(D1129,Program!$A$1:$B$34,2,FALSE)</f>
        <v>Speciallärarprogrammet</v>
      </c>
      <c r="X1129" s="42">
        <f>VLOOKUP(A1129,kurspris!$A$1:$Q$798,15,FALSE)</f>
        <v>18405</v>
      </c>
      <c r="Y1129" s="42">
        <f>VLOOKUP(A1129,kurspris!$A$1:$Q$798,16,FALSE)</f>
        <v>15773</v>
      </c>
      <c r="Z1129" s="42">
        <f t="shared" si="610"/>
        <v>23859.037499999999</v>
      </c>
      <c r="AA1129" s="42">
        <f>VLOOKUP(A1129,kurspris!$A$1:$Q$798,17,FALSE)</f>
        <v>5800</v>
      </c>
      <c r="AB1129" s="42">
        <f t="shared" si="611"/>
        <v>4350</v>
      </c>
      <c r="AC1129" s="42">
        <f t="shared" si="612"/>
        <v>28209.037499999999</v>
      </c>
      <c r="AD1129" s="31">
        <f>VLOOKUP($A1129,kurspris!$A$1:$Q$835,3,FALSE)</f>
        <v>0</v>
      </c>
      <c r="AE1129" s="31">
        <f>VLOOKUP($A1129,kurspris!$A$1:$Q$835,4,FALSE)</f>
        <v>0</v>
      </c>
      <c r="AF1129" s="31">
        <f>VLOOKUP($A1129,kurspris!$A$1:$Q$835,5,FALSE)</f>
        <v>0</v>
      </c>
      <c r="AG1129" s="31">
        <f>VLOOKUP($A1129,kurspris!$A$1:$Q$835,6,FALSE)</f>
        <v>0</v>
      </c>
      <c r="AH1129" s="31">
        <f>VLOOKUP($A1129,kurspris!$A$1:$Q$835,7,FALSE)</f>
        <v>0</v>
      </c>
      <c r="AI1129" s="31">
        <f>VLOOKUP($A1129,kurspris!$A$1:$Q$835,8,FALSE)</f>
        <v>0</v>
      </c>
      <c r="AJ1129" s="31">
        <f>VLOOKUP($A1129,kurspris!$A$1:$Q$835,9,FALSE)</f>
        <v>1</v>
      </c>
      <c r="AK1129" s="31">
        <f>VLOOKUP($A1129,kurspris!$A$1:$Q$835,10,FALSE)</f>
        <v>0</v>
      </c>
      <c r="AL1129" s="31">
        <f>VLOOKUP($A1129,kurspris!$A$1:$Q$835,11,FALSE)</f>
        <v>0</v>
      </c>
      <c r="AM1129" s="31">
        <f>VLOOKUP($A1129,kurspris!$A$1:$Q$835,12,FALSE)</f>
        <v>0</v>
      </c>
      <c r="AN1129" s="31">
        <f>VLOOKUP($A1129,kurspris!$A$1:$Q$835,13,FALSE)</f>
        <v>0</v>
      </c>
      <c r="AO1129" s="31">
        <f>VLOOKUP($A1129,kurspris!$A$1:$Q$835,14,FALSE)</f>
        <v>0</v>
      </c>
      <c r="AP1129" s="39" t="s">
        <v>2326</v>
      </c>
      <c r="AQ1129"/>
      <c r="AR1129" s="31">
        <f t="shared" si="613"/>
        <v>0</v>
      </c>
      <c r="AS1129" s="255">
        <f t="shared" si="614"/>
        <v>0</v>
      </c>
      <c r="AT1129" s="31">
        <f t="shared" si="615"/>
        <v>0</v>
      </c>
      <c r="AU1129" s="255">
        <f t="shared" si="616"/>
        <v>0</v>
      </c>
      <c r="AV1129" s="31">
        <f t="shared" si="617"/>
        <v>0</v>
      </c>
      <c r="AW1129" s="31">
        <f t="shared" si="618"/>
        <v>0</v>
      </c>
      <c r="AX1129" s="31">
        <f t="shared" si="619"/>
        <v>0</v>
      </c>
      <c r="AY1129" s="255">
        <f t="shared" si="620"/>
        <v>0</v>
      </c>
      <c r="AZ1129" s="232">
        <f t="shared" si="621"/>
        <v>0</v>
      </c>
      <c r="BA1129" s="255">
        <f t="shared" si="622"/>
        <v>0</v>
      </c>
      <c r="BB1129" s="31">
        <f t="shared" si="623"/>
        <v>0</v>
      </c>
      <c r="BC1129" s="255">
        <f t="shared" si="624"/>
        <v>0</v>
      </c>
      <c r="BD1129" s="31">
        <f t="shared" si="625"/>
        <v>0.75</v>
      </c>
      <c r="BE1129" s="255">
        <f t="shared" si="626"/>
        <v>0.63749999999999996</v>
      </c>
      <c r="BF1129" s="31">
        <f t="shared" si="627"/>
        <v>0</v>
      </c>
      <c r="BG1129" s="255">
        <f t="shared" si="628"/>
        <v>0</v>
      </c>
      <c r="BH1129" s="31">
        <f t="shared" si="629"/>
        <v>0</v>
      </c>
      <c r="BI1129" s="255">
        <f t="shared" si="630"/>
        <v>0</v>
      </c>
      <c r="BJ1129" s="31">
        <f t="shared" si="631"/>
        <v>0</v>
      </c>
      <c r="BK1129" s="31">
        <f t="shared" si="632"/>
        <v>0</v>
      </c>
      <c r="BL1129" s="255">
        <f t="shared" si="633"/>
        <v>0</v>
      </c>
      <c r="BM1129" s="31">
        <f t="shared" si="634"/>
        <v>0</v>
      </c>
      <c r="BN1129" s="255">
        <f t="shared" si="635"/>
        <v>0</v>
      </c>
    </row>
    <row r="1130" spans="1:66" x14ac:dyDescent="0.25">
      <c r="A1130" s="18" t="s">
        <v>2137</v>
      </c>
      <c r="B1130" s="186" t="str">
        <f>VLOOKUP(A1130,kurspris!$A$1:$B$877,2,FALSE)</f>
        <v>Eamensarbete specialpedagogprogrammet</v>
      </c>
      <c r="C1130" s="37"/>
      <c r="D1130" s="31" t="s">
        <v>120</v>
      </c>
      <c r="E1130" s="31" t="s">
        <v>1994</v>
      </c>
      <c r="F1130" s="59" t="s">
        <v>1931</v>
      </c>
      <c r="G1130" s="31" t="s">
        <v>2281</v>
      </c>
      <c r="L1130" s="31">
        <v>100</v>
      </c>
      <c r="M1130" s="31">
        <v>15</v>
      </c>
      <c r="P1130" s="31">
        <v>1</v>
      </c>
      <c r="Q1130" s="232">
        <f t="shared" si="608"/>
        <v>0.25</v>
      </c>
      <c r="R1130" s="40">
        <v>0.85</v>
      </c>
      <c r="S1130" s="334">
        <f t="shared" si="609"/>
        <v>0.21249999999999999</v>
      </c>
      <c r="T1130" s="31">
        <f>VLOOKUP(A1130,'Ansvar kurs'!$A$1:$C$1010,2,FALSE)</f>
        <v>2180</v>
      </c>
      <c r="U1130" s="31" t="str">
        <f>VLOOKUP(T1130,Orgenheter!$A$1:$C$165,2,FALSE)</f>
        <v xml:space="preserve">Pedagogik                     </v>
      </c>
      <c r="V1130" s="31" t="str">
        <f>VLOOKUP(T1130,Orgenheter!$A$1:$C$165,3,FALSE)</f>
        <v>Sam</v>
      </c>
      <c r="W1130" s="37" t="str">
        <f>VLOOKUP(D1130,Program!$A$1:$B$34,2,FALSE)</f>
        <v>Specialpedagogprogrammet</v>
      </c>
      <c r="X1130" s="42">
        <f>VLOOKUP(A1130,kurspris!$A$1:$Q$798,15,FALSE)</f>
        <v>18405</v>
      </c>
      <c r="Y1130" s="42">
        <f>VLOOKUP(A1130,kurspris!$A$1:$Q$798,16,FALSE)</f>
        <v>15773</v>
      </c>
      <c r="Z1130" s="42">
        <f t="shared" si="610"/>
        <v>7953.0124999999998</v>
      </c>
      <c r="AA1130" s="42">
        <f>VLOOKUP(A1130,kurspris!$A$1:$Q$798,17,FALSE)</f>
        <v>5800</v>
      </c>
      <c r="AB1130" s="42">
        <f t="shared" si="611"/>
        <v>1450</v>
      </c>
      <c r="AC1130" s="42">
        <f t="shared" si="612"/>
        <v>9403.0125000000007</v>
      </c>
      <c r="AD1130" s="31">
        <f>VLOOKUP($A1130,kurspris!$A$1:$Q$835,3,FALSE)</f>
        <v>0</v>
      </c>
      <c r="AE1130" s="31">
        <f>VLOOKUP($A1130,kurspris!$A$1:$Q$835,4,FALSE)</f>
        <v>0</v>
      </c>
      <c r="AF1130" s="31">
        <f>VLOOKUP($A1130,kurspris!$A$1:$Q$835,5,FALSE)</f>
        <v>0</v>
      </c>
      <c r="AG1130" s="31">
        <f>VLOOKUP($A1130,kurspris!$A$1:$Q$835,6,FALSE)</f>
        <v>0</v>
      </c>
      <c r="AH1130" s="31">
        <f>VLOOKUP($A1130,kurspris!$A$1:$Q$835,7,FALSE)</f>
        <v>0</v>
      </c>
      <c r="AI1130" s="31">
        <f>VLOOKUP($A1130,kurspris!$A$1:$Q$835,8,FALSE)</f>
        <v>0</v>
      </c>
      <c r="AJ1130" s="31">
        <f>VLOOKUP($A1130,kurspris!$A$1:$Q$835,9,FALSE)</f>
        <v>1</v>
      </c>
      <c r="AK1130" s="31">
        <f>VLOOKUP($A1130,kurspris!$A$1:$Q$835,10,FALSE)</f>
        <v>0</v>
      </c>
      <c r="AL1130" s="31">
        <f>VLOOKUP($A1130,kurspris!$A$1:$Q$835,11,FALSE)</f>
        <v>0</v>
      </c>
      <c r="AM1130" s="31">
        <f>VLOOKUP($A1130,kurspris!$A$1:$Q$835,12,FALSE)</f>
        <v>0</v>
      </c>
      <c r="AN1130" s="31">
        <f>VLOOKUP($A1130,kurspris!$A$1:$Q$835,13,FALSE)</f>
        <v>0</v>
      </c>
      <c r="AO1130" s="31">
        <f>VLOOKUP($A1130,kurspris!$A$1:$Q$835,14,FALSE)</f>
        <v>0</v>
      </c>
      <c r="AP1130" s="39" t="s">
        <v>2326</v>
      </c>
      <c r="AQ1130"/>
      <c r="AR1130" s="31">
        <f t="shared" si="613"/>
        <v>0</v>
      </c>
      <c r="AS1130" s="255">
        <f t="shared" si="614"/>
        <v>0</v>
      </c>
      <c r="AT1130" s="31">
        <f t="shared" si="615"/>
        <v>0</v>
      </c>
      <c r="AU1130" s="255">
        <f t="shared" si="616"/>
        <v>0</v>
      </c>
      <c r="AV1130" s="31">
        <f t="shared" si="617"/>
        <v>0</v>
      </c>
      <c r="AW1130" s="31">
        <f t="shared" si="618"/>
        <v>0</v>
      </c>
      <c r="AX1130" s="31">
        <f t="shared" si="619"/>
        <v>0</v>
      </c>
      <c r="AY1130" s="255">
        <f t="shared" si="620"/>
        <v>0</v>
      </c>
      <c r="AZ1130" s="232">
        <f t="shared" si="621"/>
        <v>0</v>
      </c>
      <c r="BA1130" s="255">
        <f t="shared" si="622"/>
        <v>0</v>
      </c>
      <c r="BB1130" s="31">
        <f t="shared" si="623"/>
        <v>0</v>
      </c>
      <c r="BC1130" s="255">
        <f t="shared" si="624"/>
        <v>0</v>
      </c>
      <c r="BD1130" s="31">
        <f t="shared" si="625"/>
        <v>0.25</v>
      </c>
      <c r="BE1130" s="255">
        <f t="shared" si="626"/>
        <v>0.21249999999999999</v>
      </c>
      <c r="BF1130" s="31">
        <f t="shared" si="627"/>
        <v>0</v>
      </c>
      <c r="BG1130" s="255">
        <f t="shared" si="628"/>
        <v>0</v>
      </c>
      <c r="BH1130" s="31">
        <f t="shared" si="629"/>
        <v>0</v>
      </c>
      <c r="BI1130" s="255">
        <f t="shared" si="630"/>
        <v>0</v>
      </c>
      <c r="BJ1130" s="31">
        <f t="shared" si="631"/>
        <v>0</v>
      </c>
      <c r="BK1130" s="31">
        <f t="shared" si="632"/>
        <v>0</v>
      </c>
      <c r="BL1130" s="255">
        <f t="shared" si="633"/>
        <v>0</v>
      </c>
      <c r="BM1130" s="31">
        <f t="shared" si="634"/>
        <v>0</v>
      </c>
      <c r="BN1130" s="255">
        <f t="shared" si="635"/>
        <v>0</v>
      </c>
    </row>
    <row r="1131" spans="1:66" x14ac:dyDescent="0.25">
      <c r="A1131" s="59" t="s">
        <v>2137</v>
      </c>
      <c r="B1131" s="186" t="str">
        <f>VLOOKUP(A1131,kurspris!$A$1:$B$877,2,FALSE)</f>
        <v>Eamensarbete specialpedagogprogrammet</v>
      </c>
      <c r="C1131" s="37"/>
      <c r="D1131" s="59" t="s">
        <v>120</v>
      </c>
      <c r="E1131" s="62" t="s">
        <v>1788</v>
      </c>
      <c r="F1131" s="59" t="s">
        <v>1931</v>
      </c>
      <c r="G1131" s="31" t="s">
        <v>2281</v>
      </c>
      <c r="I1131" s="62"/>
      <c r="J1131" s="62"/>
      <c r="L1131" s="31">
        <v>100</v>
      </c>
      <c r="M1131" s="378">
        <v>15</v>
      </c>
      <c r="N1131" s="40"/>
      <c r="P1131" s="377">
        <v>36</v>
      </c>
      <c r="Q1131" s="232">
        <f t="shared" si="608"/>
        <v>9</v>
      </c>
      <c r="R1131" s="40">
        <v>0.85</v>
      </c>
      <c r="S1131" s="334">
        <f t="shared" si="609"/>
        <v>7.6499999999999995</v>
      </c>
      <c r="T1131" s="31">
        <f>VLOOKUP(A1131,'Ansvar kurs'!$A$1:$C$1010,2,FALSE)</f>
        <v>2180</v>
      </c>
      <c r="U1131" s="31" t="str">
        <f>VLOOKUP(T1131,Orgenheter!$A$1:$C$165,2,FALSE)</f>
        <v xml:space="preserve">Pedagogik                     </v>
      </c>
      <c r="V1131" s="31" t="str">
        <f>VLOOKUP(T1131,Orgenheter!$A$1:$C$165,3,FALSE)</f>
        <v>Sam</v>
      </c>
      <c r="W1131" s="37" t="str">
        <f>VLOOKUP(D1131,Program!$A$1:$B$34,2,FALSE)</f>
        <v>Specialpedagogprogrammet</v>
      </c>
      <c r="X1131" s="42">
        <f>VLOOKUP(A1131,kurspris!$A$1:$Q$798,15,FALSE)</f>
        <v>18405</v>
      </c>
      <c r="Y1131" s="42">
        <f>VLOOKUP(A1131,kurspris!$A$1:$Q$798,16,FALSE)</f>
        <v>15773</v>
      </c>
      <c r="Z1131" s="42">
        <f t="shared" si="610"/>
        <v>286308.45</v>
      </c>
      <c r="AA1131" s="42">
        <f>VLOOKUP(A1131,kurspris!$A$1:$Q$798,17,FALSE)</f>
        <v>5800</v>
      </c>
      <c r="AB1131" s="42">
        <f t="shared" si="611"/>
        <v>52200</v>
      </c>
      <c r="AC1131" s="42">
        <f t="shared" si="612"/>
        <v>338508.45</v>
      </c>
      <c r="AD1131" s="31">
        <f>VLOOKUP($A1131,kurspris!$A$1:$Q$835,3,FALSE)</f>
        <v>0</v>
      </c>
      <c r="AE1131" s="31">
        <f>VLOOKUP($A1131,kurspris!$A$1:$Q$835,4,FALSE)</f>
        <v>0</v>
      </c>
      <c r="AF1131" s="31">
        <f>VLOOKUP($A1131,kurspris!$A$1:$Q$835,5,FALSE)</f>
        <v>0</v>
      </c>
      <c r="AG1131" s="31">
        <f>VLOOKUP($A1131,kurspris!$A$1:$Q$835,6,FALSE)</f>
        <v>0</v>
      </c>
      <c r="AH1131" s="31">
        <f>VLOOKUP($A1131,kurspris!$A$1:$Q$835,7,FALSE)</f>
        <v>0</v>
      </c>
      <c r="AI1131" s="31">
        <f>VLOOKUP($A1131,kurspris!$A$1:$Q$835,8,FALSE)</f>
        <v>0</v>
      </c>
      <c r="AJ1131" s="31">
        <f>VLOOKUP($A1131,kurspris!$A$1:$Q$835,9,FALSE)</f>
        <v>1</v>
      </c>
      <c r="AK1131" s="31">
        <f>VLOOKUP($A1131,kurspris!$A$1:$Q$835,10,FALSE)</f>
        <v>0</v>
      </c>
      <c r="AL1131" s="31">
        <f>VLOOKUP($A1131,kurspris!$A$1:$Q$835,11,FALSE)</f>
        <v>0</v>
      </c>
      <c r="AM1131" s="31">
        <f>VLOOKUP($A1131,kurspris!$A$1:$Q$835,12,FALSE)</f>
        <v>0</v>
      </c>
      <c r="AN1131" s="31">
        <f>VLOOKUP($A1131,kurspris!$A$1:$Q$835,13,FALSE)</f>
        <v>0</v>
      </c>
      <c r="AO1131" s="31">
        <f>VLOOKUP($A1131,kurspris!$A$1:$Q$835,14,FALSE)</f>
        <v>0</v>
      </c>
      <c r="AP1131" s="39" t="s">
        <v>2326</v>
      </c>
      <c r="AQ1131"/>
      <c r="AR1131" s="31">
        <f t="shared" si="613"/>
        <v>0</v>
      </c>
      <c r="AS1131" s="255">
        <f t="shared" si="614"/>
        <v>0</v>
      </c>
      <c r="AT1131" s="31">
        <f t="shared" si="615"/>
        <v>0</v>
      </c>
      <c r="AU1131" s="255">
        <f t="shared" si="616"/>
        <v>0</v>
      </c>
      <c r="AV1131" s="31">
        <f t="shared" si="617"/>
        <v>0</v>
      </c>
      <c r="AW1131" s="31">
        <f t="shared" si="618"/>
        <v>0</v>
      </c>
      <c r="AX1131" s="31">
        <f t="shared" si="619"/>
        <v>0</v>
      </c>
      <c r="AY1131" s="255">
        <f t="shared" si="620"/>
        <v>0</v>
      </c>
      <c r="AZ1131" s="232">
        <f t="shared" si="621"/>
        <v>0</v>
      </c>
      <c r="BA1131" s="255">
        <f t="shared" si="622"/>
        <v>0</v>
      </c>
      <c r="BB1131" s="31">
        <f t="shared" si="623"/>
        <v>0</v>
      </c>
      <c r="BC1131" s="255">
        <f t="shared" si="624"/>
        <v>0</v>
      </c>
      <c r="BD1131" s="31">
        <f t="shared" si="625"/>
        <v>9</v>
      </c>
      <c r="BE1131" s="255">
        <f t="shared" si="626"/>
        <v>7.6499999999999995</v>
      </c>
      <c r="BF1131" s="31">
        <f t="shared" si="627"/>
        <v>0</v>
      </c>
      <c r="BG1131" s="255">
        <f t="shared" si="628"/>
        <v>0</v>
      </c>
      <c r="BH1131" s="31">
        <f t="shared" si="629"/>
        <v>0</v>
      </c>
      <c r="BI1131" s="255">
        <f t="shared" si="630"/>
        <v>0</v>
      </c>
      <c r="BJ1131" s="31">
        <f t="shared" si="631"/>
        <v>0</v>
      </c>
      <c r="BK1131" s="31">
        <f t="shared" si="632"/>
        <v>0</v>
      </c>
      <c r="BL1131" s="255">
        <f t="shared" si="633"/>
        <v>0</v>
      </c>
      <c r="BM1131" s="31">
        <f t="shared" si="634"/>
        <v>0</v>
      </c>
      <c r="BN1131" s="255">
        <f t="shared" si="635"/>
        <v>0</v>
      </c>
    </row>
    <row r="1132" spans="1:66" x14ac:dyDescent="0.25">
      <c r="A1132" s="18" t="s">
        <v>2137</v>
      </c>
      <c r="B1132" s="186" t="str">
        <f>VLOOKUP(A1132,kurspris!$A$1:$B$877,2,FALSE)</f>
        <v>Eamensarbete specialpedagogprogrammet</v>
      </c>
      <c r="C1132" s="37"/>
      <c r="D1132" s="31" t="s">
        <v>115</v>
      </c>
      <c r="E1132" s="31" t="s">
        <v>1788</v>
      </c>
      <c r="F1132" s="59" t="s">
        <v>1931</v>
      </c>
      <c r="G1132" s="31" t="s">
        <v>2281</v>
      </c>
      <c r="J1132" t="s">
        <v>2165</v>
      </c>
      <c r="L1132" s="31">
        <v>100</v>
      </c>
      <c r="M1132" s="31">
        <v>15</v>
      </c>
      <c r="P1132" s="31">
        <v>1</v>
      </c>
      <c r="Q1132" s="232">
        <f t="shared" si="608"/>
        <v>0.25</v>
      </c>
      <c r="R1132" s="40">
        <v>0.85</v>
      </c>
      <c r="S1132" s="334">
        <f t="shared" si="609"/>
        <v>0.21249999999999999</v>
      </c>
      <c r="T1132" s="31">
        <f>VLOOKUP(A1132,'Ansvar kurs'!$A$1:$C$1010,2,FALSE)</f>
        <v>2180</v>
      </c>
      <c r="U1132" s="31" t="str">
        <f>VLOOKUP(T1132,Orgenheter!$A$1:$C$165,2,FALSE)</f>
        <v xml:space="preserve">Pedagogik                     </v>
      </c>
      <c r="V1132" s="31" t="str">
        <f>VLOOKUP(T1132,Orgenheter!$A$1:$C$165,3,FALSE)</f>
        <v>Sam</v>
      </c>
      <c r="W1132" s="37" t="str">
        <f>VLOOKUP(D1132,Program!$A$1:$B$34,2,FALSE)</f>
        <v>Speciallärarprogrammet</v>
      </c>
      <c r="X1132" s="42">
        <f>VLOOKUP(A1132,kurspris!$A$1:$Q$798,15,FALSE)</f>
        <v>18405</v>
      </c>
      <c r="Y1132" s="42">
        <f>VLOOKUP(A1132,kurspris!$A$1:$Q$798,16,FALSE)</f>
        <v>15773</v>
      </c>
      <c r="Z1132" s="42">
        <f t="shared" si="610"/>
        <v>7953.0124999999998</v>
      </c>
      <c r="AA1132" s="42">
        <f>VLOOKUP(A1132,kurspris!$A$1:$Q$798,17,FALSE)</f>
        <v>5800</v>
      </c>
      <c r="AB1132" s="42">
        <f t="shared" si="611"/>
        <v>1450</v>
      </c>
      <c r="AC1132" s="42">
        <f t="shared" si="612"/>
        <v>9403.0125000000007</v>
      </c>
      <c r="AD1132" s="31">
        <f>VLOOKUP($A1132,kurspris!$A$1:$Q$835,3,FALSE)</f>
        <v>0</v>
      </c>
      <c r="AE1132" s="31">
        <f>VLOOKUP($A1132,kurspris!$A$1:$Q$835,4,FALSE)</f>
        <v>0</v>
      </c>
      <c r="AF1132" s="31">
        <f>VLOOKUP($A1132,kurspris!$A$1:$Q$835,5,FALSE)</f>
        <v>0</v>
      </c>
      <c r="AG1132" s="31">
        <f>VLOOKUP($A1132,kurspris!$A$1:$Q$835,6,FALSE)</f>
        <v>0</v>
      </c>
      <c r="AH1132" s="31">
        <f>VLOOKUP($A1132,kurspris!$A$1:$Q$835,7,FALSE)</f>
        <v>0</v>
      </c>
      <c r="AI1132" s="31">
        <f>VLOOKUP($A1132,kurspris!$A$1:$Q$835,8,FALSE)</f>
        <v>0</v>
      </c>
      <c r="AJ1132" s="31">
        <f>VLOOKUP($A1132,kurspris!$A$1:$Q$835,9,FALSE)</f>
        <v>1</v>
      </c>
      <c r="AK1132" s="31">
        <f>VLOOKUP($A1132,kurspris!$A$1:$Q$835,10,FALSE)</f>
        <v>0</v>
      </c>
      <c r="AL1132" s="31">
        <f>VLOOKUP($A1132,kurspris!$A$1:$Q$835,11,FALSE)</f>
        <v>0</v>
      </c>
      <c r="AM1132" s="31">
        <f>VLOOKUP($A1132,kurspris!$A$1:$Q$835,12,FALSE)</f>
        <v>0</v>
      </c>
      <c r="AN1132" s="31">
        <f>VLOOKUP($A1132,kurspris!$A$1:$Q$835,13,FALSE)</f>
        <v>0</v>
      </c>
      <c r="AO1132" s="31">
        <f>VLOOKUP($A1132,kurspris!$A$1:$Q$835,14,FALSE)</f>
        <v>0</v>
      </c>
      <c r="AP1132" s="39" t="s">
        <v>2326</v>
      </c>
      <c r="AQ1132"/>
      <c r="AR1132" s="31">
        <f t="shared" si="613"/>
        <v>0</v>
      </c>
      <c r="AS1132" s="255">
        <f t="shared" si="614"/>
        <v>0</v>
      </c>
      <c r="AT1132" s="31">
        <f t="shared" si="615"/>
        <v>0</v>
      </c>
      <c r="AU1132" s="255">
        <f t="shared" si="616"/>
        <v>0</v>
      </c>
      <c r="AV1132" s="31">
        <f t="shared" si="617"/>
        <v>0</v>
      </c>
      <c r="AW1132" s="31">
        <f t="shared" si="618"/>
        <v>0</v>
      </c>
      <c r="AX1132" s="31">
        <f t="shared" si="619"/>
        <v>0</v>
      </c>
      <c r="AY1132" s="255">
        <f t="shared" si="620"/>
        <v>0</v>
      </c>
      <c r="AZ1132" s="232">
        <f t="shared" si="621"/>
        <v>0</v>
      </c>
      <c r="BA1132" s="255">
        <f t="shared" si="622"/>
        <v>0</v>
      </c>
      <c r="BB1132" s="31">
        <f t="shared" si="623"/>
        <v>0</v>
      </c>
      <c r="BC1132" s="255">
        <f t="shared" si="624"/>
        <v>0</v>
      </c>
      <c r="BD1132" s="31">
        <f t="shared" si="625"/>
        <v>0.25</v>
      </c>
      <c r="BE1132" s="255">
        <f t="shared" si="626"/>
        <v>0.21249999999999999</v>
      </c>
      <c r="BF1132" s="31">
        <f t="shared" si="627"/>
        <v>0</v>
      </c>
      <c r="BG1132" s="255">
        <f t="shared" si="628"/>
        <v>0</v>
      </c>
      <c r="BH1132" s="31">
        <f t="shared" si="629"/>
        <v>0</v>
      </c>
      <c r="BI1132" s="255">
        <f t="shared" si="630"/>
        <v>0</v>
      </c>
      <c r="BJ1132" s="31">
        <f t="shared" si="631"/>
        <v>0</v>
      </c>
      <c r="BK1132" s="31">
        <f t="shared" si="632"/>
        <v>0</v>
      </c>
      <c r="BL1132" s="255">
        <f t="shared" si="633"/>
        <v>0</v>
      </c>
      <c r="BM1132" s="31">
        <f t="shared" si="634"/>
        <v>0</v>
      </c>
      <c r="BN1132" s="255">
        <f t="shared" si="635"/>
        <v>0</v>
      </c>
    </row>
    <row r="1133" spans="1:66" x14ac:dyDescent="0.25">
      <c r="A1133" t="s">
        <v>101</v>
      </c>
      <c r="B1133" s="186" t="str">
        <f>VLOOKUP(A1133,kurspris!$A$1:$B$877,2,FALSE)</f>
        <v>Politik och samhälle</v>
      </c>
      <c r="C1133"/>
      <c r="D1133" t="s">
        <v>85</v>
      </c>
      <c r="E1133" t="s">
        <v>1973</v>
      </c>
      <c r="F1133" s="59" t="s">
        <v>1930</v>
      </c>
      <c r="G1133" t="s">
        <v>1979</v>
      </c>
      <c r="H1133" t="s">
        <v>1910</v>
      </c>
      <c r="I1133" t="s">
        <v>1536</v>
      </c>
      <c r="J1133"/>
      <c r="K1133"/>
      <c r="L1133">
        <v>100</v>
      </c>
      <c r="M1133">
        <v>15</v>
      </c>
      <c r="N1133"/>
      <c r="O1133"/>
      <c r="P1133" s="31">
        <v>0</v>
      </c>
      <c r="Q1133" s="232">
        <f t="shared" si="608"/>
        <v>0</v>
      </c>
      <c r="R1133" s="40">
        <v>0.85</v>
      </c>
      <c r="S1133" s="334">
        <f t="shared" si="609"/>
        <v>0</v>
      </c>
      <c r="T1133" s="31">
        <f>VLOOKUP(A1133,'Ansvar kurs'!$A$1:$C$1010,2,FALSE)</f>
        <v>2340</v>
      </c>
      <c r="U1133" s="31" t="str">
        <f>VLOOKUP(T1133,Orgenheter!$A$1:$C$165,2,FALSE)</f>
        <v xml:space="preserve">Statsvetenskap                </v>
      </c>
      <c r="V1133" s="31" t="str">
        <f>VLOOKUP(T1133,Orgenheter!$A$1:$C$165,3,FALSE)</f>
        <v>Sam</v>
      </c>
      <c r="W1133" s="37" t="str">
        <f>VLOOKUP(D1133,Program!$A$1:$B$34,2,FALSE)</f>
        <v>Studie- och yrkesvägledarprogram</v>
      </c>
      <c r="X1133" s="42">
        <f>VLOOKUP(A1133,kurspris!$A$1:$Q$798,15,FALSE)</f>
        <v>18405</v>
      </c>
      <c r="Y1133" s="42">
        <f>VLOOKUP(A1133,kurspris!$A$1:$Q$798,16,FALSE)</f>
        <v>15773</v>
      </c>
      <c r="Z1133" s="42">
        <f t="shared" si="610"/>
        <v>0</v>
      </c>
      <c r="AA1133" s="42">
        <f>VLOOKUP(A1133,kurspris!$A$1:$Q$798,17,FALSE)</f>
        <v>5800</v>
      </c>
      <c r="AB1133" s="42">
        <f t="shared" si="611"/>
        <v>0</v>
      </c>
      <c r="AC1133" s="42">
        <f t="shared" si="612"/>
        <v>0</v>
      </c>
      <c r="AD1133" s="31">
        <f>VLOOKUP($A1133,kurspris!$A$1:$Q$835,3,FALSE)</f>
        <v>0</v>
      </c>
      <c r="AE1133" s="31">
        <f>VLOOKUP($A1133,kurspris!$A$1:$Q$835,4,FALSE)</f>
        <v>0</v>
      </c>
      <c r="AF1133" s="31">
        <f>VLOOKUP($A1133,kurspris!$A$1:$Q$835,5,FALSE)</f>
        <v>0</v>
      </c>
      <c r="AG1133" s="31">
        <f>VLOOKUP($A1133,kurspris!$A$1:$Q$835,6,FALSE)</f>
        <v>0</v>
      </c>
      <c r="AH1133" s="31">
        <f>VLOOKUP($A1133,kurspris!$A$1:$Q$835,7,FALSE)</f>
        <v>0</v>
      </c>
      <c r="AI1133" s="31">
        <f>VLOOKUP($A1133,kurspris!$A$1:$Q$835,8,FALSE)</f>
        <v>0</v>
      </c>
      <c r="AJ1133" s="31">
        <f>VLOOKUP($A1133,kurspris!$A$1:$Q$835,9,FALSE)</f>
        <v>1</v>
      </c>
      <c r="AK1133" s="31">
        <f>VLOOKUP($A1133,kurspris!$A$1:$Q$835,10,FALSE)</f>
        <v>0</v>
      </c>
      <c r="AL1133" s="31">
        <f>VLOOKUP($A1133,kurspris!$A$1:$Q$835,11,FALSE)</f>
        <v>0</v>
      </c>
      <c r="AM1133" s="31">
        <f>VLOOKUP($A1133,kurspris!$A$1:$Q$835,12,FALSE)</f>
        <v>0</v>
      </c>
      <c r="AN1133" s="31">
        <f>VLOOKUP($A1133,kurspris!$A$1:$Q$835,13,FALSE)</f>
        <v>0</v>
      </c>
      <c r="AO1133" s="31">
        <f>VLOOKUP($A1133,kurspris!$A$1:$Q$835,14,FALSE)</f>
        <v>0</v>
      </c>
      <c r="AP1133" s="39" t="s">
        <v>2204</v>
      </c>
      <c r="AQ1133"/>
      <c r="AR1133" s="31">
        <f t="shared" si="613"/>
        <v>0</v>
      </c>
      <c r="AS1133" s="255">
        <f t="shared" si="614"/>
        <v>0</v>
      </c>
      <c r="AT1133" s="31">
        <f t="shared" si="615"/>
        <v>0</v>
      </c>
      <c r="AU1133" s="255">
        <f t="shared" si="616"/>
        <v>0</v>
      </c>
      <c r="AV1133" s="31">
        <f t="shared" si="617"/>
        <v>0</v>
      </c>
      <c r="AW1133" s="31">
        <f t="shared" si="618"/>
        <v>0</v>
      </c>
      <c r="AX1133" s="31">
        <f t="shared" si="619"/>
        <v>0</v>
      </c>
      <c r="AY1133" s="255">
        <f t="shared" si="620"/>
        <v>0</v>
      </c>
      <c r="AZ1133" s="232">
        <f t="shared" si="621"/>
        <v>0</v>
      </c>
      <c r="BA1133" s="255">
        <f t="shared" si="622"/>
        <v>0</v>
      </c>
      <c r="BB1133" s="31">
        <f t="shared" si="623"/>
        <v>0</v>
      </c>
      <c r="BC1133" s="255">
        <f t="shared" si="624"/>
        <v>0</v>
      </c>
      <c r="BD1133" s="31">
        <f t="shared" si="625"/>
        <v>0</v>
      </c>
      <c r="BE1133" s="255">
        <f t="shared" si="626"/>
        <v>0</v>
      </c>
      <c r="BF1133" s="31">
        <f t="shared" si="627"/>
        <v>0</v>
      </c>
      <c r="BG1133" s="255">
        <f t="shared" si="628"/>
        <v>0</v>
      </c>
      <c r="BH1133" s="31">
        <f t="shared" si="629"/>
        <v>0</v>
      </c>
      <c r="BI1133" s="255">
        <f t="shared" si="630"/>
        <v>0</v>
      </c>
      <c r="BJ1133" s="31">
        <f t="shared" si="631"/>
        <v>0</v>
      </c>
      <c r="BK1133" s="31">
        <f t="shared" si="632"/>
        <v>0</v>
      </c>
      <c r="BL1133" s="255">
        <f t="shared" si="633"/>
        <v>0</v>
      </c>
      <c r="BM1133" s="31">
        <f t="shared" si="634"/>
        <v>0</v>
      </c>
      <c r="BN1133" s="255">
        <f t="shared" si="635"/>
        <v>0</v>
      </c>
    </row>
    <row r="1134" spans="1:66" x14ac:dyDescent="0.25">
      <c r="A1134" t="s">
        <v>101</v>
      </c>
      <c r="B1134" s="186" t="str">
        <f>VLOOKUP(A1134,kurspris!$A$1:$B$877,2,FALSE)</f>
        <v>Politik och samhälle</v>
      </c>
      <c r="C1134"/>
      <c r="D1134" t="s">
        <v>85</v>
      </c>
      <c r="E1134" t="s">
        <v>1788</v>
      </c>
      <c r="F1134" s="59" t="s">
        <v>1930</v>
      </c>
      <c r="G1134" t="s">
        <v>1979</v>
      </c>
      <c r="H1134" t="s">
        <v>1910</v>
      </c>
      <c r="I1134" t="s">
        <v>628</v>
      </c>
      <c r="J1134"/>
      <c r="K1134"/>
      <c r="L1134">
        <v>100</v>
      </c>
      <c r="M1134">
        <v>15</v>
      </c>
      <c r="N1134"/>
      <c r="O1134"/>
      <c r="P1134" s="31">
        <v>20</v>
      </c>
      <c r="Q1134" s="232">
        <f t="shared" si="608"/>
        <v>5</v>
      </c>
      <c r="R1134" s="40">
        <v>0.85</v>
      </c>
      <c r="S1134" s="334">
        <f t="shared" si="609"/>
        <v>4.25</v>
      </c>
      <c r="T1134" s="31">
        <f>VLOOKUP(A1134,'Ansvar kurs'!$A$1:$C$1010,2,FALSE)</f>
        <v>2340</v>
      </c>
      <c r="U1134" s="31" t="str">
        <f>VLOOKUP(T1134,Orgenheter!$A$1:$C$165,2,FALSE)</f>
        <v xml:space="preserve">Statsvetenskap                </v>
      </c>
      <c r="V1134" s="31" t="str">
        <f>VLOOKUP(T1134,Orgenheter!$A$1:$C$165,3,FALSE)</f>
        <v>Sam</v>
      </c>
      <c r="W1134" s="37" t="str">
        <f>VLOOKUP(D1134,Program!$A$1:$B$34,2,FALSE)</f>
        <v>Studie- och yrkesvägledarprogram</v>
      </c>
      <c r="X1134" s="42">
        <f>VLOOKUP(A1134,kurspris!$A$1:$Q$798,15,FALSE)</f>
        <v>18405</v>
      </c>
      <c r="Y1134" s="42">
        <f>VLOOKUP(A1134,kurspris!$A$1:$Q$798,16,FALSE)</f>
        <v>15773</v>
      </c>
      <c r="Z1134" s="42">
        <f t="shared" si="610"/>
        <v>159060.25</v>
      </c>
      <c r="AA1134" s="42">
        <f>VLOOKUP(A1134,kurspris!$A$1:$Q$798,17,FALSE)</f>
        <v>5800</v>
      </c>
      <c r="AB1134" s="42">
        <f t="shared" si="611"/>
        <v>29000</v>
      </c>
      <c r="AC1134" s="42">
        <f t="shared" si="612"/>
        <v>188060.25</v>
      </c>
      <c r="AD1134" s="31">
        <f>VLOOKUP($A1134,kurspris!$A$1:$Q$835,3,FALSE)</f>
        <v>0</v>
      </c>
      <c r="AE1134" s="31">
        <f>VLOOKUP($A1134,kurspris!$A$1:$Q$835,4,FALSE)</f>
        <v>0</v>
      </c>
      <c r="AF1134" s="31">
        <f>VLOOKUP($A1134,kurspris!$A$1:$Q$835,5,FALSE)</f>
        <v>0</v>
      </c>
      <c r="AG1134" s="31">
        <f>VLOOKUP($A1134,kurspris!$A$1:$Q$835,6,FALSE)</f>
        <v>0</v>
      </c>
      <c r="AH1134" s="31">
        <f>VLOOKUP($A1134,kurspris!$A$1:$Q$835,7,FALSE)</f>
        <v>0</v>
      </c>
      <c r="AI1134" s="31">
        <f>VLOOKUP($A1134,kurspris!$A$1:$Q$835,8,FALSE)</f>
        <v>0</v>
      </c>
      <c r="AJ1134" s="31">
        <f>VLOOKUP($A1134,kurspris!$A$1:$Q$835,9,FALSE)</f>
        <v>1</v>
      </c>
      <c r="AK1134" s="31">
        <f>VLOOKUP($A1134,kurspris!$A$1:$Q$835,10,FALSE)</f>
        <v>0</v>
      </c>
      <c r="AL1134" s="31">
        <f>VLOOKUP($A1134,kurspris!$A$1:$Q$835,11,FALSE)</f>
        <v>0</v>
      </c>
      <c r="AM1134" s="31">
        <f>VLOOKUP($A1134,kurspris!$A$1:$Q$835,12,FALSE)</f>
        <v>0</v>
      </c>
      <c r="AN1134" s="31">
        <f>VLOOKUP($A1134,kurspris!$A$1:$Q$835,13,FALSE)</f>
        <v>0</v>
      </c>
      <c r="AO1134" s="31">
        <f>VLOOKUP($A1134,kurspris!$A$1:$Q$835,14,FALSE)</f>
        <v>0</v>
      </c>
      <c r="AP1134" s="39" t="s">
        <v>2204</v>
      </c>
      <c r="AQ1134"/>
      <c r="AR1134" s="31">
        <f t="shared" si="613"/>
        <v>0</v>
      </c>
      <c r="AS1134" s="255">
        <f t="shared" si="614"/>
        <v>0</v>
      </c>
      <c r="AT1134" s="31">
        <f t="shared" si="615"/>
        <v>0</v>
      </c>
      <c r="AU1134" s="255">
        <f t="shared" si="616"/>
        <v>0</v>
      </c>
      <c r="AV1134" s="31">
        <f t="shared" si="617"/>
        <v>0</v>
      </c>
      <c r="AW1134" s="31">
        <f t="shared" si="618"/>
        <v>0</v>
      </c>
      <c r="AX1134" s="31">
        <f t="shared" si="619"/>
        <v>0</v>
      </c>
      <c r="AY1134" s="255">
        <f t="shared" si="620"/>
        <v>0</v>
      </c>
      <c r="AZ1134" s="232">
        <f t="shared" si="621"/>
        <v>0</v>
      </c>
      <c r="BA1134" s="255">
        <f t="shared" si="622"/>
        <v>0</v>
      </c>
      <c r="BB1134" s="31">
        <f t="shared" si="623"/>
        <v>0</v>
      </c>
      <c r="BC1134" s="255">
        <f t="shared" si="624"/>
        <v>0</v>
      </c>
      <c r="BD1134" s="31">
        <f t="shared" si="625"/>
        <v>5</v>
      </c>
      <c r="BE1134" s="255">
        <f t="shared" si="626"/>
        <v>4.25</v>
      </c>
      <c r="BF1134" s="31">
        <f t="shared" si="627"/>
        <v>0</v>
      </c>
      <c r="BG1134" s="255">
        <f t="shared" si="628"/>
        <v>0</v>
      </c>
      <c r="BH1134" s="31">
        <f t="shared" si="629"/>
        <v>0</v>
      </c>
      <c r="BI1134" s="255">
        <f t="shared" si="630"/>
        <v>0</v>
      </c>
      <c r="BJ1134" s="31">
        <f t="shared" si="631"/>
        <v>0</v>
      </c>
      <c r="BK1134" s="31">
        <f t="shared" si="632"/>
        <v>0</v>
      </c>
      <c r="BL1134" s="255">
        <f t="shared" si="633"/>
        <v>0</v>
      </c>
      <c r="BM1134" s="31">
        <f t="shared" si="634"/>
        <v>0</v>
      </c>
      <c r="BN1134" s="255">
        <f t="shared" si="635"/>
        <v>0</v>
      </c>
    </row>
    <row r="1135" spans="1:66" x14ac:dyDescent="0.25">
      <c r="A1135" t="s">
        <v>101</v>
      </c>
      <c r="B1135" s="186" t="str">
        <f>VLOOKUP(A1135,kurspris!$A$1:$B$877,2,FALSE)</f>
        <v>Politik och samhälle</v>
      </c>
      <c r="C1135"/>
      <c r="D1135" t="s">
        <v>85</v>
      </c>
      <c r="E1135" t="s">
        <v>1788</v>
      </c>
      <c r="F1135" s="59" t="s">
        <v>1930</v>
      </c>
      <c r="G1135" t="s">
        <v>1979</v>
      </c>
      <c r="H1135" t="s">
        <v>1910</v>
      </c>
      <c r="I1135" t="s">
        <v>1536</v>
      </c>
      <c r="J1135"/>
      <c r="K1135"/>
      <c r="L1135">
        <v>100</v>
      </c>
      <c r="M1135">
        <v>15</v>
      </c>
      <c r="N1135"/>
      <c r="O1135"/>
      <c r="P1135" s="31">
        <v>25</v>
      </c>
      <c r="Q1135" s="232">
        <f t="shared" si="608"/>
        <v>6.25</v>
      </c>
      <c r="R1135" s="40">
        <v>0.85</v>
      </c>
      <c r="S1135" s="334">
        <f t="shared" si="609"/>
        <v>5.3125</v>
      </c>
      <c r="T1135" s="31">
        <f>VLOOKUP(A1135,'Ansvar kurs'!$A$1:$C$1010,2,FALSE)</f>
        <v>2340</v>
      </c>
      <c r="U1135" s="31" t="str">
        <f>VLOOKUP(T1135,Orgenheter!$A$1:$C$165,2,FALSE)</f>
        <v xml:space="preserve">Statsvetenskap                </v>
      </c>
      <c r="V1135" s="31" t="str">
        <f>VLOOKUP(T1135,Orgenheter!$A$1:$C$165,3,FALSE)</f>
        <v>Sam</v>
      </c>
      <c r="W1135" s="37" t="str">
        <f>VLOOKUP(D1135,Program!$A$1:$B$34,2,FALSE)</f>
        <v>Studie- och yrkesvägledarprogram</v>
      </c>
      <c r="X1135" s="42">
        <f>VLOOKUP(A1135,kurspris!$A$1:$Q$798,15,FALSE)</f>
        <v>18405</v>
      </c>
      <c r="Y1135" s="42">
        <f>VLOOKUP(A1135,kurspris!$A$1:$Q$798,16,FALSE)</f>
        <v>15773</v>
      </c>
      <c r="Z1135" s="42">
        <f t="shared" si="610"/>
        <v>198825.3125</v>
      </c>
      <c r="AA1135" s="42">
        <f>VLOOKUP(A1135,kurspris!$A$1:$Q$798,17,FALSE)</f>
        <v>5800</v>
      </c>
      <c r="AB1135" s="42">
        <f t="shared" si="611"/>
        <v>36250</v>
      </c>
      <c r="AC1135" s="42">
        <f t="shared" si="612"/>
        <v>235075.3125</v>
      </c>
      <c r="AD1135" s="31">
        <f>VLOOKUP($A1135,kurspris!$A$1:$Q$835,3,FALSE)</f>
        <v>0</v>
      </c>
      <c r="AE1135" s="31">
        <f>VLOOKUP($A1135,kurspris!$A$1:$Q$835,4,FALSE)</f>
        <v>0</v>
      </c>
      <c r="AF1135" s="31">
        <f>VLOOKUP($A1135,kurspris!$A$1:$Q$835,5,FALSE)</f>
        <v>0</v>
      </c>
      <c r="AG1135" s="31">
        <f>VLOOKUP($A1135,kurspris!$A$1:$Q$835,6,FALSE)</f>
        <v>0</v>
      </c>
      <c r="AH1135" s="31">
        <f>VLOOKUP($A1135,kurspris!$A$1:$Q$835,7,FALSE)</f>
        <v>0</v>
      </c>
      <c r="AI1135" s="31">
        <f>VLOOKUP($A1135,kurspris!$A$1:$Q$835,8,FALSE)</f>
        <v>0</v>
      </c>
      <c r="AJ1135" s="31">
        <f>VLOOKUP($A1135,kurspris!$A$1:$Q$835,9,FALSE)</f>
        <v>1</v>
      </c>
      <c r="AK1135" s="31">
        <f>VLOOKUP($A1135,kurspris!$A$1:$Q$835,10,FALSE)</f>
        <v>0</v>
      </c>
      <c r="AL1135" s="31">
        <f>VLOOKUP($A1135,kurspris!$A$1:$Q$835,11,FALSE)</f>
        <v>0</v>
      </c>
      <c r="AM1135" s="31">
        <f>VLOOKUP($A1135,kurspris!$A$1:$Q$835,12,FALSE)</f>
        <v>0</v>
      </c>
      <c r="AN1135" s="31">
        <f>VLOOKUP($A1135,kurspris!$A$1:$Q$835,13,FALSE)</f>
        <v>0</v>
      </c>
      <c r="AO1135" s="31">
        <f>VLOOKUP($A1135,kurspris!$A$1:$Q$835,14,FALSE)</f>
        <v>0</v>
      </c>
      <c r="AP1135" s="39" t="s">
        <v>2204</v>
      </c>
      <c r="AQ1135"/>
      <c r="AR1135" s="31">
        <f t="shared" si="613"/>
        <v>0</v>
      </c>
      <c r="AS1135" s="255">
        <f t="shared" si="614"/>
        <v>0</v>
      </c>
      <c r="AT1135" s="31">
        <f t="shared" si="615"/>
        <v>0</v>
      </c>
      <c r="AU1135" s="255">
        <f t="shared" si="616"/>
        <v>0</v>
      </c>
      <c r="AV1135" s="31">
        <f t="shared" si="617"/>
        <v>0</v>
      </c>
      <c r="AW1135" s="31">
        <f t="shared" si="618"/>
        <v>0</v>
      </c>
      <c r="AX1135" s="31">
        <f t="shared" si="619"/>
        <v>0</v>
      </c>
      <c r="AY1135" s="255">
        <f t="shared" si="620"/>
        <v>0</v>
      </c>
      <c r="AZ1135" s="232">
        <f t="shared" si="621"/>
        <v>0</v>
      </c>
      <c r="BA1135" s="255">
        <f t="shared" si="622"/>
        <v>0</v>
      </c>
      <c r="BB1135" s="31">
        <f t="shared" si="623"/>
        <v>0</v>
      </c>
      <c r="BC1135" s="255">
        <f t="shared" si="624"/>
        <v>0</v>
      </c>
      <c r="BD1135" s="31">
        <f t="shared" si="625"/>
        <v>6.25</v>
      </c>
      <c r="BE1135" s="255">
        <f t="shared" si="626"/>
        <v>5.3125</v>
      </c>
      <c r="BF1135" s="31">
        <f t="shared" si="627"/>
        <v>0</v>
      </c>
      <c r="BG1135" s="255">
        <f t="shared" si="628"/>
        <v>0</v>
      </c>
      <c r="BH1135" s="31">
        <f t="shared" si="629"/>
        <v>0</v>
      </c>
      <c r="BI1135" s="255">
        <f t="shared" si="630"/>
        <v>0</v>
      </c>
      <c r="BJ1135" s="31">
        <f t="shared" si="631"/>
        <v>0</v>
      </c>
      <c r="BK1135" s="31">
        <f t="shared" si="632"/>
        <v>0</v>
      </c>
      <c r="BL1135" s="255">
        <f t="shared" si="633"/>
        <v>0</v>
      </c>
      <c r="BM1135" s="31">
        <f t="shared" si="634"/>
        <v>0</v>
      </c>
      <c r="BN1135" s="255">
        <f t="shared" si="635"/>
        <v>0</v>
      </c>
    </row>
    <row r="1136" spans="1:66" x14ac:dyDescent="0.25">
      <c r="A1136" t="s">
        <v>102</v>
      </c>
      <c r="B1136" s="186" t="str">
        <f>VLOOKUP(A1136,kurspris!$A$1:$B$877,2,FALSE)</f>
        <v>Utbildning och arbetsmarknad I</v>
      </c>
      <c r="C1136"/>
      <c r="D1136" t="s">
        <v>85</v>
      </c>
      <c r="E1136" t="s">
        <v>1788</v>
      </c>
      <c r="F1136" s="59" t="s">
        <v>1930</v>
      </c>
      <c r="G1136" t="s">
        <v>1980</v>
      </c>
      <c r="H1136" t="s">
        <v>1910</v>
      </c>
      <c r="I1136" t="s">
        <v>628</v>
      </c>
      <c r="J1136"/>
      <c r="K1136"/>
      <c r="L1136">
        <v>100</v>
      </c>
      <c r="M1136">
        <v>7.5</v>
      </c>
      <c r="N1136"/>
      <c r="O1136"/>
      <c r="P1136" s="31">
        <v>21</v>
      </c>
      <c r="Q1136" s="232">
        <f t="shared" si="608"/>
        <v>2.625</v>
      </c>
      <c r="R1136" s="40">
        <v>0.85</v>
      </c>
      <c r="S1136" s="334">
        <f t="shared" si="609"/>
        <v>2.2312499999999997</v>
      </c>
      <c r="T1136" s="31">
        <f>VLOOKUP(A1136,'Ansvar kurs'!$A$1:$C$1010,2,FALSE)</f>
        <v>2340</v>
      </c>
      <c r="U1136" s="31" t="str">
        <f>VLOOKUP(T1136,Orgenheter!$A$1:$C$165,2,FALSE)</f>
        <v xml:space="preserve">Statsvetenskap                </v>
      </c>
      <c r="V1136" s="31" t="str">
        <f>VLOOKUP(T1136,Orgenheter!$A$1:$C$165,3,FALSE)</f>
        <v>Sam</v>
      </c>
      <c r="W1136" s="37" t="str">
        <f>VLOOKUP(D1136,Program!$A$1:$B$34,2,FALSE)</f>
        <v>Studie- och yrkesvägledarprogram</v>
      </c>
      <c r="X1136" s="42">
        <f>VLOOKUP(A1136,kurspris!$A$1:$Q$798,15,FALSE)</f>
        <v>18405</v>
      </c>
      <c r="Y1136" s="42">
        <f>VLOOKUP(A1136,kurspris!$A$1:$Q$798,16,FALSE)</f>
        <v>15773</v>
      </c>
      <c r="Z1136" s="42">
        <f t="shared" si="610"/>
        <v>83506.631250000006</v>
      </c>
      <c r="AA1136" s="42">
        <f>VLOOKUP(A1136,kurspris!$A$1:$Q$798,17,FALSE)</f>
        <v>5800</v>
      </c>
      <c r="AB1136" s="42">
        <f t="shared" si="611"/>
        <v>15225</v>
      </c>
      <c r="AC1136" s="42">
        <f t="shared" si="612"/>
        <v>98731.631250000006</v>
      </c>
      <c r="AD1136" s="31">
        <f>VLOOKUP($A1136,kurspris!$A$1:$Q$835,3,FALSE)</f>
        <v>0</v>
      </c>
      <c r="AE1136" s="31">
        <f>VLOOKUP($A1136,kurspris!$A$1:$Q$835,4,FALSE)</f>
        <v>0</v>
      </c>
      <c r="AF1136" s="31">
        <f>VLOOKUP($A1136,kurspris!$A$1:$Q$835,5,FALSE)</f>
        <v>0</v>
      </c>
      <c r="AG1136" s="31">
        <f>VLOOKUP($A1136,kurspris!$A$1:$Q$835,6,FALSE)</f>
        <v>0</v>
      </c>
      <c r="AH1136" s="31">
        <f>VLOOKUP($A1136,kurspris!$A$1:$Q$835,7,FALSE)</f>
        <v>0</v>
      </c>
      <c r="AI1136" s="31">
        <f>VLOOKUP($A1136,kurspris!$A$1:$Q$835,8,FALSE)</f>
        <v>0</v>
      </c>
      <c r="AJ1136" s="31">
        <f>VLOOKUP($A1136,kurspris!$A$1:$Q$835,9,FALSE)</f>
        <v>1</v>
      </c>
      <c r="AK1136" s="31">
        <f>VLOOKUP($A1136,kurspris!$A$1:$Q$835,10,FALSE)</f>
        <v>0</v>
      </c>
      <c r="AL1136" s="31">
        <f>VLOOKUP($A1136,kurspris!$A$1:$Q$835,11,FALSE)</f>
        <v>0</v>
      </c>
      <c r="AM1136" s="31">
        <f>VLOOKUP($A1136,kurspris!$A$1:$Q$835,12,FALSE)</f>
        <v>0</v>
      </c>
      <c r="AN1136" s="31">
        <f>VLOOKUP($A1136,kurspris!$A$1:$Q$835,13,FALSE)</f>
        <v>0</v>
      </c>
      <c r="AO1136" s="31">
        <f>VLOOKUP($A1136,kurspris!$A$1:$Q$835,14,FALSE)</f>
        <v>0</v>
      </c>
      <c r="AP1136" s="39" t="s">
        <v>2235</v>
      </c>
      <c r="AQ1136"/>
      <c r="AR1136" s="31">
        <f t="shared" si="613"/>
        <v>0</v>
      </c>
      <c r="AS1136" s="255">
        <f t="shared" si="614"/>
        <v>0</v>
      </c>
      <c r="AT1136" s="31">
        <f t="shared" si="615"/>
        <v>0</v>
      </c>
      <c r="AU1136" s="255">
        <f t="shared" si="616"/>
        <v>0</v>
      </c>
      <c r="AV1136" s="31">
        <f t="shared" si="617"/>
        <v>0</v>
      </c>
      <c r="AW1136" s="31">
        <f t="shared" si="618"/>
        <v>0</v>
      </c>
      <c r="AX1136" s="31">
        <f t="shared" si="619"/>
        <v>0</v>
      </c>
      <c r="AY1136" s="255">
        <f t="shared" si="620"/>
        <v>0</v>
      </c>
      <c r="AZ1136" s="232">
        <f t="shared" si="621"/>
        <v>0</v>
      </c>
      <c r="BA1136" s="255">
        <f t="shared" si="622"/>
        <v>0</v>
      </c>
      <c r="BB1136" s="31">
        <f t="shared" si="623"/>
        <v>0</v>
      </c>
      <c r="BC1136" s="255">
        <f t="shared" si="624"/>
        <v>0</v>
      </c>
      <c r="BD1136" s="31">
        <f t="shared" si="625"/>
        <v>2.625</v>
      </c>
      <c r="BE1136" s="255">
        <f t="shared" si="626"/>
        <v>2.2312499999999997</v>
      </c>
      <c r="BF1136" s="31">
        <f t="shared" si="627"/>
        <v>0</v>
      </c>
      <c r="BG1136" s="255">
        <f t="shared" si="628"/>
        <v>0</v>
      </c>
      <c r="BH1136" s="31">
        <f t="shared" si="629"/>
        <v>0</v>
      </c>
      <c r="BI1136" s="255">
        <f t="shared" si="630"/>
        <v>0</v>
      </c>
      <c r="BJ1136" s="31">
        <f t="shared" si="631"/>
        <v>0</v>
      </c>
      <c r="BK1136" s="31">
        <f t="shared" si="632"/>
        <v>0</v>
      </c>
      <c r="BL1136" s="255">
        <f t="shared" si="633"/>
        <v>0</v>
      </c>
      <c r="BM1136" s="31">
        <f t="shared" si="634"/>
        <v>0</v>
      </c>
      <c r="BN1136" s="255">
        <f t="shared" si="635"/>
        <v>0</v>
      </c>
    </row>
    <row r="1137" spans="1:66" x14ac:dyDescent="0.25">
      <c r="A1137" t="s">
        <v>102</v>
      </c>
      <c r="B1137" s="186" t="str">
        <f>VLOOKUP(A1137,kurspris!$A$1:$B$877,2,FALSE)</f>
        <v>Utbildning och arbetsmarknad I</v>
      </c>
      <c r="C1137"/>
      <c r="D1137" t="s">
        <v>85</v>
      </c>
      <c r="E1137" t="s">
        <v>1788</v>
      </c>
      <c r="F1137" s="59" t="s">
        <v>1930</v>
      </c>
      <c r="G1137" t="s">
        <v>1980</v>
      </c>
      <c r="H1137" t="s">
        <v>1910</v>
      </c>
      <c r="I1137" t="s">
        <v>1536</v>
      </c>
      <c r="J1137"/>
      <c r="K1137"/>
      <c r="L1137">
        <v>100</v>
      </c>
      <c r="M1137">
        <v>7.5</v>
      </c>
      <c r="N1137"/>
      <c r="O1137"/>
      <c r="P1137" s="31">
        <v>23</v>
      </c>
      <c r="Q1137" s="232">
        <f t="shared" si="608"/>
        <v>2.875</v>
      </c>
      <c r="R1137" s="40">
        <v>0.85</v>
      </c>
      <c r="S1137" s="334">
        <f t="shared" si="609"/>
        <v>2.4437500000000001</v>
      </c>
      <c r="T1137" s="31">
        <f>VLOOKUP(A1137,'Ansvar kurs'!$A$1:$C$1010,2,FALSE)</f>
        <v>2340</v>
      </c>
      <c r="U1137" s="31" t="str">
        <f>VLOOKUP(T1137,Orgenheter!$A$1:$C$165,2,FALSE)</f>
        <v xml:space="preserve">Statsvetenskap                </v>
      </c>
      <c r="V1137" s="31" t="str">
        <f>VLOOKUP(T1137,Orgenheter!$A$1:$C$165,3,FALSE)</f>
        <v>Sam</v>
      </c>
      <c r="W1137" s="37" t="str">
        <f>VLOOKUP(D1137,Program!$A$1:$B$34,2,FALSE)</f>
        <v>Studie- och yrkesvägledarprogram</v>
      </c>
      <c r="X1137" s="42">
        <f>VLOOKUP(A1137,kurspris!$A$1:$Q$798,15,FALSE)</f>
        <v>18405</v>
      </c>
      <c r="Y1137" s="42">
        <f>VLOOKUP(A1137,kurspris!$A$1:$Q$798,16,FALSE)</f>
        <v>15773</v>
      </c>
      <c r="Z1137" s="42">
        <f t="shared" si="610"/>
        <v>91459.643750000003</v>
      </c>
      <c r="AA1137" s="42">
        <f>VLOOKUP(A1137,kurspris!$A$1:$Q$798,17,FALSE)</f>
        <v>5800</v>
      </c>
      <c r="AB1137" s="42">
        <f t="shared" si="611"/>
        <v>16675</v>
      </c>
      <c r="AC1137" s="42">
        <f t="shared" si="612"/>
        <v>108134.64375</v>
      </c>
      <c r="AD1137" s="31">
        <f>VLOOKUP($A1137,kurspris!$A$1:$Q$835,3,FALSE)</f>
        <v>0</v>
      </c>
      <c r="AE1137" s="31">
        <f>VLOOKUP($A1137,kurspris!$A$1:$Q$835,4,FALSE)</f>
        <v>0</v>
      </c>
      <c r="AF1137" s="31">
        <f>VLOOKUP($A1137,kurspris!$A$1:$Q$835,5,FALSE)</f>
        <v>0</v>
      </c>
      <c r="AG1137" s="31">
        <f>VLOOKUP($A1137,kurspris!$A$1:$Q$835,6,FALSE)</f>
        <v>0</v>
      </c>
      <c r="AH1137" s="31">
        <f>VLOOKUP($A1137,kurspris!$A$1:$Q$835,7,FALSE)</f>
        <v>0</v>
      </c>
      <c r="AI1137" s="31">
        <f>VLOOKUP($A1137,kurspris!$A$1:$Q$835,8,FALSE)</f>
        <v>0</v>
      </c>
      <c r="AJ1137" s="31">
        <f>VLOOKUP($A1137,kurspris!$A$1:$Q$835,9,FALSE)</f>
        <v>1</v>
      </c>
      <c r="AK1137" s="31">
        <f>VLOOKUP($A1137,kurspris!$A$1:$Q$835,10,FALSE)</f>
        <v>0</v>
      </c>
      <c r="AL1137" s="31">
        <f>VLOOKUP($A1137,kurspris!$A$1:$Q$835,11,FALSE)</f>
        <v>0</v>
      </c>
      <c r="AM1137" s="31">
        <f>VLOOKUP($A1137,kurspris!$A$1:$Q$835,12,FALSE)</f>
        <v>0</v>
      </c>
      <c r="AN1137" s="31">
        <f>VLOOKUP($A1137,kurspris!$A$1:$Q$835,13,FALSE)</f>
        <v>0</v>
      </c>
      <c r="AO1137" s="31">
        <f>VLOOKUP($A1137,kurspris!$A$1:$Q$835,14,FALSE)</f>
        <v>0</v>
      </c>
      <c r="AP1137" s="39" t="s">
        <v>2235</v>
      </c>
      <c r="AQ1137"/>
      <c r="AR1137" s="31">
        <f t="shared" si="613"/>
        <v>0</v>
      </c>
      <c r="AS1137" s="255">
        <f t="shared" si="614"/>
        <v>0</v>
      </c>
      <c r="AT1137" s="31">
        <f t="shared" si="615"/>
        <v>0</v>
      </c>
      <c r="AU1137" s="255">
        <f t="shared" si="616"/>
        <v>0</v>
      </c>
      <c r="AV1137" s="31">
        <f t="shared" si="617"/>
        <v>0</v>
      </c>
      <c r="AW1137" s="31">
        <f t="shared" si="618"/>
        <v>0</v>
      </c>
      <c r="AX1137" s="31">
        <f t="shared" si="619"/>
        <v>0</v>
      </c>
      <c r="AY1137" s="255">
        <f t="shared" si="620"/>
        <v>0</v>
      </c>
      <c r="AZ1137" s="232">
        <f t="shared" si="621"/>
        <v>0</v>
      </c>
      <c r="BA1137" s="255">
        <f t="shared" si="622"/>
        <v>0</v>
      </c>
      <c r="BB1137" s="31">
        <f t="shared" si="623"/>
        <v>0</v>
      </c>
      <c r="BC1137" s="255">
        <f t="shared" si="624"/>
        <v>0</v>
      </c>
      <c r="BD1137" s="31">
        <f t="shared" si="625"/>
        <v>2.875</v>
      </c>
      <c r="BE1137" s="255">
        <f t="shared" si="626"/>
        <v>2.4437500000000001</v>
      </c>
      <c r="BF1137" s="31">
        <f t="shared" si="627"/>
        <v>0</v>
      </c>
      <c r="BG1137" s="255">
        <f t="shared" si="628"/>
        <v>0</v>
      </c>
      <c r="BH1137" s="31">
        <f t="shared" si="629"/>
        <v>0</v>
      </c>
      <c r="BI1137" s="255">
        <f t="shared" si="630"/>
        <v>0</v>
      </c>
      <c r="BJ1137" s="31">
        <f t="shared" si="631"/>
        <v>0</v>
      </c>
      <c r="BK1137" s="31">
        <f t="shared" si="632"/>
        <v>0</v>
      </c>
      <c r="BL1137" s="255">
        <f t="shared" si="633"/>
        <v>0</v>
      </c>
      <c r="BM1137" s="31">
        <f t="shared" si="634"/>
        <v>0</v>
      </c>
      <c r="BN1137" s="255">
        <f t="shared" si="635"/>
        <v>0</v>
      </c>
    </row>
    <row r="1138" spans="1:66" x14ac:dyDescent="0.25">
      <c r="A1138" t="s">
        <v>516</v>
      </c>
      <c r="B1138" s="186" t="str">
        <f>VLOOKUP(A1138,kurspris!$A$1:$B$877,2,FALSE)</f>
        <v>Svenska I för ämneslärare</v>
      </c>
      <c r="C1138"/>
      <c r="D1138" t="s">
        <v>483</v>
      </c>
      <c r="E1138" t="s">
        <v>1973</v>
      </c>
      <c r="F1138" s="59" t="s">
        <v>1930</v>
      </c>
      <c r="G1138" t="s">
        <v>1995</v>
      </c>
      <c r="H1138" t="s">
        <v>1910</v>
      </c>
      <c r="I1138"/>
      <c r="J1138" t="s">
        <v>771</v>
      </c>
      <c r="K1138"/>
      <c r="L1138">
        <v>100</v>
      </c>
      <c r="M1138">
        <v>30</v>
      </c>
      <c r="N1138"/>
      <c r="O1138"/>
      <c r="P1138" s="31">
        <v>5</v>
      </c>
      <c r="Q1138" s="232">
        <f t="shared" si="608"/>
        <v>2.5</v>
      </c>
      <c r="R1138" s="40">
        <v>0.85</v>
      </c>
      <c r="S1138" s="334">
        <f t="shared" si="609"/>
        <v>2.125</v>
      </c>
      <c r="T1138" s="31">
        <f>VLOOKUP(A1138,'Ansvar kurs'!$A$1:$C$1010,2,FALSE)</f>
        <v>1620</v>
      </c>
      <c r="U1138" s="31" t="str">
        <f>VLOOKUP(T1138,Orgenheter!$A$1:$C$165,2,FALSE)</f>
        <v>Inst för språkstudier</v>
      </c>
      <c r="V1138" s="31" t="str">
        <f>VLOOKUP(T1138,Orgenheter!$A$1:$C$165,3,FALSE)</f>
        <v>Hum</v>
      </c>
      <c r="W1138" s="37" t="str">
        <f>VLOOKUP(D1138,Program!$A$1:$B$34,2,FALSE)</f>
        <v>Ämneslärarprogrammet - Gy</v>
      </c>
      <c r="X1138" s="42">
        <f>VLOOKUP(A1138,kurspris!$A$1:$Q$798,15,FALSE)</f>
        <v>18405</v>
      </c>
      <c r="Y1138" s="42">
        <f>VLOOKUP(A1138,kurspris!$A$1:$Q$798,16,FALSE)</f>
        <v>15773</v>
      </c>
      <c r="Z1138" s="42">
        <f t="shared" si="610"/>
        <v>79530.125</v>
      </c>
      <c r="AA1138" s="42">
        <f>VLOOKUP(A1138,kurspris!$A$1:$Q$798,17,FALSE)</f>
        <v>5800</v>
      </c>
      <c r="AB1138" s="42">
        <f t="shared" si="611"/>
        <v>14500</v>
      </c>
      <c r="AC1138" s="42">
        <f t="shared" si="612"/>
        <v>94030.125</v>
      </c>
      <c r="AD1138" s="31">
        <f>VLOOKUP($A1138,kurspris!$A$1:$Q$835,3,FALSE)</f>
        <v>0</v>
      </c>
      <c r="AE1138" s="31">
        <f>VLOOKUP($A1138,kurspris!$A$1:$Q$835,4,FALSE)</f>
        <v>1</v>
      </c>
      <c r="AF1138" s="31">
        <f>VLOOKUP($A1138,kurspris!$A$1:$Q$835,5,FALSE)</f>
        <v>0</v>
      </c>
      <c r="AG1138" s="31">
        <f>VLOOKUP($A1138,kurspris!$A$1:$Q$835,6,FALSE)</f>
        <v>0</v>
      </c>
      <c r="AH1138" s="31">
        <f>VLOOKUP($A1138,kurspris!$A$1:$Q$835,7,FALSE)</f>
        <v>0</v>
      </c>
      <c r="AI1138" s="31">
        <f>VLOOKUP($A1138,kurspris!$A$1:$Q$835,8,FALSE)</f>
        <v>0</v>
      </c>
      <c r="AJ1138" s="31">
        <f>VLOOKUP($A1138,kurspris!$A$1:$Q$835,9,FALSE)</f>
        <v>0</v>
      </c>
      <c r="AK1138" s="31">
        <f>VLOOKUP($A1138,kurspris!$A$1:$Q$835,10,FALSE)</f>
        <v>0</v>
      </c>
      <c r="AL1138" s="31">
        <f>VLOOKUP($A1138,kurspris!$A$1:$Q$835,11,FALSE)</f>
        <v>0</v>
      </c>
      <c r="AM1138" s="31">
        <f>VLOOKUP($A1138,kurspris!$A$1:$Q$835,12,FALSE)</f>
        <v>0</v>
      </c>
      <c r="AN1138" s="31">
        <f>VLOOKUP($A1138,kurspris!$A$1:$Q$835,13,FALSE)</f>
        <v>0</v>
      </c>
      <c r="AO1138" s="31">
        <f>VLOOKUP($A1138,kurspris!$A$1:$Q$835,14,FALSE)</f>
        <v>0</v>
      </c>
      <c r="AP1138" s="39" t="s">
        <v>2204</v>
      </c>
      <c r="AQ1138"/>
      <c r="AR1138" s="31">
        <f t="shared" si="613"/>
        <v>0</v>
      </c>
      <c r="AS1138" s="255">
        <f t="shared" si="614"/>
        <v>0</v>
      </c>
      <c r="AT1138" s="31">
        <f t="shared" si="615"/>
        <v>2.5</v>
      </c>
      <c r="AU1138" s="255">
        <f t="shared" si="616"/>
        <v>2.125</v>
      </c>
      <c r="AV1138" s="31">
        <f t="shared" si="617"/>
        <v>0</v>
      </c>
      <c r="AW1138" s="31">
        <f t="shared" si="618"/>
        <v>0</v>
      </c>
      <c r="AX1138" s="31">
        <f t="shared" si="619"/>
        <v>0</v>
      </c>
      <c r="AY1138" s="255">
        <f t="shared" si="620"/>
        <v>0</v>
      </c>
      <c r="AZ1138" s="232">
        <f t="shared" si="621"/>
        <v>0</v>
      </c>
      <c r="BA1138" s="255">
        <f t="shared" si="622"/>
        <v>0</v>
      </c>
      <c r="BB1138" s="31">
        <f t="shared" si="623"/>
        <v>0</v>
      </c>
      <c r="BC1138" s="255">
        <f t="shared" si="624"/>
        <v>0</v>
      </c>
      <c r="BD1138" s="31">
        <f t="shared" si="625"/>
        <v>0</v>
      </c>
      <c r="BE1138" s="255">
        <f t="shared" si="626"/>
        <v>0</v>
      </c>
      <c r="BF1138" s="31">
        <f t="shared" si="627"/>
        <v>0</v>
      </c>
      <c r="BG1138" s="255">
        <f t="shared" si="628"/>
        <v>0</v>
      </c>
      <c r="BH1138" s="31">
        <f t="shared" si="629"/>
        <v>0</v>
      </c>
      <c r="BI1138" s="255">
        <f t="shared" si="630"/>
        <v>0</v>
      </c>
      <c r="BJ1138" s="31">
        <f t="shared" si="631"/>
        <v>0</v>
      </c>
      <c r="BK1138" s="31">
        <f t="shared" si="632"/>
        <v>0</v>
      </c>
      <c r="BL1138" s="255">
        <f t="shared" si="633"/>
        <v>0</v>
      </c>
      <c r="BM1138" s="31">
        <f t="shared" si="634"/>
        <v>0</v>
      </c>
      <c r="BN1138" s="255">
        <f t="shared" si="635"/>
        <v>0</v>
      </c>
    </row>
    <row r="1139" spans="1:66" x14ac:dyDescent="0.25">
      <c r="A1139" t="s">
        <v>516</v>
      </c>
      <c r="B1139" s="186" t="str">
        <f>VLOOKUP(A1139,kurspris!$A$1:$B$877,2,FALSE)</f>
        <v>Svenska I för ämneslärare</v>
      </c>
      <c r="C1139"/>
      <c r="D1139" t="s">
        <v>483</v>
      </c>
      <c r="E1139" t="s">
        <v>1973</v>
      </c>
      <c r="F1139" s="59" t="s">
        <v>1930</v>
      </c>
      <c r="G1139" t="s">
        <v>1995</v>
      </c>
      <c r="H1139" t="s">
        <v>1910</v>
      </c>
      <c r="I1139"/>
      <c r="J1139" t="s">
        <v>772</v>
      </c>
      <c r="K1139"/>
      <c r="L1139">
        <v>100</v>
      </c>
      <c r="M1139">
        <v>30</v>
      </c>
      <c r="N1139"/>
      <c r="O1139"/>
      <c r="P1139" s="31">
        <v>1</v>
      </c>
      <c r="Q1139" s="232">
        <f t="shared" si="608"/>
        <v>0.5</v>
      </c>
      <c r="R1139" s="40">
        <v>0.85</v>
      </c>
      <c r="S1139" s="334">
        <f t="shared" si="609"/>
        <v>0.42499999999999999</v>
      </c>
      <c r="T1139" s="31">
        <f>VLOOKUP(A1139,'Ansvar kurs'!$A$1:$C$1010,2,FALSE)</f>
        <v>1620</v>
      </c>
      <c r="U1139" s="31" t="str">
        <f>VLOOKUP(T1139,Orgenheter!$A$1:$C$165,2,FALSE)</f>
        <v>Inst för språkstudier</v>
      </c>
      <c r="V1139" s="31" t="str">
        <f>VLOOKUP(T1139,Orgenheter!$A$1:$C$165,3,FALSE)</f>
        <v>Hum</v>
      </c>
      <c r="W1139" s="37" t="str">
        <f>VLOOKUP(D1139,Program!$A$1:$B$34,2,FALSE)</f>
        <v>Ämneslärarprogrammet - Gy</v>
      </c>
      <c r="X1139" s="42">
        <f>VLOOKUP(A1139,kurspris!$A$1:$Q$798,15,FALSE)</f>
        <v>18405</v>
      </c>
      <c r="Y1139" s="42">
        <f>VLOOKUP(A1139,kurspris!$A$1:$Q$798,16,FALSE)</f>
        <v>15773</v>
      </c>
      <c r="Z1139" s="42">
        <f t="shared" si="610"/>
        <v>15906.025</v>
      </c>
      <c r="AA1139" s="42">
        <f>VLOOKUP(A1139,kurspris!$A$1:$Q$798,17,FALSE)</f>
        <v>5800</v>
      </c>
      <c r="AB1139" s="42">
        <f t="shared" si="611"/>
        <v>2900</v>
      </c>
      <c r="AC1139" s="42">
        <f t="shared" si="612"/>
        <v>18806.025000000001</v>
      </c>
      <c r="AD1139" s="31">
        <f>VLOOKUP($A1139,kurspris!$A$1:$Q$835,3,FALSE)</f>
        <v>0</v>
      </c>
      <c r="AE1139" s="31">
        <f>VLOOKUP($A1139,kurspris!$A$1:$Q$835,4,FALSE)</f>
        <v>1</v>
      </c>
      <c r="AF1139" s="31">
        <f>VLOOKUP($A1139,kurspris!$A$1:$Q$835,5,FALSE)</f>
        <v>0</v>
      </c>
      <c r="AG1139" s="31">
        <f>VLOOKUP($A1139,kurspris!$A$1:$Q$835,6,FALSE)</f>
        <v>0</v>
      </c>
      <c r="AH1139" s="31">
        <f>VLOOKUP($A1139,kurspris!$A$1:$Q$835,7,FALSE)</f>
        <v>0</v>
      </c>
      <c r="AI1139" s="31">
        <f>VLOOKUP($A1139,kurspris!$A$1:$Q$835,8,FALSE)</f>
        <v>0</v>
      </c>
      <c r="AJ1139" s="31">
        <f>VLOOKUP($A1139,kurspris!$A$1:$Q$835,9,FALSE)</f>
        <v>0</v>
      </c>
      <c r="AK1139" s="31">
        <f>VLOOKUP($A1139,kurspris!$A$1:$Q$835,10,FALSE)</f>
        <v>0</v>
      </c>
      <c r="AL1139" s="31">
        <f>VLOOKUP($A1139,kurspris!$A$1:$Q$835,11,FALSE)</f>
        <v>0</v>
      </c>
      <c r="AM1139" s="31">
        <f>VLOOKUP($A1139,kurspris!$A$1:$Q$835,12,FALSE)</f>
        <v>0</v>
      </c>
      <c r="AN1139" s="31">
        <f>VLOOKUP($A1139,kurspris!$A$1:$Q$835,13,FALSE)</f>
        <v>0</v>
      </c>
      <c r="AO1139" s="31">
        <f>VLOOKUP($A1139,kurspris!$A$1:$Q$835,14,FALSE)</f>
        <v>0</v>
      </c>
      <c r="AP1139" s="39" t="s">
        <v>2204</v>
      </c>
      <c r="AQ1139"/>
      <c r="AR1139" s="31">
        <f t="shared" si="613"/>
        <v>0</v>
      </c>
      <c r="AS1139" s="255">
        <f t="shared" si="614"/>
        <v>0</v>
      </c>
      <c r="AT1139" s="31">
        <f t="shared" si="615"/>
        <v>0.5</v>
      </c>
      <c r="AU1139" s="255">
        <f t="shared" si="616"/>
        <v>0.42499999999999999</v>
      </c>
      <c r="AV1139" s="31">
        <f t="shared" si="617"/>
        <v>0</v>
      </c>
      <c r="AW1139" s="31">
        <f t="shared" si="618"/>
        <v>0</v>
      </c>
      <c r="AX1139" s="31">
        <f t="shared" si="619"/>
        <v>0</v>
      </c>
      <c r="AY1139" s="255">
        <f t="shared" si="620"/>
        <v>0</v>
      </c>
      <c r="AZ1139" s="232">
        <f t="shared" si="621"/>
        <v>0</v>
      </c>
      <c r="BA1139" s="255">
        <f t="shared" si="622"/>
        <v>0</v>
      </c>
      <c r="BB1139" s="31">
        <f t="shared" si="623"/>
        <v>0</v>
      </c>
      <c r="BC1139" s="255">
        <f t="shared" si="624"/>
        <v>0</v>
      </c>
      <c r="BD1139" s="31">
        <f t="shared" si="625"/>
        <v>0</v>
      </c>
      <c r="BE1139" s="255">
        <f t="shared" si="626"/>
        <v>0</v>
      </c>
      <c r="BF1139" s="31">
        <f t="shared" si="627"/>
        <v>0</v>
      </c>
      <c r="BG1139" s="255">
        <f t="shared" si="628"/>
        <v>0</v>
      </c>
      <c r="BH1139" s="31">
        <f t="shared" si="629"/>
        <v>0</v>
      </c>
      <c r="BI1139" s="255">
        <f t="shared" si="630"/>
        <v>0</v>
      </c>
      <c r="BJ1139" s="31">
        <f t="shared" si="631"/>
        <v>0</v>
      </c>
      <c r="BK1139" s="31">
        <f t="shared" si="632"/>
        <v>0</v>
      </c>
      <c r="BL1139" s="255">
        <f t="shared" si="633"/>
        <v>0</v>
      </c>
      <c r="BM1139" s="31">
        <f t="shared" si="634"/>
        <v>0</v>
      </c>
      <c r="BN1139" s="255">
        <f t="shared" si="635"/>
        <v>0</v>
      </c>
    </row>
    <row r="1140" spans="1:66" x14ac:dyDescent="0.25">
      <c r="A1140" t="s">
        <v>516</v>
      </c>
      <c r="B1140" s="186" t="str">
        <f>VLOOKUP(A1140,kurspris!$A$1:$B$877,2,FALSE)</f>
        <v>Svenska I för ämneslärare</v>
      </c>
      <c r="C1140"/>
      <c r="D1140" t="s">
        <v>483</v>
      </c>
      <c r="E1140" t="s">
        <v>1973</v>
      </c>
      <c r="F1140" s="59" t="s">
        <v>1930</v>
      </c>
      <c r="G1140" t="s">
        <v>1995</v>
      </c>
      <c r="H1140" t="s">
        <v>1910</v>
      </c>
      <c r="I1140"/>
      <c r="J1140" t="s">
        <v>776</v>
      </c>
      <c r="K1140"/>
      <c r="L1140">
        <v>100</v>
      </c>
      <c r="M1140">
        <v>30</v>
      </c>
      <c r="N1140"/>
      <c r="O1140"/>
      <c r="P1140" s="31">
        <v>2</v>
      </c>
      <c r="Q1140" s="232">
        <f t="shared" si="608"/>
        <v>1</v>
      </c>
      <c r="R1140" s="40">
        <v>0.85</v>
      </c>
      <c r="S1140" s="334">
        <f t="shared" si="609"/>
        <v>0.85</v>
      </c>
      <c r="T1140" s="31">
        <f>VLOOKUP(A1140,'Ansvar kurs'!$A$1:$C$1010,2,FALSE)</f>
        <v>1620</v>
      </c>
      <c r="U1140" s="31" t="str">
        <f>VLOOKUP(T1140,Orgenheter!$A$1:$C$165,2,FALSE)</f>
        <v>Inst för språkstudier</v>
      </c>
      <c r="V1140" s="31" t="str">
        <f>VLOOKUP(T1140,Orgenheter!$A$1:$C$165,3,FALSE)</f>
        <v>Hum</v>
      </c>
      <c r="W1140" s="37" t="str">
        <f>VLOOKUP(D1140,Program!$A$1:$B$34,2,FALSE)</f>
        <v>Ämneslärarprogrammet - Gy</v>
      </c>
      <c r="X1140" s="42">
        <f>VLOOKUP(A1140,kurspris!$A$1:$Q$798,15,FALSE)</f>
        <v>18405</v>
      </c>
      <c r="Y1140" s="42">
        <f>VLOOKUP(A1140,kurspris!$A$1:$Q$798,16,FALSE)</f>
        <v>15773</v>
      </c>
      <c r="Z1140" s="42">
        <f t="shared" si="610"/>
        <v>31812.05</v>
      </c>
      <c r="AA1140" s="42">
        <f>VLOOKUP(A1140,kurspris!$A$1:$Q$798,17,FALSE)</f>
        <v>5800</v>
      </c>
      <c r="AB1140" s="42">
        <f t="shared" si="611"/>
        <v>5800</v>
      </c>
      <c r="AC1140" s="42">
        <f t="shared" si="612"/>
        <v>37612.050000000003</v>
      </c>
      <c r="AD1140" s="31">
        <f>VLOOKUP($A1140,kurspris!$A$1:$Q$835,3,FALSE)</f>
        <v>0</v>
      </c>
      <c r="AE1140" s="31">
        <f>VLOOKUP($A1140,kurspris!$A$1:$Q$835,4,FALSE)</f>
        <v>1</v>
      </c>
      <c r="AF1140" s="31">
        <f>VLOOKUP($A1140,kurspris!$A$1:$Q$835,5,FALSE)</f>
        <v>0</v>
      </c>
      <c r="AG1140" s="31">
        <f>VLOOKUP($A1140,kurspris!$A$1:$Q$835,6,FALSE)</f>
        <v>0</v>
      </c>
      <c r="AH1140" s="31">
        <f>VLOOKUP($A1140,kurspris!$A$1:$Q$835,7,FALSE)</f>
        <v>0</v>
      </c>
      <c r="AI1140" s="31">
        <f>VLOOKUP($A1140,kurspris!$A$1:$Q$835,8,FALSE)</f>
        <v>0</v>
      </c>
      <c r="AJ1140" s="31">
        <f>VLOOKUP($A1140,kurspris!$A$1:$Q$835,9,FALSE)</f>
        <v>0</v>
      </c>
      <c r="AK1140" s="31">
        <f>VLOOKUP($A1140,kurspris!$A$1:$Q$835,10,FALSE)</f>
        <v>0</v>
      </c>
      <c r="AL1140" s="31">
        <f>VLOOKUP($A1140,kurspris!$A$1:$Q$835,11,FALSE)</f>
        <v>0</v>
      </c>
      <c r="AM1140" s="31">
        <f>VLOOKUP($A1140,kurspris!$A$1:$Q$835,12,FALSE)</f>
        <v>0</v>
      </c>
      <c r="AN1140" s="31">
        <f>VLOOKUP($A1140,kurspris!$A$1:$Q$835,13,FALSE)</f>
        <v>0</v>
      </c>
      <c r="AO1140" s="31">
        <f>VLOOKUP($A1140,kurspris!$A$1:$Q$835,14,FALSE)</f>
        <v>0</v>
      </c>
      <c r="AP1140" s="39" t="s">
        <v>2204</v>
      </c>
      <c r="AQ1140"/>
      <c r="AR1140" s="31">
        <f t="shared" si="613"/>
        <v>0</v>
      </c>
      <c r="AS1140" s="255">
        <f t="shared" si="614"/>
        <v>0</v>
      </c>
      <c r="AT1140" s="31">
        <f t="shared" si="615"/>
        <v>1</v>
      </c>
      <c r="AU1140" s="255">
        <f t="shared" si="616"/>
        <v>0.85</v>
      </c>
      <c r="AV1140" s="31">
        <f t="shared" si="617"/>
        <v>0</v>
      </c>
      <c r="AW1140" s="31">
        <f t="shared" si="618"/>
        <v>0</v>
      </c>
      <c r="AX1140" s="31">
        <f t="shared" si="619"/>
        <v>0</v>
      </c>
      <c r="AY1140" s="255">
        <f t="shared" si="620"/>
        <v>0</v>
      </c>
      <c r="AZ1140" s="232">
        <f t="shared" si="621"/>
        <v>0</v>
      </c>
      <c r="BA1140" s="255">
        <f t="shared" si="622"/>
        <v>0</v>
      </c>
      <c r="BB1140" s="31">
        <f t="shared" si="623"/>
        <v>0</v>
      </c>
      <c r="BC1140" s="255">
        <f t="shared" si="624"/>
        <v>0</v>
      </c>
      <c r="BD1140" s="31">
        <f t="shared" si="625"/>
        <v>0</v>
      </c>
      <c r="BE1140" s="255">
        <f t="shared" si="626"/>
        <v>0</v>
      </c>
      <c r="BF1140" s="31">
        <f t="shared" si="627"/>
        <v>0</v>
      </c>
      <c r="BG1140" s="255">
        <f t="shared" si="628"/>
        <v>0</v>
      </c>
      <c r="BH1140" s="31">
        <f t="shared" si="629"/>
        <v>0</v>
      </c>
      <c r="BI1140" s="255">
        <f t="shared" si="630"/>
        <v>0</v>
      </c>
      <c r="BJ1140" s="31">
        <f t="shared" si="631"/>
        <v>0</v>
      </c>
      <c r="BK1140" s="31">
        <f t="shared" si="632"/>
        <v>0</v>
      </c>
      <c r="BL1140" s="255">
        <f t="shared" si="633"/>
        <v>0</v>
      </c>
      <c r="BM1140" s="31">
        <f t="shared" si="634"/>
        <v>0</v>
      </c>
      <c r="BN1140" s="255">
        <f t="shared" si="635"/>
        <v>0</v>
      </c>
    </row>
    <row r="1141" spans="1:66" x14ac:dyDescent="0.25">
      <c r="A1141" t="s">
        <v>516</v>
      </c>
      <c r="B1141" s="186" t="str">
        <f>VLOOKUP(A1141,kurspris!$A$1:$B$877,2,FALSE)</f>
        <v>Svenska I för ämneslärare</v>
      </c>
      <c r="C1141"/>
      <c r="D1141" t="s">
        <v>483</v>
      </c>
      <c r="E1141" t="s">
        <v>1973</v>
      </c>
      <c r="F1141" s="59" t="s">
        <v>1930</v>
      </c>
      <c r="G1141" t="s">
        <v>1995</v>
      </c>
      <c r="H1141" t="s">
        <v>1910</v>
      </c>
      <c r="I1141"/>
      <c r="J1141" t="s">
        <v>777</v>
      </c>
      <c r="K1141"/>
      <c r="L1141">
        <v>100</v>
      </c>
      <c r="M1141">
        <v>30</v>
      </c>
      <c r="N1141"/>
      <c r="O1141"/>
      <c r="P1141" s="31">
        <v>1</v>
      </c>
      <c r="Q1141" s="232">
        <f t="shared" si="608"/>
        <v>0.5</v>
      </c>
      <c r="R1141" s="40">
        <v>0.85</v>
      </c>
      <c r="S1141" s="334">
        <f t="shared" si="609"/>
        <v>0.42499999999999999</v>
      </c>
      <c r="T1141" s="31">
        <f>VLOOKUP(A1141,'Ansvar kurs'!$A$1:$C$1010,2,FALSE)</f>
        <v>1620</v>
      </c>
      <c r="U1141" s="31" t="str">
        <f>VLOOKUP(T1141,Orgenheter!$A$1:$C$165,2,FALSE)</f>
        <v>Inst för språkstudier</v>
      </c>
      <c r="V1141" s="31" t="str">
        <f>VLOOKUP(T1141,Orgenheter!$A$1:$C$165,3,FALSE)</f>
        <v>Hum</v>
      </c>
      <c r="W1141" s="37" t="str">
        <f>VLOOKUP(D1141,Program!$A$1:$B$34,2,FALSE)</f>
        <v>Ämneslärarprogrammet - Gy</v>
      </c>
      <c r="X1141" s="42">
        <f>VLOOKUP(A1141,kurspris!$A$1:$Q$798,15,FALSE)</f>
        <v>18405</v>
      </c>
      <c r="Y1141" s="42">
        <f>VLOOKUP(A1141,kurspris!$A$1:$Q$798,16,FALSE)</f>
        <v>15773</v>
      </c>
      <c r="Z1141" s="42">
        <f t="shared" si="610"/>
        <v>15906.025</v>
      </c>
      <c r="AA1141" s="42">
        <f>VLOOKUP(A1141,kurspris!$A$1:$Q$798,17,FALSE)</f>
        <v>5800</v>
      </c>
      <c r="AB1141" s="42">
        <f t="shared" si="611"/>
        <v>2900</v>
      </c>
      <c r="AC1141" s="42">
        <f t="shared" si="612"/>
        <v>18806.025000000001</v>
      </c>
      <c r="AD1141" s="31">
        <f>VLOOKUP($A1141,kurspris!$A$1:$Q$835,3,FALSE)</f>
        <v>0</v>
      </c>
      <c r="AE1141" s="31">
        <f>VLOOKUP($A1141,kurspris!$A$1:$Q$835,4,FALSE)</f>
        <v>1</v>
      </c>
      <c r="AF1141" s="31">
        <f>VLOOKUP($A1141,kurspris!$A$1:$Q$835,5,FALSE)</f>
        <v>0</v>
      </c>
      <c r="AG1141" s="31">
        <f>VLOOKUP($A1141,kurspris!$A$1:$Q$835,6,FALSE)</f>
        <v>0</v>
      </c>
      <c r="AH1141" s="31">
        <f>VLOOKUP($A1141,kurspris!$A$1:$Q$835,7,FALSE)</f>
        <v>0</v>
      </c>
      <c r="AI1141" s="31">
        <f>VLOOKUP($A1141,kurspris!$A$1:$Q$835,8,FALSE)</f>
        <v>0</v>
      </c>
      <c r="AJ1141" s="31">
        <f>VLOOKUP($A1141,kurspris!$A$1:$Q$835,9,FALSE)</f>
        <v>0</v>
      </c>
      <c r="AK1141" s="31">
        <f>VLOOKUP($A1141,kurspris!$A$1:$Q$835,10,FALSE)</f>
        <v>0</v>
      </c>
      <c r="AL1141" s="31">
        <f>VLOOKUP($A1141,kurspris!$A$1:$Q$835,11,FALSE)</f>
        <v>0</v>
      </c>
      <c r="AM1141" s="31">
        <f>VLOOKUP($A1141,kurspris!$A$1:$Q$835,12,FALSE)</f>
        <v>0</v>
      </c>
      <c r="AN1141" s="31">
        <f>VLOOKUP($A1141,kurspris!$A$1:$Q$835,13,FALSE)</f>
        <v>0</v>
      </c>
      <c r="AO1141" s="31">
        <f>VLOOKUP($A1141,kurspris!$A$1:$Q$835,14,FALSE)</f>
        <v>0</v>
      </c>
      <c r="AP1141" s="39" t="s">
        <v>2204</v>
      </c>
      <c r="AQ1141"/>
      <c r="AR1141" s="31">
        <f t="shared" si="613"/>
        <v>0</v>
      </c>
      <c r="AS1141" s="255">
        <f t="shared" si="614"/>
        <v>0</v>
      </c>
      <c r="AT1141" s="31">
        <f t="shared" si="615"/>
        <v>0.5</v>
      </c>
      <c r="AU1141" s="255">
        <f t="shared" si="616"/>
        <v>0.42499999999999999</v>
      </c>
      <c r="AV1141" s="31">
        <f t="shared" si="617"/>
        <v>0</v>
      </c>
      <c r="AW1141" s="31">
        <f t="shared" si="618"/>
        <v>0</v>
      </c>
      <c r="AX1141" s="31">
        <f t="shared" si="619"/>
        <v>0</v>
      </c>
      <c r="AY1141" s="255">
        <f t="shared" si="620"/>
        <v>0</v>
      </c>
      <c r="AZ1141" s="232">
        <f t="shared" si="621"/>
        <v>0</v>
      </c>
      <c r="BA1141" s="255">
        <f t="shared" si="622"/>
        <v>0</v>
      </c>
      <c r="BB1141" s="31">
        <f t="shared" si="623"/>
        <v>0</v>
      </c>
      <c r="BC1141" s="255">
        <f t="shared" si="624"/>
        <v>0</v>
      </c>
      <c r="BD1141" s="31">
        <f t="shared" si="625"/>
        <v>0</v>
      </c>
      <c r="BE1141" s="255">
        <f t="shared" si="626"/>
        <v>0</v>
      </c>
      <c r="BF1141" s="31">
        <f t="shared" si="627"/>
        <v>0</v>
      </c>
      <c r="BG1141" s="255">
        <f t="shared" si="628"/>
        <v>0</v>
      </c>
      <c r="BH1141" s="31">
        <f t="shared" si="629"/>
        <v>0</v>
      </c>
      <c r="BI1141" s="255">
        <f t="shared" si="630"/>
        <v>0</v>
      </c>
      <c r="BJ1141" s="31">
        <f t="shared" si="631"/>
        <v>0</v>
      </c>
      <c r="BK1141" s="31">
        <f t="shared" si="632"/>
        <v>0</v>
      </c>
      <c r="BL1141" s="255">
        <f t="shared" si="633"/>
        <v>0</v>
      </c>
      <c r="BM1141" s="31">
        <f t="shared" si="634"/>
        <v>0</v>
      </c>
      <c r="BN1141" s="255">
        <f t="shared" si="635"/>
        <v>0</v>
      </c>
    </row>
    <row r="1142" spans="1:66" x14ac:dyDescent="0.25">
      <c r="A1142" t="s">
        <v>516</v>
      </c>
      <c r="B1142" s="186" t="str">
        <f>VLOOKUP(A1142,kurspris!$A$1:$B$877,2,FALSE)</f>
        <v>Svenska I för ämneslärare</v>
      </c>
      <c r="C1142"/>
      <c r="D1142" t="s">
        <v>483</v>
      </c>
      <c r="E1142" t="s">
        <v>1973</v>
      </c>
      <c r="F1142" s="59" t="s">
        <v>1930</v>
      </c>
      <c r="G1142" t="s">
        <v>1995</v>
      </c>
      <c r="H1142" t="s">
        <v>1910</v>
      </c>
      <c r="I1142"/>
      <c r="J1142" t="s">
        <v>1592</v>
      </c>
      <c r="K1142"/>
      <c r="L1142">
        <v>100</v>
      </c>
      <c r="M1142">
        <v>30</v>
      </c>
      <c r="N1142"/>
      <c r="O1142"/>
      <c r="P1142" s="31">
        <v>1</v>
      </c>
      <c r="Q1142" s="232">
        <f t="shared" si="608"/>
        <v>0.5</v>
      </c>
      <c r="R1142" s="40">
        <v>0.85</v>
      </c>
      <c r="S1142" s="334">
        <f t="shared" si="609"/>
        <v>0.42499999999999999</v>
      </c>
      <c r="T1142" s="31">
        <f>VLOOKUP(A1142,'Ansvar kurs'!$A$1:$C$1010,2,FALSE)</f>
        <v>1620</v>
      </c>
      <c r="U1142" s="31" t="str">
        <f>VLOOKUP(T1142,Orgenheter!$A$1:$C$165,2,FALSE)</f>
        <v>Inst för språkstudier</v>
      </c>
      <c r="V1142" s="31" t="str">
        <f>VLOOKUP(T1142,Orgenheter!$A$1:$C$165,3,FALSE)</f>
        <v>Hum</v>
      </c>
      <c r="W1142" s="37" t="str">
        <f>VLOOKUP(D1142,Program!$A$1:$B$34,2,FALSE)</f>
        <v>Ämneslärarprogrammet - Gy</v>
      </c>
      <c r="X1142" s="42">
        <f>VLOOKUP(A1142,kurspris!$A$1:$Q$798,15,FALSE)</f>
        <v>18405</v>
      </c>
      <c r="Y1142" s="42">
        <f>VLOOKUP(A1142,kurspris!$A$1:$Q$798,16,FALSE)</f>
        <v>15773</v>
      </c>
      <c r="Z1142" s="42">
        <f t="shared" si="610"/>
        <v>15906.025</v>
      </c>
      <c r="AA1142" s="42">
        <f>VLOOKUP(A1142,kurspris!$A$1:$Q$798,17,FALSE)</f>
        <v>5800</v>
      </c>
      <c r="AB1142" s="42">
        <f t="shared" si="611"/>
        <v>2900</v>
      </c>
      <c r="AC1142" s="42">
        <f t="shared" si="612"/>
        <v>18806.025000000001</v>
      </c>
      <c r="AD1142" s="31">
        <f>VLOOKUP($A1142,kurspris!$A$1:$Q$835,3,FALSE)</f>
        <v>0</v>
      </c>
      <c r="AE1142" s="31">
        <f>VLOOKUP($A1142,kurspris!$A$1:$Q$835,4,FALSE)</f>
        <v>1</v>
      </c>
      <c r="AF1142" s="31">
        <f>VLOOKUP($A1142,kurspris!$A$1:$Q$835,5,FALSE)</f>
        <v>0</v>
      </c>
      <c r="AG1142" s="31">
        <f>VLOOKUP($A1142,kurspris!$A$1:$Q$835,6,FALSE)</f>
        <v>0</v>
      </c>
      <c r="AH1142" s="31">
        <f>VLOOKUP($A1142,kurspris!$A$1:$Q$835,7,FALSE)</f>
        <v>0</v>
      </c>
      <c r="AI1142" s="31">
        <f>VLOOKUP($A1142,kurspris!$A$1:$Q$835,8,FALSE)</f>
        <v>0</v>
      </c>
      <c r="AJ1142" s="31">
        <f>VLOOKUP($A1142,kurspris!$A$1:$Q$835,9,FALSE)</f>
        <v>0</v>
      </c>
      <c r="AK1142" s="31">
        <f>VLOOKUP($A1142,kurspris!$A$1:$Q$835,10,FALSE)</f>
        <v>0</v>
      </c>
      <c r="AL1142" s="31">
        <f>VLOOKUP($A1142,kurspris!$A$1:$Q$835,11,FALSE)</f>
        <v>0</v>
      </c>
      <c r="AM1142" s="31">
        <f>VLOOKUP($A1142,kurspris!$A$1:$Q$835,12,FALSE)</f>
        <v>0</v>
      </c>
      <c r="AN1142" s="31">
        <f>VLOOKUP($A1142,kurspris!$A$1:$Q$835,13,FALSE)</f>
        <v>0</v>
      </c>
      <c r="AO1142" s="31">
        <f>VLOOKUP($A1142,kurspris!$A$1:$Q$835,14,FALSE)</f>
        <v>0</v>
      </c>
      <c r="AP1142" s="39" t="s">
        <v>2204</v>
      </c>
      <c r="AQ1142"/>
      <c r="AR1142" s="31">
        <f t="shared" si="613"/>
        <v>0</v>
      </c>
      <c r="AS1142" s="255">
        <f t="shared" si="614"/>
        <v>0</v>
      </c>
      <c r="AT1142" s="31">
        <f t="shared" si="615"/>
        <v>0.5</v>
      </c>
      <c r="AU1142" s="255">
        <f t="shared" si="616"/>
        <v>0.42499999999999999</v>
      </c>
      <c r="AV1142" s="31">
        <f t="shared" si="617"/>
        <v>0</v>
      </c>
      <c r="AW1142" s="31">
        <f t="shared" si="618"/>
        <v>0</v>
      </c>
      <c r="AX1142" s="31">
        <f t="shared" si="619"/>
        <v>0</v>
      </c>
      <c r="AY1142" s="255">
        <f t="shared" si="620"/>
        <v>0</v>
      </c>
      <c r="AZ1142" s="232">
        <f t="shared" si="621"/>
        <v>0</v>
      </c>
      <c r="BA1142" s="255">
        <f t="shared" si="622"/>
        <v>0</v>
      </c>
      <c r="BB1142" s="31">
        <f t="shared" si="623"/>
        <v>0</v>
      </c>
      <c r="BC1142" s="255">
        <f t="shared" si="624"/>
        <v>0</v>
      </c>
      <c r="BD1142" s="31">
        <f t="shared" si="625"/>
        <v>0</v>
      </c>
      <c r="BE1142" s="255">
        <f t="shared" si="626"/>
        <v>0</v>
      </c>
      <c r="BF1142" s="31">
        <f t="shared" si="627"/>
        <v>0</v>
      </c>
      <c r="BG1142" s="255">
        <f t="shared" si="628"/>
        <v>0</v>
      </c>
      <c r="BH1142" s="31">
        <f t="shared" si="629"/>
        <v>0</v>
      </c>
      <c r="BI1142" s="255">
        <f t="shared" si="630"/>
        <v>0</v>
      </c>
      <c r="BJ1142" s="31">
        <f t="shared" si="631"/>
        <v>0</v>
      </c>
      <c r="BK1142" s="31">
        <f t="shared" si="632"/>
        <v>0</v>
      </c>
      <c r="BL1142" s="255">
        <f t="shared" si="633"/>
        <v>0</v>
      </c>
      <c r="BM1142" s="31">
        <f t="shared" si="634"/>
        <v>0</v>
      </c>
      <c r="BN1142" s="255">
        <f t="shared" si="635"/>
        <v>0</v>
      </c>
    </row>
    <row r="1143" spans="1:66" x14ac:dyDescent="0.25">
      <c r="A1143" t="s">
        <v>516</v>
      </c>
      <c r="B1143" s="186" t="str">
        <f>VLOOKUP(A1143,kurspris!$A$1:$B$877,2,FALSE)</f>
        <v>Svenska I för ämneslärare</v>
      </c>
      <c r="C1143"/>
      <c r="D1143" t="s">
        <v>483</v>
      </c>
      <c r="E1143" t="s">
        <v>1609</v>
      </c>
      <c r="F1143" s="59" t="s">
        <v>1930</v>
      </c>
      <c r="G1143" t="s">
        <v>1995</v>
      </c>
      <c r="H1143" t="s">
        <v>1910</v>
      </c>
      <c r="I1143"/>
      <c r="J1143" t="s">
        <v>778</v>
      </c>
      <c r="K1143"/>
      <c r="L1143">
        <v>100</v>
      </c>
      <c r="M1143">
        <v>30</v>
      </c>
      <c r="N1143"/>
      <c r="O1143"/>
      <c r="P1143" s="31">
        <v>1</v>
      </c>
      <c r="Q1143" s="232">
        <f t="shared" si="608"/>
        <v>0.5</v>
      </c>
      <c r="R1143" s="40">
        <v>0.85</v>
      </c>
      <c r="S1143" s="334">
        <f t="shared" si="609"/>
        <v>0.42499999999999999</v>
      </c>
      <c r="T1143" s="31">
        <f>VLOOKUP(A1143,'Ansvar kurs'!$A$1:$C$1010,2,FALSE)</f>
        <v>1620</v>
      </c>
      <c r="U1143" s="31" t="str">
        <f>VLOOKUP(T1143,Orgenheter!$A$1:$C$165,2,FALSE)</f>
        <v>Inst för språkstudier</v>
      </c>
      <c r="V1143" s="31" t="str">
        <f>VLOOKUP(T1143,Orgenheter!$A$1:$C$165,3,FALSE)</f>
        <v>Hum</v>
      </c>
      <c r="W1143" s="37" t="str">
        <f>VLOOKUP(D1143,Program!$A$1:$B$34,2,FALSE)</f>
        <v>Ämneslärarprogrammet - Gy</v>
      </c>
      <c r="X1143" s="42">
        <f>VLOOKUP(A1143,kurspris!$A$1:$Q$798,15,FALSE)</f>
        <v>18405</v>
      </c>
      <c r="Y1143" s="42">
        <f>VLOOKUP(A1143,kurspris!$A$1:$Q$798,16,FALSE)</f>
        <v>15773</v>
      </c>
      <c r="Z1143" s="42">
        <f t="shared" si="610"/>
        <v>15906.025</v>
      </c>
      <c r="AA1143" s="42">
        <f>VLOOKUP(A1143,kurspris!$A$1:$Q$798,17,FALSE)</f>
        <v>5800</v>
      </c>
      <c r="AB1143" s="42">
        <f t="shared" si="611"/>
        <v>2900</v>
      </c>
      <c r="AC1143" s="42">
        <f t="shared" si="612"/>
        <v>18806.025000000001</v>
      </c>
      <c r="AD1143" s="31">
        <f>VLOOKUP($A1143,kurspris!$A$1:$Q$835,3,FALSE)</f>
        <v>0</v>
      </c>
      <c r="AE1143" s="31">
        <f>VLOOKUP($A1143,kurspris!$A$1:$Q$835,4,FALSE)</f>
        <v>1</v>
      </c>
      <c r="AF1143" s="31">
        <f>VLOOKUP($A1143,kurspris!$A$1:$Q$835,5,FALSE)</f>
        <v>0</v>
      </c>
      <c r="AG1143" s="31">
        <f>VLOOKUP($A1143,kurspris!$A$1:$Q$835,6,FALSE)</f>
        <v>0</v>
      </c>
      <c r="AH1143" s="31">
        <f>VLOOKUP($A1143,kurspris!$A$1:$Q$835,7,FALSE)</f>
        <v>0</v>
      </c>
      <c r="AI1143" s="31">
        <f>VLOOKUP($A1143,kurspris!$A$1:$Q$835,8,FALSE)</f>
        <v>0</v>
      </c>
      <c r="AJ1143" s="31">
        <f>VLOOKUP($A1143,kurspris!$A$1:$Q$835,9,FALSE)</f>
        <v>0</v>
      </c>
      <c r="AK1143" s="31">
        <f>VLOOKUP($A1143,kurspris!$A$1:$Q$835,10,FALSE)</f>
        <v>0</v>
      </c>
      <c r="AL1143" s="31">
        <f>VLOOKUP($A1143,kurspris!$A$1:$Q$835,11,FALSE)</f>
        <v>0</v>
      </c>
      <c r="AM1143" s="31">
        <f>VLOOKUP($A1143,kurspris!$A$1:$Q$835,12,FALSE)</f>
        <v>0</v>
      </c>
      <c r="AN1143" s="31">
        <f>VLOOKUP($A1143,kurspris!$A$1:$Q$835,13,FALSE)</f>
        <v>0</v>
      </c>
      <c r="AO1143" s="31">
        <f>VLOOKUP($A1143,kurspris!$A$1:$Q$835,14,FALSE)</f>
        <v>0</v>
      </c>
      <c r="AP1143" s="39" t="s">
        <v>2204</v>
      </c>
      <c r="AQ1143"/>
      <c r="AR1143" s="31">
        <f t="shared" si="613"/>
        <v>0</v>
      </c>
      <c r="AS1143" s="255">
        <f t="shared" si="614"/>
        <v>0</v>
      </c>
      <c r="AT1143" s="31">
        <f t="shared" si="615"/>
        <v>0.5</v>
      </c>
      <c r="AU1143" s="255">
        <f t="shared" si="616"/>
        <v>0.42499999999999999</v>
      </c>
      <c r="AV1143" s="31">
        <f t="shared" si="617"/>
        <v>0</v>
      </c>
      <c r="AW1143" s="31">
        <f t="shared" si="618"/>
        <v>0</v>
      </c>
      <c r="AX1143" s="31">
        <f t="shared" si="619"/>
        <v>0</v>
      </c>
      <c r="AY1143" s="255">
        <f t="shared" si="620"/>
        <v>0</v>
      </c>
      <c r="AZ1143" s="232">
        <f t="shared" si="621"/>
        <v>0</v>
      </c>
      <c r="BA1143" s="255">
        <f t="shared" si="622"/>
        <v>0</v>
      </c>
      <c r="BB1143" s="31">
        <f t="shared" si="623"/>
        <v>0</v>
      </c>
      <c r="BC1143" s="255">
        <f t="shared" si="624"/>
        <v>0</v>
      </c>
      <c r="BD1143" s="31">
        <f t="shared" si="625"/>
        <v>0</v>
      </c>
      <c r="BE1143" s="255">
        <f t="shared" si="626"/>
        <v>0</v>
      </c>
      <c r="BF1143" s="31">
        <f t="shared" si="627"/>
        <v>0</v>
      </c>
      <c r="BG1143" s="255">
        <f t="shared" si="628"/>
        <v>0</v>
      </c>
      <c r="BH1143" s="31">
        <f t="shared" si="629"/>
        <v>0</v>
      </c>
      <c r="BI1143" s="255">
        <f t="shared" si="630"/>
        <v>0</v>
      </c>
      <c r="BJ1143" s="31">
        <f t="shared" si="631"/>
        <v>0</v>
      </c>
      <c r="BK1143" s="31">
        <f t="shared" si="632"/>
        <v>0</v>
      </c>
      <c r="BL1143" s="255">
        <f t="shared" si="633"/>
        <v>0</v>
      </c>
      <c r="BM1143" s="31">
        <f t="shared" si="634"/>
        <v>0</v>
      </c>
      <c r="BN1143" s="255">
        <f t="shared" si="635"/>
        <v>0</v>
      </c>
    </row>
    <row r="1144" spans="1:66" x14ac:dyDescent="0.25">
      <c r="A1144" t="s">
        <v>516</v>
      </c>
      <c r="B1144" s="186" t="str">
        <f>VLOOKUP(A1144,kurspris!$A$1:$B$877,2,FALSE)</f>
        <v>Svenska I för ämneslärare</v>
      </c>
      <c r="C1144"/>
      <c r="D1144" t="s">
        <v>483</v>
      </c>
      <c r="E1144" t="s">
        <v>1788</v>
      </c>
      <c r="F1144" s="59" t="s">
        <v>1930</v>
      </c>
      <c r="G1144" t="s">
        <v>1995</v>
      </c>
      <c r="H1144" t="s">
        <v>1910</v>
      </c>
      <c r="I1144"/>
      <c r="J1144" t="s">
        <v>771</v>
      </c>
      <c r="K1144"/>
      <c r="L1144">
        <v>100</v>
      </c>
      <c r="M1144">
        <v>30</v>
      </c>
      <c r="N1144"/>
      <c r="O1144"/>
      <c r="P1144" s="31">
        <v>1</v>
      </c>
      <c r="Q1144" s="232">
        <f t="shared" si="608"/>
        <v>0.5</v>
      </c>
      <c r="R1144" s="40">
        <v>0.85</v>
      </c>
      <c r="S1144" s="334">
        <f t="shared" si="609"/>
        <v>0.42499999999999999</v>
      </c>
      <c r="T1144" s="31">
        <f>VLOOKUP(A1144,'Ansvar kurs'!$A$1:$C$1010,2,FALSE)</f>
        <v>1620</v>
      </c>
      <c r="U1144" s="31" t="str">
        <f>VLOOKUP(T1144,Orgenheter!$A$1:$C$165,2,FALSE)</f>
        <v>Inst för språkstudier</v>
      </c>
      <c r="V1144" s="31" t="str">
        <f>VLOOKUP(T1144,Orgenheter!$A$1:$C$165,3,FALSE)</f>
        <v>Hum</v>
      </c>
      <c r="W1144" s="37" t="str">
        <f>VLOOKUP(D1144,Program!$A$1:$B$34,2,FALSE)</f>
        <v>Ämneslärarprogrammet - Gy</v>
      </c>
      <c r="X1144" s="42">
        <f>VLOOKUP(A1144,kurspris!$A$1:$Q$798,15,FALSE)</f>
        <v>18405</v>
      </c>
      <c r="Y1144" s="42">
        <f>VLOOKUP(A1144,kurspris!$A$1:$Q$798,16,FALSE)</f>
        <v>15773</v>
      </c>
      <c r="Z1144" s="42">
        <f t="shared" si="610"/>
        <v>15906.025</v>
      </c>
      <c r="AA1144" s="42">
        <f>VLOOKUP(A1144,kurspris!$A$1:$Q$798,17,FALSE)</f>
        <v>5800</v>
      </c>
      <c r="AB1144" s="42">
        <f t="shared" si="611"/>
        <v>2900</v>
      </c>
      <c r="AC1144" s="42">
        <f t="shared" si="612"/>
        <v>18806.025000000001</v>
      </c>
      <c r="AD1144" s="31">
        <f>VLOOKUP($A1144,kurspris!$A$1:$Q$835,3,FALSE)</f>
        <v>0</v>
      </c>
      <c r="AE1144" s="31">
        <f>VLOOKUP($A1144,kurspris!$A$1:$Q$835,4,FALSE)</f>
        <v>1</v>
      </c>
      <c r="AF1144" s="31">
        <f>VLOOKUP($A1144,kurspris!$A$1:$Q$835,5,FALSE)</f>
        <v>0</v>
      </c>
      <c r="AG1144" s="31">
        <f>VLOOKUP($A1144,kurspris!$A$1:$Q$835,6,FALSE)</f>
        <v>0</v>
      </c>
      <c r="AH1144" s="31">
        <f>VLOOKUP($A1144,kurspris!$A$1:$Q$835,7,FALSE)</f>
        <v>0</v>
      </c>
      <c r="AI1144" s="31">
        <f>VLOOKUP($A1144,kurspris!$A$1:$Q$835,8,FALSE)</f>
        <v>0</v>
      </c>
      <c r="AJ1144" s="31">
        <f>VLOOKUP($A1144,kurspris!$A$1:$Q$835,9,FALSE)</f>
        <v>0</v>
      </c>
      <c r="AK1144" s="31">
        <f>VLOOKUP($A1144,kurspris!$A$1:$Q$835,10,FALSE)</f>
        <v>0</v>
      </c>
      <c r="AL1144" s="31">
        <f>VLOOKUP($A1144,kurspris!$A$1:$Q$835,11,FALSE)</f>
        <v>0</v>
      </c>
      <c r="AM1144" s="31">
        <f>VLOOKUP($A1144,kurspris!$A$1:$Q$835,12,FALSE)</f>
        <v>0</v>
      </c>
      <c r="AN1144" s="31">
        <f>VLOOKUP($A1144,kurspris!$A$1:$Q$835,13,FALSE)</f>
        <v>0</v>
      </c>
      <c r="AO1144" s="31">
        <f>VLOOKUP($A1144,kurspris!$A$1:$Q$835,14,FALSE)</f>
        <v>0</v>
      </c>
      <c r="AP1144" s="39" t="s">
        <v>2204</v>
      </c>
      <c r="AQ1144"/>
      <c r="AR1144" s="31">
        <f t="shared" si="613"/>
        <v>0</v>
      </c>
      <c r="AS1144" s="255">
        <f t="shared" si="614"/>
        <v>0</v>
      </c>
      <c r="AT1144" s="31">
        <f t="shared" si="615"/>
        <v>0.5</v>
      </c>
      <c r="AU1144" s="255">
        <f t="shared" si="616"/>
        <v>0.42499999999999999</v>
      </c>
      <c r="AV1144" s="31">
        <f t="shared" si="617"/>
        <v>0</v>
      </c>
      <c r="AW1144" s="31">
        <f t="shared" si="618"/>
        <v>0</v>
      </c>
      <c r="AX1144" s="31">
        <f t="shared" si="619"/>
        <v>0</v>
      </c>
      <c r="AY1144" s="255">
        <f t="shared" si="620"/>
        <v>0</v>
      </c>
      <c r="AZ1144" s="232">
        <f t="shared" si="621"/>
        <v>0</v>
      </c>
      <c r="BA1144" s="255">
        <f t="shared" si="622"/>
        <v>0</v>
      </c>
      <c r="BB1144" s="31">
        <f t="shared" si="623"/>
        <v>0</v>
      </c>
      <c r="BC1144" s="255">
        <f t="shared" si="624"/>
        <v>0</v>
      </c>
      <c r="BD1144" s="31">
        <f t="shared" si="625"/>
        <v>0</v>
      </c>
      <c r="BE1144" s="255">
        <f t="shared" si="626"/>
        <v>0</v>
      </c>
      <c r="BF1144" s="31">
        <f t="shared" si="627"/>
        <v>0</v>
      </c>
      <c r="BG1144" s="255">
        <f t="shared" si="628"/>
        <v>0</v>
      </c>
      <c r="BH1144" s="31">
        <f t="shared" si="629"/>
        <v>0</v>
      </c>
      <c r="BI1144" s="255">
        <f t="shared" si="630"/>
        <v>0</v>
      </c>
      <c r="BJ1144" s="31">
        <f t="shared" si="631"/>
        <v>0</v>
      </c>
      <c r="BK1144" s="31">
        <f t="shared" si="632"/>
        <v>0</v>
      </c>
      <c r="BL1144" s="255">
        <f t="shared" si="633"/>
        <v>0</v>
      </c>
      <c r="BM1144" s="31">
        <f t="shared" si="634"/>
        <v>0</v>
      </c>
      <c r="BN1144" s="255">
        <f t="shared" si="635"/>
        <v>0</v>
      </c>
    </row>
    <row r="1145" spans="1:66" x14ac:dyDescent="0.25">
      <c r="A1145" t="s">
        <v>516</v>
      </c>
      <c r="B1145" s="186" t="str">
        <f>VLOOKUP(A1145,kurspris!$A$1:$B$877,2,FALSE)</f>
        <v>Svenska I för ämneslärare</v>
      </c>
      <c r="C1145"/>
      <c r="D1145" t="s">
        <v>483</v>
      </c>
      <c r="E1145" t="s">
        <v>1788</v>
      </c>
      <c r="F1145" s="59" t="s">
        <v>1930</v>
      </c>
      <c r="G1145" t="s">
        <v>1995</v>
      </c>
      <c r="H1145" t="s">
        <v>1910</v>
      </c>
      <c r="I1145"/>
      <c r="J1145" t="s">
        <v>778</v>
      </c>
      <c r="K1145"/>
      <c r="L1145">
        <v>100</v>
      </c>
      <c r="M1145">
        <v>30</v>
      </c>
      <c r="N1145"/>
      <c r="O1145"/>
      <c r="P1145" s="31">
        <v>15</v>
      </c>
      <c r="Q1145" s="232">
        <f t="shared" si="608"/>
        <v>7.5</v>
      </c>
      <c r="R1145" s="40">
        <v>0.85</v>
      </c>
      <c r="S1145" s="334">
        <f t="shared" si="609"/>
        <v>6.375</v>
      </c>
      <c r="T1145" s="31">
        <f>VLOOKUP(A1145,'Ansvar kurs'!$A$1:$C$1010,2,FALSE)</f>
        <v>1620</v>
      </c>
      <c r="U1145" s="31" t="str">
        <f>VLOOKUP(T1145,Orgenheter!$A$1:$C$165,2,FALSE)</f>
        <v>Inst för språkstudier</v>
      </c>
      <c r="V1145" s="31" t="str">
        <f>VLOOKUP(T1145,Orgenheter!$A$1:$C$165,3,FALSE)</f>
        <v>Hum</v>
      </c>
      <c r="W1145" s="37" t="str">
        <f>VLOOKUP(D1145,Program!$A$1:$B$34,2,FALSE)</f>
        <v>Ämneslärarprogrammet - Gy</v>
      </c>
      <c r="X1145" s="42">
        <f>VLOOKUP(A1145,kurspris!$A$1:$Q$798,15,FALSE)</f>
        <v>18405</v>
      </c>
      <c r="Y1145" s="42">
        <f>VLOOKUP(A1145,kurspris!$A$1:$Q$798,16,FALSE)</f>
        <v>15773</v>
      </c>
      <c r="Z1145" s="42">
        <f t="shared" si="610"/>
        <v>238590.375</v>
      </c>
      <c r="AA1145" s="42">
        <f>VLOOKUP(A1145,kurspris!$A$1:$Q$798,17,FALSE)</f>
        <v>5800</v>
      </c>
      <c r="AB1145" s="42">
        <f t="shared" si="611"/>
        <v>43500</v>
      </c>
      <c r="AC1145" s="42">
        <f t="shared" si="612"/>
        <v>282090.375</v>
      </c>
      <c r="AD1145" s="31">
        <f>VLOOKUP($A1145,kurspris!$A$1:$Q$835,3,FALSE)</f>
        <v>0</v>
      </c>
      <c r="AE1145" s="31">
        <f>VLOOKUP($A1145,kurspris!$A$1:$Q$835,4,FALSE)</f>
        <v>1</v>
      </c>
      <c r="AF1145" s="31">
        <f>VLOOKUP($A1145,kurspris!$A$1:$Q$835,5,FALSE)</f>
        <v>0</v>
      </c>
      <c r="AG1145" s="31">
        <f>VLOOKUP($A1145,kurspris!$A$1:$Q$835,6,FALSE)</f>
        <v>0</v>
      </c>
      <c r="AH1145" s="31">
        <f>VLOOKUP($A1145,kurspris!$A$1:$Q$835,7,FALSE)</f>
        <v>0</v>
      </c>
      <c r="AI1145" s="31">
        <f>VLOOKUP($A1145,kurspris!$A$1:$Q$835,8,FALSE)</f>
        <v>0</v>
      </c>
      <c r="AJ1145" s="31">
        <f>VLOOKUP($A1145,kurspris!$A$1:$Q$835,9,FALSE)</f>
        <v>0</v>
      </c>
      <c r="AK1145" s="31">
        <f>VLOOKUP($A1145,kurspris!$A$1:$Q$835,10,FALSE)</f>
        <v>0</v>
      </c>
      <c r="AL1145" s="31">
        <f>VLOOKUP($A1145,kurspris!$A$1:$Q$835,11,FALSE)</f>
        <v>0</v>
      </c>
      <c r="AM1145" s="31">
        <f>VLOOKUP($A1145,kurspris!$A$1:$Q$835,12,FALSE)</f>
        <v>0</v>
      </c>
      <c r="AN1145" s="31">
        <f>VLOOKUP($A1145,kurspris!$A$1:$Q$835,13,FALSE)</f>
        <v>0</v>
      </c>
      <c r="AO1145" s="31">
        <f>VLOOKUP($A1145,kurspris!$A$1:$Q$835,14,FALSE)</f>
        <v>0</v>
      </c>
      <c r="AP1145" s="39" t="s">
        <v>2204</v>
      </c>
      <c r="AQ1145"/>
      <c r="AR1145" s="31">
        <f t="shared" si="613"/>
        <v>0</v>
      </c>
      <c r="AS1145" s="255">
        <f t="shared" si="614"/>
        <v>0</v>
      </c>
      <c r="AT1145" s="31">
        <f t="shared" si="615"/>
        <v>7.5</v>
      </c>
      <c r="AU1145" s="255">
        <f t="shared" si="616"/>
        <v>6.375</v>
      </c>
      <c r="AV1145" s="31">
        <f t="shared" si="617"/>
        <v>0</v>
      </c>
      <c r="AW1145" s="31">
        <f t="shared" si="618"/>
        <v>0</v>
      </c>
      <c r="AX1145" s="31">
        <f t="shared" si="619"/>
        <v>0</v>
      </c>
      <c r="AY1145" s="255">
        <f t="shared" si="620"/>
        <v>0</v>
      </c>
      <c r="AZ1145" s="232">
        <f t="shared" si="621"/>
        <v>0</v>
      </c>
      <c r="BA1145" s="255">
        <f t="shared" si="622"/>
        <v>0</v>
      </c>
      <c r="BB1145" s="31">
        <f t="shared" si="623"/>
        <v>0</v>
      </c>
      <c r="BC1145" s="255">
        <f t="shared" si="624"/>
        <v>0</v>
      </c>
      <c r="BD1145" s="31">
        <f t="shared" si="625"/>
        <v>0</v>
      </c>
      <c r="BE1145" s="255">
        <f t="shared" si="626"/>
        <v>0</v>
      </c>
      <c r="BF1145" s="31">
        <f t="shared" si="627"/>
        <v>0</v>
      </c>
      <c r="BG1145" s="255">
        <f t="shared" si="628"/>
        <v>0</v>
      </c>
      <c r="BH1145" s="31">
        <f t="shared" si="629"/>
        <v>0</v>
      </c>
      <c r="BI1145" s="255">
        <f t="shared" si="630"/>
        <v>0</v>
      </c>
      <c r="BJ1145" s="31">
        <f t="shared" si="631"/>
        <v>0</v>
      </c>
      <c r="BK1145" s="31">
        <f t="shared" si="632"/>
        <v>0</v>
      </c>
      <c r="BL1145" s="255">
        <f t="shared" si="633"/>
        <v>0</v>
      </c>
      <c r="BM1145" s="31">
        <f t="shared" si="634"/>
        <v>0</v>
      </c>
      <c r="BN1145" s="255">
        <f t="shared" si="635"/>
        <v>0</v>
      </c>
    </row>
    <row r="1146" spans="1:66" x14ac:dyDescent="0.25">
      <c r="A1146" t="s">
        <v>517</v>
      </c>
      <c r="B1146" s="186" t="str">
        <f>VLOOKUP(A1146,kurspris!$A$1:$B$877,2,FALSE)</f>
        <v>Svenska för F-3, kurs 1</v>
      </c>
      <c r="C1146"/>
      <c r="D1146" t="s">
        <v>486</v>
      </c>
      <c r="E1146" t="s">
        <v>1788</v>
      </c>
      <c r="F1146" s="59" t="s">
        <v>1930</v>
      </c>
      <c r="G1146" t="s">
        <v>1979</v>
      </c>
      <c r="H1146" t="s">
        <v>1910</v>
      </c>
      <c r="I1146"/>
      <c r="J1146"/>
      <c r="K1146"/>
      <c r="L1146">
        <v>100</v>
      </c>
      <c r="M1146">
        <v>15</v>
      </c>
      <c r="N1146"/>
      <c r="O1146"/>
      <c r="P1146" s="31">
        <v>47</v>
      </c>
      <c r="Q1146" s="232">
        <f t="shared" si="608"/>
        <v>11.75</v>
      </c>
      <c r="R1146" s="40">
        <v>0.85</v>
      </c>
      <c r="S1146" s="334">
        <f t="shared" si="609"/>
        <v>9.9874999999999989</v>
      </c>
      <c r="T1146" s="31">
        <f>VLOOKUP(A1146,'Ansvar kurs'!$A$1:$C$1010,2,FALSE)</f>
        <v>1620</v>
      </c>
      <c r="U1146" s="31" t="str">
        <f>VLOOKUP(T1146,Orgenheter!$A$1:$C$165,2,FALSE)</f>
        <v>Inst för språkstudier</v>
      </c>
      <c r="V1146" s="31" t="str">
        <f>VLOOKUP(T1146,Orgenheter!$A$1:$C$165,3,FALSE)</f>
        <v>Hum</v>
      </c>
      <c r="W1146" s="37" t="str">
        <f>VLOOKUP(D1146,Program!$A$1:$B$34,2,FALSE)</f>
        <v>Grundlärarprogrammet - förskoleklass och åk 1-3</v>
      </c>
      <c r="X1146" s="42">
        <f>VLOOKUP(A1146,kurspris!$A$1:$Q$798,15,FALSE)</f>
        <v>18405</v>
      </c>
      <c r="Y1146" s="42">
        <f>VLOOKUP(A1146,kurspris!$A$1:$Q$798,16,FALSE)</f>
        <v>15773</v>
      </c>
      <c r="Z1146" s="42">
        <f t="shared" si="610"/>
        <v>373791.58750000002</v>
      </c>
      <c r="AA1146" s="42">
        <f>VLOOKUP(A1146,kurspris!$A$1:$Q$798,17,FALSE)</f>
        <v>5800</v>
      </c>
      <c r="AB1146" s="42">
        <f t="shared" si="611"/>
        <v>68150</v>
      </c>
      <c r="AC1146" s="42">
        <f t="shared" si="612"/>
        <v>441941.58750000002</v>
      </c>
      <c r="AD1146" s="31">
        <f>VLOOKUP($A1146,kurspris!$A$1:$Q$835,3,FALSE)</f>
        <v>0</v>
      </c>
      <c r="AE1146" s="31">
        <f>VLOOKUP($A1146,kurspris!$A$1:$Q$835,4,FALSE)</f>
        <v>1</v>
      </c>
      <c r="AF1146" s="31">
        <f>VLOOKUP($A1146,kurspris!$A$1:$Q$835,5,FALSE)</f>
        <v>0</v>
      </c>
      <c r="AG1146" s="31">
        <f>VLOOKUP($A1146,kurspris!$A$1:$Q$835,6,FALSE)</f>
        <v>0</v>
      </c>
      <c r="AH1146" s="31">
        <f>VLOOKUP($A1146,kurspris!$A$1:$Q$835,7,FALSE)</f>
        <v>0</v>
      </c>
      <c r="AI1146" s="31">
        <f>VLOOKUP($A1146,kurspris!$A$1:$Q$835,8,FALSE)</f>
        <v>0</v>
      </c>
      <c r="AJ1146" s="31">
        <f>VLOOKUP($A1146,kurspris!$A$1:$Q$835,9,FALSE)</f>
        <v>0</v>
      </c>
      <c r="AK1146" s="31">
        <f>VLOOKUP($A1146,kurspris!$A$1:$Q$835,10,FALSE)</f>
        <v>0</v>
      </c>
      <c r="AL1146" s="31">
        <f>VLOOKUP($A1146,kurspris!$A$1:$Q$835,11,FALSE)</f>
        <v>0</v>
      </c>
      <c r="AM1146" s="31">
        <f>VLOOKUP($A1146,kurspris!$A$1:$Q$835,12,FALSE)</f>
        <v>0</v>
      </c>
      <c r="AN1146" s="31">
        <f>VLOOKUP($A1146,kurspris!$A$1:$Q$835,13,FALSE)</f>
        <v>0</v>
      </c>
      <c r="AO1146" s="31">
        <f>VLOOKUP($A1146,kurspris!$A$1:$Q$835,14,FALSE)</f>
        <v>0</v>
      </c>
      <c r="AP1146" s="39" t="s">
        <v>2204</v>
      </c>
      <c r="AQ1146"/>
      <c r="AR1146" s="31">
        <f t="shared" si="613"/>
        <v>0</v>
      </c>
      <c r="AS1146" s="255">
        <f t="shared" si="614"/>
        <v>0</v>
      </c>
      <c r="AT1146" s="31">
        <f t="shared" si="615"/>
        <v>11.75</v>
      </c>
      <c r="AU1146" s="255">
        <f t="shared" si="616"/>
        <v>9.9874999999999989</v>
      </c>
      <c r="AV1146" s="31">
        <f t="shared" si="617"/>
        <v>0</v>
      </c>
      <c r="AW1146" s="31">
        <f t="shared" si="618"/>
        <v>0</v>
      </c>
      <c r="AX1146" s="31">
        <f t="shared" si="619"/>
        <v>0</v>
      </c>
      <c r="AY1146" s="255">
        <f t="shared" si="620"/>
        <v>0</v>
      </c>
      <c r="AZ1146" s="232">
        <f t="shared" si="621"/>
        <v>0</v>
      </c>
      <c r="BA1146" s="255">
        <f t="shared" si="622"/>
        <v>0</v>
      </c>
      <c r="BB1146" s="31">
        <f t="shared" si="623"/>
        <v>0</v>
      </c>
      <c r="BC1146" s="255">
        <f t="shared" si="624"/>
        <v>0</v>
      </c>
      <c r="BD1146" s="31">
        <f t="shared" si="625"/>
        <v>0</v>
      </c>
      <c r="BE1146" s="255">
        <f t="shared" si="626"/>
        <v>0</v>
      </c>
      <c r="BF1146" s="31">
        <f t="shared" si="627"/>
        <v>0</v>
      </c>
      <c r="BG1146" s="255">
        <f t="shared" si="628"/>
        <v>0</v>
      </c>
      <c r="BH1146" s="31">
        <f t="shared" si="629"/>
        <v>0</v>
      </c>
      <c r="BI1146" s="255">
        <f t="shared" si="630"/>
        <v>0</v>
      </c>
      <c r="BJ1146" s="31">
        <f t="shared" si="631"/>
        <v>0</v>
      </c>
      <c r="BK1146" s="31">
        <f t="shared" si="632"/>
        <v>0</v>
      </c>
      <c r="BL1146" s="255">
        <f t="shared" si="633"/>
        <v>0</v>
      </c>
      <c r="BM1146" s="31">
        <f t="shared" si="634"/>
        <v>0</v>
      </c>
      <c r="BN1146" s="255">
        <f t="shared" si="635"/>
        <v>0</v>
      </c>
    </row>
    <row r="1147" spans="1:66" x14ac:dyDescent="0.25">
      <c r="A1147" s="18" t="s">
        <v>518</v>
      </c>
      <c r="B1147" s="186" t="str">
        <f>VLOOKUP(A1147,kurspris!$A$1:$B$877,2,FALSE)</f>
        <v>Svenska för F-3, kurs 2</v>
      </c>
      <c r="C1147" s="37"/>
      <c r="D1147" s="31" t="s">
        <v>486</v>
      </c>
      <c r="E1147" s="31" t="s">
        <v>1788</v>
      </c>
      <c r="F1147" s="59" t="s">
        <v>1931</v>
      </c>
      <c r="G1147" s="31" t="s">
        <v>2269</v>
      </c>
      <c r="L1147" s="31">
        <v>100</v>
      </c>
      <c r="M1147" s="31">
        <v>7.5</v>
      </c>
      <c r="P1147" s="31">
        <v>44</v>
      </c>
      <c r="Q1147" s="232">
        <f t="shared" si="608"/>
        <v>5.5</v>
      </c>
      <c r="R1147" s="40">
        <v>0.85</v>
      </c>
      <c r="S1147" s="334">
        <f t="shared" si="609"/>
        <v>4.6749999999999998</v>
      </c>
      <c r="T1147" s="31">
        <f>VLOOKUP(A1147,'Ansvar kurs'!$A$1:$C$1010,2,FALSE)</f>
        <v>1620</v>
      </c>
      <c r="U1147" s="31" t="str">
        <f>VLOOKUP(T1147,Orgenheter!$A$1:$C$165,2,FALSE)</f>
        <v>Inst för språkstudier</v>
      </c>
      <c r="V1147" s="31" t="str">
        <f>VLOOKUP(T1147,Orgenheter!$A$1:$C$165,3,FALSE)</f>
        <v>Hum</v>
      </c>
      <c r="W1147" s="37" t="str">
        <f>VLOOKUP(D1147,Program!$A$1:$B$34,2,FALSE)</f>
        <v>Grundlärarprogrammet - förskoleklass och åk 1-3</v>
      </c>
      <c r="X1147" s="42">
        <f>VLOOKUP(A1147,kurspris!$A$1:$Q$798,15,FALSE)</f>
        <v>18405</v>
      </c>
      <c r="Y1147" s="42">
        <f>VLOOKUP(A1147,kurspris!$A$1:$Q$798,16,FALSE)</f>
        <v>15773</v>
      </c>
      <c r="Z1147" s="42">
        <f t="shared" si="610"/>
        <v>174966.27499999999</v>
      </c>
      <c r="AA1147" s="42">
        <f>VLOOKUP(A1147,kurspris!$A$1:$Q$798,17,FALSE)</f>
        <v>5800</v>
      </c>
      <c r="AB1147" s="42">
        <f t="shared" si="611"/>
        <v>31900</v>
      </c>
      <c r="AC1147" s="42">
        <f t="shared" si="612"/>
        <v>206866.27499999999</v>
      </c>
      <c r="AD1147" s="31">
        <f>VLOOKUP($A1147,kurspris!$A$1:$Q$835,3,FALSE)</f>
        <v>0</v>
      </c>
      <c r="AE1147" s="31">
        <f>VLOOKUP($A1147,kurspris!$A$1:$Q$835,4,FALSE)</f>
        <v>1</v>
      </c>
      <c r="AF1147" s="31">
        <f>VLOOKUP($A1147,kurspris!$A$1:$Q$835,5,FALSE)</f>
        <v>0</v>
      </c>
      <c r="AG1147" s="31">
        <f>VLOOKUP($A1147,kurspris!$A$1:$Q$835,6,FALSE)</f>
        <v>0</v>
      </c>
      <c r="AH1147" s="31">
        <f>VLOOKUP($A1147,kurspris!$A$1:$Q$835,7,FALSE)</f>
        <v>0</v>
      </c>
      <c r="AI1147" s="31">
        <f>VLOOKUP($A1147,kurspris!$A$1:$Q$835,8,FALSE)</f>
        <v>0</v>
      </c>
      <c r="AJ1147" s="31">
        <f>VLOOKUP($A1147,kurspris!$A$1:$Q$835,9,FALSE)</f>
        <v>0</v>
      </c>
      <c r="AK1147" s="31">
        <f>VLOOKUP($A1147,kurspris!$A$1:$Q$835,10,FALSE)</f>
        <v>0</v>
      </c>
      <c r="AL1147" s="31">
        <f>VLOOKUP($A1147,kurspris!$A$1:$Q$835,11,FALSE)</f>
        <v>0</v>
      </c>
      <c r="AM1147" s="31">
        <f>VLOOKUP($A1147,kurspris!$A$1:$Q$835,12,FALSE)</f>
        <v>0</v>
      </c>
      <c r="AN1147" s="31">
        <f>VLOOKUP($A1147,kurspris!$A$1:$Q$835,13,FALSE)</f>
        <v>0</v>
      </c>
      <c r="AO1147" s="31">
        <f>VLOOKUP($A1147,kurspris!$A$1:$Q$835,14,FALSE)</f>
        <v>0</v>
      </c>
      <c r="AP1147" s="39" t="s">
        <v>2326</v>
      </c>
      <c r="AQ1147"/>
      <c r="AR1147" s="31">
        <f t="shared" si="613"/>
        <v>0</v>
      </c>
      <c r="AS1147" s="255">
        <f t="shared" si="614"/>
        <v>0</v>
      </c>
      <c r="AT1147" s="31">
        <f t="shared" si="615"/>
        <v>5.5</v>
      </c>
      <c r="AU1147" s="255">
        <f t="shared" si="616"/>
        <v>4.6749999999999998</v>
      </c>
      <c r="AV1147" s="31">
        <f t="shared" si="617"/>
        <v>0</v>
      </c>
      <c r="AW1147" s="31">
        <f t="shared" si="618"/>
        <v>0</v>
      </c>
      <c r="AX1147" s="31">
        <f t="shared" si="619"/>
        <v>0</v>
      </c>
      <c r="AY1147" s="255">
        <f t="shared" si="620"/>
        <v>0</v>
      </c>
      <c r="AZ1147" s="232">
        <f t="shared" si="621"/>
        <v>0</v>
      </c>
      <c r="BA1147" s="255">
        <f t="shared" si="622"/>
        <v>0</v>
      </c>
      <c r="BB1147" s="31">
        <f t="shared" si="623"/>
        <v>0</v>
      </c>
      <c r="BC1147" s="255">
        <f t="shared" si="624"/>
        <v>0</v>
      </c>
      <c r="BD1147" s="31">
        <f t="shared" si="625"/>
        <v>0</v>
      </c>
      <c r="BE1147" s="255">
        <f t="shared" si="626"/>
        <v>0</v>
      </c>
      <c r="BF1147" s="31">
        <f t="shared" si="627"/>
        <v>0</v>
      </c>
      <c r="BG1147" s="255">
        <f t="shared" si="628"/>
        <v>0</v>
      </c>
      <c r="BH1147" s="31">
        <f t="shared" si="629"/>
        <v>0</v>
      </c>
      <c r="BI1147" s="255">
        <f t="shared" si="630"/>
        <v>0</v>
      </c>
      <c r="BJ1147" s="31">
        <f t="shared" si="631"/>
        <v>0</v>
      </c>
      <c r="BK1147" s="31">
        <f t="shared" si="632"/>
        <v>0</v>
      </c>
      <c r="BL1147" s="255">
        <f t="shared" si="633"/>
        <v>0</v>
      </c>
      <c r="BM1147" s="31">
        <f t="shared" si="634"/>
        <v>0</v>
      </c>
      <c r="BN1147" s="255">
        <f t="shared" si="635"/>
        <v>0</v>
      </c>
    </row>
    <row r="1148" spans="1:66" x14ac:dyDescent="0.25">
      <c r="A1148" s="18" t="s">
        <v>604</v>
      </c>
      <c r="B1148" s="186" t="str">
        <f>VLOOKUP(A1148,kurspris!$A$1:$B$877,2,FALSE)</f>
        <v>Svenska för F-3, kurs 3</v>
      </c>
      <c r="C1148" s="37"/>
      <c r="D1148" s="31" t="s">
        <v>486</v>
      </c>
      <c r="E1148" s="31" t="s">
        <v>1976</v>
      </c>
      <c r="F1148" s="59" t="s">
        <v>1931</v>
      </c>
      <c r="G1148" s="31" t="s">
        <v>2277</v>
      </c>
      <c r="L1148" s="31">
        <v>100</v>
      </c>
      <c r="M1148" s="31">
        <v>7.5</v>
      </c>
      <c r="P1148" s="31">
        <v>1</v>
      </c>
      <c r="Q1148" s="232">
        <f t="shared" si="608"/>
        <v>0.125</v>
      </c>
      <c r="R1148" s="40">
        <v>0.85</v>
      </c>
      <c r="S1148" s="334">
        <f t="shared" si="609"/>
        <v>0.10625</v>
      </c>
      <c r="T1148" s="31">
        <f>VLOOKUP(A1148,'Ansvar kurs'!$A$1:$C$1010,2,FALSE)</f>
        <v>1620</v>
      </c>
      <c r="U1148" s="31" t="str">
        <f>VLOOKUP(T1148,Orgenheter!$A$1:$C$165,2,FALSE)</f>
        <v>Inst för språkstudier</v>
      </c>
      <c r="V1148" s="31" t="str">
        <f>VLOOKUP(T1148,Orgenheter!$A$1:$C$165,3,FALSE)</f>
        <v>Hum</v>
      </c>
      <c r="W1148" s="37" t="str">
        <f>VLOOKUP(D1148,Program!$A$1:$B$34,2,FALSE)</f>
        <v>Grundlärarprogrammet - förskoleklass och åk 1-3</v>
      </c>
      <c r="X1148" s="42">
        <f>VLOOKUP(A1148,kurspris!$A$1:$Q$798,15,FALSE)</f>
        <v>18405</v>
      </c>
      <c r="Y1148" s="42">
        <f>VLOOKUP(A1148,kurspris!$A$1:$Q$798,16,FALSE)</f>
        <v>15773</v>
      </c>
      <c r="Z1148" s="42">
        <f t="shared" si="610"/>
        <v>3976.5062499999999</v>
      </c>
      <c r="AA1148" s="42">
        <f>VLOOKUP(A1148,kurspris!$A$1:$Q$798,17,FALSE)</f>
        <v>5800</v>
      </c>
      <c r="AB1148" s="42">
        <f t="shared" si="611"/>
        <v>725</v>
      </c>
      <c r="AC1148" s="42">
        <f t="shared" si="612"/>
        <v>4701.5062500000004</v>
      </c>
      <c r="AD1148" s="31">
        <f>VLOOKUP($A1148,kurspris!$A$1:$Q$835,3,FALSE)</f>
        <v>0</v>
      </c>
      <c r="AE1148" s="31">
        <f>VLOOKUP($A1148,kurspris!$A$1:$Q$835,4,FALSE)</f>
        <v>1</v>
      </c>
      <c r="AF1148" s="31">
        <f>VLOOKUP($A1148,kurspris!$A$1:$Q$835,5,FALSE)</f>
        <v>0</v>
      </c>
      <c r="AG1148" s="31">
        <f>VLOOKUP($A1148,kurspris!$A$1:$Q$835,6,FALSE)</f>
        <v>0</v>
      </c>
      <c r="AH1148" s="31">
        <f>VLOOKUP($A1148,kurspris!$A$1:$Q$835,7,FALSE)</f>
        <v>0</v>
      </c>
      <c r="AI1148" s="31">
        <f>VLOOKUP($A1148,kurspris!$A$1:$Q$835,8,FALSE)</f>
        <v>0</v>
      </c>
      <c r="AJ1148" s="31">
        <f>VLOOKUP($A1148,kurspris!$A$1:$Q$835,9,FALSE)</f>
        <v>0</v>
      </c>
      <c r="AK1148" s="31">
        <f>VLOOKUP($A1148,kurspris!$A$1:$Q$835,10,FALSE)</f>
        <v>0</v>
      </c>
      <c r="AL1148" s="31">
        <f>VLOOKUP($A1148,kurspris!$A$1:$Q$835,11,FALSE)</f>
        <v>0</v>
      </c>
      <c r="AM1148" s="31">
        <f>VLOOKUP($A1148,kurspris!$A$1:$Q$835,12,FALSE)</f>
        <v>0</v>
      </c>
      <c r="AN1148" s="31">
        <f>VLOOKUP($A1148,kurspris!$A$1:$Q$835,13,FALSE)</f>
        <v>0</v>
      </c>
      <c r="AO1148" s="31">
        <f>VLOOKUP($A1148,kurspris!$A$1:$Q$835,14,FALSE)</f>
        <v>0</v>
      </c>
      <c r="AP1148" s="39" t="s">
        <v>2326</v>
      </c>
      <c r="AQ1148"/>
      <c r="AR1148" s="31">
        <f t="shared" si="613"/>
        <v>0</v>
      </c>
      <c r="AS1148" s="255">
        <f t="shared" si="614"/>
        <v>0</v>
      </c>
      <c r="AT1148" s="31">
        <f t="shared" si="615"/>
        <v>0.125</v>
      </c>
      <c r="AU1148" s="255">
        <f t="shared" si="616"/>
        <v>0.10625</v>
      </c>
      <c r="AV1148" s="31">
        <f t="shared" si="617"/>
        <v>0</v>
      </c>
      <c r="AW1148" s="31">
        <f t="shared" si="618"/>
        <v>0</v>
      </c>
      <c r="AX1148" s="31">
        <f t="shared" si="619"/>
        <v>0</v>
      </c>
      <c r="AY1148" s="255">
        <f t="shared" si="620"/>
        <v>0</v>
      </c>
      <c r="AZ1148" s="232">
        <f t="shared" si="621"/>
        <v>0</v>
      </c>
      <c r="BA1148" s="255">
        <f t="shared" si="622"/>
        <v>0</v>
      </c>
      <c r="BB1148" s="31">
        <f t="shared" si="623"/>
        <v>0</v>
      </c>
      <c r="BC1148" s="255">
        <f t="shared" si="624"/>
        <v>0</v>
      </c>
      <c r="BD1148" s="31">
        <f t="shared" si="625"/>
        <v>0</v>
      </c>
      <c r="BE1148" s="255">
        <f t="shared" si="626"/>
        <v>0</v>
      </c>
      <c r="BF1148" s="31">
        <f t="shared" si="627"/>
        <v>0</v>
      </c>
      <c r="BG1148" s="255">
        <f t="shared" si="628"/>
        <v>0</v>
      </c>
      <c r="BH1148" s="31">
        <f t="shared" si="629"/>
        <v>0</v>
      </c>
      <c r="BI1148" s="255">
        <f t="shared" si="630"/>
        <v>0</v>
      </c>
      <c r="BJ1148" s="31">
        <f t="shared" si="631"/>
        <v>0</v>
      </c>
      <c r="BK1148" s="31">
        <f t="shared" si="632"/>
        <v>0</v>
      </c>
      <c r="BL1148" s="255">
        <f t="shared" si="633"/>
        <v>0</v>
      </c>
      <c r="BM1148" s="31">
        <f t="shared" si="634"/>
        <v>0</v>
      </c>
      <c r="BN1148" s="255">
        <f t="shared" si="635"/>
        <v>0</v>
      </c>
    </row>
    <row r="1149" spans="1:66" x14ac:dyDescent="0.25">
      <c r="A1149" s="18" t="s">
        <v>604</v>
      </c>
      <c r="B1149" s="186" t="str">
        <f>VLOOKUP(A1149,kurspris!$A$1:$B$877,2,FALSE)</f>
        <v>Svenska för F-3, kurs 3</v>
      </c>
      <c r="C1149" s="37"/>
      <c r="D1149" s="31" t="s">
        <v>486</v>
      </c>
      <c r="E1149" s="31" t="s">
        <v>1609</v>
      </c>
      <c r="F1149" s="59" t="s">
        <v>1931</v>
      </c>
      <c r="G1149" s="31" t="s">
        <v>2277</v>
      </c>
      <c r="L1149" s="31">
        <v>100</v>
      </c>
      <c r="M1149" s="31">
        <v>7.5</v>
      </c>
      <c r="P1149" s="31">
        <v>34</v>
      </c>
      <c r="Q1149" s="232">
        <f t="shared" si="608"/>
        <v>4.25</v>
      </c>
      <c r="R1149" s="40">
        <v>0.85</v>
      </c>
      <c r="S1149" s="334">
        <f t="shared" si="609"/>
        <v>3.6124999999999998</v>
      </c>
      <c r="T1149" s="31">
        <f>VLOOKUP(A1149,'Ansvar kurs'!$A$1:$C$1010,2,FALSE)</f>
        <v>1620</v>
      </c>
      <c r="U1149" s="31" t="str">
        <f>VLOOKUP(T1149,Orgenheter!$A$1:$C$165,2,FALSE)</f>
        <v>Inst för språkstudier</v>
      </c>
      <c r="V1149" s="31" t="str">
        <f>VLOOKUP(T1149,Orgenheter!$A$1:$C$165,3,FALSE)</f>
        <v>Hum</v>
      </c>
      <c r="W1149" s="37" t="str">
        <f>VLOOKUP(D1149,Program!$A$1:$B$34,2,FALSE)</f>
        <v>Grundlärarprogrammet - förskoleklass och åk 1-3</v>
      </c>
      <c r="X1149" s="42">
        <f>VLOOKUP(A1149,kurspris!$A$1:$Q$798,15,FALSE)</f>
        <v>18405</v>
      </c>
      <c r="Y1149" s="42">
        <f>VLOOKUP(A1149,kurspris!$A$1:$Q$798,16,FALSE)</f>
        <v>15773</v>
      </c>
      <c r="Z1149" s="42">
        <f t="shared" si="610"/>
        <v>135201.21249999999</v>
      </c>
      <c r="AA1149" s="42">
        <f>VLOOKUP(A1149,kurspris!$A$1:$Q$798,17,FALSE)</f>
        <v>5800</v>
      </c>
      <c r="AB1149" s="42">
        <f t="shared" si="611"/>
        <v>24650</v>
      </c>
      <c r="AC1149" s="42">
        <f t="shared" si="612"/>
        <v>159851.21249999999</v>
      </c>
      <c r="AD1149" s="31">
        <f>VLOOKUP($A1149,kurspris!$A$1:$Q$835,3,FALSE)</f>
        <v>0</v>
      </c>
      <c r="AE1149" s="31">
        <f>VLOOKUP($A1149,kurspris!$A$1:$Q$835,4,FALSE)</f>
        <v>1</v>
      </c>
      <c r="AF1149" s="31">
        <f>VLOOKUP($A1149,kurspris!$A$1:$Q$835,5,FALSE)</f>
        <v>0</v>
      </c>
      <c r="AG1149" s="31">
        <f>VLOOKUP($A1149,kurspris!$A$1:$Q$835,6,FALSE)</f>
        <v>0</v>
      </c>
      <c r="AH1149" s="31">
        <f>VLOOKUP($A1149,kurspris!$A$1:$Q$835,7,FALSE)</f>
        <v>0</v>
      </c>
      <c r="AI1149" s="31">
        <f>VLOOKUP($A1149,kurspris!$A$1:$Q$835,8,FALSE)</f>
        <v>0</v>
      </c>
      <c r="AJ1149" s="31">
        <f>VLOOKUP($A1149,kurspris!$A$1:$Q$835,9,FALSE)</f>
        <v>0</v>
      </c>
      <c r="AK1149" s="31">
        <f>VLOOKUP($A1149,kurspris!$A$1:$Q$835,10,FALSE)</f>
        <v>0</v>
      </c>
      <c r="AL1149" s="31">
        <f>VLOOKUP($A1149,kurspris!$A$1:$Q$835,11,FALSE)</f>
        <v>0</v>
      </c>
      <c r="AM1149" s="31">
        <f>VLOOKUP($A1149,kurspris!$A$1:$Q$835,12,FALSE)</f>
        <v>0</v>
      </c>
      <c r="AN1149" s="31">
        <f>VLOOKUP($A1149,kurspris!$A$1:$Q$835,13,FALSE)</f>
        <v>0</v>
      </c>
      <c r="AO1149" s="31">
        <f>VLOOKUP($A1149,kurspris!$A$1:$Q$835,14,FALSE)</f>
        <v>0</v>
      </c>
      <c r="AP1149" s="39" t="s">
        <v>2326</v>
      </c>
      <c r="AQ1149"/>
      <c r="AR1149" s="31">
        <f t="shared" si="613"/>
        <v>0</v>
      </c>
      <c r="AS1149" s="255">
        <f t="shared" si="614"/>
        <v>0</v>
      </c>
      <c r="AT1149" s="31">
        <f t="shared" si="615"/>
        <v>4.25</v>
      </c>
      <c r="AU1149" s="255">
        <f t="shared" si="616"/>
        <v>3.6124999999999998</v>
      </c>
      <c r="AV1149" s="31">
        <f t="shared" si="617"/>
        <v>0</v>
      </c>
      <c r="AW1149" s="31">
        <f t="shared" si="618"/>
        <v>0</v>
      </c>
      <c r="AX1149" s="31">
        <f t="shared" si="619"/>
        <v>0</v>
      </c>
      <c r="AY1149" s="255">
        <f t="shared" si="620"/>
        <v>0</v>
      </c>
      <c r="AZ1149" s="232">
        <f t="shared" si="621"/>
        <v>0</v>
      </c>
      <c r="BA1149" s="255">
        <f t="shared" si="622"/>
        <v>0</v>
      </c>
      <c r="BB1149" s="31">
        <f t="shared" si="623"/>
        <v>0</v>
      </c>
      <c r="BC1149" s="255">
        <f t="shared" si="624"/>
        <v>0</v>
      </c>
      <c r="BD1149" s="31">
        <f t="shared" si="625"/>
        <v>0</v>
      </c>
      <c r="BE1149" s="255">
        <f t="shared" si="626"/>
        <v>0</v>
      </c>
      <c r="BF1149" s="31">
        <f t="shared" si="627"/>
        <v>0</v>
      </c>
      <c r="BG1149" s="255">
        <f t="shared" si="628"/>
        <v>0</v>
      </c>
      <c r="BH1149" s="31">
        <f t="shared" si="629"/>
        <v>0</v>
      </c>
      <c r="BI1149" s="255">
        <f t="shared" si="630"/>
        <v>0</v>
      </c>
      <c r="BJ1149" s="31">
        <f t="shared" si="631"/>
        <v>0</v>
      </c>
      <c r="BK1149" s="31">
        <f t="shared" si="632"/>
        <v>0</v>
      </c>
      <c r="BL1149" s="255">
        <f t="shared" si="633"/>
        <v>0</v>
      </c>
      <c r="BM1149" s="31">
        <f t="shared" si="634"/>
        <v>0</v>
      </c>
      <c r="BN1149" s="255">
        <f t="shared" si="635"/>
        <v>0</v>
      </c>
    </row>
    <row r="1150" spans="1:66" x14ac:dyDescent="0.25">
      <c r="A1150" s="18" t="s">
        <v>604</v>
      </c>
      <c r="B1150" s="186" t="str">
        <f>VLOOKUP(A1150,kurspris!$A$1:$B$877,2,FALSE)</f>
        <v>Svenska för F-3, kurs 3</v>
      </c>
      <c r="C1150" s="37"/>
      <c r="D1150" s="31" t="s">
        <v>486</v>
      </c>
      <c r="E1150" s="31" t="s">
        <v>1931</v>
      </c>
      <c r="F1150" s="59" t="s">
        <v>1931</v>
      </c>
      <c r="G1150" s="31" t="s">
        <v>2277</v>
      </c>
      <c r="L1150" s="31">
        <v>100</v>
      </c>
      <c r="M1150" s="31">
        <v>7.5</v>
      </c>
      <c r="P1150" s="31">
        <v>1</v>
      </c>
      <c r="Q1150" s="232">
        <f t="shared" si="608"/>
        <v>0.125</v>
      </c>
      <c r="R1150" s="40">
        <v>0.85</v>
      </c>
      <c r="S1150" s="334">
        <f t="shared" si="609"/>
        <v>0.10625</v>
      </c>
      <c r="T1150" s="31">
        <f>VLOOKUP(A1150,'Ansvar kurs'!$A$1:$C$1010,2,FALSE)</f>
        <v>1620</v>
      </c>
      <c r="U1150" s="31" t="str">
        <f>VLOOKUP(T1150,Orgenheter!$A$1:$C$165,2,FALSE)</f>
        <v>Inst för språkstudier</v>
      </c>
      <c r="V1150" s="31" t="str">
        <f>VLOOKUP(T1150,Orgenheter!$A$1:$C$165,3,FALSE)</f>
        <v>Hum</v>
      </c>
      <c r="W1150" s="37" t="str">
        <f>VLOOKUP(D1150,Program!$A$1:$B$34,2,FALSE)</f>
        <v>Grundlärarprogrammet - förskoleklass och åk 1-3</v>
      </c>
      <c r="X1150" s="42">
        <f>VLOOKUP(A1150,kurspris!$A$1:$Q$798,15,FALSE)</f>
        <v>18405</v>
      </c>
      <c r="Y1150" s="42">
        <f>VLOOKUP(A1150,kurspris!$A$1:$Q$798,16,FALSE)</f>
        <v>15773</v>
      </c>
      <c r="Z1150" s="42">
        <f t="shared" si="610"/>
        <v>3976.5062499999999</v>
      </c>
      <c r="AA1150" s="42">
        <f>VLOOKUP(A1150,kurspris!$A$1:$Q$798,17,FALSE)</f>
        <v>5800</v>
      </c>
      <c r="AB1150" s="42">
        <f t="shared" si="611"/>
        <v>725</v>
      </c>
      <c r="AC1150" s="42">
        <f t="shared" si="612"/>
        <v>4701.5062500000004</v>
      </c>
      <c r="AD1150" s="31">
        <f>VLOOKUP($A1150,kurspris!$A$1:$Q$835,3,FALSE)</f>
        <v>0</v>
      </c>
      <c r="AE1150" s="31">
        <f>VLOOKUP($A1150,kurspris!$A$1:$Q$835,4,FALSE)</f>
        <v>1</v>
      </c>
      <c r="AF1150" s="31">
        <f>VLOOKUP($A1150,kurspris!$A$1:$Q$835,5,FALSE)</f>
        <v>0</v>
      </c>
      <c r="AG1150" s="31">
        <f>VLOOKUP($A1150,kurspris!$A$1:$Q$835,6,FALSE)</f>
        <v>0</v>
      </c>
      <c r="AH1150" s="31">
        <f>VLOOKUP($A1150,kurspris!$A$1:$Q$835,7,FALSE)</f>
        <v>0</v>
      </c>
      <c r="AI1150" s="31">
        <f>VLOOKUP($A1150,kurspris!$A$1:$Q$835,8,FALSE)</f>
        <v>0</v>
      </c>
      <c r="AJ1150" s="31">
        <f>VLOOKUP($A1150,kurspris!$A$1:$Q$835,9,FALSE)</f>
        <v>0</v>
      </c>
      <c r="AK1150" s="31">
        <f>VLOOKUP($A1150,kurspris!$A$1:$Q$835,10,FALSE)</f>
        <v>0</v>
      </c>
      <c r="AL1150" s="31">
        <f>VLOOKUP($A1150,kurspris!$A$1:$Q$835,11,FALSE)</f>
        <v>0</v>
      </c>
      <c r="AM1150" s="31">
        <f>VLOOKUP($A1150,kurspris!$A$1:$Q$835,12,FALSE)</f>
        <v>0</v>
      </c>
      <c r="AN1150" s="31">
        <f>VLOOKUP($A1150,kurspris!$A$1:$Q$835,13,FALSE)</f>
        <v>0</v>
      </c>
      <c r="AO1150" s="31">
        <f>VLOOKUP($A1150,kurspris!$A$1:$Q$835,14,FALSE)</f>
        <v>0</v>
      </c>
      <c r="AP1150" s="39" t="s">
        <v>2326</v>
      </c>
      <c r="AQ1150"/>
      <c r="AR1150" s="31">
        <f t="shared" si="613"/>
        <v>0</v>
      </c>
      <c r="AS1150" s="255">
        <f t="shared" si="614"/>
        <v>0</v>
      </c>
      <c r="AT1150" s="31">
        <f t="shared" si="615"/>
        <v>0.125</v>
      </c>
      <c r="AU1150" s="255">
        <f t="shared" si="616"/>
        <v>0.10625</v>
      </c>
      <c r="AV1150" s="31">
        <f t="shared" si="617"/>
        <v>0</v>
      </c>
      <c r="AW1150" s="31">
        <f t="shared" si="618"/>
        <v>0</v>
      </c>
      <c r="AX1150" s="31">
        <f t="shared" si="619"/>
        <v>0</v>
      </c>
      <c r="AY1150" s="255">
        <f t="shared" si="620"/>
        <v>0</v>
      </c>
      <c r="AZ1150" s="232">
        <f t="shared" si="621"/>
        <v>0</v>
      </c>
      <c r="BA1150" s="255">
        <f t="shared" si="622"/>
        <v>0</v>
      </c>
      <c r="BB1150" s="31">
        <f t="shared" si="623"/>
        <v>0</v>
      </c>
      <c r="BC1150" s="255">
        <f t="shared" si="624"/>
        <v>0</v>
      </c>
      <c r="BD1150" s="31">
        <f t="shared" si="625"/>
        <v>0</v>
      </c>
      <c r="BE1150" s="255">
        <f t="shared" si="626"/>
        <v>0</v>
      </c>
      <c r="BF1150" s="31">
        <f t="shared" si="627"/>
        <v>0</v>
      </c>
      <c r="BG1150" s="255">
        <f t="shared" si="628"/>
        <v>0</v>
      </c>
      <c r="BH1150" s="31">
        <f t="shared" si="629"/>
        <v>0</v>
      </c>
      <c r="BI1150" s="255">
        <f t="shared" si="630"/>
        <v>0</v>
      </c>
      <c r="BJ1150" s="31">
        <f t="shared" si="631"/>
        <v>0</v>
      </c>
      <c r="BK1150" s="31">
        <f t="shared" si="632"/>
        <v>0</v>
      </c>
      <c r="BL1150" s="255">
        <f t="shared" si="633"/>
        <v>0</v>
      </c>
      <c r="BM1150" s="31">
        <f t="shared" si="634"/>
        <v>0</v>
      </c>
      <c r="BN1150" s="255">
        <f t="shared" si="635"/>
        <v>0</v>
      </c>
    </row>
    <row r="1151" spans="1:66" x14ac:dyDescent="0.25">
      <c r="A1151" t="s">
        <v>519</v>
      </c>
      <c r="B1151" s="186" t="str">
        <f>VLOOKUP(A1151,kurspris!$A$1:$B$877,2,FALSE)</f>
        <v>Svenska för åk 4-6, kurs 1</v>
      </c>
      <c r="C1151"/>
      <c r="D1151" t="s">
        <v>524</v>
      </c>
      <c r="E1151" t="s">
        <v>1788</v>
      </c>
      <c r="F1151" s="39" t="s">
        <v>1930</v>
      </c>
      <c r="G1151" t="s">
        <v>1979</v>
      </c>
      <c r="H1151" t="s">
        <v>1910</v>
      </c>
      <c r="I1151"/>
      <c r="J1151"/>
      <c r="K1151"/>
      <c r="L1151">
        <v>100</v>
      </c>
      <c r="M1151">
        <v>15</v>
      </c>
      <c r="N1151"/>
      <c r="O1151"/>
      <c r="P1151" s="31">
        <v>27</v>
      </c>
      <c r="Q1151" s="232">
        <f t="shared" si="608"/>
        <v>6.75</v>
      </c>
      <c r="R1151" s="40">
        <v>0.85</v>
      </c>
      <c r="S1151" s="334">
        <f t="shared" si="609"/>
        <v>5.7374999999999998</v>
      </c>
      <c r="T1151" s="31">
        <f>VLOOKUP(A1151,'Ansvar kurs'!$A$1:$C$1010,2,FALSE)</f>
        <v>1620</v>
      </c>
      <c r="U1151" s="31" t="str">
        <f>VLOOKUP(T1151,Orgenheter!$A$1:$C$165,2,FALSE)</f>
        <v>Inst för språkstudier</v>
      </c>
      <c r="V1151" s="31" t="str">
        <f>VLOOKUP(T1151,Orgenheter!$A$1:$C$165,3,FALSE)</f>
        <v>Hum</v>
      </c>
      <c r="W1151" s="37" t="str">
        <f>VLOOKUP(D1151,Program!$A$1:$B$34,2,FALSE)</f>
        <v>Grundlärarprogrammet - grundskolans åk 4-6</v>
      </c>
      <c r="X1151" s="42">
        <f>VLOOKUP(A1151,kurspris!$A$1:$Q$798,15,FALSE)</f>
        <v>18405</v>
      </c>
      <c r="Y1151" s="42">
        <f>VLOOKUP(A1151,kurspris!$A$1:$Q$798,16,FALSE)</f>
        <v>15773</v>
      </c>
      <c r="Z1151" s="42">
        <f t="shared" si="610"/>
        <v>214731.33749999999</v>
      </c>
      <c r="AA1151" s="42">
        <f>VLOOKUP(A1151,kurspris!$A$1:$Q$798,17,FALSE)</f>
        <v>5800</v>
      </c>
      <c r="AB1151" s="42">
        <f t="shared" si="611"/>
        <v>39150</v>
      </c>
      <c r="AC1151" s="42">
        <f t="shared" si="612"/>
        <v>253881.33749999999</v>
      </c>
      <c r="AD1151" s="31">
        <f>VLOOKUP($A1151,kurspris!$A$1:$Q$835,3,FALSE)</f>
        <v>0</v>
      </c>
      <c r="AE1151" s="31">
        <f>VLOOKUP($A1151,kurspris!$A$1:$Q$835,4,FALSE)</f>
        <v>1</v>
      </c>
      <c r="AF1151" s="31">
        <f>VLOOKUP($A1151,kurspris!$A$1:$Q$835,5,FALSE)</f>
        <v>0</v>
      </c>
      <c r="AG1151" s="31">
        <f>VLOOKUP($A1151,kurspris!$A$1:$Q$835,6,FALSE)</f>
        <v>0</v>
      </c>
      <c r="AH1151" s="31">
        <f>VLOOKUP($A1151,kurspris!$A$1:$Q$835,7,FALSE)</f>
        <v>0</v>
      </c>
      <c r="AI1151" s="31">
        <f>VLOOKUP($A1151,kurspris!$A$1:$Q$835,8,FALSE)</f>
        <v>0</v>
      </c>
      <c r="AJ1151" s="31">
        <f>VLOOKUP($A1151,kurspris!$A$1:$Q$835,9,FALSE)</f>
        <v>0</v>
      </c>
      <c r="AK1151" s="31">
        <f>VLOOKUP($A1151,kurspris!$A$1:$Q$835,10,FALSE)</f>
        <v>0</v>
      </c>
      <c r="AL1151" s="31">
        <f>VLOOKUP($A1151,kurspris!$A$1:$Q$835,11,FALSE)</f>
        <v>0</v>
      </c>
      <c r="AM1151" s="31">
        <f>VLOOKUP($A1151,kurspris!$A$1:$Q$835,12,FALSE)</f>
        <v>0</v>
      </c>
      <c r="AN1151" s="31">
        <f>VLOOKUP($A1151,kurspris!$A$1:$Q$835,13,FALSE)</f>
        <v>0</v>
      </c>
      <c r="AO1151" s="31">
        <f>VLOOKUP($A1151,kurspris!$A$1:$Q$835,14,FALSE)</f>
        <v>0</v>
      </c>
      <c r="AP1151" s="39" t="s">
        <v>2204</v>
      </c>
      <c r="AQ1151"/>
      <c r="AR1151" s="31">
        <f t="shared" si="613"/>
        <v>0</v>
      </c>
      <c r="AS1151" s="255">
        <f t="shared" si="614"/>
        <v>0</v>
      </c>
      <c r="AT1151" s="31">
        <f t="shared" si="615"/>
        <v>6.75</v>
      </c>
      <c r="AU1151" s="255">
        <f t="shared" si="616"/>
        <v>5.7374999999999998</v>
      </c>
      <c r="AV1151" s="31">
        <f t="shared" si="617"/>
        <v>0</v>
      </c>
      <c r="AW1151" s="31">
        <f t="shared" si="618"/>
        <v>0</v>
      </c>
      <c r="AX1151" s="31">
        <f t="shared" si="619"/>
        <v>0</v>
      </c>
      <c r="AY1151" s="255">
        <f t="shared" si="620"/>
        <v>0</v>
      </c>
      <c r="AZ1151" s="232">
        <f t="shared" si="621"/>
        <v>0</v>
      </c>
      <c r="BA1151" s="255">
        <f t="shared" si="622"/>
        <v>0</v>
      </c>
      <c r="BB1151" s="31">
        <f t="shared" si="623"/>
        <v>0</v>
      </c>
      <c r="BC1151" s="255">
        <f t="shared" si="624"/>
        <v>0</v>
      </c>
      <c r="BD1151" s="31">
        <f t="shared" si="625"/>
        <v>0</v>
      </c>
      <c r="BE1151" s="255">
        <f t="shared" si="626"/>
        <v>0</v>
      </c>
      <c r="BF1151" s="31">
        <f t="shared" si="627"/>
        <v>0</v>
      </c>
      <c r="BG1151" s="255">
        <f t="shared" si="628"/>
        <v>0</v>
      </c>
      <c r="BH1151" s="31">
        <f t="shared" si="629"/>
        <v>0</v>
      </c>
      <c r="BI1151" s="255">
        <f t="shared" si="630"/>
        <v>0</v>
      </c>
      <c r="BJ1151" s="31">
        <f t="shared" si="631"/>
        <v>0</v>
      </c>
      <c r="BK1151" s="31">
        <f t="shared" si="632"/>
        <v>0</v>
      </c>
      <c r="BL1151" s="255">
        <f t="shared" si="633"/>
        <v>0</v>
      </c>
      <c r="BM1151" s="31">
        <f t="shared" si="634"/>
        <v>0</v>
      </c>
      <c r="BN1151" s="255">
        <f t="shared" si="635"/>
        <v>0</v>
      </c>
    </row>
    <row r="1152" spans="1:66" x14ac:dyDescent="0.25">
      <c r="A1152" s="59" t="s">
        <v>520</v>
      </c>
      <c r="B1152" s="186" t="str">
        <f>VLOOKUP(A1152,kurspris!$A$1:$B$877,2,FALSE)</f>
        <v>Svenska för åk 4-6, kurs 2</v>
      </c>
      <c r="C1152" s="37"/>
      <c r="D1152" s="59" t="s">
        <v>524</v>
      </c>
      <c r="E1152" s="62" t="s">
        <v>1788</v>
      </c>
      <c r="F1152" s="59" t="s">
        <v>1931</v>
      </c>
      <c r="G1152" s="31" t="s">
        <v>2269</v>
      </c>
      <c r="L1152" s="31">
        <v>100</v>
      </c>
      <c r="M1152" s="376">
        <v>7.5</v>
      </c>
      <c r="N1152" s="40"/>
      <c r="P1152" s="377">
        <v>21</v>
      </c>
      <c r="Q1152" s="232">
        <f t="shared" si="608"/>
        <v>2.625</v>
      </c>
      <c r="R1152" s="40">
        <v>0.85</v>
      </c>
      <c r="S1152" s="334">
        <f t="shared" si="609"/>
        <v>2.2312499999999997</v>
      </c>
      <c r="T1152" s="31">
        <f>VLOOKUP(A1152,'Ansvar kurs'!$A$1:$C$1010,2,FALSE)</f>
        <v>1620</v>
      </c>
      <c r="U1152" s="31" t="str">
        <f>VLOOKUP(T1152,Orgenheter!$A$1:$C$165,2,FALSE)</f>
        <v>Inst för språkstudier</v>
      </c>
      <c r="V1152" s="31" t="str">
        <f>VLOOKUP(T1152,Orgenheter!$A$1:$C$165,3,FALSE)</f>
        <v>Hum</v>
      </c>
      <c r="W1152" s="37" t="str">
        <f>VLOOKUP(D1152,Program!$A$1:$B$34,2,FALSE)</f>
        <v>Grundlärarprogrammet - grundskolans åk 4-6</v>
      </c>
      <c r="X1152" s="42">
        <f>VLOOKUP(A1152,kurspris!$A$1:$Q$798,15,FALSE)</f>
        <v>18405</v>
      </c>
      <c r="Y1152" s="42">
        <f>VLOOKUP(A1152,kurspris!$A$1:$Q$798,16,FALSE)</f>
        <v>15773</v>
      </c>
      <c r="Z1152" s="42">
        <f t="shared" si="610"/>
        <v>83506.631250000006</v>
      </c>
      <c r="AA1152" s="42">
        <f>VLOOKUP(A1152,kurspris!$A$1:$Q$798,17,FALSE)</f>
        <v>5800</v>
      </c>
      <c r="AB1152" s="42">
        <f t="shared" si="611"/>
        <v>15225</v>
      </c>
      <c r="AC1152" s="42">
        <f t="shared" si="612"/>
        <v>98731.631250000006</v>
      </c>
      <c r="AD1152" s="31">
        <f>VLOOKUP($A1152,kurspris!$A$1:$Q$835,3,FALSE)</f>
        <v>0</v>
      </c>
      <c r="AE1152" s="31">
        <f>VLOOKUP($A1152,kurspris!$A$1:$Q$835,4,FALSE)</f>
        <v>1</v>
      </c>
      <c r="AF1152" s="31">
        <f>VLOOKUP($A1152,kurspris!$A$1:$Q$835,5,FALSE)</f>
        <v>0</v>
      </c>
      <c r="AG1152" s="31">
        <f>VLOOKUP($A1152,kurspris!$A$1:$Q$835,6,FALSE)</f>
        <v>0</v>
      </c>
      <c r="AH1152" s="31">
        <f>VLOOKUP($A1152,kurspris!$A$1:$Q$835,7,FALSE)</f>
        <v>0</v>
      </c>
      <c r="AI1152" s="31">
        <f>VLOOKUP($A1152,kurspris!$A$1:$Q$835,8,FALSE)</f>
        <v>0</v>
      </c>
      <c r="AJ1152" s="31">
        <f>VLOOKUP($A1152,kurspris!$A$1:$Q$835,9,FALSE)</f>
        <v>0</v>
      </c>
      <c r="AK1152" s="31">
        <f>VLOOKUP($A1152,kurspris!$A$1:$Q$835,10,FALSE)</f>
        <v>0</v>
      </c>
      <c r="AL1152" s="31">
        <f>VLOOKUP($A1152,kurspris!$A$1:$Q$835,11,FALSE)</f>
        <v>0</v>
      </c>
      <c r="AM1152" s="31">
        <f>VLOOKUP($A1152,kurspris!$A$1:$Q$835,12,FALSE)</f>
        <v>0</v>
      </c>
      <c r="AN1152" s="31">
        <f>VLOOKUP($A1152,kurspris!$A$1:$Q$835,13,FALSE)</f>
        <v>0</v>
      </c>
      <c r="AO1152" s="31">
        <f>VLOOKUP($A1152,kurspris!$A$1:$Q$835,14,FALSE)</f>
        <v>0</v>
      </c>
      <c r="AP1152" s="39" t="s">
        <v>2326</v>
      </c>
      <c r="AQ1152"/>
      <c r="AR1152" s="31">
        <f t="shared" si="613"/>
        <v>0</v>
      </c>
      <c r="AS1152" s="255">
        <f t="shared" si="614"/>
        <v>0</v>
      </c>
      <c r="AT1152" s="31">
        <f t="shared" si="615"/>
        <v>2.625</v>
      </c>
      <c r="AU1152" s="255">
        <f t="shared" si="616"/>
        <v>2.2312499999999997</v>
      </c>
      <c r="AV1152" s="31">
        <f t="shared" si="617"/>
        <v>0</v>
      </c>
      <c r="AW1152" s="31">
        <f t="shared" si="618"/>
        <v>0</v>
      </c>
      <c r="AX1152" s="31">
        <f t="shared" si="619"/>
        <v>0</v>
      </c>
      <c r="AY1152" s="255">
        <f t="shared" si="620"/>
        <v>0</v>
      </c>
      <c r="AZ1152" s="232">
        <f t="shared" si="621"/>
        <v>0</v>
      </c>
      <c r="BA1152" s="255">
        <f t="shared" si="622"/>
        <v>0</v>
      </c>
      <c r="BB1152" s="31">
        <f t="shared" si="623"/>
        <v>0</v>
      </c>
      <c r="BC1152" s="255">
        <f t="shared" si="624"/>
        <v>0</v>
      </c>
      <c r="BD1152" s="31">
        <f t="shared" si="625"/>
        <v>0</v>
      </c>
      <c r="BE1152" s="255">
        <f t="shared" si="626"/>
        <v>0</v>
      </c>
      <c r="BF1152" s="31">
        <f t="shared" si="627"/>
        <v>0</v>
      </c>
      <c r="BG1152" s="255">
        <f t="shared" si="628"/>
        <v>0</v>
      </c>
      <c r="BH1152" s="31">
        <f t="shared" si="629"/>
        <v>0</v>
      </c>
      <c r="BI1152" s="255">
        <f t="shared" si="630"/>
        <v>0</v>
      </c>
      <c r="BJ1152" s="31">
        <f t="shared" si="631"/>
        <v>0</v>
      </c>
      <c r="BK1152" s="31">
        <f t="shared" si="632"/>
        <v>0</v>
      </c>
      <c r="BL1152" s="255">
        <f t="shared" si="633"/>
        <v>0</v>
      </c>
      <c r="BM1152" s="31">
        <f t="shared" si="634"/>
        <v>0</v>
      </c>
      <c r="BN1152" s="255">
        <f t="shared" si="635"/>
        <v>0</v>
      </c>
    </row>
    <row r="1153" spans="1:66" x14ac:dyDescent="0.25">
      <c r="A1153" s="18" t="s">
        <v>605</v>
      </c>
      <c r="B1153" s="186" t="str">
        <f>VLOOKUP(A1153,kurspris!$A$1:$B$877,2,FALSE)</f>
        <v>Svenska för åk 4-6, kurs 3</v>
      </c>
      <c r="C1153" s="37"/>
      <c r="D1153" s="31" t="s">
        <v>524</v>
      </c>
      <c r="E1153" s="31" t="s">
        <v>1609</v>
      </c>
      <c r="F1153" s="59" t="s">
        <v>1931</v>
      </c>
      <c r="G1153" s="31" t="s">
        <v>2277</v>
      </c>
      <c r="L1153" s="31">
        <v>100</v>
      </c>
      <c r="M1153" s="31">
        <v>7.5</v>
      </c>
      <c r="P1153" s="31">
        <v>28</v>
      </c>
      <c r="Q1153" s="232">
        <f t="shared" si="608"/>
        <v>3.5</v>
      </c>
      <c r="R1153" s="40">
        <v>0.85</v>
      </c>
      <c r="S1153" s="334">
        <f t="shared" si="609"/>
        <v>2.9750000000000001</v>
      </c>
      <c r="T1153" s="31">
        <f>VLOOKUP(A1153,'Ansvar kurs'!$A$1:$C$1010,2,FALSE)</f>
        <v>1620</v>
      </c>
      <c r="U1153" s="31" t="str">
        <f>VLOOKUP(T1153,Orgenheter!$A$1:$C$165,2,FALSE)</f>
        <v>Inst för språkstudier</v>
      </c>
      <c r="V1153" s="31" t="str">
        <f>VLOOKUP(T1153,Orgenheter!$A$1:$C$165,3,FALSE)</f>
        <v>Hum</v>
      </c>
      <c r="W1153" s="37" t="str">
        <f>VLOOKUP(D1153,Program!$A$1:$B$34,2,FALSE)</f>
        <v>Grundlärarprogrammet - grundskolans åk 4-6</v>
      </c>
      <c r="X1153" s="42">
        <f>VLOOKUP(A1153,kurspris!$A$1:$Q$798,15,FALSE)</f>
        <v>18405</v>
      </c>
      <c r="Y1153" s="42">
        <f>VLOOKUP(A1153,kurspris!$A$1:$Q$798,16,FALSE)</f>
        <v>15773</v>
      </c>
      <c r="Z1153" s="42">
        <f t="shared" si="610"/>
        <v>111342.175</v>
      </c>
      <c r="AA1153" s="42">
        <f>VLOOKUP(A1153,kurspris!$A$1:$Q$798,17,FALSE)</f>
        <v>5800</v>
      </c>
      <c r="AB1153" s="42">
        <f t="shared" si="611"/>
        <v>20300</v>
      </c>
      <c r="AC1153" s="42">
        <f t="shared" si="612"/>
        <v>131642.17499999999</v>
      </c>
      <c r="AD1153" s="31">
        <f>VLOOKUP($A1153,kurspris!$A$1:$Q$835,3,FALSE)</f>
        <v>0</v>
      </c>
      <c r="AE1153" s="31">
        <f>VLOOKUP($A1153,kurspris!$A$1:$Q$835,4,FALSE)</f>
        <v>1</v>
      </c>
      <c r="AF1153" s="31">
        <f>VLOOKUP($A1153,kurspris!$A$1:$Q$835,5,FALSE)</f>
        <v>0</v>
      </c>
      <c r="AG1153" s="31">
        <f>VLOOKUP($A1153,kurspris!$A$1:$Q$835,6,FALSE)</f>
        <v>0</v>
      </c>
      <c r="AH1153" s="31">
        <f>VLOOKUP($A1153,kurspris!$A$1:$Q$835,7,FALSE)</f>
        <v>0</v>
      </c>
      <c r="AI1153" s="31">
        <f>VLOOKUP($A1153,kurspris!$A$1:$Q$835,8,FALSE)</f>
        <v>0</v>
      </c>
      <c r="AJ1153" s="31">
        <f>VLOOKUP($A1153,kurspris!$A$1:$Q$835,9,FALSE)</f>
        <v>0</v>
      </c>
      <c r="AK1153" s="31">
        <f>VLOOKUP($A1153,kurspris!$A$1:$Q$835,10,FALSE)</f>
        <v>0</v>
      </c>
      <c r="AL1153" s="31">
        <f>VLOOKUP($A1153,kurspris!$A$1:$Q$835,11,FALSE)</f>
        <v>0</v>
      </c>
      <c r="AM1153" s="31">
        <f>VLOOKUP($A1153,kurspris!$A$1:$Q$835,12,FALSE)</f>
        <v>0</v>
      </c>
      <c r="AN1153" s="31">
        <f>VLOOKUP($A1153,kurspris!$A$1:$Q$835,13,FALSE)</f>
        <v>0</v>
      </c>
      <c r="AO1153" s="31">
        <f>VLOOKUP($A1153,kurspris!$A$1:$Q$835,14,FALSE)</f>
        <v>0</v>
      </c>
      <c r="AP1153" s="39" t="s">
        <v>2326</v>
      </c>
      <c r="AQ1153"/>
      <c r="AR1153" s="31">
        <f t="shared" si="613"/>
        <v>0</v>
      </c>
      <c r="AS1153" s="255">
        <f t="shared" si="614"/>
        <v>0</v>
      </c>
      <c r="AT1153" s="31">
        <f t="shared" si="615"/>
        <v>3.5</v>
      </c>
      <c r="AU1153" s="255">
        <f t="shared" si="616"/>
        <v>2.9750000000000001</v>
      </c>
      <c r="AV1153" s="31">
        <f t="shared" si="617"/>
        <v>0</v>
      </c>
      <c r="AW1153" s="31">
        <f t="shared" si="618"/>
        <v>0</v>
      </c>
      <c r="AX1153" s="31">
        <f t="shared" si="619"/>
        <v>0</v>
      </c>
      <c r="AY1153" s="255">
        <f t="shared" si="620"/>
        <v>0</v>
      </c>
      <c r="AZ1153" s="232">
        <f t="shared" si="621"/>
        <v>0</v>
      </c>
      <c r="BA1153" s="255">
        <f t="shared" si="622"/>
        <v>0</v>
      </c>
      <c r="BB1153" s="31">
        <f t="shared" si="623"/>
        <v>0</v>
      </c>
      <c r="BC1153" s="255">
        <f t="shared" si="624"/>
        <v>0</v>
      </c>
      <c r="BD1153" s="31">
        <f t="shared" si="625"/>
        <v>0</v>
      </c>
      <c r="BE1153" s="255">
        <f t="shared" si="626"/>
        <v>0</v>
      </c>
      <c r="BF1153" s="31">
        <f t="shared" si="627"/>
        <v>0</v>
      </c>
      <c r="BG1153" s="255">
        <f t="shared" si="628"/>
        <v>0</v>
      </c>
      <c r="BH1153" s="31">
        <f t="shared" si="629"/>
        <v>0</v>
      </c>
      <c r="BI1153" s="255">
        <f t="shared" si="630"/>
        <v>0</v>
      </c>
      <c r="BJ1153" s="31">
        <f t="shared" si="631"/>
        <v>0</v>
      </c>
      <c r="BK1153" s="31">
        <f t="shared" si="632"/>
        <v>0</v>
      </c>
      <c r="BL1153" s="255">
        <f t="shared" si="633"/>
        <v>0</v>
      </c>
      <c r="BM1153" s="31">
        <f t="shared" si="634"/>
        <v>0</v>
      </c>
      <c r="BN1153" s="255">
        <f t="shared" si="635"/>
        <v>0</v>
      </c>
    </row>
    <row r="1154" spans="1:66" x14ac:dyDescent="0.25">
      <c r="A1154" s="18" t="s">
        <v>521</v>
      </c>
      <c r="B1154" s="186" t="str">
        <f>VLOOKUP(A1154,kurspris!$A$1:$B$877,2,FALSE)</f>
        <v>Svenska II för ämneslärare</v>
      </c>
      <c r="C1154" s="37"/>
      <c r="D1154" s="31" t="s">
        <v>483</v>
      </c>
      <c r="E1154" s="31" t="s">
        <v>1973</v>
      </c>
      <c r="F1154" s="59" t="s">
        <v>1931</v>
      </c>
      <c r="G1154" s="31" t="s">
        <v>2276</v>
      </c>
      <c r="J1154" t="s">
        <v>771</v>
      </c>
      <c r="L1154" s="31">
        <v>100</v>
      </c>
      <c r="M1154" s="31">
        <v>30</v>
      </c>
      <c r="P1154" s="31">
        <v>5</v>
      </c>
      <c r="Q1154" s="232">
        <f t="shared" si="608"/>
        <v>2.5</v>
      </c>
      <c r="R1154" s="40">
        <v>0.85</v>
      </c>
      <c r="S1154" s="334">
        <f t="shared" si="609"/>
        <v>2.125</v>
      </c>
      <c r="T1154" s="31">
        <f>VLOOKUP(A1154,'Ansvar kurs'!$A$1:$C$1010,2,FALSE)</f>
        <v>1620</v>
      </c>
      <c r="U1154" s="31" t="str">
        <f>VLOOKUP(T1154,Orgenheter!$A$1:$C$165,2,FALSE)</f>
        <v>Inst för språkstudier</v>
      </c>
      <c r="V1154" s="31" t="str">
        <f>VLOOKUP(T1154,Orgenheter!$A$1:$C$165,3,FALSE)</f>
        <v>Hum</v>
      </c>
      <c r="W1154" s="37" t="str">
        <f>VLOOKUP(D1154,Program!$A$1:$B$34,2,FALSE)</f>
        <v>Ämneslärarprogrammet - Gy</v>
      </c>
      <c r="X1154" s="42">
        <f>VLOOKUP(A1154,kurspris!$A$1:$Q$798,15,FALSE)</f>
        <v>18405</v>
      </c>
      <c r="Y1154" s="42">
        <f>VLOOKUP(A1154,kurspris!$A$1:$Q$798,16,FALSE)</f>
        <v>15773</v>
      </c>
      <c r="Z1154" s="42">
        <f t="shared" si="610"/>
        <v>79530.125</v>
      </c>
      <c r="AA1154" s="42">
        <f>VLOOKUP(A1154,kurspris!$A$1:$Q$798,17,FALSE)</f>
        <v>5800</v>
      </c>
      <c r="AB1154" s="42">
        <f t="shared" si="611"/>
        <v>14500</v>
      </c>
      <c r="AC1154" s="42">
        <f t="shared" si="612"/>
        <v>94030.125</v>
      </c>
      <c r="AD1154" s="31">
        <f>VLOOKUP($A1154,kurspris!$A$1:$Q$835,3,FALSE)</f>
        <v>0</v>
      </c>
      <c r="AE1154" s="31">
        <f>VLOOKUP($A1154,kurspris!$A$1:$Q$835,4,FALSE)</f>
        <v>1</v>
      </c>
      <c r="AF1154" s="31">
        <f>VLOOKUP($A1154,kurspris!$A$1:$Q$835,5,FALSE)</f>
        <v>0</v>
      </c>
      <c r="AG1154" s="31">
        <f>VLOOKUP($A1154,kurspris!$A$1:$Q$835,6,FALSE)</f>
        <v>0</v>
      </c>
      <c r="AH1154" s="31">
        <f>VLOOKUP($A1154,kurspris!$A$1:$Q$835,7,FALSE)</f>
        <v>0</v>
      </c>
      <c r="AI1154" s="31">
        <f>VLOOKUP($A1154,kurspris!$A$1:$Q$835,8,FALSE)</f>
        <v>0</v>
      </c>
      <c r="AJ1154" s="31">
        <f>VLOOKUP($A1154,kurspris!$A$1:$Q$835,9,FALSE)</f>
        <v>0</v>
      </c>
      <c r="AK1154" s="31">
        <f>VLOOKUP($A1154,kurspris!$A$1:$Q$835,10,FALSE)</f>
        <v>0</v>
      </c>
      <c r="AL1154" s="31">
        <f>VLOOKUP($A1154,kurspris!$A$1:$Q$835,11,FALSE)</f>
        <v>0</v>
      </c>
      <c r="AM1154" s="31">
        <f>VLOOKUP($A1154,kurspris!$A$1:$Q$835,12,FALSE)</f>
        <v>0</v>
      </c>
      <c r="AN1154" s="31">
        <f>VLOOKUP($A1154,kurspris!$A$1:$Q$835,13,FALSE)</f>
        <v>0</v>
      </c>
      <c r="AO1154" s="31">
        <f>VLOOKUP($A1154,kurspris!$A$1:$Q$835,14,FALSE)</f>
        <v>0</v>
      </c>
      <c r="AP1154" s="39" t="s">
        <v>2326</v>
      </c>
      <c r="AQ1154"/>
      <c r="AR1154" s="31">
        <f t="shared" si="613"/>
        <v>0</v>
      </c>
      <c r="AS1154" s="255">
        <f t="shared" si="614"/>
        <v>0</v>
      </c>
      <c r="AT1154" s="31">
        <f t="shared" si="615"/>
        <v>2.5</v>
      </c>
      <c r="AU1154" s="255">
        <f t="shared" si="616"/>
        <v>2.125</v>
      </c>
      <c r="AV1154" s="31">
        <f t="shared" si="617"/>
        <v>0</v>
      </c>
      <c r="AW1154" s="31">
        <f t="shared" si="618"/>
        <v>0</v>
      </c>
      <c r="AX1154" s="31">
        <f t="shared" si="619"/>
        <v>0</v>
      </c>
      <c r="AY1154" s="255">
        <f t="shared" si="620"/>
        <v>0</v>
      </c>
      <c r="AZ1154" s="232">
        <f t="shared" si="621"/>
        <v>0</v>
      </c>
      <c r="BA1154" s="255">
        <f t="shared" si="622"/>
        <v>0</v>
      </c>
      <c r="BB1154" s="31">
        <f t="shared" si="623"/>
        <v>0</v>
      </c>
      <c r="BC1154" s="255">
        <f t="shared" si="624"/>
        <v>0</v>
      </c>
      <c r="BD1154" s="31">
        <f t="shared" si="625"/>
        <v>0</v>
      </c>
      <c r="BE1154" s="255">
        <f t="shared" si="626"/>
        <v>0</v>
      </c>
      <c r="BF1154" s="31">
        <f t="shared" si="627"/>
        <v>0</v>
      </c>
      <c r="BG1154" s="255">
        <f t="shared" si="628"/>
        <v>0</v>
      </c>
      <c r="BH1154" s="31">
        <f t="shared" si="629"/>
        <v>0</v>
      </c>
      <c r="BI1154" s="255">
        <f t="shared" si="630"/>
        <v>0</v>
      </c>
      <c r="BJ1154" s="31">
        <f t="shared" si="631"/>
        <v>0</v>
      </c>
      <c r="BK1154" s="31">
        <f t="shared" si="632"/>
        <v>0</v>
      </c>
      <c r="BL1154" s="255">
        <f t="shared" si="633"/>
        <v>0</v>
      </c>
      <c r="BM1154" s="31">
        <f t="shared" si="634"/>
        <v>0</v>
      </c>
      <c r="BN1154" s="255">
        <f t="shared" si="635"/>
        <v>0</v>
      </c>
    </row>
    <row r="1155" spans="1:66" x14ac:dyDescent="0.25">
      <c r="A1155" s="18" t="s">
        <v>521</v>
      </c>
      <c r="B1155" s="186" t="str">
        <f>VLOOKUP(A1155,kurspris!$A$1:$B$877,2,FALSE)</f>
        <v>Svenska II för ämneslärare</v>
      </c>
      <c r="C1155" s="37"/>
      <c r="D1155" s="31" t="s">
        <v>483</v>
      </c>
      <c r="E1155" s="31" t="s">
        <v>1973</v>
      </c>
      <c r="F1155" s="59" t="s">
        <v>1931</v>
      </c>
      <c r="G1155" s="31" t="s">
        <v>2276</v>
      </c>
      <c r="J1155" t="s">
        <v>772</v>
      </c>
      <c r="L1155" s="31">
        <v>100</v>
      </c>
      <c r="M1155" s="31">
        <v>30</v>
      </c>
      <c r="P1155" s="31">
        <v>1</v>
      </c>
      <c r="Q1155" s="232">
        <f t="shared" si="608"/>
        <v>0.5</v>
      </c>
      <c r="R1155" s="40">
        <v>0.85</v>
      </c>
      <c r="S1155" s="334">
        <f t="shared" si="609"/>
        <v>0.42499999999999999</v>
      </c>
      <c r="T1155" s="31">
        <f>VLOOKUP(A1155,'Ansvar kurs'!$A$1:$C$1010,2,FALSE)</f>
        <v>1620</v>
      </c>
      <c r="U1155" s="31" t="str">
        <f>VLOOKUP(T1155,Orgenheter!$A$1:$C$165,2,FALSE)</f>
        <v>Inst för språkstudier</v>
      </c>
      <c r="V1155" s="31" t="str">
        <f>VLOOKUP(T1155,Orgenheter!$A$1:$C$165,3,FALSE)</f>
        <v>Hum</v>
      </c>
      <c r="W1155" s="37" t="str">
        <f>VLOOKUP(D1155,Program!$A$1:$B$34,2,FALSE)</f>
        <v>Ämneslärarprogrammet - Gy</v>
      </c>
      <c r="X1155" s="42">
        <f>VLOOKUP(A1155,kurspris!$A$1:$Q$798,15,FALSE)</f>
        <v>18405</v>
      </c>
      <c r="Y1155" s="42">
        <f>VLOOKUP(A1155,kurspris!$A$1:$Q$798,16,FALSE)</f>
        <v>15773</v>
      </c>
      <c r="Z1155" s="42">
        <f t="shared" si="610"/>
        <v>15906.025</v>
      </c>
      <c r="AA1155" s="42">
        <f>VLOOKUP(A1155,kurspris!$A$1:$Q$798,17,FALSE)</f>
        <v>5800</v>
      </c>
      <c r="AB1155" s="42">
        <f t="shared" si="611"/>
        <v>2900</v>
      </c>
      <c r="AC1155" s="42">
        <f t="shared" si="612"/>
        <v>18806.025000000001</v>
      </c>
      <c r="AD1155" s="31">
        <f>VLOOKUP($A1155,kurspris!$A$1:$Q$835,3,FALSE)</f>
        <v>0</v>
      </c>
      <c r="AE1155" s="31">
        <f>VLOOKUP($A1155,kurspris!$A$1:$Q$835,4,FALSE)</f>
        <v>1</v>
      </c>
      <c r="AF1155" s="31">
        <f>VLOOKUP($A1155,kurspris!$A$1:$Q$835,5,FALSE)</f>
        <v>0</v>
      </c>
      <c r="AG1155" s="31">
        <f>VLOOKUP($A1155,kurspris!$A$1:$Q$835,6,FALSE)</f>
        <v>0</v>
      </c>
      <c r="AH1155" s="31">
        <f>VLOOKUP($A1155,kurspris!$A$1:$Q$835,7,FALSE)</f>
        <v>0</v>
      </c>
      <c r="AI1155" s="31">
        <f>VLOOKUP($A1155,kurspris!$A$1:$Q$835,8,FALSE)</f>
        <v>0</v>
      </c>
      <c r="AJ1155" s="31">
        <f>VLOOKUP($A1155,kurspris!$A$1:$Q$835,9,FALSE)</f>
        <v>0</v>
      </c>
      <c r="AK1155" s="31">
        <f>VLOOKUP($A1155,kurspris!$A$1:$Q$835,10,FALSE)</f>
        <v>0</v>
      </c>
      <c r="AL1155" s="31">
        <f>VLOOKUP($A1155,kurspris!$A$1:$Q$835,11,FALSE)</f>
        <v>0</v>
      </c>
      <c r="AM1155" s="31">
        <f>VLOOKUP($A1155,kurspris!$A$1:$Q$835,12,FALSE)</f>
        <v>0</v>
      </c>
      <c r="AN1155" s="31">
        <f>VLOOKUP($A1155,kurspris!$A$1:$Q$835,13,FALSE)</f>
        <v>0</v>
      </c>
      <c r="AO1155" s="31">
        <f>VLOOKUP($A1155,kurspris!$A$1:$Q$835,14,FALSE)</f>
        <v>0</v>
      </c>
      <c r="AP1155" s="39" t="s">
        <v>2326</v>
      </c>
      <c r="AQ1155"/>
      <c r="AR1155" s="31">
        <f t="shared" si="613"/>
        <v>0</v>
      </c>
      <c r="AS1155" s="255">
        <f t="shared" si="614"/>
        <v>0</v>
      </c>
      <c r="AT1155" s="31">
        <f t="shared" si="615"/>
        <v>0.5</v>
      </c>
      <c r="AU1155" s="255">
        <f t="shared" si="616"/>
        <v>0.42499999999999999</v>
      </c>
      <c r="AV1155" s="31">
        <f t="shared" si="617"/>
        <v>0</v>
      </c>
      <c r="AW1155" s="31">
        <f t="shared" si="618"/>
        <v>0</v>
      </c>
      <c r="AX1155" s="31">
        <f t="shared" si="619"/>
        <v>0</v>
      </c>
      <c r="AY1155" s="255">
        <f t="shared" si="620"/>
        <v>0</v>
      </c>
      <c r="AZ1155" s="232">
        <f t="shared" si="621"/>
        <v>0</v>
      </c>
      <c r="BA1155" s="255">
        <f t="shared" si="622"/>
        <v>0</v>
      </c>
      <c r="BB1155" s="31">
        <f t="shared" si="623"/>
        <v>0</v>
      </c>
      <c r="BC1155" s="255">
        <f t="shared" si="624"/>
        <v>0</v>
      </c>
      <c r="BD1155" s="31">
        <f t="shared" si="625"/>
        <v>0</v>
      </c>
      <c r="BE1155" s="255">
        <f t="shared" si="626"/>
        <v>0</v>
      </c>
      <c r="BF1155" s="31">
        <f t="shared" si="627"/>
        <v>0</v>
      </c>
      <c r="BG1155" s="255">
        <f t="shared" si="628"/>
        <v>0</v>
      </c>
      <c r="BH1155" s="31">
        <f t="shared" si="629"/>
        <v>0</v>
      </c>
      <c r="BI1155" s="255">
        <f t="shared" si="630"/>
        <v>0</v>
      </c>
      <c r="BJ1155" s="31">
        <f t="shared" si="631"/>
        <v>0</v>
      </c>
      <c r="BK1155" s="31">
        <f t="shared" si="632"/>
        <v>0</v>
      </c>
      <c r="BL1155" s="255">
        <f t="shared" si="633"/>
        <v>0</v>
      </c>
      <c r="BM1155" s="31">
        <f t="shared" si="634"/>
        <v>0</v>
      </c>
      <c r="BN1155" s="255">
        <f t="shared" si="635"/>
        <v>0</v>
      </c>
    </row>
    <row r="1156" spans="1:66" x14ac:dyDescent="0.25">
      <c r="A1156" s="18" t="s">
        <v>521</v>
      </c>
      <c r="B1156" s="186" t="str">
        <f>VLOOKUP(A1156,kurspris!$A$1:$B$877,2,FALSE)</f>
        <v>Svenska II för ämneslärare</v>
      </c>
      <c r="C1156" s="37"/>
      <c r="D1156" s="31" t="s">
        <v>483</v>
      </c>
      <c r="E1156" s="31" t="s">
        <v>1973</v>
      </c>
      <c r="F1156" s="59" t="s">
        <v>1931</v>
      </c>
      <c r="G1156" s="31" t="s">
        <v>2276</v>
      </c>
      <c r="J1156" t="s">
        <v>776</v>
      </c>
      <c r="L1156" s="31">
        <v>100</v>
      </c>
      <c r="M1156" s="31">
        <v>30</v>
      </c>
      <c r="P1156" s="31">
        <v>2</v>
      </c>
      <c r="Q1156" s="232">
        <f t="shared" si="608"/>
        <v>1</v>
      </c>
      <c r="R1156" s="40">
        <v>0.85</v>
      </c>
      <c r="S1156" s="334">
        <f t="shared" si="609"/>
        <v>0.85</v>
      </c>
      <c r="T1156" s="31">
        <f>VLOOKUP(A1156,'Ansvar kurs'!$A$1:$C$1010,2,FALSE)</f>
        <v>1620</v>
      </c>
      <c r="U1156" s="31" t="str">
        <f>VLOOKUP(T1156,Orgenheter!$A$1:$C$165,2,FALSE)</f>
        <v>Inst för språkstudier</v>
      </c>
      <c r="V1156" s="31" t="str">
        <f>VLOOKUP(T1156,Orgenheter!$A$1:$C$165,3,FALSE)</f>
        <v>Hum</v>
      </c>
      <c r="W1156" s="37" t="str">
        <f>VLOOKUP(D1156,Program!$A$1:$B$34,2,FALSE)</f>
        <v>Ämneslärarprogrammet - Gy</v>
      </c>
      <c r="X1156" s="42">
        <f>VLOOKUP(A1156,kurspris!$A$1:$Q$798,15,FALSE)</f>
        <v>18405</v>
      </c>
      <c r="Y1156" s="42">
        <f>VLOOKUP(A1156,kurspris!$A$1:$Q$798,16,FALSE)</f>
        <v>15773</v>
      </c>
      <c r="Z1156" s="42">
        <f t="shared" si="610"/>
        <v>31812.05</v>
      </c>
      <c r="AA1156" s="42">
        <f>VLOOKUP(A1156,kurspris!$A$1:$Q$798,17,FALSE)</f>
        <v>5800</v>
      </c>
      <c r="AB1156" s="42">
        <f t="shared" si="611"/>
        <v>5800</v>
      </c>
      <c r="AC1156" s="42">
        <f t="shared" si="612"/>
        <v>37612.050000000003</v>
      </c>
      <c r="AD1156" s="31">
        <f>VLOOKUP($A1156,kurspris!$A$1:$Q$835,3,FALSE)</f>
        <v>0</v>
      </c>
      <c r="AE1156" s="31">
        <f>VLOOKUP($A1156,kurspris!$A$1:$Q$835,4,FALSE)</f>
        <v>1</v>
      </c>
      <c r="AF1156" s="31">
        <f>VLOOKUP($A1156,kurspris!$A$1:$Q$835,5,FALSE)</f>
        <v>0</v>
      </c>
      <c r="AG1156" s="31">
        <f>VLOOKUP($A1156,kurspris!$A$1:$Q$835,6,FALSE)</f>
        <v>0</v>
      </c>
      <c r="AH1156" s="31">
        <f>VLOOKUP($A1156,kurspris!$A$1:$Q$835,7,FALSE)</f>
        <v>0</v>
      </c>
      <c r="AI1156" s="31">
        <f>VLOOKUP($A1156,kurspris!$A$1:$Q$835,8,FALSE)</f>
        <v>0</v>
      </c>
      <c r="AJ1156" s="31">
        <f>VLOOKUP($A1156,kurspris!$A$1:$Q$835,9,FALSE)</f>
        <v>0</v>
      </c>
      <c r="AK1156" s="31">
        <f>VLOOKUP($A1156,kurspris!$A$1:$Q$835,10,FALSE)</f>
        <v>0</v>
      </c>
      <c r="AL1156" s="31">
        <f>VLOOKUP($A1156,kurspris!$A$1:$Q$835,11,FALSE)</f>
        <v>0</v>
      </c>
      <c r="AM1156" s="31">
        <f>VLOOKUP($A1156,kurspris!$A$1:$Q$835,12,FALSE)</f>
        <v>0</v>
      </c>
      <c r="AN1156" s="31">
        <f>VLOOKUP($A1156,kurspris!$A$1:$Q$835,13,FALSE)</f>
        <v>0</v>
      </c>
      <c r="AO1156" s="31">
        <f>VLOOKUP($A1156,kurspris!$A$1:$Q$835,14,FALSE)</f>
        <v>0</v>
      </c>
      <c r="AP1156" s="39" t="s">
        <v>2326</v>
      </c>
      <c r="AQ1156"/>
      <c r="AR1156" s="31">
        <f t="shared" si="613"/>
        <v>0</v>
      </c>
      <c r="AS1156" s="255">
        <f t="shared" si="614"/>
        <v>0</v>
      </c>
      <c r="AT1156" s="31">
        <f t="shared" si="615"/>
        <v>1</v>
      </c>
      <c r="AU1156" s="255">
        <f t="shared" si="616"/>
        <v>0.85</v>
      </c>
      <c r="AV1156" s="31">
        <f t="shared" si="617"/>
        <v>0</v>
      </c>
      <c r="AW1156" s="31">
        <f t="shared" si="618"/>
        <v>0</v>
      </c>
      <c r="AX1156" s="31">
        <f t="shared" si="619"/>
        <v>0</v>
      </c>
      <c r="AY1156" s="255">
        <f t="shared" si="620"/>
        <v>0</v>
      </c>
      <c r="AZ1156" s="232">
        <f t="shared" si="621"/>
        <v>0</v>
      </c>
      <c r="BA1156" s="255">
        <f t="shared" si="622"/>
        <v>0</v>
      </c>
      <c r="BB1156" s="31">
        <f t="shared" si="623"/>
        <v>0</v>
      </c>
      <c r="BC1156" s="255">
        <f t="shared" si="624"/>
        <v>0</v>
      </c>
      <c r="BD1156" s="31">
        <f t="shared" si="625"/>
        <v>0</v>
      </c>
      <c r="BE1156" s="255">
        <f t="shared" si="626"/>
        <v>0</v>
      </c>
      <c r="BF1156" s="31">
        <f t="shared" si="627"/>
        <v>0</v>
      </c>
      <c r="BG1156" s="255">
        <f t="shared" si="628"/>
        <v>0</v>
      </c>
      <c r="BH1156" s="31">
        <f t="shared" si="629"/>
        <v>0</v>
      </c>
      <c r="BI1156" s="255">
        <f t="shared" si="630"/>
        <v>0</v>
      </c>
      <c r="BJ1156" s="31">
        <f t="shared" si="631"/>
        <v>0</v>
      </c>
      <c r="BK1156" s="31">
        <f t="shared" si="632"/>
        <v>0</v>
      </c>
      <c r="BL1156" s="255">
        <f t="shared" si="633"/>
        <v>0</v>
      </c>
      <c r="BM1156" s="31">
        <f t="shared" si="634"/>
        <v>0</v>
      </c>
      <c r="BN1156" s="255">
        <f t="shared" si="635"/>
        <v>0</v>
      </c>
    </row>
    <row r="1157" spans="1:66" x14ac:dyDescent="0.25">
      <c r="A1157" s="18" t="s">
        <v>521</v>
      </c>
      <c r="B1157" s="186" t="str">
        <f>VLOOKUP(A1157,kurspris!$A$1:$B$877,2,FALSE)</f>
        <v>Svenska II för ämneslärare</v>
      </c>
      <c r="C1157" s="37"/>
      <c r="D1157" s="31" t="s">
        <v>483</v>
      </c>
      <c r="E1157" s="31" t="s">
        <v>1973</v>
      </c>
      <c r="F1157" s="59" t="s">
        <v>1931</v>
      </c>
      <c r="G1157" s="31" t="s">
        <v>2276</v>
      </c>
      <c r="J1157" t="s">
        <v>1592</v>
      </c>
      <c r="L1157" s="31">
        <v>100</v>
      </c>
      <c r="M1157" s="31">
        <v>30</v>
      </c>
      <c r="P1157" s="31">
        <v>1</v>
      </c>
      <c r="Q1157" s="232">
        <f t="shared" si="608"/>
        <v>0.5</v>
      </c>
      <c r="R1157" s="40">
        <v>0.85</v>
      </c>
      <c r="S1157" s="334">
        <f t="shared" si="609"/>
        <v>0.42499999999999999</v>
      </c>
      <c r="T1157" s="31">
        <f>VLOOKUP(A1157,'Ansvar kurs'!$A$1:$C$1010,2,FALSE)</f>
        <v>1620</v>
      </c>
      <c r="U1157" s="31" t="str">
        <f>VLOOKUP(T1157,Orgenheter!$A$1:$C$165,2,FALSE)</f>
        <v>Inst för språkstudier</v>
      </c>
      <c r="V1157" s="31" t="str">
        <f>VLOOKUP(T1157,Orgenheter!$A$1:$C$165,3,FALSE)</f>
        <v>Hum</v>
      </c>
      <c r="W1157" s="37" t="str">
        <f>VLOOKUP(D1157,Program!$A$1:$B$34,2,FALSE)</f>
        <v>Ämneslärarprogrammet - Gy</v>
      </c>
      <c r="X1157" s="42">
        <f>VLOOKUP(A1157,kurspris!$A$1:$Q$798,15,FALSE)</f>
        <v>18405</v>
      </c>
      <c r="Y1157" s="42">
        <f>VLOOKUP(A1157,kurspris!$A$1:$Q$798,16,FALSE)</f>
        <v>15773</v>
      </c>
      <c r="Z1157" s="42">
        <f t="shared" si="610"/>
        <v>15906.025</v>
      </c>
      <c r="AA1157" s="42">
        <f>VLOOKUP(A1157,kurspris!$A$1:$Q$798,17,FALSE)</f>
        <v>5800</v>
      </c>
      <c r="AB1157" s="42">
        <f t="shared" si="611"/>
        <v>2900</v>
      </c>
      <c r="AC1157" s="42">
        <f t="shared" si="612"/>
        <v>18806.025000000001</v>
      </c>
      <c r="AD1157" s="31">
        <f>VLOOKUP($A1157,kurspris!$A$1:$Q$835,3,FALSE)</f>
        <v>0</v>
      </c>
      <c r="AE1157" s="31">
        <f>VLOOKUP($A1157,kurspris!$A$1:$Q$835,4,FALSE)</f>
        <v>1</v>
      </c>
      <c r="AF1157" s="31">
        <f>VLOOKUP($A1157,kurspris!$A$1:$Q$835,5,FALSE)</f>
        <v>0</v>
      </c>
      <c r="AG1157" s="31">
        <f>VLOOKUP($A1157,kurspris!$A$1:$Q$835,6,FALSE)</f>
        <v>0</v>
      </c>
      <c r="AH1157" s="31">
        <f>VLOOKUP($A1157,kurspris!$A$1:$Q$835,7,FALSE)</f>
        <v>0</v>
      </c>
      <c r="AI1157" s="31">
        <f>VLOOKUP($A1157,kurspris!$A$1:$Q$835,8,FALSE)</f>
        <v>0</v>
      </c>
      <c r="AJ1157" s="31">
        <f>VLOOKUP($A1157,kurspris!$A$1:$Q$835,9,FALSE)</f>
        <v>0</v>
      </c>
      <c r="AK1157" s="31">
        <f>VLOOKUP($A1157,kurspris!$A$1:$Q$835,10,FALSE)</f>
        <v>0</v>
      </c>
      <c r="AL1157" s="31">
        <f>VLOOKUP($A1157,kurspris!$A$1:$Q$835,11,FALSE)</f>
        <v>0</v>
      </c>
      <c r="AM1157" s="31">
        <f>VLOOKUP($A1157,kurspris!$A$1:$Q$835,12,FALSE)</f>
        <v>0</v>
      </c>
      <c r="AN1157" s="31">
        <f>VLOOKUP($A1157,kurspris!$A$1:$Q$835,13,FALSE)</f>
        <v>0</v>
      </c>
      <c r="AO1157" s="31">
        <f>VLOOKUP($A1157,kurspris!$A$1:$Q$835,14,FALSE)</f>
        <v>0</v>
      </c>
      <c r="AP1157" s="39" t="s">
        <v>2326</v>
      </c>
      <c r="AQ1157"/>
      <c r="AR1157" s="31">
        <f t="shared" si="613"/>
        <v>0</v>
      </c>
      <c r="AS1157" s="255">
        <f t="shared" si="614"/>
        <v>0</v>
      </c>
      <c r="AT1157" s="31">
        <f t="shared" si="615"/>
        <v>0.5</v>
      </c>
      <c r="AU1157" s="255">
        <f t="shared" si="616"/>
        <v>0.42499999999999999</v>
      </c>
      <c r="AV1157" s="31">
        <f t="shared" si="617"/>
        <v>0</v>
      </c>
      <c r="AW1157" s="31">
        <f t="shared" si="618"/>
        <v>0</v>
      </c>
      <c r="AX1157" s="31">
        <f t="shared" si="619"/>
        <v>0</v>
      </c>
      <c r="AY1157" s="255">
        <f t="shared" si="620"/>
        <v>0</v>
      </c>
      <c r="AZ1157" s="232">
        <f t="shared" si="621"/>
        <v>0</v>
      </c>
      <c r="BA1157" s="255">
        <f t="shared" si="622"/>
        <v>0</v>
      </c>
      <c r="BB1157" s="31">
        <f t="shared" si="623"/>
        <v>0</v>
      </c>
      <c r="BC1157" s="255">
        <f t="shared" si="624"/>
        <v>0</v>
      </c>
      <c r="BD1157" s="31">
        <f t="shared" si="625"/>
        <v>0</v>
      </c>
      <c r="BE1157" s="255">
        <f t="shared" si="626"/>
        <v>0</v>
      </c>
      <c r="BF1157" s="31">
        <f t="shared" si="627"/>
        <v>0</v>
      </c>
      <c r="BG1157" s="255">
        <f t="shared" si="628"/>
        <v>0</v>
      </c>
      <c r="BH1157" s="31">
        <f t="shared" si="629"/>
        <v>0</v>
      </c>
      <c r="BI1157" s="255">
        <f t="shared" si="630"/>
        <v>0</v>
      </c>
      <c r="BJ1157" s="31">
        <f t="shared" si="631"/>
        <v>0</v>
      </c>
      <c r="BK1157" s="31">
        <f t="shared" si="632"/>
        <v>0</v>
      </c>
      <c r="BL1157" s="255">
        <f t="shared" si="633"/>
        <v>0</v>
      </c>
      <c r="BM1157" s="31">
        <f t="shared" si="634"/>
        <v>0</v>
      </c>
      <c r="BN1157" s="255">
        <f t="shared" si="635"/>
        <v>0</v>
      </c>
    </row>
    <row r="1158" spans="1:66" x14ac:dyDescent="0.25">
      <c r="A1158" s="18" t="s">
        <v>521</v>
      </c>
      <c r="B1158" s="186" t="str">
        <f>VLOOKUP(A1158,kurspris!$A$1:$B$877,2,FALSE)</f>
        <v>Svenska II för ämneslärare</v>
      </c>
      <c r="C1158" s="37"/>
      <c r="D1158" s="31" t="s">
        <v>483</v>
      </c>
      <c r="E1158" s="31" t="s">
        <v>1788</v>
      </c>
      <c r="F1158" s="59" t="s">
        <v>1931</v>
      </c>
      <c r="G1158" s="31" t="s">
        <v>2276</v>
      </c>
      <c r="J1158" t="s">
        <v>771</v>
      </c>
      <c r="L1158" s="31">
        <v>100</v>
      </c>
      <c r="M1158" s="31">
        <v>30</v>
      </c>
      <c r="P1158" s="31">
        <v>1</v>
      </c>
      <c r="Q1158" s="232">
        <f t="shared" si="608"/>
        <v>0.5</v>
      </c>
      <c r="R1158" s="40">
        <v>0.85</v>
      </c>
      <c r="S1158" s="334">
        <f t="shared" si="609"/>
        <v>0.42499999999999999</v>
      </c>
      <c r="T1158" s="31">
        <f>VLOOKUP(A1158,'Ansvar kurs'!$A$1:$C$1010,2,FALSE)</f>
        <v>1620</v>
      </c>
      <c r="U1158" s="31" t="str">
        <f>VLOOKUP(T1158,Orgenheter!$A$1:$C$165,2,FALSE)</f>
        <v>Inst för språkstudier</v>
      </c>
      <c r="V1158" s="31" t="str">
        <f>VLOOKUP(T1158,Orgenheter!$A$1:$C$165,3,FALSE)</f>
        <v>Hum</v>
      </c>
      <c r="W1158" s="37" t="str">
        <f>VLOOKUP(D1158,Program!$A$1:$B$34,2,FALSE)</f>
        <v>Ämneslärarprogrammet - Gy</v>
      </c>
      <c r="X1158" s="42">
        <f>VLOOKUP(A1158,kurspris!$A$1:$Q$798,15,FALSE)</f>
        <v>18405</v>
      </c>
      <c r="Y1158" s="42">
        <f>VLOOKUP(A1158,kurspris!$A$1:$Q$798,16,FALSE)</f>
        <v>15773</v>
      </c>
      <c r="Z1158" s="42">
        <f t="shared" si="610"/>
        <v>15906.025</v>
      </c>
      <c r="AA1158" s="42">
        <f>VLOOKUP(A1158,kurspris!$A$1:$Q$798,17,FALSE)</f>
        <v>5800</v>
      </c>
      <c r="AB1158" s="42">
        <f t="shared" si="611"/>
        <v>2900</v>
      </c>
      <c r="AC1158" s="42">
        <f t="shared" si="612"/>
        <v>18806.025000000001</v>
      </c>
      <c r="AD1158" s="31">
        <f>VLOOKUP($A1158,kurspris!$A$1:$Q$835,3,FALSE)</f>
        <v>0</v>
      </c>
      <c r="AE1158" s="31">
        <f>VLOOKUP($A1158,kurspris!$A$1:$Q$835,4,FALSE)</f>
        <v>1</v>
      </c>
      <c r="AF1158" s="31">
        <f>VLOOKUP($A1158,kurspris!$A$1:$Q$835,5,FALSE)</f>
        <v>0</v>
      </c>
      <c r="AG1158" s="31">
        <f>VLOOKUP($A1158,kurspris!$A$1:$Q$835,6,FALSE)</f>
        <v>0</v>
      </c>
      <c r="AH1158" s="31">
        <f>VLOOKUP($A1158,kurspris!$A$1:$Q$835,7,FALSE)</f>
        <v>0</v>
      </c>
      <c r="AI1158" s="31">
        <f>VLOOKUP($A1158,kurspris!$A$1:$Q$835,8,FALSE)</f>
        <v>0</v>
      </c>
      <c r="AJ1158" s="31">
        <f>VLOOKUP($A1158,kurspris!$A$1:$Q$835,9,FALSE)</f>
        <v>0</v>
      </c>
      <c r="AK1158" s="31">
        <f>VLOOKUP($A1158,kurspris!$A$1:$Q$835,10,FALSE)</f>
        <v>0</v>
      </c>
      <c r="AL1158" s="31">
        <f>VLOOKUP($A1158,kurspris!$A$1:$Q$835,11,FALSE)</f>
        <v>0</v>
      </c>
      <c r="AM1158" s="31">
        <f>VLOOKUP($A1158,kurspris!$A$1:$Q$835,12,FALSE)</f>
        <v>0</v>
      </c>
      <c r="AN1158" s="31">
        <f>VLOOKUP($A1158,kurspris!$A$1:$Q$835,13,FALSE)</f>
        <v>0</v>
      </c>
      <c r="AO1158" s="31">
        <f>VLOOKUP($A1158,kurspris!$A$1:$Q$835,14,FALSE)</f>
        <v>0</v>
      </c>
      <c r="AP1158" s="39" t="s">
        <v>2326</v>
      </c>
      <c r="AQ1158"/>
      <c r="AR1158" s="31">
        <f t="shared" si="613"/>
        <v>0</v>
      </c>
      <c r="AS1158" s="255">
        <f t="shared" si="614"/>
        <v>0</v>
      </c>
      <c r="AT1158" s="31">
        <f t="shared" si="615"/>
        <v>0.5</v>
      </c>
      <c r="AU1158" s="255">
        <f t="shared" si="616"/>
        <v>0.42499999999999999</v>
      </c>
      <c r="AV1158" s="31">
        <f t="shared" si="617"/>
        <v>0</v>
      </c>
      <c r="AW1158" s="31">
        <f t="shared" si="618"/>
        <v>0</v>
      </c>
      <c r="AX1158" s="31">
        <f t="shared" si="619"/>
        <v>0</v>
      </c>
      <c r="AY1158" s="255">
        <f t="shared" si="620"/>
        <v>0</v>
      </c>
      <c r="AZ1158" s="232">
        <f t="shared" si="621"/>
        <v>0</v>
      </c>
      <c r="BA1158" s="255">
        <f t="shared" si="622"/>
        <v>0</v>
      </c>
      <c r="BB1158" s="31">
        <f t="shared" si="623"/>
        <v>0</v>
      </c>
      <c r="BC1158" s="255">
        <f t="shared" si="624"/>
        <v>0</v>
      </c>
      <c r="BD1158" s="31">
        <f t="shared" si="625"/>
        <v>0</v>
      </c>
      <c r="BE1158" s="255">
        <f t="shared" si="626"/>
        <v>0</v>
      </c>
      <c r="BF1158" s="31">
        <f t="shared" si="627"/>
        <v>0</v>
      </c>
      <c r="BG1158" s="255">
        <f t="shared" si="628"/>
        <v>0</v>
      </c>
      <c r="BH1158" s="31">
        <f t="shared" si="629"/>
        <v>0</v>
      </c>
      <c r="BI1158" s="255">
        <f t="shared" si="630"/>
        <v>0</v>
      </c>
      <c r="BJ1158" s="31">
        <f t="shared" si="631"/>
        <v>0</v>
      </c>
      <c r="BK1158" s="31">
        <f t="shared" si="632"/>
        <v>0</v>
      </c>
      <c r="BL1158" s="255">
        <f t="shared" si="633"/>
        <v>0</v>
      </c>
      <c r="BM1158" s="31">
        <f t="shared" si="634"/>
        <v>0</v>
      </c>
      <c r="BN1158" s="255">
        <f t="shared" si="635"/>
        <v>0</v>
      </c>
    </row>
    <row r="1159" spans="1:66" x14ac:dyDescent="0.25">
      <c r="A1159" s="18" t="s">
        <v>521</v>
      </c>
      <c r="B1159" s="186" t="str">
        <f>VLOOKUP(A1159,kurspris!$A$1:$B$877,2,FALSE)</f>
        <v>Svenska II för ämneslärare</v>
      </c>
      <c r="C1159" s="37"/>
      <c r="D1159" s="31" t="s">
        <v>483</v>
      </c>
      <c r="E1159" s="31" t="s">
        <v>1788</v>
      </c>
      <c r="F1159" s="59" t="s">
        <v>1931</v>
      </c>
      <c r="G1159" s="31" t="s">
        <v>2276</v>
      </c>
      <c r="J1159" t="s">
        <v>778</v>
      </c>
      <c r="L1159" s="31">
        <v>100</v>
      </c>
      <c r="M1159" s="31">
        <v>30</v>
      </c>
      <c r="P1159" s="31">
        <v>16</v>
      </c>
      <c r="Q1159" s="232">
        <f t="shared" si="608"/>
        <v>8</v>
      </c>
      <c r="R1159" s="40">
        <v>0.85</v>
      </c>
      <c r="S1159" s="334">
        <f t="shared" si="609"/>
        <v>6.8</v>
      </c>
      <c r="T1159" s="31">
        <f>VLOOKUP(A1159,'Ansvar kurs'!$A$1:$C$1010,2,FALSE)</f>
        <v>1620</v>
      </c>
      <c r="U1159" s="31" t="str">
        <f>VLOOKUP(T1159,Orgenheter!$A$1:$C$165,2,FALSE)</f>
        <v>Inst för språkstudier</v>
      </c>
      <c r="V1159" s="31" t="str">
        <f>VLOOKUP(T1159,Orgenheter!$A$1:$C$165,3,FALSE)</f>
        <v>Hum</v>
      </c>
      <c r="W1159" s="37" t="str">
        <f>VLOOKUP(D1159,Program!$A$1:$B$34,2,FALSE)</f>
        <v>Ämneslärarprogrammet - Gy</v>
      </c>
      <c r="X1159" s="42">
        <f>VLOOKUP(A1159,kurspris!$A$1:$Q$798,15,FALSE)</f>
        <v>18405</v>
      </c>
      <c r="Y1159" s="42">
        <f>VLOOKUP(A1159,kurspris!$A$1:$Q$798,16,FALSE)</f>
        <v>15773</v>
      </c>
      <c r="Z1159" s="42">
        <f t="shared" si="610"/>
        <v>254496.4</v>
      </c>
      <c r="AA1159" s="42">
        <f>VLOOKUP(A1159,kurspris!$A$1:$Q$798,17,FALSE)</f>
        <v>5800</v>
      </c>
      <c r="AB1159" s="42">
        <f t="shared" si="611"/>
        <v>46400</v>
      </c>
      <c r="AC1159" s="42">
        <f t="shared" si="612"/>
        <v>300896.40000000002</v>
      </c>
      <c r="AD1159" s="31">
        <f>VLOOKUP($A1159,kurspris!$A$1:$Q$835,3,FALSE)</f>
        <v>0</v>
      </c>
      <c r="AE1159" s="31">
        <f>VLOOKUP($A1159,kurspris!$A$1:$Q$835,4,FALSE)</f>
        <v>1</v>
      </c>
      <c r="AF1159" s="31">
        <f>VLOOKUP($A1159,kurspris!$A$1:$Q$835,5,FALSE)</f>
        <v>0</v>
      </c>
      <c r="AG1159" s="31">
        <f>VLOOKUP($A1159,kurspris!$A$1:$Q$835,6,FALSE)</f>
        <v>0</v>
      </c>
      <c r="AH1159" s="31">
        <f>VLOOKUP($A1159,kurspris!$A$1:$Q$835,7,FALSE)</f>
        <v>0</v>
      </c>
      <c r="AI1159" s="31">
        <f>VLOOKUP($A1159,kurspris!$A$1:$Q$835,8,FALSE)</f>
        <v>0</v>
      </c>
      <c r="AJ1159" s="31">
        <f>VLOOKUP($A1159,kurspris!$A$1:$Q$835,9,FALSE)</f>
        <v>0</v>
      </c>
      <c r="AK1159" s="31">
        <f>VLOOKUP($A1159,kurspris!$A$1:$Q$835,10,FALSE)</f>
        <v>0</v>
      </c>
      <c r="AL1159" s="31">
        <f>VLOOKUP($A1159,kurspris!$A$1:$Q$835,11,FALSE)</f>
        <v>0</v>
      </c>
      <c r="AM1159" s="31">
        <f>VLOOKUP($A1159,kurspris!$A$1:$Q$835,12,FALSE)</f>
        <v>0</v>
      </c>
      <c r="AN1159" s="31">
        <f>VLOOKUP($A1159,kurspris!$A$1:$Q$835,13,FALSE)</f>
        <v>0</v>
      </c>
      <c r="AO1159" s="31">
        <f>VLOOKUP($A1159,kurspris!$A$1:$Q$835,14,FALSE)</f>
        <v>0</v>
      </c>
      <c r="AP1159" s="39" t="s">
        <v>2326</v>
      </c>
      <c r="AQ1159"/>
      <c r="AR1159" s="31">
        <f t="shared" si="613"/>
        <v>0</v>
      </c>
      <c r="AS1159" s="255">
        <f t="shared" si="614"/>
        <v>0</v>
      </c>
      <c r="AT1159" s="31">
        <f t="shared" si="615"/>
        <v>8</v>
      </c>
      <c r="AU1159" s="255">
        <f t="shared" si="616"/>
        <v>6.8</v>
      </c>
      <c r="AV1159" s="31">
        <f t="shared" si="617"/>
        <v>0</v>
      </c>
      <c r="AW1159" s="31">
        <f t="shared" si="618"/>
        <v>0</v>
      </c>
      <c r="AX1159" s="31">
        <f t="shared" si="619"/>
        <v>0</v>
      </c>
      <c r="AY1159" s="255">
        <f t="shared" si="620"/>
        <v>0</v>
      </c>
      <c r="AZ1159" s="232">
        <f t="shared" si="621"/>
        <v>0</v>
      </c>
      <c r="BA1159" s="255">
        <f t="shared" si="622"/>
        <v>0</v>
      </c>
      <c r="BB1159" s="31">
        <f t="shared" si="623"/>
        <v>0</v>
      </c>
      <c r="BC1159" s="255">
        <f t="shared" si="624"/>
        <v>0</v>
      </c>
      <c r="BD1159" s="31">
        <f t="shared" si="625"/>
        <v>0</v>
      </c>
      <c r="BE1159" s="255">
        <f t="shared" si="626"/>
        <v>0</v>
      </c>
      <c r="BF1159" s="31">
        <f t="shared" si="627"/>
        <v>0</v>
      </c>
      <c r="BG1159" s="255">
        <f t="shared" si="628"/>
        <v>0</v>
      </c>
      <c r="BH1159" s="31">
        <f t="shared" si="629"/>
        <v>0</v>
      </c>
      <c r="BI1159" s="255">
        <f t="shared" si="630"/>
        <v>0</v>
      </c>
      <c r="BJ1159" s="31">
        <f t="shared" si="631"/>
        <v>0</v>
      </c>
      <c r="BK1159" s="31">
        <f t="shared" si="632"/>
        <v>0</v>
      </c>
      <c r="BL1159" s="255">
        <f t="shared" si="633"/>
        <v>0</v>
      </c>
      <c r="BM1159" s="31">
        <f t="shared" si="634"/>
        <v>0</v>
      </c>
      <c r="BN1159" s="255">
        <f t="shared" si="635"/>
        <v>0</v>
      </c>
    </row>
    <row r="1160" spans="1:66" x14ac:dyDescent="0.25">
      <c r="A1160" t="s">
        <v>606</v>
      </c>
      <c r="B1160" s="186" t="str">
        <f>VLOOKUP(A1160,kurspris!$A$1:$B$877,2,FALSE)</f>
        <v>Svenska III för ämneslärare</v>
      </c>
      <c r="C1160"/>
      <c r="D1160" t="s">
        <v>483</v>
      </c>
      <c r="E1160" t="s">
        <v>1976</v>
      </c>
      <c r="F1160" s="59" t="s">
        <v>1930</v>
      </c>
      <c r="G1160" t="s">
        <v>1995</v>
      </c>
      <c r="H1160" t="s">
        <v>1910</v>
      </c>
      <c r="I1160"/>
      <c r="J1160" t="s">
        <v>771</v>
      </c>
      <c r="K1160"/>
      <c r="L1160">
        <v>100</v>
      </c>
      <c r="M1160">
        <v>30</v>
      </c>
      <c r="N1160"/>
      <c r="O1160"/>
      <c r="P1160" s="31">
        <v>2</v>
      </c>
      <c r="Q1160" s="232">
        <f t="shared" si="608"/>
        <v>1</v>
      </c>
      <c r="R1160" s="40">
        <v>0.85</v>
      </c>
      <c r="S1160" s="334">
        <f t="shared" si="609"/>
        <v>0.85</v>
      </c>
      <c r="T1160" s="31">
        <f>VLOOKUP(A1160,'Ansvar kurs'!$A$1:$C$1010,2,FALSE)</f>
        <v>1620</v>
      </c>
      <c r="U1160" s="31" t="str">
        <f>VLOOKUP(T1160,Orgenheter!$A$1:$C$165,2,FALSE)</f>
        <v>Inst för språkstudier</v>
      </c>
      <c r="V1160" s="31" t="str">
        <f>VLOOKUP(T1160,Orgenheter!$A$1:$C$165,3,FALSE)</f>
        <v>Hum</v>
      </c>
      <c r="W1160" s="37" t="str">
        <f>VLOOKUP(D1160,Program!$A$1:$B$34,2,FALSE)</f>
        <v>Ämneslärarprogrammet - Gy</v>
      </c>
      <c r="X1160" s="42">
        <f>VLOOKUP(A1160,kurspris!$A$1:$Q$798,15,FALSE)</f>
        <v>18405</v>
      </c>
      <c r="Y1160" s="42">
        <f>VLOOKUP(A1160,kurspris!$A$1:$Q$798,16,FALSE)</f>
        <v>15773</v>
      </c>
      <c r="Z1160" s="42">
        <f t="shared" si="610"/>
        <v>31812.05</v>
      </c>
      <c r="AA1160" s="42">
        <f>VLOOKUP(A1160,kurspris!$A$1:$Q$798,17,FALSE)</f>
        <v>5800</v>
      </c>
      <c r="AB1160" s="42">
        <f t="shared" si="611"/>
        <v>5800</v>
      </c>
      <c r="AC1160" s="42">
        <f t="shared" si="612"/>
        <v>37612.050000000003</v>
      </c>
      <c r="AD1160" s="31">
        <f>VLOOKUP($A1160,kurspris!$A$1:$Q$835,3,FALSE)</f>
        <v>0</v>
      </c>
      <c r="AE1160" s="31">
        <f>VLOOKUP($A1160,kurspris!$A$1:$Q$835,4,FALSE)</f>
        <v>1</v>
      </c>
      <c r="AF1160" s="31">
        <f>VLOOKUP($A1160,kurspris!$A$1:$Q$835,5,FALSE)</f>
        <v>0</v>
      </c>
      <c r="AG1160" s="31">
        <f>VLOOKUP($A1160,kurspris!$A$1:$Q$835,6,FALSE)</f>
        <v>0</v>
      </c>
      <c r="AH1160" s="31">
        <f>VLOOKUP($A1160,kurspris!$A$1:$Q$835,7,FALSE)</f>
        <v>0</v>
      </c>
      <c r="AI1160" s="31">
        <f>VLOOKUP($A1160,kurspris!$A$1:$Q$835,8,FALSE)</f>
        <v>0</v>
      </c>
      <c r="AJ1160" s="31">
        <f>VLOOKUP($A1160,kurspris!$A$1:$Q$835,9,FALSE)</f>
        <v>0</v>
      </c>
      <c r="AK1160" s="31">
        <f>VLOOKUP($A1160,kurspris!$A$1:$Q$835,10,FALSE)</f>
        <v>0</v>
      </c>
      <c r="AL1160" s="31">
        <f>VLOOKUP($A1160,kurspris!$A$1:$Q$835,11,FALSE)</f>
        <v>0</v>
      </c>
      <c r="AM1160" s="31">
        <f>VLOOKUP($A1160,kurspris!$A$1:$Q$835,12,FALSE)</f>
        <v>0</v>
      </c>
      <c r="AN1160" s="31">
        <f>VLOOKUP($A1160,kurspris!$A$1:$Q$835,13,FALSE)</f>
        <v>0</v>
      </c>
      <c r="AO1160" s="31">
        <f>VLOOKUP($A1160,kurspris!$A$1:$Q$835,14,FALSE)</f>
        <v>0</v>
      </c>
      <c r="AP1160" s="39" t="s">
        <v>2204</v>
      </c>
      <c r="AQ1160"/>
      <c r="AR1160" s="31">
        <f t="shared" si="613"/>
        <v>0</v>
      </c>
      <c r="AS1160" s="255">
        <f t="shared" si="614"/>
        <v>0</v>
      </c>
      <c r="AT1160" s="31">
        <f t="shared" si="615"/>
        <v>1</v>
      </c>
      <c r="AU1160" s="255">
        <f t="shared" si="616"/>
        <v>0.85</v>
      </c>
      <c r="AV1160" s="31">
        <f t="shared" si="617"/>
        <v>0</v>
      </c>
      <c r="AW1160" s="31">
        <f t="shared" si="618"/>
        <v>0</v>
      </c>
      <c r="AX1160" s="31">
        <f t="shared" si="619"/>
        <v>0</v>
      </c>
      <c r="AY1160" s="255">
        <f t="shared" si="620"/>
        <v>0</v>
      </c>
      <c r="AZ1160" s="232">
        <f t="shared" si="621"/>
        <v>0</v>
      </c>
      <c r="BA1160" s="255">
        <f t="shared" si="622"/>
        <v>0</v>
      </c>
      <c r="BB1160" s="31">
        <f t="shared" si="623"/>
        <v>0</v>
      </c>
      <c r="BC1160" s="255">
        <f t="shared" si="624"/>
        <v>0</v>
      </c>
      <c r="BD1160" s="31">
        <f t="shared" si="625"/>
        <v>0</v>
      </c>
      <c r="BE1160" s="255">
        <f t="shared" si="626"/>
        <v>0</v>
      </c>
      <c r="BF1160" s="31">
        <f t="shared" si="627"/>
        <v>0</v>
      </c>
      <c r="BG1160" s="255">
        <f t="shared" si="628"/>
        <v>0</v>
      </c>
      <c r="BH1160" s="31">
        <f t="shared" si="629"/>
        <v>0</v>
      </c>
      <c r="BI1160" s="255">
        <f t="shared" si="630"/>
        <v>0</v>
      </c>
      <c r="BJ1160" s="31">
        <f t="shared" si="631"/>
        <v>0</v>
      </c>
      <c r="BK1160" s="31">
        <f t="shared" si="632"/>
        <v>0</v>
      </c>
      <c r="BL1160" s="255">
        <f t="shared" si="633"/>
        <v>0</v>
      </c>
      <c r="BM1160" s="31">
        <f t="shared" si="634"/>
        <v>0</v>
      </c>
      <c r="BN1160" s="255">
        <f t="shared" si="635"/>
        <v>0</v>
      </c>
    </row>
    <row r="1161" spans="1:66" x14ac:dyDescent="0.25">
      <c r="A1161" t="s">
        <v>606</v>
      </c>
      <c r="B1161" s="186" t="str">
        <f>VLOOKUP(A1161,kurspris!$A$1:$B$877,2,FALSE)</f>
        <v>Svenska III för ämneslärare</v>
      </c>
      <c r="C1161"/>
      <c r="D1161" t="s">
        <v>483</v>
      </c>
      <c r="E1161" t="s">
        <v>1976</v>
      </c>
      <c r="F1161" s="59" t="s">
        <v>1930</v>
      </c>
      <c r="G1161" t="s">
        <v>1995</v>
      </c>
      <c r="H1161" t="s">
        <v>1910</v>
      </c>
      <c r="I1161"/>
      <c r="J1161" t="s">
        <v>773</v>
      </c>
      <c r="K1161"/>
      <c r="L1161">
        <v>100</v>
      </c>
      <c r="M1161">
        <v>30</v>
      </c>
      <c r="N1161"/>
      <c r="O1161"/>
      <c r="P1161" s="31">
        <v>1</v>
      </c>
      <c r="Q1161" s="232">
        <f t="shared" si="608"/>
        <v>0.5</v>
      </c>
      <c r="R1161" s="40">
        <v>0.85</v>
      </c>
      <c r="S1161" s="334">
        <f t="shared" si="609"/>
        <v>0.42499999999999999</v>
      </c>
      <c r="T1161" s="31">
        <f>VLOOKUP(A1161,'Ansvar kurs'!$A$1:$C$1010,2,FALSE)</f>
        <v>1620</v>
      </c>
      <c r="U1161" s="31" t="str">
        <f>VLOOKUP(T1161,Orgenheter!$A$1:$C$165,2,FALSE)</f>
        <v>Inst för språkstudier</v>
      </c>
      <c r="V1161" s="31" t="str">
        <f>VLOOKUP(T1161,Orgenheter!$A$1:$C$165,3,FALSE)</f>
        <v>Hum</v>
      </c>
      <c r="W1161" s="37" t="str">
        <f>VLOOKUP(D1161,Program!$A$1:$B$34,2,FALSE)</f>
        <v>Ämneslärarprogrammet - Gy</v>
      </c>
      <c r="X1161" s="42">
        <f>VLOOKUP(A1161,kurspris!$A$1:$Q$798,15,FALSE)</f>
        <v>18405</v>
      </c>
      <c r="Y1161" s="42">
        <f>VLOOKUP(A1161,kurspris!$A$1:$Q$798,16,FALSE)</f>
        <v>15773</v>
      </c>
      <c r="Z1161" s="42">
        <f t="shared" si="610"/>
        <v>15906.025</v>
      </c>
      <c r="AA1161" s="42">
        <f>VLOOKUP(A1161,kurspris!$A$1:$Q$798,17,FALSE)</f>
        <v>5800</v>
      </c>
      <c r="AB1161" s="42">
        <f t="shared" si="611"/>
        <v>2900</v>
      </c>
      <c r="AC1161" s="42">
        <f t="shared" si="612"/>
        <v>18806.025000000001</v>
      </c>
      <c r="AD1161" s="31">
        <f>VLOOKUP($A1161,kurspris!$A$1:$Q$835,3,FALSE)</f>
        <v>0</v>
      </c>
      <c r="AE1161" s="31">
        <f>VLOOKUP($A1161,kurspris!$A$1:$Q$835,4,FALSE)</f>
        <v>1</v>
      </c>
      <c r="AF1161" s="31">
        <f>VLOOKUP($A1161,kurspris!$A$1:$Q$835,5,FALSE)</f>
        <v>0</v>
      </c>
      <c r="AG1161" s="31">
        <f>VLOOKUP($A1161,kurspris!$A$1:$Q$835,6,FALSE)</f>
        <v>0</v>
      </c>
      <c r="AH1161" s="31">
        <f>VLOOKUP($A1161,kurspris!$A$1:$Q$835,7,FALSE)</f>
        <v>0</v>
      </c>
      <c r="AI1161" s="31">
        <f>VLOOKUP($A1161,kurspris!$A$1:$Q$835,8,FALSE)</f>
        <v>0</v>
      </c>
      <c r="AJ1161" s="31">
        <f>VLOOKUP($A1161,kurspris!$A$1:$Q$835,9,FALSE)</f>
        <v>0</v>
      </c>
      <c r="AK1161" s="31">
        <f>VLOOKUP($A1161,kurspris!$A$1:$Q$835,10,FALSE)</f>
        <v>0</v>
      </c>
      <c r="AL1161" s="31">
        <f>VLOOKUP($A1161,kurspris!$A$1:$Q$835,11,FALSE)</f>
        <v>0</v>
      </c>
      <c r="AM1161" s="31">
        <f>VLOOKUP($A1161,kurspris!$A$1:$Q$835,12,FALSE)</f>
        <v>0</v>
      </c>
      <c r="AN1161" s="31">
        <f>VLOOKUP($A1161,kurspris!$A$1:$Q$835,13,FALSE)</f>
        <v>0</v>
      </c>
      <c r="AO1161" s="31">
        <f>VLOOKUP($A1161,kurspris!$A$1:$Q$835,14,FALSE)</f>
        <v>0</v>
      </c>
      <c r="AP1161" s="39" t="s">
        <v>2204</v>
      </c>
      <c r="AQ1161"/>
      <c r="AR1161" s="31">
        <f t="shared" si="613"/>
        <v>0</v>
      </c>
      <c r="AS1161" s="255">
        <f t="shared" si="614"/>
        <v>0</v>
      </c>
      <c r="AT1161" s="31">
        <f t="shared" si="615"/>
        <v>0.5</v>
      </c>
      <c r="AU1161" s="255">
        <f t="shared" si="616"/>
        <v>0.42499999999999999</v>
      </c>
      <c r="AV1161" s="31">
        <f t="shared" si="617"/>
        <v>0</v>
      </c>
      <c r="AW1161" s="31">
        <f t="shared" si="618"/>
        <v>0</v>
      </c>
      <c r="AX1161" s="31">
        <f t="shared" si="619"/>
        <v>0</v>
      </c>
      <c r="AY1161" s="255">
        <f t="shared" si="620"/>
        <v>0</v>
      </c>
      <c r="AZ1161" s="232">
        <f t="shared" si="621"/>
        <v>0</v>
      </c>
      <c r="BA1161" s="255">
        <f t="shared" si="622"/>
        <v>0</v>
      </c>
      <c r="BB1161" s="31">
        <f t="shared" si="623"/>
        <v>0</v>
      </c>
      <c r="BC1161" s="255">
        <f t="shared" si="624"/>
        <v>0</v>
      </c>
      <c r="BD1161" s="31">
        <f t="shared" si="625"/>
        <v>0</v>
      </c>
      <c r="BE1161" s="255">
        <f t="shared" si="626"/>
        <v>0</v>
      </c>
      <c r="BF1161" s="31">
        <f t="shared" si="627"/>
        <v>0</v>
      </c>
      <c r="BG1161" s="255">
        <f t="shared" si="628"/>
        <v>0</v>
      </c>
      <c r="BH1161" s="31">
        <f t="shared" si="629"/>
        <v>0</v>
      </c>
      <c r="BI1161" s="255">
        <f t="shared" si="630"/>
        <v>0</v>
      </c>
      <c r="BJ1161" s="31">
        <f t="shared" si="631"/>
        <v>0</v>
      </c>
      <c r="BK1161" s="31">
        <f t="shared" si="632"/>
        <v>0</v>
      </c>
      <c r="BL1161" s="255">
        <f t="shared" si="633"/>
        <v>0</v>
      </c>
      <c r="BM1161" s="31">
        <f t="shared" si="634"/>
        <v>0</v>
      </c>
      <c r="BN1161" s="255">
        <f t="shared" si="635"/>
        <v>0</v>
      </c>
    </row>
    <row r="1162" spans="1:66" x14ac:dyDescent="0.25">
      <c r="A1162" t="s">
        <v>606</v>
      </c>
      <c r="B1162" s="186" t="str">
        <f>VLOOKUP(A1162,kurspris!$A$1:$B$877,2,FALSE)</f>
        <v>Svenska III för ämneslärare</v>
      </c>
      <c r="C1162"/>
      <c r="D1162" t="s">
        <v>483</v>
      </c>
      <c r="E1162" t="s">
        <v>1973</v>
      </c>
      <c r="F1162" s="59" t="s">
        <v>1930</v>
      </c>
      <c r="G1162" t="s">
        <v>1995</v>
      </c>
      <c r="H1162" t="s">
        <v>1910</v>
      </c>
      <c r="I1162"/>
      <c r="J1162" t="s">
        <v>773</v>
      </c>
      <c r="K1162"/>
      <c r="L1162">
        <v>100</v>
      </c>
      <c r="M1162">
        <v>30</v>
      </c>
      <c r="N1162"/>
      <c r="O1162"/>
      <c r="P1162" s="31">
        <v>1</v>
      </c>
      <c r="Q1162" s="232">
        <f t="shared" si="608"/>
        <v>0.5</v>
      </c>
      <c r="R1162" s="40">
        <v>0.85</v>
      </c>
      <c r="S1162" s="334">
        <f t="shared" si="609"/>
        <v>0.42499999999999999</v>
      </c>
      <c r="T1162" s="31">
        <f>VLOOKUP(A1162,'Ansvar kurs'!$A$1:$C$1010,2,FALSE)</f>
        <v>1620</v>
      </c>
      <c r="U1162" s="31" t="str">
        <f>VLOOKUP(T1162,Orgenheter!$A$1:$C$165,2,FALSE)</f>
        <v>Inst för språkstudier</v>
      </c>
      <c r="V1162" s="31" t="str">
        <f>VLOOKUP(T1162,Orgenheter!$A$1:$C$165,3,FALSE)</f>
        <v>Hum</v>
      </c>
      <c r="W1162" s="37" t="str">
        <f>VLOOKUP(D1162,Program!$A$1:$B$34,2,FALSE)</f>
        <v>Ämneslärarprogrammet - Gy</v>
      </c>
      <c r="X1162" s="42">
        <f>VLOOKUP(A1162,kurspris!$A$1:$Q$798,15,FALSE)</f>
        <v>18405</v>
      </c>
      <c r="Y1162" s="42">
        <f>VLOOKUP(A1162,kurspris!$A$1:$Q$798,16,FALSE)</f>
        <v>15773</v>
      </c>
      <c r="Z1162" s="42">
        <f t="shared" si="610"/>
        <v>15906.025</v>
      </c>
      <c r="AA1162" s="42">
        <f>VLOOKUP(A1162,kurspris!$A$1:$Q$798,17,FALSE)</f>
        <v>5800</v>
      </c>
      <c r="AB1162" s="42">
        <f t="shared" si="611"/>
        <v>2900</v>
      </c>
      <c r="AC1162" s="42">
        <f t="shared" si="612"/>
        <v>18806.025000000001</v>
      </c>
      <c r="AD1162" s="31">
        <f>VLOOKUP($A1162,kurspris!$A$1:$Q$835,3,FALSE)</f>
        <v>0</v>
      </c>
      <c r="AE1162" s="31">
        <f>VLOOKUP($A1162,kurspris!$A$1:$Q$835,4,FALSE)</f>
        <v>1</v>
      </c>
      <c r="AF1162" s="31">
        <f>VLOOKUP($A1162,kurspris!$A$1:$Q$835,5,FALSE)</f>
        <v>0</v>
      </c>
      <c r="AG1162" s="31">
        <f>VLOOKUP($A1162,kurspris!$A$1:$Q$835,6,FALSE)</f>
        <v>0</v>
      </c>
      <c r="AH1162" s="31">
        <f>VLOOKUP($A1162,kurspris!$A$1:$Q$835,7,FALSE)</f>
        <v>0</v>
      </c>
      <c r="AI1162" s="31">
        <f>VLOOKUP($A1162,kurspris!$A$1:$Q$835,8,FALSE)</f>
        <v>0</v>
      </c>
      <c r="AJ1162" s="31">
        <f>VLOOKUP($A1162,kurspris!$A$1:$Q$835,9,FALSE)</f>
        <v>0</v>
      </c>
      <c r="AK1162" s="31">
        <f>VLOOKUP($A1162,kurspris!$A$1:$Q$835,10,FALSE)</f>
        <v>0</v>
      </c>
      <c r="AL1162" s="31">
        <f>VLOOKUP($A1162,kurspris!$A$1:$Q$835,11,FALSE)</f>
        <v>0</v>
      </c>
      <c r="AM1162" s="31">
        <f>VLOOKUP($A1162,kurspris!$A$1:$Q$835,12,FALSE)</f>
        <v>0</v>
      </c>
      <c r="AN1162" s="31">
        <f>VLOOKUP($A1162,kurspris!$A$1:$Q$835,13,FALSE)</f>
        <v>0</v>
      </c>
      <c r="AO1162" s="31">
        <f>VLOOKUP($A1162,kurspris!$A$1:$Q$835,14,FALSE)</f>
        <v>0</v>
      </c>
      <c r="AP1162" s="39" t="s">
        <v>2204</v>
      </c>
      <c r="AQ1162"/>
      <c r="AR1162" s="31">
        <f t="shared" si="613"/>
        <v>0</v>
      </c>
      <c r="AS1162" s="255">
        <f t="shared" si="614"/>
        <v>0</v>
      </c>
      <c r="AT1162" s="31">
        <f t="shared" si="615"/>
        <v>0.5</v>
      </c>
      <c r="AU1162" s="255">
        <f t="shared" si="616"/>
        <v>0.42499999999999999</v>
      </c>
      <c r="AV1162" s="31">
        <f t="shared" si="617"/>
        <v>0</v>
      </c>
      <c r="AW1162" s="31">
        <f t="shared" si="618"/>
        <v>0</v>
      </c>
      <c r="AX1162" s="31">
        <f t="shared" si="619"/>
        <v>0</v>
      </c>
      <c r="AY1162" s="255">
        <f t="shared" si="620"/>
        <v>0</v>
      </c>
      <c r="AZ1162" s="232">
        <f t="shared" si="621"/>
        <v>0</v>
      </c>
      <c r="BA1162" s="255">
        <f t="shared" si="622"/>
        <v>0</v>
      </c>
      <c r="BB1162" s="31">
        <f t="shared" si="623"/>
        <v>0</v>
      </c>
      <c r="BC1162" s="255">
        <f t="shared" si="624"/>
        <v>0</v>
      </c>
      <c r="BD1162" s="31">
        <f t="shared" si="625"/>
        <v>0</v>
      </c>
      <c r="BE1162" s="255">
        <f t="shared" si="626"/>
        <v>0</v>
      </c>
      <c r="BF1162" s="31">
        <f t="shared" si="627"/>
        <v>0</v>
      </c>
      <c r="BG1162" s="255">
        <f t="shared" si="628"/>
        <v>0</v>
      </c>
      <c r="BH1162" s="31">
        <f t="shared" si="629"/>
        <v>0</v>
      </c>
      <c r="BI1162" s="255">
        <f t="shared" si="630"/>
        <v>0</v>
      </c>
      <c r="BJ1162" s="31">
        <f t="shared" si="631"/>
        <v>0</v>
      </c>
      <c r="BK1162" s="31">
        <f t="shared" si="632"/>
        <v>0</v>
      </c>
      <c r="BL1162" s="255">
        <f t="shared" si="633"/>
        <v>0</v>
      </c>
      <c r="BM1162" s="31">
        <f t="shared" si="634"/>
        <v>0</v>
      </c>
      <c r="BN1162" s="255">
        <f t="shared" si="635"/>
        <v>0</v>
      </c>
    </row>
    <row r="1163" spans="1:66" x14ac:dyDescent="0.25">
      <c r="A1163" t="s">
        <v>606</v>
      </c>
      <c r="B1163" s="186" t="str">
        <f>VLOOKUP(A1163,kurspris!$A$1:$B$877,2,FALSE)</f>
        <v>Svenska III för ämneslärare</v>
      </c>
      <c r="C1163"/>
      <c r="D1163" t="s">
        <v>483</v>
      </c>
      <c r="E1163" t="s">
        <v>1609</v>
      </c>
      <c r="F1163" s="59" t="s">
        <v>1930</v>
      </c>
      <c r="G1163" t="s">
        <v>1995</v>
      </c>
      <c r="H1163" t="s">
        <v>1910</v>
      </c>
      <c r="I1163"/>
      <c r="J1163" t="s">
        <v>778</v>
      </c>
      <c r="K1163"/>
      <c r="L1163">
        <v>100</v>
      </c>
      <c r="M1163">
        <v>30</v>
      </c>
      <c r="N1163"/>
      <c r="O1163"/>
      <c r="P1163" s="31">
        <v>10</v>
      </c>
      <c r="Q1163" s="232">
        <f t="shared" si="608"/>
        <v>5</v>
      </c>
      <c r="R1163" s="40">
        <v>0.85</v>
      </c>
      <c r="S1163" s="334">
        <f t="shared" si="609"/>
        <v>4.25</v>
      </c>
      <c r="T1163" s="31">
        <f>VLOOKUP(A1163,'Ansvar kurs'!$A$1:$C$1010,2,FALSE)</f>
        <v>1620</v>
      </c>
      <c r="U1163" s="31" t="str">
        <f>VLOOKUP(T1163,Orgenheter!$A$1:$C$165,2,FALSE)</f>
        <v>Inst för språkstudier</v>
      </c>
      <c r="V1163" s="31" t="str">
        <f>VLOOKUP(T1163,Orgenheter!$A$1:$C$165,3,FALSE)</f>
        <v>Hum</v>
      </c>
      <c r="W1163" s="37" t="str">
        <f>VLOOKUP(D1163,Program!$A$1:$B$34,2,FALSE)</f>
        <v>Ämneslärarprogrammet - Gy</v>
      </c>
      <c r="X1163" s="42">
        <f>VLOOKUP(A1163,kurspris!$A$1:$Q$798,15,FALSE)</f>
        <v>18405</v>
      </c>
      <c r="Y1163" s="42">
        <f>VLOOKUP(A1163,kurspris!$A$1:$Q$798,16,FALSE)</f>
        <v>15773</v>
      </c>
      <c r="Z1163" s="42">
        <f t="shared" si="610"/>
        <v>159060.25</v>
      </c>
      <c r="AA1163" s="42">
        <f>VLOOKUP(A1163,kurspris!$A$1:$Q$798,17,FALSE)</f>
        <v>5800</v>
      </c>
      <c r="AB1163" s="42">
        <f t="shared" si="611"/>
        <v>29000</v>
      </c>
      <c r="AC1163" s="42">
        <f t="shared" si="612"/>
        <v>188060.25</v>
      </c>
      <c r="AD1163" s="31">
        <f>VLOOKUP($A1163,kurspris!$A$1:$Q$835,3,FALSE)</f>
        <v>0</v>
      </c>
      <c r="AE1163" s="31">
        <f>VLOOKUP($A1163,kurspris!$A$1:$Q$835,4,FALSE)</f>
        <v>1</v>
      </c>
      <c r="AF1163" s="31">
        <f>VLOOKUP($A1163,kurspris!$A$1:$Q$835,5,FALSE)</f>
        <v>0</v>
      </c>
      <c r="AG1163" s="31">
        <f>VLOOKUP($A1163,kurspris!$A$1:$Q$835,6,FALSE)</f>
        <v>0</v>
      </c>
      <c r="AH1163" s="31">
        <f>VLOOKUP($A1163,kurspris!$A$1:$Q$835,7,FALSE)</f>
        <v>0</v>
      </c>
      <c r="AI1163" s="31">
        <f>VLOOKUP($A1163,kurspris!$A$1:$Q$835,8,FALSE)</f>
        <v>0</v>
      </c>
      <c r="AJ1163" s="31">
        <f>VLOOKUP($A1163,kurspris!$A$1:$Q$835,9,FALSE)</f>
        <v>0</v>
      </c>
      <c r="AK1163" s="31">
        <f>VLOOKUP($A1163,kurspris!$A$1:$Q$835,10,FALSE)</f>
        <v>0</v>
      </c>
      <c r="AL1163" s="31">
        <f>VLOOKUP($A1163,kurspris!$A$1:$Q$835,11,FALSE)</f>
        <v>0</v>
      </c>
      <c r="AM1163" s="31">
        <f>VLOOKUP($A1163,kurspris!$A$1:$Q$835,12,FALSE)</f>
        <v>0</v>
      </c>
      <c r="AN1163" s="31">
        <f>VLOOKUP($A1163,kurspris!$A$1:$Q$835,13,FALSE)</f>
        <v>0</v>
      </c>
      <c r="AO1163" s="31">
        <f>VLOOKUP($A1163,kurspris!$A$1:$Q$835,14,FALSE)</f>
        <v>0</v>
      </c>
      <c r="AP1163" s="39" t="s">
        <v>2204</v>
      </c>
      <c r="AQ1163"/>
      <c r="AR1163" s="31">
        <f t="shared" si="613"/>
        <v>0</v>
      </c>
      <c r="AS1163" s="255">
        <f t="shared" si="614"/>
        <v>0</v>
      </c>
      <c r="AT1163" s="31">
        <f t="shared" si="615"/>
        <v>5</v>
      </c>
      <c r="AU1163" s="255">
        <f t="shared" si="616"/>
        <v>4.25</v>
      </c>
      <c r="AV1163" s="31">
        <f t="shared" si="617"/>
        <v>0</v>
      </c>
      <c r="AW1163" s="31">
        <f t="shared" si="618"/>
        <v>0</v>
      </c>
      <c r="AX1163" s="31">
        <f t="shared" si="619"/>
        <v>0</v>
      </c>
      <c r="AY1163" s="255">
        <f t="shared" si="620"/>
        <v>0</v>
      </c>
      <c r="AZ1163" s="232">
        <f t="shared" si="621"/>
        <v>0</v>
      </c>
      <c r="BA1163" s="255">
        <f t="shared" si="622"/>
        <v>0</v>
      </c>
      <c r="BB1163" s="31">
        <f t="shared" si="623"/>
        <v>0</v>
      </c>
      <c r="BC1163" s="255">
        <f t="shared" si="624"/>
        <v>0</v>
      </c>
      <c r="BD1163" s="31">
        <f t="shared" si="625"/>
        <v>0</v>
      </c>
      <c r="BE1163" s="255">
        <f t="shared" si="626"/>
        <v>0</v>
      </c>
      <c r="BF1163" s="31">
        <f t="shared" si="627"/>
        <v>0</v>
      </c>
      <c r="BG1163" s="255">
        <f t="shared" si="628"/>
        <v>0</v>
      </c>
      <c r="BH1163" s="31">
        <f t="shared" si="629"/>
        <v>0</v>
      </c>
      <c r="BI1163" s="255">
        <f t="shared" si="630"/>
        <v>0</v>
      </c>
      <c r="BJ1163" s="31">
        <f t="shared" si="631"/>
        <v>0</v>
      </c>
      <c r="BK1163" s="31">
        <f t="shared" si="632"/>
        <v>0</v>
      </c>
      <c r="BL1163" s="255">
        <f t="shared" si="633"/>
        <v>0</v>
      </c>
      <c r="BM1163" s="31">
        <f t="shared" si="634"/>
        <v>0</v>
      </c>
      <c r="BN1163" s="255">
        <f t="shared" si="635"/>
        <v>0</v>
      </c>
    </row>
    <row r="1164" spans="1:66" x14ac:dyDescent="0.25">
      <c r="A1164" s="18" t="s">
        <v>1900</v>
      </c>
      <c r="B1164" s="186" t="str">
        <f>VLOOKUP(A1164,kurspris!$A$1:$B$877,2,FALSE)</f>
        <v>Att undervisa i svenska som andraspråk (VFU)</v>
      </c>
      <c r="C1164" s="37"/>
      <c r="D1164" s="31" t="s">
        <v>483</v>
      </c>
      <c r="E1164" s="31" t="s">
        <v>1975</v>
      </c>
      <c r="F1164" s="59" t="s">
        <v>1931</v>
      </c>
      <c r="G1164" s="31" t="s">
        <v>2272</v>
      </c>
      <c r="J1164" t="s">
        <v>778</v>
      </c>
      <c r="L1164" s="31">
        <v>100</v>
      </c>
      <c r="M1164" s="31">
        <v>6</v>
      </c>
      <c r="P1164" s="31">
        <v>1</v>
      </c>
      <c r="Q1164" s="232">
        <f t="shared" si="608"/>
        <v>0.1</v>
      </c>
      <c r="R1164" s="40">
        <v>0.85</v>
      </c>
      <c r="S1164" s="334">
        <f t="shared" si="609"/>
        <v>8.5000000000000006E-2</v>
      </c>
      <c r="T1164" s="31">
        <f>VLOOKUP(A1164,'Ansvar kurs'!$A$1:$C$1010,2,FALSE)</f>
        <v>1620</v>
      </c>
      <c r="U1164" s="31" t="str">
        <f>VLOOKUP(T1164,Orgenheter!$A$1:$C$165,2,FALSE)</f>
        <v>Inst för språkstudier</v>
      </c>
      <c r="V1164" s="31" t="str">
        <f>VLOOKUP(T1164,Orgenheter!$A$1:$C$165,3,FALSE)</f>
        <v>Hum</v>
      </c>
      <c r="W1164" s="37" t="str">
        <f>VLOOKUP(D1164,Program!$A$1:$B$34,2,FALSE)</f>
        <v>Ämneslärarprogrammet - Gy</v>
      </c>
      <c r="X1164" s="42">
        <f>VLOOKUP(A1164,kurspris!$A$1:$Q$798,15,FALSE)</f>
        <v>21634</v>
      </c>
      <c r="Y1164" s="42">
        <f>VLOOKUP(A1164,kurspris!$A$1:$Q$798,16,FALSE)</f>
        <v>26986</v>
      </c>
      <c r="Z1164" s="42">
        <f t="shared" si="610"/>
        <v>4457.21</v>
      </c>
      <c r="AA1164" s="42">
        <f>VLOOKUP(A1164,kurspris!$A$1:$Q$798,17,FALSE)</f>
        <v>3400</v>
      </c>
      <c r="AB1164" s="42">
        <f t="shared" si="611"/>
        <v>340</v>
      </c>
      <c r="AC1164" s="42">
        <f t="shared" si="612"/>
        <v>4797.21</v>
      </c>
      <c r="AD1164" s="31">
        <f>VLOOKUP($A1164,kurspris!$A$1:$Q$835,3,FALSE)</f>
        <v>0</v>
      </c>
      <c r="AE1164" s="31">
        <f>VLOOKUP($A1164,kurspris!$A$1:$Q$835,4,FALSE)</f>
        <v>0</v>
      </c>
      <c r="AF1164" s="31">
        <f>VLOOKUP($A1164,kurspris!$A$1:$Q$835,5,FALSE)</f>
        <v>0</v>
      </c>
      <c r="AG1164" s="31">
        <f>VLOOKUP($A1164,kurspris!$A$1:$Q$835,6,FALSE)</f>
        <v>0</v>
      </c>
      <c r="AH1164" s="31">
        <f>VLOOKUP($A1164,kurspris!$A$1:$Q$835,7,FALSE)</f>
        <v>0</v>
      </c>
      <c r="AI1164" s="31">
        <f>VLOOKUP($A1164,kurspris!$A$1:$Q$835,8,FALSE)</f>
        <v>0</v>
      </c>
      <c r="AJ1164" s="31">
        <f>VLOOKUP($A1164,kurspris!$A$1:$Q$835,9,FALSE)</f>
        <v>0</v>
      </c>
      <c r="AK1164" s="31">
        <f>VLOOKUP($A1164,kurspris!$A$1:$Q$835,10,FALSE)</f>
        <v>0</v>
      </c>
      <c r="AL1164" s="31">
        <f>VLOOKUP($A1164,kurspris!$A$1:$Q$835,11,FALSE)</f>
        <v>1</v>
      </c>
      <c r="AM1164" s="31">
        <f>VLOOKUP($A1164,kurspris!$A$1:$Q$835,12,FALSE)</f>
        <v>0</v>
      </c>
      <c r="AN1164" s="31">
        <f>VLOOKUP($A1164,kurspris!$A$1:$Q$835,13,FALSE)</f>
        <v>0</v>
      </c>
      <c r="AO1164" s="31">
        <f>VLOOKUP($A1164,kurspris!$A$1:$Q$835,14,FALSE)</f>
        <v>0</v>
      </c>
      <c r="AP1164" s="39" t="s">
        <v>2326</v>
      </c>
      <c r="AQ1164"/>
      <c r="AR1164" s="31">
        <f t="shared" si="613"/>
        <v>0</v>
      </c>
      <c r="AS1164" s="255">
        <f t="shared" si="614"/>
        <v>0</v>
      </c>
      <c r="AT1164" s="31">
        <f t="shared" si="615"/>
        <v>0</v>
      </c>
      <c r="AU1164" s="255">
        <f t="shared" si="616"/>
        <v>0</v>
      </c>
      <c r="AV1164" s="31">
        <f t="shared" si="617"/>
        <v>0</v>
      </c>
      <c r="AW1164" s="31">
        <f t="shared" si="618"/>
        <v>0</v>
      </c>
      <c r="AX1164" s="31">
        <f t="shared" si="619"/>
        <v>0</v>
      </c>
      <c r="AY1164" s="255">
        <f t="shared" si="620"/>
        <v>0</v>
      </c>
      <c r="AZ1164" s="232">
        <f t="shared" si="621"/>
        <v>0</v>
      </c>
      <c r="BA1164" s="255">
        <f t="shared" si="622"/>
        <v>0</v>
      </c>
      <c r="BB1164" s="31">
        <f t="shared" si="623"/>
        <v>0</v>
      </c>
      <c r="BC1164" s="255">
        <f t="shared" si="624"/>
        <v>0</v>
      </c>
      <c r="BD1164" s="31">
        <f t="shared" si="625"/>
        <v>0</v>
      </c>
      <c r="BE1164" s="255">
        <f t="shared" si="626"/>
        <v>0</v>
      </c>
      <c r="BF1164" s="31">
        <f t="shared" si="627"/>
        <v>0</v>
      </c>
      <c r="BG1164" s="255">
        <f t="shared" si="628"/>
        <v>0</v>
      </c>
      <c r="BH1164" s="31">
        <f t="shared" si="629"/>
        <v>0.1</v>
      </c>
      <c r="BI1164" s="255">
        <f t="shared" si="630"/>
        <v>8.5000000000000006E-2</v>
      </c>
      <c r="BJ1164" s="31">
        <f t="shared" si="631"/>
        <v>0</v>
      </c>
      <c r="BK1164" s="31">
        <f t="shared" si="632"/>
        <v>0</v>
      </c>
      <c r="BL1164" s="255">
        <f t="shared" si="633"/>
        <v>0</v>
      </c>
      <c r="BM1164" s="31">
        <f t="shared" si="634"/>
        <v>0</v>
      </c>
      <c r="BN1164" s="255">
        <f t="shared" si="635"/>
        <v>0</v>
      </c>
    </row>
    <row r="1165" spans="1:66" x14ac:dyDescent="0.25">
      <c r="A1165" s="18" t="s">
        <v>1899</v>
      </c>
      <c r="B1165" s="186" t="str">
        <f>VLOOKUP(A1165,kurspris!$A$1:$B$877,2,FALSE)</f>
        <v>Att undervisa i svenska (VFU)</v>
      </c>
      <c r="C1165" s="37"/>
      <c r="D1165" s="31" t="s">
        <v>483</v>
      </c>
      <c r="E1165" s="31" t="s">
        <v>1609</v>
      </c>
      <c r="F1165" s="59" t="s">
        <v>1931</v>
      </c>
      <c r="G1165" s="31" t="s">
        <v>2272</v>
      </c>
      <c r="J1165" t="s">
        <v>778</v>
      </c>
      <c r="L1165" s="31">
        <v>100</v>
      </c>
      <c r="M1165" s="31">
        <v>6</v>
      </c>
      <c r="P1165" s="31">
        <v>11</v>
      </c>
      <c r="Q1165" s="232">
        <f t="shared" si="608"/>
        <v>1.1000000000000001</v>
      </c>
      <c r="R1165" s="40">
        <v>0.85</v>
      </c>
      <c r="S1165" s="334">
        <f t="shared" si="609"/>
        <v>0.93500000000000005</v>
      </c>
      <c r="T1165" s="31">
        <f>VLOOKUP(A1165,'Ansvar kurs'!$A$1:$C$1010,2,FALSE)</f>
        <v>1620</v>
      </c>
      <c r="U1165" s="31" t="str">
        <f>VLOOKUP(T1165,Orgenheter!$A$1:$C$165,2,FALSE)</f>
        <v>Inst för språkstudier</v>
      </c>
      <c r="V1165" s="31" t="str">
        <f>VLOOKUP(T1165,Orgenheter!$A$1:$C$165,3,FALSE)</f>
        <v>Hum</v>
      </c>
      <c r="W1165" s="37" t="str">
        <f>VLOOKUP(D1165,Program!$A$1:$B$34,2,FALSE)</f>
        <v>Ämneslärarprogrammet - Gy</v>
      </c>
      <c r="X1165" s="42">
        <f>VLOOKUP(A1165,kurspris!$A$1:$Q$798,15,FALSE)</f>
        <v>21634</v>
      </c>
      <c r="Y1165" s="42">
        <f>VLOOKUP(A1165,kurspris!$A$1:$Q$798,16,FALSE)</f>
        <v>26986</v>
      </c>
      <c r="Z1165" s="42">
        <f t="shared" si="610"/>
        <v>49029.31</v>
      </c>
      <c r="AA1165" s="42">
        <f>VLOOKUP(A1165,kurspris!$A$1:$Q$798,17,FALSE)</f>
        <v>3400</v>
      </c>
      <c r="AB1165" s="42">
        <f t="shared" si="611"/>
        <v>3740.0000000000005</v>
      </c>
      <c r="AC1165" s="42">
        <f t="shared" si="612"/>
        <v>52769.31</v>
      </c>
      <c r="AD1165" s="31">
        <f>VLOOKUP($A1165,kurspris!$A$1:$Q$835,3,FALSE)</f>
        <v>0</v>
      </c>
      <c r="AE1165" s="31">
        <f>VLOOKUP($A1165,kurspris!$A$1:$Q$835,4,FALSE)</f>
        <v>0</v>
      </c>
      <c r="AF1165" s="31">
        <f>VLOOKUP($A1165,kurspris!$A$1:$Q$835,5,FALSE)</f>
        <v>0</v>
      </c>
      <c r="AG1165" s="31">
        <f>VLOOKUP($A1165,kurspris!$A$1:$Q$835,6,FALSE)</f>
        <v>0</v>
      </c>
      <c r="AH1165" s="31">
        <f>VLOOKUP($A1165,kurspris!$A$1:$Q$835,7,FALSE)</f>
        <v>0</v>
      </c>
      <c r="AI1165" s="31">
        <f>VLOOKUP($A1165,kurspris!$A$1:$Q$835,8,FALSE)</f>
        <v>0</v>
      </c>
      <c r="AJ1165" s="31">
        <f>VLOOKUP($A1165,kurspris!$A$1:$Q$835,9,FALSE)</f>
        <v>0</v>
      </c>
      <c r="AK1165" s="31">
        <f>VLOOKUP($A1165,kurspris!$A$1:$Q$835,10,FALSE)</f>
        <v>0</v>
      </c>
      <c r="AL1165" s="31">
        <f>VLOOKUP($A1165,kurspris!$A$1:$Q$835,11,FALSE)</f>
        <v>1</v>
      </c>
      <c r="AM1165" s="31">
        <f>VLOOKUP($A1165,kurspris!$A$1:$Q$835,12,FALSE)</f>
        <v>0</v>
      </c>
      <c r="AN1165" s="31">
        <f>VLOOKUP($A1165,kurspris!$A$1:$Q$835,13,FALSE)</f>
        <v>0</v>
      </c>
      <c r="AO1165" s="31">
        <f>VLOOKUP($A1165,kurspris!$A$1:$Q$835,14,FALSE)</f>
        <v>0</v>
      </c>
      <c r="AP1165" s="39" t="s">
        <v>2326</v>
      </c>
      <c r="AQ1165"/>
      <c r="AR1165" s="31">
        <f t="shared" si="613"/>
        <v>0</v>
      </c>
      <c r="AS1165" s="255">
        <f t="shared" si="614"/>
        <v>0</v>
      </c>
      <c r="AT1165" s="31">
        <f t="shared" si="615"/>
        <v>0</v>
      </c>
      <c r="AU1165" s="255">
        <f t="shared" si="616"/>
        <v>0</v>
      </c>
      <c r="AV1165" s="31">
        <f t="shared" si="617"/>
        <v>0</v>
      </c>
      <c r="AW1165" s="31">
        <f t="shared" si="618"/>
        <v>0</v>
      </c>
      <c r="AX1165" s="31">
        <f t="shared" si="619"/>
        <v>0</v>
      </c>
      <c r="AY1165" s="255">
        <f t="shared" si="620"/>
        <v>0</v>
      </c>
      <c r="AZ1165" s="232">
        <f t="shared" si="621"/>
        <v>0</v>
      </c>
      <c r="BA1165" s="255">
        <f t="shared" si="622"/>
        <v>0</v>
      </c>
      <c r="BB1165" s="31">
        <f t="shared" si="623"/>
        <v>0</v>
      </c>
      <c r="BC1165" s="255">
        <f t="shared" si="624"/>
        <v>0</v>
      </c>
      <c r="BD1165" s="31">
        <f t="shared" si="625"/>
        <v>0</v>
      </c>
      <c r="BE1165" s="255">
        <f t="shared" si="626"/>
        <v>0</v>
      </c>
      <c r="BF1165" s="31">
        <f t="shared" si="627"/>
        <v>0</v>
      </c>
      <c r="BG1165" s="255">
        <f t="shared" si="628"/>
        <v>0</v>
      </c>
      <c r="BH1165" s="31">
        <f t="shared" si="629"/>
        <v>1.1000000000000001</v>
      </c>
      <c r="BI1165" s="255">
        <f t="shared" si="630"/>
        <v>0.93500000000000005</v>
      </c>
      <c r="BJ1165" s="31">
        <f t="shared" si="631"/>
        <v>0</v>
      </c>
      <c r="BK1165" s="31">
        <f t="shared" si="632"/>
        <v>0</v>
      </c>
      <c r="BL1165" s="255">
        <f t="shared" si="633"/>
        <v>0</v>
      </c>
      <c r="BM1165" s="31">
        <f t="shared" si="634"/>
        <v>0</v>
      </c>
      <c r="BN1165" s="255">
        <f t="shared" si="635"/>
        <v>0</v>
      </c>
    </row>
    <row r="1166" spans="1:66" x14ac:dyDescent="0.25">
      <c r="A1166" s="18" t="s">
        <v>2053</v>
      </c>
      <c r="B1166" s="186" t="str">
        <f>VLOOKUP(A1166,kurspris!$A$1:$B$877,2,FALSE)</f>
        <v>Svenska som andraspråk A</v>
      </c>
      <c r="C1166" s="37"/>
      <c r="D1166" t="s">
        <v>117</v>
      </c>
      <c r="E1166"/>
      <c r="F1166" s="59" t="s">
        <v>1930</v>
      </c>
      <c r="G1166"/>
      <c r="H1166"/>
      <c r="I1166" t="s">
        <v>1634</v>
      </c>
      <c r="L1166">
        <v>100</v>
      </c>
      <c r="M1166">
        <v>30</v>
      </c>
      <c r="P1166" s="31">
        <v>6</v>
      </c>
      <c r="Q1166" s="232">
        <f t="shared" si="608"/>
        <v>3</v>
      </c>
      <c r="R1166" s="40">
        <v>0.8</v>
      </c>
      <c r="S1166" s="334">
        <f t="shared" si="609"/>
        <v>2.4000000000000004</v>
      </c>
      <c r="T1166" s="31">
        <f>VLOOKUP(A1166,'Ansvar kurs'!$A$1:$C$1010,2,FALSE)</f>
        <v>1620</v>
      </c>
      <c r="U1166" s="31" t="str">
        <f>VLOOKUP(T1166,Orgenheter!$A$1:$C$165,2,FALSE)</f>
        <v>Inst för språkstudier</v>
      </c>
      <c r="V1166" s="31" t="str">
        <f>VLOOKUP(T1166,Orgenheter!$A$1:$C$165,3,FALSE)</f>
        <v>Hum</v>
      </c>
      <c r="W1166" s="37" t="str">
        <f>VLOOKUP(D1166,Program!$A$1:$B$34,2,FALSE)</f>
        <v>Fristående och övriga kurser</v>
      </c>
      <c r="X1166" s="42">
        <f>VLOOKUP(A1166,kurspris!$A$1:$Q$798,15,FALSE)</f>
        <v>18405</v>
      </c>
      <c r="Y1166" s="42">
        <f>VLOOKUP(A1166,kurspris!$A$1:$Q$798,16,FALSE)</f>
        <v>15773</v>
      </c>
      <c r="Z1166" s="42">
        <f t="shared" si="610"/>
        <v>93070.200000000012</v>
      </c>
      <c r="AA1166" s="42">
        <f>VLOOKUP(A1166,kurspris!$A$1:$Q$798,17,FALSE)</f>
        <v>5800</v>
      </c>
      <c r="AB1166" s="42">
        <f t="shared" si="611"/>
        <v>17400</v>
      </c>
      <c r="AC1166" s="42">
        <f t="shared" si="612"/>
        <v>110470.20000000001</v>
      </c>
      <c r="AD1166" s="31">
        <f>VLOOKUP($A1166,kurspris!$A$1:$Q$835,3,FALSE)</f>
        <v>0</v>
      </c>
      <c r="AE1166" s="31">
        <f>VLOOKUP($A1166,kurspris!$A$1:$Q$835,4,FALSE)</f>
        <v>1</v>
      </c>
      <c r="AF1166" s="31">
        <f>VLOOKUP($A1166,kurspris!$A$1:$Q$835,5,FALSE)</f>
        <v>0</v>
      </c>
      <c r="AG1166" s="31">
        <f>VLOOKUP($A1166,kurspris!$A$1:$Q$835,6,FALSE)</f>
        <v>0</v>
      </c>
      <c r="AH1166" s="31">
        <f>VLOOKUP($A1166,kurspris!$A$1:$Q$835,7,FALSE)</f>
        <v>0</v>
      </c>
      <c r="AI1166" s="31">
        <f>VLOOKUP($A1166,kurspris!$A$1:$Q$835,8,FALSE)</f>
        <v>0</v>
      </c>
      <c r="AJ1166" s="31">
        <f>VLOOKUP($A1166,kurspris!$A$1:$Q$835,9,FALSE)</f>
        <v>0</v>
      </c>
      <c r="AK1166" s="31">
        <f>VLOOKUP($A1166,kurspris!$A$1:$Q$835,10,FALSE)</f>
        <v>0</v>
      </c>
      <c r="AL1166" s="31">
        <f>VLOOKUP($A1166,kurspris!$A$1:$Q$835,11,FALSE)</f>
        <v>0</v>
      </c>
      <c r="AM1166" s="31">
        <f>VLOOKUP($A1166,kurspris!$A$1:$Q$835,12,FALSE)</f>
        <v>0</v>
      </c>
      <c r="AN1166" s="31">
        <f>VLOOKUP($A1166,kurspris!$A$1:$Q$835,13,FALSE)</f>
        <v>0</v>
      </c>
      <c r="AO1166" s="31">
        <f>VLOOKUP($A1166,kurspris!$A$1:$Q$835,14,FALSE)</f>
        <v>0</v>
      </c>
      <c r="AP1166" s="39" t="s">
        <v>2204</v>
      </c>
      <c r="AQ1166" s="39" t="s">
        <v>2095</v>
      </c>
      <c r="AR1166" s="31">
        <f t="shared" si="613"/>
        <v>0</v>
      </c>
      <c r="AS1166" s="255">
        <f t="shared" si="614"/>
        <v>0</v>
      </c>
      <c r="AT1166" s="31">
        <f t="shared" si="615"/>
        <v>3</v>
      </c>
      <c r="AU1166" s="255">
        <f t="shared" si="616"/>
        <v>2.4000000000000004</v>
      </c>
      <c r="AV1166" s="31">
        <f t="shared" si="617"/>
        <v>0</v>
      </c>
      <c r="AW1166" s="31">
        <f t="shared" si="618"/>
        <v>0</v>
      </c>
      <c r="AX1166" s="31">
        <f t="shared" si="619"/>
        <v>0</v>
      </c>
      <c r="AY1166" s="255">
        <f t="shared" si="620"/>
        <v>0</v>
      </c>
      <c r="AZ1166" s="232">
        <f t="shared" si="621"/>
        <v>0</v>
      </c>
      <c r="BA1166" s="255">
        <f t="shared" si="622"/>
        <v>0</v>
      </c>
      <c r="BB1166" s="31">
        <f t="shared" si="623"/>
        <v>0</v>
      </c>
      <c r="BC1166" s="255">
        <f t="shared" si="624"/>
        <v>0</v>
      </c>
      <c r="BD1166" s="31">
        <f t="shared" si="625"/>
        <v>0</v>
      </c>
      <c r="BE1166" s="255">
        <f t="shared" si="626"/>
        <v>0</v>
      </c>
      <c r="BF1166" s="31">
        <f t="shared" si="627"/>
        <v>0</v>
      </c>
      <c r="BG1166" s="255">
        <f t="shared" si="628"/>
        <v>0</v>
      </c>
      <c r="BH1166" s="31">
        <f t="shared" si="629"/>
        <v>0</v>
      </c>
      <c r="BI1166" s="255">
        <f t="shared" si="630"/>
        <v>0</v>
      </c>
      <c r="BJ1166" s="31">
        <f t="shared" si="631"/>
        <v>0</v>
      </c>
      <c r="BK1166" s="31">
        <f t="shared" si="632"/>
        <v>0</v>
      </c>
      <c r="BL1166" s="255">
        <f t="shared" si="633"/>
        <v>0</v>
      </c>
      <c r="BM1166" s="31">
        <f t="shared" si="634"/>
        <v>0</v>
      </c>
      <c r="BN1166" s="255">
        <f t="shared" si="635"/>
        <v>0</v>
      </c>
    </row>
    <row r="1167" spans="1:66" x14ac:dyDescent="0.25">
      <c r="A1167" s="18" t="s">
        <v>2054</v>
      </c>
      <c r="B1167" s="186" t="str">
        <f>VLOOKUP(A1167,kurspris!$A$1:$B$877,2,FALSE)</f>
        <v>Svenska som andraspråk B</v>
      </c>
      <c r="C1167" s="37"/>
      <c r="D1167" t="s">
        <v>117</v>
      </c>
      <c r="E1167"/>
      <c r="F1167" s="59" t="s">
        <v>1931</v>
      </c>
      <c r="G1167"/>
      <c r="H1167"/>
      <c r="I1167" t="s">
        <v>1634</v>
      </c>
      <c r="L1167">
        <v>100</v>
      </c>
      <c r="M1167">
        <v>30</v>
      </c>
      <c r="P1167">
        <v>8</v>
      </c>
      <c r="Q1167" s="232">
        <f t="shared" si="608"/>
        <v>4</v>
      </c>
      <c r="R1167" s="40">
        <v>0.8</v>
      </c>
      <c r="S1167" s="334">
        <f t="shared" si="609"/>
        <v>3.2</v>
      </c>
      <c r="T1167" s="31">
        <f>VLOOKUP(A1167,'Ansvar kurs'!$A$1:$C$1010,2,FALSE)</f>
        <v>1620</v>
      </c>
      <c r="U1167" s="31" t="str">
        <f>VLOOKUP(T1167,Orgenheter!$A$1:$C$165,2,FALSE)</f>
        <v>Inst för språkstudier</v>
      </c>
      <c r="V1167" s="31" t="str">
        <f>VLOOKUP(T1167,Orgenheter!$A$1:$C$165,3,FALSE)</f>
        <v>Hum</v>
      </c>
      <c r="W1167" s="37" t="str">
        <f>VLOOKUP(D1167,Program!$A$1:$B$34,2,FALSE)</f>
        <v>Fristående och övriga kurser</v>
      </c>
      <c r="X1167" s="42">
        <f>VLOOKUP(A1167,kurspris!$A$1:$Q$798,15,FALSE)</f>
        <v>18405</v>
      </c>
      <c r="Y1167" s="42">
        <f>VLOOKUP(A1167,kurspris!$A$1:$Q$798,16,FALSE)</f>
        <v>15773</v>
      </c>
      <c r="Z1167" s="42">
        <f t="shared" si="610"/>
        <v>124093.6</v>
      </c>
      <c r="AA1167" s="42">
        <f>VLOOKUP(A1167,kurspris!$A$1:$Q$798,17,FALSE)</f>
        <v>5800</v>
      </c>
      <c r="AB1167" s="42">
        <f t="shared" si="611"/>
        <v>23200</v>
      </c>
      <c r="AC1167" s="42">
        <f t="shared" si="612"/>
        <v>147293.6</v>
      </c>
      <c r="AD1167" s="31">
        <f>VLOOKUP($A1167,kurspris!$A$1:$Q$835,3,FALSE)</f>
        <v>0</v>
      </c>
      <c r="AE1167" s="31">
        <f>VLOOKUP($A1167,kurspris!$A$1:$Q$835,4,FALSE)</f>
        <v>1</v>
      </c>
      <c r="AF1167" s="31">
        <f>VLOOKUP($A1167,kurspris!$A$1:$Q$835,5,FALSE)</f>
        <v>0</v>
      </c>
      <c r="AG1167" s="31">
        <f>VLOOKUP($A1167,kurspris!$A$1:$Q$835,6,FALSE)</f>
        <v>0</v>
      </c>
      <c r="AH1167" s="31">
        <f>VLOOKUP($A1167,kurspris!$A$1:$Q$835,7,FALSE)</f>
        <v>0</v>
      </c>
      <c r="AI1167" s="31">
        <f>VLOOKUP($A1167,kurspris!$A$1:$Q$835,8,FALSE)</f>
        <v>0</v>
      </c>
      <c r="AJ1167" s="31">
        <f>VLOOKUP($A1167,kurspris!$A$1:$Q$835,9,FALSE)</f>
        <v>0</v>
      </c>
      <c r="AK1167" s="31">
        <f>VLOOKUP($A1167,kurspris!$A$1:$Q$835,10,FALSE)</f>
        <v>0</v>
      </c>
      <c r="AL1167" s="31">
        <f>VLOOKUP($A1167,kurspris!$A$1:$Q$835,11,FALSE)</f>
        <v>0</v>
      </c>
      <c r="AM1167" s="31">
        <f>VLOOKUP($A1167,kurspris!$A$1:$Q$835,12,FALSE)</f>
        <v>0</v>
      </c>
      <c r="AN1167" s="31">
        <f>VLOOKUP($A1167,kurspris!$A$1:$Q$835,13,FALSE)</f>
        <v>0</v>
      </c>
      <c r="AO1167" s="31">
        <f>VLOOKUP($A1167,kurspris!$A$1:$Q$835,14,FALSE)</f>
        <v>0</v>
      </c>
      <c r="AP1167" s="39" t="s">
        <v>2095</v>
      </c>
      <c r="AQ1167"/>
      <c r="AR1167" s="31">
        <f t="shared" si="613"/>
        <v>0</v>
      </c>
      <c r="AS1167" s="255">
        <f t="shared" si="614"/>
        <v>0</v>
      </c>
      <c r="AT1167" s="31">
        <f t="shared" si="615"/>
        <v>4</v>
      </c>
      <c r="AU1167" s="255">
        <f t="shared" si="616"/>
        <v>3.2</v>
      </c>
      <c r="AV1167" s="31">
        <f t="shared" si="617"/>
        <v>0</v>
      </c>
      <c r="AW1167" s="31">
        <f t="shared" si="618"/>
        <v>0</v>
      </c>
      <c r="AX1167" s="31">
        <f t="shared" si="619"/>
        <v>0</v>
      </c>
      <c r="AY1167" s="255">
        <f t="shared" si="620"/>
        <v>0</v>
      </c>
      <c r="AZ1167" s="232">
        <f t="shared" si="621"/>
        <v>0</v>
      </c>
      <c r="BA1167" s="255">
        <f t="shared" si="622"/>
        <v>0</v>
      </c>
      <c r="BB1167" s="31">
        <f t="shared" si="623"/>
        <v>0</v>
      </c>
      <c r="BC1167" s="255">
        <f t="shared" si="624"/>
        <v>0</v>
      </c>
      <c r="BD1167" s="31">
        <f t="shared" si="625"/>
        <v>0</v>
      </c>
      <c r="BE1167" s="255">
        <f t="shared" si="626"/>
        <v>0</v>
      </c>
      <c r="BF1167" s="31">
        <f t="shared" si="627"/>
        <v>0</v>
      </c>
      <c r="BG1167" s="255">
        <f t="shared" si="628"/>
        <v>0</v>
      </c>
      <c r="BH1167" s="31">
        <f t="shared" si="629"/>
        <v>0</v>
      </c>
      <c r="BI1167" s="255">
        <f t="shared" si="630"/>
        <v>0</v>
      </c>
      <c r="BJ1167" s="31">
        <f t="shared" si="631"/>
        <v>0</v>
      </c>
      <c r="BK1167" s="31">
        <f t="shared" si="632"/>
        <v>0</v>
      </c>
      <c r="BL1167" s="255">
        <f t="shared" si="633"/>
        <v>0</v>
      </c>
      <c r="BM1167" s="31">
        <f t="shared" si="634"/>
        <v>0</v>
      </c>
      <c r="BN1167" s="255">
        <f t="shared" si="635"/>
        <v>0</v>
      </c>
    </row>
    <row r="1168" spans="1:66" x14ac:dyDescent="0.25">
      <c r="A1168" s="18" t="s">
        <v>2055</v>
      </c>
      <c r="B1168" s="186" t="str">
        <f>VLOOKUP(A1168,kurspris!$A$1:$B$877,2,FALSE)</f>
        <v>Svenska som andraspråk C, Diskriminerande strukturer och skönlitteratur</v>
      </c>
      <c r="C1168" s="37"/>
      <c r="D1168" t="s">
        <v>117</v>
      </c>
      <c r="E1168"/>
      <c r="F1168" s="59" t="s">
        <v>1930</v>
      </c>
      <c r="G1168"/>
      <c r="H1168"/>
      <c r="I1168" t="s">
        <v>2066</v>
      </c>
      <c r="L1168">
        <v>50</v>
      </c>
      <c r="M1168">
        <v>15</v>
      </c>
      <c r="P1168" s="31">
        <v>2</v>
      </c>
      <c r="Q1168" s="232">
        <f t="shared" si="608"/>
        <v>0.5</v>
      </c>
      <c r="R1168" s="40">
        <v>0.8</v>
      </c>
      <c r="S1168" s="334">
        <f t="shared" si="609"/>
        <v>0.4</v>
      </c>
      <c r="T1168" s="31">
        <f>VLOOKUP(A1168,'Ansvar kurs'!$A$1:$C$1010,2,FALSE)</f>
        <v>1620</v>
      </c>
      <c r="U1168" s="31" t="str">
        <f>VLOOKUP(T1168,Orgenheter!$A$1:$C$165,2,FALSE)</f>
        <v>Inst för språkstudier</v>
      </c>
      <c r="V1168" s="31" t="str">
        <f>VLOOKUP(T1168,Orgenheter!$A$1:$C$165,3,FALSE)</f>
        <v>Hum</v>
      </c>
      <c r="W1168" s="37" t="str">
        <f>VLOOKUP(D1168,Program!$A$1:$B$34,2,FALSE)</f>
        <v>Fristående och övriga kurser</v>
      </c>
      <c r="X1168" s="42">
        <f>VLOOKUP(A1168,kurspris!$A$1:$Q$798,15,FALSE)</f>
        <v>18405</v>
      </c>
      <c r="Y1168" s="42">
        <f>VLOOKUP(A1168,kurspris!$A$1:$Q$798,16,FALSE)</f>
        <v>15773</v>
      </c>
      <c r="Z1168" s="42">
        <f t="shared" si="610"/>
        <v>15511.7</v>
      </c>
      <c r="AA1168" s="42">
        <f>VLOOKUP(A1168,kurspris!$A$1:$Q$798,17,FALSE)</f>
        <v>5800</v>
      </c>
      <c r="AB1168" s="42">
        <f t="shared" si="611"/>
        <v>2900</v>
      </c>
      <c r="AC1168" s="42">
        <f t="shared" si="612"/>
        <v>18411.7</v>
      </c>
      <c r="AD1168" s="31">
        <f>VLOOKUP($A1168,kurspris!$A$1:$Q$835,3,FALSE)</f>
        <v>0</v>
      </c>
      <c r="AE1168" s="31">
        <f>VLOOKUP($A1168,kurspris!$A$1:$Q$835,4,FALSE)</f>
        <v>1</v>
      </c>
      <c r="AF1168" s="31">
        <f>VLOOKUP($A1168,kurspris!$A$1:$Q$835,5,FALSE)</f>
        <v>0</v>
      </c>
      <c r="AG1168" s="31">
        <f>VLOOKUP($A1168,kurspris!$A$1:$Q$835,6,FALSE)</f>
        <v>0</v>
      </c>
      <c r="AH1168" s="31">
        <f>VLOOKUP($A1168,kurspris!$A$1:$Q$835,7,FALSE)</f>
        <v>0</v>
      </c>
      <c r="AI1168" s="31">
        <f>VLOOKUP($A1168,kurspris!$A$1:$Q$835,8,FALSE)</f>
        <v>0</v>
      </c>
      <c r="AJ1168" s="31">
        <f>VLOOKUP($A1168,kurspris!$A$1:$Q$835,9,FALSE)</f>
        <v>0</v>
      </c>
      <c r="AK1168" s="31">
        <f>VLOOKUP($A1168,kurspris!$A$1:$Q$835,10,FALSE)</f>
        <v>0</v>
      </c>
      <c r="AL1168" s="31">
        <f>VLOOKUP($A1168,kurspris!$A$1:$Q$835,11,FALSE)</f>
        <v>0</v>
      </c>
      <c r="AM1168" s="31">
        <f>VLOOKUP($A1168,kurspris!$A$1:$Q$835,12,FALSE)</f>
        <v>0</v>
      </c>
      <c r="AN1168" s="31">
        <f>VLOOKUP($A1168,kurspris!$A$1:$Q$835,13,FALSE)</f>
        <v>0</v>
      </c>
      <c r="AO1168" s="31">
        <f>VLOOKUP($A1168,kurspris!$A$1:$Q$835,14,FALSE)</f>
        <v>0</v>
      </c>
      <c r="AP1168" s="39" t="s">
        <v>2232</v>
      </c>
      <c r="AQ1168" s="39" t="s">
        <v>2095</v>
      </c>
      <c r="AR1168" s="31">
        <f t="shared" si="613"/>
        <v>0</v>
      </c>
      <c r="AS1168" s="255">
        <f t="shared" si="614"/>
        <v>0</v>
      </c>
      <c r="AT1168" s="31">
        <f t="shared" si="615"/>
        <v>0.5</v>
      </c>
      <c r="AU1168" s="255">
        <f t="shared" si="616"/>
        <v>0.4</v>
      </c>
      <c r="AV1168" s="31">
        <f t="shared" si="617"/>
        <v>0</v>
      </c>
      <c r="AW1168" s="31">
        <f t="shared" si="618"/>
        <v>0</v>
      </c>
      <c r="AX1168" s="31">
        <f t="shared" si="619"/>
        <v>0</v>
      </c>
      <c r="AY1168" s="255">
        <f t="shared" si="620"/>
        <v>0</v>
      </c>
      <c r="AZ1168" s="232">
        <f t="shared" si="621"/>
        <v>0</v>
      </c>
      <c r="BA1168" s="255">
        <f t="shared" si="622"/>
        <v>0</v>
      </c>
      <c r="BB1168" s="31">
        <f t="shared" si="623"/>
        <v>0</v>
      </c>
      <c r="BC1168" s="255">
        <f t="shared" si="624"/>
        <v>0</v>
      </c>
      <c r="BD1168" s="31">
        <f t="shared" si="625"/>
        <v>0</v>
      </c>
      <c r="BE1168" s="255">
        <f t="shared" si="626"/>
        <v>0</v>
      </c>
      <c r="BF1168" s="31">
        <f t="shared" si="627"/>
        <v>0</v>
      </c>
      <c r="BG1168" s="255">
        <f t="shared" si="628"/>
        <v>0</v>
      </c>
      <c r="BH1168" s="31">
        <f t="shared" si="629"/>
        <v>0</v>
      </c>
      <c r="BI1168" s="255">
        <f t="shared" si="630"/>
        <v>0</v>
      </c>
      <c r="BJ1168" s="31">
        <f t="shared" si="631"/>
        <v>0</v>
      </c>
      <c r="BK1168" s="31">
        <f t="shared" si="632"/>
        <v>0</v>
      </c>
      <c r="BL1168" s="255">
        <f t="shared" si="633"/>
        <v>0</v>
      </c>
      <c r="BM1168" s="31">
        <f t="shared" si="634"/>
        <v>0</v>
      </c>
      <c r="BN1168" s="255">
        <f t="shared" si="635"/>
        <v>0</v>
      </c>
    </row>
    <row r="1169" spans="1:66" x14ac:dyDescent="0.25">
      <c r="A1169" s="18" t="s">
        <v>2056</v>
      </c>
      <c r="B1169" s="186" t="str">
        <f>VLOOKUP(A1169,kurspris!$A$1:$B$877,2,FALSE)</f>
        <v>Svenska som andraspråk C, Examensarbete för kandidatexamen</v>
      </c>
      <c r="C1169" s="37"/>
      <c r="D1169" t="s">
        <v>117</v>
      </c>
      <c r="E1169"/>
      <c r="F1169" s="59" t="s">
        <v>1930</v>
      </c>
      <c r="G1169"/>
      <c r="H1169"/>
      <c r="I1169" t="s">
        <v>2066</v>
      </c>
      <c r="L1169">
        <v>50</v>
      </c>
      <c r="M1169">
        <v>15</v>
      </c>
      <c r="P1169" s="31">
        <v>2</v>
      </c>
      <c r="Q1169" s="232">
        <f t="shared" si="608"/>
        <v>0.5</v>
      </c>
      <c r="R1169" s="40">
        <v>0.8</v>
      </c>
      <c r="S1169" s="334">
        <f t="shared" si="609"/>
        <v>0.4</v>
      </c>
      <c r="T1169" s="31">
        <f>VLOOKUP(A1169,'Ansvar kurs'!$A$1:$C$1010,2,FALSE)</f>
        <v>1620</v>
      </c>
      <c r="U1169" s="31" t="str">
        <f>VLOOKUP(T1169,Orgenheter!$A$1:$C$165,2,FALSE)</f>
        <v>Inst för språkstudier</v>
      </c>
      <c r="V1169" s="31" t="str">
        <f>VLOOKUP(T1169,Orgenheter!$A$1:$C$165,3,FALSE)</f>
        <v>Hum</v>
      </c>
      <c r="W1169" s="37" t="str">
        <f>VLOOKUP(D1169,Program!$A$1:$B$34,2,FALSE)</f>
        <v>Fristående och övriga kurser</v>
      </c>
      <c r="X1169" s="42">
        <f>VLOOKUP(A1169,kurspris!$A$1:$Q$798,15,FALSE)</f>
        <v>18405</v>
      </c>
      <c r="Y1169" s="42">
        <f>VLOOKUP(A1169,kurspris!$A$1:$Q$798,16,FALSE)</f>
        <v>15773</v>
      </c>
      <c r="Z1169" s="42">
        <f t="shared" si="610"/>
        <v>15511.7</v>
      </c>
      <c r="AA1169" s="42">
        <f>VLOOKUP(A1169,kurspris!$A$1:$Q$798,17,FALSE)</f>
        <v>5800</v>
      </c>
      <c r="AB1169" s="42">
        <f t="shared" si="611"/>
        <v>2900</v>
      </c>
      <c r="AC1169" s="42">
        <f t="shared" si="612"/>
        <v>18411.7</v>
      </c>
      <c r="AD1169" s="31">
        <f>VLOOKUP($A1169,kurspris!$A$1:$Q$835,3,FALSE)</f>
        <v>0</v>
      </c>
      <c r="AE1169" s="31">
        <f>VLOOKUP($A1169,kurspris!$A$1:$Q$835,4,FALSE)</f>
        <v>1</v>
      </c>
      <c r="AF1169" s="31">
        <f>VLOOKUP($A1169,kurspris!$A$1:$Q$835,5,FALSE)</f>
        <v>0</v>
      </c>
      <c r="AG1169" s="31">
        <f>VLOOKUP($A1169,kurspris!$A$1:$Q$835,6,FALSE)</f>
        <v>0</v>
      </c>
      <c r="AH1169" s="31">
        <f>VLOOKUP($A1169,kurspris!$A$1:$Q$835,7,FALSE)</f>
        <v>0</v>
      </c>
      <c r="AI1169" s="31">
        <f>VLOOKUP($A1169,kurspris!$A$1:$Q$835,8,FALSE)</f>
        <v>0</v>
      </c>
      <c r="AJ1169" s="31">
        <f>VLOOKUP($A1169,kurspris!$A$1:$Q$835,9,FALSE)</f>
        <v>0</v>
      </c>
      <c r="AK1169" s="31">
        <f>VLOOKUP($A1169,kurspris!$A$1:$Q$835,10,FALSE)</f>
        <v>0</v>
      </c>
      <c r="AL1169" s="31">
        <f>VLOOKUP($A1169,kurspris!$A$1:$Q$835,11,FALSE)</f>
        <v>0</v>
      </c>
      <c r="AM1169" s="31">
        <f>VLOOKUP($A1169,kurspris!$A$1:$Q$835,12,FALSE)</f>
        <v>0</v>
      </c>
      <c r="AN1169" s="31">
        <f>VLOOKUP($A1169,kurspris!$A$1:$Q$835,13,FALSE)</f>
        <v>0</v>
      </c>
      <c r="AO1169" s="31">
        <f>VLOOKUP($A1169,kurspris!$A$1:$Q$835,14,FALSE)</f>
        <v>0</v>
      </c>
      <c r="AP1169" s="39" t="s">
        <v>2232</v>
      </c>
      <c r="AQ1169" s="39" t="s">
        <v>2095</v>
      </c>
      <c r="AR1169" s="31">
        <f t="shared" si="613"/>
        <v>0</v>
      </c>
      <c r="AS1169" s="255">
        <f t="shared" si="614"/>
        <v>0</v>
      </c>
      <c r="AT1169" s="31">
        <f t="shared" si="615"/>
        <v>0.5</v>
      </c>
      <c r="AU1169" s="255">
        <f t="shared" si="616"/>
        <v>0.4</v>
      </c>
      <c r="AV1169" s="31">
        <f t="shared" si="617"/>
        <v>0</v>
      </c>
      <c r="AW1169" s="31">
        <f t="shared" si="618"/>
        <v>0</v>
      </c>
      <c r="AX1169" s="31">
        <f t="shared" si="619"/>
        <v>0</v>
      </c>
      <c r="AY1169" s="255">
        <f t="shared" si="620"/>
        <v>0</v>
      </c>
      <c r="AZ1169" s="232">
        <f t="shared" si="621"/>
        <v>0</v>
      </c>
      <c r="BA1169" s="255">
        <f t="shared" si="622"/>
        <v>0</v>
      </c>
      <c r="BB1169" s="31">
        <f t="shared" si="623"/>
        <v>0</v>
      </c>
      <c r="BC1169" s="255">
        <f t="shared" si="624"/>
        <v>0</v>
      </c>
      <c r="BD1169" s="31">
        <f t="shared" si="625"/>
        <v>0</v>
      </c>
      <c r="BE1169" s="255">
        <f t="shared" si="626"/>
        <v>0</v>
      </c>
      <c r="BF1169" s="31">
        <f t="shared" si="627"/>
        <v>0</v>
      </c>
      <c r="BG1169" s="255">
        <f t="shared" si="628"/>
        <v>0</v>
      </c>
      <c r="BH1169" s="31">
        <f t="shared" si="629"/>
        <v>0</v>
      </c>
      <c r="BI1169" s="255">
        <f t="shared" si="630"/>
        <v>0</v>
      </c>
      <c r="BJ1169" s="31">
        <f t="shared" si="631"/>
        <v>0</v>
      </c>
      <c r="BK1169" s="31">
        <f t="shared" si="632"/>
        <v>0</v>
      </c>
      <c r="BL1169" s="255">
        <f t="shared" si="633"/>
        <v>0</v>
      </c>
      <c r="BM1169" s="31">
        <f t="shared" si="634"/>
        <v>0</v>
      </c>
      <c r="BN1169" s="255">
        <f t="shared" si="635"/>
        <v>0</v>
      </c>
    </row>
    <row r="1170" spans="1:66" x14ac:dyDescent="0.25">
      <c r="A1170" s="18" t="s">
        <v>2057</v>
      </c>
      <c r="B1170" s="186" t="str">
        <f>VLOOKUP(A1170,kurspris!$A$1:$B$877,2,FALSE)</f>
        <v>Svenska som andraspråk för ämneslärare, kurs 1</v>
      </c>
      <c r="C1170" s="37"/>
      <c r="D1170" t="s">
        <v>117</v>
      </c>
      <c r="E1170"/>
      <c r="F1170" s="59" t="s">
        <v>1930</v>
      </c>
      <c r="G1170"/>
      <c r="H1170"/>
      <c r="I1170" t="s">
        <v>1634</v>
      </c>
      <c r="L1170">
        <v>100</v>
      </c>
      <c r="M1170">
        <v>30</v>
      </c>
      <c r="P1170" s="31">
        <v>0</v>
      </c>
      <c r="Q1170" s="232">
        <f t="shared" si="608"/>
        <v>0</v>
      </c>
      <c r="R1170" s="40">
        <v>0.8</v>
      </c>
      <c r="S1170" s="334">
        <f t="shared" si="609"/>
        <v>0</v>
      </c>
      <c r="T1170" s="31">
        <f>VLOOKUP(A1170,'Ansvar kurs'!$A$1:$C$1010,2,FALSE)</f>
        <v>1620</v>
      </c>
      <c r="U1170" s="31" t="str">
        <f>VLOOKUP(T1170,Orgenheter!$A$1:$C$165,2,FALSE)</f>
        <v>Inst för språkstudier</v>
      </c>
      <c r="V1170" s="31" t="str">
        <f>VLOOKUP(T1170,Orgenheter!$A$1:$C$165,3,FALSE)</f>
        <v>Hum</v>
      </c>
      <c r="W1170" s="37" t="str">
        <f>VLOOKUP(D1170,Program!$A$1:$B$34,2,FALSE)</f>
        <v>Fristående och övriga kurser</v>
      </c>
      <c r="X1170" s="42">
        <f>VLOOKUP(A1170,kurspris!$A$1:$Q$798,15,FALSE)</f>
        <v>18405</v>
      </c>
      <c r="Y1170" s="42">
        <f>VLOOKUP(A1170,kurspris!$A$1:$Q$798,16,FALSE)</f>
        <v>15773</v>
      </c>
      <c r="Z1170" s="42">
        <f t="shared" si="610"/>
        <v>0</v>
      </c>
      <c r="AA1170" s="42">
        <f>VLOOKUP(A1170,kurspris!$A$1:$Q$798,17,FALSE)</f>
        <v>5800</v>
      </c>
      <c r="AB1170" s="42">
        <f t="shared" si="611"/>
        <v>0</v>
      </c>
      <c r="AC1170" s="42">
        <f t="shared" si="612"/>
        <v>0</v>
      </c>
      <c r="AD1170" s="31">
        <f>VLOOKUP($A1170,kurspris!$A$1:$Q$835,3,FALSE)</f>
        <v>0</v>
      </c>
      <c r="AE1170" s="31">
        <f>VLOOKUP($A1170,kurspris!$A$1:$Q$835,4,FALSE)</f>
        <v>1</v>
      </c>
      <c r="AF1170" s="31">
        <f>VLOOKUP($A1170,kurspris!$A$1:$Q$835,5,FALSE)</f>
        <v>0</v>
      </c>
      <c r="AG1170" s="31">
        <f>VLOOKUP($A1170,kurspris!$A$1:$Q$835,6,FALSE)</f>
        <v>0</v>
      </c>
      <c r="AH1170" s="31">
        <f>VLOOKUP($A1170,kurspris!$A$1:$Q$835,7,FALSE)</f>
        <v>0</v>
      </c>
      <c r="AI1170" s="31">
        <f>VLOOKUP($A1170,kurspris!$A$1:$Q$835,8,FALSE)</f>
        <v>0</v>
      </c>
      <c r="AJ1170" s="31">
        <f>VLOOKUP($A1170,kurspris!$A$1:$Q$835,9,FALSE)</f>
        <v>0</v>
      </c>
      <c r="AK1170" s="31">
        <f>VLOOKUP($A1170,kurspris!$A$1:$Q$835,10,FALSE)</f>
        <v>0</v>
      </c>
      <c r="AL1170" s="31">
        <f>VLOOKUP($A1170,kurspris!$A$1:$Q$835,11,FALSE)</f>
        <v>0</v>
      </c>
      <c r="AM1170" s="31">
        <f>VLOOKUP($A1170,kurspris!$A$1:$Q$835,12,FALSE)</f>
        <v>0</v>
      </c>
      <c r="AN1170" s="31">
        <f>VLOOKUP($A1170,kurspris!$A$1:$Q$835,13,FALSE)</f>
        <v>0</v>
      </c>
      <c r="AO1170" s="31">
        <f>VLOOKUP($A1170,kurspris!$A$1:$Q$835,14,FALSE)</f>
        <v>0</v>
      </c>
      <c r="AP1170" s="39" t="s">
        <v>2204</v>
      </c>
      <c r="AQ1170" s="39" t="s">
        <v>2095</v>
      </c>
      <c r="AR1170" s="31">
        <f t="shared" si="613"/>
        <v>0</v>
      </c>
      <c r="AS1170" s="255">
        <f t="shared" si="614"/>
        <v>0</v>
      </c>
      <c r="AT1170" s="31">
        <f t="shared" si="615"/>
        <v>0</v>
      </c>
      <c r="AU1170" s="255">
        <f t="shared" si="616"/>
        <v>0</v>
      </c>
      <c r="AV1170" s="31">
        <f t="shared" si="617"/>
        <v>0</v>
      </c>
      <c r="AW1170" s="31">
        <f t="shared" si="618"/>
        <v>0</v>
      </c>
      <c r="AX1170" s="31">
        <f t="shared" si="619"/>
        <v>0</v>
      </c>
      <c r="AY1170" s="255">
        <f t="shared" si="620"/>
        <v>0</v>
      </c>
      <c r="AZ1170" s="232">
        <f t="shared" si="621"/>
        <v>0</v>
      </c>
      <c r="BA1170" s="255">
        <f t="shared" si="622"/>
        <v>0</v>
      </c>
      <c r="BB1170" s="31">
        <f t="shared" si="623"/>
        <v>0</v>
      </c>
      <c r="BC1170" s="255">
        <f t="shared" si="624"/>
        <v>0</v>
      </c>
      <c r="BD1170" s="31">
        <f t="shared" si="625"/>
        <v>0</v>
      </c>
      <c r="BE1170" s="255">
        <f t="shared" si="626"/>
        <v>0</v>
      </c>
      <c r="BF1170" s="31">
        <f t="shared" si="627"/>
        <v>0</v>
      </c>
      <c r="BG1170" s="255">
        <f t="shared" si="628"/>
        <v>0</v>
      </c>
      <c r="BH1170" s="31">
        <f t="shared" si="629"/>
        <v>0</v>
      </c>
      <c r="BI1170" s="255">
        <f t="shared" si="630"/>
        <v>0</v>
      </c>
      <c r="BJ1170" s="31">
        <f t="shared" si="631"/>
        <v>0</v>
      </c>
      <c r="BK1170" s="31">
        <f t="shared" si="632"/>
        <v>0</v>
      </c>
      <c r="BL1170" s="255">
        <f t="shared" si="633"/>
        <v>0</v>
      </c>
      <c r="BM1170" s="31">
        <f t="shared" si="634"/>
        <v>0</v>
      </c>
      <c r="BN1170" s="255">
        <f t="shared" si="635"/>
        <v>0</v>
      </c>
    </row>
    <row r="1171" spans="1:66" x14ac:dyDescent="0.25">
      <c r="A1171" t="s">
        <v>2057</v>
      </c>
      <c r="B1171" s="186" t="str">
        <f>VLOOKUP(A1171,kurspris!$A$1:$B$877,2,FALSE)</f>
        <v>Svenska som andraspråk för ämneslärare, kurs 1</v>
      </c>
      <c r="C1171"/>
      <c r="D1171" t="s">
        <v>483</v>
      </c>
      <c r="E1171" t="s">
        <v>1975</v>
      </c>
      <c r="F1171" s="59" t="s">
        <v>1930</v>
      </c>
      <c r="G1171" t="s">
        <v>1995</v>
      </c>
      <c r="H1171" t="s">
        <v>1910</v>
      </c>
      <c r="I1171"/>
      <c r="J1171" t="s">
        <v>771</v>
      </c>
      <c r="K1171"/>
      <c r="L1171">
        <v>100</v>
      </c>
      <c r="M1171">
        <v>30</v>
      </c>
      <c r="N1171"/>
      <c r="O1171"/>
      <c r="P1171" s="31">
        <v>1</v>
      </c>
      <c r="Q1171" s="232">
        <f t="shared" si="608"/>
        <v>0.5</v>
      </c>
      <c r="R1171" s="40">
        <v>0.85</v>
      </c>
      <c r="S1171" s="334">
        <f t="shared" si="609"/>
        <v>0.42499999999999999</v>
      </c>
      <c r="T1171" s="31">
        <f>VLOOKUP(A1171,'Ansvar kurs'!$A$1:$C$1010,2,FALSE)</f>
        <v>1620</v>
      </c>
      <c r="U1171" s="31" t="str">
        <f>VLOOKUP(T1171,Orgenheter!$A$1:$C$165,2,FALSE)</f>
        <v>Inst för språkstudier</v>
      </c>
      <c r="V1171" s="31" t="str">
        <f>VLOOKUP(T1171,Orgenheter!$A$1:$C$165,3,FALSE)</f>
        <v>Hum</v>
      </c>
      <c r="W1171" s="37" t="str">
        <f>VLOOKUP(D1171,Program!$A$1:$B$34,2,FALSE)</f>
        <v>Ämneslärarprogrammet - Gy</v>
      </c>
      <c r="X1171" s="42">
        <f>VLOOKUP(A1171,kurspris!$A$1:$Q$798,15,FALSE)</f>
        <v>18405</v>
      </c>
      <c r="Y1171" s="42">
        <f>VLOOKUP(A1171,kurspris!$A$1:$Q$798,16,FALSE)</f>
        <v>15773</v>
      </c>
      <c r="Z1171" s="42">
        <f t="shared" si="610"/>
        <v>15906.025</v>
      </c>
      <c r="AA1171" s="42">
        <f>VLOOKUP(A1171,kurspris!$A$1:$Q$798,17,FALSE)</f>
        <v>5800</v>
      </c>
      <c r="AB1171" s="42">
        <f t="shared" si="611"/>
        <v>2900</v>
      </c>
      <c r="AC1171" s="42">
        <f t="shared" si="612"/>
        <v>18806.025000000001</v>
      </c>
      <c r="AD1171" s="31">
        <f>VLOOKUP($A1171,kurspris!$A$1:$Q$835,3,FALSE)</f>
        <v>0</v>
      </c>
      <c r="AE1171" s="31">
        <f>VLOOKUP($A1171,kurspris!$A$1:$Q$835,4,FALSE)</f>
        <v>1</v>
      </c>
      <c r="AF1171" s="31">
        <f>VLOOKUP($A1171,kurspris!$A$1:$Q$835,5,FALSE)</f>
        <v>0</v>
      </c>
      <c r="AG1171" s="31">
        <f>VLOOKUP($A1171,kurspris!$A$1:$Q$835,6,FALSE)</f>
        <v>0</v>
      </c>
      <c r="AH1171" s="31">
        <f>VLOOKUP($A1171,kurspris!$A$1:$Q$835,7,FALSE)</f>
        <v>0</v>
      </c>
      <c r="AI1171" s="31">
        <f>VLOOKUP($A1171,kurspris!$A$1:$Q$835,8,FALSE)</f>
        <v>0</v>
      </c>
      <c r="AJ1171" s="31">
        <f>VLOOKUP($A1171,kurspris!$A$1:$Q$835,9,FALSE)</f>
        <v>0</v>
      </c>
      <c r="AK1171" s="31">
        <f>VLOOKUP($A1171,kurspris!$A$1:$Q$835,10,FALSE)</f>
        <v>0</v>
      </c>
      <c r="AL1171" s="31">
        <f>VLOOKUP($A1171,kurspris!$A$1:$Q$835,11,FALSE)</f>
        <v>0</v>
      </c>
      <c r="AM1171" s="31">
        <f>VLOOKUP($A1171,kurspris!$A$1:$Q$835,12,FALSE)</f>
        <v>0</v>
      </c>
      <c r="AN1171" s="31">
        <f>VLOOKUP($A1171,kurspris!$A$1:$Q$835,13,FALSE)</f>
        <v>0</v>
      </c>
      <c r="AO1171" s="31">
        <f>VLOOKUP($A1171,kurspris!$A$1:$Q$835,14,FALSE)</f>
        <v>0</v>
      </c>
      <c r="AP1171" s="39" t="s">
        <v>2204</v>
      </c>
      <c r="AQ1171"/>
      <c r="AR1171" s="31">
        <f t="shared" si="613"/>
        <v>0</v>
      </c>
      <c r="AS1171" s="255">
        <f t="shared" si="614"/>
        <v>0</v>
      </c>
      <c r="AT1171" s="31">
        <f t="shared" si="615"/>
        <v>0.5</v>
      </c>
      <c r="AU1171" s="255">
        <f t="shared" si="616"/>
        <v>0.42499999999999999</v>
      </c>
      <c r="AV1171" s="31">
        <f t="shared" si="617"/>
        <v>0</v>
      </c>
      <c r="AW1171" s="31">
        <f t="shared" si="618"/>
        <v>0</v>
      </c>
      <c r="AX1171" s="31">
        <f t="shared" si="619"/>
        <v>0</v>
      </c>
      <c r="AY1171" s="255">
        <f t="shared" si="620"/>
        <v>0</v>
      </c>
      <c r="AZ1171" s="232">
        <f t="shared" si="621"/>
        <v>0</v>
      </c>
      <c r="BA1171" s="255">
        <f t="shared" si="622"/>
        <v>0</v>
      </c>
      <c r="BB1171" s="31">
        <f t="shared" si="623"/>
        <v>0</v>
      </c>
      <c r="BC1171" s="255">
        <f t="shared" si="624"/>
        <v>0</v>
      </c>
      <c r="BD1171" s="31">
        <f t="shared" si="625"/>
        <v>0</v>
      </c>
      <c r="BE1171" s="255">
        <f t="shared" si="626"/>
        <v>0</v>
      </c>
      <c r="BF1171" s="31">
        <f t="shared" si="627"/>
        <v>0</v>
      </c>
      <c r="BG1171" s="255">
        <f t="shared" si="628"/>
        <v>0</v>
      </c>
      <c r="BH1171" s="31">
        <f t="shared" si="629"/>
        <v>0</v>
      </c>
      <c r="BI1171" s="255">
        <f t="shared" si="630"/>
        <v>0</v>
      </c>
      <c r="BJ1171" s="31">
        <f t="shared" si="631"/>
        <v>0</v>
      </c>
      <c r="BK1171" s="31">
        <f t="shared" si="632"/>
        <v>0</v>
      </c>
      <c r="BL1171" s="255">
        <f t="shared" si="633"/>
        <v>0</v>
      </c>
      <c r="BM1171" s="31">
        <f t="shared" si="634"/>
        <v>0</v>
      </c>
      <c r="BN1171" s="255">
        <f t="shared" si="635"/>
        <v>0</v>
      </c>
    </row>
    <row r="1172" spans="1:66" x14ac:dyDescent="0.25">
      <c r="A1172" t="s">
        <v>2057</v>
      </c>
      <c r="B1172" s="186" t="str">
        <f>VLOOKUP(A1172,kurspris!$A$1:$B$877,2,FALSE)</f>
        <v>Svenska som andraspråk för ämneslärare, kurs 1</v>
      </c>
      <c r="C1172"/>
      <c r="D1172" t="s">
        <v>483</v>
      </c>
      <c r="E1172" t="s">
        <v>1973</v>
      </c>
      <c r="F1172" s="59" t="s">
        <v>1930</v>
      </c>
      <c r="G1172" t="s">
        <v>1995</v>
      </c>
      <c r="H1172" t="s">
        <v>1910</v>
      </c>
      <c r="I1172"/>
      <c r="J1172" t="s">
        <v>1952</v>
      </c>
      <c r="K1172"/>
      <c r="L1172">
        <v>100</v>
      </c>
      <c r="M1172">
        <v>30</v>
      </c>
      <c r="N1172"/>
      <c r="O1172"/>
      <c r="P1172" s="31">
        <v>1</v>
      </c>
      <c r="Q1172" s="232">
        <f t="shared" si="608"/>
        <v>0.5</v>
      </c>
      <c r="R1172" s="40">
        <v>0.85</v>
      </c>
      <c r="S1172" s="334">
        <f t="shared" si="609"/>
        <v>0.42499999999999999</v>
      </c>
      <c r="T1172" s="31">
        <f>VLOOKUP(A1172,'Ansvar kurs'!$A$1:$C$1010,2,FALSE)</f>
        <v>1620</v>
      </c>
      <c r="U1172" s="31" t="str">
        <f>VLOOKUP(T1172,Orgenheter!$A$1:$C$165,2,FALSE)</f>
        <v>Inst för språkstudier</v>
      </c>
      <c r="V1172" s="31" t="str">
        <f>VLOOKUP(T1172,Orgenheter!$A$1:$C$165,3,FALSE)</f>
        <v>Hum</v>
      </c>
      <c r="W1172" s="37" t="str">
        <f>VLOOKUP(D1172,Program!$A$1:$B$34,2,FALSE)</f>
        <v>Ämneslärarprogrammet - Gy</v>
      </c>
      <c r="X1172" s="42">
        <f>VLOOKUP(A1172,kurspris!$A$1:$Q$798,15,FALSE)</f>
        <v>18405</v>
      </c>
      <c r="Y1172" s="42">
        <f>VLOOKUP(A1172,kurspris!$A$1:$Q$798,16,FALSE)</f>
        <v>15773</v>
      </c>
      <c r="Z1172" s="42">
        <f t="shared" si="610"/>
        <v>15906.025</v>
      </c>
      <c r="AA1172" s="42">
        <f>VLOOKUP(A1172,kurspris!$A$1:$Q$798,17,FALSE)</f>
        <v>5800</v>
      </c>
      <c r="AB1172" s="42">
        <f t="shared" si="611"/>
        <v>2900</v>
      </c>
      <c r="AC1172" s="42">
        <f t="shared" si="612"/>
        <v>18806.025000000001</v>
      </c>
      <c r="AD1172" s="31">
        <f>VLOOKUP($A1172,kurspris!$A$1:$Q$835,3,FALSE)</f>
        <v>0</v>
      </c>
      <c r="AE1172" s="31">
        <f>VLOOKUP($A1172,kurspris!$A$1:$Q$835,4,FALSE)</f>
        <v>1</v>
      </c>
      <c r="AF1172" s="31">
        <f>VLOOKUP($A1172,kurspris!$A$1:$Q$835,5,FALSE)</f>
        <v>0</v>
      </c>
      <c r="AG1172" s="31">
        <f>VLOOKUP($A1172,kurspris!$A$1:$Q$835,6,FALSE)</f>
        <v>0</v>
      </c>
      <c r="AH1172" s="31">
        <f>VLOOKUP($A1172,kurspris!$A$1:$Q$835,7,FALSE)</f>
        <v>0</v>
      </c>
      <c r="AI1172" s="31">
        <f>VLOOKUP($A1172,kurspris!$A$1:$Q$835,8,FALSE)</f>
        <v>0</v>
      </c>
      <c r="AJ1172" s="31">
        <f>VLOOKUP($A1172,kurspris!$A$1:$Q$835,9,FALSE)</f>
        <v>0</v>
      </c>
      <c r="AK1172" s="31">
        <f>VLOOKUP($A1172,kurspris!$A$1:$Q$835,10,FALSE)</f>
        <v>0</v>
      </c>
      <c r="AL1172" s="31">
        <f>VLOOKUP($A1172,kurspris!$A$1:$Q$835,11,FALSE)</f>
        <v>0</v>
      </c>
      <c r="AM1172" s="31">
        <f>VLOOKUP($A1172,kurspris!$A$1:$Q$835,12,FALSE)</f>
        <v>0</v>
      </c>
      <c r="AN1172" s="31">
        <f>VLOOKUP($A1172,kurspris!$A$1:$Q$835,13,FALSE)</f>
        <v>0</v>
      </c>
      <c r="AO1172" s="31">
        <f>VLOOKUP($A1172,kurspris!$A$1:$Q$835,14,FALSE)</f>
        <v>0</v>
      </c>
      <c r="AP1172" s="39" t="s">
        <v>2204</v>
      </c>
      <c r="AQ1172"/>
      <c r="AR1172" s="31">
        <f t="shared" si="613"/>
        <v>0</v>
      </c>
      <c r="AS1172" s="255">
        <f t="shared" si="614"/>
        <v>0</v>
      </c>
      <c r="AT1172" s="31">
        <f t="shared" si="615"/>
        <v>0.5</v>
      </c>
      <c r="AU1172" s="255">
        <f t="shared" si="616"/>
        <v>0.42499999999999999</v>
      </c>
      <c r="AV1172" s="31">
        <f t="shared" si="617"/>
        <v>0</v>
      </c>
      <c r="AW1172" s="31">
        <f t="shared" si="618"/>
        <v>0</v>
      </c>
      <c r="AX1172" s="31">
        <f t="shared" si="619"/>
        <v>0</v>
      </c>
      <c r="AY1172" s="255">
        <f t="shared" si="620"/>
        <v>0</v>
      </c>
      <c r="AZ1172" s="232">
        <f t="shared" si="621"/>
        <v>0</v>
      </c>
      <c r="BA1172" s="255">
        <f t="shared" si="622"/>
        <v>0</v>
      </c>
      <c r="BB1172" s="31">
        <f t="shared" si="623"/>
        <v>0</v>
      </c>
      <c r="BC1172" s="255">
        <f t="shared" si="624"/>
        <v>0</v>
      </c>
      <c r="BD1172" s="31">
        <f t="shared" si="625"/>
        <v>0</v>
      </c>
      <c r="BE1172" s="255">
        <f t="shared" si="626"/>
        <v>0</v>
      </c>
      <c r="BF1172" s="31">
        <f t="shared" si="627"/>
        <v>0</v>
      </c>
      <c r="BG1172" s="255">
        <f t="shared" si="628"/>
        <v>0</v>
      </c>
      <c r="BH1172" s="31">
        <f t="shared" si="629"/>
        <v>0</v>
      </c>
      <c r="BI1172" s="255">
        <f t="shared" si="630"/>
        <v>0</v>
      </c>
      <c r="BJ1172" s="31">
        <f t="shared" si="631"/>
        <v>0</v>
      </c>
      <c r="BK1172" s="31">
        <f t="shared" si="632"/>
        <v>0</v>
      </c>
      <c r="BL1172" s="255">
        <f t="shared" si="633"/>
        <v>0</v>
      </c>
      <c r="BM1172" s="31">
        <f t="shared" si="634"/>
        <v>0</v>
      </c>
      <c r="BN1172" s="255">
        <f t="shared" si="635"/>
        <v>0</v>
      </c>
    </row>
    <row r="1173" spans="1:66" x14ac:dyDescent="0.25">
      <c r="A1173" t="s">
        <v>2057</v>
      </c>
      <c r="B1173" s="186" t="str">
        <f>VLOOKUP(A1173,kurspris!$A$1:$B$877,2,FALSE)</f>
        <v>Svenska som andraspråk för ämneslärare, kurs 1</v>
      </c>
      <c r="C1173"/>
      <c r="D1173" t="s">
        <v>483</v>
      </c>
      <c r="E1173" t="s">
        <v>1973</v>
      </c>
      <c r="F1173" s="59" t="s">
        <v>1930</v>
      </c>
      <c r="G1173" t="s">
        <v>1995</v>
      </c>
      <c r="H1173" t="s">
        <v>1910</v>
      </c>
      <c r="I1173"/>
      <c r="J1173" t="s">
        <v>771</v>
      </c>
      <c r="K1173"/>
      <c r="L1173">
        <v>100</v>
      </c>
      <c r="M1173">
        <v>30</v>
      </c>
      <c r="N1173"/>
      <c r="O1173"/>
      <c r="P1173" s="31">
        <v>9</v>
      </c>
      <c r="Q1173" s="232">
        <f t="shared" si="608"/>
        <v>4.5</v>
      </c>
      <c r="R1173" s="40">
        <v>0.85</v>
      </c>
      <c r="S1173" s="334">
        <f t="shared" si="609"/>
        <v>3.8249999999999997</v>
      </c>
      <c r="T1173" s="31">
        <f>VLOOKUP(A1173,'Ansvar kurs'!$A$1:$C$1010,2,FALSE)</f>
        <v>1620</v>
      </c>
      <c r="U1173" s="31" t="str">
        <f>VLOOKUP(T1173,Orgenheter!$A$1:$C$165,2,FALSE)</f>
        <v>Inst för språkstudier</v>
      </c>
      <c r="V1173" s="31" t="str">
        <f>VLOOKUP(T1173,Orgenheter!$A$1:$C$165,3,FALSE)</f>
        <v>Hum</v>
      </c>
      <c r="W1173" s="37" t="str">
        <f>VLOOKUP(D1173,Program!$A$1:$B$34,2,FALSE)</f>
        <v>Ämneslärarprogrammet - Gy</v>
      </c>
      <c r="X1173" s="42">
        <f>VLOOKUP(A1173,kurspris!$A$1:$Q$798,15,FALSE)</f>
        <v>18405</v>
      </c>
      <c r="Y1173" s="42">
        <f>VLOOKUP(A1173,kurspris!$A$1:$Q$798,16,FALSE)</f>
        <v>15773</v>
      </c>
      <c r="Z1173" s="42">
        <f t="shared" si="610"/>
        <v>143154.22500000001</v>
      </c>
      <c r="AA1173" s="42">
        <f>VLOOKUP(A1173,kurspris!$A$1:$Q$798,17,FALSE)</f>
        <v>5800</v>
      </c>
      <c r="AB1173" s="42">
        <f t="shared" si="611"/>
        <v>26100</v>
      </c>
      <c r="AC1173" s="42">
        <f t="shared" si="612"/>
        <v>169254.22500000001</v>
      </c>
      <c r="AD1173" s="31">
        <f>VLOOKUP($A1173,kurspris!$A$1:$Q$835,3,FALSE)</f>
        <v>0</v>
      </c>
      <c r="AE1173" s="31">
        <f>VLOOKUP($A1173,kurspris!$A$1:$Q$835,4,FALSE)</f>
        <v>1</v>
      </c>
      <c r="AF1173" s="31">
        <f>VLOOKUP($A1173,kurspris!$A$1:$Q$835,5,FALSE)</f>
        <v>0</v>
      </c>
      <c r="AG1173" s="31">
        <f>VLOOKUP($A1173,kurspris!$A$1:$Q$835,6,FALSE)</f>
        <v>0</v>
      </c>
      <c r="AH1173" s="31">
        <f>VLOOKUP($A1173,kurspris!$A$1:$Q$835,7,FALSE)</f>
        <v>0</v>
      </c>
      <c r="AI1173" s="31">
        <f>VLOOKUP($A1173,kurspris!$A$1:$Q$835,8,FALSE)</f>
        <v>0</v>
      </c>
      <c r="AJ1173" s="31">
        <f>VLOOKUP($A1173,kurspris!$A$1:$Q$835,9,FALSE)</f>
        <v>0</v>
      </c>
      <c r="AK1173" s="31">
        <f>VLOOKUP($A1173,kurspris!$A$1:$Q$835,10,FALSE)</f>
        <v>0</v>
      </c>
      <c r="AL1173" s="31">
        <f>VLOOKUP($A1173,kurspris!$A$1:$Q$835,11,FALSE)</f>
        <v>0</v>
      </c>
      <c r="AM1173" s="31">
        <f>VLOOKUP($A1173,kurspris!$A$1:$Q$835,12,FALSE)</f>
        <v>0</v>
      </c>
      <c r="AN1173" s="31">
        <f>VLOOKUP($A1173,kurspris!$A$1:$Q$835,13,FALSE)</f>
        <v>0</v>
      </c>
      <c r="AO1173" s="31">
        <f>VLOOKUP($A1173,kurspris!$A$1:$Q$835,14,FALSE)</f>
        <v>0</v>
      </c>
      <c r="AP1173" s="39" t="s">
        <v>2204</v>
      </c>
      <c r="AQ1173"/>
      <c r="AR1173" s="31">
        <f t="shared" si="613"/>
        <v>0</v>
      </c>
      <c r="AS1173" s="255">
        <f t="shared" si="614"/>
        <v>0</v>
      </c>
      <c r="AT1173" s="31">
        <f t="shared" si="615"/>
        <v>4.5</v>
      </c>
      <c r="AU1173" s="255">
        <f t="shared" si="616"/>
        <v>3.8249999999999997</v>
      </c>
      <c r="AV1173" s="31">
        <f t="shared" si="617"/>
        <v>0</v>
      </c>
      <c r="AW1173" s="31">
        <f t="shared" si="618"/>
        <v>0</v>
      </c>
      <c r="AX1173" s="31">
        <f t="shared" si="619"/>
        <v>0</v>
      </c>
      <c r="AY1173" s="255">
        <f t="shared" si="620"/>
        <v>0</v>
      </c>
      <c r="AZ1173" s="232">
        <f t="shared" si="621"/>
        <v>0</v>
      </c>
      <c r="BA1173" s="255">
        <f t="shared" si="622"/>
        <v>0</v>
      </c>
      <c r="BB1173" s="31">
        <f t="shared" si="623"/>
        <v>0</v>
      </c>
      <c r="BC1173" s="255">
        <f t="shared" si="624"/>
        <v>0</v>
      </c>
      <c r="BD1173" s="31">
        <f t="shared" si="625"/>
        <v>0</v>
      </c>
      <c r="BE1173" s="255">
        <f t="shared" si="626"/>
        <v>0</v>
      </c>
      <c r="BF1173" s="31">
        <f t="shared" si="627"/>
        <v>0</v>
      </c>
      <c r="BG1173" s="255">
        <f t="shared" si="628"/>
        <v>0</v>
      </c>
      <c r="BH1173" s="31">
        <f t="shared" si="629"/>
        <v>0</v>
      </c>
      <c r="BI1173" s="255">
        <f t="shared" si="630"/>
        <v>0</v>
      </c>
      <c r="BJ1173" s="31">
        <f t="shared" si="631"/>
        <v>0</v>
      </c>
      <c r="BK1173" s="31">
        <f t="shared" si="632"/>
        <v>0</v>
      </c>
      <c r="BL1173" s="255">
        <f t="shared" si="633"/>
        <v>0</v>
      </c>
      <c r="BM1173" s="31">
        <f t="shared" si="634"/>
        <v>0</v>
      </c>
      <c r="BN1173" s="255">
        <f t="shared" si="635"/>
        <v>0</v>
      </c>
    </row>
    <row r="1174" spans="1:66" x14ac:dyDescent="0.25">
      <c r="A1174" t="s">
        <v>2057</v>
      </c>
      <c r="B1174" s="186" t="str">
        <f>VLOOKUP(A1174,kurspris!$A$1:$B$877,2,FALSE)</f>
        <v>Svenska som andraspråk för ämneslärare, kurs 1</v>
      </c>
      <c r="C1174"/>
      <c r="D1174" t="s">
        <v>483</v>
      </c>
      <c r="E1174" t="s">
        <v>1973</v>
      </c>
      <c r="F1174" s="59" t="s">
        <v>1930</v>
      </c>
      <c r="G1174" t="s">
        <v>1995</v>
      </c>
      <c r="H1174" t="s">
        <v>1910</v>
      </c>
      <c r="I1174"/>
      <c r="J1174" t="s">
        <v>773</v>
      </c>
      <c r="K1174"/>
      <c r="L1174">
        <v>100</v>
      </c>
      <c r="M1174">
        <v>30</v>
      </c>
      <c r="N1174"/>
      <c r="O1174"/>
      <c r="P1174" s="31">
        <v>6</v>
      </c>
      <c r="Q1174" s="232">
        <f t="shared" si="608"/>
        <v>3</v>
      </c>
      <c r="R1174" s="40">
        <v>0.85</v>
      </c>
      <c r="S1174" s="334">
        <f t="shared" si="609"/>
        <v>2.5499999999999998</v>
      </c>
      <c r="T1174" s="31">
        <f>VLOOKUP(A1174,'Ansvar kurs'!$A$1:$C$1010,2,FALSE)</f>
        <v>1620</v>
      </c>
      <c r="U1174" s="31" t="str">
        <f>VLOOKUP(T1174,Orgenheter!$A$1:$C$165,2,FALSE)</f>
        <v>Inst för språkstudier</v>
      </c>
      <c r="V1174" s="31" t="str">
        <f>VLOOKUP(T1174,Orgenheter!$A$1:$C$165,3,FALSE)</f>
        <v>Hum</v>
      </c>
      <c r="W1174" s="37" t="str">
        <f>VLOOKUP(D1174,Program!$A$1:$B$34,2,FALSE)</f>
        <v>Ämneslärarprogrammet - Gy</v>
      </c>
      <c r="X1174" s="42">
        <f>VLOOKUP(A1174,kurspris!$A$1:$Q$798,15,FALSE)</f>
        <v>18405</v>
      </c>
      <c r="Y1174" s="42">
        <f>VLOOKUP(A1174,kurspris!$A$1:$Q$798,16,FALSE)</f>
        <v>15773</v>
      </c>
      <c r="Z1174" s="42">
        <f t="shared" si="610"/>
        <v>95436.15</v>
      </c>
      <c r="AA1174" s="42">
        <f>VLOOKUP(A1174,kurspris!$A$1:$Q$798,17,FALSE)</f>
        <v>5800</v>
      </c>
      <c r="AB1174" s="42">
        <f t="shared" si="611"/>
        <v>17400</v>
      </c>
      <c r="AC1174" s="42">
        <f t="shared" si="612"/>
        <v>112836.15</v>
      </c>
      <c r="AD1174" s="31">
        <f>VLOOKUP($A1174,kurspris!$A$1:$Q$835,3,FALSE)</f>
        <v>0</v>
      </c>
      <c r="AE1174" s="31">
        <f>VLOOKUP($A1174,kurspris!$A$1:$Q$835,4,FALSE)</f>
        <v>1</v>
      </c>
      <c r="AF1174" s="31">
        <f>VLOOKUP($A1174,kurspris!$A$1:$Q$835,5,FALSE)</f>
        <v>0</v>
      </c>
      <c r="AG1174" s="31">
        <f>VLOOKUP($A1174,kurspris!$A$1:$Q$835,6,FALSE)</f>
        <v>0</v>
      </c>
      <c r="AH1174" s="31">
        <f>VLOOKUP($A1174,kurspris!$A$1:$Q$835,7,FALSE)</f>
        <v>0</v>
      </c>
      <c r="AI1174" s="31">
        <f>VLOOKUP($A1174,kurspris!$A$1:$Q$835,8,FALSE)</f>
        <v>0</v>
      </c>
      <c r="AJ1174" s="31">
        <f>VLOOKUP($A1174,kurspris!$A$1:$Q$835,9,FALSE)</f>
        <v>0</v>
      </c>
      <c r="AK1174" s="31">
        <f>VLOOKUP($A1174,kurspris!$A$1:$Q$835,10,FALSE)</f>
        <v>0</v>
      </c>
      <c r="AL1174" s="31">
        <f>VLOOKUP($A1174,kurspris!$A$1:$Q$835,11,FALSE)</f>
        <v>0</v>
      </c>
      <c r="AM1174" s="31">
        <f>VLOOKUP($A1174,kurspris!$A$1:$Q$835,12,FALSE)</f>
        <v>0</v>
      </c>
      <c r="AN1174" s="31">
        <f>VLOOKUP($A1174,kurspris!$A$1:$Q$835,13,FALSE)</f>
        <v>0</v>
      </c>
      <c r="AO1174" s="31">
        <f>VLOOKUP($A1174,kurspris!$A$1:$Q$835,14,FALSE)</f>
        <v>0</v>
      </c>
      <c r="AP1174" s="39" t="s">
        <v>2204</v>
      </c>
      <c r="AQ1174"/>
      <c r="AR1174" s="31">
        <f t="shared" si="613"/>
        <v>0</v>
      </c>
      <c r="AS1174" s="255">
        <f t="shared" si="614"/>
        <v>0</v>
      </c>
      <c r="AT1174" s="31">
        <f t="shared" si="615"/>
        <v>3</v>
      </c>
      <c r="AU1174" s="255">
        <f t="shared" si="616"/>
        <v>2.5499999999999998</v>
      </c>
      <c r="AV1174" s="31">
        <f t="shared" si="617"/>
        <v>0</v>
      </c>
      <c r="AW1174" s="31">
        <f t="shared" si="618"/>
        <v>0</v>
      </c>
      <c r="AX1174" s="31">
        <f t="shared" si="619"/>
        <v>0</v>
      </c>
      <c r="AY1174" s="255">
        <f t="shared" si="620"/>
        <v>0</v>
      </c>
      <c r="AZ1174" s="232">
        <f t="shared" si="621"/>
        <v>0</v>
      </c>
      <c r="BA1174" s="255">
        <f t="shared" si="622"/>
        <v>0</v>
      </c>
      <c r="BB1174" s="31">
        <f t="shared" si="623"/>
        <v>0</v>
      </c>
      <c r="BC1174" s="255">
        <f t="shared" si="624"/>
        <v>0</v>
      </c>
      <c r="BD1174" s="31">
        <f t="shared" si="625"/>
        <v>0</v>
      </c>
      <c r="BE1174" s="255">
        <f t="shared" si="626"/>
        <v>0</v>
      </c>
      <c r="BF1174" s="31">
        <f t="shared" si="627"/>
        <v>0</v>
      </c>
      <c r="BG1174" s="255">
        <f t="shared" si="628"/>
        <v>0</v>
      </c>
      <c r="BH1174" s="31">
        <f t="shared" si="629"/>
        <v>0</v>
      </c>
      <c r="BI1174" s="255">
        <f t="shared" si="630"/>
        <v>0</v>
      </c>
      <c r="BJ1174" s="31">
        <f t="shared" si="631"/>
        <v>0</v>
      </c>
      <c r="BK1174" s="31">
        <f t="shared" si="632"/>
        <v>0</v>
      </c>
      <c r="BL1174" s="255">
        <f t="shared" si="633"/>
        <v>0</v>
      </c>
      <c r="BM1174" s="31">
        <f t="shared" si="634"/>
        <v>0</v>
      </c>
      <c r="BN1174" s="255">
        <f t="shared" si="635"/>
        <v>0</v>
      </c>
    </row>
    <row r="1175" spans="1:66" x14ac:dyDescent="0.25">
      <c r="A1175" t="s">
        <v>2057</v>
      </c>
      <c r="B1175" s="186" t="str">
        <f>VLOOKUP(A1175,kurspris!$A$1:$B$877,2,FALSE)</f>
        <v>Svenska som andraspråk för ämneslärare, kurs 1</v>
      </c>
      <c r="C1175"/>
      <c r="D1175" t="s">
        <v>483</v>
      </c>
      <c r="E1175" t="s">
        <v>1973</v>
      </c>
      <c r="F1175" s="59" t="s">
        <v>1930</v>
      </c>
      <c r="G1175" t="s">
        <v>1995</v>
      </c>
      <c r="H1175" t="s">
        <v>1910</v>
      </c>
      <c r="I1175"/>
      <c r="J1175" t="s">
        <v>778</v>
      </c>
      <c r="K1175"/>
      <c r="L1175">
        <v>100</v>
      </c>
      <c r="M1175">
        <v>30</v>
      </c>
      <c r="N1175"/>
      <c r="O1175"/>
      <c r="P1175" s="31">
        <v>5</v>
      </c>
      <c r="Q1175" s="232">
        <f t="shared" si="608"/>
        <v>2.5</v>
      </c>
      <c r="R1175" s="40">
        <v>0.85</v>
      </c>
      <c r="S1175" s="334">
        <f t="shared" si="609"/>
        <v>2.125</v>
      </c>
      <c r="T1175" s="31">
        <f>VLOOKUP(A1175,'Ansvar kurs'!$A$1:$C$1010,2,FALSE)</f>
        <v>1620</v>
      </c>
      <c r="U1175" s="31" t="str">
        <f>VLOOKUP(T1175,Orgenheter!$A$1:$C$165,2,FALSE)</f>
        <v>Inst för språkstudier</v>
      </c>
      <c r="V1175" s="31" t="str">
        <f>VLOOKUP(T1175,Orgenheter!$A$1:$C$165,3,FALSE)</f>
        <v>Hum</v>
      </c>
      <c r="W1175" s="37" t="str">
        <f>VLOOKUP(D1175,Program!$A$1:$B$34,2,FALSE)</f>
        <v>Ämneslärarprogrammet - Gy</v>
      </c>
      <c r="X1175" s="42">
        <f>VLOOKUP(A1175,kurspris!$A$1:$Q$798,15,FALSE)</f>
        <v>18405</v>
      </c>
      <c r="Y1175" s="42">
        <f>VLOOKUP(A1175,kurspris!$A$1:$Q$798,16,FALSE)</f>
        <v>15773</v>
      </c>
      <c r="Z1175" s="42">
        <f t="shared" si="610"/>
        <v>79530.125</v>
      </c>
      <c r="AA1175" s="42">
        <f>VLOOKUP(A1175,kurspris!$A$1:$Q$798,17,FALSE)</f>
        <v>5800</v>
      </c>
      <c r="AB1175" s="42">
        <f t="shared" si="611"/>
        <v>14500</v>
      </c>
      <c r="AC1175" s="42">
        <f t="shared" si="612"/>
        <v>94030.125</v>
      </c>
      <c r="AD1175" s="31">
        <f>VLOOKUP($A1175,kurspris!$A$1:$Q$835,3,FALSE)</f>
        <v>0</v>
      </c>
      <c r="AE1175" s="31">
        <f>VLOOKUP($A1175,kurspris!$A$1:$Q$835,4,FALSE)</f>
        <v>1</v>
      </c>
      <c r="AF1175" s="31">
        <f>VLOOKUP($A1175,kurspris!$A$1:$Q$835,5,FALSE)</f>
        <v>0</v>
      </c>
      <c r="AG1175" s="31">
        <f>VLOOKUP($A1175,kurspris!$A$1:$Q$835,6,FALSE)</f>
        <v>0</v>
      </c>
      <c r="AH1175" s="31">
        <f>VLOOKUP($A1175,kurspris!$A$1:$Q$835,7,FALSE)</f>
        <v>0</v>
      </c>
      <c r="AI1175" s="31">
        <f>VLOOKUP($A1175,kurspris!$A$1:$Q$835,8,FALSE)</f>
        <v>0</v>
      </c>
      <c r="AJ1175" s="31">
        <f>VLOOKUP($A1175,kurspris!$A$1:$Q$835,9,FALSE)</f>
        <v>0</v>
      </c>
      <c r="AK1175" s="31">
        <f>VLOOKUP($A1175,kurspris!$A$1:$Q$835,10,FALSE)</f>
        <v>0</v>
      </c>
      <c r="AL1175" s="31">
        <f>VLOOKUP($A1175,kurspris!$A$1:$Q$835,11,FALSE)</f>
        <v>0</v>
      </c>
      <c r="AM1175" s="31">
        <f>VLOOKUP($A1175,kurspris!$A$1:$Q$835,12,FALSE)</f>
        <v>0</v>
      </c>
      <c r="AN1175" s="31">
        <f>VLOOKUP($A1175,kurspris!$A$1:$Q$835,13,FALSE)</f>
        <v>0</v>
      </c>
      <c r="AO1175" s="31">
        <f>VLOOKUP($A1175,kurspris!$A$1:$Q$835,14,FALSE)</f>
        <v>0</v>
      </c>
      <c r="AP1175" s="39" t="s">
        <v>2204</v>
      </c>
      <c r="AQ1175"/>
      <c r="AR1175" s="31">
        <f t="shared" si="613"/>
        <v>0</v>
      </c>
      <c r="AS1175" s="255">
        <f t="shared" si="614"/>
        <v>0</v>
      </c>
      <c r="AT1175" s="31">
        <f t="shared" si="615"/>
        <v>2.5</v>
      </c>
      <c r="AU1175" s="255">
        <f t="shared" si="616"/>
        <v>2.125</v>
      </c>
      <c r="AV1175" s="31">
        <f t="shared" si="617"/>
        <v>0</v>
      </c>
      <c r="AW1175" s="31">
        <f t="shared" si="618"/>
        <v>0</v>
      </c>
      <c r="AX1175" s="31">
        <f t="shared" si="619"/>
        <v>0</v>
      </c>
      <c r="AY1175" s="255">
        <f t="shared" si="620"/>
        <v>0</v>
      </c>
      <c r="AZ1175" s="232">
        <f t="shared" si="621"/>
        <v>0</v>
      </c>
      <c r="BA1175" s="255">
        <f t="shared" si="622"/>
        <v>0</v>
      </c>
      <c r="BB1175" s="31">
        <f t="shared" si="623"/>
        <v>0</v>
      </c>
      <c r="BC1175" s="255">
        <f t="shared" si="624"/>
        <v>0</v>
      </c>
      <c r="BD1175" s="31">
        <f t="shared" si="625"/>
        <v>0</v>
      </c>
      <c r="BE1175" s="255">
        <f t="shared" si="626"/>
        <v>0</v>
      </c>
      <c r="BF1175" s="31">
        <f t="shared" si="627"/>
        <v>0</v>
      </c>
      <c r="BG1175" s="255">
        <f t="shared" si="628"/>
        <v>0</v>
      </c>
      <c r="BH1175" s="31">
        <f t="shared" si="629"/>
        <v>0</v>
      </c>
      <c r="BI1175" s="255">
        <f t="shared" si="630"/>
        <v>0</v>
      </c>
      <c r="BJ1175" s="31">
        <f t="shared" si="631"/>
        <v>0</v>
      </c>
      <c r="BK1175" s="31">
        <f t="shared" si="632"/>
        <v>0</v>
      </c>
      <c r="BL1175" s="255">
        <f t="shared" si="633"/>
        <v>0</v>
      </c>
      <c r="BM1175" s="31">
        <f t="shared" si="634"/>
        <v>0</v>
      </c>
      <c r="BN1175" s="255">
        <f t="shared" si="635"/>
        <v>0</v>
      </c>
    </row>
    <row r="1176" spans="1:66" x14ac:dyDescent="0.25">
      <c r="A1176" t="s">
        <v>2057</v>
      </c>
      <c r="B1176" s="186" t="str">
        <f>VLOOKUP(A1176,kurspris!$A$1:$B$877,2,FALSE)</f>
        <v>Svenska som andraspråk för ämneslärare, kurs 1</v>
      </c>
      <c r="C1176"/>
      <c r="D1176" t="s">
        <v>483</v>
      </c>
      <c r="E1176" t="s">
        <v>1609</v>
      </c>
      <c r="F1176" s="59" t="s">
        <v>1930</v>
      </c>
      <c r="G1176" t="s">
        <v>1995</v>
      </c>
      <c r="H1176" t="s">
        <v>1910</v>
      </c>
      <c r="I1176"/>
      <c r="J1176" t="s">
        <v>771</v>
      </c>
      <c r="K1176"/>
      <c r="L1176">
        <v>100</v>
      </c>
      <c r="M1176">
        <v>30</v>
      </c>
      <c r="N1176"/>
      <c r="O1176"/>
      <c r="P1176" s="31">
        <v>1</v>
      </c>
      <c r="Q1176" s="232">
        <f t="shared" si="608"/>
        <v>0.5</v>
      </c>
      <c r="R1176" s="40">
        <v>0.85</v>
      </c>
      <c r="S1176" s="334">
        <f t="shared" si="609"/>
        <v>0.42499999999999999</v>
      </c>
      <c r="T1176" s="31">
        <f>VLOOKUP(A1176,'Ansvar kurs'!$A$1:$C$1010,2,FALSE)</f>
        <v>1620</v>
      </c>
      <c r="U1176" s="31" t="str">
        <f>VLOOKUP(T1176,Orgenheter!$A$1:$C$165,2,FALSE)</f>
        <v>Inst för språkstudier</v>
      </c>
      <c r="V1176" s="31" t="str">
        <f>VLOOKUP(T1176,Orgenheter!$A$1:$C$165,3,FALSE)</f>
        <v>Hum</v>
      </c>
      <c r="W1176" s="37" t="str">
        <f>VLOOKUP(D1176,Program!$A$1:$B$34,2,FALSE)</f>
        <v>Ämneslärarprogrammet - Gy</v>
      </c>
      <c r="X1176" s="42">
        <f>VLOOKUP(A1176,kurspris!$A$1:$Q$798,15,FALSE)</f>
        <v>18405</v>
      </c>
      <c r="Y1176" s="42">
        <f>VLOOKUP(A1176,kurspris!$A$1:$Q$798,16,FALSE)</f>
        <v>15773</v>
      </c>
      <c r="Z1176" s="42">
        <f t="shared" si="610"/>
        <v>15906.025</v>
      </c>
      <c r="AA1176" s="42">
        <f>VLOOKUP(A1176,kurspris!$A$1:$Q$798,17,FALSE)</f>
        <v>5800</v>
      </c>
      <c r="AB1176" s="42">
        <f t="shared" si="611"/>
        <v>2900</v>
      </c>
      <c r="AC1176" s="42">
        <f t="shared" si="612"/>
        <v>18806.025000000001</v>
      </c>
      <c r="AD1176" s="31">
        <f>VLOOKUP($A1176,kurspris!$A$1:$Q$835,3,FALSE)</f>
        <v>0</v>
      </c>
      <c r="AE1176" s="31">
        <f>VLOOKUP($A1176,kurspris!$A$1:$Q$835,4,FALSE)</f>
        <v>1</v>
      </c>
      <c r="AF1176" s="31">
        <f>VLOOKUP($A1176,kurspris!$A$1:$Q$835,5,FALSE)</f>
        <v>0</v>
      </c>
      <c r="AG1176" s="31">
        <f>VLOOKUP($A1176,kurspris!$A$1:$Q$835,6,FALSE)</f>
        <v>0</v>
      </c>
      <c r="AH1176" s="31">
        <f>VLOOKUP($A1176,kurspris!$A$1:$Q$835,7,FALSE)</f>
        <v>0</v>
      </c>
      <c r="AI1176" s="31">
        <f>VLOOKUP($A1176,kurspris!$A$1:$Q$835,8,FALSE)</f>
        <v>0</v>
      </c>
      <c r="AJ1176" s="31">
        <f>VLOOKUP($A1176,kurspris!$A$1:$Q$835,9,FALSE)</f>
        <v>0</v>
      </c>
      <c r="AK1176" s="31">
        <f>VLOOKUP($A1176,kurspris!$A$1:$Q$835,10,FALSE)</f>
        <v>0</v>
      </c>
      <c r="AL1176" s="31">
        <f>VLOOKUP($A1176,kurspris!$A$1:$Q$835,11,FALSE)</f>
        <v>0</v>
      </c>
      <c r="AM1176" s="31">
        <f>VLOOKUP($A1176,kurspris!$A$1:$Q$835,12,FALSE)</f>
        <v>0</v>
      </c>
      <c r="AN1176" s="31">
        <f>VLOOKUP($A1176,kurspris!$A$1:$Q$835,13,FALSE)</f>
        <v>0</v>
      </c>
      <c r="AO1176" s="31">
        <f>VLOOKUP($A1176,kurspris!$A$1:$Q$835,14,FALSE)</f>
        <v>0</v>
      </c>
      <c r="AP1176" s="39" t="s">
        <v>2204</v>
      </c>
      <c r="AQ1176"/>
      <c r="AR1176" s="31">
        <f t="shared" si="613"/>
        <v>0</v>
      </c>
      <c r="AS1176" s="255">
        <f t="shared" si="614"/>
        <v>0</v>
      </c>
      <c r="AT1176" s="31">
        <f t="shared" si="615"/>
        <v>0.5</v>
      </c>
      <c r="AU1176" s="255">
        <f t="shared" si="616"/>
        <v>0.42499999999999999</v>
      </c>
      <c r="AV1176" s="31">
        <f t="shared" si="617"/>
        <v>0</v>
      </c>
      <c r="AW1176" s="31">
        <f t="shared" si="618"/>
        <v>0</v>
      </c>
      <c r="AX1176" s="31">
        <f t="shared" si="619"/>
        <v>0</v>
      </c>
      <c r="AY1176" s="255">
        <f t="shared" si="620"/>
        <v>0</v>
      </c>
      <c r="AZ1176" s="232">
        <f t="shared" si="621"/>
        <v>0</v>
      </c>
      <c r="BA1176" s="255">
        <f t="shared" si="622"/>
        <v>0</v>
      </c>
      <c r="BB1176" s="31">
        <f t="shared" si="623"/>
        <v>0</v>
      </c>
      <c r="BC1176" s="255">
        <f t="shared" si="624"/>
        <v>0</v>
      </c>
      <c r="BD1176" s="31">
        <f t="shared" si="625"/>
        <v>0</v>
      </c>
      <c r="BE1176" s="255">
        <f t="shared" si="626"/>
        <v>0</v>
      </c>
      <c r="BF1176" s="31">
        <f t="shared" si="627"/>
        <v>0</v>
      </c>
      <c r="BG1176" s="255">
        <f t="shared" si="628"/>
        <v>0</v>
      </c>
      <c r="BH1176" s="31">
        <f t="shared" si="629"/>
        <v>0</v>
      </c>
      <c r="BI1176" s="255">
        <f t="shared" si="630"/>
        <v>0</v>
      </c>
      <c r="BJ1176" s="31">
        <f t="shared" si="631"/>
        <v>0</v>
      </c>
      <c r="BK1176" s="31">
        <f t="shared" si="632"/>
        <v>0</v>
      </c>
      <c r="BL1176" s="255">
        <f t="shared" si="633"/>
        <v>0</v>
      </c>
      <c r="BM1176" s="31">
        <f t="shared" si="634"/>
        <v>0</v>
      </c>
      <c r="BN1176" s="255">
        <f t="shared" si="635"/>
        <v>0</v>
      </c>
    </row>
    <row r="1177" spans="1:66" x14ac:dyDescent="0.25">
      <c r="A1177" t="s">
        <v>2057</v>
      </c>
      <c r="B1177" s="186" t="str">
        <f>VLOOKUP(A1177,kurspris!$A$1:$B$877,2,FALSE)</f>
        <v>Svenska som andraspråk för ämneslärare, kurs 1</v>
      </c>
      <c r="C1177"/>
      <c r="D1177" t="s">
        <v>483</v>
      </c>
      <c r="E1177" t="s">
        <v>1609</v>
      </c>
      <c r="F1177" s="59" t="s">
        <v>1930</v>
      </c>
      <c r="G1177" t="s">
        <v>1995</v>
      </c>
      <c r="H1177" t="s">
        <v>1910</v>
      </c>
      <c r="I1177"/>
      <c r="J1177" t="s">
        <v>774</v>
      </c>
      <c r="K1177"/>
      <c r="L1177">
        <v>100</v>
      </c>
      <c r="M1177">
        <v>30</v>
      </c>
      <c r="N1177"/>
      <c r="O1177"/>
      <c r="P1177" s="31">
        <v>1</v>
      </c>
      <c r="Q1177" s="232">
        <f t="shared" si="608"/>
        <v>0.5</v>
      </c>
      <c r="R1177" s="40">
        <v>0.85</v>
      </c>
      <c r="S1177" s="334">
        <f t="shared" si="609"/>
        <v>0.42499999999999999</v>
      </c>
      <c r="T1177" s="31">
        <f>VLOOKUP(A1177,'Ansvar kurs'!$A$1:$C$1010,2,FALSE)</f>
        <v>1620</v>
      </c>
      <c r="U1177" s="31" t="str">
        <f>VLOOKUP(T1177,Orgenheter!$A$1:$C$165,2,FALSE)</f>
        <v>Inst för språkstudier</v>
      </c>
      <c r="V1177" s="31" t="str">
        <f>VLOOKUP(T1177,Orgenheter!$A$1:$C$165,3,FALSE)</f>
        <v>Hum</v>
      </c>
      <c r="W1177" s="37" t="str">
        <f>VLOOKUP(D1177,Program!$A$1:$B$34,2,FALSE)</f>
        <v>Ämneslärarprogrammet - Gy</v>
      </c>
      <c r="X1177" s="42">
        <f>VLOOKUP(A1177,kurspris!$A$1:$Q$798,15,FALSE)</f>
        <v>18405</v>
      </c>
      <c r="Y1177" s="42">
        <f>VLOOKUP(A1177,kurspris!$A$1:$Q$798,16,FALSE)</f>
        <v>15773</v>
      </c>
      <c r="Z1177" s="42">
        <f t="shared" si="610"/>
        <v>15906.025</v>
      </c>
      <c r="AA1177" s="42">
        <f>VLOOKUP(A1177,kurspris!$A$1:$Q$798,17,FALSE)</f>
        <v>5800</v>
      </c>
      <c r="AB1177" s="42">
        <f t="shared" si="611"/>
        <v>2900</v>
      </c>
      <c r="AC1177" s="42">
        <f t="shared" si="612"/>
        <v>18806.025000000001</v>
      </c>
      <c r="AD1177" s="31">
        <f>VLOOKUP($A1177,kurspris!$A$1:$Q$835,3,FALSE)</f>
        <v>0</v>
      </c>
      <c r="AE1177" s="31">
        <f>VLOOKUP($A1177,kurspris!$A$1:$Q$835,4,FALSE)</f>
        <v>1</v>
      </c>
      <c r="AF1177" s="31">
        <f>VLOOKUP($A1177,kurspris!$A$1:$Q$835,5,FALSE)</f>
        <v>0</v>
      </c>
      <c r="AG1177" s="31">
        <f>VLOOKUP($A1177,kurspris!$A$1:$Q$835,6,FALSE)</f>
        <v>0</v>
      </c>
      <c r="AH1177" s="31">
        <f>VLOOKUP($A1177,kurspris!$A$1:$Q$835,7,FALSE)</f>
        <v>0</v>
      </c>
      <c r="AI1177" s="31">
        <f>VLOOKUP($A1177,kurspris!$A$1:$Q$835,8,FALSE)</f>
        <v>0</v>
      </c>
      <c r="AJ1177" s="31">
        <f>VLOOKUP($A1177,kurspris!$A$1:$Q$835,9,FALSE)</f>
        <v>0</v>
      </c>
      <c r="AK1177" s="31">
        <f>VLOOKUP($A1177,kurspris!$A$1:$Q$835,10,FALSE)</f>
        <v>0</v>
      </c>
      <c r="AL1177" s="31">
        <f>VLOOKUP($A1177,kurspris!$A$1:$Q$835,11,FALSE)</f>
        <v>0</v>
      </c>
      <c r="AM1177" s="31">
        <f>VLOOKUP($A1177,kurspris!$A$1:$Q$835,12,FALSE)</f>
        <v>0</v>
      </c>
      <c r="AN1177" s="31">
        <f>VLOOKUP($A1177,kurspris!$A$1:$Q$835,13,FALSE)</f>
        <v>0</v>
      </c>
      <c r="AO1177" s="31">
        <f>VLOOKUP($A1177,kurspris!$A$1:$Q$835,14,FALSE)</f>
        <v>0</v>
      </c>
      <c r="AP1177" s="39" t="s">
        <v>2204</v>
      </c>
      <c r="AQ1177"/>
      <c r="AR1177" s="31">
        <f t="shared" si="613"/>
        <v>0</v>
      </c>
      <c r="AS1177" s="255">
        <f t="shared" si="614"/>
        <v>0</v>
      </c>
      <c r="AT1177" s="31">
        <f t="shared" si="615"/>
        <v>0.5</v>
      </c>
      <c r="AU1177" s="255">
        <f t="shared" si="616"/>
        <v>0.42499999999999999</v>
      </c>
      <c r="AV1177" s="31">
        <f t="shared" si="617"/>
        <v>0</v>
      </c>
      <c r="AW1177" s="31">
        <f t="shared" si="618"/>
        <v>0</v>
      </c>
      <c r="AX1177" s="31">
        <f t="shared" si="619"/>
        <v>0</v>
      </c>
      <c r="AY1177" s="255">
        <f t="shared" si="620"/>
        <v>0</v>
      </c>
      <c r="AZ1177" s="232">
        <f t="shared" si="621"/>
        <v>0</v>
      </c>
      <c r="BA1177" s="255">
        <f t="shared" si="622"/>
        <v>0</v>
      </c>
      <c r="BB1177" s="31">
        <f t="shared" si="623"/>
        <v>0</v>
      </c>
      <c r="BC1177" s="255">
        <f t="shared" si="624"/>
        <v>0</v>
      </c>
      <c r="BD1177" s="31">
        <f t="shared" si="625"/>
        <v>0</v>
      </c>
      <c r="BE1177" s="255">
        <f t="shared" si="626"/>
        <v>0</v>
      </c>
      <c r="BF1177" s="31">
        <f t="shared" si="627"/>
        <v>0</v>
      </c>
      <c r="BG1177" s="255">
        <f t="shared" si="628"/>
        <v>0</v>
      </c>
      <c r="BH1177" s="31">
        <f t="shared" si="629"/>
        <v>0</v>
      </c>
      <c r="BI1177" s="255">
        <f t="shared" si="630"/>
        <v>0</v>
      </c>
      <c r="BJ1177" s="31">
        <f t="shared" si="631"/>
        <v>0</v>
      </c>
      <c r="BK1177" s="31">
        <f t="shared" si="632"/>
        <v>0</v>
      </c>
      <c r="BL1177" s="255">
        <f t="shared" si="633"/>
        <v>0</v>
      </c>
      <c r="BM1177" s="31">
        <f t="shared" si="634"/>
        <v>0</v>
      </c>
      <c r="BN1177" s="255">
        <f t="shared" si="635"/>
        <v>0</v>
      </c>
    </row>
    <row r="1178" spans="1:66" x14ac:dyDescent="0.25">
      <c r="A1178" t="s">
        <v>2057</v>
      </c>
      <c r="B1178" s="186" t="str">
        <f>VLOOKUP(A1178,kurspris!$A$1:$B$877,2,FALSE)</f>
        <v>Svenska som andraspråk för ämneslärare, kurs 1</v>
      </c>
      <c r="C1178"/>
      <c r="D1178" t="s">
        <v>483</v>
      </c>
      <c r="E1178" t="s">
        <v>1788</v>
      </c>
      <c r="F1178" s="59" t="s">
        <v>1930</v>
      </c>
      <c r="G1178" t="s">
        <v>1995</v>
      </c>
      <c r="H1178" t="s">
        <v>1910</v>
      </c>
      <c r="I1178"/>
      <c r="J1178" t="s">
        <v>1592</v>
      </c>
      <c r="K1178"/>
      <c r="L1178">
        <v>100</v>
      </c>
      <c r="M1178">
        <v>30</v>
      </c>
      <c r="N1178"/>
      <c r="O1178"/>
      <c r="P1178" s="31">
        <v>2</v>
      </c>
      <c r="Q1178" s="232">
        <f t="shared" si="608"/>
        <v>1</v>
      </c>
      <c r="R1178" s="40">
        <v>0.85</v>
      </c>
      <c r="S1178" s="334">
        <f t="shared" si="609"/>
        <v>0.85</v>
      </c>
      <c r="T1178" s="31">
        <f>VLOOKUP(A1178,'Ansvar kurs'!$A$1:$C$1010,2,FALSE)</f>
        <v>1620</v>
      </c>
      <c r="U1178" s="31" t="str">
        <f>VLOOKUP(T1178,Orgenheter!$A$1:$C$165,2,FALSE)</f>
        <v>Inst för språkstudier</v>
      </c>
      <c r="V1178" s="31" t="str">
        <f>VLOOKUP(T1178,Orgenheter!$A$1:$C$165,3,FALSE)</f>
        <v>Hum</v>
      </c>
      <c r="W1178" s="37" t="str">
        <f>VLOOKUP(D1178,Program!$A$1:$B$34,2,FALSE)</f>
        <v>Ämneslärarprogrammet - Gy</v>
      </c>
      <c r="X1178" s="42">
        <f>VLOOKUP(A1178,kurspris!$A$1:$Q$798,15,FALSE)</f>
        <v>18405</v>
      </c>
      <c r="Y1178" s="42">
        <f>VLOOKUP(A1178,kurspris!$A$1:$Q$798,16,FALSE)</f>
        <v>15773</v>
      </c>
      <c r="Z1178" s="42">
        <f t="shared" si="610"/>
        <v>31812.05</v>
      </c>
      <c r="AA1178" s="42">
        <f>VLOOKUP(A1178,kurspris!$A$1:$Q$798,17,FALSE)</f>
        <v>5800</v>
      </c>
      <c r="AB1178" s="42">
        <f t="shared" si="611"/>
        <v>5800</v>
      </c>
      <c r="AC1178" s="42">
        <f t="shared" si="612"/>
        <v>37612.050000000003</v>
      </c>
      <c r="AD1178" s="31">
        <f>VLOOKUP($A1178,kurspris!$A$1:$Q$835,3,FALSE)</f>
        <v>0</v>
      </c>
      <c r="AE1178" s="31">
        <f>VLOOKUP($A1178,kurspris!$A$1:$Q$835,4,FALSE)</f>
        <v>1</v>
      </c>
      <c r="AF1178" s="31">
        <f>VLOOKUP($A1178,kurspris!$A$1:$Q$835,5,FALSE)</f>
        <v>0</v>
      </c>
      <c r="AG1178" s="31">
        <f>VLOOKUP($A1178,kurspris!$A$1:$Q$835,6,FALSE)</f>
        <v>0</v>
      </c>
      <c r="AH1178" s="31">
        <f>VLOOKUP($A1178,kurspris!$A$1:$Q$835,7,FALSE)</f>
        <v>0</v>
      </c>
      <c r="AI1178" s="31">
        <f>VLOOKUP($A1178,kurspris!$A$1:$Q$835,8,FALSE)</f>
        <v>0</v>
      </c>
      <c r="AJ1178" s="31">
        <f>VLOOKUP($A1178,kurspris!$A$1:$Q$835,9,FALSE)</f>
        <v>0</v>
      </c>
      <c r="AK1178" s="31">
        <f>VLOOKUP($A1178,kurspris!$A$1:$Q$835,10,FALSE)</f>
        <v>0</v>
      </c>
      <c r="AL1178" s="31">
        <f>VLOOKUP($A1178,kurspris!$A$1:$Q$835,11,FALSE)</f>
        <v>0</v>
      </c>
      <c r="AM1178" s="31">
        <f>VLOOKUP($A1178,kurspris!$A$1:$Q$835,12,FALSE)</f>
        <v>0</v>
      </c>
      <c r="AN1178" s="31">
        <f>VLOOKUP($A1178,kurspris!$A$1:$Q$835,13,FALSE)</f>
        <v>0</v>
      </c>
      <c r="AO1178" s="31">
        <f>VLOOKUP($A1178,kurspris!$A$1:$Q$835,14,FALSE)</f>
        <v>0</v>
      </c>
      <c r="AP1178" s="39" t="s">
        <v>2204</v>
      </c>
      <c r="AQ1178"/>
      <c r="AR1178" s="31">
        <f t="shared" si="613"/>
        <v>0</v>
      </c>
      <c r="AS1178" s="255">
        <f t="shared" si="614"/>
        <v>0</v>
      </c>
      <c r="AT1178" s="31">
        <f t="shared" si="615"/>
        <v>1</v>
      </c>
      <c r="AU1178" s="255">
        <f t="shared" si="616"/>
        <v>0.85</v>
      </c>
      <c r="AV1178" s="31">
        <f t="shared" si="617"/>
        <v>0</v>
      </c>
      <c r="AW1178" s="31">
        <f t="shared" si="618"/>
        <v>0</v>
      </c>
      <c r="AX1178" s="31">
        <f t="shared" si="619"/>
        <v>0</v>
      </c>
      <c r="AY1178" s="255">
        <f t="shared" si="620"/>
        <v>0</v>
      </c>
      <c r="AZ1178" s="232">
        <f t="shared" si="621"/>
        <v>0</v>
      </c>
      <c r="BA1178" s="255">
        <f t="shared" si="622"/>
        <v>0</v>
      </c>
      <c r="BB1178" s="31">
        <f t="shared" si="623"/>
        <v>0</v>
      </c>
      <c r="BC1178" s="255">
        <f t="shared" si="624"/>
        <v>0</v>
      </c>
      <c r="BD1178" s="31">
        <f t="shared" si="625"/>
        <v>0</v>
      </c>
      <c r="BE1178" s="255">
        <f t="shared" si="626"/>
        <v>0</v>
      </c>
      <c r="BF1178" s="31">
        <f t="shared" si="627"/>
        <v>0</v>
      </c>
      <c r="BG1178" s="255">
        <f t="shared" si="628"/>
        <v>0</v>
      </c>
      <c r="BH1178" s="31">
        <f t="shared" si="629"/>
        <v>0</v>
      </c>
      <c r="BI1178" s="255">
        <f t="shared" si="630"/>
        <v>0</v>
      </c>
      <c r="BJ1178" s="31">
        <f t="shared" si="631"/>
        <v>0</v>
      </c>
      <c r="BK1178" s="31">
        <f t="shared" si="632"/>
        <v>0</v>
      </c>
      <c r="BL1178" s="255">
        <f t="shared" si="633"/>
        <v>0</v>
      </c>
      <c r="BM1178" s="31">
        <f t="shared" si="634"/>
        <v>0</v>
      </c>
      <c r="BN1178" s="255">
        <f t="shared" si="635"/>
        <v>0</v>
      </c>
    </row>
    <row r="1179" spans="1:66" x14ac:dyDescent="0.25">
      <c r="A1179" t="s">
        <v>2057</v>
      </c>
      <c r="B1179" s="186" t="str">
        <f>VLOOKUP(A1179,kurspris!$A$1:$B$877,2,FALSE)</f>
        <v>Svenska som andraspråk för ämneslärare, kurs 1</v>
      </c>
      <c r="C1179"/>
      <c r="D1179" t="s">
        <v>483</v>
      </c>
      <c r="E1179"/>
      <c r="F1179" s="59" t="s">
        <v>1930</v>
      </c>
      <c r="G1179" t="s">
        <v>1995</v>
      </c>
      <c r="H1179" t="s">
        <v>1910</v>
      </c>
      <c r="I1179"/>
      <c r="J1179" t="s">
        <v>776</v>
      </c>
      <c r="K1179"/>
      <c r="L1179">
        <v>100</v>
      </c>
      <c r="M1179">
        <v>30</v>
      </c>
      <c r="N1179"/>
      <c r="O1179"/>
      <c r="P1179" s="31">
        <v>1</v>
      </c>
      <c r="Q1179" s="232">
        <f t="shared" si="608"/>
        <v>0.5</v>
      </c>
      <c r="R1179" s="40">
        <v>0.85</v>
      </c>
      <c r="S1179" s="334">
        <f t="shared" si="609"/>
        <v>0.42499999999999999</v>
      </c>
      <c r="T1179" s="31">
        <f>VLOOKUP(A1179,'Ansvar kurs'!$A$1:$C$1010,2,FALSE)</f>
        <v>1620</v>
      </c>
      <c r="U1179" s="31" t="str">
        <f>VLOOKUP(T1179,Orgenheter!$A$1:$C$165,2,FALSE)</f>
        <v>Inst för språkstudier</v>
      </c>
      <c r="V1179" s="31" t="str">
        <f>VLOOKUP(T1179,Orgenheter!$A$1:$C$165,3,FALSE)</f>
        <v>Hum</v>
      </c>
      <c r="W1179" s="37" t="str">
        <f>VLOOKUP(D1179,Program!$A$1:$B$34,2,FALSE)</f>
        <v>Ämneslärarprogrammet - Gy</v>
      </c>
      <c r="X1179" s="42">
        <f>VLOOKUP(A1179,kurspris!$A$1:$Q$798,15,FALSE)</f>
        <v>18405</v>
      </c>
      <c r="Y1179" s="42">
        <f>VLOOKUP(A1179,kurspris!$A$1:$Q$798,16,FALSE)</f>
        <v>15773</v>
      </c>
      <c r="Z1179" s="42">
        <f t="shared" si="610"/>
        <v>15906.025</v>
      </c>
      <c r="AA1179" s="42">
        <f>VLOOKUP(A1179,kurspris!$A$1:$Q$798,17,FALSE)</f>
        <v>5800</v>
      </c>
      <c r="AB1179" s="42">
        <f t="shared" si="611"/>
        <v>2900</v>
      </c>
      <c r="AC1179" s="42">
        <f t="shared" si="612"/>
        <v>18806.025000000001</v>
      </c>
      <c r="AD1179" s="31">
        <f>VLOOKUP($A1179,kurspris!$A$1:$Q$835,3,FALSE)</f>
        <v>0</v>
      </c>
      <c r="AE1179" s="31">
        <f>VLOOKUP($A1179,kurspris!$A$1:$Q$835,4,FALSE)</f>
        <v>1</v>
      </c>
      <c r="AF1179" s="31">
        <f>VLOOKUP($A1179,kurspris!$A$1:$Q$835,5,FALSE)</f>
        <v>0</v>
      </c>
      <c r="AG1179" s="31">
        <f>VLOOKUP($A1179,kurspris!$A$1:$Q$835,6,FALSE)</f>
        <v>0</v>
      </c>
      <c r="AH1179" s="31">
        <f>VLOOKUP($A1179,kurspris!$A$1:$Q$835,7,FALSE)</f>
        <v>0</v>
      </c>
      <c r="AI1179" s="31">
        <f>VLOOKUP($A1179,kurspris!$A$1:$Q$835,8,FALSE)</f>
        <v>0</v>
      </c>
      <c r="AJ1179" s="31">
        <f>VLOOKUP($A1179,kurspris!$A$1:$Q$835,9,FALSE)</f>
        <v>0</v>
      </c>
      <c r="AK1179" s="31">
        <f>VLOOKUP($A1179,kurspris!$A$1:$Q$835,10,FALSE)</f>
        <v>0</v>
      </c>
      <c r="AL1179" s="31">
        <f>VLOOKUP($A1179,kurspris!$A$1:$Q$835,11,FALSE)</f>
        <v>0</v>
      </c>
      <c r="AM1179" s="31">
        <f>VLOOKUP($A1179,kurspris!$A$1:$Q$835,12,FALSE)</f>
        <v>0</v>
      </c>
      <c r="AN1179" s="31">
        <f>VLOOKUP($A1179,kurspris!$A$1:$Q$835,13,FALSE)</f>
        <v>0</v>
      </c>
      <c r="AO1179" s="31">
        <f>VLOOKUP($A1179,kurspris!$A$1:$Q$835,14,FALSE)</f>
        <v>0</v>
      </c>
      <c r="AP1179" s="39" t="s">
        <v>2204</v>
      </c>
      <c r="AQ1179"/>
      <c r="AR1179" s="31">
        <f t="shared" si="613"/>
        <v>0</v>
      </c>
      <c r="AS1179" s="255">
        <f t="shared" si="614"/>
        <v>0</v>
      </c>
      <c r="AT1179" s="31">
        <f t="shared" si="615"/>
        <v>0.5</v>
      </c>
      <c r="AU1179" s="255">
        <f t="shared" si="616"/>
        <v>0.42499999999999999</v>
      </c>
      <c r="AV1179" s="31">
        <f t="shared" si="617"/>
        <v>0</v>
      </c>
      <c r="AW1179" s="31">
        <f t="shared" si="618"/>
        <v>0</v>
      </c>
      <c r="AX1179" s="31">
        <f t="shared" si="619"/>
        <v>0</v>
      </c>
      <c r="AY1179" s="255">
        <f t="shared" si="620"/>
        <v>0</v>
      </c>
      <c r="AZ1179" s="232">
        <f t="shared" si="621"/>
        <v>0</v>
      </c>
      <c r="BA1179" s="255">
        <f t="shared" si="622"/>
        <v>0</v>
      </c>
      <c r="BB1179" s="31">
        <f t="shared" si="623"/>
        <v>0</v>
      </c>
      <c r="BC1179" s="255">
        <f t="shared" si="624"/>
        <v>0</v>
      </c>
      <c r="BD1179" s="31">
        <f t="shared" si="625"/>
        <v>0</v>
      </c>
      <c r="BE1179" s="255">
        <f t="shared" si="626"/>
        <v>0</v>
      </c>
      <c r="BF1179" s="31">
        <f t="shared" si="627"/>
        <v>0</v>
      </c>
      <c r="BG1179" s="255">
        <f t="shared" si="628"/>
        <v>0</v>
      </c>
      <c r="BH1179" s="31">
        <f t="shared" si="629"/>
        <v>0</v>
      </c>
      <c r="BI1179" s="255">
        <f t="shared" si="630"/>
        <v>0</v>
      </c>
      <c r="BJ1179" s="31">
        <f t="shared" si="631"/>
        <v>0</v>
      </c>
      <c r="BK1179" s="31">
        <f t="shared" si="632"/>
        <v>0</v>
      </c>
      <c r="BL1179" s="255">
        <f t="shared" si="633"/>
        <v>0</v>
      </c>
      <c r="BM1179" s="31">
        <f t="shared" si="634"/>
        <v>0</v>
      </c>
      <c r="BN1179" s="255">
        <f t="shared" si="635"/>
        <v>0</v>
      </c>
    </row>
    <row r="1180" spans="1:66" x14ac:dyDescent="0.25">
      <c r="A1180" s="18" t="s">
        <v>2058</v>
      </c>
      <c r="B1180" s="186" t="str">
        <f>VLOOKUP(A1180,kurspris!$A$1:$B$877,2,FALSE)</f>
        <v>Svenska som andraspråk för ämneslärare, kurs 2</v>
      </c>
      <c r="C1180" s="37"/>
      <c r="D1180" t="s">
        <v>117</v>
      </c>
      <c r="E1180"/>
      <c r="F1180" s="59" t="s">
        <v>1931</v>
      </c>
      <c r="G1180"/>
      <c r="H1180"/>
      <c r="I1180" t="s">
        <v>1634</v>
      </c>
      <c r="L1180">
        <v>100</v>
      </c>
      <c r="M1180">
        <v>30</v>
      </c>
      <c r="P1180">
        <v>2</v>
      </c>
      <c r="Q1180" s="232">
        <f t="shared" si="608"/>
        <v>1</v>
      </c>
      <c r="R1180" s="40">
        <v>0.8</v>
      </c>
      <c r="S1180" s="334">
        <f t="shared" si="609"/>
        <v>0.8</v>
      </c>
      <c r="T1180" s="31">
        <f>VLOOKUP(A1180,'Ansvar kurs'!$A$1:$C$1010,2,FALSE)</f>
        <v>1620</v>
      </c>
      <c r="U1180" s="31" t="str">
        <f>VLOOKUP(T1180,Orgenheter!$A$1:$C$165,2,FALSE)</f>
        <v>Inst för språkstudier</v>
      </c>
      <c r="V1180" s="31" t="str">
        <f>VLOOKUP(T1180,Orgenheter!$A$1:$C$165,3,FALSE)</f>
        <v>Hum</v>
      </c>
      <c r="W1180" s="37" t="str">
        <f>VLOOKUP(D1180,Program!$A$1:$B$34,2,FALSE)</f>
        <v>Fristående och övriga kurser</v>
      </c>
      <c r="X1180" s="42">
        <f>VLOOKUP(A1180,kurspris!$A$1:$Q$798,15,FALSE)</f>
        <v>18405</v>
      </c>
      <c r="Y1180" s="42">
        <f>VLOOKUP(A1180,kurspris!$A$1:$Q$798,16,FALSE)</f>
        <v>15773</v>
      </c>
      <c r="Z1180" s="42">
        <f t="shared" si="610"/>
        <v>31023.4</v>
      </c>
      <c r="AA1180" s="42">
        <f>VLOOKUP(A1180,kurspris!$A$1:$Q$798,17,FALSE)</f>
        <v>5800</v>
      </c>
      <c r="AB1180" s="42">
        <f t="shared" si="611"/>
        <v>5800</v>
      </c>
      <c r="AC1180" s="42">
        <f t="shared" si="612"/>
        <v>36823.4</v>
      </c>
      <c r="AD1180" s="31">
        <f>VLOOKUP($A1180,kurspris!$A$1:$Q$835,3,FALSE)</f>
        <v>0</v>
      </c>
      <c r="AE1180" s="31">
        <f>VLOOKUP($A1180,kurspris!$A$1:$Q$835,4,FALSE)</f>
        <v>1</v>
      </c>
      <c r="AF1180" s="31">
        <f>VLOOKUP($A1180,kurspris!$A$1:$Q$835,5,FALSE)</f>
        <v>0</v>
      </c>
      <c r="AG1180" s="31">
        <f>VLOOKUP($A1180,kurspris!$A$1:$Q$835,6,FALSE)</f>
        <v>0</v>
      </c>
      <c r="AH1180" s="31">
        <f>VLOOKUP($A1180,kurspris!$A$1:$Q$835,7,FALSE)</f>
        <v>0</v>
      </c>
      <c r="AI1180" s="31">
        <f>VLOOKUP($A1180,kurspris!$A$1:$Q$835,8,FALSE)</f>
        <v>0</v>
      </c>
      <c r="AJ1180" s="31">
        <f>VLOOKUP($A1180,kurspris!$A$1:$Q$835,9,FALSE)</f>
        <v>0</v>
      </c>
      <c r="AK1180" s="31">
        <f>VLOOKUP($A1180,kurspris!$A$1:$Q$835,10,FALSE)</f>
        <v>0</v>
      </c>
      <c r="AL1180" s="31">
        <f>VLOOKUP($A1180,kurspris!$A$1:$Q$835,11,FALSE)</f>
        <v>0</v>
      </c>
      <c r="AM1180" s="31">
        <f>VLOOKUP($A1180,kurspris!$A$1:$Q$835,12,FALSE)</f>
        <v>0</v>
      </c>
      <c r="AN1180" s="31">
        <f>VLOOKUP($A1180,kurspris!$A$1:$Q$835,13,FALSE)</f>
        <v>0</v>
      </c>
      <c r="AO1180" s="31">
        <f>VLOOKUP($A1180,kurspris!$A$1:$Q$835,14,FALSE)</f>
        <v>0</v>
      </c>
      <c r="AP1180" s="39" t="s">
        <v>2095</v>
      </c>
      <c r="AQ1180"/>
      <c r="AR1180" s="31">
        <f t="shared" si="613"/>
        <v>0</v>
      </c>
      <c r="AS1180" s="255">
        <f t="shared" si="614"/>
        <v>0</v>
      </c>
      <c r="AT1180" s="31">
        <f t="shared" si="615"/>
        <v>1</v>
      </c>
      <c r="AU1180" s="255">
        <f t="shared" si="616"/>
        <v>0.8</v>
      </c>
      <c r="AV1180" s="31">
        <f t="shared" si="617"/>
        <v>0</v>
      </c>
      <c r="AW1180" s="31">
        <f t="shared" si="618"/>
        <v>0</v>
      </c>
      <c r="AX1180" s="31">
        <f t="shared" si="619"/>
        <v>0</v>
      </c>
      <c r="AY1180" s="255">
        <f t="shared" si="620"/>
        <v>0</v>
      </c>
      <c r="AZ1180" s="232">
        <f t="shared" si="621"/>
        <v>0</v>
      </c>
      <c r="BA1180" s="255">
        <f t="shared" si="622"/>
        <v>0</v>
      </c>
      <c r="BB1180" s="31">
        <f t="shared" si="623"/>
        <v>0</v>
      </c>
      <c r="BC1180" s="255">
        <f t="shared" si="624"/>
        <v>0</v>
      </c>
      <c r="BD1180" s="31">
        <f t="shared" si="625"/>
        <v>0</v>
      </c>
      <c r="BE1180" s="255">
        <f t="shared" si="626"/>
        <v>0</v>
      </c>
      <c r="BF1180" s="31">
        <f t="shared" si="627"/>
        <v>0</v>
      </c>
      <c r="BG1180" s="255">
        <f t="shared" si="628"/>
        <v>0</v>
      </c>
      <c r="BH1180" s="31">
        <f t="shared" si="629"/>
        <v>0</v>
      </c>
      <c r="BI1180" s="255">
        <f t="shared" si="630"/>
        <v>0</v>
      </c>
      <c r="BJ1180" s="31">
        <f t="shared" si="631"/>
        <v>0</v>
      </c>
      <c r="BK1180" s="31">
        <f t="shared" si="632"/>
        <v>0</v>
      </c>
      <c r="BL1180" s="255">
        <f t="shared" si="633"/>
        <v>0</v>
      </c>
      <c r="BM1180" s="31">
        <f t="shared" si="634"/>
        <v>0</v>
      </c>
      <c r="BN1180" s="255">
        <f t="shared" si="635"/>
        <v>0</v>
      </c>
    </row>
    <row r="1181" spans="1:66" x14ac:dyDescent="0.25">
      <c r="A1181" s="18" t="s">
        <v>2058</v>
      </c>
      <c r="B1181" s="186" t="str">
        <f>VLOOKUP(A1181,kurspris!$A$1:$B$877,2,FALSE)</f>
        <v>Svenska som andraspråk för ämneslärare, kurs 2</v>
      </c>
      <c r="C1181" s="37"/>
      <c r="D1181" s="31" t="s">
        <v>483</v>
      </c>
      <c r="E1181" s="31" t="s">
        <v>1975</v>
      </c>
      <c r="F1181" s="59" t="s">
        <v>1931</v>
      </c>
      <c r="G1181" s="31" t="s">
        <v>2276</v>
      </c>
      <c r="J1181" t="s">
        <v>771</v>
      </c>
      <c r="L1181" s="31">
        <v>100</v>
      </c>
      <c r="M1181" s="31">
        <v>30</v>
      </c>
      <c r="P1181" s="31">
        <v>1</v>
      </c>
      <c r="Q1181" s="232">
        <f t="shared" ref="Q1181:Q1241" si="636">(M1181/60)*P1181</f>
        <v>0.5</v>
      </c>
      <c r="R1181" s="40">
        <v>0.85</v>
      </c>
      <c r="S1181" s="334">
        <f t="shared" ref="S1181:S1241" si="637">Q1181*R1181</f>
        <v>0.42499999999999999</v>
      </c>
      <c r="T1181" s="31">
        <f>VLOOKUP(A1181,'Ansvar kurs'!$A$1:$C$1010,2,FALSE)</f>
        <v>1620</v>
      </c>
      <c r="U1181" s="31" t="str">
        <f>VLOOKUP(T1181,Orgenheter!$A$1:$C$165,2,FALSE)</f>
        <v>Inst för språkstudier</v>
      </c>
      <c r="V1181" s="31" t="str">
        <f>VLOOKUP(T1181,Orgenheter!$A$1:$C$165,3,FALSE)</f>
        <v>Hum</v>
      </c>
      <c r="W1181" s="37" t="str">
        <f>VLOOKUP(D1181,Program!$A$1:$B$34,2,FALSE)</f>
        <v>Ämneslärarprogrammet - Gy</v>
      </c>
      <c r="X1181" s="42">
        <f>VLOOKUP(A1181,kurspris!$A$1:$Q$798,15,FALSE)</f>
        <v>18405</v>
      </c>
      <c r="Y1181" s="42">
        <f>VLOOKUP(A1181,kurspris!$A$1:$Q$798,16,FALSE)</f>
        <v>15773</v>
      </c>
      <c r="Z1181" s="42">
        <f t="shared" ref="Z1181:Z1241" si="638">X1181*Q1181+S1181*Y1181</f>
        <v>15906.025</v>
      </c>
      <c r="AA1181" s="42">
        <f>VLOOKUP(A1181,kurspris!$A$1:$Q$798,17,FALSE)</f>
        <v>5800</v>
      </c>
      <c r="AB1181" s="42">
        <f t="shared" ref="AB1181:AB1241" si="639">AA1181*Q1181</f>
        <v>2900</v>
      </c>
      <c r="AC1181" s="42">
        <f t="shared" ref="AC1181:AC1241" si="640">Z1181+AB1181</f>
        <v>18806.025000000001</v>
      </c>
      <c r="AD1181" s="31">
        <f>VLOOKUP($A1181,kurspris!$A$1:$Q$835,3,FALSE)</f>
        <v>0</v>
      </c>
      <c r="AE1181" s="31">
        <f>VLOOKUP($A1181,kurspris!$A$1:$Q$835,4,FALSE)</f>
        <v>1</v>
      </c>
      <c r="AF1181" s="31">
        <f>VLOOKUP($A1181,kurspris!$A$1:$Q$835,5,FALSE)</f>
        <v>0</v>
      </c>
      <c r="AG1181" s="31">
        <f>VLOOKUP($A1181,kurspris!$A$1:$Q$835,6,FALSE)</f>
        <v>0</v>
      </c>
      <c r="AH1181" s="31">
        <f>VLOOKUP($A1181,kurspris!$A$1:$Q$835,7,FALSE)</f>
        <v>0</v>
      </c>
      <c r="AI1181" s="31">
        <f>VLOOKUP($A1181,kurspris!$A$1:$Q$835,8,FALSE)</f>
        <v>0</v>
      </c>
      <c r="AJ1181" s="31">
        <f>VLOOKUP($A1181,kurspris!$A$1:$Q$835,9,FALSE)</f>
        <v>0</v>
      </c>
      <c r="AK1181" s="31">
        <f>VLOOKUP($A1181,kurspris!$A$1:$Q$835,10,FALSE)</f>
        <v>0</v>
      </c>
      <c r="AL1181" s="31">
        <f>VLOOKUP($A1181,kurspris!$A$1:$Q$835,11,FALSE)</f>
        <v>0</v>
      </c>
      <c r="AM1181" s="31">
        <f>VLOOKUP($A1181,kurspris!$A$1:$Q$835,12,FALSE)</f>
        <v>0</v>
      </c>
      <c r="AN1181" s="31">
        <f>VLOOKUP($A1181,kurspris!$A$1:$Q$835,13,FALSE)</f>
        <v>0</v>
      </c>
      <c r="AO1181" s="31">
        <f>VLOOKUP($A1181,kurspris!$A$1:$Q$835,14,FALSE)</f>
        <v>0</v>
      </c>
      <c r="AP1181" s="39" t="s">
        <v>2326</v>
      </c>
      <c r="AQ1181"/>
      <c r="AR1181" s="31">
        <f t="shared" ref="AR1181:AR1241" si="641">$Q1181*AD1181</f>
        <v>0</v>
      </c>
      <c r="AS1181" s="255">
        <f t="shared" ref="AS1181:AS1241" si="642">$S1181*AD1181</f>
        <v>0</v>
      </c>
      <c r="AT1181" s="31">
        <f t="shared" ref="AT1181:AT1241" si="643">$Q1181*AE1181</f>
        <v>0.5</v>
      </c>
      <c r="AU1181" s="255">
        <f t="shared" ref="AU1181:AU1241" si="644">$S1181*AE1181</f>
        <v>0.42499999999999999</v>
      </c>
      <c r="AV1181" s="31">
        <f t="shared" ref="AV1181:AV1241" si="645">$Q1181*AF1181</f>
        <v>0</v>
      </c>
      <c r="AW1181" s="31">
        <f t="shared" ref="AW1181:AW1241" si="646">$S1181*AF1181</f>
        <v>0</v>
      </c>
      <c r="AX1181" s="31">
        <f t="shared" ref="AX1181:AX1241" si="647">$Q1181*AG1181</f>
        <v>0</v>
      </c>
      <c r="AY1181" s="255">
        <f t="shared" ref="AY1181:AY1241" si="648">$S1181*AG1181</f>
        <v>0</v>
      </c>
      <c r="AZ1181" s="232">
        <f t="shared" ref="AZ1181:AZ1241" si="649">$Q1181*AH1181</f>
        <v>0</v>
      </c>
      <c r="BA1181" s="255">
        <f t="shared" ref="BA1181:BA1241" si="650">$S1181*AH1181</f>
        <v>0</v>
      </c>
      <c r="BB1181" s="31">
        <f t="shared" ref="BB1181:BB1241" si="651">$Q1181*AI1181</f>
        <v>0</v>
      </c>
      <c r="BC1181" s="255">
        <f t="shared" ref="BC1181:BC1241" si="652">$S1181*AI1181</f>
        <v>0</v>
      </c>
      <c r="BD1181" s="31">
        <f t="shared" ref="BD1181:BD1241" si="653">$Q1181*AJ1181</f>
        <v>0</v>
      </c>
      <c r="BE1181" s="255">
        <f t="shared" ref="BE1181:BE1241" si="654">$S1181*AJ1181</f>
        <v>0</v>
      </c>
      <c r="BF1181" s="31">
        <f t="shared" ref="BF1181:BF1241" si="655">$Q1181*AK1181</f>
        <v>0</v>
      </c>
      <c r="BG1181" s="255">
        <f t="shared" ref="BG1181:BG1241" si="656">$S1181*AK1181</f>
        <v>0</v>
      </c>
      <c r="BH1181" s="31">
        <f t="shared" ref="BH1181:BH1241" si="657">$Q1181*AL1181</f>
        <v>0</v>
      </c>
      <c r="BI1181" s="255">
        <f t="shared" ref="BI1181:BI1241" si="658">$S1181*AL1181</f>
        <v>0</v>
      </c>
      <c r="BJ1181" s="31">
        <f t="shared" ref="BJ1181:BJ1241" si="659">$Q1181*AM1181</f>
        <v>0</v>
      </c>
      <c r="BK1181" s="31">
        <f t="shared" ref="BK1181:BK1241" si="660">$Q1181*AN1181</f>
        <v>0</v>
      </c>
      <c r="BL1181" s="255">
        <f t="shared" ref="BL1181:BL1241" si="661">$S1181*AN1181</f>
        <v>0</v>
      </c>
      <c r="BM1181" s="31">
        <f t="shared" ref="BM1181:BM1241" si="662">$Q1181*AO1181</f>
        <v>0</v>
      </c>
      <c r="BN1181" s="255">
        <f t="shared" ref="BN1181:BN1241" si="663">$S1181*AO1181</f>
        <v>0</v>
      </c>
    </row>
    <row r="1182" spans="1:66" x14ac:dyDescent="0.25">
      <c r="A1182" s="18" t="s">
        <v>2058</v>
      </c>
      <c r="B1182" s="186" t="str">
        <f>VLOOKUP(A1182,kurspris!$A$1:$B$877,2,FALSE)</f>
        <v>Svenska som andraspråk för ämneslärare, kurs 2</v>
      </c>
      <c r="C1182" s="37"/>
      <c r="D1182" s="31" t="s">
        <v>483</v>
      </c>
      <c r="E1182" s="31" t="s">
        <v>1976</v>
      </c>
      <c r="F1182" s="59" t="s">
        <v>1931</v>
      </c>
      <c r="G1182" s="31" t="s">
        <v>2276</v>
      </c>
      <c r="J1182" t="s">
        <v>771</v>
      </c>
      <c r="L1182" s="31">
        <v>100</v>
      </c>
      <c r="M1182" s="31">
        <v>30</v>
      </c>
      <c r="P1182" s="31">
        <v>1</v>
      </c>
      <c r="Q1182" s="232">
        <f t="shared" si="636"/>
        <v>0.5</v>
      </c>
      <c r="R1182" s="40">
        <v>0.85</v>
      </c>
      <c r="S1182" s="334">
        <f t="shared" si="637"/>
        <v>0.42499999999999999</v>
      </c>
      <c r="T1182" s="31">
        <f>VLOOKUP(A1182,'Ansvar kurs'!$A$1:$C$1010,2,FALSE)</f>
        <v>1620</v>
      </c>
      <c r="U1182" s="31" t="str">
        <f>VLOOKUP(T1182,Orgenheter!$A$1:$C$165,2,FALSE)</f>
        <v>Inst för språkstudier</v>
      </c>
      <c r="V1182" s="31" t="str">
        <f>VLOOKUP(T1182,Orgenheter!$A$1:$C$165,3,FALSE)</f>
        <v>Hum</v>
      </c>
      <c r="W1182" s="37" t="str">
        <f>VLOOKUP(D1182,Program!$A$1:$B$34,2,FALSE)</f>
        <v>Ämneslärarprogrammet - Gy</v>
      </c>
      <c r="X1182" s="42">
        <f>VLOOKUP(A1182,kurspris!$A$1:$Q$798,15,FALSE)</f>
        <v>18405</v>
      </c>
      <c r="Y1182" s="42">
        <f>VLOOKUP(A1182,kurspris!$A$1:$Q$798,16,FALSE)</f>
        <v>15773</v>
      </c>
      <c r="Z1182" s="42">
        <f t="shared" si="638"/>
        <v>15906.025</v>
      </c>
      <c r="AA1182" s="42">
        <f>VLOOKUP(A1182,kurspris!$A$1:$Q$798,17,FALSE)</f>
        <v>5800</v>
      </c>
      <c r="AB1182" s="42">
        <f t="shared" si="639"/>
        <v>2900</v>
      </c>
      <c r="AC1182" s="42">
        <f t="shared" si="640"/>
        <v>18806.025000000001</v>
      </c>
      <c r="AD1182" s="31">
        <f>VLOOKUP($A1182,kurspris!$A$1:$Q$835,3,FALSE)</f>
        <v>0</v>
      </c>
      <c r="AE1182" s="31">
        <f>VLOOKUP($A1182,kurspris!$A$1:$Q$835,4,FALSE)</f>
        <v>1</v>
      </c>
      <c r="AF1182" s="31">
        <f>VLOOKUP($A1182,kurspris!$A$1:$Q$835,5,FALSE)</f>
        <v>0</v>
      </c>
      <c r="AG1182" s="31">
        <f>VLOOKUP($A1182,kurspris!$A$1:$Q$835,6,FALSE)</f>
        <v>0</v>
      </c>
      <c r="AH1182" s="31">
        <f>VLOOKUP($A1182,kurspris!$A$1:$Q$835,7,FALSE)</f>
        <v>0</v>
      </c>
      <c r="AI1182" s="31">
        <f>VLOOKUP($A1182,kurspris!$A$1:$Q$835,8,FALSE)</f>
        <v>0</v>
      </c>
      <c r="AJ1182" s="31">
        <f>VLOOKUP($A1182,kurspris!$A$1:$Q$835,9,FALSE)</f>
        <v>0</v>
      </c>
      <c r="AK1182" s="31">
        <f>VLOOKUP($A1182,kurspris!$A$1:$Q$835,10,FALSE)</f>
        <v>0</v>
      </c>
      <c r="AL1182" s="31">
        <f>VLOOKUP($A1182,kurspris!$A$1:$Q$835,11,FALSE)</f>
        <v>0</v>
      </c>
      <c r="AM1182" s="31">
        <f>VLOOKUP($A1182,kurspris!$A$1:$Q$835,12,FALSE)</f>
        <v>0</v>
      </c>
      <c r="AN1182" s="31">
        <f>VLOOKUP($A1182,kurspris!$A$1:$Q$835,13,FALSE)</f>
        <v>0</v>
      </c>
      <c r="AO1182" s="31">
        <f>VLOOKUP($A1182,kurspris!$A$1:$Q$835,14,FALSE)</f>
        <v>0</v>
      </c>
      <c r="AP1182" s="39" t="s">
        <v>2326</v>
      </c>
      <c r="AQ1182"/>
      <c r="AR1182" s="31">
        <f t="shared" si="641"/>
        <v>0</v>
      </c>
      <c r="AS1182" s="255">
        <f t="shared" si="642"/>
        <v>0</v>
      </c>
      <c r="AT1182" s="31">
        <f t="shared" si="643"/>
        <v>0.5</v>
      </c>
      <c r="AU1182" s="255">
        <f t="shared" si="644"/>
        <v>0.42499999999999999</v>
      </c>
      <c r="AV1182" s="31">
        <f t="shared" si="645"/>
        <v>0</v>
      </c>
      <c r="AW1182" s="31">
        <f t="shared" si="646"/>
        <v>0</v>
      </c>
      <c r="AX1182" s="31">
        <f t="shared" si="647"/>
        <v>0</v>
      </c>
      <c r="AY1182" s="255">
        <f t="shared" si="648"/>
        <v>0</v>
      </c>
      <c r="AZ1182" s="232">
        <f t="shared" si="649"/>
        <v>0</v>
      </c>
      <c r="BA1182" s="255">
        <f t="shared" si="650"/>
        <v>0</v>
      </c>
      <c r="BB1182" s="31">
        <f t="shared" si="651"/>
        <v>0</v>
      </c>
      <c r="BC1182" s="255">
        <f t="shared" si="652"/>
        <v>0</v>
      </c>
      <c r="BD1182" s="31">
        <f t="shared" si="653"/>
        <v>0</v>
      </c>
      <c r="BE1182" s="255">
        <f t="shared" si="654"/>
        <v>0</v>
      </c>
      <c r="BF1182" s="31">
        <f t="shared" si="655"/>
        <v>0</v>
      </c>
      <c r="BG1182" s="255">
        <f t="shared" si="656"/>
        <v>0</v>
      </c>
      <c r="BH1182" s="31">
        <f t="shared" si="657"/>
        <v>0</v>
      </c>
      <c r="BI1182" s="255">
        <f t="shared" si="658"/>
        <v>0</v>
      </c>
      <c r="BJ1182" s="31">
        <f t="shared" si="659"/>
        <v>0</v>
      </c>
      <c r="BK1182" s="31">
        <f t="shared" si="660"/>
        <v>0</v>
      </c>
      <c r="BL1182" s="255">
        <f t="shared" si="661"/>
        <v>0</v>
      </c>
      <c r="BM1182" s="31">
        <f t="shared" si="662"/>
        <v>0</v>
      </c>
      <c r="BN1182" s="255">
        <f t="shared" si="663"/>
        <v>0</v>
      </c>
    </row>
    <row r="1183" spans="1:66" x14ac:dyDescent="0.25">
      <c r="A1183" s="18" t="s">
        <v>2058</v>
      </c>
      <c r="B1183" s="186" t="str">
        <f>VLOOKUP(A1183,kurspris!$A$1:$B$877,2,FALSE)</f>
        <v>Svenska som andraspråk för ämneslärare, kurs 2</v>
      </c>
      <c r="C1183" s="37"/>
      <c r="D1183" s="31" t="s">
        <v>483</v>
      </c>
      <c r="E1183" s="31" t="s">
        <v>1973</v>
      </c>
      <c r="F1183" s="59" t="s">
        <v>1931</v>
      </c>
      <c r="G1183" s="31" t="s">
        <v>2276</v>
      </c>
      <c r="J1183" t="s">
        <v>1952</v>
      </c>
      <c r="L1183" s="31">
        <v>100</v>
      </c>
      <c r="M1183" s="31">
        <v>30</v>
      </c>
      <c r="P1183" s="31">
        <v>1</v>
      </c>
      <c r="Q1183" s="232">
        <f t="shared" si="636"/>
        <v>0.5</v>
      </c>
      <c r="R1183" s="40">
        <v>0.85</v>
      </c>
      <c r="S1183" s="334">
        <f t="shared" si="637"/>
        <v>0.42499999999999999</v>
      </c>
      <c r="T1183" s="31">
        <f>VLOOKUP(A1183,'Ansvar kurs'!$A$1:$C$1010,2,FALSE)</f>
        <v>1620</v>
      </c>
      <c r="U1183" s="31" t="str">
        <f>VLOOKUP(T1183,Orgenheter!$A$1:$C$165,2,FALSE)</f>
        <v>Inst för språkstudier</v>
      </c>
      <c r="V1183" s="31" t="str">
        <f>VLOOKUP(T1183,Orgenheter!$A$1:$C$165,3,FALSE)</f>
        <v>Hum</v>
      </c>
      <c r="W1183" s="37" t="str">
        <f>VLOOKUP(D1183,Program!$A$1:$B$34,2,FALSE)</f>
        <v>Ämneslärarprogrammet - Gy</v>
      </c>
      <c r="X1183" s="42">
        <f>VLOOKUP(A1183,kurspris!$A$1:$Q$798,15,FALSE)</f>
        <v>18405</v>
      </c>
      <c r="Y1183" s="42">
        <f>VLOOKUP(A1183,kurspris!$A$1:$Q$798,16,FALSE)</f>
        <v>15773</v>
      </c>
      <c r="Z1183" s="42">
        <f t="shared" si="638"/>
        <v>15906.025</v>
      </c>
      <c r="AA1183" s="42">
        <f>VLOOKUP(A1183,kurspris!$A$1:$Q$798,17,FALSE)</f>
        <v>5800</v>
      </c>
      <c r="AB1183" s="42">
        <f t="shared" si="639"/>
        <v>2900</v>
      </c>
      <c r="AC1183" s="42">
        <f t="shared" si="640"/>
        <v>18806.025000000001</v>
      </c>
      <c r="AD1183" s="31">
        <f>VLOOKUP($A1183,kurspris!$A$1:$Q$835,3,FALSE)</f>
        <v>0</v>
      </c>
      <c r="AE1183" s="31">
        <f>VLOOKUP($A1183,kurspris!$A$1:$Q$835,4,FALSE)</f>
        <v>1</v>
      </c>
      <c r="AF1183" s="31">
        <f>VLOOKUP($A1183,kurspris!$A$1:$Q$835,5,FALSE)</f>
        <v>0</v>
      </c>
      <c r="AG1183" s="31">
        <f>VLOOKUP($A1183,kurspris!$A$1:$Q$835,6,FALSE)</f>
        <v>0</v>
      </c>
      <c r="AH1183" s="31">
        <f>VLOOKUP($A1183,kurspris!$A$1:$Q$835,7,FALSE)</f>
        <v>0</v>
      </c>
      <c r="AI1183" s="31">
        <f>VLOOKUP($A1183,kurspris!$A$1:$Q$835,8,FALSE)</f>
        <v>0</v>
      </c>
      <c r="AJ1183" s="31">
        <f>VLOOKUP($A1183,kurspris!$A$1:$Q$835,9,FALSE)</f>
        <v>0</v>
      </c>
      <c r="AK1183" s="31">
        <f>VLOOKUP($A1183,kurspris!$A$1:$Q$835,10,FALSE)</f>
        <v>0</v>
      </c>
      <c r="AL1183" s="31">
        <f>VLOOKUP($A1183,kurspris!$A$1:$Q$835,11,FALSE)</f>
        <v>0</v>
      </c>
      <c r="AM1183" s="31">
        <f>VLOOKUP($A1183,kurspris!$A$1:$Q$835,12,FALSE)</f>
        <v>0</v>
      </c>
      <c r="AN1183" s="31">
        <f>VLOOKUP($A1183,kurspris!$A$1:$Q$835,13,FALSE)</f>
        <v>0</v>
      </c>
      <c r="AO1183" s="31">
        <f>VLOOKUP($A1183,kurspris!$A$1:$Q$835,14,FALSE)</f>
        <v>0</v>
      </c>
      <c r="AP1183" s="39" t="s">
        <v>2326</v>
      </c>
      <c r="AQ1183"/>
      <c r="AR1183" s="31">
        <f t="shared" si="641"/>
        <v>0</v>
      </c>
      <c r="AS1183" s="255">
        <f t="shared" si="642"/>
        <v>0</v>
      </c>
      <c r="AT1183" s="31">
        <f t="shared" si="643"/>
        <v>0.5</v>
      </c>
      <c r="AU1183" s="255">
        <f t="shared" si="644"/>
        <v>0.42499999999999999</v>
      </c>
      <c r="AV1183" s="31">
        <f t="shared" si="645"/>
        <v>0</v>
      </c>
      <c r="AW1183" s="31">
        <f t="shared" si="646"/>
        <v>0</v>
      </c>
      <c r="AX1183" s="31">
        <f t="shared" si="647"/>
        <v>0</v>
      </c>
      <c r="AY1183" s="255">
        <f t="shared" si="648"/>
        <v>0</v>
      </c>
      <c r="AZ1183" s="232">
        <f t="shared" si="649"/>
        <v>0</v>
      </c>
      <c r="BA1183" s="255">
        <f t="shared" si="650"/>
        <v>0</v>
      </c>
      <c r="BB1183" s="31">
        <f t="shared" si="651"/>
        <v>0</v>
      </c>
      <c r="BC1183" s="255">
        <f t="shared" si="652"/>
        <v>0</v>
      </c>
      <c r="BD1183" s="31">
        <f t="shared" si="653"/>
        <v>0</v>
      </c>
      <c r="BE1183" s="255">
        <f t="shared" si="654"/>
        <v>0</v>
      </c>
      <c r="BF1183" s="31">
        <f t="shared" si="655"/>
        <v>0</v>
      </c>
      <c r="BG1183" s="255">
        <f t="shared" si="656"/>
        <v>0</v>
      </c>
      <c r="BH1183" s="31">
        <f t="shared" si="657"/>
        <v>0</v>
      </c>
      <c r="BI1183" s="255">
        <f t="shared" si="658"/>
        <v>0</v>
      </c>
      <c r="BJ1183" s="31">
        <f t="shared" si="659"/>
        <v>0</v>
      </c>
      <c r="BK1183" s="31">
        <f t="shared" si="660"/>
        <v>0</v>
      </c>
      <c r="BL1183" s="255">
        <f t="shared" si="661"/>
        <v>0</v>
      </c>
      <c r="BM1183" s="31">
        <f t="shared" si="662"/>
        <v>0</v>
      </c>
      <c r="BN1183" s="255">
        <f t="shared" si="663"/>
        <v>0</v>
      </c>
    </row>
    <row r="1184" spans="1:66" x14ac:dyDescent="0.25">
      <c r="A1184" s="18" t="s">
        <v>2058</v>
      </c>
      <c r="B1184" s="186" t="str">
        <f>VLOOKUP(A1184,kurspris!$A$1:$B$877,2,FALSE)</f>
        <v>Svenska som andraspråk för ämneslärare, kurs 2</v>
      </c>
      <c r="C1184" s="37"/>
      <c r="D1184" s="31" t="s">
        <v>483</v>
      </c>
      <c r="E1184" s="31" t="s">
        <v>1973</v>
      </c>
      <c r="F1184" s="59" t="s">
        <v>1931</v>
      </c>
      <c r="G1184" s="31" t="s">
        <v>2276</v>
      </c>
      <c r="J1184" t="s">
        <v>771</v>
      </c>
      <c r="L1184" s="31">
        <v>100</v>
      </c>
      <c r="M1184" s="31">
        <v>30</v>
      </c>
      <c r="P1184" s="31">
        <v>8</v>
      </c>
      <c r="Q1184" s="232">
        <f t="shared" si="636"/>
        <v>4</v>
      </c>
      <c r="R1184" s="40">
        <v>0.85</v>
      </c>
      <c r="S1184" s="334">
        <f t="shared" si="637"/>
        <v>3.4</v>
      </c>
      <c r="T1184" s="31">
        <f>VLOOKUP(A1184,'Ansvar kurs'!$A$1:$C$1010,2,FALSE)</f>
        <v>1620</v>
      </c>
      <c r="U1184" s="31" t="str">
        <f>VLOOKUP(T1184,Orgenheter!$A$1:$C$165,2,FALSE)</f>
        <v>Inst för språkstudier</v>
      </c>
      <c r="V1184" s="31" t="str">
        <f>VLOOKUP(T1184,Orgenheter!$A$1:$C$165,3,FALSE)</f>
        <v>Hum</v>
      </c>
      <c r="W1184" s="37" t="str">
        <f>VLOOKUP(D1184,Program!$A$1:$B$34,2,FALSE)</f>
        <v>Ämneslärarprogrammet - Gy</v>
      </c>
      <c r="X1184" s="42">
        <f>VLOOKUP(A1184,kurspris!$A$1:$Q$798,15,FALSE)</f>
        <v>18405</v>
      </c>
      <c r="Y1184" s="42">
        <f>VLOOKUP(A1184,kurspris!$A$1:$Q$798,16,FALSE)</f>
        <v>15773</v>
      </c>
      <c r="Z1184" s="42">
        <f t="shared" si="638"/>
        <v>127248.2</v>
      </c>
      <c r="AA1184" s="42">
        <f>VLOOKUP(A1184,kurspris!$A$1:$Q$798,17,FALSE)</f>
        <v>5800</v>
      </c>
      <c r="AB1184" s="42">
        <f t="shared" si="639"/>
        <v>23200</v>
      </c>
      <c r="AC1184" s="42">
        <f t="shared" si="640"/>
        <v>150448.20000000001</v>
      </c>
      <c r="AD1184" s="31">
        <f>VLOOKUP($A1184,kurspris!$A$1:$Q$835,3,FALSE)</f>
        <v>0</v>
      </c>
      <c r="AE1184" s="31">
        <f>VLOOKUP($A1184,kurspris!$A$1:$Q$835,4,FALSE)</f>
        <v>1</v>
      </c>
      <c r="AF1184" s="31">
        <f>VLOOKUP($A1184,kurspris!$A$1:$Q$835,5,FALSE)</f>
        <v>0</v>
      </c>
      <c r="AG1184" s="31">
        <f>VLOOKUP($A1184,kurspris!$A$1:$Q$835,6,FALSE)</f>
        <v>0</v>
      </c>
      <c r="AH1184" s="31">
        <f>VLOOKUP($A1184,kurspris!$A$1:$Q$835,7,FALSE)</f>
        <v>0</v>
      </c>
      <c r="AI1184" s="31">
        <f>VLOOKUP($A1184,kurspris!$A$1:$Q$835,8,FALSE)</f>
        <v>0</v>
      </c>
      <c r="AJ1184" s="31">
        <f>VLOOKUP($A1184,kurspris!$A$1:$Q$835,9,FALSE)</f>
        <v>0</v>
      </c>
      <c r="AK1184" s="31">
        <f>VLOOKUP($A1184,kurspris!$A$1:$Q$835,10,FALSE)</f>
        <v>0</v>
      </c>
      <c r="AL1184" s="31">
        <f>VLOOKUP($A1184,kurspris!$A$1:$Q$835,11,FALSE)</f>
        <v>0</v>
      </c>
      <c r="AM1184" s="31">
        <f>VLOOKUP($A1184,kurspris!$A$1:$Q$835,12,FALSE)</f>
        <v>0</v>
      </c>
      <c r="AN1184" s="31">
        <f>VLOOKUP($A1184,kurspris!$A$1:$Q$835,13,FALSE)</f>
        <v>0</v>
      </c>
      <c r="AO1184" s="31">
        <f>VLOOKUP($A1184,kurspris!$A$1:$Q$835,14,FALSE)</f>
        <v>0</v>
      </c>
      <c r="AP1184" s="39" t="s">
        <v>2326</v>
      </c>
      <c r="AQ1184"/>
      <c r="AR1184" s="31">
        <f t="shared" si="641"/>
        <v>0</v>
      </c>
      <c r="AS1184" s="255">
        <f t="shared" si="642"/>
        <v>0</v>
      </c>
      <c r="AT1184" s="31">
        <f t="shared" si="643"/>
        <v>4</v>
      </c>
      <c r="AU1184" s="255">
        <f t="shared" si="644"/>
        <v>3.4</v>
      </c>
      <c r="AV1184" s="31">
        <f t="shared" si="645"/>
        <v>0</v>
      </c>
      <c r="AW1184" s="31">
        <f t="shared" si="646"/>
        <v>0</v>
      </c>
      <c r="AX1184" s="31">
        <f t="shared" si="647"/>
        <v>0</v>
      </c>
      <c r="AY1184" s="255">
        <f t="shared" si="648"/>
        <v>0</v>
      </c>
      <c r="AZ1184" s="232">
        <f t="shared" si="649"/>
        <v>0</v>
      </c>
      <c r="BA1184" s="255">
        <f t="shared" si="650"/>
        <v>0</v>
      </c>
      <c r="BB1184" s="31">
        <f t="shared" si="651"/>
        <v>0</v>
      </c>
      <c r="BC1184" s="255">
        <f t="shared" si="652"/>
        <v>0</v>
      </c>
      <c r="BD1184" s="31">
        <f t="shared" si="653"/>
        <v>0</v>
      </c>
      <c r="BE1184" s="255">
        <f t="shared" si="654"/>
        <v>0</v>
      </c>
      <c r="BF1184" s="31">
        <f t="shared" si="655"/>
        <v>0</v>
      </c>
      <c r="BG1184" s="255">
        <f t="shared" si="656"/>
        <v>0</v>
      </c>
      <c r="BH1184" s="31">
        <f t="shared" si="657"/>
        <v>0</v>
      </c>
      <c r="BI1184" s="255">
        <f t="shared" si="658"/>
        <v>0</v>
      </c>
      <c r="BJ1184" s="31">
        <f t="shared" si="659"/>
        <v>0</v>
      </c>
      <c r="BK1184" s="31">
        <f t="shared" si="660"/>
        <v>0</v>
      </c>
      <c r="BL1184" s="255">
        <f t="shared" si="661"/>
        <v>0</v>
      </c>
      <c r="BM1184" s="31">
        <f t="shared" si="662"/>
        <v>0</v>
      </c>
      <c r="BN1184" s="255">
        <f t="shared" si="663"/>
        <v>0</v>
      </c>
    </row>
    <row r="1185" spans="1:66" x14ac:dyDescent="0.25">
      <c r="A1185" s="18" t="s">
        <v>2058</v>
      </c>
      <c r="B1185" s="186" t="str">
        <f>VLOOKUP(A1185,kurspris!$A$1:$B$877,2,FALSE)</f>
        <v>Svenska som andraspråk för ämneslärare, kurs 2</v>
      </c>
      <c r="C1185" s="37"/>
      <c r="D1185" s="31" t="s">
        <v>483</v>
      </c>
      <c r="E1185" s="31" t="s">
        <v>1973</v>
      </c>
      <c r="F1185" s="59" t="s">
        <v>1931</v>
      </c>
      <c r="G1185" s="31" t="s">
        <v>2276</v>
      </c>
      <c r="J1185" t="s">
        <v>773</v>
      </c>
      <c r="L1185" s="31">
        <v>100</v>
      </c>
      <c r="M1185" s="31">
        <v>30</v>
      </c>
      <c r="P1185" s="31">
        <v>5</v>
      </c>
      <c r="Q1185" s="232">
        <f t="shared" si="636"/>
        <v>2.5</v>
      </c>
      <c r="R1185" s="40">
        <v>0.85</v>
      </c>
      <c r="S1185" s="334">
        <f t="shared" si="637"/>
        <v>2.125</v>
      </c>
      <c r="T1185" s="31">
        <f>VLOOKUP(A1185,'Ansvar kurs'!$A$1:$C$1010,2,FALSE)</f>
        <v>1620</v>
      </c>
      <c r="U1185" s="31" t="str">
        <f>VLOOKUP(T1185,Orgenheter!$A$1:$C$165,2,FALSE)</f>
        <v>Inst för språkstudier</v>
      </c>
      <c r="V1185" s="31" t="str">
        <f>VLOOKUP(T1185,Orgenheter!$A$1:$C$165,3,FALSE)</f>
        <v>Hum</v>
      </c>
      <c r="W1185" s="37" t="str">
        <f>VLOOKUP(D1185,Program!$A$1:$B$34,2,FALSE)</f>
        <v>Ämneslärarprogrammet - Gy</v>
      </c>
      <c r="X1185" s="42">
        <f>VLOOKUP(A1185,kurspris!$A$1:$Q$798,15,FALSE)</f>
        <v>18405</v>
      </c>
      <c r="Y1185" s="42">
        <f>VLOOKUP(A1185,kurspris!$A$1:$Q$798,16,FALSE)</f>
        <v>15773</v>
      </c>
      <c r="Z1185" s="42">
        <f t="shared" si="638"/>
        <v>79530.125</v>
      </c>
      <c r="AA1185" s="42">
        <f>VLOOKUP(A1185,kurspris!$A$1:$Q$798,17,FALSE)</f>
        <v>5800</v>
      </c>
      <c r="AB1185" s="42">
        <f t="shared" si="639"/>
        <v>14500</v>
      </c>
      <c r="AC1185" s="42">
        <f t="shared" si="640"/>
        <v>94030.125</v>
      </c>
      <c r="AD1185" s="31">
        <f>VLOOKUP($A1185,kurspris!$A$1:$Q$835,3,FALSE)</f>
        <v>0</v>
      </c>
      <c r="AE1185" s="31">
        <f>VLOOKUP($A1185,kurspris!$A$1:$Q$835,4,FALSE)</f>
        <v>1</v>
      </c>
      <c r="AF1185" s="31">
        <f>VLOOKUP($A1185,kurspris!$A$1:$Q$835,5,FALSE)</f>
        <v>0</v>
      </c>
      <c r="AG1185" s="31">
        <f>VLOOKUP($A1185,kurspris!$A$1:$Q$835,6,FALSE)</f>
        <v>0</v>
      </c>
      <c r="AH1185" s="31">
        <f>VLOOKUP($A1185,kurspris!$A$1:$Q$835,7,FALSE)</f>
        <v>0</v>
      </c>
      <c r="AI1185" s="31">
        <f>VLOOKUP($A1185,kurspris!$A$1:$Q$835,8,FALSE)</f>
        <v>0</v>
      </c>
      <c r="AJ1185" s="31">
        <f>VLOOKUP($A1185,kurspris!$A$1:$Q$835,9,FALSE)</f>
        <v>0</v>
      </c>
      <c r="AK1185" s="31">
        <f>VLOOKUP($A1185,kurspris!$A$1:$Q$835,10,FALSE)</f>
        <v>0</v>
      </c>
      <c r="AL1185" s="31">
        <f>VLOOKUP($A1185,kurspris!$A$1:$Q$835,11,FALSE)</f>
        <v>0</v>
      </c>
      <c r="AM1185" s="31">
        <f>VLOOKUP($A1185,kurspris!$A$1:$Q$835,12,FALSE)</f>
        <v>0</v>
      </c>
      <c r="AN1185" s="31">
        <f>VLOOKUP($A1185,kurspris!$A$1:$Q$835,13,FALSE)</f>
        <v>0</v>
      </c>
      <c r="AO1185" s="31">
        <f>VLOOKUP($A1185,kurspris!$A$1:$Q$835,14,FALSE)</f>
        <v>0</v>
      </c>
      <c r="AP1185" s="39" t="s">
        <v>2326</v>
      </c>
      <c r="AQ1185"/>
      <c r="AR1185" s="31">
        <f t="shared" si="641"/>
        <v>0</v>
      </c>
      <c r="AS1185" s="255">
        <f t="shared" si="642"/>
        <v>0</v>
      </c>
      <c r="AT1185" s="31">
        <f t="shared" si="643"/>
        <v>2.5</v>
      </c>
      <c r="AU1185" s="255">
        <f t="shared" si="644"/>
        <v>2.125</v>
      </c>
      <c r="AV1185" s="31">
        <f t="shared" si="645"/>
        <v>0</v>
      </c>
      <c r="AW1185" s="31">
        <f t="shared" si="646"/>
        <v>0</v>
      </c>
      <c r="AX1185" s="31">
        <f t="shared" si="647"/>
        <v>0</v>
      </c>
      <c r="AY1185" s="255">
        <f t="shared" si="648"/>
        <v>0</v>
      </c>
      <c r="AZ1185" s="232">
        <f t="shared" si="649"/>
        <v>0</v>
      </c>
      <c r="BA1185" s="255">
        <f t="shared" si="650"/>
        <v>0</v>
      </c>
      <c r="BB1185" s="31">
        <f t="shared" si="651"/>
        <v>0</v>
      </c>
      <c r="BC1185" s="255">
        <f t="shared" si="652"/>
        <v>0</v>
      </c>
      <c r="BD1185" s="31">
        <f t="shared" si="653"/>
        <v>0</v>
      </c>
      <c r="BE1185" s="255">
        <f t="shared" si="654"/>
        <v>0</v>
      </c>
      <c r="BF1185" s="31">
        <f t="shared" si="655"/>
        <v>0</v>
      </c>
      <c r="BG1185" s="255">
        <f t="shared" si="656"/>
        <v>0</v>
      </c>
      <c r="BH1185" s="31">
        <f t="shared" si="657"/>
        <v>0</v>
      </c>
      <c r="BI1185" s="255">
        <f t="shared" si="658"/>
        <v>0</v>
      </c>
      <c r="BJ1185" s="31">
        <f t="shared" si="659"/>
        <v>0</v>
      </c>
      <c r="BK1185" s="31">
        <f t="shared" si="660"/>
        <v>0</v>
      </c>
      <c r="BL1185" s="255">
        <f t="shared" si="661"/>
        <v>0</v>
      </c>
      <c r="BM1185" s="31">
        <f t="shared" si="662"/>
        <v>0</v>
      </c>
      <c r="BN1185" s="255">
        <f t="shared" si="663"/>
        <v>0</v>
      </c>
    </row>
    <row r="1186" spans="1:66" x14ac:dyDescent="0.25">
      <c r="A1186" s="18" t="s">
        <v>2058</v>
      </c>
      <c r="B1186" s="186" t="str">
        <f>VLOOKUP(A1186,kurspris!$A$1:$B$877,2,FALSE)</f>
        <v>Svenska som andraspråk för ämneslärare, kurs 2</v>
      </c>
      <c r="C1186" s="37"/>
      <c r="D1186" s="31" t="s">
        <v>483</v>
      </c>
      <c r="E1186" s="31" t="s">
        <v>1973</v>
      </c>
      <c r="F1186" s="59" t="s">
        <v>1931</v>
      </c>
      <c r="G1186" s="31" t="s">
        <v>2276</v>
      </c>
      <c r="J1186" t="s">
        <v>778</v>
      </c>
      <c r="L1186" s="31">
        <v>100</v>
      </c>
      <c r="M1186" s="31">
        <v>30</v>
      </c>
      <c r="P1186" s="31">
        <v>4</v>
      </c>
      <c r="Q1186" s="232">
        <f t="shared" si="636"/>
        <v>2</v>
      </c>
      <c r="R1186" s="40">
        <v>0.85</v>
      </c>
      <c r="S1186" s="334">
        <f t="shared" si="637"/>
        <v>1.7</v>
      </c>
      <c r="T1186" s="31">
        <f>VLOOKUP(A1186,'Ansvar kurs'!$A$1:$C$1010,2,FALSE)</f>
        <v>1620</v>
      </c>
      <c r="U1186" s="31" t="str">
        <f>VLOOKUP(T1186,Orgenheter!$A$1:$C$165,2,FALSE)</f>
        <v>Inst för språkstudier</v>
      </c>
      <c r="V1186" s="31" t="str">
        <f>VLOOKUP(T1186,Orgenheter!$A$1:$C$165,3,FALSE)</f>
        <v>Hum</v>
      </c>
      <c r="W1186" s="37" t="str">
        <f>VLOOKUP(D1186,Program!$A$1:$B$34,2,FALSE)</f>
        <v>Ämneslärarprogrammet - Gy</v>
      </c>
      <c r="X1186" s="42">
        <f>VLOOKUP(A1186,kurspris!$A$1:$Q$798,15,FALSE)</f>
        <v>18405</v>
      </c>
      <c r="Y1186" s="42">
        <f>VLOOKUP(A1186,kurspris!$A$1:$Q$798,16,FALSE)</f>
        <v>15773</v>
      </c>
      <c r="Z1186" s="42">
        <f t="shared" si="638"/>
        <v>63624.1</v>
      </c>
      <c r="AA1186" s="42">
        <f>VLOOKUP(A1186,kurspris!$A$1:$Q$798,17,FALSE)</f>
        <v>5800</v>
      </c>
      <c r="AB1186" s="42">
        <f t="shared" si="639"/>
        <v>11600</v>
      </c>
      <c r="AC1186" s="42">
        <f t="shared" si="640"/>
        <v>75224.100000000006</v>
      </c>
      <c r="AD1186" s="31">
        <f>VLOOKUP($A1186,kurspris!$A$1:$Q$835,3,FALSE)</f>
        <v>0</v>
      </c>
      <c r="AE1186" s="31">
        <f>VLOOKUP($A1186,kurspris!$A$1:$Q$835,4,FALSE)</f>
        <v>1</v>
      </c>
      <c r="AF1186" s="31">
        <f>VLOOKUP($A1186,kurspris!$A$1:$Q$835,5,FALSE)</f>
        <v>0</v>
      </c>
      <c r="AG1186" s="31">
        <f>VLOOKUP($A1186,kurspris!$A$1:$Q$835,6,FALSE)</f>
        <v>0</v>
      </c>
      <c r="AH1186" s="31">
        <f>VLOOKUP($A1186,kurspris!$A$1:$Q$835,7,FALSE)</f>
        <v>0</v>
      </c>
      <c r="AI1186" s="31">
        <f>VLOOKUP($A1186,kurspris!$A$1:$Q$835,8,FALSE)</f>
        <v>0</v>
      </c>
      <c r="AJ1186" s="31">
        <f>VLOOKUP($A1186,kurspris!$A$1:$Q$835,9,FALSE)</f>
        <v>0</v>
      </c>
      <c r="AK1186" s="31">
        <f>VLOOKUP($A1186,kurspris!$A$1:$Q$835,10,FALSE)</f>
        <v>0</v>
      </c>
      <c r="AL1186" s="31">
        <f>VLOOKUP($A1186,kurspris!$A$1:$Q$835,11,FALSE)</f>
        <v>0</v>
      </c>
      <c r="AM1186" s="31">
        <f>VLOOKUP($A1186,kurspris!$A$1:$Q$835,12,FALSE)</f>
        <v>0</v>
      </c>
      <c r="AN1186" s="31">
        <f>VLOOKUP($A1186,kurspris!$A$1:$Q$835,13,FALSE)</f>
        <v>0</v>
      </c>
      <c r="AO1186" s="31">
        <f>VLOOKUP($A1186,kurspris!$A$1:$Q$835,14,FALSE)</f>
        <v>0</v>
      </c>
      <c r="AP1186" s="39" t="s">
        <v>2326</v>
      </c>
      <c r="AQ1186"/>
      <c r="AR1186" s="31">
        <f t="shared" si="641"/>
        <v>0</v>
      </c>
      <c r="AS1186" s="255">
        <f t="shared" si="642"/>
        <v>0</v>
      </c>
      <c r="AT1186" s="31">
        <f t="shared" si="643"/>
        <v>2</v>
      </c>
      <c r="AU1186" s="255">
        <f t="shared" si="644"/>
        <v>1.7</v>
      </c>
      <c r="AV1186" s="31">
        <f t="shared" si="645"/>
        <v>0</v>
      </c>
      <c r="AW1186" s="31">
        <f t="shared" si="646"/>
        <v>0</v>
      </c>
      <c r="AX1186" s="31">
        <f t="shared" si="647"/>
        <v>0</v>
      </c>
      <c r="AY1186" s="255">
        <f t="shared" si="648"/>
        <v>0</v>
      </c>
      <c r="AZ1186" s="232">
        <f t="shared" si="649"/>
        <v>0</v>
      </c>
      <c r="BA1186" s="255">
        <f t="shared" si="650"/>
        <v>0</v>
      </c>
      <c r="BB1186" s="31">
        <f t="shared" si="651"/>
        <v>0</v>
      </c>
      <c r="BC1186" s="255">
        <f t="shared" si="652"/>
        <v>0</v>
      </c>
      <c r="BD1186" s="31">
        <f t="shared" si="653"/>
        <v>0</v>
      </c>
      <c r="BE1186" s="255">
        <f t="shared" si="654"/>
        <v>0</v>
      </c>
      <c r="BF1186" s="31">
        <f t="shared" si="655"/>
        <v>0</v>
      </c>
      <c r="BG1186" s="255">
        <f t="shared" si="656"/>
        <v>0</v>
      </c>
      <c r="BH1186" s="31">
        <f t="shared" si="657"/>
        <v>0</v>
      </c>
      <c r="BI1186" s="255">
        <f t="shared" si="658"/>
        <v>0</v>
      </c>
      <c r="BJ1186" s="31">
        <f t="shared" si="659"/>
        <v>0</v>
      </c>
      <c r="BK1186" s="31">
        <f t="shared" si="660"/>
        <v>0</v>
      </c>
      <c r="BL1186" s="255">
        <f t="shared" si="661"/>
        <v>0</v>
      </c>
      <c r="BM1186" s="31">
        <f t="shared" si="662"/>
        <v>0</v>
      </c>
      <c r="BN1186" s="255">
        <f t="shared" si="663"/>
        <v>0</v>
      </c>
    </row>
    <row r="1187" spans="1:66" x14ac:dyDescent="0.25">
      <c r="A1187" s="18" t="s">
        <v>2058</v>
      </c>
      <c r="B1187" s="186" t="str">
        <f>VLOOKUP(A1187,kurspris!$A$1:$B$877,2,FALSE)</f>
        <v>Svenska som andraspråk för ämneslärare, kurs 2</v>
      </c>
      <c r="C1187" s="37"/>
      <c r="D1187" s="31" t="s">
        <v>483</v>
      </c>
      <c r="E1187" s="31" t="s">
        <v>1609</v>
      </c>
      <c r="F1187" s="59" t="s">
        <v>1931</v>
      </c>
      <c r="G1187" s="31" t="s">
        <v>2276</v>
      </c>
      <c r="J1187" t="s">
        <v>1592</v>
      </c>
      <c r="L1187" s="31">
        <v>100</v>
      </c>
      <c r="M1187" s="31">
        <v>30</v>
      </c>
      <c r="P1187" s="31">
        <v>1</v>
      </c>
      <c r="Q1187" s="232">
        <f t="shared" si="636"/>
        <v>0.5</v>
      </c>
      <c r="R1187" s="40">
        <v>0.85</v>
      </c>
      <c r="S1187" s="334">
        <f t="shared" si="637"/>
        <v>0.42499999999999999</v>
      </c>
      <c r="T1187" s="31">
        <f>VLOOKUP(A1187,'Ansvar kurs'!$A$1:$C$1010,2,FALSE)</f>
        <v>1620</v>
      </c>
      <c r="U1187" s="31" t="str">
        <f>VLOOKUP(T1187,Orgenheter!$A$1:$C$165,2,FALSE)</f>
        <v>Inst för språkstudier</v>
      </c>
      <c r="V1187" s="31" t="str">
        <f>VLOOKUP(T1187,Orgenheter!$A$1:$C$165,3,FALSE)</f>
        <v>Hum</v>
      </c>
      <c r="W1187" s="37" t="str">
        <f>VLOOKUP(D1187,Program!$A$1:$B$34,2,FALSE)</f>
        <v>Ämneslärarprogrammet - Gy</v>
      </c>
      <c r="X1187" s="42">
        <f>VLOOKUP(A1187,kurspris!$A$1:$Q$798,15,FALSE)</f>
        <v>18405</v>
      </c>
      <c r="Y1187" s="42">
        <f>VLOOKUP(A1187,kurspris!$A$1:$Q$798,16,FALSE)</f>
        <v>15773</v>
      </c>
      <c r="Z1187" s="42">
        <f t="shared" si="638"/>
        <v>15906.025</v>
      </c>
      <c r="AA1187" s="42">
        <f>VLOOKUP(A1187,kurspris!$A$1:$Q$798,17,FALSE)</f>
        <v>5800</v>
      </c>
      <c r="AB1187" s="42">
        <f t="shared" si="639"/>
        <v>2900</v>
      </c>
      <c r="AC1187" s="42">
        <f t="shared" si="640"/>
        <v>18806.025000000001</v>
      </c>
      <c r="AD1187" s="31">
        <f>VLOOKUP($A1187,kurspris!$A$1:$Q$835,3,FALSE)</f>
        <v>0</v>
      </c>
      <c r="AE1187" s="31">
        <f>VLOOKUP($A1187,kurspris!$A$1:$Q$835,4,FALSE)</f>
        <v>1</v>
      </c>
      <c r="AF1187" s="31">
        <f>VLOOKUP($A1187,kurspris!$A$1:$Q$835,5,FALSE)</f>
        <v>0</v>
      </c>
      <c r="AG1187" s="31">
        <f>VLOOKUP($A1187,kurspris!$A$1:$Q$835,6,FALSE)</f>
        <v>0</v>
      </c>
      <c r="AH1187" s="31">
        <f>VLOOKUP($A1187,kurspris!$A$1:$Q$835,7,FALSE)</f>
        <v>0</v>
      </c>
      <c r="AI1187" s="31">
        <f>VLOOKUP($A1187,kurspris!$A$1:$Q$835,8,FALSE)</f>
        <v>0</v>
      </c>
      <c r="AJ1187" s="31">
        <f>VLOOKUP($A1187,kurspris!$A$1:$Q$835,9,FALSE)</f>
        <v>0</v>
      </c>
      <c r="AK1187" s="31">
        <f>VLOOKUP($A1187,kurspris!$A$1:$Q$835,10,FALSE)</f>
        <v>0</v>
      </c>
      <c r="AL1187" s="31">
        <f>VLOOKUP($A1187,kurspris!$A$1:$Q$835,11,FALSE)</f>
        <v>0</v>
      </c>
      <c r="AM1187" s="31">
        <f>VLOOKUP($A1187,kurspris!$A$1:$Q$835,12,FALSE)</f>
        <v>0</v>
      </c>
      <c r="AN1187" s="31">
        <f>VLOOKUP($A1187,kurspris!$A$1:$Q$835,13,FALSE)</f>
        <v>0</v>
      </c>
      <c r="AO1187" s="31">
        <f>VLOOKUP($A1187,kurspris!$A$1:$Q$835,14,FALSE)</f>
        <v>0</v>
      </c>
      <c r="AP1187" s="39" t="s">
        <v>2326</v>
      </c>
      <c r="AQ1187"/>
      <c r="AR1187" s="31">
        <f t="shared" si="641"/>
        <v>0</v>
      </c>
      <c r="AS1187" s="255">
        <f t="shared" si="642"/>
        <v>0</v>
      </c>
      <c r="AT1187" s="31">
        <f t="shared" si="643"/>
        <v>0.5</v>
      </c>
      <c r="AU1187" s="255">
        <f t="shared" si="644"/>
        <v>0.42499999999999999</v>
      </c>
      <c r="AV1187" s="31">
        <f t="shared" si="645"/>
        <v>0</v>
      </c>
      <c r="AW1187" s="31">
        <f t="shared" si="646"/>
        <v>0</v>
      </c>
      <c r="AX1187" s="31">
        <f t="shared" si="647"/>
        <v>0</v>
      </c>
      <c r="AY1187" s="255">
        <f t="shared" si="648"/>
        <v>0</v>
      </c>
      <c r="AZ1187" s="232">
        <f t="shared" si="649"/>
        <v>0</v>
      </c>
      <c r="BA1187" s="255">
        <f t="shared" si="650"/>
        <v>0</v>
      </c>
      <c r="BB1187" s="31">
        <f t="shared" si="651"/>
        <v>0</v>
      </c>
      <c r="BC1187" s="255">
        <f t="shared" si="652"/>
        <v>0</v>
      </c>
      <c r="BD1187" s="31">
        <f t="shared" si="653"/>
        <v>0</v>
      </c>
      <c r="BE1187" s="255">
        <f t="shared" si="654"/>
        <v>0</v>
      </c>
      <c r="BF1187" s="31">
        <f t="shared" si="655"/>
        <v>0</v>
      </c>
      <c r="BG1187" s="255">
        <f t="shared" si="656"/>
        <v>0</v>
      </c>
      <c r="BH1187" s="31">
        <f t="shared" si="657"/>
        <v>0</v>
      </c>
      <c r="BI1187" s="255">
        <f t="shared" si="658"/>
        <v>0</v>
      </c>
      <c r="BJ1187" s="31">
        <f t="shared" si="659"/>
        <v>0</v>
      </c>
      <c r="BK1187" s="31">
        <f t="shared" si="660"/>
        <v>0</v>
      </c>
      <c r="BL1187" s="255">
        <f t="shared" si="661"/>
        <v>0</v>
      </c>
      <c r="BM1187" s="31">
        <f t="shared" si="662"/>
        <v>0</v>
      </c>
      <c r="BN1187" s="255">
        <f t="shared" si="663"/>
        <v>0</v>
      </c>
    </row>
    <row r="1188" spans="1:66" x14ac:dyDescent="0.25">
      <c r="A1188" s="18" t="s">
        <v>2058</v>
      </c>
      <c r="B1188" s="186" t="str">
        <f>VLOOKUP(A1188,kurspris!$A$1:$B$877,2,FALSE)</f>
        <v>Svenska som andraspråk för ämneslärare, kurs 2</v>
      </c>
      <c r="C1188" s="37"/>
      <c r="D1188" s="31" t="s">
        <v>483</v>
      </c>
      <c r="E1188" s="31" t="s">
        <v>1788</v>
      </c>
      <c r="F1188" s="59" t="s">
        <v>1931</v>
      </c>
      <c r="G1188" s="31" t="s">
        <v>2276</v>
      </c>
      <c r="J1188" t="s">
        <v>1592</v>
      </c>
      <c r="L1188" s="31">
        <v>100</v>
      </c>
      <c r="M1188" s="31">
        <v>30</v>
      </c>
      <c r="P1188" s="31">
        <v>2</v>
      </c>
      <c r="Q1188" s="232">
        <f t="shared" si="636"/>
        <v>1</v>
      </c>
      <c r="R1188" s="40">
        <v>0.85</v>
      </c>
      <c r="S1188" s="334">
        <f t="shared" si="637"/>
        <v>0.85</v>
      </c>
      <c r="T1188" s="31">
        <f>VLOOKUP(A1188,'Ansvar kurs'!$A$1:$C$1010,2,FALSE)</f>
        <v>1620</v>
      </c>
      <c r="U1188" s="31" t="str">
        <f>VLOOKUP(T1188,Orgenheter!$A$1:$C$165,2,FALSE)</f>
        <v>Inst för språkstudier</v>
      </c>
      <c r="V1188" s="31" t="str">
        <f>VLOOKUP(T1188,Orgenheter!$A$1:$C$165,3,FALSE)</f>
        <v>Hum</v>
      </c>
      <c r="W1188" s="37" t="str">
        <f>VLOOKUP(D1188,Program!$A$1:$B$34,2,FALSE)</f>
        <v>Ämneslärarprogrammet - Gy</v>
      </c>
      <c r="X1188" s="42">
        <f>VLOOKUP(A1188,kurspris!$A$1:$Q$798,15,FALSE)</f>
        <v>18405</v>
      </c>
      <c r="Y1188" s="42">
        <f>VLOOKUP(A1188,kurspris!$A$1:$Q$798,16,FALSE)</f>
        <v>15773</v>
      </c>
      <c r="Z1188" s="42">
        <f t="shared" si="638"/>
        <v>31812.05</v>
      </c>
      <c r="AA1188" s="42">
        <f>VLOOKUP(A1188,kurspris!$A$1:$Q$798,17,FALSE)</f>
        <v>5800</v>
      </c>
      <c r="AB1188" s="42">
        <f t="shared" si="639"/>
        <v>5800</v>
      </c>
      <c r="AC1188" s="42">
        <f t="shared" si="640"/>
        <v>37612.050000000003</v>
      </c>
      <c r="AD1188" s="31">
        <f>VLOOKUP($A1188,kurspris!$A$1:$Q$835,3,FALSE)</f>
        <v>0</v>
      </c>
      <c r="AE1188" s="31">
        <f>VLOOKUP($A1188,kurspris!$A$1:$Q$835,4,FALSE)</f>
        <v>1</v>
      </c>
      <c r="AF1188" s="31">
        <f>VLOOKUP($A1188,kurspris!$A$1:$Q$835,5,FALSE)</f>
        <v>0</v>
      </c>
      <c r="AG1188" s="31">
        <f>VLOOKUP($A1188,kurspris!$A$1:$Q$835,6,FALSE)</f>
        <v>0</v>
      </c>
      <c r="AH1188" s="31">
        <f>VLOOKUP($A1188,kurspris!$A$1:$Q$835,7,FALSE)</f>
        <v>0</v>
      </c>
      <c r="AI1188" s="31">
        <f>VLOOKUP($A1188,kurspris!$A$1:$Q$835,8,FALSE)</f>
        <v>0</v>
      </c>
      <c r="AJ1188" s="31">
        <f>VLOOKUP($A1188,kurspris!$A$1:$Q$835,9,FALSE)</f>
        <v>0</v>
      </c>
      <c r="AK1188" s="31">
        <f>VLOOKUP($A1188,kurspris!$A$1:$Q$835,10,FALSE)</f>
        <v>0</v>
      </c>
      <c r="AL1188" s="31">
        <f>VLOOKUP($A1188,kurspris!$A$1:$Q$835,11,FALSE)</f>
        <v>0</v>
      </c>
      <c r="AM1188" s="31">
        <f>VLOOKUP($A1188,kurspris!$A$1:$Q$835,12,FALSE)</f>
        <v>0</v>
      </c>
      <c r="AN1188" s="31">
        <f>VLOOKUP($A1188,kurspris!$A$1:$Q$835,13,FALSE)</f>
        <v>0</v>
      </c>
      <c r="AO1188" s="31">
        <f>VLOOKUP($A1188,kurspris!$A$1:$Q$835,14,FALSE)</f>
        <v>0</v>
      </c>
      <c r="AP1188" s="39" t="s">
        <v>2326</v>
      </c>
      <c r="AQ1188"/>
      <c r="AR1188" s="31">
        <f t="shared" si="641"/>
        <v>0</v>
      </c>
      <c r="AS1188" s="255">
        <f t="shared" si="642"/>
        <v>0</v>
      </c>
      <c r="AT1188" s="31">
        <f t="shared" si="643"/>
        <v>1</v>
      </c>
      <c r="AU1188" s="255">
        <f t="shared" si="644"/>
        <v>0.85</v>
      </c>
      <c r="AV1188" s="31">
        <f t="shared" si="645"/>
        <v>0</v>
      </c>
      <c r="AW1188" s="31">
        <f t="shared" si="646"/>
        <v>0</v>
      </c>
      <c r="AX1188" s="31">
        <f t="shared" si="647"/>
        <v>0</v>
      </c>
      <c r="AY1188" s="255">
        <f t="shared" si="648"/>
        <v>0</v>
      </c>
      <c r="AZ1188" s="232">
        <f t="shared" si="649"/>
        <v>0</v>
      </c>
      <c r="BA1188" s="255">
        <f t="shared" si="650"/>
        <v>0</v>
      </c>
      <c r="BB1188" s="31">
        <f t="shared" si="651"/>
        <v>0</v>
      </c>
      <c r="BC1188" s="255">
        <f t="shared" si="652"/>
        <v>0</v>
      </c>
      <c r="BD1188" s="31">
        <f t="shared" si="653"/>
        <v>0</v>
      </c>
      <c r="BE1188" s="255">
        <f t="shared" si="654"/>
        <v>0</v>
      </c>
      <c r="BF1188" s="31">
        <f t="shared" si="655"/>
        <v>0</v>
      </c>
      <c r="BG1188" s="255">
        <f t="shared" si="656"/>
        <v>0</v>
      </c>
      <c r="BH1188" s="31">
        <f t="shared" si="657"/>
        <v>0</v>
      </c>
      <c r="BI1188" s="255">
        <f t="shared" si="658"/>
        <v>0</v>
      </c>
      <c r="BJ1188" s="31">
        <f t="shared" si="659"/>
        <v>0</v>
      </c>
      <c r="BK1188" s="31">
        <f t="shared" si="660"/>
        <v>0</v>
      </c>
      <c r="BL1188" s="255">
        <f t="shared" si="661"/>
        <v>0</v>
      </c>
      <c r="BM1188" s="31">
        <f t="shared" si="662"/>
        <v>0</v>
      </c>
      <c r="BN1188" s="255">
        <f t="shared" si="663"/>
        <v>0</v>
      </c>
    </row>
    <row r="1189" spans="1:66" x14ac:dyDescent="0.25">
      <c r="A1189" s="18" t="s">
        <v>2059</v>
      </c>
      <c r="B1189" s="186" t="str">
        <f>VLOOKUP(A1189,kurspris!$A$1:$B$877,2,FALSE)</f>
        <v>Svenska som andraspråk för ämneslärare, kurs 3</v>
      </c>
      <c r="C1189" s="37"/>
      <c r="D1189" t="s">
        <v>117</v>
      </c>
      <c r="E1189"/>
      <c r="F1189" s="59" t="s">
        <v>1930</v>
      </c>
      <c r="G1189"/>
      <c r="H1189"/>
      <c r="I1189" t="s">
        <v>1634</v>
      </c>
      <c r="L1189">
        <v>100</v>
      </c>
      <c r="M1189">
        <v>30</v>
      </c>
      <c r="P1189" s="31">
        <v>0</v>
      </c>
      <c r="Q1189" s="232">
        <f t="shared" si="636"/>
        <v>0</v>
      </c>
      <c r="R1189" s="40">
        <v>0.8</v>
      </c>
      <c r="S1189" s="334">
        <f t="shared" si="637"/>
        <v>0</v>
      </c>
      <c r="T1189" s="31">
        <f>VLOOKUP(A1189,'Ansvar kurs'!$A$1:$C$1010,2,FALSE)</f>
        <v>1620</v>
      </c>
      <c r="U1189" s="31" t="str">
        <f>VLOOKUP(T1189,Orgenheter!$A$1:$C$165,2,FALSE)</f>
        <v>Inst för språkstudier</v>
      </c>
      <c r="V1189" s="31" t="str">
        <f>VLOOKUP(T1189,Orgenheter!$A$1:$C$165,3,FALSE)</f>
        <v>Hum</v>
      </c>
      <c r="W1189" s="37" t="str">
        <f>VLOOKUP(D1189,Program!$A$1:$B$34,2,FALSE)</f>
        <v>Fristående och övriga kurser</v>
      </c>
      <c r="X1189" s="42">
        <f>VLOOKUP(A1189,kurspris!$A$1:$Q$798,15,FALSE)</f>
        <v>18405</v>
      </c>
      <c r="Y1189" s="42">
        <f>VLOOKUP(A1189,kurspris!$A$1:$Q$798,16,FALSE)</f>
        <v>15773</v>
      </c>
      <c r="Z1189" s="42">
        <f t="shared" si="638"/>
        <v>0</v>
      </c>
      <c r="AA1189" s="42">
        <f>VLOOKUP(A1189,kurspris!$A$1:$Q$798,17,FALSE)</f>
        <v>5800</v>
      </c>
      <c r="AB1189" s="42">
        <f t="shared" si="639"/>
        <v>0</v>
      </c>
      <c r="AC1189" s="42">
        <f t="shared" si="640"/>
        <v>0</v>
      </c>
      <c r="AD1189" s="31">
        <f>VLOOKUP($A1189,kurspris!$A$1:$Q$835,3,FALSE)</f>
        <v>0</v>
      </c>
      <c r="AE1189" s="31">
        <f>VLOOKUP($A1189,kurspris!$A$1:$Q$835,4,FALSE)</f>
        <v>1</v>
      </c>
      <c r="AF1189" s="31">
        <f>VLOOKUP($A1189,kurspris!$A$1:$Q$835,5,FALSE)</f>
        <v>0</v>
      </c>
      <c r="AG1189" s="31">
        <f>VLOOKUP($A1189,kurspris!$A$1:$Q$835,6,FALSE)</f>
        <v>0</v>
      </c>
      <c r="AH1189" s="31">
        <f>VLOOKUP($A1189,kurspris!$A$1:$Q$835,7,FALSE)</f>
        <v>0</v>
      </c>
      <c r="AI1189" s="31">
        <f>VLOOKUP($A1189,kurspris!$A$1:$Q$835,8,FALSE)</f>
        <v>0</v>
      </c>
      <c r="AJ1189" s="31">
        <f>VLOOKUP($A1189,kurspris!$A$1:$Q$835,9,FALSE)</f>
        <v>0</v>
      </c>
      <c r="AK1189" s="31">
        <f>VLOOKUP($A1189,kurspris!$A$1:$Q$835,10,FALSE)</f>
        <v>0</v>
      </c>
      <c r="AL1189" s="31">
        <f>VLOOKUP($A1189,kurspris!$A$1:$Q$835,11,FALSE)</f>
        <v>0</v>
      </c>
      <c r="AM1189" s="31">
        <f>VLOOKUP($A1189,kurspris!$A$1:$Q$835,12,FALSE)</f>
        <v>0</v>
      </c>
      <c r="AN1189" s="31">
        <f>VLOOKUP($A1189,kurspris!$A$1:$Q$835,13,FALSE)</f>
        <v>0</v>
      </c>
      <c r="AO1189" s="31">
        <f>VLOOKUP($A1189,kurspris!$A$1:$Q$835,14,FALSE)</f>
        <v>0</v>
      </c>
      <c r="AP1189" s="39" t="s">
        <v>2204</v>
      </c>
      <c r="AQ1189" s="39" t="s">
        <v>2095</v>
      </c>
      <c r="AR1189" s="31">
        <f t="shared" si="641"/>
        <v>0</v>
      </c>
      <c r="AS1189" s="255">
        <f t="shared" si="642"/>
        <v>0</v>
      </c>
      <c r="AT1189" s="31">
        <f t="shared" si="643"/>
        <v>0</v>
      </c>
      <c r="AU1189" s="255">
        <f t="shared" si="644"/>
        <v>0</v>
      </c>
      <c r="AV1189" s="31">
        <f t="shared" si="645"/>
        <v>0</v>
      </c>
      <c r="AW1189" s="31">
        <f t="shared" si="646"/>
        <v>0</v>
      </c>
      <c r="AX1189" s="31">
        <f t="shared" si="647"/>
        <v>0</v>
      </c>
      <c r="AY1189" s="255">
        <f t="shared" si="648"/>
        <v>0</v>
      </c>
      <c r="AZ1189" s="232">
        <f t="shared" si="649"/>
        <v>0</v>
      </c>
      <c r="BA1189" s="255">
        <f t="shared" si="650"/>
        <v>0</v>
      </c>
      <c r="BB1189" s="31">
        <f t="shared" si="651"/>
        <v>0</v>
      </c>
      <c r="BC1189" s="255">
        <f t="shared" si="652"/>
        <v>0</v>
      </c>
      <c r="BD1189" s="31">
        <f t="shared" si="653"/>
        <v>0</v>
      </c>
      <c r="BE1189" s="255">
        <f t="shared" si="654"/>
        <v>0</v>
      </c>
      <c r="BF1189" s="31">
        <f t="shared" si="655"/>
        <v>0</v>
      </c>
      <c r="BG1189" s="255">
        <f t="shared" si="656"/>
        <v>0</v>
      </c>
      <c r="BH1189" s="31">
        <f t="shared" si="657"/>
        <v>0</v>
      </c>
      <c r="BI1189" s="255">
        <f t="shared" si="658"/>
        <v>0</v>
      </c>
      <c r="BJ1189" s="31">
        <f t="shared" si="659"/>
        <v>0</v>
      </c>
      <c r="BK1189" s="31">
        <f t="shared" si="660"/>
        <v>0</v>
      </c>
      <c r="BL1189" s="255">
        <f t="shared" si="661"/>
        <v>0</v>
      </c>
      <c r="BM1189" s="31">
        <f t="shared" si="662"/>
        <v>0</v>
      </c>
      <c r="BN1189" s="255">
        <f t="shared" si="663"/>
        <v>0</v>
      </c>
    </row>
    <row r="1190" spans="1:66" x14ac:dyDescent="0.25">
      <c r="A1190" t="s">
        <v>2059</v>
      </c>
      <c r="B1190" s="186" t="str">
        <f>VLOOKUP(A1190,kurspris!$A$1:$B$877,2,FALSE)</f>
        <v>Svenska som andraspråk för ämneslärare, kurs 3</v>
      </c>
      <c r="C1190"/>
      <c r="D1190" t="s">
        <v>483</v>
      </c>
      <c r="E1190" t="s">
        <v>1975</v>
      </c>
      <c r="F1190" s="59" t="s">
        <v>1930</v>
      </c>
      <c r="G1190" t="s">
        <v>1995</v>
      </c>
      <c r="H1190" t="s">
        <v>1910</v>
      </c>
      <c r="I1190"/>
      <c r="J1190" t="s">
        <v>1952</v>
      </c>
      <c r="K1190"/>
      <c r="L1190">
        <v>100</v>
      </c>
      <c r="M1190">
        <v>30</v>
      </c>
      <c r="N1190"/>
      <c r="O1190"/>
      <c r="P1190" s="31">
        <v>1</v>
      </c>
      <c r="Q1190" s="232">
        <f t="shared" si="636"/>
        <v>0.5</v>
      </c>
      <c r="R1190" s="40">
        <v>0.85</v>
      </c>
      <c r="S1190" s="334">
        <f t="shared" si="637"/>
        <v>0.42499999999999999</v>
      </c>
      <c r="T1190" s="31">
        <f>VLOOKUP(A1190,'Ansvar kurs'!$A$1:$C$1010,2,FALSE)</f>
        <v>1620</v>
      </c>
      <c r="U1190" s="31" t="str">
        <f>VLOOKUP(T1190,Orgenheter!$A$1:$C$165,2,FALSE)</f>
        <v>Inst för språkstudier</v>
      </c>
      <c r="V1190" s="31" t="str">
        <f>VLOOKUP(T1190,Orgenheter!$A$1:$C$165,3,FALSE)</f>
        <v>Hum</v>
      </c>
      <c r="W1190" s="37" t="str">
        <f>VLOOKUP(D1190,Program!$A$1:$B$34,2,FALSE)</f>
        <v>Ämneslärarprogrammet - Gy</v>
      </c>
      <c r="X1190" s="42">
        <f>VLOOKUP(A1190,kurspris!$A$1:$Q$798,15,FALSE)</f>
        <v>18405</v>
      </c>
      <c r="Y1190" s="42">
        <f>VLOOKUP(A1190,kurspris!$A$1:$Q$798,16,FALSE)</f>
        <v>15773</v>
      </c>
      <c r="Z1190" s="42">
        <f t="shared" si="638"/>
        <v>15906.025</v>
      </c>
      <c r="AA1190" s="42">
        <f>VLOOKUP(A1190,kurspris!$A$1:$Q$798,17,FALSE)</f>
        <v>5800</v>
      </c>
      <c r="AB1190" s="42">
        <f t="shared" si="639"/>
        <v>2900</v>
      </c>
      <c r="AC1190" s="42">
        <f t="shared" si="640"/>
        <v>18806.025000000001</v>
      </c>
      <c r="AD1190" s="31">
        <f>VLOOKUP($A1190,kurspris!$A$1:$Q$835,3,FALSE)</f>
        <v>0</v>
      </c>
      <c r="AE1190" s="31">
        <f>VLOOKUP($A1190,kurspris!$A$1:$Q$835,4,FALSE)</f>
        <v>1</v>
      </c>
      <c r="AF1190" s="31">
        <f>VLOOKUP($A1190,kurspris!$A$1:$Q$835,5,FALSE)</f>
        <v>0</v>
      </c>
      <c r="AG1190" s="31">
        <f>VLOOKUP($A1190,kurspris!$A$1:$Q$835,6,FALSE)</f>
        <v>0</v>
      </c>
      <c r="AH1190" s="31">
        <f>VLOOKUP($A1190,kurspris!$A$1:$Q$835,7,FALSE)</f>
        <v>0</v>
      </c>
      <c r="AI1190" s="31">
        <f>VLOOKUP($A1190,kurspris!$A$1:$Q$835,8,FALSE)</f>
        <v>0</v>
      </c>
      <c r="AJ1190" s="31">
        <f>VLOOKUP($A1190,kurspris!$A$1:$Q$835,9,FALSE)</f>
        <v>0</v>
      </c>
      <c r="AK1190" s="31">
        <f>VLOOKUP($A1190,kurspris!$A$1:$Q$835,10,FALSE)</f>
        <v>0</v>
      </c>
      <c r="AL1190" s="31">
        <f>VLOOKUP($A1190,kurspris!$A$1:$Q$835,11,FALSE)</f>
        <v>0</v>
      </c>
      <c r="AM1190" s="31">
        <f>VLOOKUP($A1190,kurspris!$A$1:$Q$835,12,FALSE)</f>
        <v>0</v>
      </c>
      <c r="AN1190" s="31">
        <f>VLOOKUP($A1190,kurspris!$A$1:$Q$835,13,FALSE)</f>
        <v>0</v>
      </c>
      <c r="AO1190" s="31">
        <f>VLOOKUP($A1190,kurspris!$A$1:$Q$835,14,FALSE)</f>
        <v>0</v>
      </c>
      <c r="AP1190" s="39" t="s">
        <v>2204</v>
      </c>
      <c r="AQ1190"/>
      <c r="AR1190" s="31">
        <f t="shared" si="641"/>
        <v>0</v>
      </c>
      <c r="AS1190" s="255">
        <f t="shared" si="642"/>
        <v>0</v>
      </c>
      <c r="AT1190" s="31">
        <f t="shared" si="643"/>
        <v>0.5</v>
      </c>
      <c r="AU1190" s="255">
        <f t="shared" si="644"/>
        <v>0.42499999999999999</v>
      </c>
      <c r="AV1190" s="31">
        <f t="shared" si="645"/>
        <v>0</v>
      </c>
      <c r="AW1190" s="31">
        <f t="shared" si="646"/>
        <v>0</v>
      </c>
      <c r="AX1190" s="31">
        <f t="shared" si="647"/>
        <v>0</v>
      </c>
      <c r="AY1190" s="255">
        <f t="shared" si="648"/>
        <v>0</v>
      </c>
      <c r="AZ1190" s="232">
        <f t="shared" si="649"/>
        <v>0</v>
      </c>
      <c r="BA1190" s="255">
        <f t="shared" si="650"/>
        <v>0</v>
      </c>
      <c r="BB1190" s="31">
        <f t="shared" si="651"/>
        <v>0</v>
      </c>
      <c r="BC1190" s="255">
        <f t="shared" si="652"/>
        <v>0</v>
      </c>
      <c r="BD1190" s="31">
        <f t="shared" si="653"/>
        <v>0</v>
      </c>
      <c r="BE1190" s="255">
        <f t="shared" si="654"/>
        <v>0</v>
      </c>
      <c r="BF1190" s="31">
        <f t="shared" si="655"/>
        <v>0</v>
      </c>
      <c r="BG1190" s="255">
        <f t="shared" si="656"/>
        <v>0</v>
      </c>
      <c r="BH1190" s="31">
        <f t="shared" si="657"/>
        <v>0</v>
      </c>
      <c r="BI1190" s="255">
        <f t="shared" si="658"/>
        <v>0</v>
      </c>
      <c r="BJ1190" s="31">
        <f t="shared" si="659"/>
        <v>0</v>
      </c>
      <c r="BK1190" s="31">
        <f t="shared" si="660"/>
        <v>0</v>
      </c>
      <c r="BL1190" s="255">
        <f t="shared" si="661"/>
        <v>0</v>
      </c>
      <c r="BM1190" s="31">
        <f t="shared" si="662"/>
        <v>0</v>
      </c>
      <c r="BN1190" s="255">
        <f t="shared" si="663"/>
        <v>0</v>
      </c>
    </row>
    <row r="1191" spans="1:66" x14ac:dyDescent="0.25">
      <c r="A1191" t="s">
        <v>2059</v>
      </c>
      <c r="B1191" s="186" t="str">
        <f>VLOOKUP(A1191,kurspris!$A$1:$B$877,2,FALSE)</f>
        <v>Svenska som andraspråk för ämneslärare, kurs 3</v>
      </c>
      <c r="C1191"/>
      <c r="D1191" t="s">
        <v>483</v>
      </c>
      <c r="E1191" t="s">
        <v>1976</v>
      </c>
      <c r="F1191" s="59" t="s">
        <v>1930</v>
      </c>
      <c r="G1191" t="s">
        <v>1995</v>
      </c>
      <c r="H1191" t="s">
        <v>1910</v>
      </c>
      <c r="I1191"/>
      <c r="J1191" t="s">
        <v>771</v>
      </c>
      <c r="K1191"/>
      <c r="L1191">
        <v>100</v>
      </c>
      <c r="M1191">
        <v>30</v>
      </c>
      <c r="N1191"/>
      <c r="O1191"/>
      <c r="P1191" s="31">
        <v>2</v>
      </c>
      <c r="Q1191" s="232">
        <f t="shared" si="636"/>
        <v>1</v>
      </c>
      <c r="R1191" s="40">
        <v>0.85</v>
      </c>
      <c r="S1191" s="334">
        <f t="shared" si="637"/>
        <v>0.85</v>
      </c>
      <c r="T1191" s="31">
        <f>VLOOKUP(A1191,'Ansvar kurs'!$A$1:$C$1010,2,FALSE)</f>
        <v>1620</v>
      </c>
      <c r="U1191" s="31" t="str">
        <f>VLOOKUP(T1191,Orgenheter!$A$1:$C$165,2,FALSE)</f>
        <v>Inst för språkstudier</v>
      </c>
      <c r="V1191" s="31" t="str">
        <f>VLOOKUP(T1191,Orgenheter!$A$1:$C$165,3,FALSE)</f>
        <v>Hum</v>
      </c>
      <c r="W1191" s="37" t="str">
        <f>VLOOKUP(D1191,Program!$A$1:$B$34,2,FALSE)</f>
        <v>Ämneslärarprogrammet - Gy</v>
      </c>
      <c r="X1191" s="42">
        <f>VLOOKUP(A1191,kurspris!$A$1:$Q$798,15,FALSE)</f>
        <v>18405</v>
      </c>
      <c r="Y1191" s="42">
        <f>VLOOKUP(A1191,kurspris!$A$1:$Q$798,16,FALSE)</f>
        <v>15773</v>
      </c>
      <c r="Z1191" s="42">
        <f t="shared" si="638"/>
        <v>31812.05</v>
      </c>
      <c r="AA1191" s="42">
        <f>VLOOKUP(A1191,kurspris!$A$1:$Q$798,17,FALSE)</f>
        <v>5800</v>
      </c>
      <c r="AB1191" s="42">
        <f t="shared" si="639"/>
        <v>5800</v>
      </c>
      <c r="AC1191" s="42">
        <f t="shared" si="640"/>
        <v>37612.050000000003</v>
      </c>
      <c r="AD1191" s="31">
        <f>VLOOKUP($A1191,kurspris!$A$1:$Q$835,3,FALSE)</f>
        <v>0</v>
      </c>
      <c r="AE1191" s="31">
        <f>VLOOKUP($A1191,kurspris!$A$1:$Q$835,4,FALSE)</f>
        <v>1</v>
      </c>
      <c r="AF1191" s="31">
        <f>VLOOKUP($A1191,kurspris!$A$1:$Q$835,5,FALSE)</f>
        <v>0</v>
      </c>
      <c r="AG1191" s="31">
        <f>VLOOKUP($A1191,kurspris!$A$1:$Q$835,6,FALSE)</f>
        <v>0</v>
      </c>
      <c r="AH1191" s="31">
        <f>VLOOKUP($A1191,kurspris!$A$1:$Q$835,7,FALSE)</f>
        <v>0</v>
      </c>
      <c r="AI1191" s="31">
        <f>VLOOKUP($A1191,kurspris!$A$1:$Q$835,8,FALSE)</f>
        <v>0</v>
      </c>
      <c r="AJ1191" s="31">
        <f>VLOOKUP($A1191,kurspris!$A$1:$Q$835,9,FALSE)</f>
        <v>0</v>
      </c>
      <c r="AK1191" s="31">
        <f>VLOOKUP($A1191,kurspris!$A$1:$Q$835,10,FALSE)</f>
        <v>0</v>
      </c>
      <c r="AL1191" s="31">
        <f>VLOOKUP($A1191,kurspris!$A$1:$Q$835,11,FALSE)</f>
        <v>0</v>
      </c>
      <c r="AM1191" s="31">
        <f>VLOOKUP($A1191,kurspris!$A$1:$Q$835,12,FALSE)</f>
        <v>0</v>
      </c>
      <c r="AN1191" s="31">
        <f>VLOOKUP($A1191,kurspris!$A$1:$Q$835,13,FALSE)</f>
        <v>0</v>
      </c>
      <c r="AO1191" s="31">
        <f>VLOOKUP($A1191,kurspris!$A$1:$Q$835,14,FALSE)</f>
        <v>0</v>
      </c>
      <c r="AP1191" s="39" t="s">
        <v>2204</v>
      </c>
      <c r="AQ1191"/>
      <c r="AR1191" s="31">
        <f t="shared" si="641"/>
        <v>0</v>
      </c>
      <c r="AS1191" s="255">
        <f t="shared" si="642"/>
        <v>0</v>
      </c>
      <c r="AT1191" s="31">
        <f t="shared" si="643"/>
        <v>1</v>
      </c>
      <c r="AU1191" s="255">
        <f t="shared" si="644"/>
        <v>0.85</v>
      </c>
      <c r="AV1191" s="31">
        <f t="shared" si="645"/>
        <v>0</v>
      </c>
      <c r="AW1191" s="31">
        <f t="shared" si="646"/>
        <v>0</v>
      </c>
      <c r="AX1191" s="31">
        <f t="shared" si="647"/>
        <v>0</v>
      </c>
      <c r="AY1191" s="255">
        <f t="shared" si="648"/>
        <v>0</v>
      </c>
      <c r="AZ1191" s="232">
        <f t="shared" si="649"/>
        <v>0</v>
      </c>
      <c r="BA1191" s="255">
        <f t="shared" si="650"/>
        <v>0</v>
      </c>
      <c r="BB1191" s="31">
        <f t="shared" si="651"/>
        <v>0</v>
      </c>
      <c r="BC1191" s="255">
        <f t="shared" si="652"/>
        <v>0</v>
      </c>
      <c r="BD1191" s="31">
        <f t="shared" si="653"/>
        <v>0</v>
      </c>
      <c r="BE1191" s="255">
        <f t="shared" si="654"/>
        <v>0</v>
      </c>
      <c r="BF1191" s="31">
        <f t="shared" si="655"/>
        <v>0</v>
      </c>
      <c r="BG1191" s="255">
        <f t="shared" si="656"/>
        <v>0</v>
      </c>
      <c r="BH1191" s="31">
        <f t="shared" si="657"/>
        <v>0</v>
      </c>
      <c r="BI1191" s="255">
        <f t="shared" si="658"/>
        <v>0</v>
      </c>
      <c r="BJ1191" s="31">
        <f t="shared" si="659"/>
        <v>0</v>
      </c>
      <c r="BK1191" s="31">
        <f t="shared" si="660"/>
        <v>0</v>
      </c>
      <c r="BL1191" s="255">
        <f t="shared" si="661"/>
        <v>0</v>
      </c>
      <c r="BM1191" s="31">
        <f t="shared" si="662"/>
        <v>0</v>
      </c>
      <c r="BN1191" s="255">
        <f t="shared" si="663"/>
        <v>0</v>
      </c>
    </row>
    <row r="1192" spans="1:66" x14ac:dyDescent="0.25">
      <c r="A1192" t="s">
        <v>2059</v>
      </c>
      <c r="B1192" s="186" t="str">
        <f>VLOOKUP(A1192,kurspris!$A$1:$B$877,2,FALSE)</f>
        <v>Svenska som andraspråk för ämneslärare, kurs 3</v>
      </c>
      <c r="C1192"/>
      <c r="D1192" t="s">
        <v>483</v>
      </c>
      <c r="E1192" t="s">
        <v>1976</v>
      </c>
      <c r="F1192" s="59" t="s">
        <v>1930</v>
      </c>
      <c r="G1192" t="s">
        <v>1995</v>
      </c>
      <c r="H1192" t="s">
        <v>1910</v>
      </c>
      <c r="I1192"/>
      <c r="J1192" t="s">
        <v>778</v>
      </c>
      <c r="K1192"/>
      <c r="L1192">
        <v>100</v>
      </c>
      <c r="M1192">
        <v>30</v>
      </c>
      <c r="N1192"/>
      <c r="O1192"/>
      <c r="P1192" s="31">
        <v>2</v>
      </c>
      <c r="Q1192" s="232">
        <f t="shared" si="636"/>
        <v>1</v>
      </c>
      <c r="R1192" s="40">
        <v>0.85</v>
      </c>
      <c r="S1192" s="334">
        <f t="shared" si="637"/>
        <v>0.85</v>
      </c>
      <c r="T1192" s="31">
        <f>VLOOKUP(A1192,'Ansvar kurs'!$A$1:$C$1010,2,FALSE)</f>
        <v>1620</v>
      </c>
      <c r="U1192" s="31" t="str">
        <f>VLOOKUP(T1192,Orgenheter!$A$1:$C$165,2,FALSE)</f>
        <v>Inst för språkstudier</v>
      </c>
      <c r="V1192" s="31" t="str">
        <f>VLOOKUP(T1192,Orgenheter!$A$1:$C$165,3,FALSE)</f>
        <v>Hum</v>
      </c>
      <c r="W1192" s="37" t="str">
        <f>VLOOKUP(D1192,Program!$A$1:$B$34,2,FALSE)</f>
        <v>Ämneslärarprogrammet - Gy</v>
      </c>
      <c r="X1192" s="42">
        <f>VLOOKUP(A1192,kurspris!$A$1:$Q$798,15,FALSE)</f>
        <v>18405</v>
      </c>
      <c r="Y1192" s="42">
        <f>VLOOKUP(A1192,kurspris!$A$1:$Q$798,16,FALSE)</f>
        <v>15773</v>
      </c>
      <c r="Z1192" s="42">
        <f t="shared" si="638"/>
        <v>31812.05</v>
      </c>
      <c r="AA1192" s="42">
        <f>VLOOKUP(A1192,kurspris!$A$1:$Q$798,17,FALSE)</f>
        <v>5800</v>
      </c>
      <c r="AB1192" s="42">
        <f t="shared" si="639"/>
        <v>5800</v>
      </c>
      <c r="AC1192" s="42">
        <f t="shared" si="640"/>
        <v>37612.050000000003</v>
      </c>
      <c r="AD1192" s="31">
        <f>VLOOKUP($A1192,kurspris!$A$1:$Q$835,3,FALSE)</f>
        <v>0</v>
      </c>
      <c r="AE1192" s="31">
        <f>VLOOKUP($A1192,kurspris!$A$1:$Q$835,4,FALSE)</f>
        <v>1</v>
      </c>
      <c r="AF1192" s="31">
        <f>VLOOKUP($A1192,kurspris!$A$1:$Q$835,5,FALSE)</f>
        <v>0</v>
      </c>
      <c r="AG1192" s="31">
        <f>VLOOKUP($A1192,kurspris!$A$1:$Q$835,6,FALSE)</f>
        <v>0</v>
      </c>
      <c r="AH1192" s="31">
        <f>VLOOKUP($A1192,kurspris!$A$1:$Q$835,7,FALSE)</f>
        <v>0</v>
      </c>
      <c r="AI1192" s="31">
        <f>VLOOKUP($A1192,kurspris!$A$1:$Q$835,8,FALSE)</f>
        <v>0</v>
      </c>
      <c r="AJ1192" s="31">
        <f>VLOOKUP($A1192,kurspris!$A$1:$Q$835,9,FALSE)</f>
        <v>0</v>
      </c>
      <c r="AK1192" s="31">
        <f>VLOOKUP($A1192,kurspris!$A$1:$Q$835,10,FALSE)</f>
        <v>0</v>
      </c>
      <c r="AL1192" s="31">
        <f>VLOOKUP($A1192,kurspris!$A$1:$Q$835,11,FALSE)</f>
        <v>0</v>
      </c>
      <c r="AM1192" s="31">
        <f>VLOOKUP($A1192,kurspris!$A$1:$Q$835,12,FALSE)</f>
        <v>0</v>
      </c>
      <c r="AN1192" s="31">
        <f>VLOOKUP($A1192,kurspris!$A$1:$Q$835,13,FALSE)</f>
        <v>0</v>
      </c>
      <c r="AO1192" s="31">
        <f>VLOOKUP($A1192,kurspris!$A$1:$Q$835,14,FALSE)</f>
        <v>0</v>
      </c>
      <c r="AP1192" s="39" t="s">
        <v>2204</v>
      </c>
      <c r="AQ1192"/>
      <c r="AR1192" s="31">
        <f t="shared" si="641"/>
        <v>0</v>
      </c>
      <c r="AS1192" s="255">
        <f t="shared" si="642"/>
        <v>0</v>
      </c>
      <c r="AT1192" s="31">
        <f t="shared" si="643"/>
        <v>1</v>
      </c>
      <c r="AU1192" s="255">
        <f t="shared" si="644"/>
        <v>0.85</v>
      </c>
      <c r="AV1192" s="31">
        <f t="shared" si="645"/>
        <v>0</v>
      </c>
      <c r="AW1192" s="31">
        <f t="shared" si="646"/>
        <v>0</v>
      </c>
      <c r="AX1192" s="31">
        <f t="shared" si="647"/>
        <v>0</v>
      </c>
      <c r="AY1192" s="255">
        <f t="shared" si="648"/>
        <v>0</v>
      </c>
      <c r="AZ1192" s="232">
        <f t="shared" si="649"/>
        <v>0</v>
      </c>
      <c r="BA1192" s="255">
        <f t="shared" si="650"/>
        <v>0</v>
      </c>
      <c r="BB1192" s="31">
        <f t="shared" si="651"/>
        <v>0</v>
      </c>
      <c r="BC1192" s="255">
        <f t="shared" si="652"/>
        <v>0</v>
      </c>
      <c r="BD1192" s="31">
        <f t="shared" si="653"/>
        <v>0</v>
      </c>
      <c r="BE1192" s="255">
        <f t="shared" si="654"/>
        <v>0</v>
      </c>
      <c r="BF1192" s="31">
        <f t="shared" si="655"/>
        <v>0</v>
      </c>
      <c r="BG1192" s="255">
        <f t="shared" si="656"/>
        <v>0</v>
      </c>
      <c r="BH1192" s="31">
        <f t="shared" si="657"/>
        <v>0</v>
      </c>
      <c r="BI1192" s="255">
        <f t="shared" si="658"/>
        <v>0</v>
      </c>
      <c r="BJ1192" s="31">
        <f t="shared" si="659"/>
        <v>0</v>
      </c>
      <c r="BK1192" s="31">
        <f t="shared" si="660"/>
        <v>0</v>
      </c>
      <c r="BL1192" s="255">
        <f t="shared" si="661"/>
        <v>0</v>
      </c>
      <c r="BM1192" s="31">
        <f t="shared" si="662"/>
        <v>0</v>
      </c>
      <c r="BN1192" s="255">
        <f t="shared" si="663"/>
        <v>0</v>
      </c>
    </row>
    <row r="1193" spans="1:66" x14ac:dyDescent="0.25">
      <c r="A1193" t="s">
        <v>2059</v>
      </c>
      <c r="B1193" s="186" t="str">
        <f>VLOOKUP(A1193,kurspris!$A$1:$B$877,2,FALSE)</f>
        <v>Svenska som andraspråk för ämneslärare, kurs 3</v>
      </c>
      <c r="C1193"/>
      <c r="D1193" t="s">
        <v>483</v>
      </c>
      <c r="E1193" t="s">
        <v>1973</v>
      </c>
      <c r="F1193" s="59" t="s">
        <v>1930</v>
      </c>
      <c r="G1193" t="s">
        <v>1995</v>
      </c>
      <c r="H1193" t="s">
        <v>1910</v>
      </c>
      <c r="I1193"/>
      <c r="J1193" t="s">
        <v>778</v>
      </c>
      <c r="K1193"/>
      <c r="L1193">
        <v>100</v>
      </c>
      <c r="M1193">
        <v>30</v>
      </c>
      <c r="N1193"/>
      <c r="O1193"/>
      <c r="P1193" s="31">
        <v>1</v>
      </c>
      <c r="Q1193" s="232">
        <f t="shared" si="636"/>
        <v>0.5</v>
      </c>
      <c r="R1193" s="40">
        <v>0.85</v>
      </c>
      <c r="S1193" s="334">
        <f t="shared" si="637"/>
        <v>0.42499999999999999</v>
      </c>
      <c r="T1193" s="31">
        <f>VLOOKUP(A1193,'Ansvar kurs'!$A$1:$C$1010,2,FALSE)</f>
        <v>1620</v>
      </c>
      <c r="U1193" s="31" t="str">
        <f>VLOOKUP(T1193,Orgenheter!$A$1:$C$165,2,FALSE)</f>
        <v>Inst för språkstudier</v>
      </c>
      <c r="V1193" s="31" t="str">
        <f>VLOOKUP(T1193,Orgenheter!$A$1:$C$165,3,FALSE)</f>
        <v>Hum</v>
      </c>
      <c r="W1193" s="37" t="str">
        <f>VLOOKUP(D1193,Program!$A$1:$B$34,2,FALSE)</f>
        <v>Ämneslärarprogrammet - Gy</v>
      </c>
      <c r="X1193" s="42">
        <f>VLOOKUP(A1193,kurspris!$A$1:$Q$798,15,FALSE)</f>
        <v>18405</v>
      </c>
      <c r="Y1193" s="42">
        <f>VLOOKUP(A1193,kurspris!$A$1:$Q$798,16,FALSE)</f>
        <v>15773</v>
      </c>
      <c r="Z1193" s="42">
        <f t="shared" si="638"/>
        <v>15906.025</v>
      </c>
      <c r="AA1193" s="42">
        <f>VLOOKUP(A1193,kurspris!$A$1:$Q$798,17,FALSE)</f>
        <v>5800</v>
      </c>
      <c r="AB1193" s="42">
        <f t="shared" si="639"/>
        <v>2900</v>
      </c>
      <c r="AC1193" s="42">
        <f t="shared" si="640"/>
        <v>18806.025000000001</v>
      </c>
      <c r="AD1193" s="31">
        <f>VLOOKUP($A1193,kurspris!$A$1:$Q$835,3,FALSE)</f>
        <v>0</v>
      </c>
      <c r="AE1193" s="31">
        <f>VLOOKUP($A1193,kurspris!$A$1:$Q$835,4,FALSE)</f>
        <v>1</v>
      </c>
      <c r="AF1193" s="31">
        <f>VLOOKUP($A1193,kurspris!$A$1:$Q$835,5,FALSE)</f>
        <v>0</v>
      </c>
      <c r="AG1193" s="31">
        <f>VLOOKUP($A1193,kurspris!$A$1:$Q$835,6,FALSE)</f>
        <v>0</v>
      </c>
      <c r="AH1193" s="31">
        <f>VLOOKUP($A1193,kurspris!$A$1:$Q$835,7,FALSE)</f>
        <v>0</v>
      </c>
      <c r="AI1193" s="31">
        <f>VLOOKUP($A1193,kurspris!$A$1:$Q$835,8,FALSE)</f>
        <v>0</v>
      </c>
      <c r="AJ1193" s="31">
        <f>VLOOKUP($A1193,kurspris!$A$1:$Q$835,9,FALSE)</f>
        <v>0</v>
      </c>
      <c r="AK1193" s="31">
        <f>VLOOKUP($A1193,kurspris!$A$1:$Q$835,10,FALSE)</f>
        <v>0</v>
      </c>
      <c r="AL1193" s="31">
        <f>VLOOKUP($A1193,kurspris!$A$1:$Q$835,11,FALSE)</f>
        <v>0</v>
      </c>
      <c r="AM1193" s="31">
        <f>VLOOKUP($A1193,kurspris!$A$1:$Q$835,12,FALSE)</f>
        <v>0</v>
      </c>
      <c r="AN1193" s="31">
        <f>VLOOKUP($A1193,kurspris!$A$1:$Q$835,13,FALSE)</f>
        <v>0</v>
      </c>
      <c r="AO1193" s="31">
        <f>VLOOKUP($A1193,kurspris!$A$1:$Q$835,14,FALSE)</f>
        <v>0</v>
      </c>
      <c r="AP1193" s="39" t="s">
        <v>2204</v>
      </c>
      <c r="AQ1193"/>
      <c r="AR1193" s="31">
        <f t="shared" si="641"/>
        <v>0</v>
      </c>
      <c r="AS1193" s="255">
        <f t="shared" si="642"/>
        <v>0</v>
      </c>
      <c r="AT1193" s="31">
        <f t="shared" si="643"/>
        <v>0.5</v>
      </c>
      <c r="AU1193" s="255">
        <f t="shared" si="644"/>
        <v>0.42499999999999999</v>
      </c>
      <c r="AV1193" s="31">
        <f t="shared" si="645"/>
        <v>0</v>
      </c>
      <c r="AW1193" s="31">
        <f t="shared" si="646"/>
        <v>0</v>
      </c>
      <c r="AX1193" s="31">
        <f t="shared" si="647"/>
        <v>0</v>
      </c>
      <c r="AY1193" s="255">
        <f t="shared" si="648"/>
        <v>0</v>
      </c>
      <c r="AZ1193" s="232">
        <f t="shared" si="649"/>
        <v>0</v>
      </c>
      <c r="BA1193" s="255">
        <f t="shared" si="650"/>
        <v>0</v>
      </c>
      <c r="BB1193" s="31">
        <f t="shared" si="651"/>
        <v>0</v>
      </c>
      <c r="BC1193" s="255">
        <f t="shared" si="652"/>
        <v>0</v>
      </c>
      <c r="BD1193" s="31">
        <f t="shared" si="653"/>
        <v>0</v>
      </c>
      <c r="BE1193" s="255">
        <f t="shared" si="654"/>
        <v>0</v>
      </c>
      <c r="BF1193" s="31">
        <f t="shared" si="655"/>
        <v>0</v>
      </c>
      <c r="BG1193" s="255">
        <f t="shared" si="656"/>
        <v>0</v>
      </c>
      <c r="BH1193" s="31">
        <f t="shared" si="657"/>
        <v>0</v>
      </c>
      <c r="BI1193" s="255">
        <f t="shared" si="658"/>
        <v>0</v>
      </c>
      <c r="BJ1193" s="31">
        <f t="shared" si="659"/>
        <v>0</v>
      </c>
      <c r="BK1193" s="31">
        <f t="shared" si="660"/>
        <v>0</v>
      </c>
      <c r="BL1193" s="255">
        <f t="shared" si="661"/>
        <v>0</v>
      </c>
      <c r="BM1193" s="31">
        <f t="shared" si="662"/>
        <v>0</v>
      </c>
      <c r="BN1193" s="255">
        <f t="shared" si="663"/>
        <v>0</v>
      </c>
    </row>
    <row r="1194" spans="1:66" x14ac:dyDescent="0.25">
      <c r="A1194" t="s">
        <v>2059</v>
      </c>
      <c r="B1194" s="186" t="str">
        <f>VLOOKUP(A1194,kurspris!$A$1:$B$877,2,FALSE)</f>
        <v>Svenska som andraspråk för ämneslärare, kurs 3</v>
      </c>
      <c r="C1194"/>
      <c r="D1194" t="s">
        <v>483</v>
      </c>
      <c r="E1194"/>
      <c r="F1194" s="59" t="s">
        <v>1930</v>
      </c>
      <c r="G1194" t="s">
        <v>1995</v>
      </c>
      <c r="H1194" t="s">
        <v>1910</v>
      </c>
      <c r="I1194"/>
      <c r="J1194" s="295" t="s">
        <v>773</v>
      </c>
      <c r="K1194"/>
      <c r="L1194">
        <v>100</v>
      </c>
      <c r="M1194">
        <v>30</v>
      </c>
      <c r="N1194"/>
      <c r="O1194"/>
      <c r="P1194" s="31">
        <v>1</v>
      </c>
      <c r="Q1194" s="232">
        <f t="shared" si="636"/>
        <v>0.5</v>
      </c>
      <c r="R1194" s="40">
        <v>0.85</v>
      </c>
      <c r="S1194" s="334">
        <f t="shared" si="637"/>
        <v>0.42499999999999999</v>
      </c>
      <c r="T1194" s="31">
        <f>VLOOKUP(A1194,'Ansvar kurs'!$A$1:$C$1010,2,FALSE)</f>
        <v>1620</v>
      </c>
      <c r="U1194" s="31" t="str">
        <f>VLOOKUP(T1194,Orgenheter!$A$1:$C$165,2,FALSE)</f>
        <v>Inst för språkstudier</v>
      </c>
      <c r="V1194" s="31" t="str">
        <f>VLOOKUP(T1194,Orgenheter!$A$1:$C$165,3,FALSE)</f>
        <v>Hum</v>
      </c>
      <c r="W1194" s="37" t="str">
        <f>VLOOKUP(D1194,Program!$A$1:$B$34,2,FALSE)</f>
        <v>Ämneslärarprogrammet - Gy</v>
      </c>
      <c r="X1194" s="42">
        <f>VLOOKUP(A1194,kurspris!$A$1:$Q$798,15,FALSE)</f>
        <v>18405</v>
      </c>
      <c r="Y1194" s="42">
        <f>VLOOKUP(A1194,kurspris!$A$1:$Q$798,16,FALSE)</f>
        <v>15773</v>
      </c>
      <c r="Z1194" s="42">
        <f t="shared" si="638"/>
        <v>15906.025</v>
      </c>
      <c r="AA1194" s="42">
        <f>VLOOKUP(A1194,kurspris!$A$1:$Q$798,17,FALSE)</f>
        <v>5800</v>
      </c>
      <c r="AB1194" s="42">
        <f t="shared" si="639"/>
        <v>2900</v>
      </c>
      <c r="AC1194" s="42">
        <f t="shared" si="640"/>
        <v>18806.025000000001</v>
      </c>
      <c r="AD1194" s="31">
        <f>VLOOKUP($A1194,kurspris!$A$1:$Q$835,3,FALSE)</f>
        <v>0</v>
      </c>
      <c r="AE1194" s="31">
        <f>VLOOKUP($A1194,kurspris!$A$1:$Q$835,4,FALSE)</f>
        <v>1</v>
      </c>
      <c r="AF1194" s="31">
        <f>VLOOKUP($A1194,kurspris!$A$1:$Q$835,5,FALSE)</f>
        <v>0</v>
      </c>
      <c r="AG1194" s="31">
        <f>VLOOKUP($A1194,kurspris!$A$1:$Q$835,6,FALSE)</f>
        <v>0</v>
      </c>
      <c r="AH1194" s="31">
        <f>VLOOKUP($A1194,kurspris!$A$1:$Q$835,7,FALSE)</f>
        <v>0</v>
      </c>
      <c r="AI1194" s="31">
        <f>VLOOKUP($A1194,kurspris!$A$1:$Q$835,8,FALSE)</f>
        <v>0</v>
      </c>
      <c r="AJ1194" s="31">
        <f>VLOOKUP($A1194,kurspris!$A$1:$Q$835,9,FALSE)</f>
        <v>0</v>
      </c>
      <c r="AK1194" s="31">
        <f>VLOOKUP($A1194,kurspris!$A$1:$Q$835,10,FALSE)</f>
        <v>0</v>
      </c>
      <c r="AL1194" s="31">
        <f>VLOOKUP($A1194,kurspris!$A$1:$Q$835,11,FALSE)</f>
        <v>0</v>
      </c>
      <c r="AM1194" s="31">
        <f>VLOOKUP($A1194,kurspris!$A$1:$Q$835,12,FALSE)</f>
        <v>0</v>
      </c>
      <c r="AN1194" s="31">
        <f>VLOOKUP($A1194,kurspris!$A$1:$Q$835,13,FALSE)</f>
        <v>0</v>
      </c>
      <c r="AO1194" s="31">
        <f>VLOOKUP($A1194,kurspris!$A$1:$Q$835,14,FALSE)</f>
        <v>0</v>
      </c>
      <c r="AP1194" s="39" t="s">
        <v>2204</v>
      </c>
      <c r="AQ1194"/>
      <c r="AR1194" s="31">
        <f t="shared" si="641"/>
        <v>0</v>
      </c>
      <c r="AS1194" s="255">
        <f t="shared" si="642"/>
        <v>0</v>
      </c>
      <c r="AT1194" s="31">
        <f t="shared" si="643"/>
        <v>0.5</v>
      </c>
      <c r="AU1194" s="255">
        <f t="shared" si="644"/>
        <v>0.42499999999999999</v>
      </c>
      <c r="AV1194" s="31">
        <f t="shared" si="645"/>
        <v>0</v>
      </c>
      <c r="AW1194" s="31">
        <f t="shared" si="646"/>
        <v>0</v>
      </c>
      <c r="AX1194" s="31">
        <f t="shared" si="647"/>
        <v>0</v>
      </c>
      <c r="AY1194" s="255">
        <f t="shared" si="648"/>
        <v>0</v>
      </c>
      <c r="AZ1194" s="232">
        <f t="shared" si="649"/>
        <v>0</v>
      </c>
      <c r="BA1194" s="255">
        <f t="shared" si="650"/>
        <v>0</v>
      </c>
      <c r="BB1194" s="31">
        <f t="shared" si="651"/>
        <v>0</v>
      </c>
      <c r="BC1194" s="255">
        <f t="shared" si="652"/>
        <v>0</v>
      </c>
      <c r="BD1194" s="31">
        <f t="shared" si="653"/>
        <v>0</v>
      </c>
      <c r="BE1194" s="255">
        <f t="shared" si="654"/>
        <v>0</v>
      </c>
      <c r="BF1194" s="31">
        <f t="shared" si="655"/>
        <v>0</v>
      </c>
      <c r="BG1194" s="255">
        <f t="shared" si="656"/>
        <v>0</v>
      </c>
      <c r="BH1194" s="31">
        <f t="shared" si="657"/>
        <v>0</v>
      </c>
      <c r="BI1194" s="255">
        <f t="shared" si="658"/>
        <v>0</v>
      </c>
      <c r="BJ1194" s="31">
        <f t="shared" si="659"/>
        <v>0</v>
      </c>
      <c r="BK1194" s="31">
        <f t="shared" si="660"/>
        <v>0</v>
      </c>
      <c r="BL1194" s="255">
        <f t="shared" si="661"/>
        <v>0</v>
      </c>
      <c r="BM1194" s="31">
        <f t="shared" si="662"/>
        <v>0</v>
      </c>
      <c r="BN1194" s="255">
        <f t="shared" si="663"/>
        <v>0</v>
      </c>
    </row>
    <row r="1195" spans="1:66" x14ac:dyDescent="0.25">
      <c r="A1195" s="337" t="s">
        <v>2217</v>
      </c>
      <c r="B1195" s="186" t="str">
        <f>VLOOKUP(A1195,kurspris!$A$1:$B$877,2,FALSE)</f>
        <v>Att läsa och skriva i lärarutbildning och läraryrket - fokus grundlärare</v>
      </c>
      <c r="C1195" s="37"/>
      <c r="D1195" t="s">
        <v>117</v>
      </c>
      <c r="E1195"/>
      <c r="F1195" s="59" t="s">
        <v>2093</v>
      </c>
      <c r="G1195" t="s">
        <v>2065</v>
      </c>
      <c r="H1195"/>
      <c r="I1195" s="18" t="s">
        <v>2066</v>
      </c>
      <c r="J1195" s="159"/>
      <c r="K1195" s="186"/>
      <c r="L1195">
        <v>50</v>
      </c>
      <c r="M1195">
        <v>7.5</v>
      </c>
      <c r="P1195">
        <v>30</v>
      </c>
      <c r="Q1195" s="232">
        <f t="shared" si="636"/>
        <v>3.75</v>
      </c>
      <c r="R1195" s="40">
        <v>0.8</v>
      </c>
      <c r="S1195" s="334">
        <f t="shared" si="637"/>
        <v>3</v>
      </c>
      <c r="T1195" s="31">
        <f>VLOOKUP(A1195,'Ansvar kurs'!$A$1:$C$1010,2,FALSE)</f>
        <v>1620</v>
      </c>
      <c r="U1195" s="31" t="str">
        <f>VLOOKUP(T1195,Orgenheter!$A$1:$C$165,2,FALSE)</f>
        <v>Inst för språkstudier</v>
      </c>
      <c r="V1195" s="31" t="str">
        <f>VLOOKUP(T1195,Orgenheter!$A$1:$C$165,3,FALSE)</f>
        <v>Hum</v>
      </c>
      <c r="W1195" s="37" t="str">
        <f>VLOOKUP(D1195,Program!$A$1:$B$34,2,FALSE)</f>
        <v>Fristående och övriga kurser</v>
      </c>
      <c r="X1195" s="42">
        <f>VLOOKUP(A1195,kurspris!$A$1:$Q$798,15,FALSE)</f>
        <v>18405</v>
      </c>
      <c r="Y1195" s="42">
        <f>VLOOKUP(A1195,kurspris!$A$1:$Q$798,16,FALSE)</f>
        <v>15773</v>
      </c>
      <c r="Z1195" s="42">
        <f t="shared" si="638"/>
        <v>116337.75</v>
      </c>
      <c r="AA1195" s="42">
        <f>VLOOKUP(A1195,kurspris!$A$1:$Q$798,17,FALSE)</f>
        <v>5800</v>
      </c>
      <c r="AB1195" s="42">
        <f t="shared" si="639"/>
        <v>21750</v>
      </c>
      <c r="AC1195" s="42">
        <f t="shared" si="640"/>
        <v>138087.75</v>
      </c>
      <c r="AD1195" s="31">
        <f>VLOOKUP($A1195,kurspris!$A$1:$Q$835,3,FALSE)</f>
        <v>0</v>
      </c>
      <c r="AE1195" s="31">
        <f>VLOOKUP($A1195,kurspris!$A$1:$Q$835,4,FALSE)</f>
        <v>1</v>
      </c>
      <c r="AF1195" s="31">
        <f>VLOOKUP($A1195,kurspris!$A$1:$Q$835,5,FALSE)</f>
        <v>0</v>
      </c>
      <c r="AG1195" s="31">
        <f>VLOOKUP($A1195,kurspris!$A$1:$Q$835,6,FALSE)</f>
        <v>0</v>
      </c>
      <c r="AH1195" s="31">
        <f>VLOOKUP($A1195,kurspris!$A$1:$Q$835,7,FALSE)</f>
        <v>0</v>
      </c>
      <c r="AI1195" s="31">
        <f>VLOOKUP($A1195,kurspris!$A$1:$Q$835,8,FALSE)</f>
        <v>0</v>
      </c>
      <c r="AJ1195" s="31">
        <f>VLOOKUP($A1195,kurspris!$A$1:$Q$835,9,FALSE)</f>
        <v>0</v>
      </c>
      <c r="AK1195" s="31">
        <f>VLOOKUP($A1195,kurspris!$A$1:$Q$835,10,FALSE)</f>
        <v>0</v>
      </c>
      <c r="AL1195" s="31">
        <f>VLOOKUP($A1195,kurspris!$A$1:$Q$835,11,FALSE)</f>
        <v>0</v>
      </c>
      <c r="AM1195" s="31">
        <f>VLOOKUP($A1195,kurspris!$A$1:$Q$835,12,FALSE)</f>
        <v>0</v>
      </c>
      <c r="AN1195" s="31">
        <f>VLOOKUP($A1195,kurspris!$A$1:$Q$835,13,FALSE)</f>
        <v>0</v>
      </c>
      <c r="AO1195" s="31">
        <f>VLOOKUP($A1195,kurspris!$A$1:$Q$835,14,FALSE)</f>
        <v>0</v>
      </c>
      <c r="AP1195" s="39" t="s">
        <v>2095</v>
      </c>
      <c r="AQ1195"/>
      <c r="AR1195" s="31">
        <f t="shared" si="641"/>
        <v>0</v>
      </c>
      <c r="AS1195" s="255">
        <f t="shared" si="642"/>
        <v>0</v>
      </c>
      <c r="AT1195" s="31">
        <f t="shared" si="643"/>
        <v>3.75</v>
      </c>
      <c r="AU1195" s="255">
        <f t="shared" si="644"/>
        <v>3</v>
      </c>
      <c r="AV1195" s="31">
        <f t="shared" si="645"/>
        <v>0</v>
      </c>
      <c r="AW1195" s="31">
        <f t="shared" si="646"/>
        <v>0</v>
      </c>
      <c r="AX1195" s="31">
        <f t="shared" si="647"/>
        <v>0</v>
      </c>
      <c r="AY1195" s="255">
        <f t="shared" si="648"/>
        <v>0</v>
      </c>
      <c r="AZ1195" s="232">
        <f t="shared" si="649"/>
        <v>0</v>
      </c>
      <c r="BA1195" s="255">
        <f t="shared" si="650"/>
        <v>0</v>
      </c>
      <c r="BB1195" s="31">
        <f t="shared" si="651"/>
        <v>0</v>
      </c>
      <c r="BC1195" s="255">
        <f t="shared" si="652"/>
        <v>0</v>
      </c>
      <c r="BD1195" s="31">
        <f t="shared" si="653"/>
        <v>0</v>
      </c>
      <c r="BE1195" s="255">
        <f t="shared" si="654"/>
        <v>0</v>
      </c>
      <c r="BF1195" s="31">
        <f t="shared" si="655"/>
        <v>0</v>
      </c>
      <c r="BG1195" s="255">
        <f t="shared" si="656"/>
        <v>0</v>
      </c>
      <c r="BH1195" s="31">
        <f t="shared" si="657"/>
        <v>0</v>
      </c>
      <c r="BI1195" s="255">
        <f t="shared" si="658"/>
        <v>0</v>
      </c>
      <c r="BJ1195" s="31">
        <f t="shared" si="659"/>
        <v>0</v>
      </c>
      <c r="BK1195" s="31">
        <f t="shared" si="660"/>
        <v>0</v>
      </c>
      <c r="BL1195" s="255">
        <f t="shared" si="661"/>
        <v>0</v>
      </c>
      <c r="BM1195" s="31">
        <f t="shared" si="662"/>
        <v>0</v>
      </c>
      <c r="BN1195" s="255">
        <f t="shared" si="663"/>
        <v>0</v>
      </c>
    </row>
    <row r="1196" spans="1:66" x14ac:dyDescent="0.25">
      <c r="A1196" s="337" t="s">
        <v>2218</v>
      </c>
      <c r="B1196" s="186" t="str">
        <f>VLOOKUP(A1196,kurspris!$A$1:$B$877,2,FALSE)</f>
        <v>Att läsa och skriva i lärarutbildning och läraryrket - fokus ämneslärare</v>
      </c>
      <c r="C1196" s="37"/>
      <c r="D1196" t="s">
        <v>117</v>
      </c>
      <c r="E1196"/>
      <c r="F1196" s="59" t="s">
        <v>2093</v>
      </c>
      <c r="G1196" t="s">
        <v>2065</v>
      </c>
      <c r="H1196"/>
      <c r="I1196" s="18" t="s">
        <v>2066</v>
      </c>
      <c r="J1196" s="159"/>
      <c r="K1196" s="186"/>
      <c r="L1196">
        <v>50</v>
      </c>
      <c r="M1196">
        <v>7.5</v>
      </c>
      <c r="P1196">
        <v>32</v>
      </c>
      <c r="Q1196" s="232">
        <f t="shared" si="636"/>
        <v>4</v>
      </c>
      <c r="R1196" s="40">
        <v>0.8</v>
      </c>
      <c r="S1196" s="334">
        <f t="shared" si="637"/>
        <v>3.2</v>
      </c>
      <c r="T1196" s="31">
        <f>VLOOKUP(A1196,'Ansvar kurs'!$A$1:$C$1010,2,FALSE)</f>
        <v>1620</v>
      </c>
      <c r="U1196" s="31" t="str">
        <f>VLOOKUP(T1196,Orgenheter!$A$1:$C$165,2,FALSE)</f>
        <v>Inst för språkstudier</v>
      </c>
      <c r="V1196" s="31" t="str">
        <f>VLOOKUP(T1196,Orgenheter!$A$1:$C$165,3,FALSE)</f>
        <v>Hum</v>
      </c>
      <c r="W1196" s="37" t="str">
        <f>VLOOKUP(D1196,Program!$A$1:$B$34,2,FALSE)</f>
        <v>Fristående och övriga kurser</v>
      </c>
      <c r="X1196" s="42">
        <f>VLOOKUP(A1196,kurspris!$A$1:$Q$798,15,FALSE)</f>
        <v>18405</v>
      </c>
      <c r="Y1196" s="42">
        <f>VLOOKUP(A1196,kurspris!$A$1:$Q$798,16,FALSE)</f>
        <v>15773</v>
      </c>
      <c r="Z1196" s="42">
        <f t="shared" si="638"/>
        <v>124093.6</v>
      </c>
      <c r="AA1196" s="42">
        <f>VLOOKUP(A1196,kurspris!$A$1:$Q$798,17,FALSE)</f>
        <v>5800</v>
      </c>
      <c r="AB1196" s="42">
        <f t="shared" si="639"/>
        <v>23200</v>
      </c>
      <c r="AC1196" s="42">
        <f t="shared" si="640"/>
        <v>147293.6</v>
      </c>
      <c r="AD1196" s="31">
        <f>VLOOKUP($A1196,kurspris!$A$1:$Q$835,3,FALSE)</f>
        <v>0</v>
      </c>
      <c r="AE1196" s="31">
        <f>VLOOKUP($A1196,kurspris!$A$1:$Q$835,4,FALSE)</f>
        <v>1</v>
      </c>
      <c r="AF1196" s="31">
        <f>VLOOKUP($A1196,kurspris!$A$1:$Q$835,5,FALSE)</f>
        <v>0</v>
      </c>
      <c r="AG1196" s="31">
        <f>VLOOKUP($A1196,kurspris!$A$1:$Q$835,6,FALSE)</f>
        <v>0</v>
      </c>
      <c r="AH1196" s="31">
        <f>VLOOKUP($A1196,kurspris!$A$1:$Q$835,7,FALSE)</f>
        <v>0</v>
      </c>
      <c r="AI1196" s="31">
        <f>VLOOKUP($A1196,kurspris!$A$1:$Q$835,8,FALSE)</f>
        <v>0</v>
      </c>
      <c r="AJ1196" s="31">
        <f>VLOOKUP($A1196,kurspris!$A$1:$Q$835,9,FALSE)</f>
        <v>0</v>
      </c>
      <c r="AK1196" s="31">
        <f>VLOOKUP($A1196,kurspris!$A$1:$Q$835,10,FALSE)</f>
        <v>0</v>
      </c>
      <c r="AL1196" s="31">
        <f>VLOOKUP($A1196,kurspris!$A$1:$Q$835,11,FALSE)</f>
        <v>0</v>
      </c>
      <c r="AM1196" s="31">
        <f>VLOOKUP($A1196,kurspris!$A$1:$Q$835,12,FALSE)</f>
        <v>0</v>
      </c>
      <c r="AN1196" s="31">
        <f>VLOOKUP($A1196,kurspris!$A$1:$Q$835,13,FALSE)</f>
        <v>0</v>
      </c>
      <c r="AO1196" s="31">
        <f>VLOOKUP($A1196,kurspris!$A$1:$Q$835,14,FALSE)</f>
        <v>0</v>
      </c>
      <c r="AP1196" s="39" t="s">
        <v>2095</v>
      </c>
      <c r="AQ1196"/>
      <c r="AR1196" s="31">
        <f t="shared" si="641"/>
        <v>0</v>
      </c>
      <c r="AS1196" s="255">
        <f t="shared" si="642"/>
        <v>0</v>
      </c>
      <c r="AT1196" s="31">
        <f t="shared" si="643"/>
        <v>4</v>
      </c>
      <c r="AU1196" s="255">
        <f t="shared" si="644"/>
        <v>3.2</v>
      </c>
      <c r="AV1196" s="31">
        <f t="shared" si="645"/>
        <v>0</v>
      </c>
      <c r="AW1196" s="31">
        <f t="shared" si="646"/>
        <v>0</v>
      </c>
      <c r="AX1196" s="31">
        <f t="shared" si="647"/>
        <v>0</v>
      </c>
      <c r="AY1196" s="255">
        <f t="shared" si="648"/>
        <v>0</v>
      </c>
      <c r="AZ1196" s="232">
        <f t="shared" si="649"/>
        <v>0</v>
      </c>
      <c r="BA1196" s="255">
        <f t="shared" si="650"/>
        <v>0</v>
      </c>
      <c r="BB1196" s="31">
        <f t="shared" si="651"/>
        <v>0</v>
      </c>
      <c r="BC1196" s="255">
        <f t="shared" si="652"/>
        <v>0</v>
      </c>
      <c r="BD1196" s="31">
        <f t="shared" si="653"/>
        <v>0</v>
      </c>
      <c r="BE1196" s="255">
        <f t="shared" si="654"/>
        <v>0</v>
      </c>
      <c r="BF1196" s="31">
        <f t="shared" si="655"/>
        <v>0</v>
      </c>
      <c r="BG1196" s="255">
        <f t="shared" si="656"/>
        <v>0</v>
      </c>
      <c r="BH1196" s="31">
        <f t="shared" si="657"/>
        <v>0</v>
      </c>
      <c r="BI1196" s="255">
        <f t="shared" si="658"/>
        <v>0</v>
      </c>
      <c r="BJ1196" s="31">
        <f t="shared" si="659"/>
        <v>0</v>
      </c>
      <c r="BK1196" s="31">
        <f t="shared" si="660"/>
        <v>0</v>
      </c>
      <c r="BL1196" s="255">
        <f t="shared" si="661"/>
        <v>0</v>
      </c>
      <c r="BM1196" s="31">
        <f t="shared" si="662"/>
        <v>0</v>
      </c>
      <c r="BN1196" s="255">
        <f t="shared" si="663"/>
        <v>0</v>
      </c>
    </row>
    <row r="1197" spans="1:66" x14ac:dyDescent="0.25">
      <c r="A1197" s="64" t="s">
        <v>2252</v>
      </c>
      <c r="B1197" s="186" t="str">
        <f>VLOOKUP(A1197,kurspris!$A$1:$B$877,2,FALSE)</f>
        <v>Flerspråkighet i förskoleklassen och grundskolans tidigare år</v>
      </c>
      <c r="C1197" s="37"/>
      <c r="D1197" t="s">
        <v>117</v>
      </c>
      <c r="E1197"/>
      <c r="F1197" s="59" t="s">
        <v>2093</v>
      </c>
      <c r="G1197" t="s">
        <v>2065</v>
      </c>
      <c r="H1197"/>
      <c r="I1197" s="18" t="s">
        <v>2066</v>
      </c>
      <c r="J1197" s="159"/>
      <c r="K1197" s="159"/>
      <c r="L1197">
        <v>50</v>
      </c>
      <c r="M1197">
        <v>7.5</v>
      </c>
      <c r="P1197">
        <v>24</v>
      </c>
      <c r="Q1197" s="232">
        <f t="shared" si="636"/>
        <v>3</v>
      </c>
      <c r="R1197" s="40">
        <v>0.8</v>
      </c>
      <c r="S1197" s="334">
        <f t="shared" si="637"/>
        <v>2.4000000000000004</v>
      </c>
      <c r="T1197" s="31">
        <f>VLOOKUP(A1197,'Ansvar kurs'!$A$1:$C$1010,2,FALSE)</f>
        <v>1620</v>
      </c>
      <c r="U1197" s="31" t="str">
        <f>VLOOKUP(T1197,Orgenheter!$A$1:$C$165,2,FALSE)</f>
        <v>Inst för språkstudier</v>
      </c>
      <c r="V1197" s="31" t="str">
        <f>VLOOKUP(T1197,Orgenheter!$A$1:$C$165,3,FALSE)</f>
        <v>Hum</v>
      </c>
      <c r="W1197" s="37" t="str">
        <f>VLOOKUP(D1197,Program!$A$1:$B$34,2,FALSE)</f>
        <v>Fristående och övriga kurser</v>
      </c>
      <c r="X1197" s="42">
        <f>VLOOKUP(A1197,kurspris!$A$1:$Q$798,15,FALSE)</f>
        <v>18405</v>
      </c>
      <c r="Y1197" s="42">
        <f>VLOOKUP(A1197,kurspris!$A$1:$Q$798,16,FALSE)</f>
        <v>15773</v>
      </c>
      <c r="Z1197" s="42">
        <f t="shared" si="638"/>
        <v>93070.200000000012</v>
      </c>
      <c r="AA1197" s="42">
        <f>VLOOKUP(A1197,kurspris!$A$1:$Q$798,17,FALSE)</f>
        <v>5800</v>
      </c>
      <c r="AB1197" s="42">
        <f t="shared" si="639"/>
        <v>17400</v>
      </c>
      <c r="AC1197" s="42">
        <f t="shared" si="640"/>
        <v>110470.20000000001</v>
      </c>
      <c r="AD1197" s="31">
        <f>VLOOKUP($A1197,kurspris!$A$1:$Q$835,3,FALSE)</f>
        <v>0</v>
      </c>
      <c r="AE1197" s="31">
        <f>VLOOKUP($A1197,kurspris!$A$1:$Q$835,4,FALSE)</f>
        <v>1</v>
      </c>
      <c r="AF1197" s="31">
        <f>VLOOKUP($A1197,kurspris!$A$1:$Q$835,5,FALSE)</f>
        <v>0</v>
      </c>
      <c r="AG1197" s="31">
        <f>VLOOKUP($A1197,kurspris!$A$1:$Q$835,6,FALSE)</f>
        <v>0</v>
      </c>
      <c r="AH1197" s="31">
        <f>VLOOKUP($A1197,kurspris!$A$1:$Q$835,7,FALSE)</f>
        <v>0</v>
      </c>
      <c r="AI1197" s="31">
        <f>VLOOKUP($A1197,kurspris!$A$1:$Q$835,8,FALSE)</f>
        <v>0</v>
      </c>
      <c r="AJ1197" s="31">
        <f>VLOOKUP($A1197,kurspris!$A$1:$Q$835,9,FALSE)</f>
        <v>0</v>
      </c>
      <c r="AK1197" s="31">
        <f>VLOOKUP($A1197,kurspris!$A$1:$Q$835,10,FALSE)</f>
        <v>0</v>
      </c>
      <c r="AL1197" s="31">
        <f>VLOOKUP($A1197,kurspris!$A$1:$Q$835,11,FALSE)</f>
        <v>0</v>
      </c>
      <c r="AM1197" s="31">
        <f>VLOOKUP($A1197,kurspris!$A$1:$Q$835,12,FALSE)</f>
        <v>0</v>
      </c>
      <c r="AN1197" s="31">
        <f>VLOOKUP($A1197,kurspris!$A$1:$Q$835,13,FALSE)</f>
        <v>0</v>
      </c>
      <c r="AO1197" s="31">
        <f>VLOOKUP($A1197,kurspris!$A$1:$Q$835,14,FALSE)</f>
        <v>0</v>
      </c>
      <c r="AP1197" s="39" t="s">
        <v>2250</v>
      </c>
      <c r="AQ1197" s="39" t="s">
        <v>2095</v>
      </c>
      <c r="AR1197" s="31">
        <f t="shared" si="641"/>
        <v>0</v>
      </c>
      <c r="AS1197" s="255">
        <f t="shared" si="642"/>
        <v>0</v>
      </c>
      <c r="AT1197" s="31">
        <f t="shared" si="643"/>
        <v>3</v>
      </c>
      <c r="AU1197" s="255">
        <f t="shared" si="644"/>
        <v>2.4000000000000004</v>
      </c>
      <c r="AV1197" s="31">
        <f t="shared" si="645"/>
        <v>0</v>
      </c>
      <c r="AW1197" s="31">
        <f t="shared" si="646"/>
        <v>0</v>
      </c>
      <c r="AX1197" s="31">
        <f t="shared" si="647"/>
        <v>0</v>
      </c>
      <c r="AY1197" s="255">
        <f t="shared" si="648"/>
        <v>0</v>
      </c>
      <c r="AZ1197" s="232">
        <f t="shared" si="649"/>
        <v>0</v>
      </c>
      <c r="BA1197" s="255">
        <f t="shared" si="650"/>
        <v>0</v>
      </c>
      <c r="BB1197" s="31">
        <f t="shared" si="651"/>
        <v>0</v>
      </c>
      <c r="BC1197" s="255">
        <f t="shared" si="652"/>
        <v>0</v>
      </c>
      <c r="BD1197" s="31">
        <f t="shared" si="653"/>
        <v>0</v>
      </c>
      <c r="BE1197" s="255">
        <f t="shared" si="654"/>
        <v>0</v>
      </c>
      <c r="BF1197" s="31">
        <f t="shared" si="655"/>
        <v>0</v>
      </c>
      <c r="BG1197" s="255">
        <f t="shared" si="656"/>
        <v>0</v>
      </c>
      <c r="BH1197" s="31">
        <f t="shared" si="657"/>
        <v>0</v>
      </c>
      <c r="BI1197" s="255">
        <f t="shared" si="658"/>
        <v>0</v>
      </c>
      <c r="BJ1197" s="31">
        <f t="shared" si="659"/>
        <v>0</v>
      </c>
      <c r="BK1197" s="31">
        <f t="shared" si="660"/>
        <v>0</v>
      </c>
      <c r="BL1197" s="255">
        <f t="shared" si="661"/>
        <v>0</v>
      </c>
      <c r="BM1197" s="31">
        <f t="shared" si="662"/>
        <v>0</v>
      </c>
      <c r="BN1197" s="255">
        <f t="shared" si="663"/>
        <v>0</v>
      </c>
    </row>
    <row r="1198" spans="1:66" x14ac:dyDescent="0.25">
      <c r="A1198" s="18" t="s">
        <v>148</v>
      </c>
      <c r="B1198" s="186" t="str">
        <f>VLOOKUP(A1198,kurspris!$A$1:$B$877,2,FALSE)</f>
        <v>Studie- och yrkesvägledningens grunder</v>
      </c>
      <c r="C1198" s="37"/>
      <c r="D1198" s="31" t="s">
        <v>85</v>
      </c>
      <c r="E1198" s="31" t="s">
        <v>1788</v>
      </c>
      <c r="F1198" s="59" t="s">
        <v>1931</v>
      </c>
      <c r="G1198" s="31" t="s">
        <v>2270</v>
      </c>
      <c r="I1198" t="s">
        <v>1536</v>
      </c>
      <c r="L1198" s="31">
        <v>100</v>
      </c>
      <c r="M1198" s="31">
        <v>15</v>
      </c>
      <c r="P1198" s="31">
        <v>1</v>
      </c>
      <c r="Q1198" s="232">
        <f t="shared" si="636"/>
        <v>0.25</v>
      </c>
      <c r="R1198" s="40">
        <v>0.85</v>
      </c>
      <c r="S1198" s="334">
        <f t="shared" si="637"/>
        <v>0.21249999999999999</v>
      </c>
      <c r="T1198" s="31">
        <f>VLOOKUP(A1198,'Ansvar kurs'!$A$1:$C$1010,2,FALSE)</f>
        <v>2193</v>
      </c>
      <c r="U1198" s="31" t="str">
        <f>VLOOKUP(T1198,Orgenheter!$A$1:$C$165,2,FALSE)</f>
        <v xml:space="preserve">TUV </v>
      </c>
      <c r="V1198" s="31" t="str">
        <f>VLOOKUP(T1198,Orgenheter!$A$1:$C$165,3,FALSE)</f>
        <v>Sam</v>
      </c>
      <c r="W1198" s="37" t="str">
        <f>VLOOKUP(D1198,Program!$A$1:$B$34,2,FALSE)</f>
        <v>Studie- och yrkesvägledarprogram</v>
      </c>
      <c r="X1198" s="42">
        <f>VLOOKUP(A1198,kurspris!$A$1:$Q$798,15,FALSE)</f>
        <v>22339.8</v>
      </c>
      <c r="Y1198" s="42">
        <f>VLOOKUP(A1198,kurspris!$A$1:$Q$798,16,FALSE)</f>
        <v>20219.2</v>
      </c>
      <c r="Z1198" s="42">
        <f t="shared" si="638"/>
        <v>9881.5299999999988</v>
      </c>
      <c r="AA1198" s="42">
        <f>VLOOKUP(A1198,kurspris!$A$1:$Q$798,17,FALSE)</f>
        <v>5800</v>
      </c>
      <c r="AB1198" s="42">
        <f t="shared" si="639"/>
        <v>1450</v>
      </c>
      <c r="AC1198" s="42">
        <f t="shared" si="640"/>
        <v>11331.529999999999</v>
      </c>
      <c r="AD1198" s="31">
        <f>VLOOKUP($A1198,kurspris!$A$1:$Q$835,3,FALSE)</f>
        <v>0</v>
      </c>
      <c r="AE1198" s="31">
        <f>VLOOKUP($A1198,kurspris!$A$1:$Q$835,4,FALSE)</f>
        <v>0</v>
      </c>
      <c r="AF1198" s="31">
        <f>VLOOKUP($A1198,kurspris!$A$1:$Q$835,5,FALSE)</f>
        <v>0</v>
      </c>
      <c r="AG1198" s="31">
        <f>VLOOKUP($A1198,kurspris!$A$1:$Q$835,6,FALSE)</f>
        <v>0</v>
      </c>
      <c r="AH1198" s="31">
        <f>VLOOKUP($A1198,kurspris!$A$1:$Q$835,7,FALSE)</f>
        <v>0</v>
      </c>
      <c r="AI1198" s="31">
        <f>VLOOKUP($A1198,kurspris!$A$1:$Q$835,8,FALSE)</f>
        <v>0</v>
      </c>
      <c r="AJ1198" s="31">
        <f>VLOOKUP($A1198,kurspris!$A$1:$Q$835,9,FALSE)</f>
        <v>0.8</v>
      </c>
      <c r="AK1198" s="31">
        <f>VLOOKUP($A1198,kurspris!$A$1:$Q$835,10,FALSE)</f>
        <v>0</v>
      </c>
      <c r="AL1198" s="31">
        <f>VLOOKUP($A1198,kurspris!$A$1:$Q$835,11,FALSE)</f>
        <v>0</v>
      </c>
      <c r="AM1198" s="31">
        <f>VLOOKUP($A1198,kurspris!$A$1:$Q$835,12,FALSE)</f>
        <v>0</v>
      </c>
      <c r="AN1198" s="31">
        <f>VLOOKUP($A1198,kurspris!$A$1:$Q$835,13,FALSE)</f>
        <v>0</v>
      </c>
      <c r="AO1198" s="31">
        <f>VLOOKUP($A1198,kurspris!$A$1:$Q$835,14,FALSE)</f>
        <v>0.2</v>
      </c>
      <c r="AP1198" s="39" t="s">
        <v>2326</v>
      </c>
      <c r="AQ1198"/>
      <c r="AR1198" s="31">
        <f t="shared" si="641"/>
        <v>0</v>
      </c>
      <c r="AS1198" s="255">
        <f t="shared" si="642"/>
        <v>0</v>
      </c>
      <c r="AT1198" s="31">
        <f t="shared" si="643"/>
        <v>0</v>
      </c>
      <c r="AU1198" s="255">
        <f t="shared" si="644"/>
        <v>0</v>
      </c>
      <c r="AV1198" s="31">
        <f t="shared" si="645"/>
        <v>0</v>
      </c>
      <c r="AW1198" s="31">
        <f t="shared" si="646"/>
        <v>0</v>
      </c>
      <c r="AX1198" s="31">
        <f t="shared" si="647"/>
        <v>0</v>
      </c>
      <c r="AY1198" s="255">
        <f t="shared" si="648"/>
        <v>0</v>
      </c>
      <c r="AZ1198" s="232">
        <f t="shared" si="649"/>
        <v>0</v>
      </c>
      <c r="BA1198" s="255">
        <f t="shared" si="650"/>
        <v>0</v>
      </c>
      <c r="BB1198" s="31">
        <f t="shared" si="651"/>
        <v>0</v>
      </c>
      <c r="BC1198" s="255">
        <f t="shared" si="652"/>
        <v>0</v>
      </c>
      <c r="BD1198" s="31">
        <f t="shared" si="653"/>
        <v>0.2</v>
      </c>
      <c r="BE1198" s="255">
        <f t="shared" si="654"/>
        <v>0.17</v>
      </c>
      <c r="BF1198" s="31">
        <f t="shared" si="655"/>
        <v>0</v>
      </c>
      <c r="BG1198" s="255">
        <f t="shared" si="656"/>
        <v>0</v>
      </c>
      <c r="BH1198" s="31">
        <f t="shared" si="657"/>
        <v>0</v>
      </c>
      <c r="BI1198" s="255">
        <f t="shared" si="658"/>
        <v>0</v>
      </c>
      <c r="BJ1198" s="31">
        <f t="shared" si="659"/>
        <v>0</v>
      </c>
      <c r="BK1198" s="31">
        <f t="shared" si="660"/>
        <v>0</v>
      </c>
      <c r="BL1198" s="255">
        <f t="shared" si="661"/>
        <v>0</v>
      </c>
      <c r="BM1198" s="31">
        <f t="shared" si="662"/>
        <v>0.05</v>
      </c>
      <c r="BN1198" s="255">
        <f t="shared" si="663"/>
        <v>4.2500000000000003E-2</v>
      </c>
    </row>
    <row r="1199" spans="1:66" x14ac:dyDescent="0.25">
      <c r="A1199" s="18" t="s">
        <v>148</v>
      </c>
      <c r="B1199" s="186" t="str">
        <f>VLOOKUP(A1199,kurspris!$A$1:$B$877,2,FALSE)</f>
        <v>Studie- och yrkesvägledningens grunder</v>
      </c>
      <c r="C1199" s="37"/>
      <c r="D1199" s="31" t="s">
        <v>85</v>
      </c>
      <c r="E1199" s="31" t="s">
        <v>1931</v>
      </c>
      <c r="F1199" s="59" t="s">
        <v>1931</v>
      </c>
      <c r="G1199" s="31" t="s">
        <v>2270</v>
      </c>
      <c r="I1199" t="s">
        <v>628</v>
      </c>
      <c r="L1199" s="31">
        <v>100</v>
      </c>
      <c r="M1199" s="31">
        <v>15</v>
      </c>
      <c r="P1199" s="31">
        <v>29</v>
      </c>
      <c r="Q1199" s="232">
        <f t="shared" si="636"/>
        <v>7.25</v>
      </c>
      <c r="R1199" s="40">
        <v>0.85</v>
      </c>
      <c r="S1199" s="334">
        <f t="shared" si="637"/>
        <v>6.1624999999999996</v>
      </c>
      <c r="T1199" s="31">
        <f>VLOOKUP(A1199,'Ansvar kurs'!$A$1:$C$1010,2,FALSE)</f>
        <v>2193</v>
      </c>
      <c r="U1199" s="31" t="str">
        <f>VLOOKUP(T1199,Orgenheter!$A$1:$C$165,2,FALSE)</f>
        <v xml:space="preserve">TUV </v>
      </c>
      <c r="V1199" s="31" t="str">
        <f>VLOOKUP(T1199,Orgenheter!$A$1:$C$165,3,FALSE)</f>
        <v>Sam</v>
      </c>
      <c r="W1199" s="37" t="str">
        <f>VLOOKUP(D1199,Program!$A$1:$B$34,2,FALSE)</f>
        <v>Studie- och yrkesvägledarprogram</v>
      </c>
      <c r="X1199" s="42">
        <f>VLOOKUP(A1199,kurspris!$A$1:$Q$798,15,FALSE)</f>
        <v>22339.8</v>
      </c>
      <c r="Y1199" s="42">
        <f>VLOOKUP(A1199,kurspris!$A$1:$Q$798,16,FALSE)</f>
        <v>20219.2</v>
      </c>
      <c r="Z1199" s="42">
        <f t="shared" si="638"/>
        <v>286564.37</v>
      </c>
      <c r="AA1199" s="42">
        <f>VLOOKUP(A1199,kurspris!$A$1:$Q$798,17,FALSE)</f>
        <v>5800</v>
      </c>
      <c r="AB1199" s="42">
        <f t="shared" si="639"/>
        <v>42050</v>
      </c>
      <c r="AC1199" s="42">
        <f t="shared" si="640"/>
        <v>328614.37</v>
      </c>
      <c r="AD1199" s="31">
        <f>VLOOKUP($A1199,kurspris!$A$1:$Q$835,3,FALSE)</f>
        <v>0</v>
      </c>
      <c r="AE1199" s="31">
        <f>VLOOKUP($A1199,kurspris!$A$1:$Q$835,4,FALSE)</f>
        <v>0</v>
      </c>
      <c r="AF1199" s="31">
        <f>VLOOKUP($A1199,kurspris!$A$1:$Q$835,5,FALSE)</f>
        <v>0</v>
      </c>
      <c r="AG1199" s="31">
        <f>VLOOKUP($A1199,kurspris!$A$1:$Q$835,6,FALSE)</f>
        <v>0</v>
      </c>
      <c r="AH1199" s="31">
        <f>VLOOKUP($A1199,kurspris!$A$1:$Q$835,7,FALSE)</f>
        <v>0</v>
      </c>
      <c r="AI1199" s="31">
        <f>VLOOKUP($A1199,kurspris!$A$1:$Q$835,8,FALSE)</f>
        <v>0</v>
      </c>
      <c r="AJ1199" s="31">
        <f>VLOOKUP($A1199,kurspris!$A$1:$Q$835,9,FALSE)</f>
        <v>0.8</v>
      </c>
      <c r="AK1199" s="31">
        <f>VLOOKUP($A1199,kurspris!$A$1:$Q$835,10,FALSE)</f>
        <v>0</v>
      </c>
      <c r="AL1199" s="31">
        <f>VLOOKUP($A1199,kurspris!$A$1:$Q$835,11,FALSE)</f>
        <v>0</v>
      </c>
      <c r="AM1199" s="31">
        <f>VLOOKUP($A1199,kurspris!$A$1:$Q$835,12,FALSE)</f>
        <v>0</v>
      </c>
      <c r="AN1199" s="31">
        <f>VLOOKUP($A1199,kurspris!$A$1:$Q$835,13,FALSE)</f>
        <v>0</v>
      </c>
      <c r="AO1199" s="31">
        <f>VLOOKUP($A1199,kurspris!$A$1:$Q$835,14,FALSE)</f>
        <v>0.2</v>
      </c>
      <c r="AP1199" s="39" t="s">
        <v>2326</v>
      </c>
      <c r="AQ1199"/>
      <c r="AR1199" s="31">
        <f t="shared" si="641"/>
        <v>0</v>
      </c>
      <c r="AS1199" s="255">
        <f t="shared" si="642"/>
        <v>0</v>
      </c>
      <c r="AT1199" s="31">
        <f t="shared" si="643"/>
        <v>0</v>
      </c>
      <c r="AU1199" s="255">
        <f t="shared" si="644"/>
        <v>0</v>
      </c>
      <c r="AV1199" s="31">
        <f t="shared" si="645"/>
        <v>0</v>
      </c>
      <c r="AW1199" s="31">
        <f t="shared" si="646"/>
        <v>0</v>
      </c>
      <c r="AX1199" s="31">
        <f t="shared" si="647"/>
        <v>0</v>
      </c>
      <c r="AY1199" s="255">
        <f t="shared" si="648"/>
        <v>0</v>
      </c>
      <c r="AZ1199" s="232">
        <f t="shared" si="649"/>
        <v>0</v>
      </c>
      <c r="BA1199" s="255">
        <f t="shared" si="650"/>
        <v>0</v>
      </c>
      <c r="BB1199" s="31">
        <f t="shared" si="651"/>
        <v>0</v>
      </c>
      <c r="BC1199" s="255">
        <f t="shared" si="652"/>
        <v>0</v>
      </c>
      <c r="BD1199" s="31">
        <f t="shared" si="653"/>
        <v>5.8000000000000007</v>
      </c>
      <c r="BE1199" s="255">
        <f t="shared" si="654"/>
        <v>4.93</v>
      </c>
      <c r="BF1199" s="31">
        <f t="shared" si="655"/>
        <v>0</v>
      </c>
      <c r="BG1199" s="255">
        <f t="shared" si="656"/>
        <v>0</v>
      </c>
      <c r="BH1199" s="31">
        <f t="shared" si="657"/>
        <v>0</v>
      </c>
      <c r="BI1199" s="255">
        <f t="shared" si="658"/>
        <v>0</v>
      </c>
      <c r="BJ1199" s="31">
        <f t="shared" si="659"/>
        <v>0</v>
      </c>
      <c r="BK1199" s="31">
        <f t="shared" si="660"/>
        <v>0</v>
      </c>
      <c r="BL1199" s="255">
        <f t="shared" si="661"/>
        <v>0</v>
      </c>
      <c r="BM1199" s="31">
        <f t="shared" si="662"/>
        <v>1.4500000000000002</v>
      </c>
      <c r="BN1199" s="255">
        <f t="shared" si="663"/>
        <v>1.2324999999999999</v>
      </c>
    </row>
    <row r="1200" spans="1:66" x14ac:dyDescent="0.25">
      <c r="A1200" s="18" t="s">
        <v>148</v>
      </c>
      <c r="B1200" s="186" t="str">
        <f>VLOOKUP(A1200,kurspris!$A$1:$B$877,2,FALSE)</f>
        <v>Studie- och yrkesvägledningens grunder</v>
      </c>
      <c r="C1200" s="37"/>
      <c r="D1200" s="31" t="s">
        <v>85</v>
      </c>
      <c r="E1200" s="31" t="s">
        <v>1931</v>
      </c>
      <c r="F1200" s="59" t="s">
        <v>1931</v>
      </c>
      <c r="G1200" s="31" t="s">
        <v>2270</v>
      </c>
      <c r="I1200" t="s">
        <v>1536</v>
      </c>
      <c r="L1200" s="31">
        <v>100</v>
      </c>
      <c r="M1200" s="31">
        <v>15</v>
      </c>
      <c r="P1200" s="31">
        <v>32</v>
      </c>
      <c r="Q1200" s="232">
        <f t="shared" si="636"/>
        <v>8</v>
      </c>
      <c r="R1200" s="40">
        <v>0.85</v>
      </c>
      <c r="S1200" s="334">
        <f t="shared" si="637"/>
        <v>6.8</v>
      </c>
      <c r="T1200" s="31">
        <f>VLOOKUP(A1200,'Ansvar kurs'!$A$1:$C$1010,2,FALSE)</f>
        <v>2193</v>
      </c>
      <c r="U1200" s="31" t="str">
        <f>VLOOKUP(T1200,Orgenheter!$A$1:$C$165,2,FALSE)</f>
        <v xml:space="preserve">TUV </v>
      </c>
      <c r="V1200" s="31" t="str">
        <f>VLOOKUP(T1200,Orgenheter!$A$1:$C$165,3,FALSE)</f>
        <v>Sam</v>
      </c>
      <c r="W1200" s="37" t="str">
        <f>VLOOKUP(D1200,Program!$A$1:$B$34,2,FALSE)</f>
        <v>Studie- och yrkesvägledarprogram</v>
      </c>
      <c r="X1200" s="42">
        <f>VLOOKUP(A1200,kurspris!$A$1:$Q$798,15,FALSE)</f>
        <v>22339.8</v>
      </c>
      <c r="Y1200" s="42">
        <f>VLOOKUP(A1200,kurspris!$A$1:$Q$798,16,FALSE)</f>
        <v>20219.2</v>
      </c>
      <c r="Z1200" s="42">
        <f t="shared" si="638"/>
        <v>316208.95999999996</v>
      </c>
      <c r="AA1200" s="42">
        <f>VLOOKUP(A1200,kurspris!$A$1:$Q$798,17,FALSE)</f>
        <v>5800</v>
      </c>
      <c r="AB1200" s="42">
        <f t="shared" si="639"/>
        <v>46400</v>
      </c>
      <c r="AC1200" s="42">
        <f t="shared" si="640"/>
        <v>362608.95999999996</v>
      </c>
      <c r="AD1200" s="31">
        <f>VLOOKUP($A1200,kurspris!$A$1:$Q$835,3,FALSE)</f>
        <v>0</v>
      </c>
      <c r="AE1200" s="31">
        <f>VLOOKUP($A1200,kurspris!$A$1:$Q$835,4,FALSE)</f>
        <v>0</v>
      </c>
      <c r="AF1200" s="31">
        <f>VLOOKUP($A1200,kurspris!$A$1:$Q$835,5,FALSE)</f>
        <v>0</v>
      </c>
      <c r="AG1200" s="31">
        <f>VLOOKUP($A1200,kurspris!$A$1:$Q$835,6,FALSE)</f>
        <v>0</v>
      </c>
      <c r="AH1200" s="31">
        <f>VLOOKUP($A1200,kurspris!$A$1:$Q$835,7,FALSE)</f>
        <v>0</v>
      </c>
      <c r="AI1200" s="31">
        <f>VLOOKUP($A1200,kurspris!$A$1:$Q$835,8,FALSE)</f>
        <v>0</v>
      </c>
      <c r="AJ1200" s="31">
        <f>VLOOKUP($A1200,kurspris!$A$1:$Q$835,9,FALSE)</f>
        <v>0.8</v>
      </c>
      <c r="AK1200" s="31">
        <f>VLOOKUP($A1200,kurspris!$A$1:$Q$835,10,FALSE)</f>
        <v>0</v>
      </c>
      <c r="AL1200" s="31">
        <f>VLOOKUP($A1200,kurspris!$A$1:$Q$835,11,FALSE)</f>
        <v>0</v>
      </c>
      <c r="AM1200" s="31">
        <f>VLOOKUP($A1200,kurspris!$A$1:$Q$835,12,FALSE)</f>
        <v>0</v>
      </c>
      <c r="AN1200" s="31">
        <f>VLOOKUP($A1200,kurspris!$A$1:$Q$835,13,FALSE)</f>
        <v>0</v>
      </c>
      <c r="AO1200" s="31">
        <f>VLOOKUP($A1200,kurspris!$A$1:$Q$835,14,FALSE)</f>
        <v>0.2</v>
      </c>
      <c r="AP1200" s="39" t="s">
        <v>2326</v>
      </c>
      <c r="AQ1200"/>
      <c r="AR1200" s="31">
        <f t="shared" si="641"/>
        <v>0</v>
      </c>
      <c r="AS1200" s="255">
        <f t="shared" si="642"/>
        <v>0</v>
      </c>
      <c r="AT1200" s="31">
        <f t="shared" si="643"/>
        <v>0</v>
      </c>
      <c r="AU1200" s="255">
        <f t="shared" si="644"/>
        <v>0</v>
      </c>
      <c r="AV1200" s="31">
        <f t="shared" si="645"/>
        <v>0</v>
      </c>
      <c r="AW1200" s="31">
        <f t="shared" si="646"/>
        <v>0</v>
      </c>
      <c r="AX1200" s="31">
        <f t="shared" si="647"/>
        <v>0</v>
      </c>
      <c r="AY1200" s="255">
        <f t="shared" si="648"/>
        <v>0</v>
      </c>
      <c r="AZ1200" s="232">
        <f t="shared" si="649"/>
        <v>0</v>
      </c>
      <c r="BA1200" s="255">
        <f t="shared" si="650"/>
        <v>0</v>
      </c>
      <c r="BB1200" s="31">
        <f t="shared" si="651"/>
        <v>0</v>
      </c>
      <c r="BC1200" s="255">
        <f t="shared" si="652"/>
        <v>0</v>
      </c>
      <c r="BD1200" s="31">
        <f t="shared" si="653"/>
        <v>6.4</v>
      </c>
      <c r="BE1200" s="255">
        <f t="shared" si="654"/>
        <v>5.44</v>
      </c>
      <c r="BF1200" s="31">
        <f t="shared" si="655"/>
        <v>0</v>
      </c>
      <c r="BG1200" s="255">
        <f t="shared" si="656"/>
        <v>0</v>
      </c>
      <c r="BH1200" s="31">
        <f t="shared" si="657"/>
        <v>0</v>
      </c>
      <c r="BI1200" s="255">
        <f t="shared" si="658"/>
        <v>0</v>
      </c>
      <c r="BJ1200" s="31">
        <f t="shared" si="659"/>
        <v>0</v>
      </c>
      <c r="BK1200" s="31">
        <f t="shared" si="660"/>
        <v>0</v>
      </c>
      <c r="BL1200" s="255">
        <f t="shared" si="661"/>
        <v>0</v>
      </c>
      <c r="BM1200" s="31">
        <f t="shared" si="662"/>
        <v>1.6</v>
      </c>
      <c r="BN1200" s="255">
        <f t="shared" si="663"/>
        <v>1.36</v>
      </c>
    </row>
    <row r="1201" spans="1:66" x14ac:dyDescent="0.25">
      <c r="A1201" s="18" t="s">
        <v>150</v>
      </c>
      <c r="B1201" s="186" t="str">
        <f>VLOOKUP(A1201,kurspris!$A$1:$B$877,2,FALSE)</f>
        <v>Vetenskapliga perspektiv på studie- och yrkesvägledning</v>
      </c>
      <c r="C1201" s="37"/>
      <c r="D1201" s="31" t="s">
        <v>85</v>
      </c>
      <c r="E1201" s="31" t="s">
        <v>1788</v>
      </c>
      <c r="F1201" s="59" t="s">
        <v>1931</v>
      </c>
      <c r="G1201" s="31" t="s">
        <v>2269</v>
      </c>
      <c r="I1201" t="s">
        <v>1536</v>
      </c>
      <c r="L1201" s="31">
        <v>100</v>
      </c>
      <c r="M1201" s="31">
        <v>7.5</v>
      </c>
      <c r="P1201" s="31">
        <v>1</v>
      </c>
      <c r="Q1201" s="232">
        <f t="shared" si="636"/>
        <v>0.125</v>
      </c>
      <c r="R1201" s="40">
        <v>0.85</v>
      </c>
      <c r="S1201" s="334">
        <f t="shared" si="637"/>
        <v>0.10625</v>
      </c>
      <c r="T1201" s="31">
        <f>VLOOKUP(A1201,'Ansvar kurs'!$A$1:$C$1010,2,FALSE)</f>
        <v>2193</v>
      </c>
      <c r="U1201" s="31" t="str">
        <f>VLOOKUP(T1201,Orgenheter!$A$1:$C$165,2,FALSE)</f>
        <v xml:space="preserve">TUV </v>
      </c>
      <c r="V1201" s="31" t="str">
        <f>VLOOKUP(T1201,Orgenheter!$A$1:$C$165,3,FALSE)</f>
        <v>Sam</v>
      </c>
      <c r="W1201" s="37" t="str">
        <f>VLOOKUP(D1201,Program!$A$1:$B$34,2,FALSE)</f>
        <v>Studie- och yrkesvägledarprogram</v>
      </c>
      <c r="X1201" s="42">
        <f>VLOOKUP(A1201,kurspris!$A$1:$Q$798,15,FALSE)</f>
        <v>18405</v>
      </c>
      <c r="Y1201" s="42">
        <f>VLOOKUP(A1201,kurspris!$A$1:$Q$798,16,FALSE)</f>
        <v>15773</v>
      </c>
      <c r="Z1201" s="42">
        <f t="shared" si="638"/>
        <v>3976.5062499999999</v>
      </c>
      <c r="AA1201" s="42">
        <f>VLOOKUP(A1201,kurspris!$A$1:$Q$798,17,FALSE)</f>
        <v>5800</v>
      </c>
      <c r="AB1201" s="42">
        <f t="shared" si="639"/>
        <v>725</v>
      </c>
      <c r="AC1201" s="42">
        <f t="shared" si="640"/>
        <v>4701.5062500000004</v>
      </c>
      <c r="AD1201" s="31">
        <f>VLOOKUP($A1201,kurspris!$A$1:$Q$835,3,FALSE)</f>
        <v>0</v>
      </c>
      <c r="AE1201" s="31">
        <f>VLOOKUP($A1201,kurspris!$A$1:$Q$835,4,FALSE)</f>
        <v>0</v>
      </c>
      <c r="AF1201" s="31">
        <f>VLOOKUP($A1201,kurspris!$A$1:$Q$835,5,FALSE)</f>
        <v>0</v>
      </c>
      <c r="AG1201" s="31">
        <f>VLOOKUP($A1201,kurspris!$A$1:$Q$835,6,FALSE)</f>
        <v>0</v>
      </c>
      <c r="AH1201" s="31">
        <f>VLOOKUP($A1201,kurspris!$A$1:$Q$835,7,FALSE)</f>
        <v>0</v>
      </c>
      <c r="AI1201" s="31">
        <f>VLOOKUP($A1201,kurspris!$A$1:$Q$835,8,FALSE)</f>
        <v>0</v>
      </c>
      <c r="AJ1201" s="31">
        <f>VLOOKUP($A1201,kurspris!$A$1:$Q$835,9,FALSE)</f>
        <v>1</v>
      </c>
      <c r="AK1201" s="31">
        <f>VLOOKUP($A1201,kurspris!$A$1:$Q$835,10,FALSE)</f>
        <v>0</v>
      </c>
      <c r="AL1201" s="31">
        <f>VLOOKUP($A1201,kurspris!$A$1:$Q$835,11,FALSE)</f>
        <v>0</v>
      </c>
      <c r="AM1201" s="31">
        <f>VLOOKUP($A1201,kurspris!$A$1:$Q$835,12,FALSE)</f>
        <v>0</v>
      </c>
      <c r="AN1201" s="31">
        <f>VLOOKUP($A1201,kurspris!$A$1:$Q$835,13,FALSE)</f>
        <v>0</v>
      </c>
      <c r="AO1201" s="31">
        <f>VLOOKUP($A1201,kurspris!$A$1:$Q$835,14,FALSE)</f>
        <v>0</v>
      </c>
      <c r="AP1201" s="39" t="s">
        <v>2326</v>
      </c>
      <c r="AQ1201"/>
      <c r="AR1201" s="31">
        <f t="shared" si="641"/>
        <v>0</v>
      </c>
      <c r="AS1201" s="255">
        <f t="shared" si="642"/>
        <v>0</v>
      </c>
      <c r="AT1201" s="31">
        <f t="shared" si="643"/>
        <v>0</v>
      </c>
      <c r="AU1201" s="255">
        <f t="shared" si="644"/>
        <v>0</v>
      </c>
      <c r="AV1201" s="31">
        <f t="shared" si="645"/>
        <v>0</v>
      </c>
      <c r="AW1201" s="31">
        <f t="shared" si="646"/>
        <v>0</v>
      </c>
      <c r="AX1201" s="31">
        <f t="shared" si="647"/>
        <v>0</v>
      </c>
      <c r="AY1201" s="255">
        <f t="shared" si="648"/>
        <v>0</v>
      </c>
      <c r="AZ1201" s="232">
        <f t="shared" si="649"/>
        <v>0</v>
      </c>
      <c r="BA1201" s="255">
        <f t="shared" si="650"/>
        <v>0</v>
      </c>
      <c r="BB1201" s="31">
        <f t="shared" si="651"/>
        <v>0</v>
      </c>
      <c r="BC1201" s="255">
        <f t="shared" si="652"/>
        <v>0</v>
      </c>
      <c r="BD1201" s="31">
        <f t="shared" si="653"/>
        <v>0.125</v>
      </c>
      <c r="BE1201" s="255">
        <f t="shared" si="654"/>
        <v>0.10625</v>
      </c>
      <c r="BF1201" s="31">
        <f t="shared" si="655"/>
        <v>0</v>
      </c>
      <c r="BG1201" s="255">
        <f t="shared" si="656"/>
        <v>0</v>
      </c>
      <c r="BH1201" s="31">
        <f t="shared" si="657"/>
        <v>0</v>
      </c>
      <c r="BI1201" s="255">
        <f t="shared" si="658"/>
        <v>0</v>
      </c>
      <c r="BJ1201" s="31">
        <f t="shared" si="659"/>
        <v>0</v>
      </c>
      <c r="BK1201" s="31">
        <f t="shared" si="660"/>
        <v>0</v>
      </c>
      <c r="BL1201" s="255">
        <f t="shared" si="661"/>
        <v>0</v>
      </c>
      <c r="BM1201" s="31">
        <f t="shared" si="662"/>
        <v>0</v>
      </c>
      <c r="BN1201" s="255">
        <f t="shared" si="663"/>
        <v>0</v>
      </c>
    </row>
    <row r="1202" spans="1:66" x14ac:dyDescent="0.25">
      <c r="A1202" s="18" t="s">
        <v>150</v>
      </c>
      <c r="B1202" s="186" t="str">
        <f>VLOOKUP(A1202,kurspris!$A$1:$B$877,2,FALSE)</f>
        <v>Vetenskapliga perspektiv på studie- och yrkesvägledning</v>
      </c>
      <c r="C1202" s="37"/>
      <c r="D1202" s="31" t="s">
        <v>85</v>
      </c>
      <c r="E1202" s="31" t="s">
        <v>1931</v>
      </c>
      <c r="F1202" s="59" t="s">
        <v>1931</v>
      </c>
      <c r="G1202" s="31" t="s">
        <v>2269</v>
      </c>
      <c r="I1202" t="s">
        <v>628</v>
      </c>
      <c r="L1202" s="31">
        <v>100</v>
      </c>
      <c r="M1202" s="31">
        <v>7.5</v>
      </c>
      <c r="N1202" s="40">
        <v>-0.08</v>
      </c>
      <c r="O1202" s="31">
        <v>29</v>
      </c>
      <c r="P1202" s="377">
        <f>O1202+(O1202*N1202)</f>
        <v>26.68</v>
      </c>
      <c r="Q1202" s="232">
        <f t="shared" si="636"/>
        <v>3.335</v>
      </c>
      <c r="R1202" s="40">
        <v>0.85</v>
      </c>
      <c r="S1202" s="334">
        <f t="shared" si="637"/>
        <v>2.8347500000000001</v>
      </c>
      <c r="T1202" s="31">
        <f>VLOOKUP(A1202,'Ansvar kurs'!$A$1:$C$1010,2,FALSE)</f>
        <v>2193</v>
      </c>
      <c r="U1202" s="31" t="str">
        <f>VLOOKUP(T1202,Orgenheter!$A$1:$C$165,2,FALSE)</f>
        <v xml:space="preserve">TUV </v>
      </c>
      <c r="V1202" s="31" t="str">
        <f>VLOOKUP(T1202,Orgenheter!$A$1:$C$165,3,FALSE)</f>
        <v>Sam</v>
      </c>
      <c r="W1202" s="37" t="str">
        <f>VLOOKUP(D1202,Program!$A$1:$B$34,2,FALSE)</f>
        <v>Studie- och yrkesvägledarprogram</v>
      </c>
      <c r="X1202" s="42">
        <f>VLOOKUP(A1202,kurspris!$A$1:$Q$798,15,FALSE)</f>
        <v>18405</v>
      </c>
      <c r="Y1202" s="42">
        <f>VLOOKUP(A1202,kurspris!$A$1:$Q$798,16,FALSE)</f>
        <v>15773</v>
      </c>
      <c r="Z1202" s="42">
        <f t="shared" si="638"/>
        <v>106093.18675000001</v>
      </c>
      <c r="AA1202" s="42">
        <f>VLOOKUP(A1202,kurspris!$A$1:$Q$798,17,FALSE)</f>
        <v>5800</v>
      </c>
      <c r="AB1202" s="42">
        <f t="shared" si="639"/>
        <v>19343</v>
      </c>
      <c r="AC1202" s="42">
        <f t="shared" si="640"/>
        <v>125436.18675000001</v>
      </c>
      <c r="AD1202" s="31">
        <f>VLOOKUP($A1202,kurspris!$A$1:$Q$835,3,FALSE)</f>
        <v>0</v>
      </c>
      <c r="AE1202" s="31">
        <f>VLOOKUP($A1202,kurspris!$A$1:$Q$835,4,FALSE)</f>
        <v>0</v>
      </c>
      <c r="AF1202" s="31">
        <f>VLOOKUP($A1202,kurspris!$A$1:$Q$835,5,FALSE)</f>
        <v>0</v>
      </c>
      <c r="AG1202" s="31">
        <f>VLOOKUP($A1202,kurspris!$A$1:$Q$835,6,FALSE)</f>
        <v>0</v>
      </c>
      <c r="AH1202" s="31">
        <f>VLOOKUP($A1202,kurspris!$A$1:$Q$835,7,FALSE)</f>
        <v>0</v>
      </c>
      <c r="AI1202" s="31">
        <f>VLOOKUP($A1202,kurspris!$A$1:$Q$835,8,FALSE)</f>
        <v>0</v>
      </c>
      <c r="AJ1202" s="31">
        <f>VLOOKUP($A1202,kurspris!$A$1:$Q$835,9,FALSE)</f>
        <v>1</v>
      </c>
      <c r="AK1202" s="31">
        <f>VLOOKUP($A1202,kurspris!$A$1:$Q$835,10,FALSE)</f>
        <v>0</v>
      </c>
      <c r="AL1202" s="31">
        <f>VLOOKUP($A1202,kurspris!$A$1:$Q$835,11,FALSE)</f>
        <v>0</v>
      </c>
      <c r="AM1202" s="31">
        <f>VLOOKUP($A1202,kurspris!$A$1:$Q$835,12,FALSE)</f>
        <v>0</v>
      </c>
      <c r="AN1202" s="31">
        <f>VLOOKUP($A1202,kurspris!$A$1:$Q$835,13,FALSE)</f>
        <v>0</v>
      </c>
      <c r="AO1202" s="31">
        <f>VLOOKUP($A1202,kurspris!$A$1:$Q$835,14,FALSE)</f>
        <v>0</v>
      </c>
      <c r="AP1202" s="39" t="s">
        <v>1631</v>
      </c>
      <c r="AQ1202"/>
      <c r="AR1202" s="31">
        <f t="shared" si="641"/>
        <v>0</v>
      </c>
      <c r="AS1202" s="255">
        <f t="shared" si="642"/>
        <v>0</v>
      </c>
      <c r="AT1202" s="31">
        <f t="shared" si="643"/>
        <v>0</v>
      </c>
      <c r="AU1202" s="255">
        <f t="shared" si="644"/>
        <v>0</v>
      </c>
      <c r="AV1202" s="31">
        <f t="shared" si="645"/>
        <v>0</v>
      </c>
      <c r="AW1202" s="31">
        <f t="shared" si="646"/>
        <v>0</v>
      </c>
      <c r="AX1202" s="31">
        <f t="shared" si="647"/>
        <v>0</v>
      </c>
      <c r="AY1202" s="255">
        <f t="shared" si="648"/>
        <v>0</v>
      </c>
      <c r="AZ1202" s="232">
        <f t="shared" si="649"/>
        <v>0</v>
      </c>
      <c r="BA1202" s="255">
        <f t="shared" si="650"/>
        <v>0</v>
      </c>
      <c r="BB1202" s="31">
        <f t="shared" si="651"/>
        <v>0</v>
      </c>
      <c r="BC1202" s="255">
        <f t="shared" si="652"/>
        <v>0</v>
      </c>
      <c r="BD1202" s="31">
        <f t="shared" si="653"/>
        <v>3.335</v>
      </c>
      <c r="BE1202" s="255">
        <f t="shared" si="654"/>
        <v>2.8347500000000001</v>
      </c>
      <c r="BF1202" s="31">
        <f t="shared" si="655"/>
        <v>0</v>
      </c>
      <c r="BG1202" s="255">
        <f t="shared" si="656"/>
        <v>0</v>
      </c>
      <c r="BH1202" s="31">
        <f t="shared" si="657"/>
        <v>0</v>
      </c>
      <c r="BI1202" s="255">
        <f t="shared" si="658"/>
        <v>0</v>
      </c>
      <c r="BJ1202" s="31">
        <f t="shared" si="659"/>
        <v>0</v>
      </c>
      <c r="BK1202" s="31">
        <f t="shared" si="660"/>
        <v>0</v>
      </c>
      <c r="BL1202" s="255">
        <f t="shared" si="661"/>
        <v>0</v>
      </c>
      <c r="BM1202" s="31">
        <f t="shared" si="662"/>
        <v>0</v>
      </c>
      <c r="BN1202" s="255">
        <f t="shared" si="663"/>
        <v>0</v>
      </c>
    </row>
    <row r="1203" spans="1:66" x14ac:dyDescent="0.25">
      <c r="A1203" s="18" t="s">
        <v>150</v>
      </c>
      <c r="B1203" s="186" t="str">
        <f>VLOOKUP(A1203,kurspris!$A$1:$B$877,2,FALSE)</f>
        <v>Vetenskapliga perspektiv på studie- och yrkesvägledning</v>
      </c>
      <c r="C1203" s="37"/>
      <c r="D1203" s="31" t="s">
        <v>85</v>
      </c>
      <c r="E1203" s="31" t="s">
        <v>1931</v>
      </c>
      <c r="F1203" s="59" t="s">
        <v>1931</v>
      </c>
      <c r="G1203" s="31" t="s">
        <v>2269</v>
      </c>
      <c r="I1203" t="s">
        <v>1536</v>
      </c>
      <c r="L1203" s="31">
        <v>100</v>
      </c>
      <c r="M1203" s="31">
        <v>7.5</v>
      </c>
      <c r="N1203" s="40">
        <v>-0.08</v>
      </c>
      <c r="O1203" s="31">
        <v>32</v>
      </c>
      <c r="P1203" s="377">
        <f>O1203+(O1203*N1203)</f>
        <v>29.44</v>
      </c>
      <c r="Q1203" s="232">
        <f t="shared" si="636"/>
        <v>3.68</v>
      </c>
      <c r="R1203" s="40">
        <v>0.85</v>
      </c>
      <c r="S1203" s="334">
        <f t="shared" si="637"/>
        <v>3.1280000000000001</v>
      </c>
      <c r="T1203" s="31">
        <f>VLOOKUP(A1203,'Ansvar kurs'!$A$1:$C$1010,2,FALSE)</f>
        <v>2193</v>
      </c>
      <c r="U1203" s="31" t="str">
        <f>VLOOKUP(T1203,Orgenheter!$A$1:$C$165,2,FALSE)</f>
        <v xml:space="preserve">TUV </v>
      </c>
      <c r="V1203" s="31" t="str">
        <f>VLOOKUP(T1203,Orgenheter!$A$1:$C$165,3,FALSE)</f>
        <v>Sam</v>
      </c>
      <c r="W1203" s="37" t="str">
        <f>VLOOKUP(D1203,Program!$A$1:$B$34,2,FALSE)</f>
        <v>Studie- och yrkesvägledarprogram</v>
      </c>
      <c r="X1203" s="42">
        <f>VLOOKUP(A1203,kurspris!$A$1:$Q$798,15,FALSE)</f>
        <v>18405</v>
      </c>
      <c r="Y1203" s="42">
        <f>VLOOKUP(A1203,kurspris!$A$1:$Q$798,16,FALSE)</f>
        <v>15773</v>
      </c>
      <c r="Z1203" s="42">
        <f t="shared" si="638"/>
        <v>117068.34400000001</v>
      </c>
      <c r="AA1203" s="42">
        <f>VLOOKUP(A1203,kurspris!$A$1:$Q$798,17,FALSE)</f>
        <v>5800</v>
      </c>
      <c r="AB1203" s="42">
        <f t="shared" si="639"/>
        <v>21344</v>
      </c>
      <c r="AC1203" s="42">
        <f t="shared" si="640"/>
        <v>138412.34400000001</v>
      </c>
      <c r="AD1203" s="31">
        <f>VLOOKUP($A1203,kurspris!$A$1:$Q$835,3,FALSE)</f>
        <v>0</v>
      </c>
      <c r="AE1203" s="31">
        <f>VLOOKUP($A1203,kurspris!$A$1:$Q$835,4,FALSE)</f>
        <v>0</v>
      </c>
      <c r="AF1203" s="31">
        <f>VLOOKUP($A1203,kurspris!$A$1:$Q$835,5,FALSE)</f>
        <v>0</v>
      </c>
      <c r="AG1203" s="31">
        <f>VLOOKUP($A1203,kurspris!$A$1:$Q$835,6,FALSE)</f>
        <v>0</v>
      </c>
      <c r="AH1203" s="31">
        <f>VLOOKUP($A1203,kurspris!$A$1:$Q$835,7,FALSE)</f>
        <v>0</v>
      </c>
      <c r="AI1203" s="31">
        <f>VLOOKUP($A1203,kurspris!$A$1:$Q$835,8,FALSE)</f>
        <v>0</v>
      </c>
      <c r="AJ1203" s="31">
        <f>VLOOKUP($A1203,kurspris!$A$1:$Q$835,9,FALSE)</f>
        <v>1</v>
      </c>
      <c r="AK1203" s="31">
        <f>VLOOKUP($A1203,kurspris!$A$1:$Q$835,10,FALSE)</f>
        <v>0</v>
      </c>
      <c r="AL1203" s="31">
        <f>VLOOKUP($A1203,kurspris!$A$1:$Q$835,11,FALSE)</f>
        <v>0</v>
      </c>
      <c r="AM1203" s="31">
        <f>VLOOKUP($A1203,kurspris!$A$1:$Q$835,12,FALSE)</f>
        <v>0</v>
      </c>
      <c r="AN1203" s="31">
        <f>VLOOKUP($A1203,kurspris!$A$1:$Q$835,13,FALSE)</f>
        <v>0</v>
      </c>
      <c r="AO1203" s="31">
        <f>VLOOKUP($A1203,kurspris!$A$1:$Q$835,14,FALSE)</f>
        <v>0</v>
      </c>
      <c r="AP1203" s="39" t="s">
        <v>1631</v>
      </c>
      <c r="AQ1203"/>
      <c r="AR1203" s="31">
        <f t="shared" si="641"/>
        <v>0</v>
      </c>
      <c r="AS1203" s="255">
        <f t="shared" si="642"/>
        <v>0</v>
      </c>
      <c r="AT1203" s="31">
        <f t="shared" si="643"/>
        <v>0</v>
      </c>
      <c r="AU1203" s="255">
        <f t="shared" si="644"/>
        <v>0</v>
      </c>
      <c r="AV1203" s="31">
        <f t="shared" si="645"/>
        <v>0</v>
      </c>
      <c r="AW1203" s="31">
        <f t="shared" si="646"/>
        <v>0</v>
      </c>
      <c r="AX1203" s="31">
        <f t="shared" si="647"/>
        <v>0</v>
      </c>
      <c r="AY1203" s="255">
        <f t="shared" si="648"/>
        <v>0</v>
      </c>
      <c r="AZ1203" s="232">
        <f t="shared" si="649"/>
        <v>0</v>
      </c>
      <c r="BA1203" s="255">
        <f t="shared" si="650"/>
        <v>0</v>
      </c>
      <c r="BB1203" s="31">
        <f t="shared" si="651"/>
        <v>0</v>
      </c>
      <c r="BC1203" s="255">
        <f t="shared" si="652"/>
        <v>0</v>
      </c>
      <c r="BD1203" s="31">
        <f t="shared" si="653"/>
        <v>3.68</v>
      </c>
      <c r="BE1203" s="255">
        <f t="shared" si="654"/>
        <v>3.1280000000000001</v>
      </c>
      <c r="BF1203" s="31">
        <f t="shared" si="655"/>
        <v>0</v>
      </c>
      <c r="BG1203" s="255">
        <f t="shared" si="656"/>
        <v>0</v>
      </c>
      <c r="BH1203" s="31">
        <f t="shared" si="657"/>
        <v>0</v>
      </c>
      <c r="BI1203" s="255">
        <f t="shared" si="658"/>
        <v>0</v>
      </c>
      <c r="BJ1203" s="31">
        <f t="shared" si="659"/>
        <v>0</v>
      </c>
      <c r="BK1203" s="31">
        <f t="shared" si="660"/>
        <v>0</v>
      </c>
      <c r="BL1203" s="255">
        <f t="shared" si="661"/>
        <v>0</v>
      </c>
      <c r="BM1203" s="31">
        <f t="shared" si="662"/>
        <v>0</v>
      </c>
      <c r="BN1203" s="255">
        <f t="shared" si="663"/>
        <v>0</v>
      </c>
    </row>
    <row r="1204" spans="1:66" x14ac:dyDescent="0.25">
      <c r="A1204" s="18" t="s">
        <v>378</v>
      </c>
      <c r="B1204" s="186" t="str">
        <f>VLOOKUP(A1204,kurspris!$A$1:$B$877,2,FALSE)</f>
        <v>Utbildningssystem i Sverige och andra länder</v>
      </c>
      <c r="C1204" s="37"/>
      <c r="D1204" s="31" t="s">
        <v>85</v>
      </c>
      <c r="E1204" s="31" t="s">
        <v>1788</v>
      </c>
      <c r="F1204" s="59" t="s">
        <v>1931</v>
      </c>
      <c r="G1204" s="31" t="s">
        <v>2284</v>
      </c>
      <c r="I1204" t="s">
        <v>628</v>
      </c>
      <c r="L1204" s="31">
        <v>100</v>
      </c>
      <c r="M1204" s="31">
        <v>10</v>
      </c>
      <c r="P1204" s="31">
        <v>19</v>
      </c>
      <c r="Q1204" s="232">
        <f t="shared" si="636"/>
        <v>3.1666666666666665</v>
      </c>
      <c r="R1204" s="40">
        <v>0.85</v>
      </c>
      <c r="S1204" s="334">
        <f t="shared" si="637"/>
        <v>2.6916666666666664</v>
      </c>
      <c r="T1204" s="31">
        <f>VLOOKUP(A1204,'Ansvar kurs'!$A$1:$C$1010,2,FALSE)</f>
        <v>2193</v>
      </c>
      <c r="U1204" s="31" t="str">
        <f>VLOOKUP(T1204,Orgenheter!$A$1:$C$165,2,FALSE)</f>
        <v xml:space="preserve">TUV </v>
      </c>
      <c r="V1204" s="31" t="str">
        <f>VLOOKUP(T1204,Orgenheter!$A$1:$C$165,3,FALSE)</f>
        <v>Sam</v>
      </c>
      <c r="W1204" s="37" t="str">
        <f>VLOOKUP(D1204,Program!$A$1:$B$34,2,FALSE)</f>
        <v>Studie- och yrkesvägledarprogram</v>
      </c>
      <c r="X1204" s="42">
        <f>VLOOKUP(A1204,kurspris!$A$1:$Q$798,15,FALSE)</f>
        <v>18405</v>
      </c>
      <c r="Y1204" s="42">
        <f>VLOOKUP(A1204,kurspris!$A$1:$Q$798,16,FALSE)</f>
        <v>15773</v>
      </c>
      <c r="Z1204" s="42">
        <f t="shared" si="638"/>
        <v>100738.15833333333</v>
      </c>
      <c r="AA1204" s="42">
        <f>VLOOKUP(A1204,kurspris!$A$1:$Q$798,17,FALSE)</f>
        <v>5800</v>
      </c>
      <c r="AB1204" s="42">
        <f t="shared" si="639"/>
        <v>18366.666666666664</v>
      </c>
      <c r="AC1204" s="42">
        <f t="shared" si="640"/>
        <v>119104.82499999998</v>
      </c>
      <c r="AD1204" s="31">
        <f>VLOOKUP($A1204,kurspris!$A$1:$Q$835,3,FALSE)</f>
        <v>0</v>
      </c>
      <c r="AE1204" s="31">
        <f>VLOOKUP($A1204,kurspris!$A$1:$Q$835,4,FALSE)</f>
        <v>0</v>
      </c>
      <c r="AF1204" s="31">
        <f>VLOOKUP($A1204,kurspris!$A$1:$Q$835,5,FALSE)</f>
        <v>0</v>
      </c>
      <c r="AG1204" s="31">
        <f>VLOOKUP($A1204,kurspris!$A$1:$Q$835,6,FALSE)</f>
        <v>0</v>
      </c>
      <c r="AH1204" s="31">
        <f>VLOOKUP($A1204,kurspris!$A$1:$Q$835,7,FALSE)</f>
        <v>0</v>
      </c>
      <c r="AI1204" s="31">
        <f>VLOOKUP($A1204,kurspris!$A$1:$Q$835,8,FALSE)</f>
        <v>0</v>
      </c>
      <c r="AJ1204" s="31">
        <f>VLOOKUP($A1204,kurspris!$A$1:$Q$835,9,FALSE)</f>
        <v>1</v>
      </c>
      <c r="AK1204" s="31">
        <f>VLOOKUP($A1204,kurspris!$A$1:$Q$835,10,FALSE)</f>
        <v>0</v>
      </c>
      <c r="AL1204" s="31">
        <f>VLOOKUP($A1204,kurspris!$A$1:$Q$835,11,FALSE)</f>
        <v>0</v>
      </c>
      <c r="AM1204" s="31">
        <f>VLOOKUP($A1204,kurspris!$A$1:$Q$835,12,FALSE)</f>
        <v>0</v>
      </c>
      <c r="AN1204" s="31">
        <f>VLOOKUP($A1204,kurspris!$A$1:$Q$835,13,FALSE)</f>
        <v>0</v>
      </c>
      <c r="AO1204" s="31">
        <f>VLOOKUP($A1204,kurspris!$A$1:$Q$835,14,FALSE)</f>
        <v>0</v>
      </c>
      <c r="AP1204" s="39" t="s">
        <v>2326</v>
      </c>
      <c r="AQ1204"/>
      <c r="AR1204" s="31">
        <f t="shared" si="641"/>
        <v>0</v>
      </c>
      <c r="AS1204" s="255">
        <f t="shared" si="642"/>
        <v>0</v>
      </c>
      <c r="AT1204" s="31">
        <f t="shared" si="643"/>
        <v>0</v>
      </c>
      <c r="AU1204" s="255">
        <f t="shared" si="644"/>
        <v>0</v>
      </c>
      <c r="AV1204" s="31">
        <f t="shared" si="645"/>
        <v>0</v>
      </c>
      <c r="AW1204" s="31">
        <f t="shared" si="646"/>
        <v>0</v>
      </c>
      <c r="AX1204" s="31">
        <f t="shared" si="647"/>
        <v>0</v>
      </c>
      <c r="AY1204" s="255">
        <f t="shared" si="648"/>
        <v>0</v>
      </c>
      <c r="AZ1204" s="232">
        <f t="shared" si="649"/>
        <v>0</v>
      </c>
      <c r="BA1204" s="255">
        <f t="shared" si="650"/>
        <v>0</v>
      </c>
      <c r="BB1204" s="31">
        <f t="shared" si="651"/>
        <v>0</v>
      </c>
      <c r="BC1204" s="255">
        <f t="shared" si="652"/>
        <v>0</v>
      </c>
      <c r="BD1204" s="31">
        <f t="shared" si="653"/>
        <v>3.1666666666666665</v>
      </c>
      <c r="BE1204" s="255">
        <f t="shared" si="654"/>
        <v>2.6916666666666664</v>
      </c>
      <c r="BF1204" s="31">
        <f t="shared" si="655"/>
        <v>0</v>
      </c>
      <c r="BG1204" s="255">
        <f t="shared" si="656"/>
        <v>0</v>
      </c>
      <c r="BH1204" s="31">
        <f t="shared" si="657"/>
        <v>0</v>
      </c>
      <c r="BI1204" s="255">
        <f t="shared" si="658"/>
        <v>0</v>
      </c>
      <c r="BJ1204" s="31">
        <f t="shared" si="659"/>
        <v>0</v>
      </c>
      <c r="BK1204" s="31">
        <f t="shared" si="660"/>
        <v>0</v>
      </c>
      <c r="BL1204" s="255">
        <f t="shared" si="661"/>
        <v>0</v>
      </c>
      <c r="BM1204" s="31">
        <f t="shared" si="662"/>
        <v>0</v>
      </c>
      <c r="BN1204" s="255">
        <f t="shared" si="663"/>
        <v>0</v>
      </c>
    </row>
    <row r="1205" spans="1:66" x14ac:dyDescent="0.25">
      <c r="A1205" s="18" t="s">
        <v>378</v>
      </c>
      <c r="B1205" s="186" t="str">
        <f>VLOOKUP(A1205,kurspris!$A$1:$B$877,2,FALSE)</f>
        <v>Utbildningssystem i Sverige och andra länder</v>
      </c>
      <c r="C1205" s="37"/>
      <c r="D1205" s="31" t="s">
        <v>85</v>
      </c>
      <c r="E1205" s="31" t="s">
        <v>1788</v>
      </c>
      <c r="F1205" s="59" t="s">
        <v>1931</v>
      </c>
      <c r="G1205" s="31" t="s">
        <v>2284</v>
      </c>
      <c r="I1205" t="s">
        <v>1536</v>
      </c>
      <c r="L1205" s="31">
        <v>100</v>
      </c>
      <c r="M1205" s="31">
        <v>10</v>
      </c>
      <c r="P1205" s="31">
        <v>24</v>
      </c>
      <c r="Q1205" s="232">
        <f t="shared" si="636"/>
        <v>4</v>
      </c>
      <c r="R1205" s="40">
        <v>0.85</v>
      </c>
      <c r="S1205" s="334">
        <f t="shared" si="637"/>
        <v>3.4</v>
      </c>
      <c r="T1205" s="31">
        <f>VLOOKUP(A1205,'Ansvar kurs'!$A$1:$C$1010,2,FALSE)</f>
        <v>2193</v>
      </c>
      <c r="U1205" s="31" t="str">
        <f>VLOOKUP(T1205,Orgenheter!$A$1:$C$165,2,FALSE)</f>
        <v xml:space="preserve">TUV </v>
      </c>
      <c r="V1205" s="31" t="str">
        <f>VLOOKUP(T1205,Orgenheter!$A$1:$C$165,3,FALSE)</f>
        <v>Sam</v>
      </c>
      <c r="W1205" s="37" t="str">
        <f>VLOOKUP(D1205,Program!$A$1:$B$34,2,FALSE)</f>
        <v>Studie- och yrkesvägledarprogram</v>
      </c>
      <c r="X1205" s="42">
        <f>VLOOKUP(A1205,kurspris!$A$1:$Q$798,15,FALSE)</f>
        <v>18405</v>
      </c>
      <c r="Y1205" s="42">
        <f>VLOOKUP(A1205,kurspris!$A$1:$Q$798,16,FALSE)</f>
        <v>15773</v>
      </c>
      <c r="Z1205" s="42">
        <f t="shared" si="638"/>
        <v>127248.2</v>
      </c>
      <c r="AA1205" s="42">
        <f>VLOOKUP(A1205,kurspris!$A$1:$Q$798,17,FALSE)</f>
        <v>5800</v>
      </c>
      <c r="AB1205" s="42">
        <f t="shared" si="639"/>
        <v>23200</v>
      </c>
      <c r="AC1205" s="42">
        <f t="shared" si="640"/>
        <v>150448.20000000001</v>
      </c>
      <c r="AD1205" s="31">
        <f>VLOOKUP($A1205,kurspris!$A$1:$Q$835,3,FALSE)</f>
        <v>0</v>
      </c>
      <c r="AE1205" s="31">
        <f>VLOOKUP($A1205,kurspris!$A$1:$Q$835,4,FALSE)</f>
        <v>0</v>
      </c>
      <c r="AF1205" s="31">
        <f>VLOOKUP($A1205,kurspris!$A$1:$Q$835,5,FALSE)</f>
        <v>0</v>
      </c>
      <c r="AG1205" s="31">
        <f>VLOOKUP($A1205,kurspris!$A$1:$Q$835,6,FALSE)</f>
        <v>0</v>
      </c>
      <c r="AH1205" s="31">
        <f>VLOOKUP($A1205,kurspris!$A$1:$Q$835,7,FALSE)</f>
        <v>0</v>
      </c>
      <c r="AI1205" s="31">
        <f>VLOOKUP($A1205,kurspris!$A$1:$Q$835,8,FALSE)</f>
        <v>0</v>
      </c>
      <c r="AJ1205" s="31">
        <f>VLOOKUP($A1205,kurspris!$A$1:$Q$835,9,FALSE)</f>
        <v>1</v>
      </c>
      <c r="AK1205" s="31">
        <f>VLOOKUP($A1205,kurspris!$A$1:$Q$835,10,FALSE)</f>
        <v>0</v>
      </c>
      <c r="AL1205" s="31">
        <f>VLOOKUP($A1205,kurspris!$A$1:$Q$835,11,FALSE)</f>
        <v>0</v>
      </c>
      <c r="AM1205" s="31">
        <f>VLOOKUP($A1205,kurspris!$A$1:$Q$835,12,FALSE)</f>
        <v>0</v>
      </c>
      <c r="AN1205" s="31">
        <f>VLOOKUP($A1205,kurspris!$A$1:$Q$835,13,FALSE)</f>
        <v>0</v>
      </c>
      <c r="AO1205" s="31">
        <f>VLOOKUP($A1205,kurspris!$A$1:$Q$835,14,FALSE)</f>
        <v>0</v>
      </c>
      <c r="AP1205" s="39" t="s">
        <v>2326</v>
      </c>
      <c r="AQ1205"/>
      <c r="AR1205" s="31">
        <f t="shared" si="641"/>
        <v>0</v>
      </c>
      <c r="AS1205" s="255">
        <f t="shared" si="642"/>
        <v>0</v>
      </c>
      <c r="AT1205" s="31">
        <f t="shared" si="643"/>
        <v>0</v>
      </c>
      <c r="AU1205" s="255">
        <f t="shared" si="644"/>
        <v>0</v>
      </c>
      <c r="AV1205" s="31">
        <f t="shared" si="645"/>
        <v>0</v>
      </c>
      <c r="AW1205" s="31">
        <f t="shared" si="646"/>
        <v>0</v>
      </c>
      <c r="AX1205" s="31">
        <f t="shared" si="647"/>
        <v>0</v>
      </c>
      <c r="AY1205" s="255">
        <f t="shared" si="648"/>
        <v>0</v>
      </c>
      <c r="AZ1205" s="232">
        <f t="shared" si="649"/>
        <v>0</v>
      </c>
      <c r="BA1205" s="255">
        <f t="shared" si="650"/>
        <v>0</v>
      </c>
      <c r="BB1205" s="31">
        <f t="shared" si="651"/>
        <v>0</v>
      </c>
      <c r="BC1205" s="255">
        <f t="shared" si="652"/>
        <v>0</v>
      </c>
      <c r="BD1205" s="31">
        <f t="shared" si="653"/>
        <v>4</v>
      </c>
      <c r="BE1205" s="255">
        <f t="shared" si="654"/>
        <v>3.4</v>
      </c>
      <c r="BF1205" s="31">
        <f t="shared" si="655"/>
        <v>0</v>
      </c>
      <c r="BG1205" s="255">
        <f t="shared" si="656"/>
        <v>0</v>
      </c>
      <c r="BH1205" s="31">
        <f t="shared" si="657"/>
        <v>0</v>
      </c>
      <c r="BI1205" s="255">
        <f t="shared" si="658"/>
        <v>0</v>
      </c>
      <c r="BJ1205" s="31">
        <f t="shared" si="659"/>
        <v>0</v>
      </c>
      <c r="BK1205" s="31">
        <f t="shared" si="660"/>
        <v>0</v>
      </c>
      <c r="BL1205" s="255">
        <f t="shared" si="661"/>
        <v>0</v>
      </c>
      <c r="BM1205" s="31">
        <f t="shared" si="662"/>
        <v>0</v>
      </c>
      <c r="BN1205" s="255">
        <f t="shared" si="663"/>
        <v>0</v>
      </c>
    </row>
    <row r="1206" spans="1:66" x14ac:dyDescent="0.25">
      <c r="A1206" t="s">
        <v>396</v>
      </c>
      <c r="B1206" s="186" t="str">
        <f>VLOOKUP(A1206,kurspris!$A$1:$B$877,2,FALSE)</f>
        <v>Studie- och yrkesvägledningens praktik</v>
      </c>
      <c r="C1206"/>
      <c r="D1206" t="s">
        <v>85</v>
      </c>
      <c r="E1206" t="s">
        <v>1976</v>
      </c>
      <c r="F1206" s="59" t="s">
        <v>1930</v>
      </c>
      <c r="G1206" t="s">
        <v>1979</v>
      </c>
      <c r="H1206" t="s">
        <v>1910</v>
      </c>
      <c r="I1206" t="s">
        <v>628</v>
      </c>
      <c r="J1206" t="s">
        <v>1537</v>
      </c>
      <c r="K1206"/>
      <c r="L1206">
        <v>100</v>
      </c>
      <c r="M1206">
        <v>15</v>
      </c>
      <c r="N1206"/>
      <c r="O1206"/>
      <c r="P1206" s="31">
        <v>1</v>
      </c>
      <c r="Q1206" s="232">
        <f t="shared" si="636"/>
        <v>0.25</v>
      </c>
      <c r="R1206" s="40">
        <v>0.85</v>
      </c>
      <c r="S1206" s="334">
        <f t="shared" si="637"/>
        <v>0.21249999999999999</v>
      </c>
      <c r="T1206" s="31">
        <f>VLOOKUP(A1206,'Ansvar kurs'!$A$1:$C$1010,2,FALSE)</f>
        <v>2193</v>
      </c>
      <c r="U1206" s="31" t="str">
        <f>VLOOKUP(T1206,Orgenheter!$A$1:$C$165,2,FALSE)</f>
        <v xml:space="preserve">TUV </v>
      </c>
      <c r="V1206" s="31" t="str">
        <f>VLOOKUP(T1206,Orgenheter!$A$1:$C$165,3,FALSE)</f>
        <v>Sam</v>
      </c>
      <c r="W1206" s="37" t="str">
        <f>VLOOKUP(D1206,Program!$A$1:$B$34,2,FALSE)</f>
        <v>Studie- och yrkesvägledarprogram</v>
      </c>
      <c r="X1206" s="42">
        <f>VLOOKUP(A1206,kurspris!$A$1:$Q$798,15,FALSE)</f>
        <v>24307.199999999997</v>
      </c>
      <c r="Y1206" s="42">
        <f>VLOOKUP(A1206,kurspris!$A$1:$Q$798,16,FALSE)</f>
        <v>22442.299999999996</v>
      </c>
      <c r="Z1206" s="42">
        <f t="shared" si="638"/>
        <v>10845.788749999998</v>
      </c>
      <c r="AA1206" s="42">
        <f>VLOOKUP(A1206,kurspris!$A$1:$Q$798,17,FALSE)</f>
        <v>5800</v>
      </c>
      <c r="AB1206" s="42">
        <f t="shared" si="639"/>
        <v>1450</v>
      </c>
      <c r="AC1206" s="42">
        <f t="shared" si="640"/>
        <v>12295.788749999998</v>
      </c>
      <c r="AD1206" s="31">
        <f>VLOOKUP($A1206,kurspris!$A$1:$Q$835,3,FALSE)</f>
        <v>0</v>
      </c>
      <c r="AE1206" s="31">
        <f>VLOOKUP($A1206,kurspris!$A$1:$Q$835,4,FALSE)</f>
        <v>0</v>
      </c>
      <c r="AF1206" s="31">
        <f>VLOOKUP($A1206,kurspris!$A$1:$Q$835,5,FALSE)</f>
        <v>0</v>
      </c>
      <c r="AG1206" s="31">
        <f>VLOOKUP($A1206,kurspris!$A$1:$Q$835,6,FALSE)</f>
        <v>0</v>
      </c>
      <c r="AH1206" s="31">
        <f>VLOOKUP($A1206,kurspris!$A$1:$Q$835,7,FALSE)</f>
        <v>0</v>
      </c>
      <c r="AI1206" s="31">
        <f>VLOOKUP($A1206,kurspris!$A$1:$Q$835,8,FALSE)</f>
        <v>0</v>
      </c>
      <c r="AJ1206" s="31">
        <f>VLOOKUP($A1206,kurspris!$A$1:$Q$835,9,FALSE)</f>
        <v>0.7</v>
      </c>
      <c r="AK1206" s="31">
        <f>VLOOKUP($A1206,kurspris!$A$1:$Q$835,10,FALSE)</f>
        <v>0</v>
      </c>
      <c r="AL1206" s="31">
        <f>VLOOKUP($A1206,kurspris!$A$1:$Q$835,11,FALSE)</f>
        <v>0</v>
      </c>
      <c r="AM1206" s="31">
        <f>VLOOKUP($A1206,kurspris!$A$1:$Q$835,12,FALSE)</f>
        <v>0</v>
      </c>
      <c r="AN1206" s="31">
        <f>VLOOKUP($A1206,kurspris!$A$1:$Q$835,13,FALSE)</f>
        <v>0</v>
      </c>
      <c r="AO1206" s="31">
        <f>VLOOKUP($A1206,kurspris!$A$1:$Q$835,14,FALSE)</f>
        <v>0.3</v>
      </c>
      <c r="AP1206" s="39" t="s">
        <v>2204</v>
      </c>
      <c r="AQ1206"/>
      <c r="AR1206" s="31">
        <f t="shared" si="641"/>
        <v>0</v>
      </c>
      <c r="AS1206" s="255">
        <f t="shared" si="642"/>
        <v>0</v>
      </c>
      <c r="AT1206" s="31">
        <f t="shared" si="643"/>
        <v>0</v>
      </c>
      <c r="AU1206" s="255">
        <f t="shared" si="644"/>
        <v>0</v>
      </c>
      <c r="AV1206" s="31">
        <f t="shared" si="645"/>
        <v>0</v>
      </c>
      <c r="AW1206" s="31">
        <f t="shared" si="646"/>
        <v>0</v>
      </c>
      <c r="AX1206" s="31">
        <f t="shared" si="647"/>
        <v>0</v>
      </c>
      <c r="AY1206" s="255">
        <f t="shared" si="648"/>
        <v>0</v>
      </c>
      <c r="AZ1206" s="232">
        <f t="shared" si="649"/>
        <v>0</v>
      </c>
      <c r="BA1206" s="255">
        <f t="shared" si="650"/>
        <v>0</v>
      </c>
      <c r="BB1206" s="31">
        <f t="shared" si="651"/>
        <v>0</v>
      </c>
      <c r="BC1206" s="255">
        <f t="shared" si="652"/>
        <v>0</v>
      </c>
      <c r="BD1206" s="31">
        <f t="shared" si="653"/>
        <v>0.17499999999999999</v>
      </c>
      <c r="BE1206" s="255">
        <f t="shared" si="654"/>
        <v>0.14874999999999999</v>
      </c>
      <c r="BF1206" s="31">
        <f t="shared" si="655"/>
        <v>0</v>
      </c>
      <c r="BG1206" s="255">
        <f t="shared" si="656"/>
        <v>0</v>
      </c>
      <c r="BH1206" s="31">
        <f t="shared" si="657"/>
        <v>0</v>
      </c>
      <c r="BI1206" s="255">
        <f t="shared" si="658"/>
        <v>0</v>
      </c>
      <c r="BJ1206" s="31">
        <f t="shared" si="659"/>
        <v>0</v>
      </c>
      <c r="BK1206" s="31">
        <f t="shared" si="660"/>
        <v>0</v>
      </c>
      <c r="BL1206" s="255">
        <f t="shared" si="661"/>
        <v>0</v>
      </c>
      <c r="BM1206" s="31">
        <f t="shared" si="662"/>
        <v>7.4999999999999997E-2</v>
      </c>
      <c r="BN1206" s="255">
        <f t="shared" si="663"/>
        <v>6.3750000000000001E-2</v>
      </c>
    </row>
    <row r="1207" spans="1:66" x14ac:dyDescent="0.25">
      <c r="A1207" t="s">
        <v>396</v>
      </c>
      <c r="B1207" s="186" t="str">
        <f>VLOOKUP(A1207,kurspris!$A$1:$B$877,2,FALSE)</f>
        <v>Studie- och yrkesvägledningens praktik</v>
      </c>
      <c r="C1207"/>
      <c r="D1207" t="s">
        <v>85</v>
      </c>
      <c r="E1207" t="s">
        <v>1976</v>
      </c>
      <c r="F1207" s="59" t="s">
        <v>1930</v>
      </c>
      <c r="G1207" t="s">
        <v>1979</v>
      </c>
      <c r="H1207" t="s">
        <v>1910</v>
      </c>
      <c r="I1207" t="s">
        <v>628</v>
      </c>
      <c r="J1207"/>
      <c r="K1207"/>
      <c r="L1207">
        <v>100</v>
      </c>
      <c r="M1207">
        <v>15</v>
      </c>
      <c r="N1207"/>
      <c r="O1207"/>
      <c r="P1207" s="31">
        <v>1</v>
      </c>
      <c r="Q1207" s="232">
        <f t="shared" si="636"/>
        <v>0.25</v>
      </c>
      <c r="R1207" s="40">
        <v>0.85</v>
      </c>
      <c r="S1207" s="334">
        <f t="shared" si="637"/>
        <v>0.21249999999999999</v>
      </c>
      <c r="T1207" s="31">
        <f>VLOOKUP(A1207,'Ansvar kurs'!$A$1:$C$1010,2,FALSE)</f>
        <v>2193</v>
      </c>
      <c r="U1207" s="31" t="str">
        <f>VLOOKUP(T1207,Orgenheter!$A$1:$C$165,2,FALSE)</f>
        <v xml:space="preserve">TUV </v>
      </c>
      <c r="V1207" s="31" t="str">
        <f>VLOOKUP(T1207,Orgenheter!$A$1:$C$165,3,FALSE)</f>
        <v>Sam</v>
      </c>
      <c r="W1207" s="37" t="str">
        <f>VLOOKUP(D1207,Program!$A$1:$B$34,2,FALSE)</f>
        <v>Studie- och yrkesvägledarprogram</v>
      </c>
      <c r="X1207" s="42">
        <f>VLOOKUP(A1207,kurspris!$A$1:$Q$798,15,FALSE)</f>
        <v>24307.199999999997</v>
      </c>
      <c r="Y1207" s="42">
        <f>VLOOKUP(A1207,kurspris!$A$1:$Q$798,16,FALSE)</f>
        <v>22442.299999999996</v>
      </c>
      <c r="Z1207" s="42">
        <f t="shared" si="638"/>
        <v>10845.788749999998</v>
      </c>
      <c r="AA1207" s="42">
        <f>VLOOKUP(A1207,kurspris!$A$1:$Q$798,17,FALSE)</f>
        <v>5800</v>
      </c>
      <c r="AB1207" s="42">
        <f t="shared" si="639"/>
        <v>1450</v>
      </c>
      <c r="AC1207" s="42">
        <f t="shared" si="640"/>
        <v>12295.788749999998</v>
      </c>
      <c r="AD1207" s="31">
        <f>VLOOKUP($A1207,kurspris!$A$1:$Q$835,3,FALSE)</f>
        <v>0</v>
      </c>
      <c r="AE1207" s="31">
        <f>VLOOKUP($A1207,kurspris!$A$1:$Q$835,4,FALSE)</f>
        <v>0</v>
      </c>
      <c r="AF1207" s="31">
        <f>VLOOKUP($A1207,kurspris!$A$1:$Q$835,5,FALSE)</f>
        <v>0</v>
      </c>
      <c r="AG1207" s="31">
        <f>VLOOKUP($A1207,kurspris!$A$1:$Q$835,6,FALSE)</f>
        <v>0</v>
      </c>
      <c r="AH1207" s="31">
        <f>VLOOKUP($A1207,kurspris!$A$1:$Q$835,7,FALSE)</f>
        <v>0</v>
      </c>
      <c r="AI1207" s="31">
        <f>VLOOKUP($A1207,kurspris!$A$1:$Q$835,8,FALSE)</f>
        <v>0</v>
      </c>
      <c r="AJ1207" s="31">
        <f>VLOOKUP($A1207,kurspris!$A$1:$Q$835,9,FALSE)</f>
        <v>0.7</v>
      </c>
      <c r="AK1207" s="31">
        <f>VLOOKUP($A1207,kurspris!$A$1:$Q$835,10,FALSE)</f>
        <v>0</v>
      </c>
      <c r="AL1207" s="31">
        <f>VLOOKUP($A1207,kurspris!$A$1:$Q$835,11,FALSE)</f>
        <v>0</v>
      </c>
      <c r="AM1207" s="31">
        <f>VLOOKUP($A1207,kurspris!$A$1:$Q$835,12,FALSE)</f>
        <v>0</v>
      </c>
      <c r="AN1207" s="31">
        <f>VLOOKUP($A1207,kurspris!$A$1:$Q$835,13,FALSE)</f>
        <v>0</v>
      </c>
      <c r="AO1207" s="31">
        <f>VLOOKUP($A1207,kurspris!$A$1:$Q$835,14,FALSE)</f>
        <v>0.3</v>
      </c>
      <c r="AP1207" s="39" t="s">
        <v>2204</v>
      </c>
      <c r="AQ1207"/>
      <c r="AR1207" s="31">
        <f t="shared" si="641"/>
        <v>0</v>
      </c>
      <c r="AS1207" s="255">
        <f t="shared" si="642"/>
        <v>0</v>
      </c>
      <c r="AT1207" s="31">
        <f t="shared" si="643"/>
        <v>0</v>
      </c>
      <c r="AU1207" s="255">
        <f t="shared" si="644"/>
        <v>0</v>
      </c>
      <c r="AV1207" s="31">
        <f t="shared" si="645"/>
        <v>0</v>
      </c>
      <c r="AW1207" s="31">
        <f t="shared" si="646"/>
        <v>0</v>
      </c>
      <c r="AX1207" s="31">
        <f t="shared" si="647"/>
        <v>0</v>
      </c>
      <c r="AY1207" s="255">
        <f t="shared" si="648"/>
        <v>0</v>
      </c>
      <c r="AZ1207" s="232">
        <f t="shared" si="649"/>
        <v>0</v>
      </c>
      <c r="BA1207" s="255">
        <f t="shared" si="650"/>
        <v>0</v>
      </c>
      <c r="BB1207" s="31">
        <f t="shared" si="651"/>
        <v>0</v>
      </c>
      <c r="BC1207" s="255">
        <f t="shared" si="652"/>
        <v>0</v>
      </c>
      <c r="BD1207" s="31">
        <f t="shared" si="653"/>
        <v>0.17499999999999999</v>
      </c>
      <c r="BE1207" s="255">
        <f t="shared" si="654"/>
        <v>0.14874999999999999</v>
      </c>
      <c r="BF1207" s="31">
        <f t="shared" si="655"/>
        <v>0</v>
      </c>
      <c r="BG1207" s="255">
        <f t="shared" si="656"/>
        <v>0</v>
      </c>
      <c r="BH1207" s="31">
        <f t="shared" si="657"/>
        <v>0</v>
      </c>
      <c r="BI1207" s="255">
        <f t="shared" si="658"/>
        <v>0</v>
      </c>
      <c r="BJ1207" s="31">
        <f t="shared" si="659"/>
        <v>0</v>
      </c>
      <c r="BK1207" s="31">
        <f t="shared" si="660"/>
        <v>0</v>
      </c>
      <c r="BL1207" s="255">
        <f t="shared" si="661"/>
        <v>0</v>
      </c>
      <c r="BM1207" s="31">
        <f t="shared" si="662"/>
        <v>7.4999999999999997E-2</v>
      </c>
      <c r="BN1207" s="255">
        <f t="shared" si="663"/>
        <v>6.3750000000000001E-2</v>
      </c>
    </row>
    <row r="1208" spans="1:66" x14ac:dyDescent="0.25">
      <c r="A1208" t="s">
        <v>396</v>
      </c>
      <c r="B1208" s="186" t="str">
        <f>VLOOKUP(A1208,kurspris!$A$1:$B$877,2,FALSE)</f>
        <v>Studie- och yrkesvägledningens praktik</v>
      </c>
      <c r="C1208"/>
      <c r="D1208" t="s">
        <v>85</v>
      </c>
      <c r="E1208" t="s">
        <v>1976</v>
      </c>
      <c r="F1208" s="59" t="s">
        <v>1930</v>
      </c>
      <c r="G1208" t="s">
        <v>1979</v>
      </c>
      <c r="H1208" t="s">
        <v>1910</v>
      </c>
      <c r="I1208" t="s">
        <v>628</v>
      </c>
      <c r="J1208"/>
      <c r="K1208"/>
      <c r="L1208">
        <v>100</v>
      </c>
      <c r="M1208">
        <v>15</v>
      </c>
      <c r="N1208"/>
      <c r="O1208"/>
      <c r="P1208" s="31">
        <v>1</v>
      </c>
      <c r="Q1208" s="232">
        <f t="shared" si="636"/>
        <v>0.25</v>
      </c>
      <c r="R1208" s="40">
        <v>0.85</v>
      </c>
      <c r="S1208" s="334">
        <f t="shared" si="637"/>
        <v>0.21249999999999999</v>
      </c>
      <c r="T1208" s="31">
        <f>VLOOKUP(A1208,'Ansvar kurs'!$A$1:$C$1010,2,FALSE)</f>
        <v>2193</v>
      </c>
      <c r="U1208" s="31" t="str">
        <f>VLOOKUP(T1208,Orgenheter!$A$1:$C$165,2,FALSE)</f>
        <v xml:space="preserve">TUV </v>
      </c>
      <c r="V1208" s="31" t="str">
        <f>VLOOKUP(T1208,Orgenheter!$A$1:$C$165,3,FALSE)</f>
        <v>Sam</v>
      </c>
      <c r="W1208" s="37" t="str">
        <f>VLOOKUP(D1208,Program!$A$1:$B$34,2,FALSE)</f>
        <v>Studie- och yrkesvägledarprogram</v>
      </c>
      <c r="X1208" s="42">
        <f>VLOOKUP(A1208,kurspris!$A$1:$Q$798,15,FALSE)</f>
        <v>24307.199999999997</v>
      </c>
      <c r="Y1208" s="42">
        <f>VLOOKUP(A1208,kurspris!$A$1:$Q$798,16,FALSE)</f>
        <v>22442.299999999996</v>
      </c>
      <c r="Z1208" s="42">
        <f t="shared" si="638"/>
        <v>10845.788749999998</v>
      </c>
      <c r="AA1208" s="42">
        <f>VLOOKUP(A1208,kurspris!$A$1:$Q$798,17,FALSE)</f>
        <v>5800</v>
      </c>
      <c r="AB1208" s="42">
        <f t="shared" si="639"/>
        <v>1450</v>
      </c>
      <c r="AC1208" s="42">
        <f t="shared" si="640"/>
        <v>12295.788749999998</v>
      </c>
      <c r="AD1208" s="31">
        <f>VLOOKUP($A1208,kurspris!$A$1:$Q$835,3,FALSE)</f>
        <v>0</v>
      </c>
      <c r="AE1208" s="31">
        <f>VLOOKUP($A1208,kurspris!$A$1:$Q$835,4,FALSE)</f>
        <v>0</v>
      </c>
      <c r="AF1208" s="31">
        <f>VLOOKUP($A1208,kurspris!$A$1:$Q$835,5,FALSE)</f>
        <v>0</v>
      </c>
      <c r="AG1208" s="31">
        <f>VLOOKUP($A1208,kurspris!$A$1:$Q$835,6,FALSE)</f>
        <v>0</v>
      </c>
      <c r="AH1208" s="31">
        <f>VLOOKUP($A1208,kurspris!$A$1:$Q$835,7,FALSE)</f>
        <v>0</v>
      </c>
      <c r="AI1208" s="31">
        <f>VLOOKUP($A1208,kurspris!$A$1:$Q$835,8,FALSE)</f>
        <v>0</v>
      </c>
      <c r="AJ1208" s="31">
        <f>VLOOKUP($A1208,kurspris!$A$1:$Q$835,9,FALSE)</f>
        <v>0.7</v>
      </c>
      <c r="AK1208" s="31">
        <f>VLOOKUP($A1208,kurspris!$A$1:$Q$835,10,FALSE)</f>
        <v>0</v>
      </c>
      <c r="AL1208" s="31">
        <f>VLOOKUP($A1208,kurspris!$A$1:$Q$835,11,FALSE)</f>
        <v>0</v>
      </c>
      <c r="AM1208" s="31">
        <f>VLOOKUP($A1208,kurspris!$A$1:$Q$835,12,FALSE)</f>
        <v>0</v>
      </c>
      <c r="AN1208" s="31">
        <f>VLOOKUP($A1208,kurspris!$A$1:$Q$835,13,FALSE)</f>
        <v>0</v>
      </c>
      <c r="AO1208" s="31">
        <f>VLOOKUP($A1208,kurspris!$A$1:$Q$835,14,FALSE)</f>
        <v>0.3</v>
      </c>
      <c r="AP1208" s="39" t="s">
        <v>2204</v>
      </c>
      <c r="AQ1208"/>
      <c r="AR1208" s="31">
        <f t="shared" si="641"/>
        <v>0</v>
      </c>
      <c r="AS1208" s="255">
        <f t="shared" si="642"/>
        <v>0</v>
      </c>
      <c r="AT1208" s="31">
        <f t="shared" si="643"/>
        <v>0</v>
      </c>
      <c r="AU1208" s="255">
        <f t="shared" si="644"/>
        <v>0</v>
      </c>
      <c r="AV1208" s="31">
        <f t="shared" si="645"/>
        <v>0</v>
      </c>
      <c r="AW1208" s="31">
        <f t="shared" si="646"/>
        <v>0</v>
      </c>
      <c r="AX1208" s="31">
        <f t="shared" si="647"/>
        <v>0</v>
      </c>
      <c r="AY1208" s="255">
        <f t="shared" si="648"/>
        <v>0</v>
      </c>
      <c r="AZ1208" s="232">
        <f t="shared" si="649"/>
        <v>0</v>
      </c>
      <c r="BA1208" s="255">
        <f t="shared" si="650"/>
        <v>0</v>
      </c>
      <c r="BB1208" s="31">
        <f t="shared" si="651"/>
        <v>0</v>
      </c>
      <c r="BC1208" s="255">
        <f t="shared" si="652"/>
        <v>0</v>
      </c>
      <c r="BD1208" s="31">
        <f t="shared" si="653"/>
        <v>0.17499999999999999</v>
      </c>
      <c r="BE1208" s="255">
        <f t="shared" si="654"/>
        <v>0.14874999999999999</v>
      </c>
      <c r="BF1208" s="31">
        <f t="shared" si="655"/>
        <v>0</v>
      </c>
      <c r="BG1208" s="255">
        <f t="shared" si="656"/>
        <v>0</v>
      </c>
      <c r="BH1208" s="31">
        <f t="shared" si="657"/>
        <v>0</v>
      </c>
      <c r="BI1208" s="255">
        <f t="shared" si="658"/>
        <v>0</v>
      </c>
      <c r="BJ1208" s="31">
        <f t="shared" si="659"/>
        <v>0</v>
      </c>
      <c r="BK1208" s="31">
        <f t="shared" si="660"/>
        <v>0</v>
      </c>
      <c r="BL1208" s="255">
        <f t="shared" si="661"/>
        <v>0</v>
      </c>
      <c r="BM1208" s="31">
        <f t="shared" si="662"/>
        <v>7.4999999999999997E-2</v>
      </c>
      <c r="BN1208" s="255">
        <f t="shared" si="663"/>
        <v>6.3750000000000001E-2</v>
      </c>
    </row>
    <row r="1209" spans="1:66" x14ac:dyDescent="0.25">
      <c r="A1209" t="s">
        <v>396</v>
      </c>
      <c r="B1209" s="186" t="str">
        <f>VLOOKUP(A1209,kurspris!$A$1:$B$877,2,FALSE)</f>
        <v>Studie- och yrkesvägledningens praktik</v>
      </c>
      <c r="C1209"/>
      <c r="D1209" t="s">
        <v>85</v>
      </c>
      <c r="E1209" t="s">
        <v>1976</v>
      </c>
      <c r="F1209" s="59" t="s">
        <v>1930</v>
      </c>
      <c r="G1209" t="s">
        <v>1979</v>
      </c>
      <c r="H1209" t="s">
        <v>1910</v>
      </c>
      <c r="I1209" t="s">
        <v>1536</v>
      </c>
      <c r="J1209"/>
      <c r="K1209"/>
      <c r="L1209">
        <v>100</v>
      </c>
      <c r="M1209">
        <v>15</v>
      </c>
      <c r="N1209"/>
      <c r="O1209"/>
      <c r="P1209" s="31">
        <v>0</v>
      </c>
      <c r="Q1209" s="232">
        <f t="shared" si="636"/>
        <v>0</v>
      </c>
      <c r="R1209" s="40">
        <v>0.85</v>
      </c>
      <c r="S1209" s="334">
        <f t="shared" si="637"/>
        <v>0</v>
      </c>
      <c r="T1209" s="31">
        <f>VLOOKUP(A1209,'Ansvar kurs'!$A$1:$C$1010,2,FALSE)</f>
        <v>2193</v>
      </c>
      <c r="U1209" s="31" t="str">
        <f>VLOOKUP(T1209,Orgenheter!$A$1:$C$165,2,FALSE)</f>
        <v xml:space="preserve">TUV </v>
      </c>
      <c r="V1209" s="31" t="str">
        <f>VLOOKUP(T1209,Orgenheter!$A$1:$C$165,3,FALSE)</f>
        <v>Sam</v>
      </c>
      <c r="W1209" s="37" t="str">
        <f>VLOOKUP(D1209,Program!$A$1:$B$34,2,FALSE)</f>
        <v>Studie- och yrkesvägledarprogram</v>
      </c>
      <c r="X1209" s="42">
        <f>VLOOKUP(A1209,kurspris!$A$1:$Q$798,15,FALSE)</f>
        <v>24307.199999999997</v>
      </c>
      <c r="Y1209" s="42">
        <f>VLOOKUP(A1209,kurspris!$A$1:$Q$798,16,FALSE)</f>
        <v>22442.299999999996</v>
      </c>
      <c r="Z1209" s="42">
        <f t="shared" si="638"/>
        <v>0</v>
      </c>
      <c r="AA1209" s="42">
        <f>VLOOKUP(A1209,kurspris!$A$1:$Q$798,17,FALSE)</f>
        <v>5800</v>
      </c>
      <c r="AB1209" s="42">
        <f t="shared" si="639"/>
        <v>0</v>
      </c>
      <c r="AC1209" s="42">
        <f t="shared" si="640"/>
        <v>0</v>
      </c>
      <c r="AD1209" s="31">
        <f>VLOOKUP($A1209,kurspris!$A$1:$Q$835,3,FALSE)</f>
        <v>0</v>
      </c>
      <c r="AE1209" s="31">
        <f>VLOOKUP($A1209,kurspris!$A$1:$Q$835,4,FALSE)</f>
        <v>0</v>
      </c>
      <c r="AF1209" s="31">
        <f>VLOOKUP($A1209,kurspris!$A$1:$Q$835,5,FALSE)</f>
        <v>0</v>
      </c>
      <c r="AG1209" s="31">
        <f>VLOOKUP($A1209,kurspris!$A$1:$Q$835,6,FALSE)</f>
        <v>0</v>
      </c>
      <c r="AH1209" s="31">
        <f>VLOOKUP($A1209,kurspris!$A$1:$Q$835,7,FALSE)</f>
        <v>0</v>
      </c>
      <c r="AI1209" s="31">
        <f>VLOOKUP($A1209,kurspris!$A$1:$Q$835,8,FALSE)</f>
        <v>0</v>
      </c>
      <c r="AJ1209" s="31">
        <f>VLOOKUP($A1209,kurspris!$A$1:$Q$835,9,FALSE)</f>
        <v>0.7</v>
      </c>
      <c r="AK1209" s="31">
        <f>VLOOKUP($A1209,kurspris!$A$1:$Q$835,10,FALSE)</f>
        <v>0</v>
      </c>
      <c r="AL1209" s="31">
        <f>VLOOKUP($A1209,kurspris!$A$1:$Q$835,11,FALSE)</f>
        <v>0</v>
      </c>
      <c r="AM1209" s="31">
        <f>VLOOKUP($A1209,kurspris!$A$1:$Q$835,12,FALSE)</f>
        <v>0</v>
      </c>
      <c r="AN1209" s="31">
        <f>VLOOKUP($A1209,kurspris!$A$1:$Q$835,13,FALSE)</f>
        <v>0</v>
      </c>
      <c r="AO1209" s="31">
        <f>VLOOKUP($A1209,kurspris!$A$1:$Q$835,14,FALSE)</f>
        <v>0.3</v>
      </c>
      <c r="AP1209" s="39" t="s">
        <v>2204</v>
      </c>
      <c r="AQ1209"/>
      <c r="AR1209" s="31">
        <f t="shared" si="641"/>
        <v>0</v>
      </c>
      <c r="AS1209" s="255">
        <f t="shared" si="642"/>
        <v>0</v>
      </c>
      <c r="AT1209" s="31">
        <f t="shared" si="643"/>
        <v>0</v>
      </c>
      <c r="AU1209" s="255">
        <f t="shared" si="644"/>
        <v>0</v>
      </c>
      <c r="AV1209" s="31">
        <f t="shared" si="645"/>
        <v>0</v>
      </c>
      <c r="AW1209" s="31">
        <f t="shared" si="646"/>
        <v>0</v>
      </c>
      <c r="AX1209" s="31">
        <f t="shared" si="647"/>
        <v>0</v>
      </c>
      <c r="AY1209" s="255">
        <f t="shared" si="648"/>
        <v>0</v>
      </c>
      <c r="AZ1209" s="232">
        <f t="shared" si="649"/>
        <v>0</v>
      </c>
      <c r="BA1209" s="255">
        <f t="shared" si="650"/>
        <v>0</v>
      </c>
      <c r="BB1209" s="31">
        <f t="shared" si="651"/>
        <v>0</v>
      </c>
      <c r="BC1209" s="255">
        <f t="shared" si="652"/>
        <v>0</v>
      </c>
      <c r="BD1209" s="31">
        <f t="shared" si="653"/>
        <v>0</v>
      </c>
      <c r="BE1209" s="255">
        <f t="shared" si="654"/>
        <v>0</v>
      </c>
      <c r="BF1209" s="31">
        <f t="shared" si="655"/>
        <v>0</v>
      </c>
      <c r="BG1209" s="255">
        <f t="shared" si="656"/>
        <v>0</v>
      </c>
      <c r="BH1209" s="31">
        <f t="shared" si="657"/>
        <v>0</v>
      </c>
      <c r="BI1209" s="255">
        <f t="shared" si="658"/>
        <v>0</v>
      </c>
      <c r="BJ1209" s="31">
        <f t="shared" si="659"/>
        <v>0</v>
      </c>
      <c r="BK1209" s="31">
        <f t="shared" si="660"/>
        <v>0</v>
      </c>
      <c r="BL1209" s="255">
        <f t="shared" si="661"/>
        <v>0</v>
      </c>
      <c r="BM1209" s="31">
        <f t="shared" si="662"/>
        <v>0</v>
      </c>
      <c r="BN1209" s="255">
        <f t="shared" si="663"/>
        <v>0</v>
      </c>
    </row>
    <row r="1210" spans="1:66" x14ac:dyDescent="0.25">
      <c r="A1210" t="s">
        <v>396</v>
      </c>
      <c r="B1210" s="186" t="str">
        <f>VLOOKUP(A1210,kurspris!$A$1:$B$877,2,FALSE)</f>
        <v>Studie- och yrkesvägledningens praktik</v>
      </c>
      <c r="C1210"/>
      <c r="D1210" t="s">
        <v>85</v>
      </c>
      <c r="E1210" t="s">
        <v>1973</v>
      </c>
      <c r="F1210" s="59" t="s">
        <v>1930</v>
      </c>
      <c r="G1210" t="s">
        <v>1979</v>
      </c>
      <c r="H1210" t="s">
        <v>1910</v>
      </c>
      <c r="I1210" t="s">
        <v>628</v>
      </c>
      <c r="J1210" t="s">
        <v>1537</v>
      </c>
      <c r="K1210"/>
      <c r="L1210">
        <v>100</v>
      </c>
      <c r="M1210">
        <v>15</v>
      </c>
      <c r="N1210"/>
      <c r="O1210"/>
      <c r="P1210" s="31">
        <v>21</v>
      </c>
      <c r="Q1210" s="232">
        <f t="shared" si="636"/>
        <v>5.25</v>
      </c>
      <c r="R1210" s="40">
        <v>0.85</v>
      </c>
      <c r="S1210" s="334">
        <f t="shared" si="637"/>
        <v>4.4624999999999995</v>
      </c>
      <c r="T1210" s="31">
        <f>VLOOKUP(A1210,'Ansvar kurs'!$A$1:$C$1010,2,FALSE)</f>
        <v>2193</v>
      </c>
      <c r="U1210" s="31" t="str">
        <f>VLOOKUP(T1210,Orgenheter!$A$1:$C$165,2,FALSE)</f>
        <v xml:space="preserve">TUV </v>
      </c>
      <c r="V1210" s="31" t="str">
        <f>VLOOKUP(T1210,Orgenheter!$A$1:$C$165,3,FALSE)</f>
        <v>Sam</v>
      </c>
      <c r="W1210" s="37" t="str">
        <f>VLOOKUP(D1210,Program!$A$1:$B$34,2,FALSE)</f>
        <v>Studie- och yrkesvägledarprogram</v>
      </c>
      <c r="X1210" s="42">
        <f>VLOOKUP(A1210,kurspris!$A$1:$Q$798,15,FALSE)</f>
        <v>24307.199999999997</v>
      </c>
      <c r="Y1210" s="42">
        <f>VLOOKUP(A1210,kurspris!$A$1:$Q$798,16,FALSE)</f>
        <v>22442.299999999996</v>
      </c>
      <c r="Z1210" s="42">
        <f t="shared" si="638"/>
        <v>227761.56374999997</v>
      </c>
      <c r="AA1210" s="42">
        <f>VLOOKUP(A1210,kurspris!$A$1:$Q$798,17,FALSE)</f>
        <v>5800</v>
      </c>
      <c r="AB1210" s="42">
        <f t="shared" si="639"/>
        <v>30450</v>
      </c>
      <c r="AC1210" s="42">
        <f t="shared" si="640"/>
        <v>258211.56374999997</v>
      </c>
      <c r="AD1210" s="31">
        <f>VLOOKUP($A1210,kurspris!$A$1:$Q$835,3,FALSE)</f>
        <v>0</v>
      </c>
      <c r="AE1210" s="31">
        <f>VLOOKUP($A1210,kurspris!$A$1:$Q$835,4,FALSE)</f>
        <v>0</v>
      </c>
      <c r="AF1210" s="31">
        <f>VLOOKUP($A1210,kurspris!$A$1:$Q$835,5,FALSE)</f>
        <v>0</v>
      </c>
      <c r="AG1210" s="31">
        <f>VLOOKUP($A1210,kurspris!$A$1:$Q$835,6,FALSE)</f>
        <v>0</v>
      </c>
      <c r="AH1210" s="31">
        <f>VLOOKUP($A1210,kurspris!$A$1:$Q$835,7,FALSE)</f>
        <v>0</v>
      </c>
      <c r="AI1210" s="31">
        <f>VLOOKUP($A1210,kurspris!$A$1:$Q$835,8,FALSE)</f>
        <v>0</v>
      </c>
      <c r="AJ1210" s="31">
        <f>VLOOKUP($A1210,kurspris!$A$1:$Q$835,9,FALSE)</f>
        <v>0.7</v>
      </c>
      <c r="AK1210" s="31">
        <f>VLOOKUP($A1210,kurspris!$A$1:$Q$835,10,FALSE)</f>
        <v>0</v>
      </c>
      <c r="AL1210" s="31">
        <f>VLOOKUP($A1210,kurspris!$A$1:$Q$835,11,FALSE)</f>
        <v>0</v>
      </c>
      <c r="AM1210" s="31">
        <f>VLOOKUP($A1210,kurspris!$A$1:$Q$835,12,FALSE)</f>
        <v>0</v>
      </c>
      <c r="AN1210" s="31">
        <f>VLOOKUP($A1210,kurspris!$A$1:$Q$835,13,FALSE)</f>
        <v>0</v>
      </c>
      <c r="AO1210" s="31">
        <f>VLOOKUP($A1210,kurspris!$A$1:$Q$835,14,FALSE)</f>
        <v>0.3</v>
      </c>
      <c r="AP1210" s="39" t="s">
        <v>2204</v>
      </c>
      <c r="AQ1210"/>
      <c r="AR1210" s="31">
        <f t="shared" si="641"/>
        <v>0</v>
      </c>
      <c r="AS1210" s="255">
        <f t="shared" si="642"/>
        <v>0</v>
      </c>
      <c r="AT1210" s="31">
        <f t="shared" si="643"/>
        <v>0</v>
      </c>
      <c r="AU1210" s="255">
        <f t="shared" si="644"/>
        <v>0</v>
      </c>
      <c r="AV1210" s="31">
        <f t="shared" si="645"/>
        <v>0</v>
      </c>
      <c r="AW1210" s="31">
        <f t="shared" si="646"/>
        <v>0</v>
      </c>
      <c r="AX1210" s="31">
        <f t="shared" si="647"/>
        <v>0</v>
      </c>
      <c r="AY1210" s="255">
        <f t="shared" si="648"/>
        <v>0</v>
      </c>
      <c r="AZ1210" s="232">
        <f t="shared" si="649"/>
        <v>0</v>
      </c>
      <c r="BA1210" s="255">
        <f t="shared" si="650"/>
        <v>0</v>
      </c>
      <c r="BB1210" s="31">
        <f t="shared" si="651"/>
        <v>0</v>
      </c>
      <c r="BC1210" s="255">
        <f t="shared" si="652"/>
        <v>0</v>
      </c>
      <c r="BD1210" s="31">
        <f t="shared" si="653"/>
        <v>3.6749999999999998</v>
      </c>
      <c r="BE1210" s="255">
        <f t="shared" si="654"/>
        <v>3.1237499999999994</v>
      </c>
      <c r="BF1210" s="31">
        <f t="shared" si="655"/>
        <v>0</v>
      </c>
      <c r="BG1210" s="255">
        <f t="shared" si="656"/>
        <v>0</v>
      </c>
      <c r="BH1210" s="31">
        <f t="shared" si="657"/>
        <v>0</v>
      </c>
      <c r="BI1210" s="255">
        <f t="shared" si="658"/>
        <v>0</v>
      </c>
      <c r="BJ1210" s="31">
        <f t="shared" si="659"/>
        <v>0</v>
      </c>
      <c r="BK1210" s="31">
        <f t="shared" si="660"/>
        <v>0</v>
      </c>
      <c r="BL1210" s="255">
        <f t="shared" si="661"/>
        <v>0</v>
      </c>
      <c r="BM1210" s="31">
        <f t="shared" si="662"/>
        <v>1.575</v>
      </c>
      <c r="BN1210" s="255">
        <f t="shared" si="663"/>
        <v>1.3387499999999999</v>
      </c>
    </row>
    <row r="1211" spans="1:66" x14ac:dyDescent="0.25">
      <c r="A1211" t="s">
        <v>396</v>
      </c>
      <c r="B1211" s="186" t="str">
        <f>VLOOKUP(A1211,kurspris!$A$1:$B$877,2,FALSE)</f>
        <v>Studie- och yrkesvägledningens praktik</v>
      </c>
      <c r="C1211"/>
      <c r="D1211" t="s">
        <v>85</v>
      </c>
      <c r="E1211" t="s">
        <v>1973</v>
      </c>
      <c r="F1211" s="59" t="s">
        <v>1930</v>
      </c>
      <c r="G1211" t="s">
        <v>1979</v>
      </c>
      <c r="H1211" t="s">
        <v>1910</v>
      </c>
      <c r="I1211" t="s">
        <v>628</v>
      </c>
      <c r="J1211"/>
      <c r="K1211"/>
      <c r="L1211">
        <v>100</v>
      </c>
      <c r="M1211">
        <v>15</v>
      </c>
      <c r="N1211"/>
      <c r="O1211"/>
      <c r="P1211" s="31">
        <v>19</v>
      </c>
      <c r="Q1211" s="232">
        <f t="shared" si="636"/>
        <v>4.75</v>
      </c>
      <c r="R1211" s="40">
        <v>0.85</v>
      </c>
      <c r="S1211" s="334">
        <f t="shared" si="637"/>
        <v>4.0374999999999996</v>
      </c>
      <c r="T1211" s="31">
        <f>VLOOKUP(A1211,'Ansvar kurs'!$A$1:$C$1010,2,FALSE)</f>
        <v>2193</v>
      </c>
      <c r="U1211" s="31" t="str">
        <f>VLOOKUP(T1211,Orgenheter!$A$1:$C$165,2,FALSE)</f>
        <v xml:space="preserve">TUV </v>
      </c>
      <c r="V1211" s="31" t="str">
        <f>VLOOKUP(T1211,Orgenheter!$A$1:$C$165,3,FALSE)</f>
        <v>Sam</v>
      </c>
      <c r="W1211" s="37" t="str">
        <f>VLOOKUP(D1211,Program!$A$1:$B$34,2,FALSE)</f>
        <v>Studie- och yrkesvägledarprogram</v>
      </c>
      <c r="X1211" s="42">
        <f>VLOOKUP(A1211,kurspris!$A$1:$Q$798,15,FALSE)</f>
        <v>24307.199999999997</v>
      </c>
      <c r="Y1211" s="42">
        <f>VLOOKUP(A1211,kurspris!$A$1:$Q$798,16,FALSE)</f>
        <v>22442.299999999996</v>
      </c>
      <c r="Z1211" s="42">
        <f t="shared" si="638"/>
        <v>206069.98624999996</v>
      </c>
      <c r="AA1211" s="42">
        <f>VLOOKUP(A1211,kurspris!$A$1:$Q$798,17,FALSE)</f>
        <v>5800</v>
      </c>
      <c r="AB1211" s="42">
        <f t="shared" si="639"/>
        <v>27550</v>
      </c>
      <c r="AC1211" s="42">
        <f t="shared" si="640"/>
        <v>233619.98624999996</v>
      </c>
      <c r="AD1211" s="31">
        <f>VLOOKUP($A1211,kurspris!$A$1:$Q$835,3,FALSE)</f>
        <v>0</v>
      </c>
      <c r="AE1211" s="31">
        <f>VLOOKUP($A1211,kurspris!$A$1:$Q$835,4,FALSE)</f>
        <v>0</v>
      </c>
      <c r="AF1211" s="31">
        <f>VLOOKUP($A1211,kurspris!$A$1:$Q$835,5,FALSE)</f>
        <v>0</v>
      </c>
      <c r="AG1211" s="31">
        <f>VLOOKUP($A1211,kurspris!$A$1:$Q$835,6,FALSE)</f>
        <v>0</v>
      </c>
      <c r="AH1211" s="31">
        <f>VLOOKUP($A1211,kurspris!$A$1:$Q$835,7,FALSE)</f>
        <v>0</v>
      </c>
      <c r="AI1211" s="31">
        <f>VLOOKUP($A1211,kurspris!$A$1:$Q$835,8,FALSE)</f>
        <v>0</v>
      </c>
      <c r="AJ1211" s="31">
        <f>VLOOKUP($A1211,kurspris!$A$1:$Q$835,9,FALSE)</f>
        <v>0.7</v>
      </c>
      <c r="AK1211" s="31">
        <f>VLOOKUP($A1211,kurspris!$A$1:$Q$835,10,FALSE)</f>
        <v>0</v>
      </c>
      <c r="AL1211" s="31">
        <f>VLOOKUP($A1211,kurspris!$A$1:$Q$835,11,FALSE)</f>
        <v>0</v>
      </c>
      <c r="AM1211" s="31">
        <f>VLOOKUP($A1211,kurspris!$A$1:$Q$835,12,FALSE)</f>
        <v>0</v>
      </c>
      <c r="AN1211" s="31">
        <f>VLOOKUP($A1211,kurspris!$A$1:$Q$835,13,FALSE)</f>
        <v>0</v>
      </c>
      <c r="AO1211" s="31">
        <f>VLOOKUP($A1211,kurspris!$A$1:$Q$835,14,FALSE)</f>
        <v>0.3</v>
      </c>
      <c r="AP1211" s="39" t="s">
        <v>2204</v>
      </c>
      <c r="AQ1211"/>
      <c r="AR1211" s="31">
        <f t="shared" si="641"/>
        <v>0</v>
      </c>
      <c r="AS1211" s="255">
        <f t="shared" si="642"/>
        <v>0</v>
      </c>
      <c r="AT1211" s="31">
        <f t="shared" si="643"/>
        <v>0</v>
      </c>
      <c r="AU1211" s="255">
        <f t="shared" si="644"/>
        <v>0</v>
      </c>
      <c r="AV1211" s="31">
        <f t="shared" si="645"/>
        <v>0</v>
      </c>
      <c r="AW1211" s="31">
        <f t="shared" si="646"/>
        <v>0</v>
      </c>
      <c r="AX1211" s="31">
        <f t="shared" si="647"/>
        <v>0</v>
      </c>
      <c r="AY1211" s="255">
        <f t="shared" si="648"/>
        <v>0</v>
      </c>
      <c r="AZ1211" s="232">
        <f t="shared" si="649"/>
        <v>0</v>
      </c>
      <c r="BA1211" s="255">
        <f t="shared" si="650"/>
        <v>0</v>
      </c>
      <c r="BB1211" s="31">
        <f t="shared" si="651"/>
        <v>0</v>
      </c>
      <c r="BC1211" s="255">
        <f t="shared" si="652"/>
        <v>0</v>
      </c>
      <c r="BD1211" s="31">
        <f t="shared" si="653"/>
        <v>3.3249999999999997</v>
      </c>
      <c r="BE1211" s="255">
        <f t="shared" si="654"/>
        <v>2.8262499999999995</v>
      </c>
      <c r="BF1211" s="31">
        <f t="shared" si="655"/>
        <v>0</v>
      </c>
      <c r="BG1211" s="255">
        <f t="shared" si="656"/>
        <v>0</v>
      </c>
      <c r="BH1211" s="31">
        <f t="shared" si="657"/>
        <v>0</v>
      </c>
      <c r="BI1211" s="255">
        <f t="shared" si="658"/>
        <v>0</v>
      </c>
      <c r="BJ1211" s="31">
        <f t="shared" si="659"/>
        <v>0</v>
      </c>
      <c r="BK1211" s="31">
        <f t="shared" si="660"/>
        <v>0</v>
      </c>
      <c r="BL1211" s="255">
        <f t="shared" si="661"/>
        <v>0</v>
      </c>
      <c r="BM1211" s="31">
        <f t="shared" si="662"/>
        <v>1.425</v>
      </c>
      <c r="BN1211" s="255">
        <f t="shared" si="663"/>
        <v>1.2112499999999999</v>
      </c>
    </row>
    <row r="1212" spans="1:66" x14ac:dyDescent="0.25">
      <c r="A1212" t="s">
        <v>396</v>
      </c>
      <c r="B1212" s="186" t="str">
        <f>VLOOKUP(A1212,kurspris!$A$1:$B$877,2,FALSE)</f>
        <v>Studie- och yrkesvägledningens praktik</v>
      </c>
      <c r="C1212"/>
      <c r="D1212" t="s">
        <v>85</v>
      </c>
      <c r="E1212" t="s">
        <v>1973</v>
      </c>
      <c r="F1212" s="59" t="s">
        <v>1930</v>
      </c>
      <c r="G1212" t="s">
        <v>1979</v>
      </c>
      <c r="H1212" t="s">
        <v>1910</v>
      </c>
      <c r="I1212" t="s">
        <v>628</v>
      </c>
      <c r="J1212"/>
      <c r="K1212"/>
      <c r="L1212">
        <v>100</v>
      </c>
      <c r="M1212">
        <v>15</v>
      </c>
      <c r="N1212"/>
      <c r="O1212"/>
      <c r="P1212" s="31">
        <v>1</v>
      </c>
      <c r="Q1212" s="232">
        <f t="shared" si="636"/>
        <v>0.25</v>
      </c>
      <c r="R1212" s="40">
        <v>0.85</v>
      </c>
      <c r="S1212" s="334">
        <f t="shared" si="637"/>
        <v>0.21249999999999999</v>
      </c>
      <c r="T1212" s="31">
        <f>VLOOKUP(A1212,'Ansvar kurs'!$A$1:$C$1010,2,FALSE)</f>
        <v>2193</v>
      </c>
      <c r="U1212" s="31" t="str">
        <f>VLOOKUP(T1212,Orgenheter!$A$1:$C$165,2,FALSE)</f>
        <v xml:space="preserve">TUV </v>
      </c>
      <c r="V1212" s="31" t="str">
        <f>VLOOKUP(T1212,Orgenheter!$A$1:$C$165,3,FALSE)</f>
        <v>Sam</v>
      </c>
      <c r="W1212" s="37" t="str">
        <f>VLOOKUP(D1212,Program!$A$1:$B$34,2,FALSE)</f>
        <v>Studie- och yrkesvägledarprogram</v>
      </c>
      <c r="X1212" s="42">
        <f>VLOOKUP(A1212,kurspris!$A$1:$Q$798,15,FALSE)</f>
        <v>24307.199999999997</v>
      </c>
      <c r="Y1212" s="42">
        <f>VLOOKUP(A1212,kurspris!$A$1:$Q$798,16,FALSE)</f>
        <v>22442.299999999996</v>
      </c>
      <c r="Z1212" s="42">
        <f t="shared" si="638"/>
        <v>10845.788749999998</v>
      </c>
      <c r="AA1212" s="42">
        <f>VLOOKUP(A1212,kurspris!$A$1:$Q$798,17,FALSE)</f>
        <v>5800</v>
      </c>
      <c r="AB1212" s="42">
        <f t="shared" si="639"/>
        <v>1450</v>
      </c>
      <c r="AC1212" s="42">
        <f t="shared" si="640"/>
        <v>12295.788749999998</v>
      </c>
      <c r="AD1212" s="31">
        <f>VLOOKUP($A1212,kurspris!$A$1:$Q$835,3,FALSE)</f>
        <v>0</v>
      </c>
      <c r="AE1212" s="31">
        <f>VLOOKUP($A1212,kurspris!$A$1:$Q$835,4,FALSE)</f>
        <v>0</v>
      </c>
      <c r="AF1212" s="31">
        <f>VLOOKUP($A1212,kurspris!$A$1:$Q$835,5,FALSE)</f>
        <v>0</v>
      </c>
      <c r="AG1212" s="31">
        <f>VLOOKUP($A1212,kurspris!$A$1:$Q$835,6,FALSE)</f>
        <v>0</v>
      </c>
      <c r="AH1212" s="31">
        <f>VLOOKUP($A1212,kurspris!$A$1:$Q$835,7,FALSE)</f>
        <v>0</v>
      </c>
      <c r="AI1212" s="31">
        <f>VLOOKUP($A1212,kurspris!$A$1:$Q$835,8,FALSE)</f>
        <v>0</v>
      </c>
      <c r="AJ1212" s="31">
        <f>VLOOKUP($A1212,kurspris!$A$1:$Q$835,9,FALSE)</f>
        <v>0.7</v>
      </c>
      <c r="AK1212" s="31">
        <f>VLOOKUP($A1212,kurspris!$A$1:$Q$835,10,FALSE)</f>
        <v>0</v>
      </c>
      <c r="AL1212" s="31">
        <f>VLOOKUP($A1212,kurspris!$A$1:$Q$835,11,FALSE)</f>
        <v>0</v>
      </c>
      <c r="AM1212" s="31">
        <f>VLOOKUP($A1212,kurspris!$A$1:$Q$835,12,FALSE)</f>
        <v>0</v>
      </c>
      <c r="AN1212" s="31">
        <f>VLOOKUP($A1212,kurspris!$A$1:$Q$835,13,FALSE)</f>
        <v>0</v>
      </c>
      <c r="AO1212" s="31">
        <f>VLOOKUP($A1212,kurspris!$A$1:$Q$835,14,FALSE)</f>
        <v>0.3</v>
      </c>
      <c r="AP1212" s="39" t="s">
        <v>2204</v>
      </c>
      <c r="AQ1212"/>
      <c r="AR1212" s="31">
        <f t="shared" si="641"/>
        <v>0</v>
      </c>
      <c r="AS1212" s="255">
        <f t="shared" si="642"/>
        <v>0</v>
      </c>
      <c r="AT1212" s="31">
        <f t="shared" si="643"/>
        <v>0</v>
      </c>
      <c r="AU1212" s="255">
        <f t="shared" si="644"/>
        <v>0</v>
      </c>
      <c r="AV1212" s="31">
        <f t="shared" si="645"/>
        <v>0</v>
      </c>
      <c r="AW1212" s="31">
        <f t="shared" si="646"/>
        <v>0</v>
      </c>
      <c r="AX1212" s="31">
        <f t="shared" si="647"/>
        <v>0</v>
      </c>
      <c r="AY1212" s="255">
        <f t="shared" si="648"/>
        <v>0</v>
      </c>
      <c r="AZ1212" s="232">
        <f t="shared" si="649"/>
        <v>0</v>
      </c>
      <c r="BA1212" s="255">
        <f t="shared" si="650"/>
        <v>0</v>
      </c>
      <c r="BB1212" s="31">
        <f t="shared" si="651"/>
        <v>0</v>
      </c>
      <c r="BC1212" s="255">
        <f t="shared" si="652"/>
        <v>0</v>
      </c>
      <c r="BD1212" s="31">
        <f t="shared" si="653"/>
        <v>0.17499999999999999</v>
      </c>
      <c r="BE1212" s="255">
        <f t="shared" si="654"/>
        <v>0.14874999999999999</v>
      </c>
      <c r="BF1212" s="31">
        <f t="shared" si="655"/>
        <v>0</v>
      </c>
      <c r="BG1212" s="255">
        <f t="shared" si="656"/>
        <v>0</v>
      </c>
      <c r="BH1212" s="31">
        <f t="shared" si="657"/>
        <v>0</v>
      </c>
      <c r="BI1212" s="255">
        <f t="shared" si="658"/>
        <v>0</v>
      </c>
      <c r="BJ1212" s="31">
        <f t="shared" si="659"/>
        <v>0</v>
      </c>
      <c r="BK1212" s="31">
        <f t="shared" si="660"/>
        <v>0</v>
      </c>
      <c r="BL1212" s="255">
        <f t="shared" si="661"/>
        <v>0</v>
      </c>
      <c r="BM1212" s="31">
        <f t="shared" si="662"/>
        <v>7.4999999999999997E-2</v>
      </c>
      <c r="BN1212" s="255">
        <f t="shared" si="663"/>
        <v>6.3750000000000001E-2</v>
      </c>
    </row>
    <row r="1213" spans="1:66" x14ac:dyDescent="0.25">
      <c r="A1213" t="s">
        <v>396</v>
      </c>
      <c r="B1213" s="186" t="str">
        <f>VLOOKUP(A1213,kurspris!$A$1:$B$877,2,FALSE)</f>
        <v>Studie- och yrkesvägledningens praktik</v>
      </c>
      <c r="C1213"/>
      <c r="D1213" t="s">
        <v>85</v>
      </c>
      <c r="E1213" t="s">
        <v>1973</v>
      </c>
      <c r="F1213" s="59" t="s">
        <v>1930</v>
      </c>
      <c r="G1213" t="s">
        <v>1979</v>
      </c>
      <c r="H1213" t="s">
        <v>1910</v>
      </c>
      <c r="I1213" t="s">
        <v>1536</v>
      </c>
      <c r="J1213"/>
      <c r="K1213"/>
      <c r="L1213">
        <v>100</v>
      </c>
      <c r="M1213">
        <v>15</v>
      </c>
      <c r="N1213"/>
      <c r="O1213"/>
      <c r="P1213" s="31">
        <v>1</v>
      </c>
      <c r="Q1213" s="232">
        <f t="shared" si="636"/>
        <v>0.25</v>
      </c>
      <c r="R1213" s="40">
        <v>0.85</v>
      </c>
      <c r="S1213" s="334">
        <f t="shared" si="637"/>
        <v>0.21249999999999999</v>
      </c>
      <c r="T1213" s="31">
        <f>VLOOKUP(A1213,'Ansvar kurs'!$A$1:$C$1010,2,FALSE)</f>
        <v>2193</v>
      </c>
      <c r="U1213" s="31" t="str">
        <f>VLOOKUP(T1213,Orgenheter!$A$1:$C$165,2,FALSE)</f>
        <v xml:space="preserve">TUV </v>
      </c>
      <c r="V1213" s="31" t="str">
        <f>VLOOKUP(T1213,Orgenheter!$A$1:$C$165,3,FALSE)</f>
        <v>Sam</v>
      </c>
      <c r="W1213" s="37" t="str">
        <f>VLOOKUP(D1213,Program!$A$1:$B$34,2,FALSE)</f>
        <v>Studie- och yrkesvägledarprogram</v>
      </c>
      <c r="X1213" s="42">
        <f>VLOOKUP(A1213,kurspris!$A$1:$Q$798,15,FALSE)</f>
        <v>24307.199999999997</v>
      </c>
      <c r="Y1213" s="42">
        <f>VLOOKUP(A1213,kurspris!$A$1:$Q$798,16,FALSE)</f>
        <v>22442.299999999996</v>
      </c>
      <c r="Z1213" s="42">
        <f t="shared" si="638"/>
        <v>10845.788749999998</v>
      </c>
      <c r="AA1213" s="42">
        <f>VLOOKUP(A1213,kurspris!$A$1:$Q$798,17,FALSE)</f>
        <v>5800</v>
      </c>
      <c r="AB1213" s="42">
        <f t="shared" si="639"/>
        <v>1450</v>
      </c>
      <c r="AC1213" s="42">
        <f t="shared" si="640"/>
        <v>12295.788749999998</v>
      </c>
      <c r="AD1213" s="31">
        <f>VLOOKUP($A1213,kurspris!$A$1:$Q$835,3,FALSE)</f>
        <v>0</v>
      </c>
      <c r="AE1213" s="31">
        <f>VLOOKUP($A1213,kurspris!$A$1:$Q$835,4,FALSE)</f>
        <v>0</v>
      </c>
      <c r="AF1213" s="31">
        <f>VLOOKUP($A1213,kurspris!$A$1:$Q$835,5,FALSE)</f>
        <v>0</v>
      </c>
      <c r="AG1213" s="31">
        <f>VLOOKUP($A1213,kurspris!$A$1:$Q$835,6,FALSE)</f>
        <v>0</v>
      </c>
      <c r="AH1213" s="31">
        <f>VLOOKUP($A1213,kurspris!$A$1:$Q$835,7,FALSE)</f>
        <v>0</v>
      </c>
      <c r="AI1213" s="31">
        <f>VLOOKUP($A1213,kurspris!$A$1:$Q$835,8,FALSE)</f>
        <v>0</v>
      </c>
      <c r="AJ1213" s="31">
        <f>VLOOKUP($A1213,kurspris!$A$1:$Q$835,9,FALSE)</f>
        <v>0.7</v>
      </c>
      <c r="AK1213" s="31">
        <f>VLOOKUP($A1213,kurspris!$A$1:$Q$835,10,FALSE)</f>
        <v>0</v>
      </c>
      <c r="AL1213" s="31">
        <f>VLOOKUP($A1213,kurspris!$A$1:$Q$835,11,FALSE)</f>
        <v>0</v>
      </c>
      <c r="AM1213" s="31">
        <f>VLOOKUP($A1213,kurspris!$A$1:$Q$835,12,FALSE)</f>
        <v>0</v>
      </c>
      <c r="AN1213" s="31">
        <f>VLOOKUP($A1213,kurspris!$A$1:$Q$835,13,FALSE)</f>
        <v>0</v>
      </c>
      <c r="AO1213" s="31">
        <f>VLOOKUP($A1213,kurspris!$A$1:$Q$835,14,FALSE)</f>
        <v>0.3</v>
      </c>
      <c r="AP1213" s="39" t="s">
        <v>2204</v>
      </c>
      <c r="AQ1213"/>
      <c r="AR1213" s="31">
        <f t="shared" si="641"/>
        <v>0</v>
      </c>
      <c r="AS1213" s="255">
        <f t="shared" si="642"/>
        <v>0</v>
      </c>
      <c r="AT1213" s="31">
        <f t="shared" si="643"/>
        <v>0</v>
      </c>
      <c r="AU1213" s="255">
        <f t="shared" si="644"/>
        <v>0</v>
      </c>
      <c r="AV1213" s="31">
        <f t="shared" si="645"/>
        <v>0</v>
      </c>
      <c r="AW1213" s="31">
        <f t="shared" si="646"/>
        <v>0</v>
      </c>
      <c r="AX1213" s="31">
        <f t="shared" si="647"/>
        <v>0</v>
      </c>
      <c r="AY1213" s="255">
        <f t="shared" si="648"/>
        <v>0</v>
      </c>
      <c r="AZ1213" s="232">
        <f t="shared" si="649"/>
        <v>0</v>
      </c>
      <c r="BA1213" s="255">
        <f t="shared" si="650"/>
        <v>0</v>
      </c>
      <c r="BB1213" s="31">
        <f t="shared" si="651"/>
        <v>0</v>
      </c>
      <c r="BC1213" s="255">
        <f t="shared" si="652"/>
        <v>0</v>
      </c>
      <c r="BD1213" s="31">
        <f t="shared" si="653"/>
        <v>0.17499999999999999</v>
      </c>
      <c r="BE1213" s="255">
        <f t="shared" si="654"/>
        <v>0.14874999999999999</v>
      </c>
      <c r="BF1213" s="31">
        <f t="shared" si="655"/>
        <v>0</v>
      </c>
      <c r="BG1213" s="255">
        <f t="shared" si="656"/>
        <v>0</v>
      </c>
      <c r="BH1213" s="31">
        <f t="shared" si="657"/>
        <v>0</v>
      </c>
      <c r="BI1213" s="255">
        <f t="shared" si="658"/>
        <v>0</v>
      </c>
      <c r="BJ1213" s="31">
        <f t="shared" si="659"/>
        <v>0</v>
      </c>
      <c r="BK1213" s="31">
        <f t="shared" si="660"/>
        <v>0</v>
      </c>
      <c r="BL1213" s="255">
        <f t="shared" si="661"/>
        <v>0</v>
      </c>
      <c r="BM1213" s="31">
        <f t="shared" si="662"/>
        <v>7.4999999999999997E-2</v>
      </c>
      <c r="BN1213" s="255">
        <f t="shared" si="663"/>
        <v>6.3750000000000001E-2</v>
      </c>
    </row>
    <row r="1214" spans="1:66" x14ac:dyDescent="0.25">
      <c r="A1214" t="s">
        <v>396</v>
      </c>
      <c r="B1214" s="186" t="str">
        <f>VLOOKUP(A1214,kurspris!$A$1:$B$877,2,FALSE)</f>
        <v>Studie- och yrkesvägledningens praktik</v>
      </c>
      <c r="C1214"/>
      <c r="D1214" t="s">
        <v>85</v>
      </c>
      <c r="E1214" t="s">
        <v>1973</v>
      </c>
      <c r="F1214" s="59" t="s">
        <v>1930</v>
      </c>
      <c r="G1214" t="s">
        <v>1979</v>
      </c>
      <c r="H1214" t="s">
        <v>1910</v>
      </c>
      <c r="I1214" t="s">
        <v>1536</v>
      </c>
      <c r="J1214"/>
      <c r="K1214"/>
      <c r="L1214">
        <v>100</v>
      </c>
      <c r="M1214">
        <v>15</v>
      </c>
      <c r="N1214"/>
      <c r="O1214"/>
      <c r="P1214" s="31">
        <v>28</v>
      </c>
      <c r="Q1214" s="232">
        <f t="shared" si="636"/>
        <v>7</v>
      </c>
      <c r="R1214" s="40">
        <v>0.85</v>
      </c>
      <c r="S1214" s="334">
        <f t="shared" si="637"/>
        <v>5.95</v>
      </c>
      <c r="T1214" s="31">
        <f>VLOOKUP(A1214,'Ansvar kurs'!$A$1:$C$1010,2,FALSE)</f>
        <v>2193</v>
      </c>
      <c r="U1214" s="31" t="str">
        <f>VLOOKUP(T1214,Orgenheter!$A$1:$C$165,2,FALSE)</f>
        <v xml:space="preserve">TUV </v>
      </c>
      <c r="V1214" s="31" t="str">
        <f>VLOOKUP(T1214,Orgenheter!$A$1:$C$165,3,FALSE)</f>
        <v>Sam</v>
      </c>
      <c r="W1214" s="37" t="str">
        <f>VLOOKUP(D1214,Program!$A$1:$B$34,2,FALSE)</f>
        <v>Studie- och yrkesvägledarprogram</v>
      </c>
      <c r="X1214" s="42">
        <f>VLOOKUP(A1214,kurspris!$A$1:$Q$798,15,FALSE)</f>
        <v>24307.199999999997</v>
      </c>
      <c r="Y1214" s="42">
        <f>VLOOKUP(A1214,kurspris!$A$1:$Q$798,16,FALSE)</f>
        <v>22442.299999999996</v>
      </c>
      <c r="Z1214" s="42">
        <f t="shared" si="638"/>
        <v>303682.08499999996</v>
      </c>
      <c r="AA1214" s="42">
        <f>VLOOKUP(A1214,kurspris!$A$1:$Q$798,17,FALSE)</f>
        <v>5800</v>
      </c>
      <c r="AB1214" s="42">
        <f t="shared" si="639"/>
        <v>40600</v>
      </c>
      <c r="AC1214" s="42">
        <f t="shared" si="640"/>
        <v>344282.08499999996</v>
      </c>
      <c r="AD1214" s="31">
        <f>VLOOKUP($A1214,kurspris!$A$1:$Q$835,3,FALSE)</f>
        <v>0</v>
      </c>
      <c r="AE1214" s="31">
        <f>VLOOKUP($A1214,kurspris!$A$1:$Q$835,4,FALSE)</f>
        <v>0</v>
      </c>
      <c r="AF1214" s="31">
        <f>VLOOKUP($A1214,kurspris!$A$1:$Q$835,5,FALSE)</f>
        <v>0</v>
      </c>
      <c r="AG1214" s="31">
        <f>VLOOKUP($A1214,kurspris!$A$1:$Q$835,6,FALSE)</f>
        <v>0</v>
      </c>
      <c r="AH1214" s="31">
        <f>VLOOKUP($A1214,kurspris!$A$1:$Q$835,7,FALSE)</f>
        <v>0</v>
      </c>
      <c r="AI1214" s="31">
        <f>VLOOKUP($A1214,kurspris!$A$1:$Q$835,8,FALSE)</f>
        <v>0</v>
      </c>
      <c r="AJ1214" s="31">
        <f>VLOOKUP($A1214,kurspris!$A$1:$Q$835,9,FALSE)</f>
        <v>0.7</v>
      </c>
      <c r="AK1214" s="31">
        <f>VLOOKUP($A1214,kurspris!$A$1:$Q$835,10,FALSE)</f>
        <v>0</v>
      </c>
      <c r="AL1214" s="31">
        <f>VLOOKUP($A1214,kurspris!$A$1:$Q$835,11,FALSE)</f>
        <v>0</v>
      </c>
      <c r="AM1214" s="31">
        <f>VLOOKUP($A1214,kurspris!$A$1:$Q$835,12,FALSE)</f>
        <v>0</v>
      </c>
      <c r="AN1214" s="31">
        <f>VLOOKUP($A1214,kurspris!$A$1:$Q$835,13,FALSE)</f>
        <v>0</v>
      </c>
      <c r="AO1214" s="31">
        <f>VLOOKUP($A1214,kurspris!$A$1:$Q$835,14,FALSE)</f>
        <v>0.3</v>
      </c>
      <c r="AP1214" s="39" t="s">
        <v>2204</v>
      </c>
      <c r="AQ1214"/>
      <c r="AR1214" s="31">
        <f t="shared" si="641"/>
        <v>0</v>
      </c>
      <c r="AS1214" s="255">
        <f t="shared" si="642"/>
        <v>0</v>
      </c>
      <c r="AT1214" s="31">
        <f t="shared" si="643"/>
        <v>0</v>
      </c>
      <c r="AU1214" s="255">
        <f t="shared" si="644"/>
        <v>0</v>
      </c>
      <c r="AV1214" s="31">
        <f t="shared" si="645"/>
        <v>0</v>
      </c>
      <c r="AW1214" s="31">
        <f t="shared" si="646"/>
        <v>0</v>
      </c>
      <c r="AX1214" s="31">
        <f t="shared" si="647"/>
        <v>0</v>
      </c>
      <c r="AY1214" s="255">
        <f t="shared" si="648"/>
        <v>0</v>
      </c>
      <c r="AZ1214" s="232">
        <f t="shared" si="649"/>
        <v>0</v>
      </c>
      <c r="BA1214" s="255">
        <f t="shared" si="650"/>
        <v>0</v>
      </c>
      <c r="BB1214" s="31">
        <f t="shared" si="651"/>
        <v>0</v>
      </c>
      <c r="BC1214" s="255">
        <f t="shared" si="652"/>
        <v>0</v>
      </c>
      <c r="BD1214" s="31">
        <f t="shared" si="653"/>
        <v>4.8999999999999995</v>
      </c>
      <c r="BE1214" s="255">
        <f t="shared" si="654"/>
        <v>4.165</v>
      </c>
      <c r="BF1214" s="31">
        <f t="shared" si="655"/>
        <v>0</v>
      </c>
      <c r="BG1214" s="255">
        <f t="shared" si="656"/>
        <v>0</v>
      </c>
      <c r="BH1214" s="31">
        <f t="shared" si="657"/>
        <v>0</v>
      </c>
      <c r="BI1214" s="255">
        <f t="shared" si="658"/>
        <v>0</v>
      </c>
      <c r="BJ1214" s="31">
        <f t="shared" si="659"/>
        <v>0</v>
      </c>
      <c r="BK1214" s="31">
        <f t="shared" si="660"/>
        <v>0</v>
      </c>
      <c r="BL1214" s="255">
        <f t="shared" si="661"/>
        <v>0</v>
      </c>
      <c r="BM1214" s="31">
        <f t="shared" si="662"/>
        <v>2.1</v>
      </c>
      <c r="BN1214" s="255">
        <f t="shared" si="663"/>
        <v>1.7849999999999999</v>
      </c>
    </row>
    <row r="1215" spans="1:66" x14ac:dyDescent="0.25">
      <c r="A1215" t="s">
        <v>901</v>
      </c>
      <c r="B1215" s="186" t="str">
        <f>VLOOKUP(A1215,kurspris!$A$1:$B$877,2,FALSE)</f>
        <v>Karriärutveckling i socialt och kulturellt perspektiv</v>
      </c>
      <c r="C1215"/>
      <c r="D1215" t="s">
        <v>85</v>
      </c>
      <c r="E1215" t="s">
        <v>1973</v>
      </c>
      <c r="F1215" s="59" t="s">
        <v>1930</v>
      </c>
      <c r="G1215" t="s">
        <v>1990</v>
      </c>
      <c r="H1215" t="s">
        <v>1910</v>
      </c>
      <c r="I1215" t="s">
        <v>628</v>
      </c>
      <c r="J1215"/>
      <c r="K1215"/>
      <c r="L1215">
        <v>100</v>
      </c>
      <c r="M1215">
        <v>15</v>
      </c>
      <c r="N1215"/>
      <c r="O1215"/>
      <c r="P1215" s="31">
        <v>2</v>
      </c>
      <c r="Q1215" s="232">
        <f t="shared" si="636"/>
        <v>0.5</v>
      </c>
      <c r="R1215" s="40">
        <v>0.85</v>
      </c>
      <c r="S1215" s="334">
        <f t="shared" si="637"/>
        <v>0.42499999999999999</v>
      </c>
      <c r="T1215" s="31">
        <f>VLOOKUP(A1215,'Ansvar kurs'!$A$1:$C$1010,2,FALSE)</f>
        <v>2193</v>
      </c>
      <c r="U1215" s="31" t="str">
        <f>VLOOKUP(T1215,Orgenheter!$A$1:$C$165,2,FALSE)</f>
        <v xml:space="preserve">TUV </v>
      </c>
      <c r="V1215" s="31" t="str">
        <f>VLOOKUP(T1215,Orgenheter!$A$1:$C$165,3,FALSE)</f>
        <v>Sam</v>
      </c>
      <c r="W1215" s="37" t="str">
        <f>VLOOKUP(D1215,Program!$A$1:$B$34,2,FALSE)</f>
        <v>Studie- och yrkesvägledarprogram</v>
      </c>
      <c r="X1215" s="42">
        <f>VLOOKUP(A1215,kurspris!$A$1:$Q$798,15,FALSE)</f>
        <v>18405</v>
      </c>
      <c r="Y1215" s="42">
        <f>VLOOKUP(A1215,kurspris!$A$1:$Q$798,16,FALSE)</f>
        <v>15773</v>
      </c>
      <c r="Z1215" s="42">
        <f t="shared" si="638"/>
        <v>15906.025</v>
      </c>
      <c r="AA1215" s="42">
        <f>VLOOKUP(A1215,kurspris!$A$1:$Q$798,17,FALSE)</f>
        <v>5800</v>
      </c>
      <c r="AB1215" s="42">
        <f t="shared" si="639"/>
        <v>2900</v>
      </c>
      <c r="AC1215" s="42">
        <f t="shared" si="640"/>
        <v>18806.025000000001</v>
      </c>
      <c r="AD1215" s="31">
        <f>VLOOKUP($A1215,kurspris!$A$1:$Q$835,3,FALSE)</f>
        <v>0</v>
      </c>
      <c r="AE1215" s="31">
        <f>VLOOKUP($A1215,kurspris!$A$1:$Q$835,4,FALSE)</f>
        <v>0</v>
      </c>
      <c r="AF1215" s="31">
        <f>VLOOKUP($A1215,kurspris!$A$1:$Q$835,5,FALSE)</f>
        <v>0</v>
      </c>
      <c r="AG1215" s="31">
        <f>VLOOKUP($A1215,kurspris!$A$1:$Q$835,6,FALSE)</f>
        <v>0</v>
      </c>
      <c r="AH1215" s="31">
        <f>VLOOKUP($A1215,kurspris!$A$1:$Q$835,7,FALSE)</f>
        <v>0</v>
      </c>
      <c r="AI1215" s="31">
        <f>VLOOKUP($A1215,kurspris!$A$1:$Q$835,8,FALSE)</f>
        <v>0</v>
      </c>
      <c r="AJ1215" s="31">
        <f>VLOOKUP($A1215,kurspris!$A$1:$Q$835,9,FALSE)</f>
        <v>1</v>
      </c>
      <c r="AK1215" s="31">
        <f>VLOOKUP($A1215,kurspris!$A$1:$Q$835,10,FALSE)</f>
        <v>0</v>
      </c>
      <c r="AL1215" s="31">
        <f>VLOOKUP($A1215,kurspris!$A$1:$Q$835,11,FALSE)</f>
        <v>0</v>
      </c>
      <c r="AM1215" s="31">
        <f>VLOOKUP($A1215,kurspris!$A$1:$Q$835,12,FALSE)</f>
        <v>0</v>
      </c>
      <c r="AN1215" s="31">
        <f>VLOOKUP($A1215,kurspris!$A$1:$Q$835,13,FALSE)</f>
        <v>0</v>
      </c>
      <c r="AO1215" s="31">
        <f>VLOOKUP($A1215,kurspris!$A$1:$Q$835,14,FALSE)</f>
        <v>0</v>
      </c>
      <c r="AP1215" s="39" t="s">
        <v>2204</v>
      </c>
      <c r="AQ1215"/>
      <c r="AR1215" s="31">
        <f t="shared" si="641"/>
        <v>0</v>
      </c>
      <c r="AS1215" s="255">
        <f t="shared" si="642"/>
        <v>0</v>
      </c>
      <c r="AT1215" s="31">
        <f t="shared" si="643"/>
        <v>0</v>
      </c>
      <c r="AU1215" s="255">
        <f t="shared" si="644"/>
        <v>0</v>
      </c>
      <c r="AV1215" s="31">
        <f t="shared" si="645"/>
        <v>0</v>
      </c>
      <c r="AW1215" s="31">
        <f t="shared" si="646"/>
        <v>0</v>
      </c>
      <c r="AX1215" s="31">
        <f t="shared" si="647"/>
        <v>0</v>
      </c>
      <c r="AY1215" s="255">
        <f t="shared" si="648"/>
        <v>0</v>
      </c>
      <c r="AZ1215" s="232">
        <f t="shared" si="649"/>
        <v>0</v>
      </c>
      <c r="BA1215" s="255">
        <f t="shared" si="650"/>
        <v>0</v>
      </c>
      <c r="BB1215" s="31">
        <f t="shared" si="651"/>
        <v>0</v>
      </c>
      <c r="BC1215" s="255">
        <f t="shared" si="652"/>
        <v>0</v>
      </c>
      <c r="BD1215" s="31">
        <f t="shared" si="653"/>
        <v>0.5</v>
      </c>
      <c r="BE1215" s="255">
        <f t="shared" si="654"/>
        <v>0.42499999999999999</v>
      </c>
      <c r="BF1215" s="31">
        <f t="shared" si="655"/>
        <v>0</v>
      </c>
      <c r="BG1215" s="255">
        <f t="shared" si="656"/>
        <v>0</v>
      </c>
      <c r="BH1215" s="31">
        <f t="shared" si="657"/>
        <v>0</v>
      </c>
      <c r="BI1215" s="255">
        <f t="shared" si="658"/>
        <v>0</v>
      </c>
      <c r="BJ1215" s="31">
        <f t="shared" si="659"/>
        <v>0</v>
      </c>
      <c r="BK1215" s="31">
        <f t="shared" si="660"/>
        <v>0</v>
      </c>
      <c r="BL1215" s="255">
        <f t="shared" si="661"/>
        <v>0</v>
      </c>
      <c r="BM1215" s="31">
        <f t="shared" si="662"/>
        <v>0</v>
      </c>
      <c r="BN1215" s="255">
        <f t="shared" si="663"/>
        <v>0</v>
      </c>
    </row>
    <row r="1216" spans="1:66" x14ac:dyDescent="0.25">
      <c r="A1216" t="s">
        <v>901</v>
      </c>
      <c r="B1216" s="186" t="str">
        <f>VLOOKUP(A1216,kurspris!$A$1:$B$877,2,FALSE)</f>
        <v>Karriärutveckling i socialt och kulturellt perspektiv</v>
      </c>
      <c r="C1216"/>
      <c r="D1216" t="s">
        <v>85</v>
      </c>
      <c r="E1216" t="s">
        <v>1973</v>
      </c>
      <c r="F1216" s="59" t="s">
        <v>1930</v>
      </c>
      <c r="G1216" t="s">
        <v>1990</v>
      </c>
      <c r="H1216" t="s">
        <v>1910</v>
      </c>
      <c r="I1216" t="s">
        <v>1536</v>
      </c>
      <c r="J1216"/>
      <c r="K1216"/>
      <c r="L1216">
        <v>100</v>
      </c>
      <c r="M1216">
        <v>15</v>
      </c>
      <c r="N1216"/>
      <c r="O1216"/>
      <c r="P1216" s="31">
        <v>1</v>
      </c>
      <c r="Q1216" s="232">
        <f t="shared" si="636"/>
        <v>0.25</v>
      </c>
      <c r="R1216" s="40">
        <v>0.85</v>
      </c>
      <c r="S1216" s="334">
        <f t="shared" si="637"/>
        <v>0.21249999999999999</v>
      </c>
      <c r="T1216" s="31">
        <f>VLOOKUP(A1216,'Ansvar kurs'!$A$1:$C$1010,2,FALSE)</f>
        <v>2193</v>
      </c>
      <c r="U1216" s="31" t="str">
        <f>VLOOKUP(T1216,Orgenheter!$A$1:$C$165,2,FALSE)</f>
        <v xml:space="preserve">TUV </v>
      </c>
      <c r="V1216" s="31" t="str">
        <f>VLOOKUP(T1216,Orgenheter!$A$1:$C$165,3,FALSE)</f>
        <v>Sam</v>
      </c>
      <c r="W1216" s="37" t="str">
        <f>VLOOKUP(D1216,Program!$A$1:$B$34,2,FALSE)</f>
        <v>Studie- och yrkesvägledarprogram</v>
      </c>
      <c r="X1216" s="42">
        <f>VLOOKUP(A1216,kurspris!$A$1:$Q$798,15,FALSE)</f>
        <v>18405</v>
      </c>
      <c r="Y1216" s="42">
        <f>VLOOKUP(A1216,kurspris!$A$1:$Q$798,16,FALSE)</f>
        <v>15773</v>
      </c>
      <c r="Z1216" s="42">
        <f t="shared" si="638"/>
        <v>7953.0124999999998</v>
      </c>
      <c r="AA1216" s="42">
        <f>VLOOKUP(A1216,kurspris!$A$1:$Q$798,17,FALSE)</f>
        <v>5800</v>
      </c>
      <c r="AB1216" s="42">
        <f t="shared" si="639"/>
        <v>1450</v>
      </c>
      <c r="AC1216" s="42">
        <f t="shared" si="640"/>
        <v>9403.0125000000007</v>
      </c>
      <c r="AD1216" s="31">
        <f>VLOOKUP($A1216,kurspris!$A$1:$Q$835,3,FALSE)</f>
        <v>0</v>
      </c>
      <c r="AE1216" s="31">
        <f>VLOOKUP($A1216,kurspris!$A$1:$Q$835,4,FALSE)</f>
        <v>0</v>
      </c>
      <c r="AF1216" s="31">
        <f>VLOOKUP($A1216,kurspris!$A$1:$Q$835,5,FALSE)</f>
        <v>0</v>
      </c>
      <c r="AG1216" s="31">
        <f>VLOOKUP($A1216,kurspris!$A$1:$Q$835,6,FALSE)</f>
        <v>0</v>
      </c>
      <c r="AH1216" s="31">
        <f>VLOOKUP($A1216,kurspris!$A$1:$Q$835,7,FALSE)</f>
        <v>0</v>
      </c>
      <c r="AI1216" s="31">
        <f>VLOOKUP($A1216,kurspris!$A$1:$Q$835,8,FALSE)</f>
        <v>0</v>
      </c>
      <c r="AJ1216" s="31">
        <f>VLOOKUP($A1216,kurspris!$A$1:$Q$835,9,FALSE)</f>
        <v>1</v>
      </c>
      <c r="AK1216" s="31">
        <f>VLOOKUP($A1216,kurspris!$A$1:$Q$835,10,FALSE)</f>
        <v>0</v>
      </c>
      <c r="AL1216" s="31">
        <f>VLOOKUP($A1216,kurspris!$A$1:$Q$835,11,FALSE)</f>
        <v>0</v>
      </c>
      <c r="AM1216" s="31">
        <f>VLOOKUP($A1216,kurspris!$A$1:$Q$835,12,FALSE)</f>
        <v>0</v>
      </c>
      <c r="AN1216" s="31">
        <f>VLOOKUP($A1216,kurspris!$A$1:$Q$835,13,FALSE)</f>
        <v>0</v>
      </c>
      <c r="AO1216" s="31">
        <f>VLOOKUP($A1216,kurspris!$A$1:$Q$835,14,FALSE)</f>
        <v>0</v>
      </c>
      <c r="AP1216" s="39" t="s">
        <v>2204</v>
      </c>
      <c r="AQ1216"/>
      <c r="AR1216" s="31">
        <f t="shared" si="641"/>
        <v>0</v>
      </c>
      <c r="AS1216" s="255">
        <f t="shared" si="642"/>
        <v>0</v>
      </c>
      <c r="AT1216" s="31">
        <f t="shared" si="643"/>
        <v>0</v>
      </c>
      <c r="AU1216" s="255">
        <f t="shared" si="644"/>
        <v>0</v>
      </c>
      <c r="AV1216" s="31">
        <f t="shared" si="645"/>
        <v>0</v>
      </c>
      <c r="AW1216" s="31">
        <f t="shared" si="646"/>
        <v>0</v>
      </c>
      <c r="AX1216" s="31">
        <f t="shared" si="647"/>
        <v>0</v>
      </c>
      <c r="AY1216" s="255">
        <f t="shared" si="648"/>
        <v>0</v>
      </c>
      <c r="AZ1216" s="232">
        <f t="shared" si="649"/>
        <v>0</v>
      </c>
      <c r="BA1216" s="255">
        <f t="shared" si="650"/>
        <v>0</v>
      </c>
      <c r="BB1216" s="31">
        <f t="shared" si="651"/>
        <v>0</v>
      </c>
      <c r="BC1216" s="255">
        <f t="shared" si="652"/>
        <v>0</v>
      </c>
      <c r="BD1216" s="31">
        <f t="shared" si="653"/>
        <v>0.25</v>
      </c>
      <c r="BE1216" s="255">
        <f t="shared" si="654"/>
        <v>0.21249999999999999</v>
      </c>
      <c r="BF1216" s="31">
        <f t="shared" si="655"/>
        <v>0</v>
      </c>
      <c r="BG1216" s="255">
        <f t="shared" si="656"/>
        <v>0</v>
      </c>
      <c r="BH1216" s="31">
        <f t="shared" si="657"/>
        <v>0</v>
      </c>
      <c r="BI1216" s="255">
        <f t="shared" si="658"/>
        <v>0</v>
      </c>
      <c r="BJ1216" s="31">
        <f t="shared" si="659"/>
        <v>0</v>
      </c>
      <c r="BK1216" s="31">
        <f t="shared" si="660"/>
        <v>0</v>
      </c>
      <c r="BL1216" s="255">
        <f t="shared" si="661"/>
        <v>0</v>
      </c>
      <c r="BM1216" s="31">
        <f t="shared" si="662"/>
        <v>0</v>
      </c>
      <c r="BN1216" s="255">
        <f t="shared" si="663"/>
        <v>0</v>
      </c>
    </row>
    <row r="1217" spans="1:66" x14ac:dyDescent="0.25">
      <c r="A1217" t="s">
        <v>901</v>
      </c>
      <c r="B1217" s="186" t="str">
        <f>VLOOKUP(A1217,kurspris!$A$1:$B$877,2,FALSE)</f>
        <v>Karriärutveckling i socialt och kulturellt perspektiv</v>
      </c>
      <c r="C1217"/>
      <c r="D1217" t="s">
        <v>85</v>
      </c>
      <c r="E1217" t="s">
        <v>1973</v>
      </c>
      <c r="F1217" s="59" t="s">
        <v>1930</v>
      </c>
      <c r="G1217" t="s">
        <v>1990</v>
      </c>
      <c r="H1217" t="s">
        <v>1910</v>
      </c>
      <c r="I1217" t="s">
        <v>1536</v>
      </c>
      <c r="J1217"/>
      <c r="K1217"/>
      <c r="L1217">
        <v>100</v>
      </c>
      <c r="M1217">
        <v>15</v>
      </c>
      <c r="N1217"/>
      <c r="O1217"/>
      <c r="P1217" s="31">
        <v>0</v>
      </c>
      <c r="Q1217" s="232">
        <f t="shared" si="636"/>
        <v>0</v>
      </c>
      <c r="R1217" s="40">
        <v>0.85</v>
      </c>
      <c r="S1217" s="334">
        <f t="shared" si="637"/>
        <v>0</v>
      </c>
      <c r="T1217" s="31">
        <f>VLOOKUP(A1217,'Ansvar kurs'!$A$1:$C$1010,2,FALSE)</f>
        <v>2193</v>
      </c>
      <c r="U1217" s="31" t="str">
        <f>VLOOKUP(T1217,Orgenheter!$A$1:$C$165,2,FALSE)</f>
        <v xml:space="preserve">TUV </v>
      </c>
      <c r="V1217" s="31" t="str">
        <f>VLOOKUP(T1217,Orgenheter!$A$1:$C$165,3,FALSE)</f>
        <v>Sam</v>
      </c>
      <c r="W1217" s="37" t="str">
        <f>VLOOKUP(D1217,Program!$A$1:$B$34,2,FALSE)</f>
        <v>Studie- och yrkesvägledarprogram</v>
      </c>
      <c r="X1217" s="42">
        <f>VLOOKUP(A1217,kurspris!$A$1:$Q$798,15,FALSE)</f>
        <v>18405</v>
      </c>
      <c r="Y1217" s="42">
        <f>VLOOKUP(A1217,kurspris!$A$1:$Q$798,16,FALSE)</f>
        <v>15773</v>
      </c>
      <c r="Z1217" s="42">
        <f t="shared" si="638"/>
        <v>0</v>
      </c>
      <c r="AA1217" s="42">
        <f>VLOOKUP(A1217,kurspris!$A$1:$Q$798,17,FALSE)</f>
        <v>5800</v>
      </c>
      <c r="AB1217" s="42">
        <f t="shared" si="639"/>
        <v>0</v>
      </c>
      <c r="AC1217" s="42">
        <f t="shared" si="640"/>
        <v>0</v>
      </c>
      <c r="AD1217" s="31">
        <f>VLOOKUP($A1217,kurspris!$A$1:$Q$835,3,FALSE)</f>
        <v>0</v>
      </c>
      <c r="AE1217" s="31">
        <f>VLOOKUP($A1217,kurspris!$A$1:$Q$835,4,FALSE)</f>
        <v>0</v>
      </c>
      <c r="AF1217" s="31">
        <f>VLOOKUP($A1217,kurspris!$A$1:$Q$835,5,FALSE)</f>
        <v>0</v>
      </c>
      <c r="AG1217" s="31">
        <f>VLOOKUP($A1217,kurspris!$A$1:$Q$835,6,FALSE)</f>
        <v>0</v>
      </c>
      <c r="AH1217" s="31">
        <f>VLOOKUP($A1217,kurspris!$A$1:$Q$835,7,FALSE)</f>
        <v>0</v>
      </c>
      <c r="AI1217" s="31">
        <f>VLOOKUP($A1217,kurspris!$A$1:$Q$835,8,FALSE)</f>
        <v>0</v>
      </c>
      <c r="AJ1217" s="31">
        <f>VLOOKUP($A1217,kurspris!$A$1:$Q$835,9,FALSE)</f>
        <v>1</v>
      </c>
      <c r="AK1217" s="31">
        <f>VLOOKUP($A1217,kurspris!$A$1:$Q$835,10,FALSE)</f>
        <v>0</v>
      </c>
      <c r="AL1217" s="31">
        <f>VLOOKUP($A1217,kurspris!$A$1:$Q$835,11,FALSE)</f>
        <v>0</v>
      </c>
      <c r="AM1217" s="31">
        <f>VLOOKUP($A1217,kurspris!$A$1:$Q$835,12,FALSE)</f>
        <v>0</v>
      </c>
      <c r="AN1217" s="31">
        <f>VLOOKUP($A1217,kurspris!$A$1:$Q$835,13,FALSE)</f>
        <v>0</v>
      </c>
      <c r="AO1217" s="31">
        <f>VLOOKUP($A1217,kurspris!$A$1:$Q$835,14,FALSE)</f>
        <v>0</v>
      </c>
      <c r="AP1217" s="39" t="s">
        <v>2204</v>
      </c>
      <c r="AQ1217"/>
      <c r="AR1217" s="31">
        <f t="shared" si="641"/>
        <v>0</v>
      </c>
      <c r="AS1217" s="255">
        <f t="shared" si="642"/>
        <v>0</v>
      </c>
      <c r="AT1217" s="31">
        <f t="shared" si="643"/>
        <v>0</v>
      </c>
      <c r="AU1217" s="255">
        <f t="shared" si="644"/>
        <v>0</v>
      </c>
      <c r="AV1217" s="31">
        <f t="shared" si="645"/>
        <v>0</v>
      </c>
      <c r="AW1217" s="31">
        <f t="shared" si="646"/>
        <v>0</v>
      </c>
      <c r="AX1217" s="31">
        <f t="shared" si="647"/>
        <v>0</v>
      </c>
      <c r="AY1217" s="255">
        <f t="shared" si="648"/>
        <v>0</v>
      </c>
      <c r="AZ1217" s="232">
        <f t="shared" si="649"/>
        <v>0</v>
      </c>
      <c r="BA1217" s="255">
        <f t="shared" si="650"/>
        <v>0</v>
      </c>
      <c r="BB1217" s="31">
        <f t="shared" si="651"/>
        <v>0</v>
      </c>
      <c r="BC1217" s="255">
        <f t="shared" si="652"/>
        <v>0</v>
      </c>
      <c r="BD1217" s="31">
        <f t="shared" si="653"/>
        <v>0</v>
      </c>
      <c r="BE1217" s="255">
        <f t="shared" si="654"/>
        <v>0</v>
      </c>
      <c r="BF1217" s="31">
        <f t="shared" si="655"/>
        <v>0</v>
      </c>
      <c r="BG1217" s="255">
        <f t="shared" si="656"/>
        <v>0</v>
      </c>
      <c r="BH1217" s="31">
        <f t="shared" si="657"/>
        <v>0</v>
      </c>
      <c r="BI1217" s="255">
        <f t="shared" si="658"/>
        <v>0</v>
      </c>
      <c r="BJ1217" s="31">
        <f t="shared" si="659"/>
        <v>0</v>
      </c>
      <c r="BK1217" s="31">
        <f t="shared" si="660"/>
        <v>0</v>
      </c>
      <c r="BL1217" s="255">
        <f t="shared" si="661"/>
        <v>0</v>
      </c>
      <c r="BM1217" s="31">
        <f t="shared" si="662"/>
        <v>0</v>
      </c>
      <c r="BN1217" s="255">
        <f t="shared" si="663"/>
        <v>0</v>
      </c>
    </row>
    <row r="1218" spans="1:66" x14ac:dyDescent="0.25">
      <c r="A1218" t="s">
        <v>901</v>
      </c>
      <c r="B1218" s="186" t="str">
        <f>VLOOKUP(A1218,kurspris!$A$1:$B$877,2,FALSE)</f>
        <v>Karriärutveckling i socialt och kulturellt perspektiv</v>
      </c>
      <c r="C1218"/>
      <c r="D1218" t="s">
        <v>85</v>
      </c>
      <c r="E1218" t="s">
        <v>1609</v>
      </c>
      <c r="F1218" s="59" t="s">
        <v>1930</v>
      </c>
      <c r="G1218" t="s">
        <v>1990</v>
      </c>
      <c r="H1218" t="s">
        <v>1910</v>
      </c>
      <c r="I1218" t="s">
        <v>628</v>
      </c>
      <c r="J1218"/>
      <c r="K1218"/>
      <c r="L1218">
        <v>100</v>
      </c>
      <c r="M1218">
        <v>15</v>
      </c>
      <c r="N1218"/>
      <c r="O1218"/>
      <c r="P1218" s="31">
        <v>0</v>
      </c>
      <c r="Q1218" s="232">
        <f t="shared" si="636"/>
        <v>0</v>
      </c>
      <c r="R1218" s="40">
        <v>0.85</v>
      </c>
      <c r="S1218" s="334">
        <f t="shared" si="637"/>
        <v>0</v>
      </c>
      <c r="T1218" s="31">
        <f>VLOOKUP(A1218,'Ansvar kurs'!$A$1:$C$1010,2,FALSE)</f>
        <v>2193</v>
      </c>
      <c r="U1218" s="31" t="str">
        <f>VLOOKUP(T1218,Orgenheter!$A$1:$C$165,2,FALSE)</f>
        <v xml:space="preserve">TUV </v>
      </c>
      <c r="V1218" s="31" t="str">
        <f>VLOOKUP(T1218,Orgenheter!$A$1:$C$165,3,FALSE)</f>
        <v>Sam</v>
      </c>
      <c r="W1218" s="37" t="str">
        <f>VLOOKUP(D1218,Program!$A$1:$B$34,2,FALSE)</f>
        <v>Studie- och yrkesvägledarprogram</v>
      </c>
      <c r="X1218" s="42">
        <f>VLOOKUP(A1218,kurspris!$A$1:$Q$798,15,FALSE)</f>
        <v>18405</v>
      </c>
      <c r="Y1218" s="42">
        <f>VLOOKUP(A1218,kurspris!$A$1:$Q$798,16,FALSE)</f>
        <v>15773</v>
      </c>
      <c r="Z1218" s="42">
        <f t="shared" si="638"/>
        <v>0</v>
      </c>
      <c r="AA1218" s="42">
        <f>VLOOKUP(A1218,kurspris!$A$1:$Q$798,17,FALSE)</f>
        <v>5800</v>
      </c>
      <c r="AB1218" s="42">
        <f t="shared" si="639"/>
        <v>0</v>
      </c>
      <c r="AC1218" s="42">
        <f t="shared" si="640"/>
        <v>0</v>
      </c>
      <c r="AD1218" s="31">
        <f>VLOOKUP($A1218,kurspris!$A$1:$Q$835,3,FALSE)</f>
        <v>0</v>
      </c>
      <c r="AE1218" s="31">
        <f>VLOOKUP($A1218,kurspris!$A$1:$Q$835,4,FALSE)</f>
        <v>0</v>
      </c>
      <c r="AF1218" s="31">
        <f>VLOOKUP($A1218,kurspris!$A$1:$Q$835,5,FALSE)</f>
        <v>0</v>
      </c>
      <c r="AG1218" s="31">
        <f>VLOOKUP($A1218,kurspris!$A$1:$Q$835,6,FALSE)</f>
        <v>0</v>
      </c>
      <c r="AH1218" s="31">
        <f>VLOOKUP($A1218,kurspris!$A$1:$Q$835,7,FALSE)</f>
        <v>0</v>
      </c>
      <c r="AI1218" s="31">
        <f>VLOOKUP($A1218,kurspris!$A$1:$Q$835,8,FALSE)</f>
        <v>0</v>
      </c>
      <c r="AJ1218" s="31">
        <f>VLOOKUP($A1218,kurspris!$A$1:$Q$835,9,FALSE)</f>
        <v>1</v>
      </c>
      <c r="AK1218" s="31">
        <f>VLOOKUP($A1218,kurspris!$A$1:$Q$835,10,FALSE)</f>
        <v>0</v>
      </c>
      <c r="AL1218" s="31">
        <f>VLOOKUP($A1218,kurspris!$A$1:$Q$835,11,FALSE)</f>
        <v>0</v>
      </c>
      <c r="AM1218" s="31">
        <f>VLOOKUP($A1218,kurspris!$A$1:$Q$835,12,FALSE)</f>
        <v>0</v>
      </c>
      <c r="AN1218" s="31">
        <f>VLOOKUP($A1218,kurspris!$A$1:$Q$835,13,FALSE)</f>
        <v>0</v>
      </c>
      <c r="AO1218" s="31">
        <f>VLOOKUP($A1218,kurspris!$A$1:$Q$835,14,FALSE)</f>
        <v>0</v>
      </c>
      <c r="AP1218" s="39" t="s">
        <v>2204</v>
      </c>
      <c r="AQ1218"/>
      <c r="AR1218" s="31">
        <f t="shared" si="641"/>
        <v>0</v>
      </c>
      <c r="AS1218" s="255">
        <f t="shared" si="642"/>
        <v>0</v>
      </c>
      <c r="AT1218" s="31">
        <f t="shared" si="643"/>
        <v>0</v>
      </c>
      <c r="AU1218" s="255">
        <f t="shared" si="644"/>
        <v>0</v>
      </c>
      <c r="AV1218" s="31">
        <f t="shared" si="645"/>
        <v>0</v>
      </c>
      <c r="AW1218" s="31">
        <f t="shared" si="646"/>
        <v>0</v>
      </c>
      <c r="AX1218" s="31">
        <f t="shared" si="647"/>
        <v>0</v>
      </c>
      <c r="AY1218" s="255">
        <f t="shared" si="648"/>
        <v>0</v>
      </c>
      <c r="AZ1218" s="232">
        <f t="shared" si="649"/>
        <v>0</v>
      </c>
      <c r="BA1218" s="255">
        <f t="shared" si="650"/>
        <v>0</v>
      </c>
      <c r="BB1218" s="31">
        <f t="shared" si="651"/>
        <v>0</v>
      </c>
      <c r="BC1218" s="255">
        <f t="shared" si="652"/>
        <v>0</v>
      </c>
      <c r="BD1218" s="31">
        <f t="shared" si="653"/>
        <v>0</v>
      </c>
      <c r="BE1218" s="255">
        <f t="shared" si="654"/>
        <v>0</v>
      </c>
      <c r="BF1218" s="31">
        <f t="shared" si="655"/>
        <v>0</v>
      </c>
      <c r="BG1218" s="255">
        <f t="shared" si="656"/>
        <v>0</v>
      </c>
      <c r="BH1218" s="31">
        <f t="shared" si="657"/>
        <v>0</v>
      </c>
      <c r="BI1218" s="255">
        <f t="shared" si="658"/>
        <v>0</v>
      </c>
      <c r="BJ1218" s="31">
        <f t="shared" si="659"/>
        <v>0</v>
      </c>
      <c r="BK1218" s="31">
        <f t="shared" si="660"/>
        <v>0</v>
      </c>
      <c r="BL1218" s="255">
        <f t="shared" si="661"/>
        <v>0</v>
      </c>
      <c r="BM1218" s="31">
        <f t="shared" si="662"/>
        <v>0</v>
      </c>
      <c r="BN1218" s="255">
        <f t="shared" si="663"/>
        <v>0</v>
      </c>
    </row>
    <row r="1219" spans="1:66" x14ac:dyDescent="0.25">
      <c r="A1219" t="s">
        <v>901</v>
      </c>
      <c r="B1219" s="186" t="str">
        <f>VLOOKUP(A1219,kurspris!$A$1:$B$877,2,FALSE)</f>
        <v>Karriärutveckling i socialt och kulturellt perspektiv</v>
      </c>
      <c r="C1219"/>
      <c r="D1219" t="s">
        <v>85</v>
      </c>
      <c r="E1219" t="s">
        <v>1609</v>
      </c>
      <c r="F1219" s="59" t="s">
        <v>1930</v>
      </c>
      <c r="G1219" t="s">
        <v>1990</v>
      </c>
      <c r="H1219" t="s">
        <v>1910</v>
      </c>
      <c r="I1219" t="s">
        <v>628</v>
      </c>
      <c r="J1219"/>
      <c r="K1219"/>
      <c r="L1219">
        <v>100</v>
      </c>
      <c r="M1219">
        <v>15</v>
      </c>
      <c r="N1219"/>
      <c r="O1219"/>
      <c r="P1219" s="31">
        <v>9</v>
      </c>
      <c r="Q1219" s="232">
        <f t="shared" si="636"/>
        <v>2.25</v>
      </c>
      <c r="R1219" s="40">
        <v>0.85</v>
      </c>
      <c r="S1219" s="334">
        <f t="shared" si="637"/>
        <v>1.9124999999999999</v>
      </c>
      <c r="T1219" s="31">
        <f>VLOOKUP(A1219,'Ansvar kurs'!$A$1:$C$1010,2,FALSE)</f>
        <v>2193</v>
      </c>
      <c r="U1219" s="31" t="str">
        <f>VLOOKUP(T1219,Orgenheter!$A$1:$C$165,2,FALSE)</f>
        <v xml:space="preserve">TUV </v>
      </c>
      <c r="V1219" s="31" t="str">
        <f>VLOOKUP(T1219,Orgenheter!$A$1:$C$165,3,FALSE)</f>
        <v>Sam</v>
      </c>
      <c r="W1219" s="37" t="str">
        <f>VLOOKUP(D1219,Program!$A$1:$B$34,2,FALSE)</f>
        <v>Studie- och yrkesvägledarprogram</v>
      </c>
      <c r="X1219" s="42">
        <f>VLOOKUP(A1219,kurspris!$A$1:$Q$798,15,FALSE)</f>
        <v>18405</v>
      </c>
      <c r="Y1219" s="42">
        <f>VLOOKUP(A1219,kurspris!$A$1:$Q$798,16,FALSE)</f>
        <v>15773</v>
      </c>
      <c r="Z1219" s="42">
        <f t="shared" si="638"/>
        <v>71577.112500000003</v>
      </c>
      <c r="AA1219" s="42">
        <f>VLOOKUP(A1219,kurspris!$A$1:$Q$798,17,FALSE)</f>
        <v>5800</v>
      </c>
      <c r="AB1219" s="42">
        <f t="shared" si="639"/>
        <v>13050</v>
      </c>
      <c r="AC1219" s="42">
        <f t="shared" si="640"/>
        <v>84627.112500000003</v>
      </c>
      <c r="AD1219" s="31">
        <f>VLOOKUP($A1219,kurspris!$A$1:$Q$835,3,FALSE)</f>
        <v>0</v>
      </c>
      <c r="AE1219" s="31">
        <f>VLOOKUP($A1219,kurspris!$A$1:$Q$835,4,FALSE)</f>
        <v>0</v>
      </c>
      <c r="AF1219" s="31">
        <f>VLOOKUP($A1219,kurspris!$A$1:$Q$835,5,FALSE)</f>
        <v>0</v>
      </c>
      <c r="AG1219" s="31">
        <f>VLOOKUP($A1219,kurspris!$A$1:$Q$835,6,FALSE)</f>
        <v>0</v>
      </c>
      <c r="AH1219" s="31">
        <f>VLOOKUP($A1219,kurspris!$A$1:$Q$835,7,FALSE)</f>
        <v>0</v>
      </c>
      <c r="AI1219" s="31">
        <f>VLOOKUP($A1219,kurspris!$A$1:$Q$835,8,FALSE)</f>
        <v>0</v>
      </c>
      <c r="AJ1219" s="31">
        <f>VLOOKUP($A1219,kurspris!$A$1:$Q$835,9,FALSE)</f>
        <v>1</v>
      </c>
      <c r="AK1219" s="31">
        <f>VLOOKUP($A1219,kurspris!$A$1:$Q$835,10,FALSE)</f>
        <v>0</v>
      </c>
      <c r="AL1219" s="31">
        <f>VLOOKUP($A1219,kurspris!$A$1:$Q$835,11,FALSE)</f>
        <v>0</v>
      </c>
      <c r="AM1219" s="31">
        <f>VLOOKUP($A1219,kurspris!$A$1:$Q$835,12,FALSE)</f>
        <v>0</v>
      </c>
      <c r="AN1219" s="31">
        <f>VLOOKUP($A1219,kurspris!$A$1:$Q$835,13,FALSE)</f>
        <v>0</v>
      </c>
      <c r="AO1219" s="31">
        <f>VLOOKUP($A1219,kurspris!$A$1:$Q$835,14,FALSE)</f>
        <v>0</v>
      </c>
      <c r="AP1219" s="39" t="s">
        <v>2204</v>
      </c>
      <c r="AQ1219"/>
      <c r="AR1219" s="31">
        <f t="shared" si="641"/>
        <v>0</v>
      </c>
      <c r="AS1219" s="255">
        <f t="shared" si="642"/>
        <v>0</v>
      </c>
      <c r="AT1219" s="31">
        <f t="shared" si="643"/>
        <v>0</v>
      </c>
      <c r="AU1219" s="255">
        <f t="shared" si="644"/>
        <v>0</v>
      </c>
      <c r="AV1219" s="31">
        <f t="shared" si="645"/>
        <v>0</v>
      </c>
      <c r="AW1219" s="31">
        <f t="shared" si="646"/>
        <v>0</v>
      </c>
      <c r="AX1219" s="31">
        <f t="shared" si="647"/>
        <v>0</v>
      </c>
      <c r="AY1219" s="255">
        <f t="shared" si="648"/>
        <v>0</v>
      </c>
      <c r="AZ1219" s="232">
        <f t="shared" si="649"/>
        <v>0</v>
      </c>
      <c r="BA1219" s="255">
        <f t="shared" si="650"/>
        <v>0</v>
      </c>
      <c r="BB1219" s="31">
        <f t="shared" si="651"/>
        <v>0</v>
      </c>
      <c r="BC1219" s="255">
        <f t="shared" si="652"/>
        <v>0</v>
      </c>
      <c r="BD1219" s="31">
        <f t="shared" si="653"/>
        <v>2.25</v>
      </c>
      <c r="BE1219" s="255">
        <f t="shared" si="654"/>
        <v>1.9124999999999999</v>
      </c>
      <c r="BF1219" s="31">
        <f t="shared" si="655"/>
        <v>0</v>
      </c>
      <c r="BG1219" s="255">
        <f t="shared" si="656"/>
        <v>0</v>
      </c>
      <c r="BH1219" s="31">
        <f t="shared" si="657"/>
        <v>0</v>
      </c>
      <c r="BI1219" s="255">
        <f t="shared" si="658"/>
        <v>0</v>
      </c>
      <c r="BJ1219" s="31">
        <f t="shared" si="659"/>
        <v>0</v>
      </c>
      <c r="BK1219" s="31">
        <f t="shared" si="660"/>
        <v>0</v>
      </c>
      <c r="BL1219" s="255">
        <f t="shared" si="661"/>
        <v>0</v>
      </c>
      <c r="BM1219" s="31">
        <f t="shared" si="662"/>
        <v>0</v>
      </c>
      <c r="BN1219" s="255">
        <f t="shared" si="663"/>
        <v>0</v>
      </c>
    </row>
    <row r="1220" spans="1:66" x14ac:dyDescent="0.25">
      <c r="A1220" t="s">
        <v>901</v>
      </c>
      <c r="B1220" s="186" t="str">
        <f>VLOOKUP(A1220,kurspris!$A$1:$B$877,2,FALSE)</f>
        <v>Karriärutveckling i socialt och kulturellt perspektiv</v>
      </c>
      <c r="C1220"/>
      <c r="D1220" t="s">
        <v>85</v>
      </c>
      <c r="E1220" t="s">
        <v>1609</v>
      </c>
      <c r="F1220" s="59" t="s">
        <v>1930</v>
      </c>
      <c r="G1220" t="s">
        <v>1990</v>
      </c>
      <c r="H1220" t="s">
        <v>1910</v>
      </c>
      <c r="I1220" t="s">
        <v>1536</v>
      </c>
      <c r="J1220"/>
      <c r="K1220"/>
      <c r="L1220">
        <v>100</v>
      </c>
      <c r="M1220">
        <v>15</v>
      </c>
      <c r="N1220"/>
      <c r="O1220"/>
      <c r="P1220" s="31">
        <v>1</v>
      </c>
      <c r="Q1220" s="232">
        <f t="shared" si="636"/>
        <v>0.25</v>
      </c>
      <c r="R1220" s="40">
        <v>0.85</v>
      </c>
      <c r="S1220" s="334">
        <f t="shared" si="637"/>
        <v>0.21249999999999999</v>
      </c>
      <c r="T1220" s="31">
        <f>VLOOKUP(A1220,'Ansvar kurs'!$A$1:$C$1010,2,FALSE)</f>
        <v>2193</v>
      </c>
      <c r="U1220" s="31" t="str">
        <f>VLOOKUP(T1220,Orgenheter!$A$1:$C$165,2,FALSE)</f>
        <v xml:space="preserve">TUV </v>
      </c>
      <c r="V1220" s="31" t="str">
        <f>VLOOKUP(T1220,Orgenheter!$A$1:$C$165,3,FALSE)</f>
        <v>Sam</v>
      </c>
      <c r="W1220" s="37" t="str">
        <f>VLOOKUP(D1220,Program!$A$1:$B$34,2,FALSE)</f>
        <v>Studie- och yrkesvägledarprogram</v>
      </c>
      <c r="X1220" s="42">
        <f>VLOOKUP(A1220,kurspris!$A$1:$Q$798,15,FALSE)</f>
        <v>18405</v>
      </c>
      <c r="Y1220" s="42">
        <f>VLOOKUP(A1220,kurspris!$A$1:$Q$798,16,FALSE)</f>
        <v>15773</v>
      </c>
      <c r="Z1220" s="42">
        <f t="shared" si="638"/>
        <v>7953.0124999999998</v>
      </c>
      <c r="AA1220" s="42">
        <f>VLOOKUP(A1220,kurspris!$A$1:$Q$798,17,FALSE)</f>
        <v>5800</v>
      </c>
      <c r="AB1220" s="42">
        <f t="shared" si="639"/>
        <v>1450</v>
      </c>
      <c r="AC1220" s="42">
        <f t="shared" si="640"/>
        <v>9403.0125000000007</v>
      </c>
      <c r="AD1220" s="31">
        <f>VLOOKUP($A1220,kurspris!$A$1:$Q$835,3,FALSE)</f>
        <v>0</v>
      </c>
      <c r="AE1220" s="31">
        <f>VLOOKUP($A1220,kurspris!$A$1:$Q$835,4,FALSE)</f>
        <v>0</v>
      </c>
      <c r="AF1220" s="31">
        <f>VLOOKUP($A1220,kurspris!$A$1:$Q$835,5,FALSE)</f>
        <v>0</v>
      </c>
      <c r="AG1220" s="31">
        <f>VLOOKUP($A1220,kurspris!$A$1:$Q$835,6,FALSE)</f>
        <v>0</v>
      </c>
      <c r="AH1220" s="31">
        <f>VLOOKUP($A1220,kurspris!$A$1:$Q$835,7,FALSE)</f>
        <v>0</v>
      </c>
      <c r="AI1220" s="31">
        <f>VLOOKUP($A1220,kurspris!$A$1:$Q$835,8,FALSE)</f>
        <v>0</v>
      </c>
      <c r="AJ1220" s="31">
        <f>VLOOKUP($A1220,kurspris!$A$1:$Q$835,9,FALSE)</f>
        <v>1</v>
      </c>
      <c r="AK1220" s="31">
        <f>VLOOKUP($A1220,kurspris!$A$1:$Q$835,10,FALSE)</f>
        <v>0</v>
      </c>
      <c r="AL1220" s="31">
        <f>VLOOKUP($A1220,kurspris!$A$1:$Q$835,11,FALSE)</f>
        <v>0</v>
      </c>
      <c r="AM1220" s="31">
        <f>VLOOKUP($A1220,kurspris!$A$1:$Q$835,12,FALSE)</f>
        <v>0</v>
      </c>
      <c r="AN1220" s="31">
        <f>VLOOKUP($A1220,kurspris!$A$1:$Q$835,13,FALSE)</f>
        <v>0</v>
      </c>
      <c r="AO1220" s="31">
        <f>VLOOKUP($A1220,kurspris!$A$1:$Q$835,14,FALSE)</f>
        <v>0</v>
      </c>
      <c r="AP1220" s="39" t="s">
        <v>2204</v>
      </c>
      <c r="AQ1220"/>
      <c r="AR1220" s="31">
        <f t="shared" si="641"/>
        <v>0</v>
      </c>
      <c r="AS1220" s="255">
        <f t="shared" si="642"/>
        <v>0</v>
      </c>
      <c r="AT1220" s="31">
        <f t="shared" si="643"/>
        <v>0</v>
      </c>
      <c r="AU1220" s="255">
        <f t="shared" si="644"/>
        <v>0</v>
      </c>
      <c r="AV1220" s="31">
        <f t="shared" si="645"/>
        <v>0</v>
      </c>
      <c r="AW1220" s="31">
        <f t="shared" si="646"/>
        <v>0</v>
      </c>
      <c r="AX1220" s="31">
        <f t="shared" si="647"/>
        <v>0</v>
      </c>
      <c r="AY1220" s="255">
        <f t="shared" si="648"/>
        <v>0</v>
      </c>
      <c r="AZ1220" s="232">
        <f t="shared" si="649"/>
        <v>0</v>
      </c>
      <c r="BA1220" s="255">
        <f t="shared" si="650"/>
        <v>0</v>
      </c>
      <c r="BB1220" s="31">
        <f t="shared" si="651"/>
        <v>0</v>
      </c>
      <c r="BC1220" s="255">
        <f t="shared" si="652"/>
        <v>0</v>
      </c>
      <c r="BD1220" s="31">
        <f t="shared" si="653"/>
        <v>0.25</v>
      </c>
      <c r="BE1220" s="255">
        <f t="shared" si="654"/>
        <v>0.21249999999999999</v>
      </c>
      <c r="BF1220" s="31">
        <f t="shared" si="655"/>
        <v>0</v>
      </c>
      <c r="BG1220" s="255">
        <f t="shared" si="656"/>
        <v>0</v>
      </c>
      <c r="BH1220" s="31">
        <f t="shared" si="657"/>
        <v>0</v>
      </c>
      <c r="BI1220" s="255">
        <f t="shared" si="658"/>
        <v>0</v>
      </c>
      <c r="BJ1220" s="31">
        <f t="shared" si="659"/>
        <v>0</v>
      </c>
      <c r="BK1220" s="31">
        <f t="shared" si="660"/>
        <v>0</v>
      </c>
      <c r="BL1220" s="255">
        <f t="shared" si="661"/>
        <v>0</v>
      </c>
      <c r="BM1220" s="31">
        <f t="shared" si="662"/>
        <v>0</v>
      </c>
      <c r="BN1220" s="255">
        <f t="shared" si="663"/>
        <v>0</v>
      </c>
    </row>
    <row r="1221" spans="1:66" x14ac:dyDescent="0.25">
      <c r="A1221" t="s">
        <v>901</v>
      </c>
      <c r="B1221" s="186" t="str">
        <f>VLOOKUP(A1221,kurspris!$A$1:$B$877,2,FALSE)</f>
        <v>Karriärutveckling i socialt och kulturellt perspektiv</v>
      </c>
      <c r="C1221"/>
      <c r="D1221" t="s">
        <v>85</v>
      </c>
      <c r="E1221" t="s">
        <v>1609</v>
      </c>
      <c r="F1221" s="59" t="s">
        <v>1930</v>
      </c>
      <c r="G1221" t="s">
        <v>1990</v>
      </c>
      <c r="H1221" t="s">
        <v>1910</v>
      </c>
      <c r="I1221" t="s">
        <v>1536</v>
      </c>
      <c r="J1221"/>
      <c r="K1221"/>
      <c r="L1221">
        <v>100</v>
      </c>
      <c r="M1221">
        <v>15</v>
      </c>
      <c r="N1221"/>
      <c r="O1221"/>
      <c r="P1221" s="31">
        <v>1</v>
      </c>
      <c r="Q1221" s="232">
        <f t="shared" si="636"/>
        <v>0.25</v>
      </c>
      <c r="R1221" s="40">
        <v>0.85</v>
      </c>
      <c r="S1221" s="334">
        <f t="shared" si="637"/>
        <v>0.21249999999999999</v>
      </c>
      <c r="T1221" s="31">
        <f>VLOOKUP(A1221,'Ansvar kurs'!$A$1:$C$1010,2,FALSE)</f>
        <v>2193</v>
      </c>
      <c r="U1221" s="31" t="str">
        <f>VLOOKUP(T1221,Orgenheter!$A$1:$C$165,2,FALSE)</f>
        <v xml:space="preserve">TUV </v>
      </c>
      <c r="V1221" s="31" t="str">
        <f>VLOOKUP(T1221,Orgenheter!$A$1:$C$165,3,FALSE)</f>
        <v>Sam</v>
      </c>
      <c r="W1221" s="37" t="str">
        <f>VLOOKUP(D1221,Program!$A$1:$B$34,2,FALSE)</f>
        <v>Studie- och yrkesvägledarprogram</v>
      </c>
      <c r="X1221" s="42">
        <f>VLOOKUP(A1221,kurspris!$A$1:$Q$798,15,FALSE)</f>
        <v>18405</v>
      </c>
      <c r="Y1221" s="42">
        <f>VLOOKUP(A1221,kurspris!$A$1:$Q$798,16,FALSE)</f>
        <v>15773</v>
      </c>
      <c r="Z1221" s="42">
        <f t="shared" si="638"/>
        <v>7953.0124999999998</v>
      </c>
      <c r="AA1221" s="42">
        <f>VLOOKUP(A1221,kurspris!$A$1:$Q$798,17,FALSE)</f>
        <v>5800</v>
      </c>
      <c r="AB1221" s="42">
        <f t="shared" si="639"/>
        <v>1450</v>
      </c>
      <c r="AC1221" s="42">
        <f t="shared" si="640"/>
        <v>9403.0125000000007</v>
      </c>
      <c r="AD1221" s="31">
        <f>VLOOKUP($A1221,kurspris!$A$1:$Q$835,3,FALSE)</f>
        <v>0</v>
      </c>
      <c r="AE1221" s="31">
        <f>VLOOKUP($A1221,kurspris!$A$1:$Q$835,4,FALSE)</f>
        <v>0</v>
      </c>
      <c r="AF1221" s="31">
        <f>VLOOKUP($A1221,kurspris!$A$1:$Q$835,5,FALSE)</f>
        <v>0</v>
      </c>
      <c r="AG1221" s="31">
        <f>VLOOKUP($A1221,kurspris!$A$1:$Q$835,6,FALSE)</f>
        <v>0</v>
      </c>
      <c r="AH1221" s="31">
        <f>VLOOKUP($A1221,kurspris!$A$1:$Q$835,7,FALSE)</f>
        <v>0</v>
      </c>
      <c r="AI1221" s="31">
        <f>VLOOKUP($A1221,kurspris!$A$1:$Q$835,8,FALSE)</f>
        <v>0</v>
      </c>
      <c r="AJ1221" s="31">
        <f>VLOOKUP($A1221,kurspris!$A$1:$Q$835,9,FALSE)</f>
        <v>1</v>
      </c>
      <c r="AK1221" s="31">
        <f>VLOOKUP($A1221,kurspris!$A$1:$Q$835,10,FALSE)</f>
        <v>0</v>
      </c>
      <c r="AL1221" s="31">
        <f>VLOOKUP($A1221,kurspris!$A$1:$Q$835,11,FALSE)</f>
        <v>0</v>
      </c>
      <c r="AM1221" s="31">
        <f>VLOOKUP($A1221,kurspris!$A$1:$Q$835,12,FALSE)</f>
        <v>0</v>
      </c>
      <c r="AN1221" s="31">
        <f>VLOOKUP($A1221,kurspris!$A$1:$Q$835,13,FALSE)</f>
        <v>0</v>
      </c>
      <c r="AO1221" s="31">
        <f>VLOOKUP($A1221,kurspris!$A$1:$Q$835,14,FALSE)</f>
        <v>0</v>
      </c>
      <c r="AP1221" s="39" t="s">
        <v>2204</v>
      </c>
      <c r="AQ1221"/>
      <c r="AR1221" s="31">
        <f t="shared" si="641"/>
        <v>0</v>
      </c>
      <c r="AS1221" s="255">
        <f t="shared" si="642"/>
        <v>0</v>
      </c>
      <c r="AT1221" s="31">
        <f t="shared" si="643"/>
        <v>0</v>
      </c>
      <c r="AU1221" s="255">
        <f t="shared" si="644"/>
        <v>0</v>
      </c>
      <c r="AV1221" s="31">
        <f t="shared" si="645"/>
        <v>0</v>
      </c>
      <c r="AW1221" s="31">
        <f t="shared" si="646"/>
        <v>0</v>
      </c>
      <c r="AX1221" s="31">
        <f t="shared" si="647"/>
        <v>0</v>
      </c>
      <c r="AY1221" s="255">
        <f t="shared" si="648"/>
        <v>0</v>
      </c>
      <c r="AZ1221" s="232">
        <f t="shared" si="649"/>
        <v>0</v>
      </c>
      <c r="BA1221" s="255">
        <f t="shared" si="650"/>
        <v>0</v>
      </c>
      <c r="BB1221" s="31">
        <f t="shared" si="651"/>
        <v>0</v>
      </c>
      <c r="BC1221" s="255">
        <f t="shared" si="652"/>
        <v>0</v>
      </c>
      <c r="BD1221" s="31">
        <f t="shared" si="653"/>
        <v>0.25</v>
      </c>
      <c r="BE1221" s="255">
        <f t="shared" si="654"/>
        <v>0.21249999999999999</v>
      </c>
      <c r="BF1221" s="31">
        <f t="shared" si="655"/>
        <v>0</v>
      </c>
      <c r="BG1221" s="255">
        <f t="shared" si="656"/>
        <v>0</v>
      </c>
      <c r="BH1221" s="31">
        <f t="shared" si="657"/>
        <v>0</v>
      </c>
      <c r="BI1221" s="255">
        <f t="shared" si="658"/>
        <v>0</v>
      </c>
      <c r="BJ1221" s="31">
        <f t="shared" si="659"/>
        <v>0</v>
      </c>
      <c r="BK1221" s="31">
        <f t="shared" si="660"/>
        <v>0</v>
      </c>
      <c r="BL1221" s="255">
        <f t="shared" si="661"/>
        <v>0</v>
      </c>
      <c r="BM1221" s="31">
        <f t="shared" si="662"/>
        <v>0</v>
      </c>
      <c r="BN1221" s="255">
        <f t="shared" si="663"/>
        <v>0</v>
      </c>
    </row>
    <row r="1222" spans="1:66" x14ac:dyDescent="0.25">
      <c r="A1222" t="s">
        <v>901</v>
      </c>
      <c r="B1222" s="186" t="str">
        <f>VLOOKUP(A1222,kurspris!$A$1:$B$877,2,FALSE)</f>
        <v>Karriärutveckling i socialt och kulturellt perspektiv</v>
      </c>
      <c r="C1222"/>
      <c r="D1222" t="s">
        <v>85</v>
      </c>
      <c r="E1222" t="s">
        <v>1609</v>
      </c>
      <c r="F1222" s="59" t="s">
        <v>1930</v>
      </c>
      <c r="G1222" t="s">
        <v>1990</v>
      </c>
      <c r="H1222" t="s">
        <v>1910</v>
      </c>
      <c r="I1222" t="s">
        <v>1536</v>
      </c>
      <c r="J1222"/>
      <c r="K1222"/>
      <c r="L1222">
        <v>100</v>
      </c>
      <c r="M1222">
        <v>15</v>
      </c>
      <c r="N1222"/>
      <c r="O1222"/>
      <c r="P1222" s="31">
        <v>19</v>
      </c>
      <c r="Q1222" s="232">
        <f t="shared" si="636"/>
        <v>4.75</v>
      </c>
      <c r="R1222" s="40">
        <v>0.85</v>
      </c>
      <c r="S1222" s="334">
        <f t="shared" si="637"/>
        <v>4.0374999999999996</v>
      </c>
      <c r="T1222" s="31">
        <f>VLOOKUP(A1222,'Ansvar kurs'!$A$1:$C$1010,2,FALSE)</f>
        <v>2193</v>
      </c>
      <c r="U1222" s="31" t="str">
        <f>VLOOKUP(T1222,Orgenheter!$A$1:$C$165,2,FALSE)</f>
        <v xml:space="preserve">TUV </v>
      </c>
      <c r="V1222" s="31" t="str">
        <f>VLOOKUP(T1222,Orgenheter!$A$1:$C$165,3,FALSE)</f>
        <v>Sam</v>
      </c>
      <c r="W1222" s="37" t="str">
        <f>VLOOKUP(D1222,Program!$A$1:$B$34,2,FALSE)</f>
        <v>Studie- och yrkesvägledarprogram</v>
      </c>
      <c r="X1222" s="42">
        <f>VLOOKUP(A1222,kurspris!$A$1:$Q$798,15,FALSE)</f>
        <v>18405</v>
      </c>
      <c r="Y1222" s="42">
        <f>VLOOKUP(A1222,kurspris!$A$1:$Q$798,16,FALSE)</f>
        <v>15773</v>
      </c>
      <c r="Z1222" s="42">
        <f t="shared" si="638"/>
        <v>151107.23749999999</v>
      </c>
      <c r="AA1222" s="42">
        <f>VLOOKUP(A1222,kurspris!$A$1:$Q$798,17,FALSE)</f>
        <v>5800</v>
      </c>
      <c r="AB1222" s="42">
        <f t="shared" si="639"/>
        <v>27550</v>
      </c>
      <c r="AC1222" s="42">
        <f t="shared" si="640"/>
        <v>178657.23749999999</v>
      </c>
      <c r="AD1222" s="31">
        <f>VLOOKUP($A1222,kurspris!$A$1:$Q$835,3,FALSE)</f>
        <v>0</v>
      </c>
      <c r="AE1222" s="31">
        <f>VLOOKUP($A1222,kurspris!$A$1:$Q$835,4,FALSE)</f>
        <v>0</v>
      </c>
      <c r="AF1222" s="31">
        <f>VLOOKUP($A1222,kurspris!$A$1:$Q$835,5,FALSE)</f>
        <v>0</v>
      </c>
      <c r="AG1222" s="31">
        <f>VLOOKUP($A1222,kurspris!$A$1:$Q$835,6,FALSE)</f>
        <v>0</v>
      </c>
      <c r="AH1222" s="31">
        <f>VLOOKUP($A1222,kurspris!$A$1:$Q$835,7,FALSE)</f>
        <v>0</v>
      </c>
      <c r="AI1222" s="31">
        <f>VLOOKUP($A1222,kurspris!$A$1:$Q$835,8,FALSE)</f>
        <v>0</v>
      </c>
      <c r="AJ1222" s="31">
        <f>VLOOKUP($A1222,kurspris!$A$1:$Q$835,9,FALSE)</f>
        <v>1</v>
      </c>
      <c r="AK1222" s="31">
        <f>VLOOKUP($A1222,kurspris!$A$1:$Q$835,10,FALSE)</f>
        <v>0</v>
      </c>
      <c r="AL1222" s="31">
        <f>VLOOKUP($A1222,kurspris!$A$1:$Q$835,11,FALSE)</f>
        <v>0</v>
      </c>
      <c r="AM1222" s="31">
        <f>VLOOKUP($A1222,kurspris!$A$1:$Q$835,12,FALSE)</f>
        <v>0</v>
      </c>
      <c r="AN1222" s="31">
        <f>VLOOKUP($A1222,kurspris!$A$1:$Q$835,13,FALSE)</f>
        <v>0</v>
      </c>
      <c r="AO1222" s="31">
        <f>VLOOKUP($A1222,kurspris!$A$1:$Q$835,14,FALSE)</f>
        <v>0</v>
      </c>
      <c r="AP1222" s="39" t="s">
        <v>2204</v>
      </c>
      <c r="AQ1222"/>
      <c r="AR1222" s="31">
        <f t="shared" si="641"/>
        <v>0</v>
      </c>
      <c r="AS1222" s="255">
        <f t="shared" si="642"/>
        <v>0</v>
      </c>
      <c r="AT1222" s="31">
        <f t="shared" si="643"/>
        <v>0</v>
      </c>
      <c r="AU1222" s="255">
        <f t="shared" si="644"/>
        <v>0</v>
      </c>
      <c r="AV1222" s="31">
        <f t="shared" si="645"/>
        <v>0</v>
      </c>
      <c r="AW1222" s="31">
        <f t="shared" si="646"/>
        <v>0</v>
      </c>
      <c r="AX1222" s="31">
        <f t="shared" si="647"/>
        <v>0</v>
      </c>
      <c r="AY1222" s="255">
        <f t="shared" si="648"/>
        <v>0</v>
      </c>
      <c r="AZ1222" s="232">
        <f t="shared" si="649"/>
        <v>0</v>
      </c>
      <c r="BA1222" s="255">
        <f t="shared" si="650"/>
        <v>0</v>
      </c>
      <c r="BB1222" s="31">
        <f t="shared" si="651"/>
        <v>0</v>
      </c>
      <c r="BC1222" s="255">
        <f t="shared" si="652"/>
        <v>0</v>
      </c>
      <c r="BD1222" s="31">
        <f t="shared" si="653"/>
        <v>4.75</v>
      </c>
      <c r="BE1222" s="255">
        <f t="shared" si="654"/>
        <v>4.0374999999999996</v>
      </c>
      <c r="BF1222" s="31">
        <f t="shared" si="655"/>
        <v>0</v>
      </c>
      <c r="BG1222" s="255">
        <f t="shared" si="656"/>
        <v>0</v>
      </c>
      <c r="BH1222" s="31">
        <f t="shared" si="657"/>
        <v>0</v>
      </c>
      <c r="BI1222" s="255">
        <f t="shared" si="658"/>
        <v>0</v>
      </c>
      <c r="BJ1222" s="31">
        <f t="shared" si="659"/>
        <v>0</v>
      </c>
      <c r="BK1222" s="31">
        <f t="shared" si="660"/>
        <v>0</v>
      </c>
      <c r="BL1222" s="255">
        <f t="shared" si="661"/>
        <v>0</v>
      </c>
      <c r="BM1222" s="31">
        <f t="shared" si="662"/>
        <v>0</v>
      </c>
      <c r="BN1222" s="255">
        <f t="shared" si="663"/>
        <v>0</v>
      </c>
    </row>
    <row r="1223" spans="1:66" x14ac:dyDescent="0.25">
      <c r="A1223" s="18" t="s">
        <v>903</v>
      </c>
      <c r="B1223" s="186" t="str">
        <f>VLOOKUP(A1223,kurspris!$A$1:$B$877,2,FALSE)</f>
        <v>Karriärvägledning och andra insatser för människor i behov av särskilt stöd</v>
      </c>
      <c r="C1223" s="37"/>
      <c r="D1223" s="31" t="s">
        <v>85</v>
      </c>
      <c r="E1223" s="31" t="s">
        <v>1973</v>
      </c>
      <c r="F1223" s="59" t="s">
        <v>1931</v>
      </c>
      <c r="G1223" s="31" t="s">
        <v>2270</v>
      </c>
      <c r="I1223" t="s">
        <v>1536</v>
      </c>
      <c r="L1223" s="31">
        <v>100</v>
      </c>
      <c r="M1223" s="31">
        <v>10</v>
      </c>
      <c r="P1223" s="31">
        <v>2</v>
      </c>
      <c r="Q1223" s="232">
        <f t="shared" si="636"/>
        <v>0.33333333333333331</v>
      </c>
      <c r="R1223" s="40">
        <v>0.85</v>
      </c>
      <c r="S1223" s="334">
        <f t="shared" si="637"/>
        <v>0.28333333333333333</v>
      </c>
      <c r="T1223" s="31">
        <f>VLOOKUP(A1223,'Ansvar kurs'!$A$1:$C$1010,2,FALSE)</f>
        <v>2193</v>
      </c>
      <c r="U1223" s="31" t="str">
        <f>VLOOKUP(T1223,Orgenheter!$A$1:$C$165,2,FALSE)</f>
        <v xml:space="preserve">TUV </v>
      </c>
      <c r="V1223" s="31" t="str">
        <f>VLOOKUP(T1223,Orgenheter!$A$1:$C$165,3,FALSE)</f>
        <v>Sam</v>
      </c>
      <c r="W1223" s="37" t="str">
        <f>VLOOKUP(D1223,Program!$A$1:$B$34,2,FALSE)</f>
        <v>Studie- och yrkesvägledarprogram</v>
      </c>
      <c r="X1223" s="42">
        <f>VLOOKUP(A1223,kurspris!$A$1:$Q$798,15,FALSE)</f>
        <v>22339.8</v>
      </c>
      <c r="Y1223" s="42">
        <f>VLOOKUP(A1223,kurspris!$A$1:$Q$798,16,FALSE)</f>
        <v>20219.2</v>
      </c>
      <c r="Z1223" s="42">
        <f t="shared" si="638"/>
        <v>13175.373333333333</v>
      </c>
      <c r="AA1223" s="42">
        <f>VLOOKUP(A1223,kurspris!$A$1:$Q$798,17,FALSE)</f>
        <v>5800</v>
      </c>
      <c r="AB1223" s="42">
        <f t="shared" si="639"/>
        <v>1933.3333333333333</v>
      </c>
      <c r="AC1223" s="42">
        <f t="shared" si="640"/>
        <v>15108.706666666667</v>
      </c>
      <c r="AD1223" s="31">
        <f>VLOOKUP($A1223,kurspris!$A$1:$Q$835,3,FALSE)</f>
        <v>0</v>
      </c>
      <c r="AE1223" s="31">
        <f>VLOOKUP($A1223,kurspris!$A$1:$Q$835,4,FALSE)</f>
        <v>0</v>
      </c>
      <c r="AF1223" s="31">
        <f>VLOOKUP($A1223,kurspris!$A$1:$Q$835,5,FALSE)</f>
        <v>0</v>
      </c>
      <c r="AG1223" s="31">
        <f>VLOOKUP($A1223,kurspris!$A$1:$Q$835,6,FALSE)</f>
        <v>0</v>
      </c>
      <c r="AH1223" s="31">
        <f>VLOOKUP($A1223,kurspris!$A$1:$Q$835,7,FALSE)</f>
        <v>0</v>
      </c>
      <c r="AI1223" s="31">
        <f>VLOOKUP($A1223,kurspris!$A$1:$Q$835,8,FALSE)</f>
        <v>0</v>
      </c>
      <c r="AJ1223" s="31">
        <f>VLOOKUP($A1223,kurspris!$A$1:$Q$835,9,FALSE)</f>
        <v>0.8</v>
      </c>
      <c r="AK1223" s="31">
        <f>VLOOKUP($A1223,kurspris!$A$1:$Q$835,10,FALSE)</f>
        <v>0</v>
      </c>
      <c r="AL1223" s="31">
        <f>VLOOKUP($A1223,kurspris!$A$1:$Q$835,11,FALSE)</f>
        <v>0</v>
      </c>
      <c r="AM1223" s="31">
        <f>VLOOKUP($A1223,kurspris!$A$1:$Q$835,12,FALSE)</f>
        <v>0</v>
      </c>
      <c r="AN1223" s="31">
        <f>VLOOKUP($A1223,kurspris!$A$1:$Q$835,13,FALSE)</f>
        <v>0</v>
      </c>
      <c r="AO1223" s="31">
        <f>VLOOKUP($A1223,kurspris!$A$1:$Q$835,14,FALSE)</f>
        <v>0.2</v>
      </c>
      <c r="AP1223" s="39" t="s">
        <v>2326</v>
      </c>
      <c r="AQ1223"/>
      <c r="AR1223" s="31">
        <f t="shared" si="641"/>
        <v>0</v>
      </c>
      <c r="AS1223" s="255">
        <f t="shared" si="642"/>
        <v>0</v>
      </c>
      <c r="AT1223" s="31">
        <f t="shared" si="643"/>
        <v>0</v>
      </c>
      <c r="AU1223" s="255">
        <f t="shared" si="644"/>
        <v>0</v>
      </c>
      <c r="AV1223" s="31">
        <f t="shared" si="645"/>
        <v>0</v>
      </c>
      <c r="AW1223" s="31">
        <f t="shared" si="646"/>
        <v>0</v>
      </c>
      <c r="AX1223" s="31">
        <f t="shared" si="647"/>
        <v>0</v>
      </c>
      <c r="AY1223" s="255">
        <f t="shared" si="648"/>
        <v>0</v>
      </c>
      <c r="AZ1223" s="232">
        <f t="shared" si="649"/>
        <v>0</v>
      </c>
      <c r="BA1223" s="255">
        <f t="shared" si="650"/>
        <v>0</v>
      </c>
      <c r="BB1223" s="31">
        <f t="shared" si="651"/>
        <v>0</v>
      </c>
      <c r="BC1223" s="255">
        <f t="shared" si="652"/>
        <v>0</v>
      </c>
      <c r="BD1223" s="31">
        <f t="shared" si="653"/>
        <v>0.26666666666666666</v>
      </c>
      <c r="BE1223" s="255">
        <f t="shared" si="654"/>
        <v>0.22666666666666668</v>
      </c>
      <c r="BF1223" s="31">
        <f t="shared" si="655"/>
        <v>0</v>
      </c>
      <c r="BG1223" s="255">
        <f t="shared" si="656"/>
        <v>0</v>
      </c>
      <c r="BH1223" s="31">
        <f t="shared" si="657"/>
        <v>0</v>
      </c>
      <c r="BI1223" s="255">
        <f t="shared" si="658"/>
        <v>0</v>
      </c>
      <c r="BJ1223" s="31">
        <f t="shared" si="659"/>
        <v>0</v>
      </c>
      <c r="BK1223" s="31">
        <f t="shared" si="660"/>
        <v>0</v>
      </c>
      <c r="BL1223" s="255">
        <f t="shared" si="661"/>
        <v>0</v>
      </c>
      <c r="BM1223" s="31">
        <f t="shared" si="662"/>
        <v>6.6666666666666666E-2</v>
      </c>
      <c r="BN1223" s="255">
        <f t="shared" si="663"/>
        <v>5.6666666666666671E-2</v>
      </c>
    </row>
    <row r="1224" spans="1:66" x14ac:dyDescent="0.25">
      <c r="A1224" s="18" t="s">
        <v>903</v>
      </c>
      <c r="B1224" s="186" t="str">
        <f>VLOOKUP(A1224,kurspris!$A$1:$B$877,2,FALSE)</f>
        <v>Karriärvägledning och andra insatser för människor i behov av särskilt stöd</v>
      </c>
      <c r="C1224" s="37"/>
      <c r="D1224" s="31" t="s">
        <v>85</v>
      </c>
      <c r="E1224" s="31" t="s">
        <v>1609</v>
      </c>
      <c r="F1224" s="59" t="s">
        <v>1931</v>
      </c>
      <c r="G1224" s="31" t="s">
        <v>2270</v>
      </c>
      <c r="I1224" t="s">
        <v>628</v>
      </c>
      <c r="L1224" s="31">
        <v>100</v>
      </c>
      <c r="M1224" s="31">
        <v>10</v>
      </c>
      <c r="P1224" s="31">
        <v>12</v>
      </c>
      <c r="Q1224" s="232">
        <f t="shared" si="636"/>
        <v>2</v>
      </c>
      <c r="R1224" s="40">
        <v>0.85</v>
      </c>
      <c r="S1224" s="334">
        <f t="shared" si="637"/>
        <v>1.7</v>
      </c>
      <c r="T1224" s="31">
        <f>VLOOKUP(A1224,'Ansvar kurs'!$A$1:$C$1010,2,FALSE)</f>
        <v>2193</v>
      </c>
      <c r="U1224" s="31" t="str">
        <f>VLOOKUP(T1224,Orgenheter!$A$1:$C$165,2,FALSE)</f>
        <v xml:space="preserve">TUV </v>
      </c>
      <c r="V1224" s="31" t="str">
        <f>VLOOKUP(T1224,Orgenheter!$A$1:$C$165,3,FALSE)</f>
        <v>Sam</v>
      </c>
      <c r="W1224" s="37" t="str">
        <f>VLOOKUP(D1224,Program!$A$1:$B$34,2,FALSE)</f>
        <v>Studie- och yrkesvägledarprogram</v>
      </c>
      <c r="X1224" s="42">
        <f>VLOOKUP(A1224,kurspris!$A$1:$Q$798,15,FALSE)</f>
        <v>22339.8</v>
      </c>
      <c r="Y1224" s="42">
        <f>VLOOKUP(A1224,kurspris!$A$1:$Q$798,16,FALSE)</f>
        <v>20219.2</v>
      </c>
      <c r="Z1224" s="42">
        <f t="shared" si="638"/>
        <v>79052.239999999991</v>
      </c>
      <c r="AA1224" s="42">
        <f>VLOOKUP(A1224,kurspris!$A$1:$Q$798,17,FALSE)</f>
        <v>5800</v>
      </c>
      <c r="AB1224" s="42">
        <f t="shared" si="639"/>
        <v>11600</v>
      </c>
      <c r="AC1224" s="42">
        <f t="shared" si="640"/>
        <v>90652.239999999991</v>
      </c>
      <c r="AD1224" s="31">
        <f>VLOOKUP($A1224,kurspris!$A$1:$Q$835,3,FALSE)</f>
        <v>0</v>
      </c>
      <c r="AE1224" s="31">
        <f>VLOOKUP($A1224,kurspris!$A$1:$Q$835,4,FALSE)</f>
        <v>0</v>
      </c>
      <c r="AF1224" s="31">
        <f>VLOOKUP($A1224,kurspris!$A$1:$Q$835,5,FALSE)</f>
        <v>0</v>
      </c>
      <c r="AG1224" s="31">
        <f>VLOOKUP($A1224,kurspris!$A$1:$Q$835,6,FALSE)</f>
        <v>0</v>
      </c>
      <c r="AH1224" s="31">
        <f>VLOOKUP($A1224,kurspris!$A$1:$Q$835,7,FALSE)</f>
        <v>0</v>
      </c>
      <c r="AI1224" s="31">
        <f>VLOOKUP($A1224,kurspris!$A$1:$Q$835,8,FALSE)</f>
        <v>0</v>
      </c>
      <c r="AJ1224" s="31">
        <f>VLOOKUP($A1224,kurspris!$A$1:$Q$835,9,FALSE)</f>
        <v>0.8</v>
      </c>
      <c r="AK1224" s="31">
        <f>VLOOKUP($A1224,kurspris!$A$1:$Q$835,10,FALSE)</f>
        <v>0</v>
      </c>
      <c r="AL1224" s="31">
        <f>VLOOKUP($A1224,kurspris!$A$1:$Q$835,11,FALSE)</f>
        <v>0</v>
      </c>
      <c r="AM1224" s="31">
        <f>VLOOKUP($A1224,kurspris!$A$1:$Q$835,12,FALSE)</f>
        <v>0</v>
      </c>
      <c r="AN1224" s="31">
        <f>VLOOKUP($A1224,kurspris!$A$1:$Q$835,13,FALSE)</f>
        <v>0</v>
      </c>
      <c r="AO1224" s="31">
        <f>VLOOKUP($A1224,kurspris!$A$1:$Q$835,14,FALSE)</f>
        <v>0.2</v>
      </c>
      <c r="AP1224" s="39" t="s">
        <v>2326</v>
      </c>
      <c r="AQ1224"/>
      <c r="AR1224" s="31">
        <f t="shared" si="641"/>
        <v>0</v>
      </c>
      <c r="AS1224" s="255">
        <f t="shared" si="642"/>
        <v>0</v>
      </c>
      <c r="AT1224" s="31">
        <f t="shared" si="643"/>
        <v>0</v>
      </c>
      <c r="AU1224" s="255">
        <f t="shared" si="644"/>
        <v>0</v>
      </c>
      <c r="AV1224" s="31">
        <f t="shared" si="645"/>
        <v>0</v>
      </c>
      <c r="AW1224" s="31">
        <f t="shared" si="646"/>
        <v>0</v>
      </c>
      <c r="AX1224" s="31">
        <f t="shared" si="647"/>
        <v>0</v>
      </c>
      <c r="AY1224" s="255">
        <f t="shared" si="648"/>
        <v>0</v>
      </c>
      <c r="AZ1224" s="232">
        <f t="shared" si="649"/>
        <v>0</v>
      </c>
      <c r="BA1224" s="255">
        <f t="shared" si="650"/>
        <v>0</v>
      </c>
      <c r="BB1224" s="31">
        <f t="shared" si="651"/>
        <v>0</v>
      </c>
      <c r="BC1224" s="255">
        <f t="shared" si="652"/>
        <v>0</v>
      </c>
      <c r="BD1224" s="31">
        <f t="shared" si="653"/>
        <v>1.6</v>
      </c>
      <c r="BE1224" s="255">
        <f t="shared" si="654"/>
        <v>1.36</v>
      </c>
      <c r="BF1224" s="31">
        <f t="shared" si="655"/>
        <v>0</v>
      </c>
      <c r="BG1224" s="255">
        <f t="shared" si="656"/>
        <v>0</v>
      </c>
      <c r="BH1224" s="31">
        <f t="shared" si="657"/>
        <v>0</v>
      </c>
      <c r="BI1224" s="255">
        <f t="shared" si="658"/>
        <v>0</v>
      </c>
      <c r="BJ1224" s="31">
        <f t="shared" si="659"/>
        <v>0</v>
      </c>
      <c r="BK1224" s="31">
        <f t="shared" si="660"/>
        <v>0</v>
      </c>
      <c r="BL1224" s="255">
        <f t="shared" si="661"/>
        <v>0</v>
      </c>
      <c r="BM1224" s="31">
        <f t="shared" si="662"/>
        <v>0.4</v>
      </c>
      <c r="BN1224" s="255">
        <f t="shared" si="663"/>
        <v>0.34</v>
      </c>
    </row>
    <row r="1225" spans="1:66" x14ac:dyDescent="0.25">
      <c r="A1225" s="18" t="s">
        <v>903</v>
      </c>
      <c r="B1225" s="186" t="str">
        <f>VLOOKUP(A1225,kurspris!$A$1:$B$877,2,FALSE)</f>
        <v>Karriärvägledning och andra insatser för människor i behov av särskilt stöd</v>
      </c>
      <c r="C1225" s="37"/>
      <c r="D1225" s="31" t="s">
        <v>85</v>
      </c>
      <c r="E1225" s="31" t="s">
        <v>1609</v>
      </c>
      <c r="F1225" s="59" t="s">
        <v>1931</v>
      </c>
      <c r="G1225" s="31" t="s">
        <v>2270</v>
      </c>
      <c r="I1225" t="s">
        <v>1536</v>
      </c>
      <c r="L1225" s="31">
        <v>100</v>
      </c>
      <c r="M1225" s="31">
        <v>10</v>
      </c>
      <c r="P1225" s="31">
        <v>19</v>
      </c>
      <c r="Q1225" s="232">
        <f t="shared" si="636"/>
        <v>3.1666666666666665</v>
      </c>
      <c r="R1225" s="40">
        <v>0.85</v>
      </c>
      <c r="S1225" s="334">
        <f t="shared" si="637"/>
        <v>2.6916666666666664</v>
      </c>
      <c r="T1225" s="31">
        <f>VLOOKUP(A1225,'Ansvar kurs'!$A$1:$C$1010,2,FALSE)</f>
        <v>2193</v>
      </c>
      <c r="U1225" s="31" t="str">
        <f>VLOOKUP(T1225,Orgenheter!$A$1:$C$165,2,FALSE)</f>
        <v xml:space="preserve">TUV </v>
      </c>
      <c r="V1225" s="31" t="str">
        <f>VLOOKUP(T1225,Orgenheter!$A$1:$C$165,3,FALSE)</f>
        <v>Sam</v>
      </c>
      <c r="W1225" s="37" t="str">
        <f>VLOOKUP(D1225,Program!$A$1:$B$34,2,FALSE)</f>
        <v>Studie- och yrkesvägledarprogram</v>
      </c>
      <c r="X1225" s="42">
        <f>VLOOKUP(A1225,kurspris!$A$1:$Q$798,15,FALSE)</f>
        <v>22339.8</v>
      </c>
      <c r="Y1225" s="42">
        <f>VLOOKUP(A1225,kurspris!$A$1:$Q$798,16,FALSE)</f>
        <v>20219.2</v>
      </c>
      <c r="Z1225" s="42">
        <f t="shared" si="638"/>
        <v>125166.04666666666</v>
      </c>
      <c r="AA1225" s="42">
        <f>VLOOKUP(A1225,kurspris!$A$1:$Q$798,17,FALSE)</f>
        <v>5800</v>
      </c>
      <c r="AB1225" s="42">
        <f t="shared" si="639"/>
        <v>18366.666666666664</v>
      </c>
      <c r="AC1225" s="42">
        <f t="shared" si="640"/>
        <v>143532.71333333332</v>
      </c>
      <c r="AD1225" s="31">
        <f>VLOOKUP($A1225,kurspris!$A$1:$Q$835,3,FALSE)</f>
        <v>0</v>
      </c>
      <c r="AE1225" s="31">
        <f>VLOOKUP($A1225,kurspris!$A$1:$Q$835,4,FALSE)</f>
        <v>0</v>
      </c>
      <c r="AF1225" s="31">
        <f>VLOOKUP($A1225,kurspris!$A$1:$Q$835,5,FALSE)</f>
        <v>0</v>
      </c>
      <c r="AG1225" s="31">
        <f>VLOOKUP($A1225,kurspris!$A$1:$Q$835,6,FALSE)</f>
        <v>0</v>
      </c>
      <c r="AH1225" s="31">
        <f>VLOOKUP($A1225,kurspris!$A$1:$Q$835,7,FALSE)</f>
        <v>0</v>
      </c>
      <c r="AI1225" s="31">
        <f>VLOOKUP($A1225,kurspris!$A$1:$Q$835,8,FALSE)</f>
        <v>0</v>
      </c>
      <c r="AJ1225" s="31">
        <f>VLOOKUP($A1225,kurspris!$A$1:$Q$835,9,FALSE)</f>
        <v>0.8</v>
      </c>
      <c r="AK1225" s="31">
        <f>VLOOKUP($A1225,kurspris!$A$1:$Q$835,10,FALSE)</f>
        <v>0</v>
      </c>
      <c r="AL1225" s="31">
        <f>VLOOKUP($A1225,kurspris!$A$1:$Q$835,11,FALSE)</f>
        <v>0</v>
      </c>
      <c r="AM1225" s="31">
        <f>VLOOKUP($A1225,kurspris!$A$1:$Q$835,12,FALSE)</f>
        <v>0</v>
      </c>
      <c r="AN1225" s="31">
        <f>VLOOKUP($A1225,kurspris!$A$1:$Q$835,13,FALSE)</f>
        <v>0</v>
      </c>
      <c r="AO1225" s="31">
        <f>VLOOKUP($A1225,kurspris!$A$1:$Q$835,14,FALSE)</f>
        <v>0.2</v>
      </c>
      <c r="AP1225" s="39" t="s">
        <v>2326</v>
      </c>
      <c r="AQ1225"/>
      <c r="AR1225" s="31">
        <f t="shared" si="641"/>
        <v>0</v>
      </c>
      <c r="AS1225" s="255">
        <f t="shared" si="642"/>
        <v>0</v>
      </c>
      <c r="AT1225" s="31">
        <f t="shared" si="643"/>
        <v>0</v>
      </c>
      <c r="AU1225" s="255">
        <f t="shared" si="644"/>
        <v>0</v>
      </c>
      <c r="AV1225" s="31">
        <f t="shared" si="645"/>
        <v>0</v>
      </c>
      <c r="AW1225" s="31">
        <f t="shared" si="646"/>
        <v>0</v>
      </c>
      <c r="AX1225" s="31">
        <f t="shared" si="647"/>
        <v>0</v>
      </c>
      <c r="AY1225" s="255">
        <f t="shared" si="648"/>
        <v>0</v>
      </c>
      <c r="AZ1225" s="232">
        <f t="shared" si="649"/>
        <v>0</v>
      </c>
      <c r="BA1225" s="255">
        <f t="shared" si="650"/>
        <v>0</v>
      </c>
      <c r="BB1225" s="31">
        <f t="shared" si="651"/>
        <v>0</v>
      </c>
      <c r="BC1225" s="255">
        <f t="shared" si="652"/>
        <v>0</v>
      </c>
      <c r="BD1225" s="31">
        <f t="shared" si="653"/>
        <v>2.5333333333333332</v>
      </c>
      <c r="BE1225" s="255">
        <f t="shared" si="654"/>
        <v>2.1533333333333333</v>
      </c>
      <c r="BF1225" s="31">
        <f t="shared" si="655"/>
        <v>0</v>
      </c>
      <c r="BG1225" s="255">
        <f t="shared" si="656"/>
        <v>0</v>
      </c>
      <c r="BH1225" s="31">
        <f t="shared" si="657"/>
        <v>0</v>
      </c>
      <c r="BI1225" s="255">
        <f t="shared" si="658"/>
        <v>0</v>
      </c>
      <c r="BJ1225" s="31">
        <f t="shared" si="659"/>
        <v>0</v>
      </c>
      <c r="BK1225" s="31">
        <f t="shared" si="660"/>
        <v>0</v>
      </c>
      <c r="BL1225" s="255">
        <f t="shared" si="661"/>
        <v>0</v>
      </c>
      <c r="BM1225" s="31">
        <f t="shared" si="662"/>
        <v>0.6333333333333333</v>
      </c>
      <c r="BN1225" s="255">
        <f t="shared" si="663"/>
        <v>0.53833333333333333</v>
      </c>
    </row>
    <row r="1226" spans="1:66" x14ac:dyDescent="0.25">
      <c r="A1226" s="18" t="s">
        <v>903</v>
      </c>
      <c r="B1226" s="186" t="str">
        <f>VLOOKUP(A1226,kurspris!$A$1:$B$877,2,FALSE)</f>
        <v>Karriärvägledning och andra insatser för människor i behov av särskilt stöd</v>
      </c>
      <c r="C1226" s="37"/>
      <c r="D1226" s="31" t="s">
        <v>85</v>
      </c>
      <c r="E1226" s="31" t="s">
        <v>1788</v>
      </c>
      <c r="F1226" s="59" t="s">
        <v>1931</v>
      </c>
      <c r="G1226" s="31" t="s">
        <v>2270</v>
      </c>
      <c r="I1226" t="s">
        <v>1536</v>
      </c>
      <c r="L1226" s="31">
        <v>100</v>
      </c>
      <c r="M1226" s="31">
        <v>10</v>
      </c>
      <c r="P1226" s="31">
        <v>1</v>
      </c>
      <c r="Q1226" s="232">
        <f t="shared" si="636"/>
        <v>0.16666666666666666</v>
      </c>
      <c r="R1226" s="40">
        <v>0.85</v>
      </c>
      <c r="S1226" s="334">
        <f t="shared" si="637"/>
        <v>0.14166666666666666</v>
      </c>
      <c r="T1226" s="31">
        <f>VLOOKUP(A1226,'Ansvar kurs'!$A$1:$C$1010,2,FALSE)</f>
        <v>2193</v>
      </c>
      <c r="U1226" s="31" t="str">
        <f>VLOOKUP(T1226,Orgenheter!$A$1:$C$165,2,FALSE)</f>
        <v xml:space="preserve">TUV </v>
      </c>
      <c r="V1226" s="31" t="str">
        <f>VLOOKUP(T1226,Orgenheter!$A$1:$C$165,3,FALSE)</f>
        <v>Sam</v>
      </c>
      <c r="W1226" s="37" t="str">
        <f>VLOOKUP(D1226,Program!$A$1:$B$34,2,FALSE)</f>
        <v>Studie- och yrkesvägledarprogram</v>
      </c>
      <c r="X1226" s="42">
        <f>VLOOKUP(A1226,kurspris!$A$1:$Q$798,15,FALSE)</f>
        <v>22339.8</v>
      </c>
      <c r="Y1226" s="42">
        <f>VLOOKUP(A1226,kurspris!$A$1:$Q$798,16,FALSE)</f>
        <v>20219.2</v>
      </c>
      <c r="Z1226" s="42">
        <f t="shared" si="638"/>
        <v>6587.6866666666665</v>
      </c>
      <c r="AA1226" s="42">
        <f>VLOOKUP(A1226,kurspris!$A$1:$Q$798,17,FALSE)</f>
        <v>5800</v>
      </c>
      <c r="AB1226" s="42">
        <f t="shared" si="639"/>
        <v>966.66666666666663</v>
      </c>
      <c r="AC1226" s="42">
        <f t="shared" si="640"/>
        <v>7554.3533333333335</v>
      </c>
      <c r="AD1226" s="31">
        <f>VLOOKUP($A1226,kurspris!$A$1:$Q$835,3,FALSE)</f>
        <v>0</v>
      </c>
      <c r="AE1226" s="31">
        <f>VLOOKUP($A1226,kurspris!$A$1:$Q$835,4,FALSE)</f>
        <v>0</v>
      </c>
      <c r="AF1226" s="31">
        <f>VLOOKUP($A1226,kurspris!$A$1:$Q$835,5,FALSE)</f>
        <v>0</v>
      </c>
      <c r="AG1226" s="31">
        <f>VLOOKUP($A1226,kurspris!$A$1:$Q$835,6,FALSE)</f>
        <v>0</v>
      </c>
      <c r="AH1226" s="31">
        <f>VLOOKUP($A1226,kurspris!$A$1:$Q$835,7,FALSE)</f>
        <v>0</v>
      </c>
      <c r="AI1226" s="31">
        <f>VLOOKUP($A1226,kurspris!$A$1:$Q$835,8,FALSE)</f>
        <v>0</v>
      </c>
      <c r="AJ1226" s="31">
        <f>VLOOKUP($A1226,kurspris!$A$1:$Q$835,9,FALSE)</f>
        <v>0.8</v>
      </c>
      <c r="AK1226" s="31">
        <f>VLOOKUP($A1226,kurspris!$A$1:$Q$835,10,FALSE)</f>
        <v>0</v>
      </c>
      <c r="AL1226" s="31">
        <f>VLOOKUP($A1226,kurspris!$A$1:$Q$835,11,FALSE)</f>
        <v>0</v>
      </c>
      <c r="AM1226" s="31">
        <f>VLOOKUP($A1226,kurspris!$A$1:$Q$835,12,FALSE)</f>
        <v>0</v>
      </c>
      <c r="AN1226" s="31">
        <f>VLOOKUP($A1226,kurspris!$A$1:$Q$835,13,FALSE)</f>
        <v>0</v>
      </c>
      <c r="AO1226" s="31">
        <f>VLOOKUP($A1226,kurspris!$A$1:$Q$835,14,FALSE)</f>
        <v>0.2</v>
      </c>
      <c r="AP1226" s="39" t="s">
        <v>2326</v>
      </c>
      <c r="AQ1226"/>
      <c r="AR1226" s="31">
        <f t="shared" si="641"/>
        <v>0</v>
      </c>
      <c r="AS1226" s="255">
        <f t="shared" si="642"/>
        <v>0</v>
      </c>
      <c r="AT1226" s="31">
        <f t="shared" si="643"/>
        <v>0</v>
      </c>
      <c r="AU1226" s="255">
        <f t="shared" si="644"/>
        <v>0</v>
      </c>
      <c r="AV1226" s="31">
        <f t="shared" si="645"/>
        <v>0</v>
      </c>
      <c r="AW1226" s="31">
        <f t="shared" si="646"/>
        <v>0</v>
      </c>
      <c r="AX1226" s="31">
        <f t="shared" si="647"/>
        <v>0</v>
      </c>
      <c r="AY1226" s="255">
        <f t="shared" si="648"/>
        <v>0</v>
      </c>
      <c r="AZ1226" s="232">
        <f t="shared" si="649"/>
        <v>0</v>
      </c>
      <c r="BA1226" s="255">
        <f t="shared" si="650"/>
        <v>0</v>
      </c>
      <c r="BB1226" s="31">
        <f t="shared" si="651"/>
        <v>0</v>
      </c>
      <c r="BC1226" s="255">
        <f t="shared" si="652"/>
        <v>0</v>
      </c>
      <c r="BD1226" s="31">
        <f t="shared" si="653"/>
        <v>0.13333333333333333</v>
      </c>
      <c r="BE1226" s="255">
        <f t="shared" si="654"/>
        <v>0.11333333333333334</v>
      </c>
      <c r="BF1226" s="31">
        <f t="shared" si="655"/>
        <v>0</v>
      </c>
      <c r="BG1226" s="255">
        <f t="shared" si="656"/>
        <v>0</v>
      </c>
      <c r="BH1226" s="31">
        <f t="shared" si="657"/>
        <v>0</v>
      </c>
      <c r="BI1226" s="255">
        <f t="shared" si="658"/>
        <v>0</v>
      </c>
      <c r="BJ1226" s="31">
        <f t="shared" si="659"/>
        <v>0</v>
      </c>
      <c r="BK1226" s="31">
        <f t="shared" si="660"/>
        <v>0</v>
      </c>
      <c r="BL1226" s="255">
        <f t="shared" si="661"/>
        <v>0</v>
      </c>
      <c r="BM1226" s="31">
        <f t="shared" si="662"/>
        <v>3.3333333333333333E-2</v>
      </c>
      <c r="BN1226" s="255">
        <f t="shared" si="663"/>
        <v>2.8333333333333335E-2</v>
      </c>
    </row>
    <row r="1227" spans="1:66" x14ac:dyDescent="0.25">
      <c r="A1227" s="18" t="s">
        <v>903</v>
      </c>
      <c r="B1227" s="186" t="str">
        <f>VLOOKUP(A1227,kurspris!$A$1:$B$877,2,FALSE)</f>
        <v>Karriärvägledning och andra insatser för människor i behov av särskilt stöd</v>
      </c>
      <c r="C1227" s="37"/>
      <c r="D1227" s="31" t="s">
        <v>85</v>
      </c>
      <c r="E1227" s="31" t="s">
        <v>1931</v>
      </c>
      <c r="F1227" s="59" t="s">
        <v>1931</v>
      </c>
      <c r="G1227" s="31" t="s">
        <v>2270</v>
      </c>
      <c r="I1227" t="s">
        <v>628</v>
      </c>
      <c r="J1227" t="s">
        <v>1537</v>
      </c>
      <c r="L1227" s="31">
        <v>100</v>
      </c>
      <c r="M1227" s="31">
        <v>10</v>
      </c>
      <c r="P1227" s="31">
        <v>27</v>
      </c>
      <c r="Q1227" s="232">
        <f t="shared" si="636"/>
        <v>4.5</v>
      </c>
      <c r="R1227" s="40">
        <v>0.85</v>
      </c>
      <c r="S1227" s="334">
        <f t="shared" si="637"/>
        <v>3.8249999999999997</v>
      </c>
      <c r="T1227" s="31">
        <f>VLOOKUP(A1227,'Ansvar kurs'!$A$1:$C$1010,2,FALSE)</f>
        <v>2193</v>
      </c>
      <c r="U1227" s="31" t="str">
        <f>VLOOKUP(T1227,Orgenheter!$A$1:$C$165,2,FALSE)</f>
        <v xml:space="preserve">TUV </v>
      </c>
      <c r="V1227" s="31" t="str">
        <f>VLOOKUP(T1227,Orgenheter!$A$1:$C$165,3,FALSE)</f>
        <v>Sam</v>
      </c>
      <c r="W1227" s="37" t="str">
        <f>VLOOKUP(D1227,Program!$A$1:$B$34,2,FALSE)</f>
        <v>Studie- och yrkesvägledarprogram</v>
      </c>
      <c r="X1227" s="42">
        <f>VLOOKUP(A1227,kurspris!$A$1:$Q$798,15,FALSE)</f>
        <v>22339.8</v>
      </c>
      <c r="Y1227" s="42">
        <f>VLOOKUP(A1227,kurspris!$A$1:$Q$798,16,FALSE)</f>
        <v>20219.2</v>
      </c>
      <c r="Z1227" s="42">
        <f t="shared" si="638"/>
        <v>177867.53999999998</v>
      </c>
      <c r="AA1227" s="42">
        <f>VLOOKUP(A1227,kurspris!$A$1:$Q$798,17,FALSE)</f>
        <v>5800</v>
      </c>
      <c r="AB1227" s="42">
        <f t="shared" si="639"/>
        <v>26100</v>
      </c>
      <c r="AC1227" s="42">
        <f t="shared" si="640"/>
        <v>203967.53999999998</v>
      </c>
      <c r="AD1227" s="31">
        <f>VLOOKUP($A1227,kurspris!$A$1:$Q$835,3,FALSE)</f>
        <v>0</v>
      </c>
      <c r="AE1227" s="31">
        <f>VLOOKUP($A1227,kurspris!$A$1:$Q$835,4,FALSE)</f>
        <v>0</v>
      </c>
      <c r="AF1227" s="31">
        <f>VLOOKUP($A1227,kurspris!$A$1:$Q$835,5,FALSE)</f>
        <v>0</v>
      </c>
      <c r="AG1227" s="31">
        <f>VLOOKUP($A1227,kurspris!$A$1:$Q$835,6,FALSE)</f>
        <v>0</v>
      </c>
      <c r="AH1227" s="31">
        <f>VLOOKUP($A1227,kurspris!$A$1:$Q$835,7,FALSE)</f>
        <v>0</v>
      </c>
      <c r="AI1227" s="31">
        <f>VLOOKUP($A1227,kurspris!$A$1:$Q$835,8,FALSE)</f>
        <v>0</v>
      </c>
      <c r="AJ1227" s="31">
        <f>VLOOKUP($A1227,kurspris!$A$1:$Q$835,9,FALSE)</f>
        <v>0.8</v>
      </c>
      <c r="AK1227" s="31">
        <f>VLOOKUP($A1227,kurspris!$A$1:$Q$835,10,FALSE)</f>
        <v>0</v>
      </c>
      <c r="AL1227" s="31">
        <f>VLOOKUP($A1227,kurspris!$A$1:$Q$835,11,FALSE)</f>
        <v>0</v>
      </c>
      <c r="AM1227" s="31">
        <f>VLOOKUP($A1227,kurspris!$A$1:$Q$835,12,FALSE)</f>
        <v>0</v>
      </c>
      <c r="AN1227" s="31">
        <f>VLOOKUP($A1227,kurspris!$A$1:$Q$835,13,FALSE)</f>
        <v>0</v>
      </c>
      <c r="AO1227" s="31">
        <f>VLOOKUP($A1227,kurspris!$A$1:$Q$835,14,FALSE)</f>
        <v>0.2</v>
      </c>
      <c r="AP1227" s="39" t="s">
        <v>2326</v>
      </c>
      <c r="AQ1227"/>
      <c r="AR1227" s="31">
        <f t="shared" si="641"/>
        <v>0</v>
      </c>
      <c r="AS1227" s="255">
        <f t="shared" si="642"/>
        <v>0</v>
      </c>
      <c r="AT1227" s="31">
        <f t="shared" si="643"/>
        <v>0</v>
      </c>
      <c r="AU1227" s="255">
        <f t="shared" si="644"/>
        <v>0</v>
      </c>
      <c r="AV1227" s="31">
        <f t="shared" si="645"/>
        <v>0</v>
      </c>
      <c r="AW1227" s="31">
        <f t="shared" si="646"/>
        <v>0</v>
      </c>
      <c r="AX1227" s="31">
        <f t="shared" si="647"/>
        <v>0</v>
      </c>
      <c r="AY1227" s="255">
        <f t="shared" si="648"/>
        <v>0</v>
      </c>
      <c r="AZ1227" s="232">
        <f t="shared" si="649"/>
        <v>0</v>
      </c>
      <c r="BA1227" s="255">
        <f t="shared" si="650"/>
        <v>0</v>
      </c>
      <c r="BB1227" s="31">
        <f t="shared" si="651"/>
        <v>0</v>
      </c>
      <c r="BC1227" s="255">
        <f t="shared" si="652"/>
        <v>0</v>
      </c>
      <c r="BD1227" s="31">
        <f t="shared" si="653"/>
        <v>3.6</v>
      </c>
      <c r="BE1227" s="255">
        <f t="shared" si="654"/>
        <v>3.06</v>
      </c>
      <c r="BF1227" s="31">
        <f t="shared" si="655"/>
        <v>0</v>
      </c>
      <c r="BG1227" s="255">
        <f t="shared" si="656"/>
        <v>0</v>
      </c>
      <c r="BH1227" s="31">
        <f t="shared" si="657"/>
        <v>0</v>
      </c>
      <c r="BI1227" s="255">
        <f t="shared" si="658"/>
        <v>0</v>
      </c>
      <c r="BJ1227" s="31">
        <f t="shared" si="659"/>
        <v>0</v>
      </c>
      <c r="BK1227" s="31">
        <f t="shared" si="660"/>
        <v>0</v>
      </c>
      <c r="BL1227" s="255">
        <f t="shared" si="661"/>
        <v>0</v>
      </c>
      <c r="BM1227" s="31">
        <f t="shared" si="662"/>
        <v>0.9</v>
      </c>
      <c r="BN1227" s="255">
        <f t="shared" si="663"/>
        <v>0.76500000000000001</v>
      </c>
    </row>
    <row r="1228" spans="1:66" x14ac:dyDescent="0.25">
      <c r="A1228" s="18" t="s">
        <v>904</v>
      </c>
      <c r="B1228" s="186" t="str">
        <f>VLOOKUP(A1228,kurspris!$A$1:$B$877,2,FALSE)</f>
        <v>Karriärteori och vägledning</v>
      </c>
      <c r="C1228" s="37"/>
      <c r="D1228" s="31" t="s">
        <v>85</v>
      </c>
      <c r="E1228" s="31" t="s">
        <v>2266</v>
      </c>
      <c r="F1228" s="59" t="s">
        <v>1931</v>
      </c>
      <c r="G1228" s="31" t="s">
        <v>2277</v>
      </c>
      <c r="I1228" t="s">
        <v>628</v>
      </c>
      <c r="L1228" s="31">
        <v>100</v>
      </c>
      <c r="M1228" s="31">
        <v>12.5</v>
      </c>
      <c r="P1228" s="31">
        <v>1</v>
      </c>
      <c r="Q1228" s="232">
        <f t="shared" si="636"/>
        <v>0.20833333333333334</v>
      </c>
      <c r="R1228" s="40">
        <v>0.85</v>
      </c>
      <c r="S1228" s="334">
        <f t="shared" si="637"/>
        <v>0.17708333333333334</v>
      </c>
      <c r="T1228" s="31">
        <f>VLOOKUP(A1228,'Ansvar kurs'!$A$1:$C$1010,2,FALSE)</f>
        <v>2193</v>
      </c>
      <c r="U1228" s="31" t="str">
        <f>VLOOKUP(T1228,Orgenheter!$A$1:$C$165,2,FALSE)</f>
        <v xml:space="preserve">TUV </v>
      </c>
      <c r="V1228" s="31" t="str">
        <f>VLOOKUP(T1228,Orgenheter!$A$1:$C$165,3,FALSE)</f>
        <v>Sam</v>
      </c>
      <c r="W1228" s="37" t="str">
        <f>VLOOKUP(D1228,Program!$A$1:$B$34,2,FALSE)</f>
        <v>Studie- och yrkesvägledarprogram</v>
      </c>
      <c r="X1228" s="42">
        <f>VLOOKUP(A1228,kurspris!$A$1:$Q$798,15,FALSE)</f>
        <v>18405</v>
      </c>
      <c r="Y1228" s="42">
        <f>VLOOKUP(A1228,kurspris!$A$1:$Q$798,16,FALSE)</f>
        <v>15773</v>
      </c>
      <c r="Z1228" s="42">
        <f t="shared" si="638"/>
        <v>6627.510416666667</v>
      </c>
      <c r="AA1228" s="42">
        <f>VLOOKUP(A1228,kurspris!$A$1:$Q$798,17,FALSE)</f>
        <v>5800</v>
      </c>
      <c r="AB1228" s="42">
        <f t="shared" si="639"/>
        <v>1208.3333333333335</v>
      </c>
      <c r="AC1228" s="42">
        <f t="shared" si="640"/>
        <v>7835.84375</v>
      </c>
      <c r="AD1228" s="31">
        <f>VLOOKUP($A1228,kurspris!$A$1:$Q$835,3,FALSE)</f>
        <v>0</v>
      </c>
      <c r="AE1228" s="31">
        <f>VLOOKUP($A1228,kurspris!$A$1:$Q$835,4,FALSE)</f>
        <v>0</v>
      </c>
      <c r="AF1228" s="31">
        <f>VLOOKUP($A1228,kurspris!$A$1:$Q$835,5,FALSE)</f>
        <v>0</v>
      </c>
      <c r="AG1228" s="31">
        <f>VLOOKUP($A1228,kurspris!$A$1:$Q$835,6,FALSE)</f>
        <v>0</v>
      </c>
      <c r="AH1228" s="31">
        <f>VLOOKUP($A1228,kurspris!$A$1:$Q$835,7,FALSE)</f>
        <v>0</v>
      </c>
      <c r="AI1228" s="31">
        <f>VLOOKUP($A1228,kurspris!$A$1:$Q$835,8,FALSE)</f>
        <v>0</v>
      </c>
      <c r="AJ1228" s="31">
        <f>VLOOKUP($A1228,kurspris!$A$1:$Q$835,9,FALSE)</f>
        <v>1</v>
      </c>
      <c r="AK1228" s="31">
        <f>VLOOKUP($A1228,kurspris!$A$1:$Q$835,10,FALSE)</f>
        <v>0</v>
      </c>
      <c r="AL1228" s="31">
        <f>VLOOKUP($A1228,kurspris!$A$1:$Q$835,11,FALSE)</f>
        <v>0</v>
      </c>
      <c r="AM1228" s="31">
        <f>VLOOKUP($A1228,kurspris!$A$1:$Q$835,12,FALSE)</f>
        <v>0</v>
      </c>
      <c r="AN1228" s="31">
        <f>VLOOKUP($A1228,kurspris!$A$1:$Q$835,13,FALSE)</f>
        <v>0</v>
      </c>
      <c r="AO1228" s="31">
        <f>VLOOKUP($A1228,kurspris!$A$1:$Q$835,14,FALSE)</f>
        <v>0</v>
      </c>
      <c r="AP1228" s="39" t="s">
        <v>2326</v>
      </c>
      <c r="AQ1228"/>
      <c r="AR1228" s="31">
        <f t="shared" si="641"/>
        <v>0</v>
      </c>
      <c r="AS1228" s="255">
        <f t="shared" si="642"/>
        <v>0</v>
      </c>
      <c r="AT1228" s="31">
        <f t="shared" si="643"/>
        <v>0</v>
      </c>
      <c r="AU1228" s="255">
        <f t="shared" si="644"/>
        <v>0</v>
      </c>
      <c r="AV1228" s="31">
        <f t="shared" si="645"/>
        <v>0</v>
      </c>
      <c r="AW1228" s="31">
        <f t="shared" si="646"/>
        <v>0</v>
      </c>
      <c r="AX1228" s="31">
        <f t="shared" si="647"/>
        <v>0</v>
      </c>
      <c r="AY1228" s="255">
        <f t="shared" si="648"/>
        <v>0</v>
      </c>
      <c r="AZ1228" s="232">
        <f t="shared" si="649"/>
        <v>0</v>
      </c>
      <c r="BA1228" s="255">
        <f t="shared" si="650"/>
        <v>0</v>
      </c>
      <c r="BB1228" s="31">
        <f t="shared" si="651"/>
        <v>0</v>
      </c>
      <c r="BC1228" s="255">
        <f t="shared" si="652"/>
        <v>0</v>
      </c>
      <c r="BD1228" s="31">
        <f t="shared" si="653"/>
        <v>0.20833333333333334</v>
      </c>
      <c r="BE1228" s="255">
        <f t="shared" si="654"/>
        <v>0.17708333333333334</v>
      </c>
      <c r="BF1228" s="31">
        <f t="shared" si="655"/>
        <v>0</v>
      </c>
      <c r="BG1228" s="255">
        <f t="shared" si="656"/>
        <v>0</v>
      </c>
      <c r="BH1228" s="31">
        <f t="shared" si="657"/>
        <v>0</v>
      </c>
      <c r="BI1228" s="255">
        <f t="shared" si="658"/>
        <v>0</v>
      </c>
      <c r="BJ1228" s="31">
        <f t="shared" si="659"/>
        <v>0</v>
      </c>
      <c r="BK1228" s="31">
        <f t="shared" si="660"/>
        <v>0</v>
      </c>
      <c r="BL1228" s="255">
        <f t="shared" si="661"/>
        <v>0</v>
      </c>
      <c r="BM1228" s="31">
        <f t="shared" si="662"/>
        <v>0</v>
      </c>
      <c r="BN1228" s="255">
        <f t="shared" si="663"/>
        <v>0</v>
      </c>
    </row>
    <row r="1229" spans="1:66" x14ac:dyDescent="0.25">
      <c r="A1229" s="18" t="s">
        <v>904</v>
      </c>
      <c r="B1229" s="186" t="str">
        <f>VLOOKUP(A1229,kurspris!$A$1:$B$877,2,FALSE)</f>
        <v>Karriärteori och vägledning</v>
      </c>
      <c r="C1229" s="37"/>
      <c r="D1229" s="31" t="s">
        <v>85</v>
      </c>
      <c r="E1229" s="31" t="s">
        <v>1973</v>
      </c>
      <c r="F1229" s="59" t="s">
        <v>1931</v>
      </c>
      <c r="G1229" s="31" t="s">
        <v>2277</v>
      </c>
      <c r="I1229" t="s">
        <v>628</v>
      </c>
      <c r="L1229" s="31">
        <v>100</v>
      </c>
      <c r="M1229" s="31">
        <v>12.5</v>
      </c>
      <c r="P1229" s="31">
        <v>1</v>
      </c>
      <c r="Q1229" s="232">
        <f t="shared" si="636"/>
        <v>0.20833333333333334</v>
      </c>
      <c r="R1229" s="40">
        <v>0.85</v>
      </c>
      <c r="S1229" s="334">
        <f t="shared" si="637"/>
        <v>0.17708333333333334</v>
      </c>
      <c r="T1229" s="31">
        <f>VLOOKUP(A1229,'Ansvar kurs'!$A$1:$C$1010,2,FALSE)</f>
        <v>2193</v>
      </c>
      <c r="U1229" s="31" t="str">
        <f>VLOOKUP(T1229,Orgenheter!$A$1:$C$165,2,FALSE)</f>
        <v xml:space="preserve">TUV </v>
      </c>
      <c r="V1229" s="31" t="str">
        <f>VLOOKUP(T1229,Orgenheter!$A$1:$C$165,3,FALSE)</f>
        <v>Sam</v>
      </c>
      <c r="W1229" s="37" t="str">
        <f>VLOOKUP(D1229,Program!$A$1:$B$34,2,FALSE)</f>
        <v>Studie- och yrkesvägledarprogram</v>
      </c>
      <c r="X1229" s="42">
        <f>VLOOKUP(A1229,kurspris!$A$1:$Q$798,15,FALSE)</f>
        <v>18405</v>
      </c>
      <c r="Y1229" s="42">
        <f>VLOOKUP(A1229,kurspris!$A$1:$Q$798,16,FALSE)</f>
        <v>15773</v>
      </c>
      <c r="Z1229" s="42">
        <f t="shared" si="638"/>
        <v>6627.510416666667</v>
      </c>
      <c r="AA1229" s="42">
        <f>VLOOKUP(A1229,kurspris!$A$1:$Q$798,17,FALSE)</f>
        <v>5800</v>
      </c>
      <c r="AB1229" s="42">
        <f t="shared" si="639"/>
        <v>1208.3333333333335</v>
      </c>
      <c r="AC1229" s="42">
        <f t="shared" si="640"/>
        <v>7835.84375</v>
      </c>
      <c r="AD1229" s="31">
        <f>VLOOKUP($A1229,kurspris!$A$1:$Q$835,3,FALSE)</f>
        <v>0</v>
      </c>
      <c r="AE1229" s="31">
        <f>VLOOKUP($A1229,kurspris!$A$1:$Q$835,4,FALSE)</f>
        <v>0</v>
      </c>
      <c r="AF1229" s="31">
        <f>VLOOKUP($A1229,kurspris!$A$1:$Q$835,5,FALSE)</f>
        <v>0</v>
      </c>
      <c r="AG1229" s="31">
        <f>VLOOKUP($A1229,kurspris!$A$1:$Q$835,6,FALSE)</f>
        <v>0</v>
      </c>
      <c r="AH1229" s="31">
        <f>VLOOKUP($A1229,kurspris!$A$1:$Q$835,7,FALSE)</f>
        <v>0</v>
      </c>
      <c r="AI1229" s="31">
        <f>VLOOKUP($A1229,kurspris!$A$1:$Q$835,8,FALSE)</f>
        <v>0</v>
      </c>
      <c r="AJ1229" s="31">
        <f>VLOOKUP($A1229,kurspris!$A$1:$Q$835,9,FALSE)</f>
        <v>1</v>
      </c>
      <c r="AK1229" s="31">
        <f>VLOOKUP($A1229,kurspris!$A$1:$Q$835,10,FALSE)</f>
        <v>0</v>
      </c>
      <c r="AL1229" s="31">
        <f>VLOOKUP($A1229,kurspris!$A$1:$Q$835,11,FALSE)</f>
        <v>0</v>
      </c>
      <c r="AM1229" s="31">
        <f>VLOOKUP($A1229,kurspris!$A$1:$Q$835,12,FALSE)</f>
        <v>0</v>
      </c>
      <c r="AN1229" s="31">
        <f>VLOOKUP($A1229,kurspris!$A$1:$Q$835,13,FALSE)</f>
        <v>0</v>
      </c>
      <c r="AO1229" s="31">
        <f>VLOOKUP($A1229,kurspris!$A$1:$Q$835,14,FALSE)</f>
        <v>0</v>
      </c>
      <c r="AP1229" s="39" t="s">
        <v>2326</v>
      </c>
      <c r="AQ1229"/>
      <c r="AR1229" s="31">
        <f t="shared" si="641"/>
        <v>0</v>
      </c>
      <c r="AS1229" s="255">
        <f t="shared" si="642"/>
        <v>0</v>
      </c>
      <c r="AT1229" s="31">
        <f t="shared" si="643"/>
        <v>0</v>
      </c>
      <c r="AU1229" s="255">
        <f t="shared" si="644"/>
        <v>0</v>
      </c>
      <c r="AV1229" s="31">
        <f t="shared" si="645"/>
        <v>0</v>
      </c>
      <c r="AW1229" s="31">
        <f t="shared" si="646"/>
        <v>0</v>
      </c>
      <c r="AX1229" s="31">
        <f t="shared" si="647"/>
        <v>0</v>
      </c>
      <c r="AY1229" s="255">
        <f t="shared" si="648"/>
        <v>0</v>
      </c>
      <c r="AZ1229" s="232">
        <f t="shared" si="649"/>
        <v>0</v>
      </c>
      <c r="BA1229" s="255">
        <f t="shared" si="650"/>
        <v>0</v>
      </c>
      <c r="BB1229" s="31">
        <f t="shared" si="651"/>
        <v>0</v>
      </c>
      <c r="BC1229" s="255">
        <f t="shared" si="652"/>
        <v>0</v>
      </c>
      <c r="BD1229" s="31">
        <f t="shared" si="653"/>
        <v>0.20833333333333334</v>
      </c>
      <c r="BE1229" s="255">
        <f t="shared" si="654"/>
        <v>0.17708333333333334</v>
      </c>
      <c r="BF1229" s="31">
        <f t="shared" si="655"/>
        <v>0</v>
      </c>
      <c r="BG1229" s="255">
        <f t="shared" si="656"/>
        <v>0</v>
      </c>
      <c r="BH1229" s="31">
        <f t="shared" si="657"/>
        <v>0</v>
      </c>
      <c r="BI1229" s="255">
        <f t="shared" si="658"/>
        <v>0</v>
      </c>
      <c r="BJ1229" s="31">
        <f t="shared" si="659"/>
        <v>0</v>
      </c>
      <c r="BK1229" s="31">
        <f t="shared" si="660"/>
        <v>0</v>
      </c>
      <c r="BL1229" s="255">
        <f t="shared" si="661"/>
        <v>0</v>
      </c>
      <c r="BM1229" s="31">
        <f t="shared" si="662"/>
        <v>0</v>
      </c>
      <c r="BN1229" s="255">
        <f t="shared" si="663"/>
        <v>0</v>
      </c>
    </row>
    <row r="1230" spans="1:66" x14ac:dyDescent="0.25">
      <c r="A1230" s="18" t="s">
        <v>904</v>
      </c>
      <c r="B1230" s="186" t="str">
        <f>VLOOKUP(A1230,kurspris!$A$1:$B$877,2,FALSE)</f>
        <v>Karriärteori och vägledning</v>
      </c>
      <c r="C1230" s="37"/>
      <c r="D1230" s="31" t="s">
        <v>85</v>
      </c>
      <c r="E1230" s="31" t="s">
        <v>1973</v>
      </c>
      <c r="F1230" s="59" t="s">
        <v>1931</v>
      </c>
      <c r="G1230" s="31" t="s">
        <v>2277</v>
      </c>
      <c r="I1230" t="s">
        <v>1536</v>
      </c>
      <c r="L1230" s="31">
        <v>100</v>
      </c>
      <c r="M1230" s="31">
        <v>12.5</v>
      </c>
      <c r="P1230" s="31">
        <v>1</v>
      </c>
      <c r="Q1230" s="232">
        <f t="shared" si="636"/>
        <v>0.20833333333333334</v>
      </c>
      <c r="R1230" s="40">
        <v>0.85</v>
      </c>
      <c r="S1230" s="334">
        <f t="shared" si="637"/>
        <v>0.17708333333333334</v>
      </c>
      <c r="T1230" s="31">
        <f>VLOOKUP(A1230,'Ansvar kurs'!$A$1:$C$1010,2,FALSE)</f>
        <v>2193</v>
      </c>
      <c r="U1230" s="31" t="str">
        <f>VLOOKUP(T1230,Orgenheter!$A$1:$C$165,2,FALSE)</f>
        <v xml:space="preserve">TUV </v>
      </c>
      <c r="V1230" s="31" t="str">
        <f>VLOOKUP(T1230,Orgenheter!$A$1:$C$165,3,FALSE)</f>
        <v>Sam</v>
      </c>
      <c r="W1230" s="37" t="str">
        <f>VLOOKUP(D1230,Program!$A$1:$B$34,2,FALSE)</f>
        <v>Studie- och yrkesvägledarprogram</v>
      </c>
      <c r="X1230" s="42">
        <f>VLOOKUP(A1230,kurspris!$A$1:$Q$798,15,FALSE)</f>
        <v>18405</v>
      </c>
      <c r="Y1230" s="42">
        <f>VLOOKUP(A1230,kurspris!$A$1:$Q$798,16,FALSE)</f>
        <v>15773</v>
      </c>
      <c r="Z1230" s="42">
        <f t="shared" si="638"/>
        <v>6627.510416666667</v>
      </c>
      <c r="AA1230" s="42">
        <f>VLOOKUP(A1230,kurspris!$A$1:$Q$798,17,FALSE)</f>
        <v>5800</v>
      </c>
      <c r="AB1230" s="42">
        <f t="shared" si="639"/>
        <v>1208.3333333333335</v>
      </c>
      <c r="AC1230" s="42">
        <f t="shared" si="640"/>
        <v>7835.84375</v>
      </c>
      <c r="AD1230" s="31">
        <f>VLOOKUP($A1230,kurspris!$A$1:$Q$835,3,FALSE)</f>
        <v>0</v>
      </c>
      <c r="AE1230" s="31">
        <f>VLOOKUP($A1230,kurspris!$A$1:$Q$835,4,FALSE)</f>
        <v>0</v>
      </c>
      <c r="AF1230" s="31">
        <f>VLOOKUP($A1230,kurspris!$A$1:$Q$835,5,FALSE)</f>
        <v>0</v>
      </c>
      <c r="AG1230" s="31">
        <f>VLOOKUP($A1230,kurspris!$A$1:$Q$835,6,FALSE)</f>
        <v>0</v>
      </c>
      <c r="AH1230" s="31">
        <f>VLOOKUP($A1230,kurspris!$A$1:$Q$835,7,FALSE)</f>
        <v>0</v>
      </c>
      <c r="AI1230" s="31">
        <f>VLOOKUP($A1230,kurspris!$A$1:$Q$835,8,FALSE)</f>
        <v>0</v>
      </c>
      <c r="AJ1230" s="31">
        <f>VLOOKUP($A1230,kurspris!$A$1:$Q$835,9,FALSE)</f>
        <v>1</v>
      </c>
      <c r="AK1230" s="31">
        <f>VLOOKUP($A1230,kurspris!$A$1:$Q$835,10,FALSE)</f>
        <v>0</v>
      </c>
      <c r="AL1230" s="31">
        <f>VLOOKUP($A1230,kurspris!$A$1:$Q$835,11,FALSE)</f>
        <v>0</v>
      </c>
      <c r="AM1230" s="31">
        <f>VLOOKUP($A1230,kurspris!$A$1:$Q$835,12,FALSE)</f>
        <v>0</v>
      </c>
      <c r="AN1230" s="31">
        <f>VLOOKUP($A1230,kurspris!$A$1:$Q$835,13,FALSE)</f>
        <v>0</v>
      </c>
      <c r="AO1230" s="31">
        <f>VLOOKUP($A1230,kurspris!$A$1:$Q$835,14,FALSE)</f>
        <v>0</v>
      </c>
      <c r="AP1230" s="39" t="s">
        <v>2326</v>
      </c>
      <c r="AQ1230"/>
      <c r="AR1230" s="31">
        <f t="shared" si="641"/>
        <v>0</v>
      </c>
      <c r="AS1230" s="255">
        <f t="shared" si="642"/>
        <v>0</v>
      </c>
      <c r="AT1230" s="31">
        <f t="shared" si="643"/>
        <v>0</v>
      </c>
      <c r="AU1230" s="255">
        <f t="shared" si="644"/>
        <v>0</v>
      </c>
      <c r="AV1230" s="31">
        <f t="shared" si="645"/>
        <v>0</v>
      </c>
      <c r="AW1230" s="31">
        <f t="shared" si="646"/>
        <v>0</v>
      </c>
      <c r="AX1230" s="31">
        <f t="shared" si="647"/>
        <v>0</v>
      </c>
      <c r="AY1230" s="255">
        <f t="shared" si="648"/>
        <v>0</v>
      </c>
      <c r="AZ1230" s="232">
        <f t="shared" si="649"/>
        <v>0</v>
      </c>
      <c r="BA1230" s="255">
        <f t="shared" si="650"/>
        <v>0</v>
      </c>
      <c r="BB1230" s="31">
        <f t="shared" si="651"/>
        <v>0</v>
      </c>
      <c r="BC1230" s="255">
        <f t="shared" si="652"/>
        <v>0</v>
      </c>
      <c r="BD1230" s="31">
        <f t="shared" si="653"/>
        <v>0.20833333333333334</v>
      </c>
      <c r="BE1230" s="255">
        <f t="shared" si="654"/>
        <v>0.17708333333333334</v>
      </c>
      <c r="BF1230" s="31">
        <f t="shared" si="655"/>
        <v>0</v>
      </c>
      <c r="BG1230" s="255">
        <f t="shared" si="656"/>
        <v>0</v>
      </c>
      <c r="BH1230" s="31">
        <f t="shared" si="657"/>
        <v>0</v>
      </c>
      <c r="BI1230" s="255">
        <f t="shared" si="658"/>
        <v>0</v>
      </c>
      <c r="BJ1230" s="31">
        <f t="shared" si="659"/>
        <v>0</v>
      </c>
      <c r="BK1230" s="31">
        <f t="shared" si="660"/>
        <v>0</v>
      </c>
      <c r="BL1230" s="255">
        <f t="shared" si="661"/>
        <v>0</v>
      </c>
      <c r="BM1230" s="31">
        <f t="shared" si="662"/>
        <v>0</v>
      </c>
      <c r="BN1230" s="255">
        <f t="shared" si="663"/>
        <v>0</v>
      </c>
    </row>
    <row r="1231" spans="1:66" x14ac:dyDescent="0.25">
      <c r="A1231" s="18" t="s">
        <v>904</v>
      </c>
      <c r="B1231" s="186" t="str">
        <f>VLOOKUP(A1231,kurspris!$A$1:$B$877,2,FALSE)</f>
        <v>Karriärteori och vägledning</v>
      </c>
      <c r="C1231" s="37"/>
      <c r="D1231" s="31" t="s">
        <v>85</v>
      </c>
      <c r="E1231" s="31" t="s">
        <v>1609</v>
      </c>
      <c r="F1231" s="59" t="s">
        <v>1931</v>
      </c>
      <c r="G1231" s="31" t="s">
        <v>2277</v>
      </c>
      <c r="I1231" t="s">
        <v>628</v>
      </c>
      <c r="L1231" s="31">
        <v>100</v>
      </c>
      <c r="M1231" s="31">
        <v>12.5</v>
      </c>
      <c r="P1231" s="31">
        <v>13</v>
      </c>
      <c r="Q1231" s="232">
        <f t="shared" si="636"/>
        <v>2.7083333333333335</v>
      </c>
      <c r="R1231" s="40">
        <v>0.85</v>
      </c>
      <c r="S1231" s="334">
        <f t="shared" si="637"/>
        <v>2.3020833333333335</v>
      </c>
      <c r="T1231" s="31">
        <f>VLOOKUP(A1231,'Ansvar kurs'!$A$1:$C$1010,2,FALSE)</f>
        <v>2193</v>
      </c>
      <c r="U1231" s="31" t="str">
        <f>VLOOKUP(T1231,Orgenheter!$A$1:$C$165,2,FALSE)</f>
        <v xml:space="preserve">TUV </v>
      </c>
      <c r="V1231" s="31" t="str">
        <f>VLOOKUP(T1231,Orgenheter!$A$1:$C$165,3,FALSE)</f>
        <v>Sam</v>
      </c>
      <c r="W1231" s="37" t="str">
        <f>VLOOKUP(D1231,Program!$A$1:$B$34,2,FALSE)</f>
        <v>Studie- och yrkesvägledarprogram</v>
      </c>
      <c r="X1231" s="42">
        <f>VLOOKUP(A1231,kurspris!$A$1:$Q$798,15,FALSE)</f>
        <v>18405</v>
      </c>
      <c r="Y1231" s="42">
        <f>VLOOKUP(A1231,kurspris!$A$1:$Q$798,16,FALSE)</f>
        <v>15773</v>
      </c>
      <c r="Z1231" s="42">
        <f t="shared" si="638"/>
        <v>86157.635416666672</v>
      </c>
      <c r="AA1231" s="42">
        <f>VLOOKUP(A1231,kurspris!$A$1:$Q$798,17,FALSE)</f>
        <v>5800</v>
      </c>
      <c r="AB1231" s="42">
        <f t="shared" si="639"/>
        <v>15708.333333333334</v>
      </c>
      <c r="AC1231" s="42">
        <f t="shared" si="640"/>
        <v>101865.96875</v>
      </c>
      <c r="AD1231" s="31">
        <f>VLOOKUP($A1231,kurspris!$A$1:$Q$835,3,FALSE)</f>
        <v>0</v>
      </c>
      <c r="AE1231" s="31">
        <f>VLOOKUP($A1231,kurspris!$A$1:$Q$835,4,FALSE)</f>
        <v>0</v>
      </c>
      <c r="AF1231" s="31">
        <f>VLOOKUP($A1231,kurspris!$A$1:$Q$835,5,FALSE)</f>
        <v>0</v>
      </c>
      <c r="AG1231" s="31">
        <f>VLOOKUP($A1231,kurspris!$A$1:$Q$835,6,FALSE)</f>
        <v>0</v>
      </c>
      <c r="AH1231" s="31">
        <f>VLOOKUP($A1231,kurspris!$A$1:$Q$835,7,FALSE)</f>
        <v>0</v>
      </c>
      <c r="AI1231" s="31">
        <f>VLOOKUP($A1231,kurspris!$A$1:$Q$835,8,FALSE)</f>
        <v>0</v>
      </c>
      <c r="AJ1231" s="31">
        <f>VLOOKUP($A1231,kurspris!$A$1:$Q$835,9,FALSE)</f>
        <v>1</v>
      </c>
      <c r="AK1231" s="31">
        <f>VLOOKUP($A1231,kurspris!$A$1:$Q$835,10,FALSE)</f>
        <v>0</v>
      </c>
      <c r="AL1231" s="31">
        <f>VLOOKUP($A1231,kurspris!$A$1:$Q$835,11,FALSE)</f>
        <v>0</v>
      </c>
      <c r="AM1231" s="31">
        <f>VLOOKUP($A1231,kurspris!$A$1:$Q$835,12,FALSE)</f>
        <v>0</v>
      </c>
      <c r="AN1231" s="31">
        <f>VLOOKUP($A1231,kurspris!$A$1:$Q$835,13,FALSE)</f>
        <v>0</v>
      </c>
      <c r="AO1231" s="31">
        <f>VLOOKUP($A1231,kurspris!$A$1:$Q$835,14,FALSE)</f>
        <v>0</v>
      </c>
      <c r="AP1231" s="39" t="s">
        <v>2326</v>
      </c>
      <c r="AQ1231"/>
      <c r="AR1231" s="31">
        <f t="shared" si="641"/>
        <v>0</v>
      </c>
      <c r="AS1231" s="255">
        <f t="shared" si="642"/>
        <v>0</v>
      </c>
      <c r="AT1231" s="31">
        <f t="shared" si="643"/>
        <v>0</v>
      </c>
      <c r="AU1231" s="255">
        <f t="shared" si="644"/>
        <v>0</v>
      </c>
      <c r="AV1231" s="31">
        <f t="shared" si="645"/>
        <v>0</v>
      </c>
      <c r="AW1231" s="31">
        <f t="shared" si="646"/>
        <v>0</v>
      </c>
      <c r="AX1231" s="31">
        <f t="shared" si="647"/>
        <v>0</v>
      </c>
      <c r="AY1231" s="255">
        <f t="shared" si="648"/>
        <v>0</v>
      </c>
      <c r="AZ1231" s="232">
        <f t="shared" si="649"/>
        <v>0</v>
      </c>
      <c r="BA1231" s="255">
        <f t="shared" si="650"/>
        <v>0</v>
      </c>
      <c r="BB1231" s="31">
        <f t="shared" si="651"/>
        <v>0</v>
      </c>
      <c r="BC1231" s="255">
        <f t="shared" si="652"/>
        <v>0</v>
      </c>
      <c r="BD1231" s="31">
        <f t="shared" si="653"/>
        <v>2.7083333333333335</v>
      </c>
      <c r="BE1231" s="255">
        <f t="shared" si="654"/>
        <v>2.3020833333333335</v>
      </c>
      <c r="BF1231" s="31">
        <f t="shared" si="655"/>
        <v>0</v>
      </c>
      <c r="BG1231" s="255">
        <f t="shared" si="656"/>
        <v>0</v>
      </c>
      <c r="BH1231" s="31">
        <f t="shared" si="657"/>
        <v>0</v>
      </c>
      <c r="BI1231" s="255">
        <f t="shared" si="658"/>
        <v>0</v>
      </c>
      <c r="BJ1231" s="31">
        <f t="shared" si="659"/>
        <v>0</v>
      </c>
      <c r="BK1231" s="31">
        <f t="shared" si="660"/>
        <v>0</v>
      </c>
      <c r="BL1231" s="255">
        <f t="shared" si="661"/>
        <v>0</v>
      </c>
      <c r="BM1231" s="31">
        <f t="shared" si="662"/>
        <v>0</v>
      </c>
      <c r="BN1231" s="255">
        <f t="shared" si="663"/>
        <v>0</v>
      </c>
    </row>
    <row r="1232" spans="1:66" x14ac:dyDescent="0.25">
      <c r="A1232" s="18" t="s">
        <v>904</v>
      </c>
      <c r="B1232" s="186" t="str">
        <f>VLOOKUP(A1232,kurspris!$A$1:$B$877,2,FALSE)</f>
        <v>Karriärteori och vägledning</v>
      </c>
      <c r="C1232" s="37"/>
      <c r="D1232" s="31" t="s">
        <v>85</v>
      </c>
      <c r="E1232" s="31" t="s">
        <v>1609</v>
      </c>
      <c r="F1232" s="59" t="s">
        <v>1931</v>
      </c>
      <c r="G1232" s="31" t="s">
        <v>2277</v>
      </c>
      <c r="I1232" t="s">
        <v>1536</v>
      </c>
      <c r="L1232" s="31">
        <v>100</v>
      </c>
      <c r="M1232" s="31">
        <v>12.5</v>
      </c>
      <c r="P1232" s="31">
        <v>19</v>
      </c>
      <c r="Q1232" s="232">
        <f t="shared" si="636"/>
        <v>3.9583333333333335</v>
      </c>
      <c r="R1232" s="40">
        <v>0.85</v>
      </c>
      <c r="S1232" s="334">
        <f t="shared" si="637"/>
        <v>3.3645833333333335</v>
      </c>
      <c r="T1232" s="31">
        <f>VLOOKUP(A1232,'Ansvar kurs'!$A$1:$C$1010,2,FALSE)</f>
        <v>2193</v>
      </c>
      <c r="U1232" s="31" t="str">
        <f>VLOOKUP(T1232,Orgenheter!$A$1:$C$165,2,FALSE)</f>
        <v xml:space="preserve">TUV </v>
      </c>
      <c r="V1232" s="31" t="str">
        <f>VLOOKUP(T1232,Orgenheter!$A$1:$C$165,3,FALSE)</f>
        <v>Sam</v>
      </c>
      <c r="W1232" s="37" t="str">
        <f>VLOOKUP(D1232,Program!$A$1:$B$34,2,FALSE)</f>
        <v>Studie- och yrkesvägledarprogram</v>
      </c>
      <c r="X1232" s="42">
        <f>VLOOKUP(A1232,kurspris!$A$1:$Q$798,15,FALSE)</f>
        <v>18405</v>
      </c>
      <c r="Y1232" s="42">
        <f>VLOOKUP(A1232,kurspris!$A$1:$Q$798,16,FALSE)</f>
        <v>15773</v>
      </c>
      <c r="Z1232" s="42">
        <f t="shared" si="638"/>
        <v>125922.69791666667</v>
      </c>
      <c r="AA1232" s="42">
        <f>VLOOKUP(A1232,kurspris!$A$1:$Q$798,17,FALSE)</f>
        <v>5800</v>
      </c>
      <c r="AB1232" s="42">
        <f t="shared" si="639"/>
        <v>22958.333333333336</v>
      </c>
      <c r="AC1232" s="42">
        <f t="shared" si="640"/>
        <v>148881.03125</v>
      </c>
      <c r="AD1232" s="31">
        <f>VLOOKUP($A1232,kurspris!$A$1:$Q$835,3,FALSE)</f>
        <v>0</v>
      </c>
      <c r="AE1232" s="31">
        <f>VLOOKUP($A1232,kurspris!$A$1:$Q$835,4,FALSE)</f>
        <v>0</v>
      </c>
      <c r="AF1232" s="31">
        <f>VLOOKUP($A1232,kurspris!$A$1:$Q$835,5,FALSE)</f>
        <v>0</v>
      </c>
      <c r="AG1232" s="31">
        <f>VLOOKUP($A1232,kurspris!$A$1:$Q$835,6,FALSE)</f>
        <v>0</v>
      </c>
      <c r="AH1232" s="31">
        <f>VLOOKUP($A1232,kurspris!$A$1:$Q$835,7,FALSE)</f>
        <v>0</v>
      </c>
      <c r="AI1232" s="31">
        <f>VLOOKUP($A1232,kurspris!$A$1:$Q$835,8,FALSE)</f>
        <v>0</v>
      </c>
      <c r="AJ1232" s="31">
        <f>VLOOKUP($A1232,kurspris!$A$1:$Q$835,9,FALSE)</f>
        <v>1</v>
      </c>
      <c r="AK1232" s="31">
        <f>VLOOKUP($A1232,kurspris!$A$1:$Q$835,10,FALSE)</f>
        <v>0</v>
      </c>
      <c r="AL1232" s="31">
        <f>VLOOKUP($A1232,kurspris!$A$1:$Q$835,11,FALSE)</f>
        <v>0</v>
      </c>
      <c r="AM1232" s="31">
        <f>VLOOKUP($A1232,kurspris!$A$1:$Q$835,12,FALSE)</f>
        <v>0</v>
      </c>
      <c r="AN1232" s="31">
        <f>VLOOKUP($A1232,kurspris!$A$1:$Q$835,13,FALSE)</f>
        <v>0</v>
      </c>
      <c r="AO1232" s="31">
        <f>VLOOKUP($A1232,kurspris!$A$1:$Q$835,14,FALSE)</f>
        <v>0</v>
      </c>
      <c r="AP1232" s="39" t="s">
        <v>2326</v>
      </c>
      <c r="AQ1232"/>
      <c r="AR1232" s="31">
        <f t="shared" si="641"/>
        <v>0</v>
      </c>
      <c r="AS1232" s="255">
        <f t="shared" si="642"/>
        <v>0</v>
      </c>
      <c r="AT1232" s="31">
        <f t="shared" si="643"/>
        <v>0</v>
      </c>
      <c r="AU1232" s="255">
        <f t="shared" si="644"/>
        <v>0</v>
      </c>
      <c r="AV1232" s="31">
        <f t="shared" si="645"/>
        <v>0</v>
      </c>
      <c r="AW1232" s="31">
        <f t="shared" si="646"/>
        <v>0</v>
      </c>
      <c r="AX1232" s="31">
        <f t="shared" si="647"/>
        <v>0</v>
      </c>
      <c r="AY1232" s="255">
        <f t="shared" si="648"/>
        <v>0</v>
      </c>
      <c r="AZ1232" s="232">
        <f t="shared" si="649"/>
        <v>0</v>
      </c>
      <c r="BA1232" s="255">
        <f t="shared" si="650"/>
        <v>0</v>
      </c>
      <c r="BB1232" s="31">
        <f t="shared" si="651"/>
        <v>0</v>
      </c>
      <c r="BC1232" s="255">
        <f t="shared" si="652"/>
        <v>0</v>
      </c>
      <c r="BD1232" s="31">
        <f t="shared" si="653"/>
        <v>3.9583333333333335</v>
      </c>
      <c r="BE1232" s="255">
        <f t="shared" si="654"/>
        <v>3.3645833333333335</v>
      </c>
      <c r="BF1232" s="31">
        <f t="shared" si="655"/>
        <v>0</v>
      </c>
      <c r="BG1232" s="255">
        <f t="shared" si="656"/>
        <v>0</v>
      </c>
      <c r="BH1232" s="31">
        <f t="shared" si="657"/>
        <v>0</v>
      </c>
      <c r="BI1232" s="255">
        <f t="shared" si="658"/>
        <v>0</v>
      </c>
      <c r="BJ1232" s="31">
        <f t="shared" si="659"/>
        <v>0</v>
      </c>
      <c r="BK1232" s="31">
        <f t="shared" si="660"/>
        <v>0</v>
      </c>
      <c r="BL1232" s="255">
        <f t="shared" si="661"/>
        <v>0</v>
      </c>
      <c r="BM1232" s="31">
        <f t="shared" si="662"/>
        <v>0</v>
      </c>
      <c r="BN1232" s="255">
        <f t="shared" si="663"/>
        <v>0</v>
      </c>
    </row>
    <row r="1233" spans="1:66" x14ac:dyDescent="0.25">
      <c r="A1233" s="18" t="s">
        <v>904</v>
      </c>
      <c r="B1233" s="186" t="str">
        <f>VLOOKUP(A1233,kurspris!$A$1:$B$877,2,FALSE)</f>
        <v>Karriärteori och vägledning</v>
      </c>
      <c r="C1233" s="37"/>
      <c r="D1233" s="31" t="s">
        <v>85</v>
      </c>
      <c r="E1233" s="31" t="s">
        <v>1788</v>
      </c>
      <c r="F1233" s="59" t="s">
        <v>1931</v>
      </c>
      <c r="G1233" s="31" t="s">
        <v>2277</v>
      </c>
      <c r="I1233" t="s">
        <v>1536</v>
      </c>
      <c r="L1233" s="31">
        <v>100</v>
      </c>
      <c r="M1233" s="31">
        <v>12.5</v>
      </c>
      <c r="P1233" s="31">
        <v>1</v>
      </c>
      <c r="Q1233" s="232">
        <f t="shared" si="636"/>
        <v>0.20833333333333334</v>
      </c>
      <c r="R1233" s="40">
        <v>0.85</v>
      </c>
      <c r="S1233" s="334">
        <f t="shared" si="637"/>
        <v>0.17708333333333334</v>
      </c>
      <c r="T1233" s="31">
        <f>VLOOKUP(A1233,'Ansvar kurs'!$A$1:$C$1010,2,FALSE)</f>
        <v>2193</v>
      </c>
      <c r="U1233" s="31" t="str">
        <f>VLOOKUP(T1233,Orgenheter!$A$1:$C$165,2,FALSE)</f>
        <v xml:space="preserve">TUV </v>
      </c>
      <c r="V1233" s="31" t="str">
        <f>VLOOKUP(T1233,Orgenheter!$A$1:$C$165,3,FALSE)</f>
        <v>Sam</v>
      </c>
      <c r="W1233" s="37" t="str">
        <f>VLOOKUP(D1233,Program!$A$1:$B$34,2,FALSE)</f>
        <v>Studie- och yrkesvägledarprogram</v>
      </c>
      <c r="X1233" s="42">
        <f>VLOOKUP(A1233,kurspris!$A$1:$Q$798,15,FALSE)</f>
        <v>18405</v>
      </c>
      <c r="Y1233" s="42">
        <f>VLOOKUP(A1233,kurspris!$A$1:$Q$798,16,FALSE)</f>
        <v>15773</v>
      </c>
      <c r="Z1233" s="42">
        <f t="shared" si="638"/>
        <v>6627.510416666667</v>
      </c>
      <c r="AA1233" s="42">
        <f>VLOOKUP(A1233,kurspris!$A$1:$Q$798,17,FALSE)</f>
        <v>5800</v>
      </c>
      <c r="AB1233" s="42">
        <f t="shared" si="639"/>
        <v>1208.3333333333335</v>
      </c>
      <c r="AC1233" s="42">
        <f t="shared" si="640"/>
        <v>7835.84375</v>
      </c>
      <c r="AD1233" s="31">
        <f>VLOOKUP($A1233,kurspris!$A$1:$Q$835,3,FALSE)</f>
        <v>0</v>
      </c>
      <c r="AE1233" s="31">
        <f>VLOOKUP($A1233,kurspris!$A$1:$Q$835,4,FALSE)</f>
        <v>0</v>
      </c>
      <c r="AF1233" s="31">
        <f>VLOOKUP($A1233,kurspris!$A$1:$Q$835,5,FALSE)</f>
        <v>0</v>
      </c>
      <c r="AG1233" s="31">
        <f>VLOOKUP($A1233,kurspris!$A$1:$Q$835,6,FALSE)</f>
        <v>0</v>
      </c>
      <c r="AH1233" s="31">
        <f>VLOOKUP($A1233,kurspris!$A$1:$Q$835,7,FALSE)</f>
        <v>0</v>
      </c>
      <c r="AI1233" s="31">
        <f>VLOOKUP($A1233,kurspris!$A$1:$Q$835,8,FALSE)</f>
        <v>0</v>
      </c>
      <c r="AJ1233" s="31">
        <f>VLOOKUP($A1233,kurspris!$A$1:$Q$835,9,FALSE)</f>
        <v>1</v>
      </c>
      <c r="AK1233" s="31">
        <f>VLOOKUP($A1233,kurspris!$A$1:$Q$835,10,FALSE)</f>
        <v>0</v>
      </c>
      <c r="AL1233" s="31">
        <f>VLOOKUP($A1233,kurspris!$A$1:$Q$835,11,FALSE)</f>
        <v>0</v>
      </c>
      <c r="AM1233" s="31">
        <f>VLOOKUP($A1233,kurspris!$A$1:$Q$835,12,FALSE)</f>
        <v>0</v>
      </c>
      <c r="AN1233" s="31">
        <f>VLOOKUP($A1233,kurspris!$A$1:$Q$835,13,FALSE)</f>
        <v>0</v>
      </c>
      <c r="AO1233" s="31">
        <f>VLOOKUP($A1233,kurspris!$A$1:$Q$835,14,FALSE)</f>
        <v>0</v>
      </c>
      <c r="AP1233" s="39" t="s">
        <v>2326</v>
      </c>
      <c r="AQ1233"/>
      <c r="AR1233" s="31">
        <f t="shared" si="641"/>
        <v>0</v>
      </c>
      <c r="AS1233" s="255">
        <f t="shared" si="642"/>
        <v>0</v>
      </c>
      <c r="AT1233" s="31">
        <f t="shared" si="643"/>
        <v>0</v>
      </c>
      <c r="AU1233" s="255">
        <f t="shared" si="644"/>
        <v>0</v>
      </c>
      <c r="AV1233" s="31">
        <f t="shared" si="645"/>
        <v>0</v>
      </c>
      <c r="AW1233" s="31">
        <f t="shared" si="646"/>
        <v>0</v>
      </c>
      <c r="AX1233" s="31">
        <f t="shared" si="647"/>
        <v>0</v>
      </c>
      <c r="AY1233" s="255">
        <f t="shared" si="648"/>
        <v>0</v>
      </c>
      <c r="AZ1233" s="232">
        <f t="shared" si="649"/>
        <v>0</v>
      </c>
      <c r="BA1233" s="255">
        <f t="shared" si="650"/>
        <v>0</v>
      </c>
      <c r="BB1233" s="31">
        <f t="shared" si="651"/>
        <v>0</v>
      </c>
      <c r="BC1233" s="255">
        <f t="shared" si="652"/>
        <v>0</v>
      </c>
      <c r="BD1233" s="31">
        <f t="shared" si="653"/>
        <v>0.20833333333333334</v>
      </c>
      <c r="BE1233" s="255">
        <f t="shared" si="654"/>
        <v>0.17708333333333334</v>
      </c>
      <c r="BF1233" s="31">
        <f t="shared" si="655"/>
        <v>0</v>
      </c>
      <c r="BG1233" s="255">
        <f t="shared" si="656"/>
        <v>0</v>
      </c>
      <c r="BH1233" s="31">
        <f t="shared" si="657"/>
        <v>0</v>
      </c>
      <c r="BI1233" s="255">
        <f t="shared" si="658"/>
        <v>0</v>
      </c>
      <c r="BJ1233" s="31">
        <f t="shared" si="659"/>
        <v>0</v>
      </c>
      <c r="BK1233" s="31">
        <f t="shared" si="660"/>
        <v>0</v>
      </c>
      <c r="BL1233" s="255">
        <f t="shared" si="661"/>
        <v>0</v>
      </c>
      <c r="BM1233" s="31">
        <f t="shared" si="662"/>
        <v>0</v>
      </c>
      <c r="BN1233" s="255">
        <f t="shared" si="663"/>
        <v>0</v>
      </c>
    </row>
    <row r="1234" spans="1:66" x14ac:dyDescent="0.25">
      <c r="A1234" s="18" t="s">
        <v>904</v>
      </c>
      <c r="B1234" s="186" t="str">
        <f>VLOOKUP(A1234,kurspris!$A$1:$B$877,2,FALSE)</f>
        <v>Karriärteori och vägledning</v>
      </c>
      <c r="C1234" s="37"/>
      <c r="D1234" s="31" t="s">
        <v>85</v>
      </c>
      <c r="E1234" s="31" t="s">
        <v>1931</v>
      </c>
      <c r="F1234" s="59" t="s">
        <v>1931</v>
      </c>
      <c r="G1234" s="31" t="s">
        <v>2277</v>
      </c>
      <c r="I1234" t="s">
        <v>628</v>
      </c>
      <c r="J1234" t="s">
        <v>1537</v>
      </c>
      <c r="L1234" s="31">
        <v>100</v>
      </c>
      <c r="M1234" s="31">
        <v>12.5</v>
      </c>
      <c r="N1234" s="40">
        <v>-0.05</v>
      </c>
      <c r="O1234" s="31">
        <v>27</v>
      </c>
      <c r="P1234" s="377">
        <f>O1234+(O1234*N1234)</f>
        <v>25.65</v>
      </c>
      <c r="Q1234" s="232">
        <f t="shared" si="636"/>
        <v>5.34375</v>
      </c>
      <c r="R1234" s="40">
        <v>0.85</v>
      </c>
      <c r="S1234" s="334">
        <f t="shared" si="637"/>
        <v>4.5421874999999998</v>
      </c>
      <c r="T1234" s="31">
        <f>VLOOKUP(A1234,'Ansvar kurs'!$A$1:$C$1010,2,FALSE)</f>
        <v>2193</v>
      </c>
      <c r="U1234" s="31" t="str">
        <f>VLOOKUP(T1234,Orgenheter!$A$1:$C$165,2,FALSE)</f>
        <v xml:space="preserve">TUV </v>
      </c>
      <c r="V1234" s="31" t="str">
        <f>VLOOKUP(T1234,Orgenheter!$A$1:$C$165,3,FALSE)</f>
        <v>Sam</v>
      </c>
      <c r="W1234" s="37" t="str">
        <f>VLOOKUP(D1234,Program!$A$1:$B$34,2,FALSE)</f>
        <v>Studie- och yrkesvägledarprogram</v>
      </c>
      <c r="X1234" s="42">
        <f>VLOOKUP(A1234,kurspris!$A$1:$Q$798,15,FALSE)</f>
        <v>18405</v>
      </c>
      <c r="Y1234" s="42">
        <f>VLOOKUP(A1234,kurspris!$A$1:$Q$798,16,FALSE)</f>
        <v>15773</v>
      </c>
      <c r="Z1234" s="42">
        <f t="shared" si="638"/>
        <v>169995.64218749999</v>
      </c>
      <c r="AA1234" s="42">
        <f>VLOOKUP(A1234,kurspris!$A$1:$Q$798,17,FALSE)</f>
        <v>5800</v>
      </c>
      <c r="AB1234" s="42">
        <f t="shared" si="639"/>
        <v>30993.75</v>
      </c>
      <c r="AC1234" s="42">
        <f t="shared" si="640"/>
        <v>200989.39218749999</v>
      </c>
      <c r="AD1234" s="31">
        <f>VLOOKUP($A1234,kurspris!$A$1:$Q$835,3,FALSE)</f>
        <v>0</v>
      </c>
      <c r="AE1234" s="31">
        <f>VLOOKUP($A1234,kurspris!$A$1:$Q$835,4,FALSE)</f>
        <v>0</v>
      </c>
      <c r="AF1234" s="31">
        <f>VLOOKUP($A1234,kurspris!$A$1:$Q$835,5,FALSE)</f>
        <v>0</v>
      </c>
      <c r="AG1234" s="31">
        <f>VLOOKUP($A1234,kurspris!$A$1:$Q$835,6,FALSE)</f>
        <v>0</v>
      </c>
      <c r="AH1234" s="31">
        <f>VLOOKUP($A1234,kurspris!$A$1:$Q$835,7,FALSE)</f>
        <v>0</v>
      </c>
      <c r="AI1234" s="31">
        <f>VLOOKUP($A1234,kurspris!$A$1:$Q$835,8,FALSE)</f>
        <v>0</v>
      </c>
      <c r="AJ1234" s="31">
        <f>VLOOKUP($A1234,kurspris!$A$1:$Q$835,9,FALSE)</f>
        <v>1</v>
      </c>
      <c r="AK1234" s="31">
        <f>VLOOKUP($A1234,kurspris!$A$1:$Q$835,10,FALSE)</f>
        <v>0</v>
      </c>
      <c r="AL1234" s="31">
        <f>VLOOKUP($A1234,kurspris!$A$1:$Q$835,11,FALSE)</f>
        <v>0</v>
      </c>
      <c r="AM1234" s="31">
        <f>VLOOKUP($A1234,kurspris!$A$1:$Q$835,12,FALSE)</f>
        <v>0</v>
      </c>
      <c r="AN1234" s="31">
        <f>VLOOKUP($A1234,kurspris!$A$1:$Q$835,13,FALSE)</f>
        <v>0</v>
      </c>
      <c r="AO1234" s="31">
        <f>VLOOKUP($A1234,kurspris!$A$1:$Q$835,14,FALSE)</f>
        <v>0</v>
      </c>
      <c r="AP1234" s="39" t="s">
        <v>1631</v>
      </c>
      <c r="AQ1234"/>
      <c r="AR1234" s="31">
        <f t="shared" si="641"/>
        <v>0</v>
      </c>
      <c r="AS1234" s="255">
        <f t="shared" si="642"/>
        <v>0</v>
      </c>
      <c r="AT1234" s="31">
        <f t="shared" si="643"/>
        <v>0</v>
      </c>
      <c r="AU1234" s="255">
        <f t="shared" si="644"/>
        <v>0</v>
      </c>
      <c r="AV1234" s="31">
        <f t="shared" si="645"/>
        <v>0</v>
      </c>
      <c r="AW1234" s="31">
        <f t="shared" si="646"/>
        <v>0</v>
      </c>
      <c r="AX1234" s="31">
        <f t="shared" si="647"/>
        <v>0</v>
      </c>
      <c r="AY1234" s="255">
        <f t="shared" si="648"/>
        <v>0</v>
      </c>
      <c r="AZ1234" s="232">
        <f t="shared" si="649"/>
        <v>0</v>
      </c>
      <c r="BA1234" s="255">
        <f t="shared" si="650"/>
        <v>0</v>
      </c>
      <c r="BB1234" s="31">
        <f t="shared" si="651"/>
        <v>0</v>
      </c>
      <c r="BC1234" s="255">
        <f t="shared" si="652"/>
        <v>0</v>
      </c>
      <c r="BD1234" s="31">
        <f t="shared" si="653"/>
        <v>5.34375</v>
      </c>
      <c r="BE1234" s="255">
        <f t="shared" si="654"/>
        <v>4.5421874999999998</v>
      </c>
      <c r="BF1234" s="31">
        <f t="shared" si="655"/>
        <v>0</v>
      </c>
      <c r="BG1234" s="255">
        <f t="shared" si="656"/>
        <v>0</v>
      </c>
      <c r="BH1234" s="31">
        <f t="shared" si="657"/>
        <v>0</v>
      </c>
      <c r="BI1234" s="255">
        <f t="shared" si="658"/>
        <v>0</v>
      </c>
      <c r="BJ1234" s="31">
        <f t="shared" si="659"/>
        <v>0</v>
      </c>
      <c r="BK1234" s="31">
        <f t="shared" si="660"/>
        <v>0</v>
      </c>
      <c r="BL1234" s="255">
        <f t="shared" si="661"/>
        <v>0</v>
      </c>
      <c r="BM1234" s="31">
        <f t="shared" si="662"/>
        <v>0</v>
      </c>
      <c r="BN1234" s="255">
        <f t="shared" si="663"/>
        <v>0</v>
      </c>
    </row>
    <row r="1235" spans="1:66" x14ac:dyDescent="0.25">
      <c r="A1235" s="18" t="s">
        <v>902</v>
      </c>
      <c r="B1235" s="186" t="str">
        <f>VLOOKUP(A1235,kurspris!$A$1:$B$877,2,FALSE)</f>
        <v>Gruppvägledning med inriktning mot karriärutveckling</v>
      </c>
      <c r="C1235" s="37"/>
      <c r="D1235" s="31" t="s">
        <v>85</v>
      </c>
      <c r="E1235" s="31" t="s">
        <v>1973</v>
      </c>
      <c r="F1235" s="59" t="s">
        <v>1931</v>
      </c>
      <c r="G1235" s="31" t="s">
        <v>2269</v>
      </c>
      <c r="I1235" t="s">
        <v>1536</v>
      </c>
      <c r="L1235" s="31">
        <v>100</v>
      </c>
      <c r="M1235" s="31">
        <v>7.5</v>
      </c>
      <c r="P1235" s="31">
        <v>1</v>
      </c>
      <c r="Q1235" s="232">
        <f t="shared" si="636"/>
        <v>0.125</v>
      </c>
      <c r="R1235" s="40">
        <v>0.85</v>
      </c>
      <c r="S1235" s="334">
        <f t="shared" si="637"/>
        <v>0.10625</v>
      </c>
      <c r="T1235" s="31">
        <f>VLOOKUP(A1235,'Ansvar kurs'!$A$1:$C$1010,2,FALSE)</f>
        <v>2193</v>
      </c>
      <c r="U1235" s="31" t="str">
        <f>VLOOKUP(T1235,Orgenheter!$A$1:$C$165,2,FALSE)</f>
        <v xml:space="preserve">TUV </v>
      </c>
      <c r="V1235" s="31" t="str">
        <f>VLOOKUP(T1235,Orgenheter!$A$1:$C$165,3,FALSE)</f>
        <v>Sam</v>
      </c>
      <c r="W1235" s="37" t="str">
        <f>VLOOKUP(D1235,Program!$A$1:$B$34,2,FALSE)</f>
        <v>Studie- och yrkesvägledarprogram</v>
      </c>
      <c r="X1235" s="42">
        <f>VLOOKUP(A1235,kurspris!$A$1:$Q$798,15,FALSE)</f>
        <v>34144.199999999997</v>
      </c>
      <c r="Y1235" s="42">
        <f>VLOOKUP(A1235,kurspris!$A$1:$Q$798,16,FALSE)</f>
        <v>33557.800000000003</v>
      </c>
      <c r="Z1235" s="42">
        <f t="shared" si="638"/>
        <v>7833.5412500000002</v>
      </c>
      <c r="AA1235" s="42">
        <f>VLOOKUP(A1235,kurspris!$A$1:$Q$798,17,FALSE)</f>
        <v>5800</v>
      </c>
      <c r="AB1235" s="42">
        <f t="shared" si="639"/>
        <v>725</v>
      </c>
      <c r="AC1235" s="42">
        <f t="shared" si="640"/>
        <v>8558.5412500000002</v>
      </c>
      <c r="AD1235" s="31">
        <f>VLOOKUP($A1235,kurspris!$A$1:$Q$835,3,FALSE)</f>
        <v>0</v>
      </c>
      <c r="AE1235" s="31">
        <f>VLOOKUP($A1235,kurspris!$A$1:$Q$835,4,FALSE)</f>
        <v>0</v>
      </c>
      <c r="AF1235" s="31">
        <f>VLOOKUP($A1235,kurspris!$A$1:$Q$835,5,FALSE)</f>
        <v>0</v>
      </c>
      <c r="AG1235" s="31">
        <f>VLOOKUP($A1235,kurspris!$A$1:$Q$835,6,FALSE)</f>
        <v>0</v>
      </c>
      <c r="AH1235" s="31">
        <f>VLOOKUP($A1235,kurspris!$A$1:$Q$835,7,FALSE)</f>
        <v>0</v>
      </c>
      <c r="AI1235" s="31">
        <f>VLOOKUP($A1235,kurspris!$A$1:$Q$835,8,FALSE)</f>
        <v>0</v>
      </c>
      <c r="AJ1235" s="31">
        <f>VLOOKUP($A1235,kurspris!$A$1:$Q$835,9,FALSE)</f>
        <v>0.2</v>
      </c>
      <c r="AK1235" s="31">
        <f>VLOOKUP($A1235,kurspris!$A$1:$Q$835,10,FALSE)</f>
        <v>0</v>
      </c>
      <c r="AL1235" s="31">
        <f>VLOOKUP($A1235,kurspris!$A$1:$Q$835,11,FALSE)</f>
        <v>0</v>
      </c>
      <c r="AM1235" s="31">
        <f>VLOOKUP($A1235,kurspris!$A$1:$Q$835,12,FALSE)</f>
        <v>0</v>
      </c>
      <c r="AN1235" s="31">
        <f>VLOOKUP($A1235,kurspris!$A$1:$Q$835,13,FALSE)</f>
        <v>0</v>
      </c>
      <c r="AO1235" s="31">
        <f>VLOOKUP($A1235,kurspris!$A$1:$Q$835,14,FALSE)</f>
        <v>0.8</v>
      </c>
      <c r="AP1235" s="39" t="s">
        <v>2326</v>
      </c>
      <c r="AQ1235"/>
      <c r="AR1235" s="31">
        <f t="shared" si="641"/>
        <v>0</v>
      </c>
      <c r="AS1235" s="255">
        <f t="shared" si="642"/>
        <v>0</v>
      </c>
      <c r="AT1235" s="31">
        <f t="shared" si="643"/>
        <v>0</v>
      </c>
      <c r="AU1235" s="255">
        <f t="shared" si="644"/>
        <v>0</v>
      </c>
      <c r="AV1235" s="31">
        <f t="shared" si="645"/>
        <v>0</v>
      </c>
      <c r="AW1235" s="31">
        <f t="shared" si="646"/>
        <v>0</v>
      </c>
      <c r="AX1235" s="31">
        <f t="shared" si="647"/>
        <v>0</v>
      </c>
      <c r="AY1235" s="255">
        <f t="shared" si="648"/>
        <v>0</v>
      </c>
      <c r="AZ1235" s="232">
        <f t="shared" si="649"/>
        <v>0</v>
      </c>
      <c r="BA1235" s="255">
        <f t="shared" si="650"/>
        <v>0</v>
      </c>
      <c r="BB1235" s="31">
        <f t="shared" si="651"/>
        <v>0</v>
      </c>
      <c r="BC1235" s="255">
        <f t="shared" si="652"/>
        <v>0</v>
      </c>
      <c r="BD1235" s="31">
        <f t="shared" si="653"/>
        <v>2.5000000000000001E-2</v>
      </c>
      <c r="BE1235" s="255">
        <f t="shared" si="654"/>
        <v>2.1250000000000002E-2</v>
      </c>
      <c r="BF1235" s="31">
        <f t="shared" si="655"/>
        <v>0</v>
      </c>
      <c r="BG1235" s="255">
        <f t="shared" si="656"/>
        <v>0</v>
      </c>
      <c r="BH1235" s="31">
        <f t="shared" si="657"/>
        <v>0</v>
      </c>
      <c r="BI1235" s="255">
        <f t="shared" si="658"/>
        <v>0</v>
      </c>
      <c r="BJ1235" s="31">
        <f t="shared" si="659"/>
        <v>0</v>
      </c>
      <c r="BK1235" s="31">
        <f t="shared" si="660"/>
        <v>0</v>
      </c>
      <c r="BL1235" s="255">
        <f t="shared" si="661"/>
        <v>0</v>
      </c>
      <c r="BM1235" s="31">
        <f t="shared" si="662"/>
        <v>0.1</v>
      </c>
      <c r="BN1235" s="255">
        <f t="shared" si="663"/>
        <v>8.5000000000000006E-2</v>
      </c>
    </row>
    <row r="1236" spans="1:66" x14ac:dyDescent="0.25">
      <c r="A1236" s="18" t="s">
        <v>902</v>
      </c>
      <c r="B1236" s="186" t="str">
        <f>VLOOKUP(A1236,kurspris!$A$1:$B$877,2,FALSE)</f>
        <v>Gruppvägledning med inriktning mot karriärutveckling</v>
      </c>
      <c r="C1236" s="37"/>
      <c r="D1236" s="31" t="s">
        <v>85</v>
      </c>
      <c r="E1236" s="31" t="s">
        <v>1609</v>
      </c>
      <c r="F1236" s="59" t="s">
        <v>1931</v>
      </c>
      <c r="G1236" s="31" t="s">
        <v>2269</v>
      </c>
      <c r="I1236" t="s">
        <v>628</v>
      </c>
      <c r="L1236" s="31">
        <v>100</v>
      </c>
      <c r="M1236" s="31">
        <v>7.5</v>
      </c>
      <c r="P1236" s="31">
        <v>12</v>
      </c>
      <c r="Q1236" s="232">
        <f t="shared" si="636"/>
        <v>1.5</v>
      </c>
      <c r="R1236" s="40">
        <v>0.85</v>
      </c>
      <c r="S1236" s="334">
        <f t="shared" si="637"/>
        <v>1.2749999999999999</v>
      </c>
      <c r="T1236" s="31">
        <f>VLOOKUP(A1236,'Ansvar kurs'!$A$1:$C$1010,2,FALSE)</f>
        <v>2193</v>
      </c>
      <c r="U1236" s="31" t="str">
        <f>VLOOKUP(T1236,Orgenheter!$A$1:$C$165,2,FALSE)</f>
        <v xml:space="preserve">TUV </v>
      </c>
      <c r="V1236" s="31" t="str">
        <f>VLOOKUP(T1236,Orgenheter!$A$1:$C$165,3,FALSE)</f>
        <v>Sam</v>
      </c>
      <c r="W1236" s="37" t="str">
        <f>VLOOKUP(D1236,Program!$A$1:$B$34,2,FALSE)</f>
        <v>Studie- och yrkesvägledarprogram</v>
      </c>
      <c r="X1236" s="42">
        <f>VLOOKUP(A1236,kurspris!$A$1:$Q$798,15,FALSE)</f>
        <v>34144.199999999997</v>
      </c>
      <c r="Y1236" s="42">
        <f>VLOOKUP(A1236,kurspris!$A$1:$Q$798,16,FALSE)</f>
        <v>33557.800000000003</v>
      </c>
      <c r="Z1236" s="42">
        <f t="shared" si="638"/>
        <v>94002.494999999995</v>
      </c>
      <c r="AA1236" s="42">
        <f>VLOOKUP(A1236,kurspris!$A$1:$Q$798,17,FALSE)</f>
        <v>5800</v>
      </c>
      <c r="AB1236" s="42">
        <f t="shared" si="639"/>
        <v>8700</v>
      </c>
      <c r="AC1236" s="42">
        <f t="shared" si="640"/>
        <v>102702.495</v>
      </c>
      <c r="AD1236" s="31">
        <f>VLOOKUP($A1236,kurspris!$A$1:$Q$835,3,FALSE)</f>
        <v>0</v>
      </c>
      <c r="AE1236" s="31">
        <f>VLOOKUP($A1236,kurspris!$A$1:$Q$835,4,FALSE)</f>
        <v>0</v>
      </c>
      <c r="AF1236" s="31">
        <f>VLOOKUP($A1236,kurspris!$A$1:$Q$835,5,FALSE)</f>
        <v>0</v>
      </c>
      <c r="AG1236" s="31">
        <f>VLOOKUP($A1236,kurspris!$A$1:$Q$835,6,FALSE)</f>
        <v>0</v>
      </c>
      <c r="AH1236" s="31">
        <f>VLOOKUP($A1236,kurspris!$A$1:$Q$835,7,FALSE)</f>
        <v>0</v>
      </c>
      <c r="AI1236" s="31">
        <f>VLOOKUP($A1236,kurspris!$A$1:$Q$835,8,FALSE)</f>
        <v>0</v>
      </c>
      <c r="AJ1236" s="31">
        <f>VLOOKUP($A1236,kurspris!$A$1:$Q$835,9,FALSE)</f>
        <v>0.2</v>
      </c>
      <c r="AK1236" s="31">
        <f>VLOOKUP($A1236,kurspris!$A$1:$Q$835,10,FALSE)</f>
        <v>0</v>
      </c>
      <c r="AL1236" s="31">
        <f>VLOOKUP($A1236,kurspris!$A$1:$Q$835,11,FALSE)</f>
        <v>0</v>
      </c>
      <c r="AM1236" s="31">
        <f>VLOOKUP($A1236,kurspris!$A$1:$Q$835,12,FALSE)</f>
        <v>0</v>
      </c>
      <c r="AN1236" s="31">
        <f>VLOOKUP($A1236,kurspris!$A$1:$Q$835,13,FALSE)</f>
        <v>0</v>
      </c>
      <c r="AO1236" s="31">
        <f>VLOOKUP($A1236,kurspris!$A$1:$Q$835,14,FALSE)</f>
        <v>0.8</v>
      </c>
      <c r="AP1236" s="39" t="s">
        <v>2326</v>
      </c>
      <c r="AQ1236"/>
      <c r="AR1236" s="31">
        <f t="shared" si="641"/>
        <v>0</v>
      </c>
      <c r="AS1236" s="255">
        <f t="shared" si="642"/>
        <v>0</v>
      </c>
      <c r="AT1236" s="31">
        <f t="shared" si="643"/>
        <v>0</v>
      </c>
      <c r="AU1236" s="255">
        <f t="shared" si="644"/>
        <v>0</v>
      </c>
      <c r="AV1236" s="31">
        <f t="shared" si="645"/>
        <v>0</v>
      </c>
      <c r="AW1236" s="31">
        <f t="shared" si="646"/>
        <v>0</v>
      </c>
      <c r="AX1236" s="31">
        <f t="shared" si="647"/>
        <v>0</v>
      </c>
      <c r="AY1236" s="255">
        <f t="shared" si="648"/>
        <v>0</v>
      </c>
      <c r="AZ1236" s="232">
        <f t="shared" si="649"/>
        <v>0</v>
      </c>
      <c r="BA1236" s="255">
        <f t="shared" si="650"/>
        <v>0</v>
      </c>
      <c r="BB1236" s="31">
        <f t="shared" si="651"/>
        <v>0</v>
      </c>
      <c r="BC1236" s="255">
        <f t="shared" si="652"/>
        <v>0</v>
      </c>
      <c r="BD1236" s="31">
        <f t="shared" si="653"/>
        <v>0.30000000000000004</v>
      </c>
      <c r="BE1236" s="255">
        <f t="shared" si="654"/>
        <v>0.255</v>
      </c>
      <c r="BF1236" s="31">
        <f t="shared" si="655"/>
        <v>0</v>
      </c>
      <c r="BG1236" s="255">
        <f t="shared" si="656"/>
        <v>0</v>
      </c>
      <c r="BH1236" s="31">
        <f t="shared" si="657"/>
        <v>0</v>
      </c>
      <c r="BI1236" s="255">
        <f t="shared" si="658"/>
        <v>0</v>
      </c>
      <c r="BJ1236" s="31">
        <f t="shared" si="659"/>
        <v>0</v>
      </c>
      <c r="BK1236" s="31">
        <f t="shared" si="660"/>
        <v>0</v>
      </c>
      <c r="BL1236" s="255">
        <f t="shared" si="661"/>
        <v>0</v>
      </c>
      <c r="BM1236" s="31">
        <f t="shared" si="662"/>
        <v>1.2000000000000002</v>
      </c>
      <c r="BN1236" s="255">
        <f t="shared" si="663"/>
        <v>1.02</v>
      </c>
    </row>
    <row r="1237" spans="1:66" x14ac:dyDescent="0.25">
      <c r="A1237" s="18" t="s">
        <v>902</v>
      </c>
      <c r="B1237" s="186" t="str">
        <f>VLOOKUP(A1237,kurspris!$A$1:$B$877,2,FALSE)</f>
        <v>Gruppvägledning med inriktning mot karriärutveckling</v>
      </c>
      <c r="C1237" s="37"/>
      <c r="D1237" s="31" t="s">
        <v>85</v>
      </c>
      <c r="E1237" s="31" t="s">
        <v>1609</v>
      </c>
      <c r="F1237" s="59" t="s">
        <v>1931</v>
      </c>
      <c r="G1237" s="31" t="s">
        <v>2269</v>
      </c>
      <c r="I1237" t="s">
        <v>1536</v>
      </c>
      <c r="L1237" s="31">
        <v>100</v>
      </c>
      <c r="M1237" s="31">
        <v>7.5</v>
      </c>
      <c r="P1237" s="31">
        <v>19</v>
      </c>
      <c r="Q1237" s="232">
        <f t="shared" si="636"/>
        <v>2.375</v>
      </c>
      <c r="R1237" s="40">
        <v>0.85</v>
      </c>
      <c r="S1237" s="334">
        <f t="shared" si="637"/>
        <v>2.0187499999999998</v>
      </c>
      <c r="T1237" s="31">
        <f>VLOOKUP(A1237,'Ansvar kurs'!$A$1:$C$1010,2,FALSE)</f>
        <v>2193</v>
      </c>
      <c r="U1237" s="31" t="str">
        <f>VLOOKUP(T1237,Orgenheter!$A$1:$C$165,2,FALSE)</f>
        <v xml:space="preserve">TUV </v>
      </c>
      <c r="V1237" s="31" t="str">
        <f>VLOOKUP(T1237,Orgenheter!$A$1:$C$165,3,FALSE)</f>
        <v>Sam</v>
      </c>
      <c r="W1237" s="37" t="str">
        <f>VLOOKUP(D1237,Program!$A$1:$B$34,2,FALSE)</f>
        <v>Studie- och yrkesvägledarprogram</v>
      </c>
      <c r="X1237" s="42">
        <f>VLOOKUP(A1237,kurspris!$A$1:$Q$798,15,FALSE)</f>
        <v>34144.199999999997</v>
      </c>
      <c r="Y1237" s="42">
        <f>VLOOKUP(A1237,kurspris!$A$1:$Q$798,16,FALSE)</f>
        <v>33557.800000000003</v>
      </c>
      <c r="Z1237" s="42">
        <f t="shared" si="638"/>
        <v>148837.28375</v>
      </c>
      <c r="AA1237" s="42">
        <f>VLOOKUP(A1237,kurspris!$A$1:$Q$798,17,FALSE)</f>
        <v>5800</v>
      </c>
      <c r="AB1237" s="42">
        <f t="shared" si="639"/>
        <v>13775</v>
      </c>
      <c r="AC1237" s="42">
        <f t="shared" si="640"/>
        <v>162612.28375</v>
      </c>
      <c r="AD1237" s="31">
        <f>VLOOKUP($A1237,kurspris!$A$1:$Q$835,3,FALSE)</f>
        <v>0</v>
      </c>
      <c r="AE1237" s="31">
        <f>VLOOKUP($A1237,kurspris!$A$1:$Q$835,4,FALSE)</f>
        <v>0</v>
      </c>
      <c r="AF1237" s="31">
        <f>VLOOKUP($A1237,kurspris!$A$1:$Q$835,5,FALSE)</f>
        <v>0</v>
      </c>
      <c r="AG1237" s="31">
        <f>VLOOKUP($A1237,kurspris!$A$1:$Q$835,6,FALSE)</f>
        <v>0</v>
      </c>
      <c r="AH1237" s="31">
        <f>VLOOKUP($A1237,kurspris!$A$1:$Q$835,7,FALSE)</f>
        <v>0</v>
      </c>
      <c r="AI1237" s="31">
        <f>VLOOKUP($A1237,kurspris!$A$1:$Q$835,8,FALSE)</f>
        <v>0</v>
      </c>
      <c r="AJ1237" s="31">
        <f>VLOOKUP($A1237,kurspris!$A$1:$Q$835,9,FALSE)</f>
        <v>0.2</v>
      </c>
      <c r="AK1237" s="31">
        <f>VLOOKUP($A1237,kurspris!$A$1:$Q$835,10,FALSE)</f>
        <v>0</v>
      </c>
      <c r="AL1237" s="31">
        <f>VLOOKUP($A1237,kurspris!$A$1:$Q$835,11,FALSE)</f>
        <v>0</v>
      </c>
      <c r="AM1237" s="31">
        <f>VLOOKUP($A1237,kurspris!$A$1:$Q$835,12,FALSE)</f>
        <v>0</v>
      </c>
      <c r="AN1237" s="31">
        <f>VLOOKUP($A1237,kurspris!$A$1:$Q$835,13,FALSE)</f>
        <v>0</v>
      </c>
      <c r="AO1237" s="31">
        <f>VLOOKUP($A1237,kurspris!$A$1:$Q$835,14,FALSE)</f>
        <v>0.8</v>
      </c>
      <c r="AP1237" s="39" t="s">
        <v>2326</v>
      </c>
      <c r="AQ1237"/>
      <c r="AR1237" s="31">
        <f t="shared" si="641"/>
        <v>0</v>
      </c>
      <c r="AS1237" s="255">
        <f t="shared" si="642"/>
        <v>0</v>
      </c>
      <c r="AT1237" s="31">
        <f t="shared" si="643"/>
        <v>0</v>
      </c>
      <c r="AU1237" s="255">
        <f t="shared" si="644"/>
        <v>0</v>
      </c>
      <c r="AV1237" s="31">
        <f t="shared" si="645"/>
        <v>0</v>
      </c>
      <c r="AW1237" s="31">
        <f t="shared" si="646"/>
        <v>0</v>
      </c>
      <c r="AX1237" s="31">
        <f t="shared" si="647"/>
        <v>0</v>
      </c>
      <c r="AY1237" s="255">
        <f t="shared" si="648"/>
        <v>0</v>
      </c>
      <c r="AZ1237" s="232">
        <f t="shared" si="649"/>
        <v>0</v>
      </c>
      <c r="BA1237" s="255">
        <f t="shared" si="650"/>
        <v>0</v>
      </c>
      <c r="BB1237" s="31">
        <f t="shared" si="651"/>
        <v>0</v>
      </c>
      <c r="BC1237" s="255">
        <f t="shared" si="652"/>
        <v>0</v>
      </c>
      <c r="BD1237" s="31">
        <f t="shared" si="653"/>
        <v>0.47500000000000003</v>
      </c>
      <c r="BE1237" s="255">
        <f t="shared" si="654"/>
        <v>0.40375</v>
      </c>
      <c r="BF1237" s="31">
        <f t="shared" si="655"/>
        <v>0</v>
      </c>
      <c r="BG1237" s="255">
        <f t="shared" si="656"/>
        <v>0</v>
      </c>
      <c r="BH1237" s="31">
        <f t="shared" si="657"/>
        <v>0</v>
      </c>
      <c r="BI1237" s="255">
        <f t="shared" si="658"/>
        <v>0</v>
      </c>
      <c r="BJ1237" s="31">
        <f t="shared" si="659"/>
        <v>0</v>
      </c>
      <c r="BK1237" s="31">
        <f t="shared" si="660"/>
        <v>0</v>
      </c>
      <c r="BL1237" s="255">
        <f t="shared" si="661"/>
        <v>0</v>
      </c>
      <c r="BM1237" s="31">
        <f t="shared" si="662"/>
        <v>1.9000000000000001</v>
      </c>
      <c r="BN1237" s="255">
        <f t="shared" si="663"/>
        <v>1.615</v>
      </c>
    </row>
    <row r="1238" spans="1:66" x14ac:dyDescent="0.25">
      <c r="A1238" s="18" t="s">
        <v>902</v>
      </c>
      <c r="B1238" s="186" t="str">
        <f>VLOOKUP(A1238,kurspris!$A$1:$B$877,2,FALSE)</f>
        <v>Gruppvägledning med inriktning mot karriärutveckling</v>
      </c>
      <c r="C1238" s="37"/>
      <c r="D1238" s="31" t="s">
        <v>85</v>
      </c>
      <c r="E1238" s="31" t="s">
        <v>1788</v>
      </c>
      <c r="F1238" s="59" t="s">
        <v>1931</v>
      </c>
      <c r="G1238" s="31" t="s">
        <v>2269</v>
      </c>
      <c r="I1238" t="s">
        <v>1536</v>
      </c>
      <c r="L1238" s="31">
        <v>100</v>
      </c>
      <c r="M1238" s="31">
        <v>7.5</v>
      </c>
      <c r="P1238" s="31">
        <v>1</v>
      </c>
      <c r="Q1238" s="232">
        <f t="shared" si="636"/>
        <v>0.125</v>
      </c>
      <c r="R1238" s="40">
        <v>0.85</v>
      </c>
      <c r="S1238" s="334">
        <f t="shared" si="637"/>
        <v>0.10625</v>
      </c>
      <c r="T1238" s="31">
        <f>VLOOKUP(A1238,'Ansvar kurs'!$A$1:$C$1010,2,FALSE)</f>
        <v>2193</v>
      </c>
      <c r="U1238" s="31" t="str">
        <f>VLOOKUP(T1238,Orgenheter!$A$1:$C$165,2,FALSE)</f>
        <v xml:space="preserve">TUV </v>
      </c>
      <c r="V1238" s="31" t="str">
        <f>VLOOKUP(T1238,Orgenheter!$A$1:$C$165,3,FALSE)</f>
        <v>Sam</v>
      </c>
      <c r="W1238" s="37" t="str">
        <f>VLOOKUP(D1238,Program!$A$1:$B$34,2,FALSE)</f>
        <v>Studie- och yrkesvägledarprogram</v>
      </c>
      <c r="X1238" s="42">
        <f>VLOOKUP(A1238,kurspris!$A$1:$Q$798,15,FALSE)</f>
        <v>34144.199999999997</v>
      </c>
      <c r="Y1238" s="42">
        <f>VLOOKUP(A1238,kurspris!$A$1:$Q$798,16,FALSE)</f>
        <v>33557.800000000003</v>
      </c>
      <c r="Z1238" s="42">
        <f t="shared" si="638"/>
        <v>7833.5412500000002</v>
      </c>
      <c r="AA1238" s="42">
        <f>VLOOKUP(A1238,kurspris!$A$1:$Q$798,17,FALSE)</f>
        <v>5800</v>
      </c>
      <c r="AB1238" s="42">
        <f t="shared" si="639"/>
        <v>725</v>
      </c>
      <c r="AC1238" s="42">
        <f t="shared" si="640"/>
        <v>8558.5412500000002</v>
      </c>
      <c r="AD1238" s="31">
        <f>VLOOKUP($A1238,kurspris!$A$1:$Q$835,3,FALSE)</f>
        <v>0</v>
      </c>
      <c r="AE1238" s="31">
        <f>VLOOKUP($A1238,kurspris!$A$1:$Q$835,4,FALSE)</f>
        <v>0</v>
      </c>
      <c r="AF1238" s="31">
        <f>VLOOKUP($A1238,kurspris!$A$1:$Q$835,5,FALSE)</f>
        <v>0</v>
      </c>
      <c r="AG1238" s="31">
        <f>VLOOKUP($A1238,kurspris!$A$1:$Q$835,6,FALSE)</f>
        <v>0</v>
      </c>
      <c r="AH1238" s="31">
        <f>VLOOKUP($A1238,kurspris!$A$1:$Q$835,7,FALSE)</f>
        <v>0</v>
      </c>
      <c r="AI1238" s="31">
        <f>VLOOKUP($A1238,kurspris!$A$1:$Q$835,8,FALSE)</f>
        <v>0</v>
      </c>
      <c r="AJ1238" s="31">
        <f>VLOOKUP($A1238,kurspris!$A$1:$Q$835,9,FALSE)</f>
        <v>0.2</v>
      </c>
      <c r="AK1238" s="31">
        <f>VLOOKUP($A1238,kurspris!$A$1:$Q$835,10,FALSE)</f>
        <v>0</v>
      </c>
      <c r="AL1238" s="31">
        <f>VLOOKUP($A1238,kurspris!$A$1:$Q$835,11,FALSE)</f>
        <v>0</v>
      </c>
      <c r="AM1238" s="31">
        <f>VLOOKUP($A1238,kurspris!$A$1:$Q$835,12,FALSE)</f>
        <v>0</v>
      </c>
      <c r="AN1238" s="31">
        <f>VLOOKUP($A1238,kurspris!$A$1:$Q$835,13,FALSE)</f>
        <v>0</v>
      </c>
      <c r="AO1238" s="31">
        <f>VLOOKUP($A1238,kurspris!$A$1:$Q$835,14,FALSE)</f>
        <v>0.8</v>
      </c>
      <c r="AP1238" s="39" t="s">
        <v>2326</v>
      </c>
      <c r="AQ1238"/>
      <c r="AR1238" s="31">
        <f t="shared" si="641"/>
        <v>0</v>
      </c>
      <c r="AS1238" s="255">
        <f t="shared" si="642"/>
        <v>0</v>
      </c>
      <c r="AT1238" s="31">
        <f t="shared" si="643"/>
        <v>0</v>
      </c>
      <c r="AU1238" s="255">
        <f t="shared" si="644"/>
        <v>0</v>
      </c>
      <c r="AV1238" s="31">
        <f t="shared" si="645"/>
        <v>0</v>
      </c>
      <c r="AW1238" s="31">
        <f t="shared" si="646"/>
        <v>0</v>
      </c>
      <c r="AX1238" s="31">
        <f t="shared" si="647"/>
        <v>0</v>
      </c>
      <c r="AY1238" s="255">
        <f t="shared" si="648"/>
        <v>0</v>
      </c>
      <c r="AZ1238" s="232">
        <f t="shared" si="649"/>
        <v>0</v>
      </c>
      <c r="BA1238" s="255">
        <f t="shared" si="650"/>
        <v>0</v>
      </c>
      <c r="BB1238" s="31">
        <f t="shared" si="651"/>
        <v>0</v>
      </c>
      <c r="BC1238" s="255">
        <f t="shared" si="652"/>
        <v>0</v>
      </c>
      <c r="BD1238" s="31">
        <f t="shared" si="653"/>
        <v>2.5000000000000001E-2</v>
      </c>
      <c r="BE1238" s="255">
        <f t="shared" si="654"/>
        <v>2.1250000000000002E-2</v>
      </c>
      <c r="BF1238" s="31">
        <f t="shared" si="655"/>
        <v>0</v>
      </c>
      <c r="BG1238" s="255">
        <f t="shared" si="656"/>
        <v>0</v>
      </c>
      <c r="BH1238" s="31">
        <f t="shared" si="657"/>
        <v>0</v>
      </c>
      <c r="BI1238" s="255">
        <f t="shared" si="658"/>
        <v>0</v>
      </c>
      <c r="BJ1238" s="31">
        <f t="shared" si="659"/>
        <v>0</v>
      </c>
      <c r="BK1238" s="31">
        <f t="shared" si="660"/>
        <v>0</v>
      </c>
      <c r="BL1238" s="255">
        <f t="shared" si="661"/>
        <v>0</v>
      </c>
      <c r="BM1238" s="31">
        <f t="shared" si="662"/>
        <v>0.1</v>
      </c>
      <c r="BN1238" s="255">
        <f t="shared" si="663"/>
        <v>8.5000000000000006E-2</v>
      </c>
    </row>
    <row r="1239" spans="1:66" x14ac:dyDescent="0.25">
      <c r="A1239" s="18" t="s">
        <v>902</v>
      </c>
      <c r="B1239" s="186" t="str">
        <f>VLOOKUP(A1239,kurspris!$A$1:$B$877,2,FALSE)</f>
        <v>Gruppvägledning med inriktning mot karriärutveckling</v>
      </c>
      <c r="C1239" s="37"/>
      <c r="D1239" s="31" t="s">
        <v>85</v>
      </c>
      <c r="E1239" s="31" t="s">
        <v>1931</v>
      </c>
      <c r="F1239" s="59" t="s">
        <v>1931</v>
      </c>
      <c r="G1239" s="31" t="s">
        <v>2269</v>
      </c>
      <c r="I1239" t="s">
        <v>628</v>
      </c>
      <c r="J1239" t="s">
        <v>1537</v>
      </c>
      <c r="L1239" s="31">
        <v>100</v>
      </c>
      <c r="M1239" s="31">
        <v>7.5</v>
      </c>
      <c r="N1239" s="40">
        <v>-0.05</v>
      </c>
      <c r="O1239" s="31">
        <v>27</v>
      </c>
      <c r="P1239" s="377">
        <f>O1239+(O1239*N1239)</f>
        <v>25.65</v>
      </c>
      <c r="Q1239" s="232">
        <f t="shared" si="636"/>
        <v>3.2062499999999998</v>
      </c>
      <c r="R1239" s="40">
        <v>0.85</v>
      </c>
      <c r="S1239" s="334">
        <f t="shared" si="637"/>
        <v>2.7253124999999998</v>
      </c>
      <c r="T1239" s="31">
        <f>VLOOKUP(A1239,'Ansvar kurs'!$A$1:$C$1010,2,FALSE)</f>
        <v>2193</v>
      </c>
      <c r="U1239" s="31" t="str">
        <f>VLOOKUP(T1239,Orgenheter!$A$1:$C$165,2,FALSE)</f>
        <v xml:space="preserve">TUV </v>
      </c>
      <c r="V1239" s="31" t="str">
        <f>VLOOKUP(T1239,Orgenheter!$A$1:$C$165,3,FALSE)</f>
        <v>Sam</v>
      </c>
      <c r="W1239" s="37" t="str">
        <f>VLOOKUP(D1239,Program!$A$1:$B$34,2,FALSE)</f>
        <v>Studie- och yrkesvägledarprogram</v>
      </c>
      <c r="X1239" s="42">
        <f>VLOOKUP(A1239,kurspris!$A$1:$Q$798,15,FALSE)</f>
        <v>34144.199999999997</v>
      </c>
      <c r="Y1239" s="42">
        <f>VLOOKUP(A1239,kurspris!$A$1:$Q$798,16,FALSE)</f>
        <v>33557.800000000003</v>
      </c>
      <c r="Z1239" s="42">
        <f t="shared" si="638"/>
        <v>200930.33306249999</v>
      </c>
      <c r="AA1239" s="42">
        <f>VLOOKUP(A1239,kurspris!$A$1:$Q$798,17,FALSE)</f>
        <v>5800</v>
      </c>
      <c r="AB1239" s="42">
        <f t="shared" si="639"/>
        <v>18596.25</v>
      </c>
      <c r="AC1239" s="42">
        <f t="shared" si="640"/>
        <v>219526.58306249999</v>
      </c>
      <c r="AD1239" s="31">
        <f>VLOOKUP($A1239,kurspris!$A$1:$Q$835,3,FALSE)</f>
        <v>0</v>
      </c>
      <c r="AE1239" s="31">
        <f>VLOOKUP($A1239,kurspris!$A$1:$Q$835,4,FALSE)</f>
        <v>0</v>
      </c>
      <c r="AF1239" s="31">
        <f>VLOOKUP($A1239,kurspris!$A$1:$Q$835,5,FALSE)</f>
        <v>0</v>
      </c>
      <c r="AG1239" s="31">
        <f>VLOOKUP($A1239,kurspris!$A$1:$Q$835,6,FALSE)</f>
        <v>0</v>
      </c>
      <c r="AH1239" s="31">
        <f>VLOOKUP($A1239,kurspris!$A$1:$Q$835,7,FALSE)</f>
        <v>0</v>
      </c>
      <c r="AI1239" s="31">
        <f>VLOOKUP($A1239,kurspris!$A$1:$Q$835,8,FALSE)</f>
        <v>0</v>
      </c>
      <c r="AJ1239" s="31">
        <f>VLOOKUP($A1239,kurspris!$A$1:$Q$835,9,FALSE)</f>
        <v>0.2</v>
      </c>
      <c r="AK1239" s="31">
        <f>VLOOKUP($A1239,kurspris!$A$1:$Q$835,10,FALSE)</f>
        <v>0</v>
      </c>
      <c r="AL1239" s="31">
        <f>VLOOKUP($A1239,kurspris!$A$1:$Q$835,11,FALSE)</f>
        <v>0</v>
      </c>
      <c r="AM1239" s="31">
        <f>VLOOKUP($A1239,kurspris!$A$1:$Q$835,12,FALSE)</f>
        <v>0</v>
      </c>
      <c r="AN1239" s="31">
        <f>VLOOKUP($A1239,kurspris!$A$1:$Q$835,13,FALSE)</f>
        <v>0</v>
      </c>
      <c r="AO1239" s="31">
        <f>VLOOKUP($A1239,kurspris!$A$1:$Q$835,14,FALSE)</f>
        <v>0.8</v>
      </c>
      <c r="AP1239" s="39" t="s">
        <v>1631</v>
      </c>
      <c r="AQ1239"/>
      <c r="AR1239" s="31">
        <f t="shared" si="641"/>
        <v>0</v>
      </c>
      <c r="AS1239" s="255">
        <f t="shared" si="642"/>
        <v>0</v>
      </c>
      <c r="AT1239" s="31">
        <f t="shared" si="643"/>
        <v>0</v>
      </c>
      <c r="AU1239" s="255">
        <f t="shared" si="644"/>
        <v>0</v>
      </c>
      <c r="AV1239" s="31">
        <f t="shared" si="645"/>
        <v>0</v>
      </c>
      <c r="AW1239" s="31">
        <f t="shared" si="646"/>
        <v>0</v>
      </c>
      <c r="AX1239" s="31">
        <f t="shared" si="647"/>
        <v>0</v>
      </c>
      <c r="AY1239" s="255">
        <f t="shared" si="648"/>
        <v>0</v>
      </c>
      <c r="AZ1239" s="232">
        <f t="shared" si="649"/>
        <v>0</v>
      </c>
      <c r="BA1239" s="255">
        <f t="shared" si="650"/>
        <v>0</v>
      </c>
      <c r="BB1239" s="31">
        <f t="shared" si="651"/>
        <v>0</v>
      </c>
      <c r="BC1239" s="255">
        <f t="shared" si="652"/>
        <v>0</v>
      </c>
      <c r="BD1239" s="31">
        <f t="shared" si="653"/>
        <v>0.64124999999999999</v>
      </c>
      <c r="BE1239" s="255">
        <f t="shared" si="654"/>
        <v>0.54506250000000001</v>
      </c>
      <c r="BF1239" s="31">
        <f t="shared" si="655"/>
        <v>0</v>
      </c>
      <c r="BG1239" s="255">
        <f t="shared" si="656"/>
        <v>0</v>
      </c>
      <c r="BH1239" s="31">
        <f t="shared" si="657"/>
        <v>0</v>
      </c>
      <c r="BI1239" s="255">
        <f t="shared" si="658"/>
        <v>0</v>
      </c>
      <c r="BJ1239" s="31">
        <f t="shared" si="659"/>
        <v>0</v>
      </c>
      <c r="BK1239" s="31">
        <f t="shared" si="660"/>
        <v>0</v>
      </c>
      <c r="BL1239" s="255">
        <f t="shared" si="661"/>
        <v>0</v>
      </c>
      <c r="BM1239" s="31">
        <f t="shared" si="662"/>
        <v>2.5649999999999999</v>
      </c>
      <c r="BN1239" s="255">
        <f t="shared" si="663"/>
        <v>2.18025</v>
      </c>
    </row>
    <row r="1240" spans="1:66" x14ac:dyDescent="0.25">
      <c r="A1240" t="s">
        <v>900</v>
      </c>
      <c r="B1240" s="186" t="str">
        <f>VLOOKUP(A1240,kurspris!$A$1:$B$877,2,FALSE)</f>
        <v>Kommunikation och undervisning</v>
      </c>
      <c r="C1240"/>
      <c r="D1240" t="s">
        <v>85</v>
      </c>
      <c r="E1240" t="s">
        <v>1788</v>
      </c>
      <c r="F1240" s="59" t="s">
        <v>1930</v>
      </c>
      <c r="G1240" t="s">
        <v>1933</v>
      </c>
      <c r="H1240" t="s">
        <v>1910</v>
      </c>
      <c r="I1240" t="s">
        <v>628</v>
      </c>
      <c r="J1240"/>
      <c r="K1240"/>
      <c r="L1240">
        <v>100</v>
      </c>
      <c r="M1240">
        <v>7.5</v>
      </c>
      <c r="N1240"/>
      <c r="O1240"/>
      <c r="P1240" s="31">
        <v>20</v>
      </c>
      <c r="Q1240" s="232">
        <f t="shared" si="636"/>
        <v>2.5</v>
      </c>
      <c r="R1240" s="40">
        <v>0.85</v>
      </c>
      <c r="S1240" s="334">
        <f t="shared" si="637"/>
        <v>2.125</v>
      </c>
      <c r="T1240" s="31">
        <f>VLOOKUP(A1240,'Ansvar kurs'!$A$1:$C$1010,2,FALSE)</f>
        <v>2180</v>
      </c>
      <c r="U1240" s="31" t="str">
        <f>VLOOKUP(T1240,Orgenheter!$A$1:$C$165,2,FALSE)</f>
        <v xml:space="preserve">Pedagogik                     </v>
      </c>
      <c r="V1240" s="31" t="str">
        <f>VLOOKUP(T1240,Orgenheter!$A$1:$C$165,3,FALSE)</f>
        <v>Sam</v>
      </c>
      <c r="W1240" s="37" t="str">
        <f>VLOOKUP(D1240,Program!$A$1:$B$34,2,FALSE)</f>
        <v>Studie- och yrkesvägledarprogram</v>
      </c>
      <c r="X1240" s="42">
        <f>VLOOKUP(A1240,kurspris!$A$1:$Q$798,15,FALSE)</f>
        <v>18405</v>
      </c>
      <c r="Y1240" s="42">
        <f>VLOOKUP(A1240,kurspris!$A$1:$Q$798,16,FALSE)</f>
        <v>15773</v>
      </c>
      <c r="Z1240" s="42">
        <f t="shared" si="638"/>
        <v>79530.125</v>
      </c>
      <c r="AA1240" s="42">
        <f>VLOOKUP(A1240,kurspris!$A$1:$Q$798,17,FALSE)</f>
        <v>5800</v>
      </c>
      <c r="AB1240" s="42">
        <f t="shared" si="639"/>
        <v>14500</v>
      </c>
      <c r="AC1240" s="42">
        <f t="shared" si="640"/>
        <v>94030.125</v>
      </c>
      <c r="AD1240" s="31">
        <f>VLOOKUP($A1240,kurspris!$A$1:$Q$835,3,FALSE)</f>
        <v>0</v>
      </c>
      <c r="AE1240" s="31">
        <f>VLOOKUP($A1240,kurspris!$A$1:$Q$835,4,FALSE)</f>
        <v>0</v>
      </c>
      <c r="AF1240" s="31">
        <f>VLOOKUP($A1240,kurspris!$A$1:$Q$835,5,FALSE)</f>
        <v>0</v>
      </c>
      <c r="AG1240" s="31">
        <f>VLOOKUP($A1240,kurspris!$A$1:$Q$835,6,FALSE)</f>
        <v>0</v>
      </c>
      <c r="AH1240" s="31">
        <f>VLOOKUP($A1240,kurspris!$A$1:$Q$835,7,FALSE)</f>
        <v>0</v>
      </c>
      <c r="AI1240" s="31">
        <f>VLOOKUP($A1240,kurspris!$A$1:$Q$835,8,FALSE)</f>
        <v>0</v>
      </c>
      <c r="AJ1240" s="31">
        <f>VLOOKUP($A1240,kurspris!$A$1:$Q$835,9,FALSE)</f>
        <v>1</v>
      </c>
      <c r="AK1240" s="31">
        <f>VLOOKUP($A1240,kurspris!$A$1:$Q$835,10,FALSE)</f>
        <v>0</v>
      </c>
      <c r="AL1240" s="31">
        <f>VLOOKUP($A1240,kurspris!$A$1:$Q$835,11,FALSE)</f>
        <v>0</v>
      </c>
      <c r="AM1240" s="31">
        <f>VLOOKUP($A1240,kurspris!$A$1:$Q$835,12,FALSE)</f>
        <v>0</v>
      </c>
      <c r="AN1240" s="31">
        <f>VLOOKUP($A1240,kurspris!$A$1:$Q$835,13,FALSE)</f>
        <v>0</v>
      </c>
      <c r="AO1240" s="31">
        <f>VLOOKUP($A1240,kurspris!$A$1:$Q$835,14,FALSE)</f>
        <v>0</v>
      </c>
      <c r="AP1240" s="39" t="s">
        <v>2235</v>
      </c>
      <c r="AQ1240"/>
      <c r="AR1240" s="31">
        <f t="shared" si="641"/>
        <v>0</v>
      </c>
      <c r="AS1240" s="255">
        <f t="shared" si="642"/>
        <v>0</v>
      </c>
      <c r="AT1240" s="31">
        <f t="shared" si="643"/>
        <v>0</v>
      </c>
      <c r="AU1240" s="255">
        <f t="shared" si="644"/>
        <v>0</v>
      </c>
      <c r="AV1240" s="31">
        <f t="shared" si="645"/>
        <v>0</v>
      </c>
      <c r="AW1240" s="31">
        <f t="shared" si="646"/>
        <v>0</v>
      </c>
      <c r="AX1240" s="31">
        <f t="shared" si="647"/>
        <v>0</v>
      </c>
      <c r="AY1240" s="255">
        <f t="shared" si="648"/>
        <v>0</v>
      </c>
      <c r="AZ1240" s="232">
        <f t="shared" si="649"/>
        <v>0</v>
      </c>
      <c r="BA1240" s="255">
        <f t="shared" si="650"/>
        <v>0</v>
      </c>
      <c r="BB1240" s="31">
        <f t="shared" si="651"/>
        <v>0</v>
      </c>
      <c r="BC1240" s="255">
        <f t="shared" si="652"/>
        <v>0</v>
      </c>
      <c r="BD1240" s="31">
        <f t="shared" si="653"/>
        <v>2.5</v>
      </c>
      <c r="BE1240" s="255">
        <f t="shared" si="654"/>
        <v>2.125</v>
      </c>
      <c r="BF1240" s="31">
        <f t="shared" si="655"/>
        <v>0</v>
      </c>
      <c r="BG1240" s="255">
        <f t="shared" si="656"/>
        <v>0</v>
      </c>
      <c r="BH1240" s="31">
        <f t="shared" si="657"/>
        <v>0</v>
      </c>
      <c r="BI1240" s="255">
        <f t="shared" si="658"/>
        <v>0</v>
      </c>
      <c r="BJ1240" s="31">
        <f t="shared" si="659"/>
        <v>0</v>
      </c>
      <c r="BK1240" s="31">
        <f t="shared" si="660"/>
        <v>0</v>
      </c>
      <c r="BL1240" s="255">
        <f t="shared" si="661"/>
        <v>0</v>
      </c>
      <c r="BM1240" s="31">
        <f t="shared" si="662"/>
        <v>0</v>
      </c>
      <c r="BN1240" s="255">
        <f t="shared" si="663"/>
        <v>0</v>
      </c>
    </row>
    <row r="1241" spans="1:66" x14ac:dyDescent="0.25">
      <c r="A1241" t="s">
        <v>900</v>
      </c>
      <c r="B1241" s="186" t="str">
        <f>VLOOKUP(A1241,kurspris!$A$1:$B$877,2,FALSE)</f>
        <v>Kommunikation och undervisning</v>
      </c>
      <c r="C1241"/>
      <c r="D1241" t="s">
        <v>85</v>
      </c>
      <c r="E1241" t="s">
        <v>1788</v>
      </c>
      <c r="F1241" s="59" t="s">
        <v>1930</v>
      </c>
      <c r="G1241" t="s">
        <v>1933</v>
      </c>
      <c r="H1241" t="s">
        <v>1910</v>
      </c>
      <c r="I1241" t="s">
        <v>1536</v>
      </c>
      <c r="J1241"/>
      <c r="K1241"/>
      <c r="L1241">
        <v>100</v>
      </c>
      <c r="M1241">
        <v>7.5</v>
      </c>
      <c r="N1241"/>
      <c r="O1241"/>
      <c r="P1241" s="31">
        <v>23</v>
      </c>
      <c r="Q1241" s="232">
        <f t="shared" si="636"/>
        <v>2.875</v>
      </c>
      <c r="R1241" s="40">
        <v>0.85</v>
      </c>
      <c r="S1241" s="334">
        <f t="shared" si="637"/>
        <v>2.4437500000000001</v>
      </c>
      <c r="T1241" s="31">
        <f>VLOOKUP(A1241,'Ansvar kurs'!$A$1:$C$1010,2,FALSE)</f>
        <v>2180</v>
      </c>
      <c r="U1241" s="31" t="str">
        <f>VLOOKUP(T1241,Orgenheter!$A$1:$C$165,2,FALSE)</f>
        <v xml:space="preserve">Pedagogik                     </v>
      </c>
      <c r="V1241" s="31" t="str">
        <f>VLOOKUP(T1241,Orgenheter!$A$1:$C$165,3,FALSE)</f>
        <v>Sam</v>
      </c>
      <c r="W1241" s="37" t="str">
        <f>VLOOKUP(D1241,Program!$A$1:$B$34,2,FALSE)</f>
        <v>Studie- och yrkesvägledarprogram</v>
      </c>
      <c r="X1241" s="42">
        <f>VLOOKUP(A1241,kurspris!$A$1:$Q$798,15,FALSE)</f>
        <v>18405</v>
      </c>
      <c r="Y1241" s="42">
        <f>VLOOKUP(A1241,kurspris!$A$1:$Q$798,16,FALSE)</f>
        <v>15773</v>
      </c>
      <c r="Z1241" s="42">
        <f t="shared" si="638"/>
        <v>91459.643750000003</v>
      </c>
      <c r="AA1241" s="42">
        <f>VLOOKUP(A1241,kurspris!$A$1:$Q$798,17,FALSE)</f>
        <v>5800</v>
      </c>
      <c r="AB1241" s="42">
        <f t="shared" si="639"/>
        <v>16675</v>
      </c>
      <c r="AC1241" s="42">
        <f t="shared" si="640"/>
        <v>108134.64375</v>
      </c>
      <c r="AD1241" s="31">
        <f>VLOOKUP($A1241,kurspris!$A$1:$Q$835,3,FALSE)</f>
        <v>0</v>
      </c>
      <c r="AE1241" s="31">
        <f>VLOOKUP($A1241,kurspris!$A$1:$Q$835,4,FALSE)</f>
        <v>0</v>
      </c>
      <c r="AF1241" s="31">
        <f>VLOOKUP($A1241,kurspris!$A$1:$Q$835,5,FALSE)</f>
        <v>0</v>
      </c>
      <c r="AG1241" s="31">
        <f>VLOOKUP($A1241,kurspris!$A$1:$Q$835,6,FALSE)</f>
        <v>0</v>
      </c>
      <c r="AH1241" s="31">
        <f>VLOOKUP($A1241,kurspris!$A$1:$Q$835,7,FALSE)</f>
        <v>0</v>
      </c>
      <c r="AI1241" s="31">
        <f>VLOOKUP($A1241,kurspris!$A$1:$Q$835,8,FALSE)</f>
        <v>0</v>
      </c>
      <c r="AJ1241" s="31">
        <f>VLOOKUP($A1241,kurspris!$A$1:$Q$835,9,FALSE)</f>
        <v>1</v>
      </c>
      <c r="AK1241" s="31">
        <f>VLOOKUP($A1241,kurspris!$A$1:$Q$835,10,FALSE)</f>
        <v>0</v>
      </c>
      <c r="AL1241" s="31">
        <f>VLOOKUP($A1241,kurspris!$A$1:$Q$835,11,FALSE)</f>
        <v>0</v>
      </c>
      <c r="AM1241" s="31">
        <f>VLOOKUP($A1241,kurspris!$A$1:$Q$835,12,FALSE)</f>
        <v>0</v>
      </c>
      <c r="AN1241" s="31">
        <f>VLOOKUP($A1241,kurspris!$A$1:$Q$835,13,FALSE)</f>
        <v>0</v>
      </c>
      <c r="AO1241" s="31">
        <f>VLOOKUP($A1241,kurspris!$A$1:$Q$835,14,FALSE)</f>
        <v>0</v>
      </c>
      <c r="AP1241" s="39" t="s">
        <v>2235</v>
      </c>
      <c r="AQ1241"/>
      <c r="AR1241" s="31">
        <f t="shared" si="641"/>
        <v>0</v>
      </c>
      <c r="AS1241" s="255">
        <f t="shared" si="642"/>
        <v>0</v>
      </c>
      <c r="AT1241" s="31">
        <f t="shared" si="643"/>
        <v>0</v>
      </c>
      <c r="AU1241" s="255">
        <f t="shared" si="644"/>
        <v>0</v>
      </c>
      <c r="AV1241" s="31">
        <f t="shared" si="645"/>
        <v>0</v>
      </c>
      <c r="AW1241" s="31">
        <f t="shared" si="646"/>
        <v>0</v>
      </c>
      <c r="AX1241" s="31">
        <f t="shared" si="647"/>
        <v>0</v>
      </c>
      <c r="AY1241" s="255">
        <f t="shared" si="648"/>
        <v>0</v>
      </c>
      <c r="AZ1241" s="232">
        <f t="shared" si="649"/>
        <v>0</v>
      </c>
      <c r="BA1241" s="255">
        <f t="shared" si="650"/>
        <v>0</v>
      </c>
      <c r="BB1241" s="31">
        <f t="shared" si="651"/>
        <v>0</v>
      </c>
      <c r="BC1241" s="255">
        <f t="shared" si="652"/>
        <v>0</v>
      </c>
      <c r="BD1241" s="31">
        <f t="shared" si="653"/>
        <v>2.875</v>
      </c>
      <c r="BE1241" s="255">
        <f t="shared" si="654"/>
        <v>2.4437500000000001</v>
      </c>
      <c r="BF1241" s="31">
        <f t="shared" si="655"/>
        <v>0</v>
      </c>
      <c r="BG1241" s="255">
        <f t="shared" si="656"/>
        <v>0</v>
      </c>
      <c r="BH1241" s="31">
        <f t="shared" si="657"/>
        <v>0</v>
      </c>
      <c r="BI1241" s="255">
        <f t="shared" si="658"/>
        <v>0</v>
      </c>
      <c r="BJ1241" s="31">
        <f t="shared" si="659"/>
        <v>0</v>
      </c>
      <c r="BK1241" s="31">
        <f t="shared" si="660"/>
        <v>0</v>
      </c>
      <c r="BL1241" s="255">
        <f t="shared" si="661"/>
        <v>0</v>
      </c>
      <c r="BM1241" s="31">
        <f t="shared" si="662"/>
        <v>0</v>
      </c>
      <c r="BN1241" s="255">
        <f t="shared" si="663"/>
        <v>0</v>
      </c>
    </row>
    <row r="1242" spans="1:66" x14ac:dyDescent="0.25">
      <c r="A1242" s="333" t="s">
        <v>942</v>
      </c>
      <c r="B1242" s="420" t="str">
        <f>VLOOKUP(A1242,kurspris!$A$1:$B$877,2,FALSE)</f>
        <v>Introduktion till studie- och yrkesvägledning</v>
      </c>
      <c r="C1242" s="421"/>
      <c r="D1242" s="333" t="s">
        <v>117</v>
      </c>
      <c r="E1242" s="295"/>
      <c r="F1242" s="333" t="s">
        <v>1930</v>
      </c>
      <c r="G1242" s="295"/>
      <c r="H1242" s="295" t="s">
        <v>1910</v>
      </c>
      <c r="I1242" s="295" t="s">
        <v>628</v>
      </c>
      <c r="J1242" s="333" t="s">
        <v>1537</v>
      </c>
      <c r="K1242" s="295"/>
      <c r="L1242" s="295">
        <v>100</v>
      </c>
      <c r="M1242" s="379">
        <v>12.5</v>
      </c>
      <c r="N1242" s="295"/>
      <c r="O1242" s="295"/>
      <c r="P1242" s="31">
        <v>33</v>
      </c>
      <c r="Q1242" s="232">
        <f t="shared" ref="Q1242:Q1278" si="664">(M1242/60)*P1242</f>
        <v>6.875</v>
      </c>
      <c r="R1242" s="40">
        <v>0.85</v>
      </c>
      <c r="S1242" s="334">
        <f t="shared" ref="S1242:S1278" si="665">Q1242*R1242</f>
        <v>5.84375</v>
      </c>
      <c r="T1242" s="31">
        <f>VLOOKUP(A1242,'Ansvar kurs'!$A$1:$C$1010,2,FALSE)</f>
        <v>2193</v>
      </c>
      <c r="U1242" s="31" t="str">
        <f>VLOOKUP(T1242,Orgenheter!$A$1:$C$165,2,FALSE)</f>
        <v xml:space="preserve">TUV </v>
      </c>
      <c r="V1242" s="31" t="str">
        <f>VLOOKUP(T1242,Orgenheter!$A$1:$C$165,3,FALSE)</f>
        <v>Sam</v>
      </c>
      <c r="W1242" s="37" t="str">
        <f>VLOOKUP(D1242,Program!$A$1:$B$34,2,FALSE)</f>
        <v>Fristående och övriga kurser</v>
      </c>
      <c r="X1242" s="42">
        <f>VLOOKUP(A1242,kurspris!$A$1:$Q$798,15,FALSE)</f>
        <v>18405</v>
      </c>
      <c r="Y1242" s="42">
        <f>VLOOKUP(A1242,kurspris!$A$1:$Q$798,16,FALSE)</f>
        <v>15773</v>
      </c>
      <c r="Z1242" s="42">
        <f t="shared" ref="Z1242:Z1278" si="666">X1242*Q1242+S1242*Y1242</f>
        <v>218707.84375</v>
      </c>
      <c r="AA1242" s="42">
        <f>VLOOKUP(A1242,kurspris!$A$1:$Q$798,17,FALSE)</f>
        <v>5800</v>
      </c>
      <c r="AB1242" s="42">
        <f t="shared" ref="AB1242:AB1278" si="667">AA1242*Q1242</f>
        <v>39875</v>
      </c>
      <c r="AC1242" s="42">
        <f t="shared" ref="AC1242:AC1278" si="668">Z1242+AB1242</f>
        <v>258582.84375</v>
      </c>
      <c r="AD1242" s="31">
        <f>VLOOKUP($A1242,kurspris!$A$1:$Q$835,3,FALSE)</f>
        <v>0</v>
      </c>
      <c r="AE1242" s="31">
        <f>VLOOKUP($A1242,kurspris!$A$1:$Q$835,4,FALSE)</f>
        <v>0</v>
      </c>
      <c r="AF1242" s="31">
        <f>VLOOKUP($A1242,kurspris!$A$1:$Q$835,5,FALSE)</f>
        <v>0</v>
      </c>
      <c r="AG1242" s="31">
        <f>VLOOKUP($A1242,kurspris!$A$1:$Q$835,6,FALSE)</f>
        <v>0</v>
      </c>
      <c r="AH1242" s="31">
        <f>VLOOKUP($A1242,kurspris!$A$1:$Q$835,7,FALSE)</f>
        <v>0</v>
      </c>
      <c r="AI1242" s="31">
        <f>VLOOKUP($A1242,kurspris!$A$1:$Q$835,8,FALSE)</f>
        <v>0</v>
      </c>
      <c r="AJ1242" s="31">
        <f>VLOOKUP($A1242,kurspris!$A$1:$Q$835,9,FALSE)</f>
        <v>1</v>
      </c>
      <c r="AK1242" s="31">
        <f>VLOOKUP($A1242,kurspris!$A$1:$Q$835,10,FALSE)</f>
        <v>0</v>
      </c>
      <c r="AL1242" s="31">
        <f>VLOOKUP($A1242,kurspris!$A$1:$Q$835,11,FALSE)</f>
        <v>0</v>
      </c>
      <c r="AM1242" s="31">
        <f>VLOOKUP($A1242,kurspris!$A$1:$Q$835,12,FALSE)</f>
        <v>0</v>
      </c>
      <c r="AN1242" s="31">
        <f>VLOOKUP($A1242,kurspris!$A$1:$Q$835,13,FALSE)</f>
        <v>0</v>
      </c>
      <c r="AO1242" s="31">
        <f>VLOOKUP($A1242,kurspris!$A$1:$Q$835,14,FALSE)</f>
        <v>0</v>
      </c>
      <c r="AP1242" s="39" t="s">
        <v>2204</v>
      </c>
      <c r="AQ1242" s="39" t="s">
        <v>2094</v>
      </c>
      <c r="AR1242" s="31">
        <f t="shared" ref="AR1242:AR1278" si="669">$Q1242*AD1242</f>
        <v>0</v>
      </c>
      <c r="AS1242" s="255">
        <f t="shared" ref="AS1242:AS1278" si="670">$S1242*AD1242</f>
        <v>0</v>
      </c>
      <c r="AT1242" s="31">
        <f t="shared" ref="AT1242:AT1278" si="671">$Q1242*AE1242</f>
        <v>0</v>
      </c>
      <c r="AU1242" s="255">
        <f t="shared" ref="AU1242:AU1278" si="672">$S1242*AE1242</f>
        <v>0</v>
      </c>
      <c r="AV1242" s="31">
        <f t="shared" ref="AV1242:AV1278" si="673">$Q1242*AF1242</f>
        <v>0</v>
      </c>
      <c r="AW1242" s="31">
        <f t="shared" ref="AW1242:AW1278" si="674">$S1242*AF1242</f>
        <v>0</v>
      </c>
      <c r="AX1242" s="31">
        <f t="shared" ref="AX1242:AX1278" si="675">$Q1242*AG1242</f>
        <v>0</v>
      </c>
      <c r="AY1242" s="255">
        <f t="shared" ref="AY1242:AY1278" si="676">$S1242*AG1242</f>
        <v>0</v>
      </c>
      <c r="AZ1242" s="232">
        <f t="shared" ref="AZ1242:AZ1278" si="677">$Q1242*AH1242</f>
        <v>0</v>
      </c>
      <c r="BA1242" s="255">
        <f t="shared" ref="BA1242:BA1278" si="678">$S1242*AH1242</f>
        <v>0</v>
      </c>
      <c r="BB1242" s="31">
        <f t="shared" ref="BB1242:BB1278" si="679">$Q1242*AI1242</f>
        <v>0</v>
      </c>
      <c r="BC1242" s="255">
        <f t="shared" ref="BC1242:BC1278" si="680">$S1242*AI1242</f>
        <v>0</v>
      </c>
      <c r="BD1242" s="31">
        <f t="shared" ref="BD1242:BD1278" si="681">$Q1242*AJ1242</f>
        <v>6.875</v>
      </c>
      <c r="BE1242" s="255">
        <f t="shared" ref="BE1242:BE1278" si="682">$S1242*AJ1242</f>
        <v>5.84375</v>
      </c>
      <c r="BF1242" s="31">
        <f t="shared" ref="BF1242:BF1278" si="683">$Q1242*AK1242</f>
        <v>0</v>
      </c>
      <c r="BG1242" s="255">
        <f t="shared" ref="BG1242:BG1278" si="684">$S1242*AK1242</f>
        <v>0</v>
      </c>
      <c r="BH1242" s="31">
        <f t="shared" ref="BH1242:BH1278" si="685">$Q1242*AL1242</f>
        <v>0</v>
      </c>
      <c r="BI1242" s="255">
        <f t="shared" ref="BI1242:BI1278" si="686">$S1242*AL1242</f>
        <v>0</v>
      </c>
      <c r="BJ1242" s="31">
        <f t="shared" ref="BJ1242:BJ1278" si="687">$Q1242*AM1242</f>
        <v>0</v>
      </c>
      <c r="BK1242" s="31">
        <f t="shared" ref="BK1242:BK1278" si="688">$Q1242*AN1242</f>
        <v>0</v>
      </c>
      <c r="BL1242" s="255">
        <f t="shared" ref="BL1242:BL1278" si="689">$S1242*AN1242</f>
        <v>0</v>
      </c>
      <c r="BM1242" s="31">
        <f t="shared" ref="BM1242:BM1278" si="690">$Q1242*AO1242</f>
        <v>0</v>
      </c>
      <c r="BN1242" s="255">
        <f t="shared" ref="BN1242:BN1278" si="691">$S1242*AO1242</f>
        <v>0</v>
      </c>
    </row>
    <row r="1243" spans="1:66" x14ac:dyDescent="0.25">
      <c r="A1243" s="333" t="s">
        <v>943</v>
      </c>
      <c r="B1243" s="420" t="str">
        <f>VLOOKUP(A1243,kurspris!$A$1:$B$877,2,FALSE)</f>
        <v>Teorier, modeller och metoder för karriärvägledning</v>
      </c>
      <c r="C1243" s="421"/>
      <c r="D1243" s="333" t="s">
        <v>117</v>
      </c>
      <c r="E1243" s="295"/>
      <c r="F1243" s="333" t="s">
        <v>1930</v>
      </c>
      <c r="G1243" s="295"/>
      <c r="H1243" s="295" t="s">
        <v>1910</v>
      </c>
      <c r="I1243" s="295" t="s">
        <v>628</v>
      </c>
      <c r="J1243" s="333" t="s">
        <v>1537</v>
      </c>
      <c r="K1243" s="295"/>
      <c r="L1243" s="295">
        <v>100</v>
      </c>
      <c r="M1243" s="379">
        <v>7.5</v>
      </c>
      <c r="N1243" s="422"/>
      <c r="O1243" s="295"/>
      <c r="P1243" s="377">
        <v>32</v>
      </c>
      <c r="Q1243" s="232">
        <f t="shared" si="664"/>
        <v>4</v>
      </c>
      <c r="R1243" s="40">
        <v>0.85</v>
      </c>
      <c r="S1243" s="334">
        <f t="shared" si="665"/>
        <v>3.4</v>
      </c>
      <c r="T1243" s="31">
        <f>VLOOKUP(A1243,'Ansvar kurs'!$A$1:$C$1010,2,FALSE)</f>
        <v>2193</v>
      </c>
      <c r="U1243" s="31" t="str">
        <f>VLOOKUP(T1243,Orgenheter!$A$1:$C$165,2,FALSE)</f>
        <v xml:space="preserve">TUV </v>
      </c>
      <c r="V1243" s="31" t="str">
        <f>VLOOKUP(T1243,Orgenheter!$A$1:$C$165,3,FALSE)</f>
        <v>Sam</v>
      </c>
      <c r="W1243" s="37" t="str">
        <f>VLOOKUP(D1243,Program!$A$1:$B$34,2,FALSE)</f>
        <v>Fristående och övriga kurser</v>
      </c>
      <c r="X1243" s="42">
        <f>VLOOKUP(A1243,kurspris!$A$1:$Q$798,15,FALSE)</f>
        <v>18405</v>
      </c>
      <c r="Y1243" s="42">
        <f>VLOOKUP(A1243,kurspris!$A$1:$Q$798,16,FALSE)</f>
        <v>15773</v>
      </c>
      <c r="Z1243" s="42">
        <f t="shared" si="666"/>
        <v>127248.2</v>
      </c>
      <c r="AA1243" s="42">
        <f>VLOOKUP(A1243,kurspris!$A$1:$Q$798,17,FALSE)</f>
        <v>5800</v>
      </c>
      <c r="AB1243" s="42">
        <f t="shared" si="667"/>
        <v>23200</v>
      </c>
      <c r="AC1243" s="42">
        <f t="shared" si="668"/>
        <v>150448.20000000001</v>
      </c>
      <c r="AD1243" s="31">
        <f>VLOOKUP($A1243,kurspris!$A$1:$Q$835,3,FALSE)</f>
        <v>0</v>
      </c>
      <c r="AE1243" s="31">
        <f>VLOOKUP($A1243,kurspris!$A$1:$Q$835,4,FALSE)</f>
        <v>0</v>
      </c>
      <c r="AF1243" s="31">
        <f>VLOOKUP($A1243,kurspris!$A$1:$Q$835,5,FALSE)</f>
        <v>0</v>
      </c>
      <c r="AG1243" s="31">
        <f>VLOOKUP($A1243,kurspris!$A$1:$Q$835,6,FALSE)</f>
        <v>0</v>
      </c>
      <c r="AH1243" s="31">
        <f>VLOOKUP($A1243,kurspris!$A$1:$Q$835,7,FALSE)</f>
        <v>0</v>
      </c>
      <c r="AI1243" s="31">
        <f>VLOOKUP($A1243,kurspris!$A$1:$Q$835,8,FALSE)</f>
        <v>0</v>
      </c>
      <c r="AJ1243" s="31">
        <f>VLOOKUP($A1243,kurspris!$A$1:$Q$835,9,FALSE)</f>
        <v>1</v>
      </c>
      <c r="AK1243" s="31">
        <f>VLOOKUP($A1243,kurspris!$A$1:$Q$835,10,FALSE)</f>
        <v>0</v>
      </c>
      <c r="AL1243" s="31">
        <f>VLOOKUP($A1243,kurspris!$A$1:$Q$835,11,FALSE)</f>
        <v>0</v>
      </c>
      <c r="AM1243" s="31">
        <f>VLOOKUP($A1243,kurspris!$A$1:$Q$835,12,FALSE)</f>
        <v>0</v>
      </c>
      <c r="AN1243" s="31">
        <f>VLOOKUP($A1243,kurspris!$A$1:$Q$835,13,FALSE)</f>
        <v>0</v>
      </c>
      <c r="AO1243" s="31">
        <f>VLOOKUP($A1243,kurspris!$A$1:$Q$835,14,FALSE)</f>
        <v>0</v>
      </c>
      <c r="AP1243" s="39" t="s">
        <v>2204</v>
      </c>
      <c r="AQ1243" s="39" t="s">
        <v>2094</v>
      </c>
      <c r="AR1243" s="31">
        <f t="shared" si="669"/>
        <v>0</v>
      </c>
      <c r="AS1243" s="255">
        <f t="shared" si="670"/>
        <v>0</v>
      </c>
      <c r="AT1243" s="31">
        <f t="shared" si="671"/>
        <v>0</v>
      </c>
      <c r="AU1243" s="255">
        <f t="shared" si="672"/>
        <v>0</v>
      </c>
      <c r="AV1243" s="31">
        <f t="shared" si="673"/>
        <v>0</v>
      </c>
      <c r="AW1243" s="31">
        <f t="shared" si="674"/>
        <v>0</v>
      </c>
      <c r="AX1243" s="31">
        <f t="shared" si="675"/>
        <v>0</v>
      </c>
      <c r="AY1243" s="255">
        <f t="shared" si="676"/>
        <v>0</v>
      </c>
      <c r="AZ1243" s="232">
        <f t="shared" si="677"/>
        <v>0</v>
      </c>
      <c r="BA1243" s="255">
        <f t="shared" si="678"/>
        <v>0</v>
      </c>
      <c r="BB1243" s="31">
        <f t="shared" si="679"/>
        <v>0</v>
      </c>
      <c r="BC1243" s="255">
        <f t="shared" si="680"/>
        <v>0</v>
      </c>
      <c r="BD1243" s="31">
        <f t="shared" si="681"/>
        <v>4</v>
      </c>
      <c r="BE1243" s="255">
        <f t="shared" si="682"/>
        <v>3.4</v>
      </c>
      <c r="BF1243" s="31">
        <f t="shared" si="683"/>
        <v>0</v>
      </c>
      <c r="BG1243" s="255">
        <f t="shared" si="684"/>
        <v>0</v>
      </c>
      <c r="BH1243" s="31">
        <f t="shared" si="685"/>
        <v>0</v>
      </c>
      <c r="BI1243" s="255">
        <f t="shared" si="686"/>
        <v>0</v>
      </c>
      <c r="BJ1243" s="31">
        <f t="shared" si="687"/>
        <v>0</v>
      </c>
      <c r="BK1243" s="31">
        <f t="shared" si="688"/>
        <v>0</v>
      </c>
      <c r="BL1243" s="255">
        <f t="shared" si="689"/>
        <v>0</v>
      </c>
      <c r="BM1243" s="31">
        <f t="shared" si="690"/>
        <v>0</v>
      </c>
      <c r="BN1243" s="255">
        <f t="shared" si="691"/>
        <v>0</v>
      </c>
    </row>
    <row r="1244" spans="1:66" x14ac:dyDescent="0.25">
      <c r="A1244" s="59" t="s">
        <v>944</v>
      </c>
      <c r="B1244" s="186" t="str">
        <f>VLOOKUP(A1244,kurspris!$A$1:$B$877,2,FALSE)</f>
        <v>Samhällsvetenskap</v>
      </c>
      <c r="C1244" s="37"/>
      <c r="D1244" s="59" t="s">
        <v>117</v>
      </c>
      <c r="F1244" s="59" t="s">
        <v>1930</v>
      </c>
      <c r="H1244" s="31" t="s">
        <v>1910</v>
      </c>
      <c r="I1244" s="31" t="s">
        <v>628</v>
      </c>
      <c r="J1244" s="59" t="s">
        <v>1537</v>
      </c>
      <c r="L1244" s="31">
        <v>100</v>
      </c>
      <c r="M1244" s="378">
        <v>10</v>
      </c>
      <c r="N1244" s="40">
        <v>-0.08</v>
      </c>
      <c r="O1244" s="31">
        <v>33</v>
      </c>
      <c r="P1244" s="377">
        <f>O1244+(O1244*N1244)</f>
        <v>30.36</v>
      </c>
      <c r="Q1244" s="232">
        <f t="shared" si="664"/>
        <v>5.0599999999999996</v>
      </c>
      <c r="R1244" s="40">
        <v>0.85</v>
      </c>
      <c r="S1244" s="334">
        <f t="shared" si="665"/>
        <v>4.3009999999999993</v>
      </c>
      <c r="T1244" s="31">
        <f>VLOOKUP(A1244,'Ansvar kurs'!$A$1:$C$1010,2,FALSE)</f>
        <v>2193</v>
      </c>
      <c r="U1244" s="31" t="str">
        <f>VLOOKUP(T1244,Orgenheter!$A$1:$C$165,2,FALSE)</f>
        <v xml:space="preserve">TUV </v>
      </c>
      <c r="V1244" s="31" t="str">
        <f>VLOOKUP(T1244,Orgenheter!$A$1:$C$165,3,FALSE)</f>
        <v>Sam</v>
      </c>
      <c r="W1244" s="37" t="str">
        <f>VLOOKUP(D1244,Program!$A$1:$B$34,2,FALSE)</f>
        <v>Fristående och övriga kurser</v>
      </c>
      <c r="X1244" s="42">
        <f>VLOOKUP(A1244,kurspris!$A$1:$Q$798,15,FALSE)</f>
        <v>18405</v>
      </c>
      <c r="Y1244" s="42">
        <f>VLOOKUP(A1244,kurspris!$A$1:$Q$798,16,FALSE)</f>
        <v>15773</v>
      </c>
      <c r="Z1244" s="42">
        <f t="shared" si="666"/>
        <v>160968.973</v>
      </c>
      <c r="AA1244" s="42">
        <f>VLOOKUP(A1244,kurspris!$A$1:$Q$798,17,FALSE)</f>
        <v>5800</v>
      </c>
      <c r="AB1244" s="42">
        <f t="shared" si="667"/>
        <v>29347.999999999996</v>
      </c>
      <c r="AC1244" s="42">
        <f t="shared" si="668"/>
        <v>190316.973</v>
      </c>
      <c r="AD1244" s="31">
        <f>VLOOKUP($A1244,kurspris!$A$1:$Q$835,3,FALSE)</f>
        <v>0</v>
      </c>
      <c r="AE1244" s="31">
        <f>VLOOKUP($A1244,kurspris!$A$1:$Q$835,4,FALSE)</f>
        <v>0</v>
      </c>
      <c r="AF1244" s="31">
        <f>VLOOKUP($A1244,kurspris!$A$1:$Q$835,5,FALSE)</f>
        <v>0</v>
      </c>
      <c r="AG1244" s="31">
        <f>VLOOKUP($A1244,kurspris!$A$1:$Q$835,6,FALSE)</f>
        <v>0</v>
      </c>
      <c r="AH1244" s="31">
        <f>VLOOKUP($A1244,kurspris!$A$1:$Q$835,7,FALSE)</f>
        <v>0</v>
      </c>
      <c r="AI1244" s="31">
        <f>VLOOKUP($A1244,kurspris!$A$1:$Q$835,8,FALSE)</f>
        <v>0</v>
      </c>
      <c r="AJ1244" s="31">
        <f>VLOOKUP($A1244,kurspris!$A$1:$Q$835,9,FALSE)</f>
        <v>1</v>
      </c>
      <c r="AK1244" s="31">
        <f>VLOOKUP($A1244,kurspris!$A$1:$Q$835,10,FALSE)</f>
        <v>0</v>
      </c>
      <c r="AL1244" s="31">
        <f>VLOOKUP($A1244,kurspris!$A$1:$Q$835,11,FALSE)</f>
        <v>0</v>
      </c>
      <c r="AM1244" s="31">
        <f>VLOOKUP($A1244,kurspris!$A$1:$Q$835,12,FALSE)</f>
        <v>0</v>
      </c>
      <c r="AN1244" s="31">
        <f>VLOOKUP($A1244,kurspris!$A$1:$Q$835,13,FALSE)</f>
        <v>0</v>
      </c>
      <c r="AO1244" s="31">
        <f>VLOOKUP($A1244,kurspris!$A$1:$Q$835,14,FALSE)</f>
        <v>0</v>
      </c>
      <c r="AP1244" s="39" t="s">
        <v>1631</v>
      </c>
      <c r="AQ1244" s="39" t="s">
        <v>2094</v>
      </c>
      <c r="AR1244" s="31">
        <f t="shared" si="669"/>
        <v>0</v>
      </c>
      <c r="AS1244" s="255">
        <f t="shared" si="670"/>
        <v>0</v>
      </c>
      <c r="AT1244" s="31">
        <f t="shared" si="671"/>
        <v>0</v>
      </c>
      <c r="AU1244" s="255">
        <f t="shared" si="672"/>
        <v>0</v>
      </c>
      <c r="AV1244" s="31">
        <f t="shared" si="673"/>
        <v>0</v>
      </c>
      <c r="AW1244" s="31">
        <f t="shared" si="674"/>
        <v>0</v>
      </c>
      <c r="AX1244" s="31">
        <f t="shared" si="675"/>
        <v>0</v>
      </c>
      <c r="AY1244" s="255">
        <f t="shared" si="676"/>
        <v>0</v>
      </c>
      <c r="AZ1244" s="232">
        <f t="shared" si="677"/>
        <v>0</v>
      </c>
      <c r="BA1244" s="255">
        <f t="shared" si="678"/>
        <v>0</v>
      </c>
      <c r="BB1244" s="31">
        <f t="shared" si="679"/>
        <v>0</v>
      </c>
      <c r="BC1244" s="255">
        <f t="shared" si="680"/>
        <v>0</v>
      </c>
      <c r="BD1244" s="31">
        <f t="shared" si="681"/>
        <v>5.0599999999999996</v>
      </c>
      <c r="BE1244" s="255">
        <f t="shared" si="682"/>
        <v>4.3009999999999993</v>
      </c>
      <c r="BF1244" s="31">
        <f t="shared" si="683"/>
        <v>0</v>
      </c>
      <c r="BG1244" s="255">
        <f t="shared" si="684"/>
        <v>0</v>
      </c>
      <c r="BH1244" s="31">
        <f t="shared" si="685"/>
        <v>0</v>
      </c>
      <c r="BI1244" s="255">
        <f t="shared" si="686"/>
        <v>0</v>
      </c>
      <c r="BJ1244" s="31">
        <f t="shared" si="687"/>
        <v>0</v>
      </c>
      <c r="BK1244" s="31">
        <f t="shared" si="688"/>
        <v>0</v>
      </c>
      <c r="BL1244" s="255">
        <f t="shared" si="689"/>
        <v>0</v>
      </c>
      <c r="BM1244" s="31">
        <f t="shared" si="690"/>
        <v>0</v>
      </c>
      <c r="BN1244" s="255">
        <f t="shared" si="691"/>
        <v>0</v>
      </c>
    </row>
    <row r="1245" spans="1:66" x14ac:dyDescent="0.25">
      <c r="A1245" t="s">
        <v>987</v>
      </c>
      <c r="B1245" s="186" t="str">
        <f>VLOOKUP(A1245,kurspris!$A$1:$B$877,2,FALSE)</f>
        <v>Arbetsliv och lärande</v>
      </c>
      <c r="C1245"/>
      <c r="D1245" t="s">
        <v>85</v>
      </c>
      <c r="E1245" t="s">
        <v>1973</v>
      </c>
      <c r="F1245" s="59" t="s">
        <v>1930</v>
      </c>
      <c r="G1245" t="s">
        <v>1989</v>
      </c>
      <c r="H1245" t="s">
        <v>1910</v>
      </c>
      <c r="I1245" t="s">
        <v>628</v>
      </c>
      <c r="J1245"/>
      <c r="K1245"/>
      <c r="L1245">
        <v>100</v>
      </c>
      <c r="M1245">
        <v>7.5</v>
      </c>
      <c r="N1245"/>
      <c r="O1245"/>
      <c r="P1245" s="31">
        <v>1</v>
      </c>
      <c r="Q1245" s="232">
        <f t="shared" si="664"/>
        <v>0.125</v>
      </c>
      <c r="R1245" s="40">
        <v>0.85</v>
      </c>
      <c r="S1245" s="334">
        <f t="shared" si="665"/>
        <v>0.10625</v>
      </c>
      <c r="T1245" s="31">
        <f>VLOOKUP(A1245,'Ansvar kurs'!$A$1:$C$1010,2,FALSE)</f>
        <v>2180</v>
      </c>
      <c r="U1245" s="31" t="str">
        <f>VLOOKUP(T1245,Orgenheter!$A$1:$C$165,2,FALSE)</f>
        <v xml:space="preserve">Pedagogik                     </v>
      </c>
      <c r="V1245" s="31" t="str">
        <f>VLOOKUP(T1245,Orgenheter!$A$1:$C$165,3,FALSE)</f>
        <v>Sam</v>
      </c>
      <c r="W1245" s="37" t="str">
        <f>VLOOKUP(D1245,Program!$A$1:$B$34,2,FALSE)</f>
        <v>Studie- och yrkesvägledarprogram</v>
      </c>
      <c r="X1245" s="42">
        <f>VLOOKUP(A1245,kurspris!$A$1:$Q$798,15,FALSE)</f>
        <v>18405</v>
      </c>
      <c r="Y1245" s="42">
        <f>VLOOKUP(A1245,kurspris!$A$1:$Q$798,16,FALSE)</f>
        <v>15773</v>
      </c>
      <c r="Z1245" s="42">
        <f t="shared" si="666"/>
        <v>3976.5062499999999</v>
      </c>
      <c r="AA1245" s="42">
        <f>VLOOKUP(A1245,kurspris!$A$1:$Q$798,17,FALSE)</f>
        <v>5800</v>
      </c>
      <c r="AB1245" s="42">
        <f t="shared" si="667"/>
        <v>725</v>
      </c>
      <c r="AC1245" s="42">
        <f t="shared" si="668"/>
        <v>4701.5062500000004</v>
      </c>
      <c r="AD1245" s="31">
        <f>VLOOKUP($A1245,kurspris!$A$1:$Q$835,3,FALSE)</f>
        <v>0</v>
      </c>
      <c r="AE1245" s="31">
        <f>VLOOKUP($A1245,kurspris!$A$1:$Q$835,4,FALSE)</f>
        <v>0</v>
      </c>
      <c r="AF1245" s="31">
        <f>VLOOKUP($A1245,kurspris!$A$1:$Q$835,5,FALSE)</f>
        <v>0</v>
      </c>
      <c r="AG1245" s="31">
        <f>VLOOKUP($A1245,kurspris!$A$1:$Q$835,6,FALSE)</f>
        <v>0</v>
      </c>
      <c r="AH1245" s="31">
        <f>VLOOKUP($A1245,kurspris!$A$1:$Q$835,7,FALSE)</f>
        <v>0</v>
      </c>
      <c r="AI1245" s="31">
        <f>VLOOKUP($A1245,kurspris!$A$1:$Q$835,8,FALSE)</f>
        <v>0</v>
      </c>
      <c r="AJ1245" s="31">
        <f>VLOOKUP($A1245,kurspris!$A$1:$Q$835,9,FALSE)</f>
        <v>1</v>
      </c>
      <c r="AK1245" s="31">
        <f>VLOOKUP($A1245,kurspris!$A$1:$Q$835,10,FALSE)</f>
        <v>0</v>
      </c>
      <c r="AL1245" s="31">
        <f>VLOOKUP($A1245,kurspris!$A$1:$Q$835,11,FALSE)</f>
        <v>0</v>
      </c>
      <c r="AM1245" s="31">
        <f>VLOOKUP($A1245,kurspris!$A$1:$Q$835,12,FALSE)</f>
        <v>0</v>
      </c>
      <c r="AN1245" s="31">
        <f>VLOOKUP($A1245,kurspris!$A$1:$Q$835,13,FALSE)</f>
        <v>0</v>
      </c>
      <c r="AO1245" s="31">
        <f>VLOOKUP($A1245,kurspris!$A$1:$Q$835,14,FALSE)</f>
        <v>0</v>
      </c>
      <c r="AP1245" s="39" t="s">
        <v>2204</v>
      </c>
      <c r="AQ1245"/>
      <c r="AR1245" s="31">
        <f t="shared" si="669"/>
        <v>0</v>
      </c>
      <c r="AS1245" s="255">
        <f t="shared" si="670"/>
        <v>0</v>
      </c>
      <c r="AT1245" s="31">
        <f t="shared" si="671"/>
        <v>0</v>
      </c>
      <c r="AU1245" s="255">
        <f t="shared" si="672"/>
        <v>0</v>
      </c>
      <c r="AV1245" s="31">
        <f t="shared" si="673"/>
        <v>0</v>
      </c>
      <c r="AW1245" s="31">
        <f t="shared" si="674"/>
        <v>0</v>
      </c>
      <c r="AX1245" s="31">
        <f t="shared" si="675"/>
        <v>0</v>
      </c>
      <c r="AY1245" s="255">
        <f t="shared" si="676"/>
        <v>0</v>
      </c>
      <c r="AZ1245" s="232">
        <f t="shared" si="677"/>
        <v>0</v>
      </c>
      <c r="BA1245" s="255">
        <f t="shared" si="678"/>
        <v>0</v>
      </c>
      <c r="BB1245" s="31">
        <f t="shared" si="679"/>
        <v>0</v>
      </c>
      <c r="BC1245" s="255">
        <f t="shared" si="680"/>
        <v>0</v>
      </c>
      <c r="BD1245" s="31">
        <f t="shared" si="681"/>
        <v>0.125</v>
      </c>
      <c r="BE1245" s="255">
        <f t="shared" si="682"/>
        <v>0.10625</v>
      </c>
      <c r="BF1245" s="31">
        <f t="shared" si="683"/>
        <v>0</v>
      </c>
      <c r="BG1245" s="255">
        <f t="shared" si="684"/>
        <v>0</v>
      </c>
      <c r="BH1245" s="31">
        <f t="shared" si="685"/>
        <v>0</v>
      </c>
      <c r="BI1245" s="255">
        <f t="shared" si="686"/>
        <v>0</v>
      </c>
      <c r="BJ1245" s="31">
        <f t="shared" si="687"/>
        <v>0</v>
      </c>
      <c r="BK1245" s="31">
        <f t="shared" si="688"/>
        <v>0</v>
      </c>
      <c r="BL1245" s="255">
        <f t="shared" si="689"/>
        <v>0</v>
      </c>
      <c r="BM1245" s="31">
        <f t="shared" si="690"/>
        <v>0</v>
      </c>
      <c r="BN1245" s="255">
        <f t="shared" si="691"/>
        <v>0</v>
      </c>
    </row>
    <row r="1246" spans="1:66" x14ac:dyDescent="0.25">
      <c r="A1246" t="s">
        <v>987</v>
      </c>
      <c r="B1246" s="186" t="str">
        <f>VLOOKUP(A1246,kurspris!$A$1:$B$877,2,FALSE)</f>
        <v>Arbetsliv och lärande</v>
      </c>
      <c r="C1246"/>
      <c r="D1246" t="s">
        <v>85</v>
      </c>
      <c r="E1246" t="s">
        <v>1609</v>
      </c>
      <c r="F1246" s="59" t="s">
        <v>1930</v>
      </c>
      <c r="G1246" t="s">
        <v>1989</v>
      </c>
      <c r="H1246" t="s">
        <v>1910</v>
      </c>
      <c r="I1246" t="s">
        <v>628</v>
      </c>
      <c r="J1246"/>
      <c r="K1246"/>
      <c r="L1246">
        <v>100</v>
      </c>
      <c r="M1246">
        <v>7.5</v>
      </c>
      <c r="N1246"/>
      <c r="O1246"/>
      <c r="P1246" s="31">
        <v>1</v>
      </c>
      <c r="Q1246" s="232">
        <f t="shared" si="664"/>
        <v>0.125</v>
      </c>
      <c r="R1246" s="40">
        <v>0.85</v>
      </c>
      <c r="S1246" s="334">
        <f t="shared" si="665"/>
        <v>0.10625</v>
      </c>
      <c r="T1246" s="31">
        <f>VLOOKUP(A1246,'Ansvar kurs'!$A$1:$C$1010,2,FALSE)</f>
        <v>2180</v>
      </c>
      <c r="U1246" s="31" t="str">
        <f>VLOOKUP(T1246,Orgenheter!$A$1:$C$165,2,FALSE)</f>
        <v xml:space="preserve">Pedagogik                     </v>
      </c>
      <c r="V1246" s="31" t="str">
        <f>VLOOKUP(T1246,Orgenheter!$A$1:$C$165,3,FALSE)</f>
        <v>Sam</v>
      </c>
      <c r="W1246" s="37" t="str">
        <f>VLOOKUP(D1246,Program!$A$1:$B$34,2,FALSE)</f>
        <v>Studie- och yrkesvägledarprogram</v>
      </c>
      <c r="X1246" s="42">
        <f>VLOOKUP(A1246,kurspris!$A$1:$Q$798,15,FALSE)</f>
        <v>18405</v>
      </c>
      <c r="Y1246" s="42">
        <f>VLOOKUP(A1246,kurspris!$A$1:$Q$798,16,FALSE)</f>
        <v>15773</v>
      </c>
      <c r="Z1246" s="42">
        <f t="shared" si="666"/>
        <v>3976.5062499999999</v>
      </c>
      <c r="AA1246" s="42">
        <f>VLOOKUP(A1246,kurspris!$A$1:$Q$798,17,FALSE)</f>
        <v>5800</v>
      </c>
      <c r="AB1246" s="42">
        <f t="shared" si="667"/>
        <v>725</v>
      </c>
      <c r="AC1246" s="42">
        <f t="shared" si="668"/>
        <v>4701.5062500000004</v>
      </c>
      <c r="AD1246" s="31">
        <f>VLOOKUP($A1246,kurspris!$A$1:$Q$835,3,FALSE)</f>
        <v>0</v>
      </c>
      <c r="AE1246" s="31">
        <f>VLOOKUP($A1246,kurspris!$A$1:$Q$835,4,FALSE)</f>
        <v>0</v>
      </c>
      <c r="AF1246" s="31">
        <f>VLOOKUP($A1246,kurspris!$A$1:$Q$835,5,FALSE)</f>
        <v>0</v>
      </c>
      <c r="AG1246" s="31">
        <f>VLOOKUP($A1246,kurspris!$A$1:$Q$835,6,FALSE)</f>
        <v>0</v>
      </c>
      <c r="AH1246" s="31">
        <f>VLOOKUP($A1246,kurspris!$A$1:$Q$835,7,FALSE)</f>
        <v>0</v>
      </c>
      <c r="AI1246" s="31">
        <f>VLOOKUP($A1246,kurspris!$A$1:$Q$835,8,FALSE)</f>
        <v>0</v>
      </c>
      <c r="AJ1246" s="31">
        <f>VLOOKUP($A1246,kurspris!$A$1:$Q$835,9,FALSE)</f>
        <v>1</v>
      </c>
      <c r="AK1246" s="31">
        <f>VLOOKUP($A1246,kurspris!$A$1:$Q$835,10,FALSE)</f>
        <v>0</v>
      </c>
      <c r="AL1246" s="31">
        <f>VLOOKUP($A1246,kurspris!$A$1:$Q$835,11,FALSE)</f>
        <v>0</v>
      </c>
      <c r="AM1246" s="31">
        <f>VLOOKUP($A1246,kurspris!$A$1:$Q$835,12,FALSE)</f>
        <v>0</v>
      </c>
      <c r="AN1246" s="31">
        <f>VLOOKUP($A1246,kurspris!$A$1:$Q$835,13,FALSE)</f>
        <v>0</v>
      </c>
      <c r="AO1246" s="31">
        <f>VLOOKUP($A1246,kurspris!$A$1:$Q$835,14,FALSE)</f>
        <v>0</v>
      </c>
      <c r="AP1246" s="39" t="s">
        <v>2204</v>
      </c>
      <c r="AQ1246"/>
      <c r="AR1246" s="31">
        <f t="shared" si="669"/>
        <v>0</v>
      </c>
      <c r="AS1246" s="255">
        <f t="shared" si="670"/>
        <v>0</v>
      </c>
      <c r="AT1246" s="31">
        <f t="shared" si="671"/>
        <v>0</v>
      </c>
      <c r="AU1246" s="255">
        <f t="shared" si="672"/>
        <v>0</v>
      </c>
      <c r="AV1246" s="31">
        <f t="shared" si="673"/>
        <v>0</v>
      </c>
      <c r="AW1246" s="31">
        <f t="shared" si="674"/>
        <v>0</v>
      </c>
      <c r="AX1246" s="31">
        <f t="shared" si="675"/>
        <v>0</v>
      </c>
      <c r="AY1246" s="255">
        <f t="shared" si="676"/>
        <v>0</v>
      </c>
      <c r="AZ1246" s="232">
        <f t="shared" si="677"/>
        <v>0</v>
      </c>
      <c r="BA1246" s="255">
        <f t="shared" si="678"/>
        <v>0</v>
      </c>
      <c r="BB1246" s="31">
        <f t="shared" si="679"/>
        <v>0</v>
      </c>
      <c r="BC1246" s="255">
        <f t="shared" si="680"/>
        <v>0</v>
      </c>
      <c r="BD1246" s="31">
        <f t="shared" si="681"/>
        <v>0.125</v>
      </c>
      <c r="BE1246" s="255">
        <f t="shared" si="682"/>
        <v>0.10625</v>
      </c>
      <c r="BF1246" s="31">
        <f t="shared" si="683"/>
        <v>0</v>
      </c>
      <c r="BG1246" s="255">
        <f t="shared" si="684"/>
        <v>0</v>
      </c>
      <c r="BH1246" s="31">
        <f t="shared" si="685"/>
        <v>0</v>
      </c>
      <c r="BI1246" s="255">
        <f t="shared" si="686"/>
        <v>0</v>
      </c>
      <c r="BJ1246" s="31">
        <f t="shared" si="687"/>
        <v>0</v>
      </c>
      <c r="BK1246" s="31">
        <f t="shared" si="688"/>
        <v>0</v>
      </c>
      <c r="BL1246" s="255">
        <f t="shared" si="689"/>
        <v>0</v>
      </c>
      <c r="BM1246" s="31">
        <f t="shared" si="690"/>
        <v>0</v>
      </c>
      <c r="BN1246" s="255">
        <f t="shared" si="691"/>
        <v>0</v>
      </c>
    </row>
    <row r="1247" spans="1:66" x14ac:dyDescent="0.25">
      <c r="A1247" t="s">
        <v>987</v>
      </c>
      <c r="B1247" s="186" t="str">
        <f>VLOOKUP(A1247,kurspris!$A$1:$B$877,2,FALSE)</f>
        <v>Arbetsliv och lärande</v>
      </c>
      <c r="C1247"/>
      <c r="D1247" t="s">
        <v>85</v>
      </c>
      <c r="E1247" t="s">
        <v>1609</v>
      </c>
      <c r="F1247" s="59" t="s">
        <v>1930</v>
      </c>
      <c r="G1247" t="s">
        <v>1989</v>
      </c>
      <c r="H1247" t="s">
        <v>1910</v>
      </c>
      <c r="I1247" t="s">
        <v>628</v>
      </c>
      <c r="J1247"/>
      <c r="K1247"/>
      <c r="L1247">
        <v>100</v>
      </c>
      <c r="M1247">
        <v>7.5</v>
      </c>
      <c r="N1247"/>
      <c r="O1247"/>
      <c r="P1247" s="31">
        <v>10</v>
      </c>
      <c r="Q1247" s="232">
        <f t="shared" si="664"/>
        <v>1.25</v>
      </c>
      <c r="R1247" s="40">
        <v>0.85</v>
      </c>
      <c r="S1247" s="334">
        <f t="shared" si="665"/>
        <v>1.0625</v>
      </c>
      <c r="T1247" s="31">
        <f>VLOOKUP(A1247,'Ansvar kurs'!$A$1:$C$1010,2,FALSE)</f>
        <v>2180</v>
      </c>
      <c r="U1247" s="31" t="str">
        <f>VLOOKUP(T1247,Orgenheter!$A$1:$C$165,2,FALSE)</f>
        <v xml:space="preserve">Pedagogik                     </v>
      </c>
      <c r="V1247" s="31" t="str">
        <f>VLOOKUP(T1247,Orgenheter!$A$1:$C$165,3,FALSE)</f>
        <v>Sam</v>
      </c>
      <c r="W1247" s="37" t="str">
        <f>VLOOKUP(D1247,Program!$A$1:$B$34,2,FALSE)</f>
        <v>Studie- och yrkesvägledarprogram</v>
      </c>
      <c r="X1247" s="42">
        <f>VLOOKUP(A1247,kurspris!$A$1:$Q$798,15,FALSE)</f>
        <v>18405</v>
      </c>
      <c r="Y1247" s="42">
        <f>VLOOKUP(A1247,kurspris!$A$1:$Q$798,16,FALSE)</f>
        <v>15773</v>
      </c>
      <c r="Z1247" s="42">
        <f t="shared" si="666"/>
        <v>39765.0625</v>
      </c>
      <c r="AA1247" s="42">
        <f>VLOOKUP(A1247,kurspris!$A$1:$Q$798,17,FALSE)</f>
        <v>5800</v>
      </c>
      <c r="AB1247" s="42">
        <f t="shared" si="667"/>
        <v>7250</v>
      </c>
      <c r="AC1247" s="42">
        <f t="shared" si="668"/>
        <v>47015.0625</v>
      </c>
      <c r="AD1247" s="31">
        <f>VLOOKUP($A1247,kurspris!$A$1:$Q$835,3,FALSE)</f>
        <v>0</v>
      </c>
      <c r="AE1247" s="31">
        <f>VLOOKUP($A1247,kurspris!$A$1:$Q$835,4,FALSE)</f>
        <v>0</v>
      </c>
      <c r="AF1247" s="31">
        <f>VLOOKUP($A1247,kurspris!$A$1:$Q$835,5,FALSE)</f>
        <v>0</v>
      </c>
      <c r="AG1247" s="31">
        <f>VLOOKUP($A1247,kurspris!$A$1:$Q$835,6,FALSE)</f>
        <v>0</v>
      </c>
      <c r="AH1247" s="31">
        <f>VLOOKUP($A1247,kurspris!$A$1:$Q$835,7,FALSE)</f>
        <v>0</v>
      </c>
      <c r="AI1247" s="31">
        <f>VLOOKUP($A1247,kurspris!$A$1:$Q$835,8,FALSE)</f>
        <v>0</v>
      </c>
      <c r="AJ1247" s="31">
        <f>VLOOKUP($A1247,kurspris!$A$1:$Q$835,9,FALSE)</f>
        <v>1</v>
      </c>
      <c r="AK1247" s="31">
        <f>VLOOKUP($A1247,kurspris!$A$1:$Q$835,10,FALSE)</f>
        <v>0</v>
      </c>
      <c r="AL1247" s="31">
        <f>VLOOKUP($A1247,kurspris!$A$1:$Q$835,11,FALSE)</f>
        <v>0</v>
      </c>
      <c r="AM1247" s="31">
        <f>VLOOKUP($A1247,kurspris!$A$1:$Q$835,12,FALSE)</f>
        <v>0</v>
      </c>
      <c r="AN1247" s="31">
        <f>VLOOKUP($A1247,kurspris!$A$1:$Q$835,13,FALSE)</f>
        <v>0</v>
      </c>
      <c r="AO1247" s="31">
        <f>VLOOKUP($A1247,kurspris!$A$1:$Q$835,14,FALSE)</f>
        <v>0</v>
      </c>
      <c r="AP1247" s="39" t="s">
        <v>2204</v>
      </c>
      <c r="AQ1247"/>
      <c r="AR1247" s="31">
        <f t="shared" si="669"/>
        <v>0</v>
      </c>
      <c r="AS1247" s="255">
        <f t="shared" si="670"/>
        <v>0</v>
      </c>
      <c r="AT1247" s="31">
        <f t="shared" si="671"/>
        <v>0</v>
      </c>
      <c r="AU1247" s="255">
        <f t="shared" si="672"/>
        <v>0</v>
      </c>
      <c r="AV1247" s="31">
        <f t="shared" si="673"/>
        <v>0</v>
      </c>
      <c r="AW1247" s="31">
        <f t="shared" si="674"/>
        <v>0</v>
      </c>
      <c r="AX1247" s="31">
        <f t="shared" si="675"/>
        <v>0</v>
      </c>
      <c r="AY1247" s="255">
        <f t="shared" si="676"/>
        <v>0</v>
      </c>
      <c r="AZ1247" s="232">
        <f t="shared" si="677"/>
        <v>0</v>
      </c>
      <c r="BA1247" s="255">
        <f t="shared" si="678"/>
        <v>0</v>
      </c>
      <c r="BB1247" s="31">
        <f t="shared" si="679"/>
        <v>0</v>
      </c>
      <c r="BC1247" s="255">
        <f t="shared" si="680"/>
        <v>0</v>
      </c>
      <c r="BD1247" s="31">
        <f t="shared" si="681"/>
        <v>1.25</v>
      </c>
      <c r="BE1247" s="255">
        <f t="shared" si="682"/>
        <v>1.0625</v>
      </c>
      <c r="BF1247" s="31">
        <f t="shared" si="683"/>
        <v>0</v>
      </c>
      <c r="BG1247" s="255">
        <f t="shared" si="684"/>
        <v>0</v>
      </c>
      <c r="BH1247" s="31">
        <f t="shared" si="685"/>
        <v>0</v>
      </c>
      <c r="BI1247" s="255">
        <f t="shared" si="686"/>
        <v>0</v>
      </c>
      <c r="BJ1247" s="31">
        <f t="shared" si="687"/>
        <v>0</v>
      </c>
      <c r="BK1247" s="31">
        <f t="shared" si="688"/>
        <v>0</v>
      </c>
      <c r="BL1247" s="255">
        <f t="shared" si="689"/>
        <v>0</v>
      </c>
      <c r="BM1247" s="31">
        <f t="shared" si="690"/>
        <v>0</v>
      </c>
      <c r="BN1247" s="255">
        <f t="shared" si="691"/>
        <v>0</v>
      </c>
    </row>
    <row r="1248" spans="1:66" x14ac:dyDescent="0.25">
      <c r="A1248" t="s">
        <v>987</v>
      </c>
      <c r="B1248" s="186" t="str">
        <f>VLOOKUP(A1248,kurspris!$A$1:$B$877,2,FALSE)</f>
        <v>Arbetsliv och lärande</v>
      </c>
      <c r="C1248"/>
      <c r="D1248" t="s">
        <v>85</v>
      </c>
      <c r="E1248" t="s">
        <v>1609</v>
      </c>
      <c r="F1248" s="59" t="s">
        <v>1930</v>
      </c>
      <c r="G1248" t="s">
        <v>1989</v>
      </c>
      <c r="H1248" t="s">
        <v>1910</v>
      </c>
      <c r="I1248" t="s">
        <v>1536</v>
      </c>
      <c r="J1248"/>
      <c r="K1248"/>
      <c r="L1248">
        <v>100</v>
      </c>
      <c r="M1248">
        <v>7.5</v>
      </c>
      <c r="N1248"/>
      <c r="O1248"/>
      <c r="P1248" s="31">
        <v>19</v>
      </c>
      <c r="Q1248" s="232">
        <f t="shared" si="664"/>
        <v>2.375</v>
      </c>
      <c r="R1248" s="40">
        <v>0.85</v>
      </c>
      <c r="S1248" s="334">
        <f t="shared" si="665"/>
        <v>2.0187499999999998</v>
      </c>
      <c r="T1248" s="31">
        <f>VLOOKUP(A1248,'Ansvar kurs'!$A$1:$C$1010,2,FALSE)</f>
        <v>2180</v>
      </c>
      <c r="U1248" s="31" t="str">
        <f>VLOOKUP(T1248,Orgenheter!$A$1:$C$165,2,FALSE)</f>
        <v xml:space="preserve">Pedagogik                     </v>
      </c>
      <c r="V1248" s="31" t="str">
        <f>VLOOKUP(T1248,Orgenheter!$A$1:$C$165,3,FALSE)</f>
        <v>Sam</v>
      </c>
      <c r="W1248" s="37" t="str">
        <f>VLOOKUP(D1248,Program!$A$1:$B$34,2,FALSE)</f>
        <v>Studie- och yrkesvägledarprogram</v>
      </c>
      <c r="X1248" s="42">
        <f>VLOOKUP(A1248,kurspris!$A$1:$Q$798,15,FALSE)</f>
        <v>18405</v>
      </c>
      <c r="Y1248" s="42">
        <f>VLOOKUP(A1248,kurspris!$A$1:$Q$798,16,FALSE)</f>
        <v>15773</v>
      </c>
      <c r="Z1248" s="42">
        <f t="shared" si="666"/>
        <v>75553.618749999994</v>
      </c>
      <c r="AA1248" s="42">
        <f>VLOOKUP(A1248,kurspris!$A$1:$Q$798,17,FALSE)</f>
        <v>5800</v>
      </c>
      <c r="AB1248" s="42">
        <f t="shared" si="667"/>
        <v>13775</v>
      </c>
      <c r="AC1248" s="42">
        <f t="shared" si="668"/>
        <v>89328.618749999994</v>
      </c>
      <c r="AD1248" s="31">
        <f>VLOOKUP($A1248,kurspris!$A$1:$Q$835,3,FALSE)</f>
        <v>0</v>
      </c>
      <c r="AE1248" s="31">
        <f>VLOOKUP($A1248,kurspris!$A$1:$Q$835,4,FALSE)</f>
        <v>0</v>
      </c>
      <c r="AF1248" s="31">
        <f>VLOOKUP($A1248,kurspris!$A$1:$Q$835,5,FALSE)</f>
        <v>0</v>
      </c>
      <c r="AG1248" s="31">
        <f>VLOOKUP($A1248,kurspris!$A$1:$Q$835,6,FALSE)</f>
        <v>0</v>
      </c>
      <c r="AH1248" s="31">
        <f>VLOOKUP($A1248,kurspris!$A$1:$Q$835,7,FALSE)</f>
        <v>0</v>
      </c>
      <c r="AI1248" s="31">
        <f>VLOOKUP($A1248,kurspris!$A$1:$Q$835,8,FALSE)</f>
        <v>0</v>
      </c>
      <c r="AJ1248" s="31">
        <f>VLOOKUP($A1248,kurspris!$A$1:$Q$835,9,FALSE)</f>
        <v>1</v>
      </c>
      <c r="AK1248" s="31">
        <f>VLOOKUP($A1248,kurspris!$A$1:$Q$835,10,FALSE)</f>
        <v>0</v>
      </c>
      <c r="AL1248" s="31">
        <f>VLOOKUP($A1248,kurspris!$A$1:$Q$835,11,FALSE)</f>
        <v>0</v>
      </c>
      <c r="AM1248" s="31">
        <f>VLOOKUP($A1248,kurspris!$A$1:$Q$835,12,FALSE)</f>
        <v>0</v>
      </c>
      <c r="AN1248" s="31">
        <f>VLOOKUP($A1248,kurspris!$A$1:$Q$835,13,FALSE)</f>
        <v>0</v>
      </c>
      <c r="AO1248" s="31">
        <f>VLOOKUP($A1248,kurspris!$A$1:$Q$835,14,FALSE)</f>
        <v>0</v>
      </c>
      <c r="AP1248" s="39" t="s">
        <v>2204</v>
      </c>
      <c r="AQ1248"/>
      <c r="AR1248" s="31">
        <f t="shared" si="669"/>
        <v>0</v>
      </c>
      <c r="AS1248" s="255">
        <f t="shared" si="670"/>
        <v>0</v>
      </c>
      <c r="AT1248" s="31">
        <f t="shared" si="671"/>
        <v>0</v>
      </c>
      <c r="AU1248" s="255">
        <f t="shared" si="672"/>
        <v>0</v>
      </c>
      <c r="AV1248" s="31">
        <f t="shared" si="673"/>
        <v>0</v>
      </c>
      <c r="AW1248" s="31">
        <f t="shared" si="674"/>
        <v>0</v>
      </c>
      <c r="AX1248" s="31">
        <f t="shared" si="675"/>
        <v>0</v>
      </c>
      <c r="AY1248" s="255">
        <f t="shared" si="676"/>
        <v>0</v>
      </c>
      <c r="AZ1248" s="232">
        <f t="shared" si="677"/>
        <v>0</v>
      </c>
      <c r="BA1248" s="255">
        <f t="shared" si="678"/>
        <v>0</v>
      </c>
      <c r="BB1248" s="31">
        <f t="shared" si="679"/>
        <v>0</v>
      </c>
      <c r="BC1248" s="255">
        <f t="shared" si="680"/>
        <v>0</v>
      </c>
      <c r="BD1248" s="31">
        <f t="shared" si="681"/>
        <v>2.375</v>
      </c>
      <c r="BE1248" s="255">
        <f t="shared" si="682"/>
        <v>2.0187499999999998</v>
      </c>
      <c r="BF1248" s="31">
        <f t="shared" si="683"/>
        <v>0</v>
      </c>
      <c r="BG1248" s="255">
        <f t="shared" si="684"/>
        <v>0</v>
      </c>
      <c r="BH1248" s="31">
        <f t="shared" si="685"/>
        <v>0</v>
      </c>
      <c r="BI1248" s="255">
        <f t="shared" si="686"/>
        <v>0</v>
      </c>
      <c r="BJ1248" s="31">
        <f t="shared" si="687"/>
        <v>0</v>
      </c>
      <c r="BK1248" s="31">
        <f t="shared" si="688"/>
        <v>0</v>
      </c>
      <c r="BL1248" s="255">
        <f t="shared" si="689"/>
        <v>0</v>
      </c>
      <c r="BM1248" s="31">
        <f t="shared" si="690"/>
        <v>0</v>
      </c>
      <c r="BN1248" s="255">
        <f t="shared" si="691"/>
        <v>0</v>
      </c>
    </row>
    <row r="1249" spans="1:66" x14ac:dyDescent="0.25">
      <c r="A1249" s="18" t="s">
        <v>1351</v>
      </c>
      <c r="B1249" s="186" t="str">
        <f>VLOOKUP(A1249,kurspris!$A$1:$B$877,2,FALSE)</f>
        <v>Teorier, modeller och metoder för vägledning och dess praktik</v>
      </c>
      <c r="C1249" s="37"/>
      <c r="D1249" s="31" t="s">
        <v>85</v>
      </c>
      <c r="E1249" s="31" t="s">
        <v>1788</v>
      </c>
      <c r="F1249" s="59" t="s">
        <v>1931</v>
      </c>
      <c r="G1249" s="31" t="s">
        <v>2298</v>
      </c>
      <c r="I1249" t="s">
        <v>628</v>
      </c>
      <c r="L1249" s="31">
        <v>100</v>
      </c>
      <c r="M1249" s="31">
        <v>20</v>
      </c>
      <c r="P1249" s="31">
        <v>19</v>
      </c>
      <c r="Q1249" s="232">
        <f t="shared" si="664"/>
        <v>6.333333333333333</v>
      </c>
      <c r="R1249" s="40">
        <v>0.85</v>
      </c>
      <c r="S1249" s="334">
        <f t="shared" si="665"/>
        <v>5.3833333333333329</v>
      </c>
      <c r="T1249" s="31">
        <f>VLOOKUP(A1249,'Ansvar kurs'!$A$1:$C$1010,2,FALSE)</f>
        <v>2193</v>
      </c>
      <c r="U1249" s="31" t="str">
        <f>VLOOKUP(T1249,Orgenheter!$A$1:$C$165,2,FALSE)</f>
        <v xml:space="preserve">TUV </v>
      </c>
      <c r="V1249" s="31" t="str">
        <f>VLOOKUP(T1249,Orgenheter!$A$1:$C$165,3,FALSE)</f>
        <v>Sam</v>
      </c>
      <c r="W1249" s="37" t="str">
        <f>VLOOKUP(D1249,Program!$A$1:$B$34,2,FALSE)</f>
        <v>Studie- och yrkesvägledarprogram</v>
      </c>
      <c r="X1249" s="42">
        <f>VLOOKUP(A1249,kurspris!$A$1:$Q$798,15,FALSE)</f>
        <v>27258.3</v>
      </c>
      <c r="Y1249" s="42">
        <f>VLOOKUP(A1249,kurspris!$A$1:$Q$798,16,FALSE)</f>
        <v>25776.95</v>
      </c>
      <c r="Z1249" s="42">
        <f t="shared" si="666"/>
        <v>311401.81416666665</v>
      </c>
      <c r="AA1249" s="42">
        <f>VLOOKUP(A1249,kurspris!$A$1:$Q$798,17,FALSE)</f>
        <v>5800</v>
      </c>
      <c r="AB1249" s="42">
        <f t="shared" si="667"/>
        <v>36733.333333333328</v>
      </c>
      <c r="AC1249" s="42">
        <f t="shared" si="668"/>
        <v>348135.14749999996</v>
      </c>
      <c r="AD1249" s="31">
        <f>VLOOKUP($A1249,kurspris!$A$1:$Q$835,3,FALSE)</f>
        <v>0</v>
      </c>
      <c r="AE1249" s="31">
        <f>VLOOKUP($A1249,kurspris!$A$1:$Q$835,4,FALSE)</f>
        <v>0</v>
      </c>
      <c r="AF1249" s="31">
        <f>VLOOKUP($A1249,kurspris!$A$1:$Q$835,5,FALSE)</f>
        <v>0</v>
      </c>
      <c r="AG1249" s="31">
        <f>VLOOKUP($A1249,kurspris!$A$1:$Q$835,6,FALSE)</f>
        <v>0</v>
      </c>
      <c r="AH1249" s="31">
        <f>VLOOKUP($A1249,kurspris!$A$1:$Q$835,7,FALSE)</f>
        <v>0</v>
      </c>
      <c r="AI1249" s="31">
        <f>VLOOKUP($A1249,kurspris!$A$1:$Q$835,8,FALSE)</f>
        <v>0</v>
      </c>
      <c r="AJ1249" s="31">
        <f>VLOOKUP($A1249,kurspris!$A$1:$Q$835,9,FALSE)</f>
        <v>0.55000000000000004</v>
      </c>
      <c r="AK1249" s="31">
        <f>VLOOKUP($A1249,kurspris!$A$1:$Q$835,10,FALSE)</f>
        <v>0</v>
      </c>
      <c r="AL1249" s="31">
        <f>VLOOKUP($A1249,kurspris!$A$1:$Q$835,11,FALSE)</f>
        <v>0</v>
      </c>
      <c r="AM1249" s="31">
        <f>VLOOKUP($A1249,kurspris!$A$1:$Q$835,12,FALSE)</f>
        <v>0</v>
      </c>
      <c r="AN1249" s="31">
        <f>VLOOKUP($A1249,kurspris!$A$1:$Q$835,13,FALSE)</f>
        <v>0</v>
      </c>
      <c r="AO1249" s="31">
        <f>VLOOKUP($A1249,kurspris!$A$1:$Q$835,14,FALSE)</f>
        <v>0.45</v>
      </c>
      <c r="AP1249" s="39" t="s">
        <v>2326</v>
      </c>
      <c r="AQ1249"/>
      <c r="AR1249" s="31">
        <f t="shared" si="669"/>
        <v>0</v>
      </c>
      <c r="AS1249" s="255">
        <f t="shared" si="670"/>
        <v>0</v>
      </c>
      <c r="AT1249" s="31">
        <f t="shared" si="671"/>
        <v>0</v>
      </c>
      <c r="AU1249" s="255">
        <f t="shared" si="672"/>
        <v>0</v>
      </c>
      <c r="AV1249" s="31">
        <f t="shared" si="673"/>
        <v>0</v>
      </c>
      <c r="AW1249" s="31">
        <f t="shared" si="674"/>
        <v>0</v>
      </c>
      <c r="AX1249" s="31">
        <f t="shared" si="675"/>
        <v>0</v>
      </c>
      <c r="AY1249" s="255">
        <f t="shared" si="676"/>
        <v>0</v>
      </c>
      <c r="AZ1249" s="232">
        <f t="shared" si="677"/>
        <v>0</v>
      </c>
      <c r="BA1249" s="255">
        <f t="shared" si="678"/>
        <v>0</v>
      </c>
      <c r="BB1249" s="31">
        <f t="shared" si="679"/>
        <v>0</v>
      </c>
      <c r="BC1249" s="255">
        <f t="shared" si="680"/>
        <v>0</v>
      </c>
      <c r="BD1249" s="31">
        <f t="shared" si="681"/>
        <v>3.4833333333333334</v>
      </c>
      <c r="BE1249" s="255">
        <f t="shared" si="682"/>
        <v>2.9608333333333334</v>
      </c>
      <c r="BF1249" s="31">
        <f t="shared" si="683"/>
        <v>0</v>
      </c>
      <c r="BG1249" s="255">
        <f t="shared" si="684"/>
        <v>0</v>
      </c>
      <c r="BH1249" s="31">
        <f t="shared" si="685"/>
        <v>0</v>
      </c>
      <c r="BI1249" s="255">
        <f t="shared" si="686"/>
        <v>0</v>
      </c>
      <c r="BJ1249" s="31">
        <f t="shared" si="687"/>
        <v>0</v>
      </c>
      <c r="BK1249" s="31">
        <f t="shared" si="688"/>
        <v>0</v>
      </c>
      <c r="BL1249" s="255">
        <f t="shared" si="689"/>
        <v>0</v>
      </c>
      <c r="BM1249" s="31">
        <f t="shared" si="690"/>
        <v>2.85</v>
      </c>
      <c r="BN1249" s="255">
        <f t="shared" si="691"/>
        <v>2.4224999999999999</v>
      </c>
    </row>
    <row r="1250" spans="1:66" x14ac:dyDescent="0.25">
      <c r="A1250" s="18" t="s">
        <v>1351</v>
      </c>
      <c r="B1250" s="186" t="str">
        <f>VLOOKUP(A1250,kurspris!$A$1:$B$877,2,FALSE)</f>
        <v>Teorier, modeller och metoder för vägledning och dess praktik</v>
      </c>
      <c r="C1250" s="37"/>
      <c r="D1250" s="31" t="s">
        <v>85</v>
      </c>
      <c r="E1250" s="31" t="s">
        <v>1788</v>
      </c>
      <c r="F1250" s="59" t="s">
        <v>1931</v>
      </c>
      <c r="G1250" s="31" t="s">
        <v>2298</v>
      </c>
      <c r="I1250" t="s">
        <v>1536</v>
      </c>
      <c r="L1250" s="31">
        <v>100</v>
      </c>
      <c r="M1250" s="31">
        <v>20</v>
      </c>
      <c r="P1250" s="31">
        <v>22</v>
      </c>
      <c r="Q1250" s="232">
        <f t="shared" si="664"/>
        <v>7.333333333333333</v>
      </c>
      <c r="R1250" s="40">
        <v>0.85</v>
      </c>
      <c r="S1250" s="334">
        <f t="shared" si="665"/>
        <v>6.2333333333333325</v>
      </c>
      <c r="T1250" s="31">
        <f>VLOOKUP(A1250,'Ansvar kurs'!$A$1:$C$1010,2,FALSE)</f>
        <v>2193</v>
      </c>
      <c r="U1250" s="31" t="str">
        <f>VLOOKUP(T1250,Orgenheter!$A$1:$C$165,2,FALSE)</f>
        <v xml:space="preserve">TUV </v>
      </c>
      <c r="V1250" s="31" t="str">
        <f>VLOOKUP(T1250,Orgenheter!$A$1:$C$165,3,FALSE)</f>
        <v>Sam</v>
      </c>
      <c r="W1250" s="37" t="str">
        <f>VLOOKUP(D1250,Program!$A$1:$B$34,2,FALSE)</f>
        <v>Studie- och yrkesvägledarprogram</v>
      </c>
      <c r="X1250" s="42">
        <f>VLOOKUP(A1250,kurspris!$A$1:$Q$798,15,FALSE)</f>
        <v>27258.3</v>
      </c>
      <c r="Y1250" s="42">
        <f>VLOOKUP(A1250,kurspris!$A$1:$Q$798,16,FALSE)</f>
        <v>25776.95</v>
      </c>
      <c r="Z1250" s="42">
        <f t="shared" si="666"/>
        <v>360570.52166666661</v>
      </c>
      <c r="AA1250" s="42">
        <f>VLOOKUP(A1250,kurspris!$A$1:$Q$798,17,FALSE)</f>
        <v>5800</v>
      </c>
      <c r="AB1250" s="42">
        <f t="shared" si="667"/>
        <v>42533.333333333328</v>
      </c>
      <c r="AC1250" s="42">
        <f t="shared" si="668"/>
        <v>403103.85499999992</v>
      </c>
      <c r="AD1250" s="31">
        <f>VLOOKUP($A1250,kurspris!$A$1:$Q$835,3,FALSE)</f>
        <v>0</v>
      </c>
      <c r="AE1250" s="31">
        <f>VLOOKUP($A1250,kurspris!$A$1:$Q$835,4,FALSE)</f>
        <v>0</v>
      </c>
      <c r="AF1250" s="31">
        <f>VLOOKUP($A1250,kurspris!$A$1:$Q$835,5,FALSE)</f>
        <v>0</v>
      </c>
      <c r="AG1250" s="31">
        <f>VLOOKUP($A1250,kurspris!$A$1:$Q$835,6,FALSE)</f>
        <v>0</v>
      </c>
      <c r="AH1250" s="31">
        <f>VLOOKUP($A1250,kurspris!$A$1:$Q$835,7,FALSE)</f>
        <v>0</v>
      </c>
      <c r="AI1250" s="31">
        <f>VLOOKUP($A1250,kurspris!$A$1:$Q$835,8,FALSE)</f>
        <v>0</v>
      </c>
      <c r="AJ1250" s="31">
        <f>VLOOKUP($A1250,kurspris!$A$1:$Q$835,9,FALSE)</f>
        <v>0.55000000000000004</v>
      </c>
      <c r="AK1250" s="31">
        <f>VLOOKUP($A1250,kurspris!$A$1:$Q$835,10,FALSE)</f>
        <v>0</v>
      </c>
      <c r="AL1250" s="31">
        <f>VLOOKUP($A1250,kurspris!$A$1:$Q$835,11,FALSE)</f>
        <v>0</v>
      </c>
      <c r="AM1250" s="31">
        <f>VLOOKUP($A1250,kurspris!$A$1:$Q$835,12,FALSE)</f>
        <v>0</v>
      </c>
      <c r="AN1250" s="31">
        <f>VLOOKUP($A1250,kurspris!$A$1:$Q$835,13,FALSE)</f>
        <v>0</v>
      </c>
      <c r="AO1250" s="31">
        <f>VLOOKUP($A1250,kurspris!$A$1:$Q$835,14,FALSE)</f>
        <v>0.45</v>
      </c>
      <c r="AP1250" s="39" t="s">
        <v>2326</v>
      </c>
      <c r="AQ1250"/>
      <c r="AR1250" s="31">
        <f t="shared" si="669"/>
        <v>0</v>
      </c>
      <c r="AS1250" s="255">
        <f t="shared" si="670"/>
        <v>0</v>
      </c>
      <c r="AT1250" s="31">
        <f t="shared" si="671"/>
        <v>0</v>
      </c>
      <c r="AU1250" s="255">
        <f t="shared" si="672"/>
        <v>0</v>
      </c>
      <c r="AV1250" s="31">
        <f t="shared" si="673"/>
        <v>0</v>
      </c>
      <c r="AW1250" s="31">
        <f t="shared" si="674"/>
        <v>0</v>
      </c>
      <c r="AX1250" s="31">
        <f t="shared" si="675"/>
        <v>0</v>
      </c>
      <c r="AY1250" s="255">
        <f t="shared" si="676"/>
        <v>0</v>
      </c>
      <c r="AZ1250" s="232">
        <f t="shared" si="677"/>
        <v>0</v>
      </c>
      <c r="BA1250" s="255">
        <f t="shared" si="678"/>
        <v>0</v>
      </c>
      <c r="BB1250" s="31">
        <f t="shared" si="679"/>
        <v>0</v>
      </c>
      <c r="BC1250" s="255">
        <f t="shared" si="680"/>
        <v>0</v>
      </c>
      <c r="BD1250" s="31">
        <f t="shared" si="681"/>
        <v>4.0333333333333332</v>
      </c>
      <c r="BE1250" s="255">
        <f t="shared" si="682"/>
        <v>3.4283333333333332</v>
      </c>
      <c r="BF1250" s="31">
        <f t="shared" si="683"/>
        <v>0</v>
      </c>
      <c r="BG1250" s="255">
        <f t="shared" si="684"/>
        <v>0</v>
      </c>
      <c r="BH1250" s="31">
        <f t="shared" si="685"/>
        <v>0</v>
      </c>
      <c r="BI1250" s="255">
        <f t="shared" si="686"/>
        <v>0</v>
      </c>
      <c r="BJ1250" s="31">
        <f t="shared" si="687"/>
        <v>0</v>
      </c>
      <c r="BK1250" s="31">
        <f t="shared" si="688"/>
        <v>0</v>
      </c>
      <c r="BL1250" s="255">
        <f t="shared" si="689"/>
        <v>0</v>
      </c>
      <c r="BM1250" s="31">
        <f t="shared" si="690"/>
        <v>3.3</v>
      </c>
      <c r="BN1250" s="255">
        <f t="shared" si="691"/>
        <v>2.8049999999999997</v>
      </c>
    </row>
    <row r="1251" spans="1:66" x14ac:dyDescent="0.25">
      <c r="A1251" s="18" t="s">
        <v>1620</v>
      </c>
      <c r="B1251" s="186" t="str">
        <f>VLOOKUP(A1251,kurspris!$A$1:$B$877,2,FALSE)</f>
        <v>Beteendevetenskapliga grunder</v>
      </c>
      <c r="C1251" s="37"/>
      <c r="D1251" s="31" t="s">
        <v>85</v>
      </c>
      <c r="E1251" s="31" t="s">
        <v>1788</v>
      </c>
      <c r="F1251" s="59" t="s">
        <v>1931</v>
      </c>
      <c r="G1251" s="31" t="s">
        <v>2277</v>
      </c>
      <c r="I1251" t="s">
        <v>1536</v>
      </c>
      <c r="L1251" s="31">
        <v>100</v>
      </c>
      <c r="M1251" s="31">
        <v>7.5</v>
      </c>
      <c r="P1251" s="31">
        <v>1</v>
      </c>
      <c r="Q1251" s="232">
        <f t="shared" si="664"/>
        <v>0.125</v>
      </c>
      <c r="R1251" s="40">
        <v>0.85</v>
      </c>
      <c r="S1251" s="334">
        <f t="shared" si="665"/>
        <v>0.10625</v>
      </c>
      <c r="T1251" s="31">
        <f>VLOOKUP(A1251,'Ansvar kurs'!$A$1:$C$1010,2,FALSE)</f>
        <v>2193</v>
      </c>
      <c r="U1251" s="31" t="str">
        <f>VLOOKUP(T1251,Orgenheter!$A$1:$C$165,2,FALSE)</f>
        <v xml:space="preserve">TUV </v>
      </c>
      <c r="V1251" s="31" t="str">
        <f>VLOOKUP(T1251,Orgenheter!$A$1:$C$165,3,FALSE)</f>
        <v>Sam</v>
      </c>
      <c r="W1251" s="37" t="str">
        <f>VLOOKUP(D1251,Program!$A$1:$B$34,2,FALSE)</f>
        <v>Studie- och yrkesvägledarprogram</v>
      </c>
      <c r="X1251" s="42">
        <f>VLOOKUP(A1251,kurspris!$A$1:$Q$798,15,FALSE)</f>
        <v>18405</v>
      </c>
      <c r="Y1251" s="42">
        <f>VLOOKUP(A1251,kurspris!$A$1:$Q$798,16,FALSE)</f>
        <v>15773</v>
      </c>
      <c r="Z1251" s="42">
        <f t="shared" si="666"/>
        <v>3976.5062499999999</v>
      </c>
      <c r="AA1251" s="42">
        <f>VLOOKUP(A1251,kurspris!$A$1:$Q$798,17,FALSE)</f>
        <v>5800</v>
      </c>
      <c r="AB1251" s="42">
        <f t="shared" si="667"/>
        <v>725</v>
      </c>
      <c r="AC1251" s="42">
        <f t="shared" si="668"/>
        <v>4701.5062500000004</v>
      </c>
      <c r="AD1251" s="31">
        <f>VLOOKUP($A1251,kurspris!$A$1:$Q$835,3,FALSE)</f>
        <v>0</v>
      </c>
      <c r="AE1251" s="31">
        <f>VLOOKUP($A1251,kurspris!$A$1:$Q$835,4,FALSE)</f>
        <v>0</v>
      </c>
      <c r="AF1251" s="31">
        <f>VLOOKUP($A1251,kurspris!$A$1:$Q$835,5,FALSE)</f>
        <v>0</v>
      </c>
      <c r="AG1251" s="31">
        <f>VLOOKUP($A1251,kurspris!$A$1:$Q$835,6,FALSE)</f>
        <v>0</v>
      </c>
      <c r="AH1251" s="31">
        <f>VLOOKUP($A1251,kurspris!$A$1:$Q$835,7,FALSE)</f>
        <v>0</v>
      </c>
      <c r="AI1251" s="31">
        <f>VLOOKUP($A1251,kurspris!$A$1:$Q$835,8,FALSE)</f>
        <v>0</v>
      </c>
      <c r="AJ1251" s="31">
        <f>VLOOKUP($A1251,kurspris!$A$1:$Q$835,9,FALSE)</f>
        <v>1</v>
      </c>
      <c r="AK1251" s="31">
        <f>VLOOKUP($A1251,kurspris!$A$1:$Q$835,10,FALSE)</f>
        <v>0</v>
      </c>
      <c r="AL1251" s="31">
        <f>VLOOKUP($A1251,kurspris!$A$1:$Q$835,11,FALSE)</f>
        <v>0</v>
      </c>
      <c r="AM1251" s="31">
        <f>VLOOKUP($A1251,kurspris!$A$1:$Q$835,12,FALSE)</f>
        <v>0</v>
      </c>
      <c r="AN1251" s="31">
        <f>VLOOKUP($A1251,kurspris!$A$1:$Q$835,13,FALSE)</f>
        <v>0</v>
      </c>
      <c r="AO1251" s="31">
        <f>VLOOKUP($A1251,kurspris!$A$1:$Q$835,14,FALSE)</f>
        <v>0</v>
      </c>
      <c r="AP1251" s="39" t="s">
        <v>2326</v>
      </c>
      <c r="AQ1251"/>
      <c r="AR1251" s="31">
        <f t="shared" si="669"/>
        <v>0</v>
      </c>
      <c r="AS1251" s="255">
        <f t="shared" si="670"/>
        <v>0</v>
      </c>
      <c r="AT1251" s="31">
        <f t="shared" si="671"/>
        <v>0</v>
      </c>
      <c r="AU1251" s="255">
        <f t="shared" si="672"/>
        <v>0</v>
      </c>
      <c r="AV1251" s="31">
        <f t="shared" si="673"/>
        <v>0</v>
      </c>
      <c r="AW1251" s="31">
        <f t="shared" si="674"/>
        <v>0</v>
      </c>
      <c r="AX1251" s="31">
        <f t="shared" si="675"/>
        <v>0</v>
      </c>
      <c r="AY1251" s="255">
        <f t="shared" si="676"/>
        <v>0</v>
      </c>
      <c r="AZ1251" s="232">
        <f t="shared" si="677"/>
        <v>0</v>
      </c>
      <c r="BA1251" s="255">
        <f t="shared" si="678"/>
        <v>0</v>
      </c>
      <c r="BB1251" s="31">
        <f t="shared" si="679"/>
        <v>0</v>
      </c>
      <c r="BC1251" s="255">
        <f t="shared" si="680"/>
        <v>0</v>
      </c>
      <c r="BD1251" s="31">
        <f t="shared" si="681"/>
        <v>0.125</v>
      </c>
      <c r="BE1251" s="255">
        <f t="shared" si="682"/>
        <v>0.10625</v>
      </c>
      <c r="BF1251" s="31">
        <f t="shared" si="683"/>
        <v>0</v>
      </c>
      <c r="BG1251" s="255">
        <f t="shared" si="684"/>
        <v>0</v>
      </c>
      <c r="BH1251" s="31">
        <f t="shared" si="685"/>
        <v>0</v>
      </c>
      <c r="BI1251" s="255">
        <f t="shared" si="686"/>
        <v>0</v>
      </c>
      <c r="BJ1251" s="31">
        <f t="shared" si="687"/>
        <v>0</v>
      </c>
      <c r="BK1251" s="31">
        <f t="shared" si="688"/>
        <v>0</v>
      </c>
      <c r="BL1251" s="255">
        <f t="shared" si="689"/>
        <v>0</v>
      </c>
      <c r="BM1251" s="31">
        <f t="shared" si="690"/>
        <v>0</v>
      </c>
      <c r="BN1251" s="255">
        <f t="shared" si="691"/>
        <v>0</v>
      </c>
    </row>
    <row r="1252" spans="1:66" x14ac:dyDescent="0.25">
      <c r="A1252" s="18" t="s">
        <v>1620</v>
      </c>
      <c r="B1252" s="186" t="str">
        <f>VLOOKUP(A1252,kurspris!$A$1:$B$877,2,FALSE)</f>
        <v>Beteendevetenskapliga grunder</v>
      </c>
      <c r="C1252" s="37"/>
      <c r="D1252" s="31" t="s">
        <v>85</v>
      </c>
      <c r="E1252" s="31" t="s">
        <v>1931</v>
      </c>
      <c r="F1252" s="59" t="s">
        <v>1931</v>
      </c>
      <c r="G1252" s="31" t="s">
        <v>2277</v>
      </c>
      <c r="I1252" t="s">
        <v>628</v>
      </c>
      <c r="L1252" s="31">
        <v>100</v>
      </c>
      <c r="M1252" s="31">
        <v>7.5</v>
      </c>
      <c r="N1252" s="40">
        <v>-0.05</v>
      </c>
      <c r="O1252" s="31">
        <v>29</v>
      </c>
      <c r="P1252" s="377">
        <f>O1252+(O1252*N1252)</f>
        <v>27.55</v>
      </c>
      <c r="Q1252" s="232">
        <f t="shared" si="664"/>
        <v>3.4437500000000001</v>
      </c>
      <c r="R1252" s="40">
        <v>0.85</v>
      </c>
      <c r="S1252" s="334">
        <f t="shared" si="665"/>
        <v>2.9271875000000001</v>
      </c>
      <c r="T1252" s="31">
        <f>VLOOKUP(A1252,'Ansvar kurs'!$A$1:$C$1010,2,FALSE)</f>
        <v>2193</v>
      </c>
      <c r="U1252" s="31" t="str">
        <f>VLOOKUP(T1252,Orgenheter!$A$1:$C$165,2,FALSE)</f>
        <v xml:space="preserve">TUV </v>
      </c>
      <c r="V1252" s="31" t="str">
        <f>VLOOKUP(T1252,Orgenheter!$A$1:$C$165,3,FALSE)</f>
        <v>Sam</v>
      </c>
      <c r="W1252" s="37" t="str">
        <f>VLOOKUP(D1252,Program!$A$1:$B$34,2,FALSE)</f>
        <v>Studie- och yrkesvägledarprogram</v>
      </c>
      <c r="X1252" s="42">
        <f>VLOOKUP(A1252,kurspris!$A$1:$Q$798,15,FALSE)</f>
        <v>18405</v>
      </c>
      <c r="Y1252" s="42">
        <f>VLOOKUP(A1252,kurspris!$A$1:$Q$798,16,FALSE)</f>
        <v>15773</v>
      </c>
      <c r="Z1252" s="42">
        <f t="shared" si="666"/>
        <v>109552.7471875</v>
      </c>
      <c r="AA1252" s="42">
        <f>VLOOKUP(A1252,kurspris!$A$1:$Q$798,17,FALSE)</f>
        <v>5800</v>
      </c>
      <c r="AB1252" s="42">
        <f t="shared" si="667"/>
        <v>19973.75</v>
      </c>
      <c r="AC1252" s="42">
        <f t="shared" si="668"/>
        <v>129526.4971875</v>
      </c>
      <c r="AD1252" s="31">
        <f>VLOOKUP($A1252,kurspris!$A$1:$Q$835,3,FALSE)</f>
        <v>0</v>
      </c>
      <c r="AE1252" s="31">
        <f>VLOOKUP($A1252,kurspris!$A$1:$Q$835,4,FALSE)</f>
        <v>0</v>
      </c>
      <c r="AF1252" s="31">
        <f>VLOOKUP($A1252,kurspris!$A$1:$Q$835,5,FALSE)</f>
        <v>0</v>
      </c>
      <c r="AG1252" s="31">
        <f>VLOOKUP($A1252,kurspris!$A$1:$Q$835,6,FALSE)</f>
        <v>0</v>
      </c>
      <c r="AH1252" s="31">
        <f>VLOOKUP($A1252,kurspris!$A$1:$Q$835,7,FALSE)</f>
        <v>0</v>
      </c>
      <c r="AI1252" s="31">
        <f>VLOOKUP($A1252,kurspris!$A$1:$Q$835,8,FALSE)</f>
        <v>0</v>
      </c>
      <c r="AJ1252" s="31">
        <f>VLOOKUP($A1252,kurspris!$A$1:$Q$835,9,FALSE)</f>
        <v>1</v>
      </c>
      <c r="AK1252" s="31">
        <f>VLOOKUP($A1252,kurspris!$A$1:$Q$835,10,FALSE)</f>
        <v>0</v>
      </c>
      <c r="AL1252" s="31">
        <f>VLOOKUP($A1252,kurspris!$A$1:$Q$835,11,FALSE)</f>
        <v>0</v>
      </c>
      <c r="AM1252" s="31">
        <f>VLOOKUP($A1252,kurspris!$A$1:$Q$835,12,FALSE)</f>
        <v>0</v>
      </c>
      <c r="AN1252" s="31">
        <f>VLOOKUP($A1252,kurspris!$A$1:$Q$835,13,FALSE)</f>
        <v>0</v>
      </c>
      <c r="AO1252" s="31">
        <f>VLOOKUP($A1252,kurspris!$A$1:$Q$835,14,FALSE)</f>
        <v>0</v>
      </c>
      <c r="AP1252" s="39" t="s">
        <v>1631</v>
      </c>
      <c r="AQ1252"/>
      <c r="AR1252" s="31">
        <f t="shared" si="669"/>
        <v>0</v>
      </c>
      <c r="AS1252" s="255">
        <f t="shared" si="670"/>
        <v>0</v>
      </c>
      <c r="AT1252" s="31">
        <f t="shared" si="671"/>
        <v>0</v>
      </c>
      <c r="AU1252" s="255">
        <f t="shared" si="672"/>
        <v>0</v>
      </c>
      <c r="AV1252" s="31">
        <f t="shared" si="673"/>
        <v>0</v>
      </c>
      <c r="AW1252" s="31">
        <f t="shared" si="674"/>
        <v>0</v>
      </c>
      <c r="AX1252" s="31">
        <f t="shared" si="675"/>
        <v>0</v>
      </c>
      <c r="AY1252" s="255">
        <f t="shared" si="676"/>
        <v>0</v>
      </c>
      <c r="AZ1252" s="232">
        <f t="shared" si="677"/>
        <v>0</v>
      </c>
      <c r="BA1252" s="255">
        <f t="shared" si="678"/>
        <v>0</v>
      </c>
      <c r="BB1252" s="31">
        <f t="shared" si="679"/>
        <v>0</v>
      </c>
      <c r="BC1252" s="255">
        <f t="shared" si="680"/>
        <v>0</v>
      </c>
      <c r="BD1252" s="31">
        <f t="shared" si="681"/>
        <v>3.4437500000000001</v>
      </c>
      <c r="BE1252" s="255">
        <f t="shared" si="682"/>
        <v>2.9271875000000001</v>
      </c>
      <c r="BF1252" s="31">
        <f t="shared" si="683"/>
        <v>0</v>
      </c>
      <c r="BG1252" s="255">
        <f t="shared" si="684"/>
        <v>0</v>
      </c>
      <c r="BH1252" s="31">
        <f t="shared" si="685"/>
        <v>0</v>
      </c>
      <c r="BI1252" s="255">
        <f t="shared" si="686"/>
        <v>0</v>
      </c>
      <c r="BJ1252" s="31">
        <f t="shared" si="687"/>
        <v>0</v>
      </c>
      <c r="BK1252" s="31">
        <f t="shared" si="688"/>
        <v>0</v>
      </c>
      <c r="BL1252" s="255">
        <f t="shared" si="689"/>
        <v>0</v>
      </c>
      <c r="BM1252" s="31">
        <f t="shared" si="690"/>
        <v>0</v>
      </c>
      <c r="BN1252" s="255">
        <f t="shared" si="691"/>
        <v>0</v>
      </c>
    </row>
    <row r="1253" spans="1:66" x14ac:dyDescent="0.25">
      <c r="A1253" s="18" t="s">
        <v>1620</v>
      </c>
      <c r="B1253" s="186" t="str">
        <f>VLOOKUP(A1253,kurspris!$A$1:$B$877,2,FALSE)</f>
        <v>Beteendevetenskapliga grunder</v>
      </c>
      <c r="C1253" s="37"/>
      <c r="D1253" s="31" t="s">
        <v>85</v>
      </c>
      <c r="E1253" s="31" t="s">
        <v>1931</v>
      </c>
      <c r="F1253" s="59" t="s">
        <v>1931</v>
      </c>
      <c r="G1253" s="31" t="s">
        <v>2277</v>
      </c>
      <c r="I1253" t="s">
        <v>1536</v>
      </c>
      <c r="L1253" s="31">
        <v>100</v>
      </c>
      <c r="M1253" s="31">
        <v>7.5</v>
      </c>
      <c r="N1253" s="40">
        <v>-0.05</v>
      </c>
      <c r="O1253" s="31">
        <v>32</v>
      </c>
      <c r="P1253" s="377">
        <f>O1253+(O1253*N1253)</f>
        <v>30.4</v>
      </c>
      <c r="Q1253" s="232">
        <f t="shared" si="664"/>
        <v>3.8</v>
      </c>
      <c r="R1253" s="40">
        <v>0.85</v>
      </c>
      <c r="S1253" s="334">
        <f t="shared" si="665"/>
        <v>3.23</v>
      </c>
      <c r="T1253" s="31">
        <f>VLOOKUP(A1253,'Ansvar kurs'!$A$1:$C$1010,2,FALSE)</f>
        <v>2193</v>
      </c>
      <c r="U1253" s="31" t="str">
        <f>VLOOKUP(T1253,Orgenheter!$A$1:$C$165,2,FALSE)</f>
        <v xml:space="preserve">TUV </v>
      </c>
      <c r="V1253" s="31" t="str">
        <f>VLOOKUP(T1253,Orgenheter!$A$1:$C$165,3,FALSE)</f>
        <v>Sam</v>
      </c>
      <c r="W1253" s="37" t="str">
        <f>VLOOKUP(D1253,Program!$A$1:$B$34,2,FALSE)</f>
        <v>Studie- och yrkesvägledarprogram</v>
      </c>
      <c r="X1253" s="42">
        <f>VLOOKUP(A1253,kurspris!$A$1:$Q$798,15,FALSE)</f>
        <v>18405</v>
      </c>
      <c r="Y1253" s="42">
        <f>VLOOKUP(A1253,kurspris!$A$1:$Q$798,16,FALSE)</f>
        <v>15773</v>
      </c>
      <c r="Z1253" s="42">
        <f t="shared" si="666"/>
        <v>120885.79000000001</v>
      </c>
      <c r="AA1253" s="42">
        <f>VLOOKUP(A1253,kurspris!$A$1:$Q$798,17,FALSE)</f>
        <v>5800</v>
      </c>
      <c r="AB1253" s="42">
        <f t="shared" si="667"/>
        <v>22040</v>
      </c>
      <c r="AC1253" s="42">
        <f t="shared" si="668"/>
        <v>142925.79</v>
      </c>
      <c r="AD1253" s="31">
        <f>VLOOKUP($A1253,kurspris!$A$1:$Q$835,3,FALSE)</f>
        <v>0</v>
      </c>
      <c r="AE1253" s="31">
        <f>VLOOKUP($A1253,kurspris!$A$1:$Q$835,4,FALSE)</f>
        <v>0</v>
      </c>
      <c r="AF1253" s="31">
        <f>VLOOKUP($A1253,kurspris!$A$1:$Q$835,5,FALSE)</f>
        <v>0</v>
      </c>
      <c r="AG1253" s="31">
        <f>VLOOKUP($A1253,kurspris!$A$1:$Q$835,6,FALSE)</f>
        <v>0</v>
      </c>
      <c r="AH1253" s="31">
        <f>VLOOKUP($A1253,kurspris!$A$1:$Q$835,7,FALSE)</f>
        <v>0</v>
      </c>
      <c r="AI1253" s="31">
        <f>VLOOKUP($A1253,kurspris!$A$1:$Q$835,8,FALSE)</f>
        <v>0</v>
      </c>
      <c r="AJ1253" s="31">
        <f>VLOOKUP($A1253,kurspris!$A$1:$Q$835,9,FALSE)</f>
        <v>1</v>
      </c>
      <c r="AK1253" s="31">
        <f>VLOOKUP($A1253,kurspris!$A$1:$Q$835,10,FALSE)</f>
        <v>0</v>
      </c>
      <c r="AL1253" s="31">
        <f>VLOOKUP($A1253,kurspris!$A$1:$Q$835,11,FALSE)</f>
        <v>0</v>
      </c>
      <c r="AM1253" s="31">
        <f>VLOOKUP($A1253,kurspris!$A$1:$Q$835,12,FALSE)</f>
        <v>0</v>
      </c>
      <c r="AN1253" s="31">
        <f>VLOOKUP($A1253,kurspris!$A$1:$Q$835,13,FALSE)</f>
        <v>0</v>
      </c>
      <c r="AO1253" s="31">
        <f>VLOOKUP($A1253,kurspris!$A$1:$Q$835,14,FALSE)</f>
        <v>0</v>
      </c>
      <c r="AP1253" s="39" t="s">
        <v>1631</v>
      </c>
      <c r="AQ1253"/>
      <c r="AR1253" s="31">
        <f t="shared" si="669"/>
        <v>0</v>
      </c>
      <c r="AS1253" s="255">
        <f t="shared" si="670"/>
        <v>0</v>
      </c>
      <c r="AT1253" s="31">
        <f t="shared" si="671"/>
        <v>0</v>
      </c>
      <c r="AU1253" s="255">
        <f t="shared" si="672"/>
        <v>0</v>
      </c>
      <c r="AV1253" s="31">
        <f t="shared" si="673"/>
        <v>0</v>
      </c>
      <c r="AW1253" s="31">
        <f t="shared" si="674"/>
        <v>0</v>
      </c>
      <c r="AX1253" s="31">
        <f t="shared" si="675"/>
        <v>0</v>
      </c>
      <c r="AY1253" s="255">
        <f t="shared" si="676"/>
        <v>0</v>
      </c>
      <c r="AZ1253" s="232">
        <f t="shared" si="677"/>
        <v>0</v>
      </c>
      <c r="BA1253" s="255">
        <f t="shared" si="678"/>
        <v>0</v>
      </c>
      <c r="BB1253" s="31">
        <f t="shared" si="679"/>
        <v>0</v>
      </c>
      <c r="BC1253" s="255">
        <f t="shared" si="680"/>
        <v>0</v>
      </c>
      <c r="BD1253" s="31">
        <f t="shared" si="681"/>
        <v>3.8</v>
      </c>
      <c r="BE1253" s="255">
        <f t="shared" si="682"/>
        <v>3.23</v>
      </c>
      <c r="BF1253" s="31">
        <f t="shared" si="683"/>
        <v>0</v>
      </c>
      <c r="BG1253" s="255">
        <f t="shared" si="684"/>
        <v>0</v>
      </c>
      <c r="BH1253" s="31">
        <f t="shared" si="685"/>
        <v>0</v>
      </c>
      <c r="BI1253" s="255">
        <f t="shared" si="686"/>
        <v>0</v>
      </c>
      <c r="BJ1253" s="31">
        <f t="shared" si="687"/>
        <v>0</v>
      </c>
      <c r="BK1253" s="31">
        <f t="shared" si="688"/>
        <v>0</v>
      </c>
      <c r="BL1253" s="255">
        <f t="shared" si="689"/>
        <v>0</v>
      </c>
      <c r="BM1253" s="31">
        <f t="shared" si="690"/>
        <v>0</v>
      </c>
      <c r="BN1253" s="255">
        <f t="shared" si="691"/>
        <v>0</v>
      </c>
    </row>
    <row r="1254" spans="1:66" x14ac:dyDescent="0.25">
      <c r="A1254" s="18" t="s">
        <v>657</v>
      </c>
      <c r="B1254" s="186" t="str">
        <f>VLOOKUP(A1254,kurspris!$A$1:$B$877,2,FALSE)</f>
        <v>Teknik för lärare F-6</v>
      </c>
      <c r="C1254" s="37"/>
      <c r="D1254" t="s">
        <v>117</v>
      </c>
      <c r="E1254"/>
      <c r="F1254" s="59" t="s">
        <v>1930</v>
      </c>
      <c r="G1254"/>
      <c r="H1254"/>
      <c r="I1254" t="s">
        <v>2066</v>
      </c>
      <c r="L1254">
        <v>25</v>
      </c>
      <c r="M1254">
        <v>7.5</v>
      </c>
      <c r="P1254" s="457">
        <v>0</v>
      </c>
      <c r="Q1254" s="456">
        <f t="shared" si="664"/>
        <v>0</v>
      </c>
      <c r="R1254" s="40">
        <v>0.8</v>
      </c>
      <c r="S1254" s="334">
        <f t="shared" si="665"/>
        <v>0</v>
      </c>
      <c r="T1254" s="31">
        <f>VLOOKUP(A1254,'Ansvar kurs'!$A$1:$C$1010,2,FALSE)</f>
        <v>5740</v>
      </c>
      <c r="U1254" s="31" t="str">
        <f>VLOOKUP(T1254,Orgenheter!$A$1:$C$165,2,FALSE)</f>
        <v>NMD</v>
      </c>
      <c r="V1254" s="31" t="str">
        <f>VLOOKUP(T1254,Orgenheter!$A$1:$C$165,3,FALSE)</f>
        <v>TekNat</v>
      </c>
      <c r="W1254" s="37" t="str">
        <f>VLOOKUP(D1254,Program!$A$1:$B$34,2,FALSE)</f>
        <v>Fristående och övriga kurser</v>
      </c>
      <c r="X1254" s="42">
        <f>VLOOKUP(A1254,kurspris!$A$1:$Q$798,15,FALSE)</f>
        <v>19473</v>
      </c>
      <c r="Y1254" s="42">
        <f>VLOOKUP(A1254,kurspris!$A$1:$Q$798,16,FALSE)</f>
        <v>34806</v>
      </c>
      <c r="Z1254" s="42">
        <f t="shared" si="666"/>
        <v>0</v>
      </c>
      <c r="AA1254" s="42">
        <f>VLOOKUP(A1254,kurspris!$A$1:$Q$798,17,FALSE)</f>
        <v>21800</v>
      </c>
      <c r="AB1254" s="42">
        <f t="shared" si="667"/>
        <v>0</v>
      </c>
      <c r="AC1254" s="42">
        <f t="shared" si="668"/>
        <v>0</v>
      </c>
      <c r="AD1254" s="31">
        <f>VLOOKUP($A1254,kurspris!$A$1:$Q$835,3,FALSE)</f>
        <v>0</v>
      </c>
      <c r="AE1254" s="31">
        <f>VLOOKUP($A1254,kurspris!$A$1:$Q$835,4,FALSE)</f>
        <v>0</v>
      </c>
      <c r="AF1254" s="31">
        <f>VLOOKUP($A1254,kurspris!$A$1:$Q$835,5,FALSE)</f>
        <v>0</v>
      </c>
      <c r="AG1254" s="31">
        <f>VLOOKUP($A1254,kurspris!$A$1:$Q$835,6,FALSE)</f>
        <v>0</v>
      </c>
      <c r="AH1254" s="31">
        <f>VLOOKUP($A1254,kurspris!$A$1:$Q$835,7,FALSE)</f>
        <v>0</v>
      </c>
      <c r="AI1254" s="31">
        <f>VLOOKUP($A1254,kurspris!$A$1:$Q$835,8,FALSE)</f>
        <v>0</v>
      </c>
      <c r="AJ1254" s="31">
        <f>VLOOKUP($A1254,kurspris!$A$1:$Q$835,9,FALSE)</f>
        <v>0</v>
      </c>
      <c r="AK1254" s="31">
        <f>VLOOKUP($A1254,kurspris!$A$1:$Q$835,10,FALSE)</f>
        <v>1</v>
      </c>
      <c r="AL1254" s="31">
        <f>VLOOKUP($A1254,kurspris!$A$1:$Q$835,11,FALSE)</f>
        <v>0</v>
      </c>
      <c r="AM1254" s="31">
        <f>VLOOKUP($A1254,kurspris!$A$1:$Q$835,12,FALSE)</f>
        <v>0</v>
      </c>
      <c r="AN1254" s="31">
        <f>VLOOKUP($A1254,kurspris!$A$1:$Q$835,13,FALSE)</f>
        <v>0</v>
      </c>
      <c r="AO1254" s="31">
        <f>VLOOKUP($A1254,kurspris!$A$1:$Q$835,14,FALSE)</f>
        <v>0</v>
      </c>
      <c r="AP1254" s="39" t="s">
        <v>2095</v>
      </c>
      <c r="AQ1254" s="39" t="s">
        <v>2171</v>
      </c>
      <c r="AR1254" s="31">
        <f t="shared" si="669"/>
        <v>0</v>
      </c>
      <c r="AS1254" s="255">
        <f t="shared" si="670"/>
        <v>0</v>
      </c>
      <c r="AT1254" s="31">
        <f t="shared" si="671"/>
        <v>0</v>
      </c>
      <c r="AU1254" s="255">
        <f t="shared" si="672"/>
        <v>0</v>
      </c>
      <c r="AV1254" s="31">
        <f t="shared" si="673"/>
        <v>0</v>
      </c>
      <c r="AW1254" s="31">
        <f t="shared" si="674"/>
        <v>0</v>
      </c>
      <c r="AX1254" s="31">
        <f t="shared" si="675"/>
        <v>0</v>
      </c>
      <c r="AY1254" s="255">
        <f t="shared" si="676"/>
        <v>0</v>
      </c>
      <c r="AZ1254" s="232">
        <f t="shared" si="677"/>
        <v>0</v>
      </c>
      <c r="BA1254" s="255">
        <f t="shared" si="678"/>
        <v>0</v>
      </c>
      <c r="BB1254" s="31">
        <f t="shared" si="679"/>
        <v>0</v>
      </c>
      <c r="BC1254" s="255">
        <f t="shared" si="680"/>
        <v>0</v>
      </c>
      <c r="BD1254" s="31">
        <f t="shared" si="681"/>
        <v>0</v>
      </c>
      <c r="BE1254" s="255">
        <f t="shared" si="682"/>
        <v>0</v>
      </c>
      <c r="BF1254" s="31">
        <f t="shared" si="683"/>
        <v>0</v>
      </c>
      <c r="BG1254" s="255">
        <f t="shared" si="684"/>
        <v>0</v>
      </c>
      <c r="BH1254" s="31">
        <f t="shared" si="685"/>
        <v>0</v>
      </c>
      <c r="BI1254" s="255">
        <f t="shared" si="686"/>
        <v>0</v>
      </c>
      <c r="BJ1254" s="31">
        <f t="shared" si="687"/>
        <v>0</v>
      </c>
      <c r="BK1254" s="31">
        <f t="shared" si="688"/>
        <v>0</v>
      </c>
      <c r="BL1254" s="255">
        <f t="shared" si="689"/>
        <v>0</v>
      </c>
      <c r="BM1254" s="31">
        <f t="shared" si="690"/>
        <v>0</v>
      </c>
      <c r="BN1254" s="255">
        <f t="shared" si="691"/>
        <v>0</v>
      </c>
    </row>
    <row r="1255" spans="1:66" x14ac:dyDescent="0.25">
      <c r="A1255" s="18" t="s">
        <v>86</v>
      </c>
      <c r="B1255" s="186" t="str">
        <f>VLOOKUP(A1255,kurspris!$A$1:$B$877,2,FALSE)</f>
        <v>Textila uttryck II</v>
      </c>
      <c r="C1255" s="37"/>
      <c r="D1255" t="s">
        <v>117</v>
      </c>
      <c r="E1255"/>
      <c r="F1255" s="59" t="s">
        <v>1930</v>
      </c>
      <c r="G1255"/>
      <c r="H1255"/>
      <c r="I1255" t="s">
        <v>2066</v>
      </c>
      <c r="L1255">
        <v>50</v>
      </c>
      <c r="M1255">
        <v>15</v>
      </c>
      <c r="P1255" s="31">
        <v>0</v>
      </c>
      <c r="Q1255" s="232">
        <f t="shared" si="664"/>
        <v>0</v>
      </c>
      <c r="R1255" s="40">
        <v>0.8</v>
      </c>
      <c r="S1255" s="334">
        <f t="shared" si="665"/>
        <v>0</v>
      </c>
      <c r="T1255" s="31">
        <f>VLOOKUP(A1255,'Ansvar kurs'!$A$1:$C$1010,2,FALSE)</f>
        <v>1650</v>
      </c>
      <c r="U1255" s="31" t="str">
        <f>VLOOKUP(T1255,Orgenheter!$A$1:$C$165,2,FALSE)</f>
        <v xml:space="preserve">Estetiska ämnen               </v>
      </c>
      <c r="V1255" s="31" t="str">
        <f>VLOOKUP(T1255,Orgenheter!$A$1:$C$165,3,FALSE)</f>
        <v>Hum</v>
      </c>
      <c r="W1255" s="37" t="str">
        <f>VLOOKUP(D1255,Program!$A$1:$B$34,2,FALSE)</f>
        <v>Fristående och övriga kurser</v>
      </c>
      <c r="X1255" s="42">
        <f>VLOOKUP(A1255,kurspris!$A$1:$Q$798,15,FALSE)</f>
        <v>16934.099999999999</v>
      </c>
      <c r="Y1255" s="42">
        <f>VLOOKUP(A1255,kurspris!$A$1:$Q$798,16,FALSE)</f>
        <v>29289.999999999996</v>
      </c>
      <c r="Z1255" s="42">
        <f t="shared" si="666"/>
        <v>0</v>
      </c>
      <c r="AA1255" s="42">
        <f>VLOOKUP(A1255,kurspris!$A$1:$Q$798,17,FALSE)</f>
        <v>18650</v>
      </c>
      <c r="AB1255" s="42">
        <f t="shared" si="667"/>
        <v>0</v>
      </c>
      <c r="AC1255" s="42">
        <f t="shared" si="668"/>
        <v>0</v>
      </c>
      <c r="AD1255" s="31">
        <f>VLOOKUP($A1255,kurspris!$A$1:$Q$835,3,FALSE)</f>
        <v>0</v>
      </c>
      <c r="AE1255" s="31">
        <f>VLOOKUP($A1255,kurspris!$A$1:$Q$835,4,FALSE)</f>
        <v>0</v>
      </c>
      <c r="AF1255" s="31">
        <f>VLOOKUP($A1255,kurspris!$A$1:$Q$835,5,FALSE)</f>
        <v>0</v>
      </c>
      <c r="AG1255" s="31">
        <f>VLOOKUP($A1255,kurspris!$A$1:$Q$835,6,FALSE)</f>
        <v>0</v>
      </c>
      <c r="AH1255" s="31">
        <f>VLOOKUP($A1255,kurspris!$A$1:$Q$835,7,FALSE)</f>
        <v>0</v>
      </c>
      <c r="AI1255" s="31">
        <f>VLOOKUP($A1255,kurspris!$A$1:$Q$835,8,FALSE)</f>
        <v>0</v>
      </c>
      <c r="AJ1255" s="31">
        <f>VLOOKUP($A1255,kurspris!$A$1:$Q$835,9,FALSE)</f>
        <v>0</v>
      </c>
      <c r="AK1255" s="31">
        <f>VLOOKUP($A1255,kurspris!$A$1:$Q$835,10,FALSE)</f>
        <v>0.3</v>
      </c>
      <c r="AL1255" s="31">
        <f>VLOOKUP($A1255,kurspris!$A$1:$Q$835,11,FALSE)</f>
        <v>0</v>
      </c>
      <c r="AM1255" s="31">
        <f>VLOOKUP($A1255,kurspris!$A$1:$Q$835,12,FALSE)</f>
        <v>0</v>
      </c>
      <c r="AN1255" s="31">
        <f>VLOOKUP($A1255,kurspris!$A$1:$Q$835,13,FALSE)</f>
        <v>0.7</v>
      </c>
      <c r="AO1255" s="31">
        <f>VLOOKUP($A1255,kurspris!$A$1:$Q$835,14,FALSE)</f>
        <v>0</v>
      </c>
      <c r="AP1255" s="39" t="s">
        <v>2204</v>
      </c>
      <c r="AQ1255" s="39" t="s">
        <v>2095</v>
      </c>
      <c r="AR1255" s="31">
        <f t="shared" si="669"/>
        <v>0</v>
      </c>
      <c r="AS1255" s="255">
        <f t="shared" si="670"/>
        <v>0</v>
      </c>
      <c r="AT1255" s="31">
        <f t="shared" si="671"/>
        <v>0</v>
      </c>
      <c r="AU1255" s="255">
        <f t="shared" si="672"/>
        <v>0</v>
      </c>
      <c r="AV1255" s="31">
        <f t="shared" si="673"/>
        <v>0</v>
      </c>
      <c r="AW1255" s="31">
        <f t="shared" si="674"/>
        <v>0</v>
      </c>
      <c r="AX1255" s="31">
        <f t="shared" si="675"/>
        <v>0</v>
      </c>
      <c r="AY1255" s="255">
        <f t="shared" si="676"/>
        <v>0</v>
      </c>
      <c r="AZ1255" s="232">
        <f t="shared" si="677"/>
        <v>0</v>
      </c>
      <c r="BA1255" s="255">
        <f t="shared" si="678"/>
        <v>0</v>
      </c>
      <c r="BB1255" s="31">
        <f t="shared" si="679"/>
        <v>0</v>
      </c>
      <c r="BC1255" s="255">
        <f t="shared" si="680"/>
        <v>0</v>
      </c>
      <c r="BD1255" s="31">
        <f t="shared" si="681"/>
        <v>0</v>
      </c>
      <c r="BE1255" s="255">
        <f t="shared" si="682"/>
        <v>0</v>
      </c>
      <c r="BF1255" s="31">
        <f t="shared" si="683"/>
        <v>0</v>
      </c>
      <c r="BG1255" s="255">
        <f t="shared" si="684"/>
        <v>0</v>
      </c>
      <c r="BH1255" s="31">
        <f t="shared" si="685"/>
        <v>0</v>
      </c>
      <c r="BI1255" s="255">
        <f t="shared" si="686"/>
        <v>0</v>
      </c>
      <c r="BJ1255" s="31">
        <f t="shared" si="687"/>
        <v>0</v>
      </c>
      <c r="BK1255" s="31">
        <f t="shared" si="688"/>
        <v>0</v>
      </c>
      <c r="BL1255" s="255">
        <f t="shared" si="689"/>
        <v>0</v>
      </c>
      <c r="BM1255" s="31">
        <f t="shared" si="690"/>
        <v>0</v>
      </c>
      <c r="BN1255" s="255">
        <f t="shared" si="691"/>
        <v>0</v>
      </c>
    </row>
    <row r="1256" spans="1:66" x14ac:dyDescent="0.25">
      <c r="A1256" s="18" t="s">
        <v>86</v>
      </c>
      <c r="B1256" s="186" t="str">
        <f>VLOOKUP(A1256,kurspris!$A$1:$B$877,2,FALSE)</f>
        <v>Textila uttryck II</v>
      </c>
      <c r="C1256" s="37"/>
      <c r="D1256" t="s">
        <v>117</v>
      </c>
      <c r="E1256"/>
      <c r="F1256" s="59" t="s">
        <v>1931</v>
      </c>
      <c r="G1256"/>
      <c r="H1256"/>
      <c r="I1256" t="s">
        <v>2066</v>
      </c>
      <c r="L1256">
        <v>50</v>
      </c>
      <c r="M1256">
        <v>15</v>
      </c>
      <c r="P1256">
        <v>16</v>
      </c>
      <c r="Q1256" s="232">
        <f t="shared" si="664"/>
        <v>4</v>
      </c>
      <c r="R1256" s="40">
        <v>0.8</v>
      </c>
      <c r="S1256" s="334">
        <f t="shared" si="665"/>
        <v>3.2</v>
      </c>
      <c r="T1256" s="31">
        <f>VLOOKUP(A1256,'Ansvar kurs'!$A$1:$C$1010,2,FALSE)</f>
        <v>1650</v>
      </c>
      <c r="U1256" s="31" t="str">
        <f>VLOOKUP(T1256,Orgenheter!$A$1:$C$165,2,FALSE)</f>
        <v xml:space="preserve">Estetiska ämnen               </v>
      </c>
      <c r="V1256" s="31" t="str">
        <f>VLOOKUP(T1256,Orgenheter!$A$1:$C$165,3,FALSE)</f>
        <v>Hum</v>
      </c>
      <c r="W1256" s="37" t="str">
        <f>VLOOKUP(D1256,Program!$A$1:$B$34,2,FALSE)</f>
        <v>Fristående och övriga kurser</v>
      </c>
      <c r="X1256" s="42">
        <f>VLOOKUP(A1256,kurspris!$A$1:$Q$798,15,FALSE)</f>
        <v>16934.099999999999</v>
      </c>
      <c r="Y1256" s="42">
        <f>VLOOKUP(A1256,kurspris!$A$1:$Q$798,16,FALSE)</f>
        <v>29289.999999999996</v>
      </c>
      <c r="Z1256" s="42">
        <f t="shared" si="666"/>
        <v>161464.4</v>
      </c>
      <c r="AA1256" s="42">
        <f>VLOOKUP(A1256,kurspris!$A$1:$Q$798,17,FALSE)</f>
        <v>18650</v>
      </c>
      <c r="AB1256" s="42">
        <f t="shared" si="667"/>
        <v>74600</v>
      </c>
      <c r="AC1256" s="42">
        <f t="shared" si="668"/>
        <v>236064.4</v>
      </c>
      <c r="AD1256" s="31">
        <f>VLOOKUP($A1256,kurspris!$A$1:$Q$835,3,FALSE)</f>
        <v>0</v>
      </c>
      <c r="AE1256" s="31">
        <f>VLOOKUP($A1256,kurspris!$A$1:$Q$835,4,FALSE)</f>
        <v>0</v>
      </c>
      <c r="AF1256" s="31">
        <f>VLOOKUP($A1256,kurspris!$A$1:$Q$835,5,FALSE)</f>
        <v>0</v>
      </c>
      <c r="AG1256" s="31">
        <f>VLOOKUP($A1256,kurspris!$A$1:$Q$835,6,FALSE)</f>
        <v>0</v>
      </c>
      <c r="AH1256" s="31">
        <f>VLOOKUP($A1256,kurspris!$A$1:$Q$835,7,FALSE)</f>
        <v>0</v>
      </c>
      <c r="AI1256" s="31">
        <f>VLOOKUP($A1256,kurspris!$A$1:$Q$835,8,FALSE)</f>
        <v>0</v>
      </c>
      <c r="AJ1256" s="31">
        <f>VLOOKUP($A1256,kurspris!$A$1:$Q$835,9,FALSE)</f>
        <v>0</v>
      </c>
      <c r="AK1256" s="31">
        <f>VLOOKUP($A1256,kurspris!$A$1:$Q$835,10,FALSE)</f>
        <v>0.3</v>
      </c>
      <c r="AL1256" s="31">
        <f>VLOOKUP($A1256,kurspris!$A$1:$Q$835,11,FALSE)</f>
        <v>0</v>
      </c>
      <c r="AM1256" s="31">
        <f>VLOOKUP($A1256,kurspris!$A$1:$Q$835,12,FALSE)</f>
        <v>0</v>
      </c>
      <c r="AN1256" s="31">
        <f>VLOOKUP($A1256,kurspris!$A$1:$Q$835,13,FALSE)</f>
        <v>0.7</v>
      </c>
      <c r="AO1256" s="31">
        <f>VLOOKUP($A1256,kurspris!$A$1:$Q$835,14,FALSE)</f>
        <v>0</v>
      </c>
      <c r="AP1256" s="39" t="s">
        <v>2095</v>
      </c>
      <c r="AQ1256"/>
      <c r="AR1256" s="31">
        <f t="shared" si="669"/>
        <v>0</v>
      </c>
      <c r="AS1256" s="255">
        <f t="shared" si="670"/>
        <v>0</v>
      </c>
      <c r="AT1256" s="31">
        <f t="shared" si="671"/>
        <v>0</v>
      </c>
      <c r="AU1256" s="255">
        <f t="shared" si="672"/>
        <v>0</v>
      </c>
      <c r="AV1256" s="31">
        <f t="shared" si="673"/>
        <v>0</v>
      </c>
      <c r="AW1256" s="31">
        <f t="shared" si="674"/>
        <v>0</v>
      </c>
      <c r="AX1256" s="31">
        <f t="shared" si="675"/>
        <v>0</v>
      </c>
      <c r="AY1256" s="255">
        <f t="shared" si="676"/>
        <v>0</v>
      </c>
      <c r="AZ1256" s="232">
        <f t="shared" si="677"/>
        <v>0</v>
      </c>
      <c r="BA1256" s="255">
        <f t="shared" si="678"/>
        <v>0</v>
      </c>
      <c r="BB1256" s="31">
        <f t="shared" si="679"/>
        <v>0</v>
      </c>
      <c r="BC1256" s="255">
        <f t="shared" si="680"/>
        <v>0</v>
      </c>
      <c r="BD1256" s="31">
        <f t="shared" si="681"/>
        <v>0</v>
      </c>
      <c r="BE1256" s="255">
        <f t="shared" si="682"/>
        <v>0</v>
      </c>
      <c r="BF1256" s="31">
        <f t="shared" si="683"/>
        <v>1.2</v>
      </c>
      <c r="BG1256" s="255">
        <f t="shared" si="684"/>
        <v>0.96</v>
      </c>
      <c r="BH1256" s="31">
        <f t="shared" si="685"/>
        <v>0</v>
      </c>
      <c r="BI1256" s="255">
        <f t="shared" si="686"/>
        <v>0</v>
      </c>
      <c r="BJ1256" s="31">
        <f t="shared" si="687"/>
        <v>0</v>
      </c>
      <c r="BK1256" s="31">
        <f t="shared" si="688"/>
        <v>2.8</v>
      </c>
      <c r="BL1256" s="255">
        <f t="shared" si="689"/>
        <v>2.2399999999999998</v>
      </c>
      <c r="BM1256" s="31">
        <f t="shared" si="690"/>
        <v>0</v>
      </c>
      <c r="BN1256" s="255">
        <f t="shared" si="691"/>
        <v>0</v>
      </c>
    </row>
    <row r="1257" spans="1:66" x14ac:dyDescent="0.25">
      <c r="A1257" s="18" t="s">
        <v>568</v>
      </c>
      <c r="B1257" s="186" t="str">
        <f>VLOOKUP(A1257,kurspris!$A$1:$B$877,2,FALSE)</f>
        <v>Slöjd, textil 2a, distans</v>
      </c>
      <c r="C1257" s="37"/>
      <c r="D1257" t="s">
        <v>117</v>
      </c>
      <c r="E1257"/>
      <c r="F1257" s="59" t="s">
        <v>1931</v>
      </c>
      <c r="G1257"/>
      <c r="H1257"/>
      <c r="I1257" t="s">
        <v>2066</v>
      </c>
      <c r="L1257">
        <v>50</v>
      </c>
      <c r="M1257">
        <v>15</v>
      </c>
      <c r="P1257">
        <v>32</v>
      </c>
      <c r="Q1257" s="232">
        <f t="shared" si="664"/>
        <v>8</v>
      </c>
      <c r="R1257" s="40">
        <v>0.8</v>
      </c>
      <c r="S1257" s="334">
        <f t="shared" si="665"/>
        <v>6.4</v>
      </c>
      <c r="T1257" s="31">
        <f>VLOOKUP(A1257,'Ansvar kurs'!$A$1:$C$1010,2,FALSE)</f>
        <v>1650</v>
      </c>
      <c r="U1257" s="31" t="str">
        <f>VLOOKUP(T1257,Orgenheter!$A$1:$C$165,2,FALSE)</f>
        <v xml:space="preserve">Estetiska ämnen               </v>
      </c>
      <c r="V1257" s="31" t="str">
        <f>VLOOKUP(T1257,Orgenheter!$A$1:$C$165,3,FALSE)</f>
        <v>Hum</v>
      </c>
      <c r="W1257" s="37" t="str">
        <f>VLOOKUP(D1257,Program!$A$1:$B$34,2,FALSE)</f>
        <v>Fristående och övriga kurser</v>
      </c>
      <c r="X1257" s="42">
        <f>VLOOKUP(A1257,kurspris!$A$1:$Q$798,15,FALSE)</f>
        <v>19473</v>
      </c>
      <c r="Y1257" s="42">
        <f>VLOOKUP(A1257,kurspris!$A$1:$Q$798,16,FALSE)</f>
        <v>34806</v>
      </c>
      <c r="Z1257" s="42">
        <f t="shared" si="666"/>
        <v>378542.4</v>
      </c>
      <c r="AA1257" s="42">
        <f>VLOOKUP(A1257,kurspris!$A$1:$Q$798,17,FALSE)</f>
        <v>21800</v>
      </c>
      <c r="AB1257" s="42">
        <f t="shared" si="667"/>
        <v>174400</v>
      </c>
      <c r="AC1257" s="42">
        <f t="shared" si="668"/>
        <v>552942.4</v>
      </c>
      <c r="AD1257" s="31">
        <f>VLOOKUP($A1257,kurspris!$A$1:$Q$835,3,FALSE)</f>
        <v>0</v>
      </c>
      <c r="AE1257" s="31">
        <f>VLOOKUP($A1257,kurspris!$A$1:$Q$835,4,FALSE)</f>
        <v>0</v>
      </c>
      <c r="AF1257" s="31">
        <f>VLOOKUP($A1257,kurspris!$A$1:$Q$835,5,FALSE)</f>
        <v>0</v>
      </c>
      <c r="AG1257" s="31">
        <f>VLOOKUP($A1257,kurspris!$A$1:$Q$835,6,FALSE)</f>
        <v>0</v>
      </c>
      <c r="AH1257" s="31">
        <f>VLOOKUP($A1257,kurspris!$A$1:$Q$835,7,FALSE)</f>
        <v>0</v>
      </c>
      <c r="AI1257" s="31">
        <f>VLOOKUP($A1257,kurspris!$A$1:$Q$835,8,FALSE)</f>
        <v>0</v>
      </c>
      <c r="AJ1257" s="31">
        <f>VLOOKUP($A1257,kurspris!$A$1:$Q$835,9,FALSE)</f>
        <v>0</v>
      </c>
      <c r="AK1257" s="31">
        <f>VLOOKUP($A1257,kurspris!$A$1:$Q$835,10,FALSE)</f>
        <v>1</v>
      </c>
      <c r="AL1257" s="31">
        <f>VLOOKUP($A1257,kurspris!$A$1:$Q$835,11,FALSE)</f>
        <v>0</v>
      </c>
      <c r="AM1257" s="31">
        <f>VLOOKUP($A1257,kurspris!$A$1:$Q$835,12,FALSE)</f>
        <v>0</v>
      </c>
      <c r="AN1257" s="31">
        <f>VLOOKUP($A1257,kurspris!$A$1:$Q$835,13,FALSE)</f>
        <v>0</v>
      </c>
      <c r="AO1257" s="31">
        <f>VLOOKUP($A1257,kurspris!$A$1:$Q$835,14,FALSE)</f>
        <v>0</v>
      </c>
      <c r="AP1257" s="39" t="s">
        <v>2095</v>
      </c>
      <c r="AQ1257"/>
      <c r="AR1257" s="31">
        <f t="shared" si="669"/>
        <v>0</v>
      </c>
      <c r="AS1257" s="255">
        <f t="shared" si="670"/>
        <v>0</v>
      </c>
      <c r="AT1257" s="31">
        <f t="shared" si="671"/>
        <v>0</v>
      </c>
      <c r="AU1257" s="255">
        <f t="shared" si="672"/>
        <v>0</v>
      </c>
      <c r="AV1257" s="31">
        <f t="shared" si="673"/>
        <v>0</v>
      </c>
      <c r="AW1257" s="31">
        <f t="shared" si="674"/>
        <v>0</v>
      </c>
      <c r="AX1257" s="31">
        <f t="shared" si="675"/>
        <v>0</v>
      </c>
      <c r="AY1257" s="255">
        <f t="shared" si="676"/>
        <v>0</v>
      </c>
      <c r="AZ1257" s="232">
        <f t="shared" si="677"/>
        <v>0</v>
      </c>
      <c r="BA1257" s="255">
        <f t="shared" si="678"/>
        <v>0</v>
      </c>
      <c r="BB1257" s="31">
        <f t="shared" si="679"/>
        <v>0</v>
      </c>
      <c r="BC1257" s="255">
        <f t="shared" si="680"/>
        <v>0</v>
      </c>
      <c r="BD1257" s="31">
        <f t="shared" si="681"/>
        <v>0</v>
      </c>
      <c r="BE1257" s="255">
        <f t="shared" si="682"/>
        <v>0</v>
      </c>
      <c r="BF1257" s="31">
        <f t="shared" si="683"/>
        <v>8</v>
      </c>
      <c r="BG1257" s="255">
        <f t="shared" si="684"/>
        <v>6.4</v>
      </c>
      <c r="BH1257" s="31">
        <f t="shared" si="685"/>
        <v>0</v>
      </c>
      <c r="BI1257" s="255">
        <f t="shared" si="686"/>
        <v>0</v>
      </c>
      <c r="BJ1257" s="31">
        <f t="shared" si="687"/>
        <v>0</v>
      </c>
      <c r="BK1257" s="31">
        <f t="shared" si="688"/>
        <v>0</v>
      </c>
      <c r="BL1257" s="255">
        <f t="shared" si="689"/>
        <v>0</v>
      </c>
      <c r="BM1257" s="31">
        <f t="shared" si="690"/>
        <v>0</v>
      </c>
      <c r="BN1257" s="255">
        <f t="shared" si="691"/>
        <v>0</v>
      </c>
    </row>
    <row r="1258" spans="1:66" x14ac:dyDescent="0.25">
      <c r="A1258" t="s">
        <v>522</v>
      </c>
      <c r="B1258" s="186" t="str">
        <f>VLOOKUP(A1258,kurspris!$A$1:$B$877,2,FALSE)</f>
        <v>Slöjd textil 1 30 hp</v>
      </c>
      <c r="C1258"/>
      <c r="D1258" t="s">
        <v>482</v>
      </c>
      <c r="E1258" t="s">
        <v>1788</v>
      </c>
      <c r="F1258" s="59" t="s">
        <v>1930</v>
      </c>
      <c r="G1258" t="s">
        <v>1995</v>
      </c>
      <c r="H1258" t="s">
        <v>1910</v>
      </c>
      <c r="I1258"/>
      <c r="J1258" t="s">
        <v>2159</v>
      </c>
      <c r="K1258"/>
      <c r="L1258">
        <v>100</v>
      </c>
      <c r="M1258">
        <v>30</v>
      </c>
      <c r="N1258"/>
      <c r="O1258"/>
      <c r="P1258" s="31">
        <v>2</v>
      </c>
      <c r="Q1258" s="232">
        <f t="shared" si="664"/>
        <v>1</v>
      </c>
      <c r="R1258" s="40">
        <v>0.85</v>
      </c>
      <c r="S1258" s="334">
        <f t="shared" si="665"/>
        <v>0.85</v>
      </c>
      <c r="T1258" s="31">
        <f>VLOOKUP(A1258,'Ansvar kurs'!$A$1:$C$1010,2,FALSE)</f>
        <v>1650</v>
      </c>
      <c r="U1258" s="31" t="str">
        <f>VLOOKUP(T1258,Orgenheter!$A$1:$C$165,2,FALSE)</f>
        <v xml:space="preserve">Estetiska ämnen               </v>
      </c>
      <c r="V1258" s="31" t="str">
        <f>VLOOKUP(T1258,Orgenheter!$A$1:$C$165,3,FALSE)</f>
        <v>Hum</v>
      </c>
      <c r="W1258" s="37" t="str">
        <f>VLOOKUP(D1258,Program!$A$1:$B$34,2,FALSE)</f>
        <v>Ämneslärarprogrammet - åk 7-9</v>
      </c>
      <c r="X1258" s="42">
        <f>VLOOKUP(A1258,kurspris!$A$1:$Q$798,15,FALSE)</f>
        <v>19473</v>
      </c>
      <c r="Y1258" s="42">
        <f>VLOOKUP(A1258,kurspris!$A$1:$Q$798,16,FALSE)</f>
        <v>34806</v>
      </c>
      <c r="Z1258" s="42">
        <f t="shared" si="666"/>
        <v>49058.1</v>
      </c>
      <c r="AA1258" s="42">
        <f>VLOOKUP(A1258,kurspris!$A$1:$Q$798,17,FALSE)</f>
        <v>21800</v>
      </c>
      <c r="AB1258" s="42">
        <f t="shared" si="667"/>
        <v>21800</v>
      </c>
      <c r="AC1258" s="42">
        <f t="shared" si="668"/>
        <v>70858.100000000006</v>
      </c>
      <c r="AD1258" s="31">
        <f>VLOOKUP($A1258,kurspris!$A$1:$Q$835,3,FALSE)</f>
        <v>0</v>
      </c>
      <c r="AE1258" s="31">
        <f>VLOOKUP($A1258,kurspris!$A$1:$Q$835,4,FALSE)</f>
        <v>0</v>
      </c>
      <c r="AF1258" s="31">
        <f>VLOOKUP($A1258,kurspris!$A$1:$Q$835,5,FALSE)</f>
        <v>0</v>
      </c>
      <c r="AG1258" s="31">
        <f>VLOOKUP($A1258,kurspris!$A$1:$Q$835,6,FALSE)</f>
        <v>0</v>
      </c>
      <c r="AH1258" s="31">
        <f>VLOOKUP($A1258,kurspris!$A$1:$Q$835,7,FALSE)</f>
        <v>0</v>
      </c>
      <c r="AI1258" s="31">
        <f>VLOOKUP($A1258,kurspris!$A$1:$Q$835,8,FALSE)</f>
        <v>0</v>
      </c>
      <c r="AJ1258" s="31">
        <f>VLOOKUP($A1258,kurspris!$A$1:$Q$835,9,FALSE)</f>
        <v>0</v>
      </c>
      <c r="AK1258" s="31">
        <f>VLOOKUP($A1258,kurspris!$A$1:$Q$835,10,FALSE)</f>
        <v>1</v>
      </c>
      <c r="AL1258" s="31">
        <f>VLOOKUP($A1258,kurspris!$A$1:$Q$835,11,FALSE)</f>
        <v>0</v>
      </c>
      <c r="AM1258" s="31">
        <f>VLOOKUP($A1258,kurspris!$A$1:$Q$835,12,FALSE)</f>
        <v>0</v>
      </c>
      <c r="AN1258" s="31">
        <f>VLOOKUP($A1258,kurspris!$A$1:$Q$835,13,FALSE)</f>
        <v>0</v>
      </c>
      <c r="AO1258" s="31">
        <f>VLOOKUP($A1258,kurspris!$A$1:$Q$835,14,FALSE)</f>
        <v>0</v>
      </c>
      <c r="AP1258" s="39" t="s">
        <v>2204</v>
      </c>
      <c r="AQ1258"/>
      <c r="AR1258" s="31">
        <f t="shared" si="669"/>
        <v>0</v>
      </c>
      <c r="AS1258" s="255">
        <f t="shared" si="670"/>
        <v>0</v>
      </c>
      <c r="AT1258" s="31">
        <f t="shared" si="671"/>
        <v>0</v>
      </c>
      <c r="AU1258" s="255">
        <f t="shared" si="672"/>
        <v>0</v>
      </c>
      <c r="AV1258" s="31">
        <f t="shared" si="673"/>
        <v>0</v>
      </c>
      <c r="AW1258" s="31">
        <f t="shared" si="674"/>
        <v>0</v>
      </c>
      <c r="AX1258" s="31">
        <f t="shared" si="675"/>
        <v>0</v>
      </c>
      <c r="AY1258" s="255">
        <f t="shared" si="676"/>
        <v>0</v>
      </c>
      <c r="AZ1258" s="232">
        <f t="shared" si="677"/>
        <v>0</v>
      </c>
      <c r="BA1258" s="255">
        <f t="shared" si="678"/>
        <v>0</v>
      </c>
      <c r="BB1258" s="31">
        <f t="shared" si="679"/>
        <v>0</v>
      </c>
      <c r="BC1258" s="255">
        <f t="shared" si="680"/>
        <v>0</v>
      </c>
      <c r="BD1258" s="31">
        <f t="shared" si="681"/>
        <v>0</v>
      </c>
      <c r="BE1258" s="255">
        <f t="shared" si="682"/>
        <v>0</v>
      </c>
      <c r="BF1258" s="31">
        <f t="shared" si="683"/>
        <v>1</v>
      </c>
      <c r="BG1258" s="255">
        <f t="shared" si="684"/>
        <v>0.85</v>
      </c>
      <c r="BH1258" s="31">
        <f t="shared" si="685"/>
        <v>0</v>
      </c>
      <c r="BI1258" s="255">
        <f t="shared" si="686"/>
        <v>0</v>
      </c>
      <c r="BJ1258" s="31">
        <f t="shared" si="687"/>
        <v>0</v>
      </c>
      <c r="BK1258" s="31">
        <f t="shared" si="688"/>
        <v>0</v>
      </c>
      <c r="BL1258" s="255">
        <f t="shared" si="689"/>
        <v>0</v>
      </c>
      <c r="BM1258" s="31">
        <f t="shared" si="690"/>
        <v>0</v>
      </c>
      <c r="BN1258" s="255">
        <f t="shared" si="691"/>
        <v>0</v>
      </c>
    </row>
    <row r="1259" spans="1:66" x14ac:dyDescent="0.25">
      <c r="A1259" s="18" t="s">
        <v>650</v>
      </c>
      <c r="B1259" s="186" t="str">
        <f>VLOOKUP(A1259,kurspris!$A$1:$B$877,2,FALSE)</f>
        <v>Slöjd, textil 2b, distans</v>
      </c>
      <c r="C1259" s="37"/>
      <c r="D1259" t="s">
        <v>117</v>
      </c>
      <c r="E1259"/>
      <c r="F1259" s="59" t="s">
        <v>1930</v>
      </c>
      <c r="G1259"/>
      <c r="H1259"/>
      <c r="I1259" t="s">
        <v>2066</v>
      </c>
      <c r="L1259">
        <v>50</v>
      </c>
      <c r="M1259">
        <v>15</v>
      </c>
      <c r="P1259" s="31">
        <v>11</v>
      </c>
      <c r="Q1259" s="232">
        <f t="shared" si="664"/>
        <v>2.75</v>
      </c>
      <c r="R1259" s="40">
        <v>0.8</v>
      </c>
      <c r="S1259" s="334">
        <f t="shared" si="665"/>
        <v>2.2000000000000002</v>
      </c>
      <c r="T1259" s="31">
        <f>VLOOKUP(A1259,'Ansvar kurs'!$A$1:$C$1010,2,FALSE)</f>
        <v>1650</v>
      </c>
      <c r="U1259" s="31" t="str">
        <f>VLOOKUP(T1259,Orgenheter!$A$1:$C$165,2,FALSE)</f>
        <v xml:space="preserve">Estetiska ämnen               </v>
      </c>
      <c r="V1259" s="31" t="str">
        <f>VLOOKUP(T1259,Orgenheter!$A$1:$C$165,3,FALSE)</f>
        <v>Hum</v>
      </c>
      <c r="W1259" s="37" t="str">
        <f>VLOOKUP(D1259,Program!$A$1:$B$34,2,FALSE)</f>
        <v>Fristående och övriga kurser</v>
      </c>
      <c r="X1259" s="42">
        <f>VLOOKUP(A1259,kurspris!$A$1:$Q$798,15,FALSE)</f>
        <v>19473</v>
      </c>
      <c r="Y1259" s="42">
        <f>VLOOKUP(A1259,kurspris!$A$1:$Q$798,16,FALSE)</f>
        <v>34806</v>
      </c>
      <c r="Z1259" s="42">
        <f t="shared" si="666"/>
        <v>130123.95000000001</v>
      </c>
      <c r="AA1259" s="42">
        <f>VLOOKUP(A1259,kurspris!$A$1:$Q$798,17,FALSE)</f>
        <v>21800</v>
      </c>
      <c r="AB1259" s="42">
        <f t="shared" si="667"/>
        <v>59950</v>
      </c>
      <c r="AC1259" s="42">
        <f t="shared" si="668"/>
        <v>190073.95</v>
      </c>
      <c r="AD1259" s="31">
        <f>VLOOKUP($A1259,kurspris!$A$1:$Q$835,3,FALSE)</f>
        <v>0</v>
      </c>
      <c r="AE1259" s="31">
        <f>VLOOKUP($A1259,kurspris!$A$1:$Q$835,4,FALSE)</f>
        <v>0</v>
      </c>
      <c r="AF1259" s="31">
        <f>VLOOKUP($A1259,kurspris!$A$1:$Q$835,5,FALSE)</f>
        <v>0</v>
      </c>
      <c r="AG1259" s="31">
        <f>VLOOKUP($A1259,kurspris!$A$1:$Q$835,6,FALSE)</f>
        <v>0</v>
      </c>
      <c r="AH1259" s="31">
        <f>VLOOKUP($A1259,kurspris!$A$1:$Q$835,7,FALSE)</f>
        <v>0</v>
      </c>
      <c r="AI1259" s="31">
        <f>VLOOKUP($A1259,kurspris!$A$1:$Q$835,8,FALSE)</f>
        <v>0</v>
      </c>
      <c r="AJ1259" s="31">
        <f>VLOOKUP($A1259,kurspris!$A$1:$Q$835,9,FALSE)</f>
        <v>0</v>
      </c>
      <c r="AK1259" s="31">
        <f>VLOOKUP($A1259,kurspris!$A$1:$Q$835,10,FALSE)</f>
        <v>1</v>
      </c>
      <c r="AL1259" s="31">
        <f>VLOOKUP($A1259,kurspris!$A$1:$Q$835,11,FALSE)</f>
        <v>0</v>
      </c>
      <c r="AM1259" s="31">
        <f>VLOOKUP($A1259,kurspris!$A$1:$Q$835,12,FALSE)</f>
        <v>0</v>
      </c>
      <c r="AN1259" s="31">
        <f>VLOOKUP($A1259,kurspris!$A$1:$Q$835,13,FALSE)</f>
        <v>0</v>
      </c>
      <c r="AO1259" s="31">
        <f>VLOOKUP($A1259,kurspris!$A$1:$Q$835,14,FALSE)</f>
        <v>0</v>
      </c>
      <c r="AP1259" s="39" t="s">
        <v>2204</v>
      </c>
      <c r="AQ1259" s="39" t="s">
        <v>2095</v>
      </c>
      <c r="AR1259" s="31">
        <f t="shared" si="669"/>
        <v>0</v>
      </c>
      <c r="AS1259" s="255">
        <f t="shared" si="670"/>
        <v>0</v>
      </c>
      <c r="AT1259" s="31">
        <f t="shared" si="671"/>
        <v>0</v>
      </c>
      <c r="AU1259" s="255">
        <f t="shared" si="672"/>
        <v>0</v>
      </c>
      <c r="AV1259" s="31">
        <f t="shared" si="673"/>
        <v>0</v>
      </c>
      <c r="AW1259" s="31">
        <f t="shared" si="674"/>
        <v>0</v>
      </c>
      <c r="AX1259" s="31">
        <f t="shared" si="675"/>
        <v>0</v>
      </c>
      <c r="AY1259" s="255">
        <f t="shared" si="676"/>
        <v>0</v>
      </c>
      <c r="AZ1259" s="232">
        <f t="shared" si="677"/>
        <v>0</v>
      </c>
      <c r="BA1259" s="255">
        <f t="shared" si="678"/>
        <v>0</v>
      </c>
      <c r="BB1259" s="31">
        <f t="shared" si="679"/>
        <v>0</v>
      </c>
      <c r="BC1259" s="255">
        <f t="shared" si="680"/>
        <v>0</v>
      </c>
      <c r="BD1259" s="31">
        <f t="shared" si="681"/>
        <v>0</v>
      </c>
      <c r="BE1259" s="255">
        <f t="shared" si="682"/>
        <v>0</v>
      </c>
      <c r="BF1259" s="31">
        <f t="shared" si="683"/>
        <v>2.75</v>
      </c>
      <c r="BG1259" s="255">
        <f t="shared" si="684"/>
        <v>2.2000000000000002</v>
      </c>
      <c r="BH1259" s="31">
        <f t="shared" si="685"/>
        <v>0</v>
      </c>
      <c r="BI1259" s="255">
        <f t="shared" si="686"/>
        <v>0</v>
      </c>
      <c r="BJ1259" s="31">
        <f t="shared" si="687"/>
        <v>0</v>
      </c>
      <c r="BK1259" s="31">
        <f t="shared" si="688"/>
        <v>0</v>
      </c>
      <c r="BL1259" s="255">
        <f t="shared" si="689"/>
        <v>0</v>
      </c>
      <c r="BM1259" s="31">
        <f t="shared" si="690"/>
        <v>0</v>
      </c>
      <c r="BN1259" s="255">
        <f t="shared" si="691"/>
        <v>0</v>
      </c>
    </row>
    <row r="1260" spans="1:66" x14ac:dyDescent="0.25">
      <c r="A1260" s="18" t="s">
        <v>651</v>
      </c>
      <c r="B1260" s="186" t="str">
        <f>VLOOKUP(A1260,kurspris!$A$1:$B$877,2,FALSE)</f>
        <v>Vävdesign, fördjupning</v>
      </c>
      <c r="C1260" s="37"/>
      <c r="D1260" t="s">
        <v>117</v>
      </c>
      <c r="E1260"/>
      <c r="F1260" s="59" t="s">
        <v>1930</v>
      </c>
      <c r="G1260"/>
      <c r="H1260"/>
      <c r="I1260" t="s">
        <v>2066</v>
      </c>
      <c r="L1260">
        <v>50</v>
      </c>
      <c r="M1260">
        <v>15</v>
      </c>
      <c r="P1260">
        <v>18</v>
      </c>
      <c r="Q1260" s="232">
        <f t="shared" si="664"/>
        <v>4.5</v>
      </c>
      <c r="R1260" s="40">
        <v>0.8</v>
      </c>
      <c r="S1260" s="334">
        <f t="shared" si="665"/>
        <v>3.6</v>
      </c>
      <c r="T1260" s="31">
        <f>VLOOKUP(A1260,'Ansvar kurs'!$A$1:$C$1010,2,FALSE)</f>
        <v>1650</v>
      </c>
      <c r="U1260" s="31" t="str">
        <f>VLOOKUP(T1260,Orgenheter!$A$1:$C$165,2,FALSE)</f>
        <v xml:space="preserve">Estetiska ämnen               </v>
      </c>
      <c r="V1260" s="31" t="str">
        <f>VLOOKUP(T1260,Orgenheter!$A$1:$C$165,3,FALSE)</f>
        <v>Hum</v>
      </c>
      <c r="W1260" s="37" t="str">
        <f>VLOOKUP(D1260,Program!$A$1:$B$34,2,FALSE)</f>
        <v>Fristående och övriga kurser</v>
      </c>
      <c r="X1260" s="42">
        <f>VLOOKUP(A1260,kurspris!$A$1:$Q$798,15,FALSE)</f>
        <v>15846</v>
      </c>
      <c r="Y1260" s="42">
        <f>VLOOKUP(A1260,kurspris!$A$1:$Q$798,16,FALSE)</f>
        <v>26926</v>
      </c>
      <c r="Z1260" s="42">
        <f t="shared" si="666"/>
        <v>168240.6</v>
      </c>
      <c r="AA1260" s="42">
        <f>VLOOKUP(A1260,kurspris!$A$1:$Q$798,17,FALSE)</f>
        <v>17300</v>
      </c>
      <c r="AB1260" s="42">
        <f t="shared" si="667"/>
        <v>77850</v>
      </c>
      <c r="AC1260" s="42">
        <f t="shared" si="668"/>
        <v>246090.6</v>
      </c>
      <c r="AD1260" s="31">
        <f>VLOOKUP($A1260,kurspris!$A$1:$Q$835,3,FALSE)</f>
        <v>0</v>
      </c>
      <c r="AE1260" s="31">
        <f>VLOOKUP($A1260,kurspris!$A$1:$Q$835,4,FALSE)</f>
        <v>0</v>
      </c>
      <c r="AF1260" s="31">
        <f>VLOOKUP($A1260,kurspris!$A$1:$Q$835,5,FALSE)</f>
        <v>0</v>
      </c>
      <c r="AG1260" s="31">
        <f>VLOOKUP($A1260,kurspris!$A$1:$Q$835,6,FALSE)</f>
        <v>0</v>
      </c>
      <c r="AH1260" s="31">
        <f>VLOOKUP($A1260,kurspris!$A$1:$Q$835,7,FALSE)</f>
        <v>0</v>
      </c>
      <c r="AI1260" s="31">
        <f>VLOOKUP($A1260,kurspris!$A$1:$Q$835,8,FALSE)</f>
        <v>0</v>
      </c>
      <c r="AJ1260" s="31">
        <f>VLOOKUP($A1260,kurspris!$A$1:$Q$835,9,FALSE)</f>
        <v>0</v>
      </c>
      <c r="AK1260" s="31">
        <f>VLOOKUP($A1260,kurspris!$A$1:$Q$835,10,FALSE)</f>
        <v>0</v>
      </c>
      <c r="AL1260" s="31">
        <f>VLOOKUP($A1260,kurspris!$A$1:$Q$835,11,FALSE)</f>
        <v>0</v>
      </c>
      <c r="AM1260" s="31">
        <f>VLOOKUP($A1260,kurspris!$A$1:$Q$835,12,FALSE)</f>
        <v>0</v>
      </c>
      <c r="AN1260" s="31">
        <f>VLOOKUP($A1260,kurspris!$A$1:$Q$835,13,FALSE)</f>
        <v>1</v>
      </c>
      <c r="AO1260" s="31">
        <f>VLOOKUP($A1260,kurspris!$A$1:$Q$835,14,FALSE)</f>
        <v>0</v>
      </c>
      <c r="AP1260" s="39" t="s">
        <v>2095</v>
      </c>
      <c r="AQ1260"/>
      <c r="AR1260" s="31">
        <f t="shared" si="669"/>
        <v>0</v>
      </c>
      <c r="AS1260" s="255">
        <f t="shared" si="670"/>
        <v>0</v>
      </c>
      <c r="AT1260" s="31">
        <f t="shared" si="671"/>
        <v>0</v>
      </c>
      <c r="AU1260" s="255">
        <f t="shared" si="672"/>
        <v>0</v>
      </c>
      <c r="AV1260" s="31">
        <f t="shared" si="673"/>
        <v>0</v>
      </c>
      <c r="AW1260" s="31">
        <f t="shared" si="674"/>
        <v>0</v>
      </c>
      <c r="AX1260" s="31">
        <f t="shared" si="675"/>
        <v>0</v>
      </c>
      <c r="AY1260" s="255">
        <f t="shared" si="676"/>
        <v>0</v>
      </c>
      <c r="AZ1260" s="232">
        <f t="shared" si="677"/>
        <v>0</v>
      </c>
      <c r="BA1260" s="255">
        <f t="shared" si="678"/>
        <v>0</v>
      </c>
      <c r="BB1260" s="31">
        <f t="shared" si="679"/>
        <v>0</v>
      </c>
      <c r="BC1260" s="255">
        <f t="shared" si="680"/>
        <v>0</v>
      </c>
      <c r="BD1260" s="31">
        <f t="shared" si="681"/>
        <v>0</v>
      </c>
      <c r="BE1260" s="255">
        <f t="shared" si="682"/>
        <v>0</v>
      </c>
      <c r="BF1260" s="31">
        <f t="shared" si="683"/>
        <v>0</v>
      </c>
      <c r="BG1260" s="255">
        <f t="shared" si="684"/>
        <v>0</v>
      </c>
      <c r="BH1260" s="31">
        <f t="shared" si="685"/>
        <v>0</v>
      </c>
      <c r="BI1260" s="255">
        <f t="shared" si="686"/>
        <v>0</v>
      </c>
      <c r="BJ1260" s="31">
        <f t="shared" si="687"/>
        <v>0</v>
      </c>
      <c r="BK1260" s="31">
        <f t="shared" si="688"/>
        <v>4.5</v>
      </c>
      <c r="BL1260" s="255">
        <f t="shared" si="689"/>
        <v>3.6</v>
      </c>
      <c r="BM1260" s="31">
        <f t="shared" si="690"/>
        <v>0</v>
      </c>
      <c r="BN1260" s="255">
        <f t="shared" si="691"/>
        <v>0</v>
      </c>
    </row>
    <row r="1261" spans="1:66" x14ac:dyDescent="0.25">
      <c r="A1261" s="18" t="s">
        <v>1134</v>
      </c>
      <c r="B1261" s="186" t="str">
        <f>VLOOKUP(A1261,kurspris!$A$1:$B$877,2,FALSE)</f>
        <v>Slöjd textil 1 30 hp, fristående</v>
      </c>
      <c r="C1261" s="37"/>
      <c r="D1261" t="s">
        <v>117</v>
      </c>
      <c r="E1261"/>
      <c r="F1261" s="59" t="s">
        <v>1930</v>
      </c>
      <c r="G1261"/>
      <c r="H1261"/>
      <c r="I1261" t="s">
        <v>1634</v>
      </c>
      <c r="L1261">
        <v>100</v>
      </c>
      <c r="M1261">
        <v>30</v>
      </c>
      <c r="P1261" s="31">
        <v>2</v>
      </c>
      <c r="Q1261" s="232">
        <f t="shared" si="664"/>
        <v>1</v>
      </c>
      <c r="R1261" s="40">
        <v>0.8</v>
      </c>
      <c r="S1261" s="334">
        <f t="shared" si="665"/>
        <v>0.8</v>
      </c>
      <c r="T1261" s="31">
        <f>VLOOKUP(A1261,'Ansvar kurs'!$A$1:$C$1010,2,FALSE)</f>
        <v>1650</v>
      </c>
      <c r="U1261" s="31" t="str">
        <f>VLOOKUP(T1261,Orgenheter!$A$1:$C$165,2,FALSE)</f>
        <v xml:space="preserve">Estetiska ämnen               </v>
      </c>
      <c r="V1261" s="31" t="str">
        <f>VLOOKUP(T1261,Orgenheter!$A$1:$C$165,3,FALSE)</f>
        <v>Hum</v>
      </c>
      <c r="W1261" s="37" t="str">
        <f>VLOOKUP(D1261,Program!$A$1:$B$34,2,FALSE)</f>
        <v>Fristående och övriga kurser</v>
      </c>
      <c r="X1261" s="42">
        <f>VLOOKUP(A1261,kurspris!$A$1:$Q$798,15,FALSE)</f>
        <v>19473</v>
      </c>
      <c r="Y1261" s="42">
        <f>VLOOKUP(A1261,kurspris!$A$1:$Q$798,16,FALSE)</f>
        <v>34806</v>
      </c>
      <c r="Z1261" s="42">
        <f t="shared" si="666"/>
        <v>47317.8</v>
      </c>
      <c r="AA1261" s="42">
        <f>VLOOKUP(A1261,kurspris!$A$1:$Q$798,17,FALSE)</f>
        <v>21800</v>
      </c>
      <c r="AB1261" s="42">
        <f t="shared" si="667"/>
        <v>21800</v>
      </c>
      <c r="AC1261" s="42">
        <f t="shared" si="668"/>
        <v>69117.8</v>
      </c>
      <c r="AD1261" s="31">
        <f>VLOOKUP($A1261,kurspris!$A$1:$Q$835,3,FALSE)</f>
        <v>0</v>
      </c>
      <c r="AE1261" s="31">
        <f>VLOOKUP($A1261,kurspris!$A$1:$Q$835,4,FALSE)</f>
        <v>0</v>
      </c>
      <c r="AF1261" s="31">
        <f>VLOOKUP($A1261,kurspris!$A$1:$Q$835,5,FALSE)</f>
        <v>0</v>
      </c>
      <c r="AG1261" s="31">
        <f>VLOOKUP($A1261,kurspris!$A$1:$Q$835,6,FALSE)</f>
        <v>0</v>
      </c>
      <c r="AH1261" s="31">
        <f>VLOOKUP($A1261,kurspris!$A$1:$Q$835,7,FALSE)</f>
        <v>0</v>
      </c>
      <c r="AI1261" s="31">
        <f>VLOOKUP($A1261,kurspris!$A$1:$Q$835,8,FALSE)</f>
        <v>0</v>
      </c>
      <c r="AJ1261" s="31">
        <f>VLOOKUP($A1261,kurspris!$A$1:$Q$835,9,FALSE)</f>
        <v>0</v>
      </c>
      <c r="AK1261" s="31">
        <f>VLOOKUP($A1261,kurspris!$A$1:$Q$835,10,FALSE)</f>
        <v>1</v>
      </c>
      <c r="AL1261" s="31">
        <f>VLOOKUP($A1261,kurspris!$A$1:$Q$835,11,FALSE)</f>
        <v>0</v>
      </c>
      <c r="AM1261" s="31">
        <f>VLOOKUP($A1261,kurspris!$A$1:$Q$835,12,FALSE)</f>
        <v>0</v>
      </c>
      <c r="AN1261" s="31">
        <f>VLOOKUP($A1261,kurspris!$A$1:$Q$835,13,FALSE)</f>
        <v>0</v>
      </c>
      <c r="AO1261" s="31">
        <f>VLOOKUP($A1261,kurspris!$A$1:$Q$835,14,FALSE)</f>
        <v>0</v>
      </c>
      <c r="AP1261" s="39" t="s">
        <v>2204</v>
      </c>
      <c r="AQ1261" s="39" t="s">
        <v>2095</v>
      </c>
      <c r="AR1261" s="31">
        <f t="shared" si="669"/>
        <v>0</v>
      </c>
      <c r="AS1261" s="255">
        <f t="shared" si="670"/>
        <v>0</v>
      </c>
      <c r="AT1261" s="31">
        <f t="shared" si="671"/>
        <v>0</v>
      </c>
      <c r="AU1261" s="255">
        <f t="shared" si="672"/>
        <v>0</v>
      </c>
      <c r="AV1261" s="31">
        <f t="shared" si="673"/>
        <v>0</v>
      </c>
      <c r="AW1261" s="31">
        <f t="shared" si="674"/>
        <v>0</v>
      </c>
      <c r="AX1261" s="31">
        <f t="shared" si="675"/>
        <v>0</v>
      </c>
      <c r="AY1261" s="255">
        <f t="shared" si="676"/>
        <v>0</v>
      </c>
      <c r="AZ1261" s="232">
        <f t="shared" si="677"/>
        <v>0</v>
      </c>
      <c r="BA1261" s="255">
        <f t="shared" si="678"/>
        <v>0</v>
      </c>
      <c r="BB1261" s="31">
        <f t="shared" si="679"/>
        <v>0</v>
      </c>
      <c r="BC1261" s="255">
        <f t="shared" si="680"/>
        <v>0</v>
      </c>
      <c r="BD1261" s="31">
        <f t="shared" si="681"/>
        <v>0</v>
      </c>
      <c r="BE1261" s="255">
        <f t="shared" si="682"/>
        <v>0</v>
      </c>
      <c r="BF1261" s="31">
        <f t="shared" si="683"/>
        <v>1</v>
      </c>
      <c r="BG1261" s="255">
        <f t="shared" si="684"/>
        <v>0.8</v>
      </c>
      <c r="BH1261" s="31">
        <f t="shared" si="685"/>
        <v>0</v>
      </c>
      <c r="BI1261" s="255">
        <f t="shared" si="686"/>
        <v>0</v>
      </c>
      <c r="BJ1261" s="31">
        <f t="shared" si="687"/>
        <v>0</v>
      </c>
      <c r="BK1261" s="31">
        <f t="shared" si="688"/>
        <v>0</v>
      </c>
      <c r="BL1261" s="255">
        <f t="shared" si="689"/>
        <v>0</v>
      </c>
      <c r="BM1261" s="31">
        <f t="shared" si="690"/>
        <v>0</v>
      </c>
      <c r="BN1261" s="255">
        <f t="shared" si="691"/>
        <v>0</v>
      </c>
    </row>
    <row r="1262" spans="1:66" x14ac:dyDescent="0.25">
      <c r="A1262" s="18" t="s">
        <v>1134</v>
      </c>
      <c r="B1262" s="186" t="str">
        <f>VLOOKUP(A1262,kurspris!$A$1:$B$877,2,FALSE)</f>
        <v>Slöjd textil 1 30 hp, fristående</v>
      </c>
      <c r="C1262" s="37"/>
      <c r="D1262" t="s">
        <v>117</v>
      </c>
      <c r="E1262"/>
      <c r="F1262" s="59" t="s">
        <v>1931</v>
      </c>
      <c r="G1262"/>
      <c r="H1262"/>
      <c r="I1262" t="s">
        <v>1634</v>
      </c>
      <c r="L1262">
        <v>100</v>
      </c>
      <c r="M1262">
        <v>30</v>
      </c>
      <c r="P1262">
        <v>3</v>
      </c>
      <c r="Q1262" s="232">
        <f t="shared" si="664"/>
        <v>1.5</v>
      </c>
      <c r="R1262" s="40">
        <v>0.8</v>
      </c>
      <c r="S1262" s="334">
        <f t="shared" si="665"/>
        <v>1.2000000000000002</v>
      </c>
      <c r="T1262" s="31">
        <f>VLOOKUP(A1262,'Ansvar kurs'!$A$1:$C$1010,2,FALSE)</f>
        <v>1650</v>
      </c>
      <c r="U1262" s="31" t="str">
        <f>VLOOKUP(T1262,Orgenheter!$A$1:$C$165,2,FALSE)</f>
        <v xml:space="preserve">Estetiska ämnen               </v>
      </c>
      <c r="V1262" s="31" t="str">
        <f>VLOOKUP(T1262,Orgenheter!$A$1:$C$165,3,FALSE)</f>
        <v>Hum</v>
      </c>
      <c r="W1262" s="37" t="str">
        <f>VLOOKUP(D1262,Program!$A$1:$B$34,2,FALSE)</f>
        <v>Fristående och övriga kurser</v>
      </c>
      <c r="X1262" s="42">
        <f>VLOOKUP(A1262,kurspris!$A$1:$Q$798,15,FALSE)</f>
        <v>19473</v>
      </c>
      <c r="Y1262" s="42">
        <f>VLOOKUP(A1262,kurspris!$A$1:$Q$798,16,FALSE)</f>
        <v>34806</v>
      </c>
      <c r="Z1262" s="42">
        <f t="shared" si="666"/>
        <v>70976.700000000012</v>
      </c>
      <c r="AA1262" s="42">
        <f>VLOOKUP(A1262,kurspris!$A$1:$Q$798,17,FALSE)</f>
        <v>21800</v>
      </c>
      <c r="AB1262" s="42">
        <f t="shared" si="667"/>
        <v>32700</v>
      </c>
      <c r="AC1262" s="42">
        <f t="shared" si="668"/>
        <v>103676.70000000001</v>
      </c>
      <c r="AD1262" s="31">
        <f>VLOOKUP($A1262,kurspris!$A$1:$Q$835,3,FALSE)</f>
        <v>0</v>
      </c>
      <c r="AE1262" s="31">
        <f>VLOOKUP($A1262,kurspris!$A$1:$Q$835,4,FALSE)</f>
        <v>0</v>
      </c>
      <c r="AF1262" s="31">
        <f>VLOOKUP($A1262,kurspris!$A$1:$Q$835,5,FALSE)</f>
        <v>0</v>
      </c>
      <c r="AG1262" s="31">
        <f>VLOOKUP($A1262,kurspris!$A$1:$Q$835,6,FALSE)</f>
        <v>0</v>
      </c>
      <c r="AH1262" s="31">
        <f>VLOOKUP($A1262,kurspris!$A$1:$Q$835,7,FALSE)</f>
        <v>0</v>
      </c>
      <c r="AI1262" s="31">
        <f>VLOOKUP($A1262,kurspris!$A$1:$Q$835,8,FALSE)</f>
        <v>0</v>
      </c>
      <c r="AJ1262" s="31">
        <f>VLOOKUP($A1262,kurspris!$A$1:$Q$835,9,FALSE)</f>
        <v>0</v>
      </c>
      <c r="AK1262" s="31">
        <f>VLOOKUP($A1262,kurspris!$A$1:$Q$835,10,FALSE)</f>
        <v>1</v>
      </c>
      <c r="AL1262" s="31">
        <f>VLOOKUP($A1262,kurspris!$A$1:$Q$835,11,FALSE)</f>
        <v>0</v>
      </c>
      <c r="AM1262" s="31">
        <f>VLOOKUP($A1262,kurspris!$A$1:$Q$835,12,FALSE)</f>
        <v>0</v>
      </c>
      <c r="AN1262" s="31">
        <f>VLOOKUP($A1262,kurspris!$A$1:$Q$835,13,FALSE)</f>
        <v>0</v>
      </c>
      <c r="AO1262" s="31">
        <f>VLOOKUP($A1262,kurspris!$A$1:$Q$835,14,FALSE)</f>
        <v>0</v>
      </c>
      <c r="AP1262" s="39" t="s">
        <v>2095</v>
      </c>
      <c r="AQ1262"/>
      <c r="AR1262" s="31">
        <f t="shared" si="669"/>
        <v>0</v>
      </c>
      <c r="AS1262" s="255">
        <f t="shared" si="670"/>
        <v>0</v>
      </c>
      <c r="AT1262" s="31">
        <f t="shared" si="671"/>
        <v>0</v>
      </c>
      <c r="AU1262" s="255">
        <f t="shared" si="672"/>
        <v>0</v>
      </c>
      <c r="AV1262" s="31">
        <f t="shared" si="673"/>
        <v>0</v>
      </c>
      <c r="AW1262" s="31">
        <f t="shared" si="674"/>
        <v>0</v>
      </c>
      <c r="AX1262" s="31">
        <f t="shared" si="675"/>
        <v>0</v>
      </c>
      <c r="AY1262" s="255">
        <f t="shared" si="676"/>
        <v>0</v>
      </c>
      <c r="AZ1262" s="232">
        <f t="shared" si="677"/>
        <v>0</v>
      </c>
      <c r="BA1262" s="255">
        <f t="shared" si="678"/>
        <v>0</v>
      </c>
      <c r="BB1262" s="31">
        <f t="shared" si="679"/>
        <v>0</v>
      </c>
      <c r="BC1262" s="255">
        <f t="shared" si="680"/>
        <v>0</v>
      </c>
      <c r="BD1262" s="31">
        <f t="shared" si="681"/>
        <v>0</v>
      </c>
      <c r="BE1262" s="255">
        <f t="shared" si="682"/>
        <v>0</v>
      </c>
      <c r="BF1262" s="31">
        <f t="shared" si="683"/>
        <v>1.5</v>
      </c>
      <c r="BG1262" s="255">
        <f t="shared" si="684"/>
        <v>1.2000000000000002</v>
      </c>
      <c r="BH1262" s="31">
        <f t="shared" si="685"/>
        <v>0</v>
      </c>
      <c r="BI1262" s="255">
        <f t="shared" si="686"/>
        <v>0</v>
      </c>
      <c r="BJ1262" s="31">
        <f t="shared" si="687"/>
        <v>0</v>
      </c>
      <c r="BK1262" s="31">
        <f t="shared" si="688"/>
        <v>0</v>
      </c>
      <c r="BL1262" s="255">
        <f t="shared" si="689"/>
        <v>0</v>
      </c>
      <c r="BM1262" s="31">
        <f t="shared" si="690"/>
        <v>0</v>
      </c>
      <c r="BN1262" s="255">
        <f t="shared" si="691"/>
        <v>0</v>
      </c>
    </row>
    <row r="1263" spans="1:66" x14ac:dyDescent="0.25">
      <c r="A1263" s="487" t="s">
        <v>2213</v>
      </c>
      <c r="B1263" s="186" t="str">
        <f>VLOOKUP(A1263,kurspris!$A$1:$B$877,2,FALSE)</f>
        <v>Textila uttryck</v>
      </c>
      <c r="C1263" s="37"/>
      <c r="D1263" t="s">
        <v>117</v>
      </c>
      <c r="E1263"/>
      <c r="F1263" s="59" t="s">
        <v>1930</v>
      </c>
      <c r="G1263"/>
      <c r="H1263"/>
      <c r="I1263" t="s">
        <v>2066</v>
      </c>
      <c r="L1263">
        <v>50</v>
      </c>
      <c r="M1263" s="295">
        <v>15</v>
      </c>
      <c r="P1263" s="31">
        <v>18</v>
      </c>
      <c r="Q1263" s="232">
        <f t="shared" si="664"/>
        <v>4.5</v>
      </c>
      <c r="R1263" s="40">
        <v>0.8</v>
      </c>
      <c r="S1263" s="334">
        <f t="shared" si="665"/>
        <v>3.6</v>
      </c>
      <c r="T1263" s="31">
        <f>VLOOKUP(A1263,'Ansvar kurs'!$A$1:$C$1010,2,FALSE)</f>
        <v>1650</v>
      </c>
      <c r="U1263" s="31" t="str">
        <f>VLOOKUP(T1263,Orgenheter!$A$1:$C$165,2,FALSE)</f>
        <v xml:space="preserve">Estetiska ämnen               </v>
      </c>
      <c r="V1263" s="31" t="str">
        <f>VLOOKUP(T1263,Orgenheter!$A$1:$C$165,3,FALSE)</f>
        <v>Hum</v>
      </c>
      <c r="W1263" s="37" t="str">
        <f>VLOOKUP(D1263,Program!$A$1:$B$34,2,FALSE)</f>
        <v>Fristående och övriga kurser</v>
      </c>
      <c r="X1263" s="42">
        <f>VLOOKUP(A1263,kurspris!$A$1:$Q$798,15,FALSE)</f>
        <v>19473</v>
      </c>
      <c r="Y1263" s="42">
        <f>VLOOKUP(A1263,kurspris!$A$1:$Q$798,16,FALSE)</f>
        <v>34806</v>
      </c>
      <c r="Z1263" s="42">
        <f t="shared" si="666"/>
        <v>212930.1</v>
      </c>
      <c r="AA1263" s="42">
        <f>VLOOKUP(A1263,kurspris!$A$1:$Q$798,17,FALSE)</f>
        <v>21800</v>
      </c>
      <c r="AB1263" s="42">
        <f t="shared" si="667"/>
        <v>98100</v>
      </c>
      <c r="AC1263" s="42">
        <f t="shared" si="668"/>
        <v>311030.09999999998</v>
      </c>
      <c r="AD1263" s="31">
        <f>VLOOKUP($A1263,kurspris!$A$1:$Q$835,3,FALSE)</f>
        <v>0</v>
      </c>
      <c r="AE1263" s="31">
        <f>VLOOKUP($A1263,kurspris!$A$1:$Q$835,4,FALSE)</f>
        <v>0</v>
      </c>
      <c r="AF1263" s="31">
        <f>VLOOKUP($A1263,kurspris!$A$1:$Q$835,5,FALSE)</f>
        <v>0</v>
      </c>
      <c r="AG1263" s="31">
        <f>VLOOKUP($A1263,kurspris!$A$1:$Q$835,6,FALSE)</f>
        <v>0</v>
      </c>
      <c r="AH1263" s="31">
        <f>VLOOKUP($A1263,kurspris!$A$1:$Q$835,7,FALSE)</f>
        <v>0</v>
      </c>
      <c r="AI1263" s="31">
        <f>VLOOKUP($A1263,kurspris!$A$1:$Q$835,8,FALSE)</f>
        <v>0</v>
      </c>
      <c r="AJ1263" s="31">
        <f>VLOOKUP($A1263,kurspris!$A$1:$Q$835,9,FALSE)</f>
        <v>0</v>
      </c>
      <c r="AK1263" s="31">
        <f>VLOOKUP($A1263,kurspris!$A$1:$Q$835,10,FALSE)</f>
        <v>1</v>
      </c>
      <c r="AL1263" s="31">
        <f>VLOOKUP($A1263,kurspris!$A$1:$Q$835,11,FALSE)</f>
        <v>0</v>
      </c>
      <c r="AM1263" s="31">
        <f>VLOOKUP($A1263,kurspris!$A$1:$Q$835,12,FALSE)</f>
        <v>0</v>
      </c>
      <c r="AN1263" s="31">
        <f>VLOOKUP($A1263,kurspris!$A$1:$Q$835,13,FALSE)</f>
        <v>0</v>
      </c>
      <c r="AO1263" s="31">
        <f>VLOOKUP($A1263,kurspris!$A$1:$Q$835,14,FALSE)</f>
        <v>0</v>
      </c>
      <c r="AP1263" s="39" t="s">
        <v>2204</v>
      </c>
      <c r="AQ1263"/>
      <c r="AR1263" s="31">
        <f t="shared" si="669"/>
        <v>0</v>
      </c>
      <c r="AS1263" s="255">
        <f t="shared" si="670"/>
        <v>0</v>
      </c>
      <c r="AT1263" s="31">
        <f t="shared" si="671"/>
        <v>0</v>
      </c>
      <c r="AU1263" s="255">
        <f t="shared" si="672"/>
        <v>0</v>
      </c>
      <c r="AV1263" s="31">
        <f t="shared" si="673"/>
        <v>0</v>
      </c>
      <c r="AW1263" s="31">
        <f t="shared" si="674"/>
        <v>0</v>
      </c>
      <c r="AX1263" s="31">
        <f t="shared" si="675"/>
        <v>0</v>
      </c>
      <c r="AY1263" s="255">
        <f t="shared" si="676"/>
        <v>0</v>
      </c>
      <c r="AZ1263" s="232">
        <f t="shared" si="677"/>
        <v>0</v>
      </c>
      <c r="BA1263" s="255">
        <f t="shared" si="678"/>
        <v>0</v>
      </c>
      <c r="BB1263" s="31">
        <f t="shared" si="679"/>
        <v>0</v>
      </c>
      <c r="BC1263" s="255">
        <f t="shared" si="680"/>
        <v>0</v>
      </c>
      <c r="BD1263" s="31">
        <f t="shared" si="681"/>
        <v>0</v>
      </c>
      <c r="BE1263" s="255">
        <f t="shared" si="682"/>
        <v>0</v>
      </c>
      <c r="BF1263" s="31">
        <f t="shared" si="683"/>
        <v>4.5</v>
      </c>
      <c r="BG1263" s="255">
        <f t="shared" si="684"/>
        <v>3.6</v>
      </c>
      <c r="BH1263" s="31">
        <f t="shared" si="685"/>
        <v>0</v>
      </c>
      <c r="BI1263" s="255">
        <f t="shared" si="686"/>
        <v>0</v>
      </c>
      <c r="BJ1263" s="31">
        <f t="shared" si="687"/>
        <v>0</v>
      </c>
      <c r="BK1263" s="31">
        <f t="shared" si="688"/>
        <v>0</v>
      </c>
      <c r="BL1263" s="255">
        <f t="shared" si="689"/>
        <v>0</v>
      </c>
      <c r="BM1263" s="31">
        <f t="shared" si="690"/>
        <v>0</v>
      </c>
      <c r="BN1263" s="255">
        <f t="shared" si="691"/>
        <v>0</v>
      </c>
    </row>
    <row r="1264" spans="1:66" x14ac:dyDescent="0.25">
      <c r="A1264" s="18" t="s">
        <v>1770</v>
      </c>
      <c r="B1264" s="186" t="str">
        <f>VLOOKUP(A1264,kurspris!$A$1:$B$877,2,FALSE)</f>
        <v>Slöjd 1, textil</v>
      </c>
      <c r="C1264" s="37"/>
      <c r="D1264" t="s">
        <v>117</v>
      </c>
      <c r="E1264"/>
      <c r="F1264" s="59" t="s">
        <v>1930</v>
      </c>
      <c r="G1264"/>
      <c r="H1264"/>
      <c r="I1264" t="s">
        <v>2066</v>
      </c>
      <c r="L1264">
        <v>50</v>
      </c>
      <c r="M1264" s="295">
        <v>15</v>
      </c>
      <c r="P1264" s="31">
        <v>32</v>
      </c>
      <c r="Q1264" s="232">
        <f t="shared" si="664"/>
        <v>8</v>
      </c>
      <c r="R1264" s="40">
        <v>0.8</v>
      </c>
      <c r="S1264" s="334">
        <f t="shared" si="665"/>
        <v>6.4</v>
      </c>
      <c r="T1264" s="31">
        <f>VLOOKUP(A1264,'Ansvar kurs'!$A$1:$C$1010,2,FALSE)</f>
        <v>1650</v>
      </c>
      <c r="U1264" s="31" t="str">
        <f>VLOOKUP(T1264,Orgenheter!$A$1:$C$165,2,FALSE)</f>
        <v xml:space="preserve">Estetiska ämnen               </v>
      </c>
      <c r="V1264" s="31" t="str">
        <f>VLOOKUP(T1264,Orgenheter!$A$1:$C$165,3,FALSE)</f>
        <v>Hum</v>
      </c>
      <c r="W1264" s="37" t="str">
        <f>VLOOKUP(D1264,Program!$A$1:$B$34,2,FALSE)</f>
        <v>Fristående och övriga kurser</v>
      </c>
      <c r="X1264" s="42">
        <f>VLOOKUP(A1264,kurspris!$A$1:$Q$798,15,FALSE)</f>
        <v>19473</v>
      </c>
      <c r="Y1264" s="42">
        <f>VLOOKUP(A1264,kurspris!$A$1:$Q$798,16,FALSE)</f>
        <v>34806</v>
      </c>
      <c r="Z1264" s="42">
        <f t="shared" si="666"/>
        <v>378542.4</v>
      </c>
      <c r="AA1264" s="42">
        <f>VLOOKUP(A1264,kurspris!$A$1:$Q$798,17,FALSE)</f>
        <v>21800</v>
      </c>
      <c r="AB1264" s="42">
        <f t="shared" si="667"/>
        <v>174400</v>
      </c>
      <c r="AC1264" s="42">
        <f t="shared" si="668"/>
        <v>552942.4</v>
      </c>
      <c r="AD1264" s="31">
        <f>VLOOKUP($A1264,kurspris!$A$1:$Q$835,3,FALSE)</f>
        <v>0</v>
      </c>
      <c r="AE1264" s="31">
        <f>VLOOKUP($A1264,kurspris!$A$1:$Q$835,4,FALSE)</f>
        <v>0</v>
      </c>
      <c r="AF1264" s="31">
        <f>VLOOKUP($A1264,kurspris!$A$1:$Q$835,5,FALSE)</f>
        <v>0</v>
      </c>
      <c r="AG1264" s="31">
        <f>VLOOKUP($A1264,kurspris!$A$1:$Q$835,6,FALSE)</f>
        <v>0</v>
      </c>
      <c r="AH1264" s="31">
        <f>VLOOKUP($A1264,kurspris!$A$1:$Q$835,7,FALSE)</f>
        <v>0</v>
      </c>
      <c r="AI1264" s="31">
        <f>VLOOKUP($A1264,kurspris!$A$1:$Q$835,8,FALSE)</f>
        <v>0</v>
      </c>
      <c r="AJ1264" s="31">
        <f>VLOOKUP($A1264,kurspris!$A$1:$Q$835,9,FALSE)</f>
        <v>0</v>
      </c>
      <c r="AK1264" s="31">
        <f>VLOOKUP($A1264,kurspris!$A$1:$Q$835,10,FALSE)</f>
        <v>1</v>
      </c>
      <c r="AL1264" s="31">
        <f>VLOOKUP($A1264,kurspris!$A$1:$Q$835,11,FALSE)</f>
        <v>0</v>
      </c>
      <c r="AM1264" s="31">
        <f>VLOOKUP($A1264,kurspris!$A$1:$Q$835,12,FALSE)</f>
        <v>0</v>
      </c>
      <c r="AN1264" s="31">
        <f>VLOOKUP($A1264,kurspris!$A$1:$Q$835,13,FALSE)</f>
        <v>0</v>
      </c>
      <c r="AO1264" s="31">
        <f>VLOOKUP($A1264,kurspris!$A$1:$Q$835,14,FALSE)</f>
        <v>0</v>
      </c>
      <c r="AP1264" s="39" t="s">
        <v>2204</v>
      </c>
      <c r="AQ1264"/>
      <c r="AR1264" s="31">
        <f t="shared" si="669"/>
        <v>0</v>
      </c>
      <c r="AS1264" s="255">
        <f t="shared" si="670"/>
        <v>0</v>
      </c>
      <c r="AT1264" s="31">
        <f t="shared" si="671"/>
        <v>0</v>
      </c>
      <c r="AU1264" s="255">
        <f t="shared" si="672"/>
        <v>0</v>
      </c>
      <c r="AV1264" s="31">
        <f t="shared" si="673"/>
        <v>0</v>
      </c>
      <c r="AW1264" s="31">
        <f t="shared" si="674"/>
        <v>0</v>
      </c>
      <c r="AX1264" s="31">
        <f t="shared" si="675"/>
        <v>0</v>
      </c>
      <c r="AY1264" s="255">
        <f t="shared" si="676"/>
        <v>0</v>
      </c>
      <c r="AZ1264" s="232">
        <f t="shared" si="677"/>
        <v>0</v>
      </c>
      <c r="BA1264" s="255">
        <f t="shared" si="678"/>
        <v>0</v>
      </c>
      <c r="BB1264" s="31">
        <f t="shared" si="679"/>
        <v>0</v>
      </c>
      <c r="BC1264" s="255">
        <f t="shared" si="680"/>
        <v>0</v>
      </c>
      <c r="BD1264" s="31">
        <f t="shared" si="681"/>
        <v>0</v>
      </c>
      <c r="BE1264" s="255">
        <f t="shared" si="682"/>
        <v>0</v>
      </c>
      <c r="BF1264" s="31">
        <f t="shared" si="683"/>
        <v>8</v>
      </c>
      <c r="BG1264" s="255">
        <f t="shared" si="684"/>
        <v>6.4</v>
      </c>
      <c r="BH1264" s="31">
        <f t="shared" si="685"/>
        <v>0</v>
      </c>
      <c r="BI1264" s="255">
        <f t="shared" si="686"/>
        <v>0</v>
      </c>
      <c r="BJ1264" s="31">
        <f t="shared" si="687"/>
        <v>0</v>
      </c>
      <c r="BK1264" s="31">
        <f t="shared" si="688"/>
        <v>0</v>
      </c>
      <c r="BL1264" s="255">
        <f t="shared" si="689"/>
        <v>0</v>
      </c>
      <c r="BM1264" s="31">
        <f t="shared" si="690"/>
        <v>0</v>
      </c>
      <c r="BN1264" s="255">
        <f t="shared" si="691"/>
        <v>0</v>
      </c>
    </row>
    <row r="1265" spans="1:68" x14ac:dyDescent="0.25">
      <c r="A1265" s="18" t="s">
        <v>1770</v>
      </c>
      <c r="B1265" s="186" t="str">
        <f>VLOOKUP(A1265,kurspris!$A$1:$B$877,2,FALSE)</f>
        <v>Slöjd 1, textil</v>
      </c>
      <c r="C1265" s="37"/>
      <c r="D1265" t="s">
        <v>117</v>
      </c>
      <c r="E1265"/>
      <c r="F1265" s="59" t="s">
        <v>1931</v>
      </c>
      <c r="G1265"/>
      <c r="H1265"/>
      <c r="I1265" t="s">
        <v>2066</v>
      </c>
      <c r="L1265">
        <v>50</v>
      </c>
      <c r="M1265" s="295">
        <v>15</v>
      </c>
      <c r="P1265">
        <v>38</v>
      </c>
      <c r="Q1265" s="232">
        <f t="shared" si="664"/>
        <v>9.5</v>
      </c>
      <c r="R1265" s="40">
        <v>0.8</v>
      </c>
      <c r="S1265" s="334">
        <f t="shared" si="665"/>
        <v>7.6000000000000005</v>
      </c>
      <c r="T1265" s="31">
        <f>VLOOKUP(A1265,'Ansvar kurs'!$A$1:$C$1010,2,FALSE)</f>
        <v>1650</v>
      </c>
      <c r="U1265" s="31" t="str">
        <f>VLOOKUP(T1265,Orgenheter!$A$1:$C$165,2,FALSE)</f>
        <v xml:space="preserve">Estetiska ämnen               </v>
      </c>
      <c r="V1265" s="31" t="str">
        <f>VLOOKUP(T1265,Orgenheter!$A$1:$C$165,3,FALSE)</f>
        <v>Hum</v>
      </c>
      <c r="W1265" s="37" t="str">
        <f>VLOOKUP(D1265,Program!$A$1:$B$34,2,FALSE)</f>
        <v>Fristående och övriga kurser</v>
      </c>
      <c r="X1265" s="42">
        <f>VLOOKUP(A1265,kurspris!$A$1:$Q$798,15,FALSE)</f>
        <v>19473</v>
      </c>
      <c r="Y1265" s="42">
        <f>VLOOKUP(A1265,kurspris!$A$1:$Q$798,16,FALSE)</f>
        <v>34806</v>
      </c>
      <c r="Z1265" s="42">
        <f t="shared" si="666"/>
        <v>449519.10000000003</v>
      </c>
      <c r="AA1265" s="42">
        <f>VLOOKUP(A1265,kurspris!$A$1:$Q$798,17,FALSE)</f>
        <v>21800</v>
      </c>
      <c r="AB1265" s="42">
        <f t="shared" si="667"/>
        <v>207100</v>
      </c>
      <c r="AC1265" s="42">
        <f t="shared" si="668"/>
        <v>656619.10000000009</v>
      </c>
      <c r="AD1265" s="31">
        <f>VLOOKUP($A1265,kurspris!$A$1:$Q$835,3,FALSE)</f>
        <v>0</v>
      </c>
      <c r="AE1265" s="31">
        <f>VLOOKUP($A1265,kurspris!$A$1:$Q$835,4,FALSE)</f>
        <v>0</v>
      </c>
      <c r="AF1265" s="31">
        <f>VLOOKUP($A1265,kurspris!$A$1:$Q$835,5,FALSE)</f>
        <v>0</v>
      </c>
      <c r="AG1265" s="31">
        <f>VLOOKUP($A1265,kurspris!$A$1:$Q$835,6,FALSE)</f>
        <v>0</v>
      </c>
      <c r="AH1265" s="31">
        <f>VLOOKUP($A1265,kurspris!$A$1:$Q$835,7,FALSE)</f>
        <v>0</v>
      </c>
      <c r="AI1265" s="31">
        <f>VLOOKUP($A1265,kurspris!$A$1:$Q$835,8,FALSE)</f>
        <v>0</v>
      </c>
      <c r="AJ1265" s="31">
        <f>VLOOKUP($A1265,kurspris!$A$1:$Q$835,9,FALSE)</f>
        <v>0</v>
      </c>
      <c r="AK1265" s="31">
        <f>VLOOKUP($A1265,kurspris!$A$1:$Q$835,10,FALSE)</f>
        <v>1</v>
      </c>
      <c r="AL1265" s="31">
        <f>VLOOKUP($A1265,kurspris!$A$1:$Q$835,11,FALSE)</f>
        <v>0</v>
      </c>
      <c r="AM1265" s="31">
        <f>VLOOKUP($A1265,kurspris!$A$1:$Q$835,12,FALSE)</f>
        <v>0</v>
      </c>
      <c r="AN1265" s="31">
        <f>VLOOKUP($A1265,kurspris!$A$1:$Q$835,13,FALSE)</f>
        <v>0</v>
      </c>
      <c r="AO1265" s="31">
        <f>VLOOKUP($A1265,kurspris!$A$1:$Q$835,14,FALSE)</f>
        <v>0</v>
      </c>
      <c r="AP1265" s="39" t="s">
        <v>2095</v>
      </c>
      <c r="AQ1265"/>
      <c r="AR1265" s="31">
        <f t="shared" si="669"/>
        <v>0</v>
      </c>
      <c r="AS1265" s="255">
        <f t="shared" si="670"/>
        <v>0</v>
      </c>
      <c r="AT1265" s="31">
        <f t="shared" si="671"/>
        <v>0</v>
      </c>
      <c r="AU1265" s="255">
        <f t="shared" si="672"/>
        <v>0</v>
      </c>
      <c r="AV1265" s="31">
        <f t="shared" si="673"/>
        <v>0</v>
      </c>
      <c r="AW1265" s="31">
        <f t="shared" si="674"/>
        <v>0</v>
      </c>
      <c r="AX1265" s="31">
        <f t="shared" si="675"/>
        <v>0</v>
      </c>
      <c r="AY1265" s="255">
        <f t="shared" si="676"/>
        <v>0</v>
      </c>
      <c r="AZ1265" s="232">
        <f t="shared" si="677"/>
        <v>0</v>
      </c>
      <c r="BA1265" s="255">
        <f t="shared" si="678"/>
        <v>0</v>
      </c>
      <c r="BB1265" s="31">
        <f t="shared" si="679"/>
        <v>0</v>
      </c>
      <c r="BC1265" s="255">
        <f t="shared" si="680"/>
        <v>0</v>
      </c>
      <c r="BD1265" s="31">
        <f t="shared" si="681"/>
        <v>0</v>
      </c>
      <c r="BE1265" s="255">
        <f t="shared" si="682"/>
        <v>0</v>
      </c>
      <c r="BF1265" s="31">
        <f t="shared" si="683"/>
        <v>9.5</v>
      </c>
      <c r="BG1265" s="255">
        <f t="shared" si="684"/>
        <v>7.6000000000000005</v>
      </c>
      <c r="BH1265" s="31">
        <f t="shared" si="685"/>
        <v>0</v>
      </c>
      <c r="BI1265" s="255">
        <f t="shared" si="686"/>
        <v>0</v>
      </c>
      <c r="BJ1265" s="31">
        <f t="shared" si="687"/>
        <v>0</v>
      </c>
      <c r="BK1265" s="31">
        <f t="shared" si="688"/>
        <v>0</v>
      </c>
      <c r="BL1265" s="255">
        <f t="shared" si="689"/>
        <v>0</v>
      </c>
      <c r="BM1265" s="31">
        <f t="shared" si="690"/>
        <v>0</v>
      </c>
      <c r="BN1265" s="255">
        <f t="shared" si="691"/>
        <v>0</v>
      </c>
    </row>
    <row r="1266" spans="1:68" x14ac:dyDescent="0.25">
      <c r="A1266" s="18" t="s">
        <v>1742</v>
      </c>
      <c r="B1266" s="186" t="str">
        <f>VLOOKUP(A1266,kurspris!$A$1:$B$877,2,FALSE)</f>
        <v>Kläddesign</v>
      </c>
      <c r="C1266" s="37"/>
      <c r="D1266" t="s">
        <v>117</v>
      </c>
      <c r="E1266"/>
      <c r="F1266" s="59" t="s">
        <v>1931</v>
      </c>
      <c r="G1266"/>
      <c r="H1266"/>
      <c r="I1266" t="s">
        <v>2066</v>
      </c>
      <c r="L1266">
        <v>50</v>
      </c>
      <c r="M1266">
        <v>7.5</v>
      </c>
      <c r="P1266">
        <v>16</v>
      </c>
      <c r="Q1266" s="232">
        <f t="shared" si="664"/>
        <v>2</v>
      </c>
      <c r="R1266" s="40">
        <v>0.8</v>
      </c>
      <c r="S1266" s="334">
        <f t="shared" si="665"/>
        <v>1.6</v>
      </c>
      <c r="T1266" s="31">
        <f>VLOOKUP(A1266,'Ansvar kurs'!$A$1:$C$1010,2,FALSE)</f>
        <v>1650</v>
      </c>
      <c r="U1266" s="31" t="str">
        <f>VLOOKUP(T1266,Orgenheter!$A$1:$C$165,2,FALSE)</f>
        <v xml:space="preserve">Estetiska ämnen               </v>
      </c>
      <c r="V1266" s="31" t="str">
        <f>VLOOKUP(T1266,Orgenheter!$A$1:$C$165,3,FALSE)</f>
        <v>Hum</v>
      </c>
      <c r="W1266" s="37" t="str">
        <f>VLOOKUP(D1266,Program!$A$1:$B$34,2,FALSE)</f>
        <v>Fristående och övriga kurser</v>
      </c>
      <c r="X1266" s="42">
        <f>VLOOKUP(A1266,kurspris!$A$1:$Q$798,15,FALSE)</f>
        <v>19473</v>
      </c>
      <c r="Y1266" s="42">
        <f>VLOOKUP(A1266,kurspris!$A$1:$Q$798,16,FALSE)</f>
        <v>34806</v>
      </c>
      <c r="Z1266" s="42">
        <f t="shared" si="666"/>
        <v>94635.6</v>
      </c>
      <c r="AA1266" s="42">
        <f>VLOOKUP(A1266,kurspris!$A$1:$Q$798,17,FALSE)</f>
        <v>21800</v>
      </c>
      <c r="AB1266" s="42">
        <f t="shared" si="667"/>
        <v>43600</v>
      </c>
      <c r="AC1266" s="42">
        <f t="shared" si="668"/>
        <v>138235.6</v>
      </c>
      <c r="AD1266" s="31">
        <f>VLOOKUP($A1266,kurspris!$A$1:$Q$835,3,FALSE)</f>
        <v>0</v>
      </c>
      <c r="AE1266" s="31">
        <f>VLOOKUP($A1266,kurspris!$A$1:$Q$835,4,FALSE)</f>
        <v>0</v>
      </c>
      <c r="AF1266" s="31">
        <f>VLOOKUP($A1266,kurspris!$A$1:$Q$835,5,FALSE)</f>
        <v>0</v>
      </c>
      <c r="AG1266" s="31">
        <f>VLOOKUP($A1266,kurspris!$A$1:$Q$835,6,FALSE)</f>
        <v>0</v>
      </c>
      <c r="AH1266" s="31">
        <f>VLOOKUP($A1266,kurspris!$A$1:$Q$835,7,FALSE)</f>
        <v>0</v>
      </c>
      <c r="AI1266" s="31">
        <f>VLOOKUP($A1266,kurspris!$A$1:$Q$835,8,FALSE)</f>
        <v>0</v>
      </c>
      <c r="AJ1266" s="31">
        <f>VLOOKUP($A1266,kurspris!$A$1:$Q$835,9,FALSE)</f>
        <v>0</v>
      </c>
      <c r="AK1266" s="31">
        <f>VLOOKUP($A1266,kurspris!$A$1:$Q$835,10,FALSE)</f>
        <v>1</v>
      </c>
      <c r="AL1266" s="31">
        <f>VLOOKUP($A1266,kurspris!$A$1:$Q$835,11,FALSE)</f>
        <v>0</v>
      </c>
      <c r="AM1266" s="31">
        <f>VLOOKUP($A1266,kurspris!$A$1:$Q$835,12,FALSE)</f>
        <v>0</v>
      </c>
      <c r="AN1266" s="31">
        <f>VLOOKUP($A1266,kurspris!$A$1:$Q$835,13,FALSE)</f>
        <v>0</v>
      </c>
      <c r="AO1266" s="31">
        <f>VLOOKUP($A1266,kurspris!$A$1:$Q$835,14,FALSE)</f>
        <v>0</v>
      </c>
      <c r="AP1266" s="39" t="s">
        <v>2095</v>
      </c>
      <c r="AQ1266"/>
      <c r="AR1266" s="31">
        <f t="shared" si="669"/>
        <v>0</v>
      </c>
      <c r="AS1266" s="255">
        <f t="shared" si="670"/>
        <v>0</v>
      </c>
      <c r="AT1266" s="31">
        <f t="shared" si="671"/>
        <v>0</v>
      </c>
      <c r="AU1266" s="255">
        <f t="shared" si="672"/>
        <v>0</v>
      </c>
      <c r="AV1266" s="31">
        <f t="shared" si="673"/>
        <v>0</v>
      </c>
      <c r="AW1266" s="31">
        <f t="shared" si="674"/>
        <v>0</v>
      </c>
      <c r="AX1266" s="31">
        <f t="shared" si="675"/>
        <v>0</v>
      </c>
      <c r="AY1266" s="255">
        <f t="shared" si="676"/>
        <v>0</v>
      </c>
      <c r="AZ1266" s="232">
        <f t="shared" si="677"/>
        <v>0</v>
      </c>
      <c r="BA1266" s="255">
        <f t="shared" si="678"/>
        <v>0</v>
      </c>
      <c r="BB1266" s="31">
        <f t="shared" si="679"/>
        <v>0</v>
      </c>
      <c r="BC1266" s="255">
        <f t="shared" si="680"/>
        <v>0</v>
      </c>
      <c r="BD1266" s="31">
        <f t="shared" si="681"/>
        <v>0</v>
      </c>
      <c r="BE1266" s="255">
        <f t="shared" si="682"/>
        <v>0</v>
      </c>
      <c r="BF1266" s="31">
        <f t="shared" si="683"/>
        <v>2</v>
      </c>
      <c r="BG1266" s="255">
        <f t="shared" si="684"/>
        <v>1.6</v>
      </c>
      <c r="BH1266" s="31">
        <f t="shared" si="685"/>
        <v>0</v>
      </c>
      <c r="BI1266" s="255">
        <f t="shared" si="686"/>
        <v>0</v>
      </c>
      <c r="BJ1266" s="31">
        <f t="shared" si="687"/>
        <v>0</v>
      </c>
      <c r="BK1266" s="31">
        <f t="shared" si="688"/>
        <v>0</v>
      </c>
      <c r="BL1266" s="255">
        <f t="shared" si="689"/>
        <v>0</v>
      </c>
      <c r="BM1266" s="31">
        <f t="shared" si="690"/>
        <v>0</v>
      </c>
      <c r="BN1266" s="255">
        <f t="shared" si="691"/>
        <v>0</v>
      </c>
    </row>
    <row r="1267" spans="1:68" x14ac:dyDescent="0.25">
      <c r="A1267" s="18" t="s">
        <v>1741</v>
      </c>
      <c r="B1267" s="186" t="str">
        <f>VLOOKUP(A1267,kurspris!$A$1:$B$877,2,FALSE)</f>
        <v>Vävdesign</v>
      </c>
      <c r="C1267" s="37"/>
      <c r="D1267" t="s">
        <v>117</v>
      </c>
      <c r="E1267"/>
      <c r="F1267" s="59" t="s">
        <v>1931</v>
      </c>
      <c r="G1267"/>
      <c r="H1267"/>
      <c r="I1267" t="s">
        <v>2066</v>
      </c>
      <c r="L1267">
        <v>50</v>
      </c>
      <c r="M1267">
        <v>7.5</v>
      </c>
      <c r="P1267">
        <v>8</v>
      </c>
      <c r="Q1267" s="232">
        <f t="shared" si="664"/>
        <v>1</v>
      </c>
      <c r="R1267" s="40">
        <v>0.8</v>
      </c>
      <c r="S1267" s="334">
        <f t="shared" si="665"/>
        <v>0.8</v>
      </c>
      <c r="T1267" s="31">
        <f>VLOOKUP(A1267,'Ansvar kurs'!$A$1:$C$1010,2,FALSE)</f>
        <v>1650</v>
      </c>
      <c r="U1267" s="31" t="str">
        <f>VLOOKUP(T1267,Orgenheter!$A$1:$C$165,2,FALSE)</f>
        <v xml:space="preserve">Estetiska ämnen               </v>
      </c>
      <c r="V1267" s="31" t="str">
        <f>VLOOKUP(T1267,Orgenheter!$A$1:$C$165,3,FALSE)</f>
        <v>Hum</v>
      </c>
      <c r="W1267" s="37" t="str">
        <f>VLOOKUP(D1267,Program!$A$1:$B$34,2,FALSE)</f>
        <v>Fristående och övriga kurser</v>
      </c>
      <c r="X1267" s="42">
        <f>VLOOKUP(A1267,kurspris!$A$1:$Q$798,15,FALSE)</f>
        <v>19473</v>
      </c>
      <c r="Y1267" s="42">
        <f>VLOOKUP(A1267,kurspris!$A$1:$Q$798,16,FALSE)</f>
        <v>34806</v>
      </c>
      <c r="Z1267" s="42">
        <f t="shared" si="666"/>
        <v>47317.8</v>
      </c>
      <c r="AA1267" s="42">
        <f>VLOOKUP(A1267,kurspris!$A$1:$Q$798,17,FALSE)</f>
        <v>21800</v>
      </c>
      <c r="AB1267" s="42">
        <f t="shared" si="667"/>
        <v>21800</v>
      </c>
      <c r="AC1267" s="42">
        <f t="shared" si="668"/>
        <v>69117.8</v>
      </c>
      <c r="AD1267" s="31">
        <f>VLOOKUP($A1267,kurspris!$A$1:$Q$835,3,FALSE)</f>
        <v>0</v>
      </c>
      <c r="AE1267" s="31">
        <f>VLOOKUP($A1267,kurspris!$A$1:$Q$835,4,FALSE)</f>
        <v>0</v>
      </c>
      <c r="AF1267" s="31">
        <f>VLOOKUP($A1267,kurspris!$A$1:$Q$835,5,FALSE)</f>
        <v>0</v>
      </c>
      <c r="AG1267" s="31">
        <f>VLOOKUP($A1267,kurspris!$A$1:$Q$835,6,FALSE)</f>
        <v>0</v>
      </c>
      <c r="AH1267" s="31">
        <f>VLOOKUP($A1267,kurspris!$A$1:$Q$835,7,FALSE)</f>
        <v>0</v>
      </c>
      <c r="AI1267" s="31">
        <f>VLOOKUP($A1267,kurspris!$A$1:$Q$835,8,FALSE)</f>
        <v>0</v>
      </c>
      <c r="AJ1267" s="31">
        <f>VLOOKUP($A1267,kurspris!$A$1:$Q$835,9,FALSE)</f>
        <v>0</v>
      </c>
      <c r="AK1267" s="31">
        <f>VLOOKUP($A1267,kurspris!$A$1:$Q$835,10,FALSE)</f>
        <v>1</v>
      </c>
      <c r="AL1267" s="31">
        <f>VLOOKUP($A1267,kurspris!$A$1:$Q$835,11,FALSE)</f>
        <v>0</v>
      </c>
      <c r="AM1267" s="31">
        <f>VLOOKUP($A1267,kurspris!$A$1:$Q$835,12,FALSE)</f>
        <v>0</v>
      </c>
      <c r="AN1267" s="31">
        <f>VLOOKUP($A1267,kurspris!$A$1:$Q$835,13,FALSE)</f>
        <v>0</v>
      </c>
      <c r="AO1267" s="31">
        <f>VLOOKUP($A1267,kurspris!$A$1:$Q$835,14,FALSE)</f>
        <v>0</v>
      </c>
      <c r="AP1267" s="39" t="s">
        <v>2095</v>
      </c>
      <c r="AQ1267"/>
      <c r="AR1267" s="31">
        <f t="shared" si="669"/>
        <v>0</v>
      </c>
      <c r="AS1267" s="255">
        <f t="shared" si="670"/>
        <v>0</v>
      </c>
      <c r="AT1267" s="31">
        <f t="shared" si="671"/>
        <v>0</v>
      </c>
      <c r="AU1267" s="255">
        <f t="shared" si="672"/>
        <v>0</v>
      </c>
      <c r="AV1267" s="31">
        <f t="shared" si="673"/>
        <v>0</v>
      </c>
      <c r="AW1267" s="31">
        <f t="shared" si="674"/>
        <v>0</v>
      </c>
      <c r="AX1267" s="31">
        <f t="shared" si="675"/>
        <v>0</v>
      </c>
      <c r="AY1267" s="255">
        <f t="shared" si="676"/>
        <v>0</v>
      </c>
      <c r="AZ1267" s="232">
        <f t="shared" si="677"/>
        <v>0</v>
      </c>
      <c r="BA1267" s="255">
        <f t="shared" si="678"/>
        <v>0</v>
      </c>
      <c r="BB1267" s="31">
        <f t="shared" si="679"/>
        <v>0</v>
      </c>
      <c r="BC1267" s="255">
        <f t="shared" si="680"/>
        <v>0</v>
      </c>
      <c r="BD1267" s="31">
        <f t="shared" si="681"/>
        <v>0</v>
      </c>
      <c r="BE1267" s="255">
        <f t="shared" si="682"/>
        <v>0</v>
      </c>
      <c r="BF1267" s="31">
        <f t="shared" si="683"/>
        <v>1</v>
      </c>
      <c r="BG1267" s="255">
        <f t="shared" si="684"/>
        <v>0.8</v>
      </c>
      <c r="BH1267" s="31">
        <f t="shared" si="685"/>
        <v>0</v>
      </c>
      <c r="BI1267" s="255">
        <f t="shared" si="686"/>
        <v>0</v>
      </c>
      <c r="BJ1267" s="31">
        <f t="shared" si="687"/>
        <v>0</v>
      </c>
      <c r="BK1267" s="31">
        <f t="shared" si="688"/>
        <v>0</v>
      </c>
      <c r="BL1267" s="255">
        <f t="shared" si="689"/>
        <v>0</v>
      </c>
      <c r="BM1267" s="31">
        <f t="shared" si="690"/>
        <v>0</v>
      </c>
      <c r="BN1267" s="255">
        <f t="shared" si="691"/>
        <v>0</v>
      </c>
    </row>
    <row r="1268" spans="1:68" x14ac:dyDescent="0.25">
      <c r="A1268" s="18" t="s">
        <v>1772</v>
      </c>
      <c r="B1268" s="186" t="str">
        <f>VLOOKUP(A1268,kurspris!$A$1:$B$877,2,FALSE)</f>
        <v>Väv- och kläddesign: Estetiska skapandeprocesser</v>
      </c>
      <c r="C1268" s="37"/>
      <c r="D1268" t="s">
        <v>117</v>
      </c>
      <c r="E1268"/>
      <c r="F1268" s="59" t="s">
        <v>1931</v>
      </c>
      <c r="G1268"/>
      <c r="H1268"/>
      <c r="I1268" t="s">
        <v>2066</v>
      </c>
      <c r="L1268">
        <v>50</v>
      </c>
      <c r="M1268">
        <v>7.5</v>
      </c>
      <c r="P1268" s="31">
        <v>15</v>
      </c>
      <c r="Q1268" s="232">
        <f t="shared" si="664"/>
        <v>1.875</v>
      </c>
      <c r="R1268" s="40">
        <v>0.8</v>
      </c>
      <c r="S1268" s="334">
        <f t="shared" si="665"/>
        <v>1.5</v>
      </c>
      <c r="T1268" s="31">
        <f>VLOOKUP(A1268,'Ansvar kurs'!$A$1:$C$1010,2,FALSE)</f>
        <v>1650</v>
      </c>
      <c r="U1268" s="31" t="str">
        <f>VLOOKUP(T1268,Orgenheter!$A$1:$C$165,2,FALSE)</f>
        <v xml:space="preserve">Estetiska ämnen               </v>
      </c>
      <c r="V1268" s="31" t="str">
        <f>VLOOKUP(T1268,Orgenheter!$A$1:$C$165,3,FALSE)</f>
        <v>Hum</v>
      </c>
      <c r="W1268" s="37" t="str">
        <f>VLOOKUP(D1268,Program!$A$1:$B$34,2,FALSE)</f>
        <v>Fristående och övriga kurser</v>
      </c>
      <c r="X1268" s="42">
        <f>VLOOKUP(A1268,kurspris!$A$1:$Q$798,15,FALSE)</f>
        <v>19473</v>
      </c>
      <c r="Y1268" s="42">
        <f>VLOOKUP(A1268,kurspris!$A$1:$Q$798,16,FALSE)</f>
        <v>34806</v>
      </c>
      <c r="Z1268" s="42">
        <f t="shared" si="666"/>
        <v>88720.875</v>
      </c>
      <c r="AA1268" s="42">
        <f>VLOOKUP(A1268,kurspris!$A$1:$Q$798,17,FALSE)</f>
        <v>21800</v>
      </c>
      <c r="AB1268" s="42">
        <f t="shared" si="667"/>
        <v>40875</v>
      </c>
      <c r="AC1268" s="42">
        <f t="shared" si="668"/>
        <v>129595.875</v>
      </c>
      <c r="AD1268" s="31">
        <f>VLOOKUP($A1268,kurspris!$A$1:$Q$835,3,FALSE)</f>
        <v>0</v>
      </c>
      <c r="AE1268" s="31">
        <f>VLOOKUP($A1268,kurspris!$A$1:$Q$835,4,FALSE)</f>
        <v>0</v>
      </c>
      <c r="AF1268" s="31">
        <f>VLOOKUP($A1268,kurspris!$A$1:$Q$835,5,FALSE)</f>
        <v>0</v>
      </c>
      <c r="AG1268" s="31">
        <f>VLOOKUP($A1268,kurspris!$A$1:$Q$835,6,FALSE)</f>
        <v>0</v>
      </c>
      <c r="AH1268" s="31">
        <f>VLOOKUP($A1268,kurspris!$A$1:$Q$835,7,FALSE)</f>
        <v>0</v>
      </c>
      <c r="AI1268" s="31">
        <f>VLOOKUP($A1268,kurspris!$A$1:$Q$835,8,FALSE)</f>
        <v>0</v>
      </c>
      <c r="AJ1268" s="31">
        <f>VLOOKUP($A1268,kurspris!$A$1:$Q$835,9,FALSE)</f>
        <v>0</v>
      </c>
      <c r="AK1268" s="31">
        <f>VLOOKUP($A1268,kurspris!$A$1:$Q$835,10,FALSE)</f>
        <v>1</v>
      </c>
      <c r="AL1268" s="31">
        <f>VLOOKUP($A1268,kurspris!$A$1:$Q$835,11,FALSE)</f>
        <v>0</v>
      </c>
      <c r="AM1268" s="31">
        <f>VLOOKUP($A1268,kurspris!$A$1:$Q$835,12,FALSE)</f>
        <v>0</v>
      </c>
      <c r="AN1268" s="31">
        <f>VLOOKUP($A1268,kurspris!$A$1:$Q$835,13,FALSE)</f>
        <v>0</v>
      </c>
      <c r="AO1268" s="31">
        <f>VLOOKUP($A1268,kurspris!$A$1:$Q$835,14,FALSE)</f>
        <v>0</v>
      </c>
      <c r="AP1268" s="39" t="s">
        <v>2095</v>
      </c>
      <c r="AQ1268" s="39"/>
      <c r="AR1268" s="31">
        <f t="shared" si="669"/>
        <v>0</v>
      </c>
      <c r="AS1268" s="255">
        <f t="shared" si="670"/>
        <v>0</v>
      </c>
      <c r="AT1268" s="31">
        <f t="shared" si="671"/>
        <v>0</v>
      </c>
      <c r="AU1268" s="255">
        <f t="shared" si="672"/>
        <v>0</v>
      </c>
      <c r="AV1268" s="31">
        <f t="shared" si="673"/>
        <v>0</v>
      </c>
      <c r="AW1268" s="31">
        <f t="shared" si="674"/>
        <v>0</v>
      </c>
      <c r="AX1268" s="31">
        <f t="shared" si="675"/>
        <v>0</v>
      </c>
      <c r="AY1268" s="255">
        <f t="shared" si="676"/>
        <v>0</v>
      </c>
      <c r="AZ1268" s="232">
        <f t="shared" si="677"/>
        <v>0</v>
      </c>
      <c r="BA1268" s="255">
        <f t="shared" si="678"/>
        <v>0</v>
      </c>
      <c r="BB1268" s="31">
        <f t="shared" si="679"/>
        <v>0</v>
      </c>
      <c r="BC1268" s="255">
        <f t="shared" si="680"/>
        <v>0</v>
      </c>
      <c r="BD1268" s="31">
        <f t="shared" si="681"/>
        <v>0</v>
      </c>
      <c r="BE1268" s="255">
        <f t="shared" si="682"/>
        <v>0</v>
      </c>
      <c r="BF1268" s="31">
        <f t="shared" si="683"/>
        <v>1.875</v>
      </c>
      <c r="BG1268" s="255">
        <f t="shared" si="684"/>
        <v>1.5</v>
      </c>
      <c r="BH1268" s="31">
        <f t="shared" si="685"/>
        <v>0</v>
      </c>
      <c r="BI1268" s="255">
        <f t="shared" si="686"/>
        <v>0</v>
      </c>
      <c r="BJ1268" s="31">
        <f t="shared" si="687"/>
        <v>0</v>
      </c>
      <c r="BK1268" s="31">
        <f t="shared" si="688"/>
        <v>0</v>
      </c>
      <c r="BL1268" s="255">
        <f t="shared" si="689"/>
        <v>0</v>
      </c>
      <c r="BM1268" s="31">
        <f t="shared" si="690"/>
        <v>0</v>
      </c>
      <c r="BN1268" s="255">
        <f t="shared" si="691"/>
        <v>0</v>
      </c>
    </row>
    <row r="1269" spans="1:68" x14ac:dyDescent="0.25">
      <c r="A1269" s="487" t="s">
        <v>2215</v>
      </c>
      <c r="B1269" s="186" t="str">
        <f>VLOOKUP(A1269,kurspris!$A$1:$B$877,2,FALSE)</f>
        <v>Väv- och kläddesign fördjupning</v>
      </c>
      <c r="C1269" s="37"/>
      <c r="D1269" t="s">
        <v>117</v>
      </c>
      <c r="E1269"/>
      <c r="F1269" s="59" t="s">
        <v>1930</v>
      </c>
      <c r="G1269"/>
      <c r="H1269"/>
      <c r="I1269" t="s">
        <v>2066</v>
      </c>
      <c r="L1269">
        <v>50</v>
      </c>
      <c r="M1269">
        <v>15</v>
      </c>
      <c r="P1269" s="31">
        <v>6</v>
      </c>
      <c r="Q1269" s="232">
        <f t="shared" si="664"/>
        <v>1.5</v>
      </c>
      <c r="R1269" s="40">
        <v>0.8</v>
      </c>
      <c r="S1269" s="334">
        <f t="shared" si="665"/>
        <v>1.2000000000000002</v>
      </c>
      <c r="T1269" s="31">
        <f>VLOOKUP(A1269,'Ansvar kurs'!$A$1:$C$1010,2,FALSE)</f>
        <v>1650</v>
      </c>
      <c r="U1269" s="31" t="str">
        <f>VLOOKUP(T1269,Orgenheter!$A$1:$C$165,2,FALSE)</f>
        <v xml:space="preserve">Estetiska ämnen               </v>
      </c>
      <c r="V1269" s="31" t="str">
        <f>VLOOKUP(T1269,Orgenheter!$A$1:$C$165,3,FALSE)</f>
        <v>Hum</v>
      </c>
      <c r="W1269" s="37" t="str">
        <f>VLOOKUP(D1269,Program!$A$1:$B$34,2,FALSE)</f>
        <v>Fristående och övriga kurser</v>
      </c>
      <c r="X1269" s="42">
        <f>VLOOKUP(A1269,kurspris!$A$1:$Q$798,15,FALSE)</f>
        <v>18405</v>
      </c>
      <c r="Y1269" s="42">
        <f>VLOOKUP(A1269,kurspris!$A$1:$Q$798,16,FALSE)</f>
        <v>15773</v>
      </c>
      <c r="Z1269" s="42">
        <f t="shared" si="666"/>
        <v>46535.100000000006</v>
      </c>
      <c r="AA1269" s="42">
        <f>VLOOKUP(A1269,kurspris!$A$1:$Q$798,17,FALSE)</f>
        <v>5800</v>
      </c>
      <c r="AB1269" s="42">
        <f t="shared" si="667"/>
        <v>8700</v>
      </c>
      <c r="AC1269" s="42">
        <f t="shared" si="668"/>
        <v>55235.100000000006</v>
      </c>
      <c r="AD1269" s="31">
        <f>VLOOKUP($A1269,kurspris!$A$1:$Q$835,3,FALSE)</f>
        <v>0</v>
      </c>
      <c r="AE1269" s="31">
        <f>VLOOKUP($A1269,kurspris!$A$1:$Q$835,4,FALSE)</f>
        <v>1</v>
      </c>
      <c r="AF1269" s="31">
        <f>VLOOKUP($A1269,kurspris!$A$1:$Q$835,5,FALSE)</f>
        <v>0</v>
      </c>
      <c r="AG1269" s="31">
        <f>VLOOKUP($A1269,kurspris!$A$1:$Q$835,6,FALSE)</f>
        <v>0</v>
      </c>
      <c r="AH1269" s="31">
        <f>VLOOKUP($A1269,kurspris!$A$1:$Q$835,7,FALSE)</f>
        <v>0</v>
      </c>
      <c r="AI1269" s="31">
        <f>VLOOKUP($A1269,kurspris!$A$1:$Q$835,8,FALSE)</f>
        <v>0</v>
      </c>
      <c r="AJ1269" s="31">
        <f>VLOOKUP($A1269,kurspris!$A$1:$Q$835,9,FALSE)</f>
        <v>0</v>
      </c>
      <c r="AK1269" s="31">
        <f>VLOOKUP($A1269,kurspris!$A$1:$Q$835,10,FALSE)</f>
        <v>0</v>
      </c>
      <c r="AL1269" s="31">
        <f>VLOOKUP($A1269,kurspris!$A$1:$Q$835,11,FALSE)</f>
        <v>0</v>
      </c>
      <c r="AM1269" s="31">
        <f>VLOOKUP($A1269,kurspris!$A$1:$Q$835,12,FALSE)</f>
        <v>0</v>
      </c>
      <c r="AN1269" s="31">
        <f>VLOOKUP($A1269,kurspris!$A$1:$Q$835,13,FALSE)</f>
        <v>0</v>
      </c>
      <c r="AO1269" s="31">
        <f>VLOOKUP($A1269,kurspris!$A$1:$Q$835,14,FALSE)</f>
        <v>0</v>
      </c>
      <c r="AP1269" s="39" t="s">
        <v>2204</v>
      </c>
      <c r="AQ1269"/>
      <c r="AR1269" s="31">
        <f t="shared" si="669"/>
        <v>0</v>
      </c>
      <c r="AS1269" s="255">
        <f t="shared" si="670"/>
        <v>0</v>
      </c>
      <c r="AT1269" s="31">
        <f t="shared" si="671"/>
        <v>1.5</v>
      </c>
      <c r="AU1269" s="255">
        <f t="shared" si="672"/>
        <v>1.2000000000000002</v>
      </c>
      <c r="AV1269" s="31">
        <f t="shared" si="673"/>
        <v>0</v>
      </c>
      <c r="AW1269" s="31">
        <f t="shared" si="674"/>
        <v>0</v>
      </c>
      <c r="AX1269" s="31">
        <f t="shared" si="675"/>
        <v>0</v>
      </c>
      <c r="AY1269" s="255">
        <f t="shared" si="676"/>
        <v>0</v>
      </c>
      <c r="AZ1269" s="232">
        <f t="shared" si="677"/>
        <v>0</v>
      </c>
      <c r="BA1269" s="255">
        <f t="shared" si="678"/>
        <v>0</v>
      </c>
      <c r="BB1269" s="31">
        <f t="shared" si="679"/>
        <v>0</v>
      </c>
      <c r="BC1269" s="255">
        <f t="shared" si="680"/>
        <v>0</v>
      </c>
      <c r="BD1269" s="31">
        <f t="shared" si="681"/>
        <v>0</v>
      </c>
      <c r="BE1269" s="255">
        <f t="shared" si="682"/>
        <v>0</v>
      </c>
      <c r="BF1269" s="31">
        <f t="shared" si="683"/>
        <v>0</v>
      </c>
      <c r="BG1269" s="255">
        <f t="shared" si="684"/>
        <v>0</v>
      </c>
      <c r="BH1269" s="31">
        <f t="shared" si="685"/>
        <v>0</v>
      </c>
      <c r="BI1269" s="255">
        <f t="shared" si="686"/>
        <v>0</v>
      </c>
      <c r="BJ1269" s="31">
        <f t="shared" si="687"/>
        <v>0</v>
      </c>
      <c r="BK1269" s="31">
        <f t="shared" si="688"/>
        <v>0</v>
      </c>
      <c r="BL1269" s="255">
        <f t="shared" si="689"/>
        <v>0</v>
      </c>
      <c r="BM1269" s="31">
        <f t="shared" si="690"/>
        <v>0</v>
      </c>
      <c r="BN1269" s="255">
        <f t="shared" si="691"/>
        <v>0</v>
      </c>
    </row>
    <row r="1270" spans="1:68" x14ac:dyDescent="0.25">
      <c r="A1270" t="s">
        <v>1869</v>
      </c>
      <c r="B1270" s="186" t="str">
        <f>VLOOKUP(A1270,kurspris!$A$1:$B$877,2,FALSE)</f>
        <v>Slöjd - textil 3</v>
      </c>
      <c r="C1270"/>
      <c r="D1270" t="s">
        <v>482</v>
      </c>
      <c r="E1270" t="s">
        <v>1609</v>
      </c>
      <c r="F1270" s="59" t="s">
        <v>1930</v>
      </c>
      <c r="G1270" t="s">
        <v>1995</v>
      </c>
      <c r="H1270" t="s">
        <v>1910</v>
      </c>
      <c r="I1270"/>
      <c r="J1270" t="s">
        <v>1595</v>
      </c>
      <c r="K1270"/>
      <c r="L1270">
        <v>100</v>
      </c>
      <c r="M1270">
        <v>30</v>
      </c>
      <c r="N1270"/>
      <c r="O1270"/>
      <c r="P1270" s="31">
        <v>4</v>
      </c>
      <c r="Q1270" s="232">
        <f t="shared" si="664"/>
        <v>2</v>
      </c>
      <c r="R1270" s="40">
        <v>0.85</v>
      </c>
      <c r="S1270" s="334">
        <f t="shared" si="665"/>
        <v>1.7</v>
      </c>
      <c r="T1270" s="31">
        <f>VLOOKUP(A1270,'Ansvar kurs'!$A$1:$C$1010,2,FALSE)</f>
        <v>1650</v>
      </c>
      <c r="U1270" s="31" t="str">
        <f>VLOOKUP(T1270,Orgenheter!$A$1:$C$165,2,FALSE)</f>
        <v xml:space="preserve">Estetiska ämnen               </v>
      </c>
      <c r="V1270" s="31" t="str">
        <f>VLOOKUP(T1270,Orgenheter!$A$1:$C$165,3,FALSE)</f>
        <v>Hum</v>
      </c>
      <c r="W1270" s="37" t="str">
        <f>VLOOKUP(D1270,Program!$A$1:$B$34,2,FALSE)</f>
        <v>Ämneslärarprogrammet - åk 7-9</v>
      </c>
      <c r="X1270" s="42">
        <f>VLOOKUP(A1270,kurspris!$A$1:$Q$798,15,FALSE)</f>
        <v>19473</v>
      </c>
      <c r="Y1270" s="42">
        <f>VLOOKUP(A1270,kurspris!$A$1:$Q$798,16,FALSE)</f>
        <v>34806</v>
      </c>
      <c r="Z1270" s="42">
        <f t="shared" si="666"/>
        <v>98116.2</v>
      </c>
      <c r="AA1270" s="42">
        <f>VLOOKUP(A1270,kurspris!$A$1:$Q$798,17,FALSE)</f>
        <v>21800</v>
      </c>
      <c r="AB1270" s="42">
        <f t="shared" si="667"/>
        <v>43600</v>
      </c>
      <c r="AC1270" s="42">
        <f t="shared" si="668"/>
        <v>141716.20000000001</v>
      </c>
      <c r="AD1270" s="31">
        <f>VLOOKUP($A1270,kurspris!$A$1:$Q$835,3,FALSE)</f>
        <v>0</v>
      </c>
      <c r="AE1270" s="31">
        <f>VLOOKUP($A1270,kurspris!$A$1:$Q$835,4,FALSE)</f>
        <v>0</v>
      </c>
      <c r="AF1270" s="31">
        <f>VLOOKUP($A1270,kurspris!$A$1:$Q$835,5,FALSE)</f>
        <v>0</v>
      </c>
      <c r="AG1270" s="31">
        <f>VLOOKUP($A1270,kurspris!$A$1:$Q$835,6,FALSE)</f>
        <v>0</v>
      </c>
      <c r="AH1270" s="31">
        <f>VLOOKUP($A1270,kurspris!$A$1:$Q$835,7,FALSE)</f>
        <v>0</v>
      </c>
      <c r="AI1270" s="31">
        <f>VLOOKUP($A1270,kurspris!$A$1:$Q$835,8,FALSE)</f>
        <v>0</v>
      </c>
      <c r="AJ1270" s="31">
        <f>VLOOKUP($A1270,kurspris!$A$1:$Q$835,9,FALSE)</f>
        <v>0</v>
      </c>
      <c r="AK1270" s="31">
        <f>VLOOKUP($A1270,kurspris!$A$1:$Q$835,10,FALSE)</f>
        <v>1</v>
      </c>
      <c r="AL1270" s="31">
        <f>VLOOKUP($A1270,kurspris!$A$1:$Q$835,11,FALSE)</f>
        <v>0</v>
      </c>
      <c r="AM1270" s="31">
        <f>VLOOKUP($A1270,kurspris!$A$1:$Q$835,12,FALSE)</f>
        <v>0</v>
      </c>
      <c r="AN1270" s="31">
        <f>VLOOKUP($A1270,kurspris!$A$1:$Q$835,13,FALSE)</f>
        <v>0</v>
      </c>
      <c r="AO1270" s="31">
        <f>VLOOKUP($A1270,kurspris!$A$1:$Q$835,14,FALSE)</f>
        <v>0</v>
      </c>
      <c r="AP1270" s="39" t="s">
        <v>2204</v>
      </c>
      <c r="AQ1270"/>
      <c r="AR1270" s="31">
        <f t="shared" si="669"/>
        <v>0</v>
      </c>
      <c r="AS1270" s="255">
        <f t="shared" si="670"/>
        <v>0</v>
      </c>
      <c r="AT1270" s="31">
        <f t="shared" si="671"/>
        <v>0</v>
      </c>
      <c r="AU1270" s="255">
        <f t="shared" si="672"/>
        <v>0</v>
      </c>
      <c r="AV1270" s="31">
        <f t="shared" si="673"/>
        <v>0</v>
      </c>
      <c r="AW1270" s="31">
        <f t="shared" si="674"/>
        <v>0</v>
      </c>
      <c r="AX1270" s="31">
        <f t="shared" si="675"/>
        <v>0</v>
      </c>
      <c r="AY1270" s="255">
        <f t="shared" si="676"/>
        <v>0</v>
      </c>
      <c r="AZ1270" s="232">
        <f t="shared" si="677"/>
        <v>0</v>
      </c>
      <c r="BA1270" s="255">
        <f t="shared" si="678"/>
        <v>0</v>
      </c>
      <c r="BB1270" s="31">
        <f t="shared" si="679"/>
        <v>0</v>
      </c>
      <c r="BC1270" s="255">
        <f t="shared" si="680"/>
        <v>0</v>
      </c>
      <c r="BD1270" s="31">
        <f t="shared" si="681"/>
        <v>0</v>
      </c>
      <c r="BE1270" s="255">
        <f t="shared" si="682"/>
        <v>0</v>
      </c>
      <c r="BF1270" s="31">
        <f t="shared" si="683"/>
        <v>2</v>
      </c>
      <c r="BG1270" s="255">
        <f t="shared" si="684"/>
        <v>1.7</v>
      </c>
      <c r="BH1270" s="31">
        <f t="shared" si="685"/>
        <v>0</v>
      </c>
      <c r="BI1270" s="255">
        <f t="shared" si="686"/>
        <v>0</v>
      </c>
      <c r="BJ1270" s="31">
        <f t="shared" si="687"/>
        <v>0</v>
      </c>
      <c r="BK1270" s="31">
        <f t="shared" si="688"/>
        <v>0</v>
      </c>
      <c r="BL1270" s="255">
        <f t="shared" si="689"/>
        <v>0</v>
      </c>
      <c r="BM1270" s="31">
        <f t="shared" si="690"/>
        <v>0</v>
      </c>
      <c r="BN1270" s="255">
        <f t="shared" si="691"/>
        <v>0</v>
      </c>
    </row>
    <row r="1271" spans="1:68" x14ac:dyDescent="0.25">
      <c r="A1271" s="18" t="s">
        <v>1880</v>
      </c>
      <c r="B1271" s="186" t="str">
        <f>VLOOKUP(A1271,kurspris!$A$1:$B$877,2,FALSE)</f>
        <v>Slöjd, textil 3, fristående</v>
      </c>
      <c r="C1271" s="37"/>
      <c r="D1271" t="s">
        <v>117</v>
      </c>
      <c r="E1271"/>
      <c r="F1271" s="59" t="s">
        <v>1930</v>
      </c>
      <c r="G1271"/>
      <c r="H1271"/>
      <c r="I1271" t="s">
        <v>1634</v>
      </c>
      <c r="L1271">
        <v>100</v>
      </c>
      <c r="M1271">
        <v>30</v>
      </c>
      <c r="P1271" s="31">
        <v>0</v>
      </c>
      <c r="Q1271" s="232">
        <f t="shared" si="664"/>
        <v>0</v>
      </c>
      <c r="R1271" s="40">
        <v>0.8</v>
      </c>
      <c r="S1271" s="334">
        <f t="shared" si="665"/>
        <v>0</v>
      </c>
      <c r="T1271" s="31">
        <f>VLOOKUP(A1271,'Ansvar kurs'!$A$1:$C$1010,2,FALSE)</f>
        <v>1650</v>
      </c>
      <c r="U1271" s="31" t="str">
        <f>VLOOKUP(T1271,Orgenheter!$A$1:$C$165,2,FALSE)</f>
        <v xml:space="preserve">Estetiska ämnen               </v>
      </c>
      <c r="V1271" s="31" t="str">
        <f>VLOOKUP(T1271,Orgenheter!$A$1:$C$165,3,FALSE)</f>
        <v>Hum</v>
      </c>
      <c r="W1271" s="37" t="str">
        <f>VLOOKUP(D1271,Program!$A$1:$B$34,2,FALSE)</f>
        <v>Fristående och övriga kurser</v>
      </c>
      <c r="X1271" s="42">
        <f>VLOOKUP(A1271,kurspris!$A$1:$Q$798,15,FALSE)</f>
        <v>19473</v>
      </c>
      <c r="Y1271" s="42">
        <f>VLOOKUP(A1271,kurspris!$A$1:$Q$798,16,FALSE)</f>
        <v>34806</v>
      </c>
      <c r="Z1271" s="42">
        <f t="shared" si="666"/>
        <v>0</v>
      </c>
      <c r="AA1271" s="42">
        <f>VLOOKUP(A1271,kurspris!$A$1:$Q$798,17,FALSE)</f>
        <v>21800</v>
      </c>
      <c r="AB1271" s="42">
        <f t="shared" si="667"/>
        <v>0</v>
      </c>
      <c r="AC1271" s="42">
        <f t="shared" si="668"/>
        <v>0</v>
      </c>
      <c r="AD1271" s="31">
        <f>VLOOKUP($A1271,kurspris!$A$1:$Q$835,3,FALSE)</f>
        <v>0</v>
      </c>
      <c r="AE1271" s="31">
        <f>VLOOKUP($A1271,kurspris!$A$1:$Q$835,4,FALSE)</f>
        <v>0</v>
      </c>
      <c r="AF1271" s="31">
        <f>VLOOKUP($A1271,kurspris!$A$1:$Q$835,5,FALSE)</f>
        <v>0</v>
      </c>
      <c r="AG1271" s="31">
        <f>VLOOKUP($A1271,kurspris!$A$1:$Q$835,6,FALSE)</f>
        <v>0</v>
      </c>
      <c r="AH1271" s="31">
        <f>VLOOKUP($A1271,kurspris!$A$1:$Q$835,7,FALSE)</f>
        <v>0</v>
      </c>
      <c r="AI1271" s="31">
        <f>VLOOKUP($A1271,kurspris!$A$1:$Q$835,8,FALSE)</f>
        <v>0</v>
      </c>
      <c r="AJ1271" s="31">
        <f>VLOOKUP($A1271,kurspris!$A$1:$Q$835,9,FALSE)</f>
        <v>0</v>
      </c>
      <c r="AK1271" s="31">
        <f>VLOOKUP($A1271,kurspris!$A$1:$Q$835,10,FALSE)</f>
        <v>1</v>
      </c>
      <c r="AL1271" s="31">
        <f>VLOOKUP($A1271,kurspris!$A$1:$Q$835,11,FALSE)</f>
        <v>0</v>
      </c>
      <c r="AM1271" s="31">
        <f>VLOOKUP($A1271,kurspris!$A$1:$Q$835,12,FALSE)</f>
        <v>0</v>
      </c>
      <c r="AN1271" s="31">
        <f>VLOOKUP($A1271,kurspris!$A$1:$Q$835,13,FALSE)</f>
        <v>0</v>
      </c>
      <c r="AO1271" s="31">
        <f>VLOOKUP($A1271,kurspris!$A$1:$Q$835,14,FALSE)</f>
        <v>0</v>
      </c>
      <c r="AP1271" s="39" t="s">
        <v>2204</v>
      </c>
      <c r="AQ1271" s="39" t="s">
        <v>2095</v>
      </c>
      <c r="AR1271" s="31">
        <f t="shared" si="669"/>
        <v>0</v>
      </c>
      <c r="AS1271" s="255">
        <f t="shared" si="670"/>
        <v>0</v>
      </c>
      <c r="AT1271" s="31">
        <f t="shared" si="671"/>
        <v>0</v>
      </c>
      <c r="AU1271" s="255">
        <f t="shared" si="672"/>
        <v>0</v>
      </c>
      <c r="AV1271" s="31">
        <f t="shared" si="673"/>
        <v>0</v>
      </c>
      <c r="AW1271" s="31">
        <f t="shared" si="674"/>
        <v>0</v>
      </c>
      <c r="AX1271" s="31">
        <f t="shared" si="675"/>
        <v>0</v>
      </c>
      <c r="AY1271" s="255">
        <f t="shared" si="676"/>
        <v>0</v>
      </c>
      <c r="AZ1271" s="232">
        <f t="shared" si="677"/>
        <v>0</v>
      </c>
      <c r="BA1271" s="255">
        <f t="shared" si="678"/>
        <v>0</v>
      </c>
      <c r="BB1271" s="31">
        <f t="shared" si="679"/>
        <v>0</v>
      </c>
      <c r="BC1271" s="255">
        <f t="shared" si="680"/>
        <v>0</v>
      </c>
      <c r="BD1271" s="31">
        <f t="shared" si="681"/>
        <v>0</v>
      </c>
      <c r="BE1271" s="255">
        <f t="shared" si="682"/>
        <v>0</v>
      </c>
      <c r="BF1271" s="31">
        <f t="shared" si="683"/>
        <v>0</v>
      </c>
      <c r="BG1271" s="255">
        <f t="shared" si="684"/>
        <v>0</v>
      </c>
      <c r="BH1271" s="31">
        <f t="shared" si="685"/>
        <v>0</v>
      </c>
      <c r="BI1271" s="255">
        <f t="shared" si="686"/>
        <v>0</v>
      </c>
      <c r="BJ1271" s="31">
        <f t="shared" si="687"/>
        <v>0</v>
      </c>
      <c r="BK1271" s="31">
        <f t="shared" si="688"/>
        <v>0</v>
      </c>
      <c r="BL1271" s="255">
        <f t="shared" si="689"/>
        <v>0</v>
      </c>
      <c r="BM1271" s="31">
        <f t="shared" si="690"/>
        <v>0</v>
      </c>
      <c r="BN1271" s="255">
        <f t="shared" si="691"/>
        <v>0</v>
      </c>
    </row>
    <row r="1272" spans="1:68" x14ac:dyDescent="0.25">
      <c r="A1272" s="18" t="s">
        <v>2188</v>
      </c>
      <c r="B1272" s="186" t="str">
        <f>VLOOKUP(A1272,kurspris!$A$1:$B$877,2,FALSE)</f>
        <v>Slöjd textil 2</v>
      </c>
      <c r="C1272" s="37"/>
      <c r="D1272" s="31" t="s">
        <v>482</v>
      </c>
      <c r="E1272" s="31" t="s">
        <v>1788</v>
      </c>
      <c r="F1272" s="59" t="s">
        <v>1931</v>
      </c>
      <c r="G1272" s="31" t="s">
        <v>2276</v>
      </c>
      <c r="J1272" s="31" t="s">
        <v>2159</v>
      </c>
      <c r="L1272" s="31">
        <v>100</v>
      </c>
      <c r="M1272" s="31">
        <v>30</v>
      </c>
      <c r="P1272" s="31">
        <v>2</v>
      </c>
      <c r="Q1272" s="232">
        <f t="shared" si="664"/>
        <v>1</v>
      </c>
      <c r="R1272" s="40">
        <v>0.85</v>
      </c>
      <c r="S1272" s="334">
        <f t="shared" si="665"/>
        <v>0.85</v>
      </c>
      <c r="T1272" s="31">
        <f>VLOOKUP(A1272,'Ansvar kurs'!$A$1:$C$1010,2,FALSE)</f>
        <v>1650</v>
      </c>
      <c r="U1272" s="31" t="str">
        <f>VLOOKUP(T1272,Orgenheter!$A$1:$C$165,2,FALSE)</f>
        <v xml:space="preserve">Estetiska ämnen               </v>
      </c>
      <c r="V1272" s="31" t="str">
        <f>VLOOKUP(T1272,Orgenheter!$A$1:$C$165,3,FALSE)</f>
        <v>Hum</v>
      </c>
      <c r="W1272" s="37" t="str">
        <f>VLOOKUP(D1272,Program!$A$1:$B$34,2,FALSE)</f>
        <v>Ämneslärarprogrammet - åk 7-9</v>
      </c>
      <c r="X1272" s="42">
        <f>VLOOKUP(A1272,kurspris!$A$1:$Q$798,15,FALSE)</f>
        <v>19473</v>
      </c>
      <c r="Y1272" s="42">
        <f>VLOOKUP(A1272,kurspris!$A$1:$Q$798,16,FALSE)</f>
        <v>34806</v>
      </c>
      <c r="Z1272" s="42">
        <f t="shared" si="666"/>
        <v>49058.1</v>
      </c>
      <c r="AA1272" s="42">
        <f>VLOOKUP(A1272,kurspris!$A$1:$Q$798,17,FALSE)</f>
        <v>21800</v>
      </c>
      <c r="AB1272" s="42">
        <f t="shared" si="667"/>
        <v>21800</v>
      </c>
      <c r="AC1272" s="42">
        <f t="shared" si="668"/>
        <v>70858.100000000006</v>
      </c>
      <c r="AD1272" s="31">
        <f>VLOOKUP($A1272,kurspris!$A$1:$Q$835,3,FALSE)</f>
        <v>0</v>
      </c>
      <c r="AE1272" s="31">
        <f>VLOOKUP($A1272,kurspris!$A$1:$Q$835,4,FALSE)</f>
        <v>0</v>
      </c>
      <c r="AF1272" s="31">
        <f>VLOOKUP($A1272,kurspris!$A$1:$Q$835,5,FALSE)</f>
        <v>0</v>
      </c>
      <c r="AG1272" s="31">
        <f>VLOOKUP($A1272,kurspris!$A$1:$Q$835,6,FALSE)</f>
        <v>0</v>
      </c>
      <c r="AH1272" s="31">
        <f>VLOOKUP($A1272,kurspris!$A$1:$Q$835,7,FALSE)</f>
        <v>0</v>
      </c>
      <c r="AI1272" s="31">
        <f>VLOOKUP($A1272,kurspris!$A$1:$Q$835,8,FALSE)</f>
        <v>0</v>
      </c>
      <c r="AJ1272" s="31">
        <f>VLOOKUP($A1272,kurspris!$A$1:$Q$835,9,FALSE)</f>
        <v>0</v>
      </c>
      <c r="AK1272" s="31">
        <f>VLOOKUP($A1272,kurspris!$A$1:$Q$835,10,FALSE)</f>
        <v>1</v>
      </c>
      <c r="AL1272" s="31">
        <f>VLOOKUP($A1272,kurspris!$A$1:$Q$835,11,FALSE)</f>
        <v>0</v>
      </c>
      <c r="AM1272" s="31">
        <f>VLOOKUP($A1272,kurspris!$A$1:$Q$835,12,FALSE)</f>
        <v>0</v>
      </c>
      <c r="AN1272" s="31">
        <f>VLOOKUP($A1272,kurspris!$A$1:$Q$835,13,FALSE)</f>
        <v>0</v>
      </c>
      <c r="AO1272" s="31">
        <f>VLOOKUP($A1272,kurspris!$A$1:$Q$835,14,FALSE)</f>
        <v>0</v>
      </c>
      <c r="AP1272" s="39" t="s">
        <v>2326</v>
      </c>
      <c r="AQ1272"/>
      <c r="AR1272" s="31">
        <f t="shared" si="669"/>
        <v>0</v>
      </c>
      <c r="AS1272" s="255">
        <f t="shared" si="670"/>
        <v>0</v>
      </c>
      <c r="AT1272" s="31">
        <f t="shared" si="671"/>
        <v>0</v>
      </c>
      <c r="AU1272" s="255">
        <f t="shared" si="672"/>
        <v>0</v>
      </c>
      <c r="AV1272" s="31">
        <f t="shared" si="673"/>
        <v>0</v>
      </c>
      <c r="AW1272" s="31">
        <f t="shared" si="674"/>
        <v>0</v>
      </c>
      <c r="AX1272" s="31">
        <f t="shared" si="675"/>
        <v>0</v>
      </c>
      <c r="AY1272" s="255">
        <f t="shared" si="676"/>
        <v>0</v>
      </c>
      <c r="AZ1272" s="232">
        <f t="shared" si="677"/>
        <v>0</v>
      </c>
      <c r="BA1272" s="255">
        <f t="shared" si="678"/>
        <v>0</v>
      </c>
      <c r="BB1272" s="31">
        <f t="shared" si="679"/>
        <v>0</v>
      </c>
      <c r="BC1272" s="255">
        <f t="shared" si="680"/>
        <v>0</v>
      </c>
      <c r="BD1272" s="31">
        <f t="shared" si="681"/>
        <v>0</v>
      </c>
      <c r="BE1272" s="255">
        <f t="shared" si="682"/>
        <v>0</v>
      </c>
      <c r="BF1272" s="31">
        <f t="shared" si="683"/>
        <v>1</v>
      </c>
      <c r="BG1272" s="255">
        <f t="shared" si="684"/>
        <v>0.85</v>
      </c>
      <c r="BH1272" s="31">
        <f t="shared" si="685"/>
        <v>0</v>
      </c>
      <c r="BI1272" s="255">
        <f t="shared" si="686"/>
        <v>0</v>
      </c>
      <c r="BJ1272" s="31">
        <f t="shared" si="687"/>
        <v>0</v>
      </c>
      <c r="BK1272" s="31">
        <f t="shared" si="688"/>
        <v>0</v>
      </c>
      <c r="BL1272" s="255">
        <f t="shared" si="689"/>
        <v>0</v>
      </c>
      <c r="BM1272" s="31">
        <f t="shared" si="690"/>
        <v>0</v>
      </c>
      <c r="BN1272" s="255">
        <f t="shared" si="691"/>
        <v>0</v>
      </c>
    </row>
    <row r="1273" spans="1:68" x14ac:dyDescent="0.25">
      <c r="A1273" s="18" t="s">
        <v>892</v>
      </c>
      <c r="B1273" s="186" t="str">
        <f>VLOOKUP(A1273,kurspris!$A$1:$B$877,2,FALSE)</f>
        <v>Tyska I för ämneslärare</v>
      </c>
      <c r="C1273" s="37"/>
      <c r="D1273" t="s">
        <v>117</v>
      </c>
      <c r="E1273"/>
      <c r="F1273" s="59" t="s">
        <v>1930</v>
      </c>
      <c r="G1273"/>
      <c r="H1273"/>
      <c r="I1273" t="s">
        <v>1634</v>
      </c>
      <c r="L1273">
        <v>100</v>
      </c>
      <c r="M1273">
        <v>30</v>
      </c>
      <c r="P1273" s="31">
        <v>0</v>
      </c>
      <c r="Q1273" s="232">
        <f t="shared" si="664"/>
        <v>0</v>
      </c>
      <c r="R1273" s="40">
        <v>0.8</v>
      </c>
      <c r="S1273" s="334">
        <f t="shared" si="665"/>
        <v>0</v>
      </c>
      <c r="T1273" s="31">
        <f>VLOOKUP(A1273,'Ansvar kurs'!$A$1:$C$1010,2,FALSE)</f>
        <v>1620</v>
      </c>
      <c r="U1273" s="31" t="str">
        <f>VLOOKUP(T1273,Orgenheter!$A$1:$C$165,2,FALSE)</f>
        <v>Inst för språkstudier</v>
      </c>
      <c r="V1273" s="31" t="str">
        <f>VLOOKUP(T1273,Orgenheter!$A$1:$C$165,3,FALSE)</f>
        <v>Hum</v>
      </c>
      <c r="W1273" s="37" t="str">
        <f>VLOOKUP(D1273,Program!$A$1:$B$34,2,FALSE)</f>
        <v>Fristående och övriga kurser</v>
      </c>
      <c r="X1273" s="42">
        <f>VLOOKUP(A1273,kurspris!$A$1:$Q$798,15,FALSE)</f>
        <v>18405</v>
      </c>
      <c r="Y1273" s="42">
        <f>VLOOKUP(A1273,kurspris!$A$1:$Q$798,16,FALSE)</f>
        <v>15773</v>
      </c>
      <c r="Z1273" s="42">
        <f t="shared" si="666"/>
        <v>0</v>
      </c>
      <c r="AA1273" s="42">
        <f>VLOOKUP(A1273,kurspris!$A$1:$Q$798,17,FALSE)</f>
        <v>5800</v>
      </c>
      <c r="AB1273" s="42">
        <f t="shared" si="667"/>
        <v>0</v>
      </c>
      <c r="AC1273" s="42">
        <f t="shared" si="668"/>
        <v>0</v>
      </c>
      <c r="AD1273" s="31">
        <f>VLOOKUP($A1273,kurspris!$A$1:$Q$835,3,FALSE)</f>
        <v>0</v>
      </c>
      <c r="AE1273" s="31">
        <f>VLOOKUP($A1273,kurspris!$A$1:$Q$835,4,FALSE)</f>
        <v>1</v>
      </c>
      <c r="AF1273" s="31">
        <f>VLOOKUP($A1273,kurspris!$A$1:$Q$835,5,FALSE)</f>
        <v>0</v>
      </c>
      <c r="AG1273" s="31">
        <f>VLOOKUP($A1273,kurspris!$A$1:$Q$835,6,FALSE)</f>
        <v>0</v>
      </c>
      <c r="AH1273" s="31">
        <f>VLOOKUP($A1273,kurspris!$A$1:$Q$835,7,FALSE)</f>
        <v>0</v>
      </c>
      <c r="AI1273" s="31">
        <f>VLOOKUP($A1273,kurspris!$A$1:$Q$835,8,FALSE)</f>
        <v>0</v>
      </c>
      <c r="AJ1273" s="31">
        <f>VLOOKUP($A1273,kurspris!$A$1:$Q$835,9,FALSE)</f>
        <v>0</v>
      </c>
      <c r="AK1273" s="31">
        <f>VLOOKUP($A1273,kurspris!$A$1:$Q$835,10,FALSE)</f>
        <v>0</v>
      </c>
      <c r="AL1273" s="31">
        <f>VLOOKUP($A1273,kurspris!$A$1:$Q$835,11,FALSE)</f>
        <v>0</v>
      </c>
      <c r="AM1273" s="31">
        <f>VLOOKUP($A1273,kurspris!$A$1:$Q$835,12,FALSE)</f>
        <v>0</v>
      </c>
      <c r="AN1273" s="31">
        <f>VLOOKUP($A1273,kurspris!$A$1:$Q$835,13,FALSE)</f>
        <v>0</v>
      </c>
      <c r="AO1273" s="31">
        <f>VLOOKUP($A1273,kurspris!$A$1:$Q$835,14,FALSE)</f>
        <v>0</v>
      </c>
      <c r="AP1273" s="39" t="s">
        <v>2204</v>
      </c>
      <c r="AQ1273" s="39" t="s">
        <v>2095</v>
      </c>
      <c r="AR1273" s="31">
        <f t="shared" si="669"/>
        <v>0</v>
      </c>
      <c r="AS1273" s="255">
        <f t="shared" si="670"/>
        <v>0</v>
      </c>
      <c r="AT1273" s="31">
        <f t="shared" si="671"/>
        <v>0</v>
      </c>
      <c r="AU1273" s="255">
        <f t="shared" si="672"/>
        <v>0</v>
      </c>
      <c r="AV1273" s="31">
        <f t="shared" si="673"/>
        <v>0</v>
      </c>
      <c r="AW1273" s="31">
        <f t="shared" si="674"/>
        <v>0</v>
      </c>
      <c r="AX1273" s="31">
        <f t="shared" si="675"/>
        <v>0</v>
      </c>
      <c r="AY1273" s="255">
        <f t="shared" si="676"/>
        <v>0</v>
      </c>
      <c r="AZ1273" s="232">
        <f t="shared" si="677"/>
        <v>0</v>
      </c>
      <c r="BA1273" s="255">
        <f t="shared" si="678"/>
        <v>0</v>
      </c>
      <c r="BB1273" s="31">
        <f t="shared" si="679"/>
        <v>0</v>
      </c>
      <c r="BC1273" s="255">
        <f t="shared" si="680"/>
        <v>0</v>
      </c>
      <c r="BD1273" s="31">
        <f t="shared" si="681"/>
        <v>0</v>
      </c>
      <c r="BE1273" s="255">
        <f t="shared" si="682"/>
        <v>0</v>
      </c>
      <c r="BF1273" s="31">
        <f t="shared" si="683"/>
        <v>0</v>
      </c>
      <c r="BG1273" s="255">
        <f t="shared" si="684"/>
        <v>0</v>
      </c>
      <c r="BH1273" s="31">
        <f t="shared" si="685"/>
        <v>0</v>
      </c>
      <c r="BI1273" s="255">
        <f t="shared" si="686"/>
        <v>0</v>
      </c>
      <c r="BJ1273" s="31">
        <f t="shared" si="687"/>
        <v>0</v>
      </c>
      <c r="BK1273" s="31">
        <f t="shared" si="688"/>
        <v>0</v>
      </c>
      <c r="BL1273" s="255">
        <f t="shared" si="689"/>
        <v>0</v>
      </c>
      <c r="BM1273" s="31">
        <f t="shared" si="690"/>
        <v>0</v>
      </c>
      <c r="BN1273" s="255">
        <f t="shared" si="691"/>
        <v>0</v>
      </c>
    </row>
    <row r="1274" spans="1:68" x14ac:dyDescent="0.25">
      <c r="A1274" s="18" t="s">
        <v>893</v>
      </c>
      <c r="B1274" s="186" t="str">
        <f>VLOOKUP(A1274,kurspris!$A$1:$B$877,2,FALSE)</f>
        <v>Tyska II för ämneslärare</v>
      </c>
      <c r="C1274" s="37"/>
      <c r="D1274" t="s">
        <v>117</v>
      </c>
      <c r="E1274"/>
      <c r="F1274" s="59" t="s">
        <v>1931</v>
      </c>
      <c r="G1274"/>
      <c r="H1274"/>
      <c r="I1274" t="s">
        <v>1634</v>
      </c>
      <c r="L1274">
        <v>100</v>
      </c>
      <c r="M1274">
        <v>30</v>
      </c>
      <c r="P1274">
        <v>1</v>
      </c>
      <c r="Q1274" s="232">
        <f t="shared" si="664"/>
        <v>0.5</v>
      </c>
      <c r="R1274" s="40">
        <v>0.8</v>
      </c>
      <c r="S1274" s="334">
        <f t="shared" si="665"/>
        <v>0.4</v>
      </c>
      <c r="T1274" s="31">
        <f>VLOOKUP(A1274,'Ansvar kurs'!$A$1:$C$1010,2,FALSE)</f>
        <v>1620</v>
      </c>
      <c r="U1274" s="31" t="str">
        <f>VLOOKUP(T1274,Orgenheter!$A$1:$C$165,2,FALSE)</f>
        <v>Inst för språkstudier</v>
      </c>
      <c r="V1274" s="31" t="str">
        <f>VLOOKUP(T1274,Orgenheter!$A$1:$C$165,3,FALSE)</f>
        <v>Hum</v>
      </c>
      <c r="W1274" s="37" t="str">
        <f>VLOOKUP(D1274,Program!$A$1:$B$34,2,FALSE)</f>
        <v>Fristående och övriga kurser</v>
      </c>
      <c r="X1274" s="42">
        <f>VLOOKUP(A1274,kurspris!$A$1:$Q$798,15,FALSE)</f>
        <v>18405</v>
      </c>
      <c r="Y1274" s="42">
        <f>VLOOKUP(A1274,kurspris!$A$1:$Q$798,16,FALSE)</f>
        <v>15773</v>
      </c>
      <c r="Z1274" s="42">
        <f t="shared" si="666"/>
        <v>15511.7</v>
      </c>
      <c r="AA1274" s="42">
        <f>VLOOKUP(A1274,kurspris!$A$1:$Q$798,17,FALSE)</f>
        <v>5800</v>
      </c>
      <c r="AB1274" s="42">
        <f t="shared" si="667"/>
        <v>2900</v>
      </c>
      <c r="AC1274" s="42">
        <f t="shared" si="668"/>
        <v>18411.7</v>
      </c>
      <c r="AD1274" s="31">
        <f>VLOOKUP($A1274,kurspris!$A$1:$Q$835,3,FALSE)</f>
        <v>0</v>
      </c>
      <c r="AE1274" s="31">
        <f>VLOOKUP($A1274,kurspris!$A$1:$Q$835,4,FALSE)</f>
        <v>1</v>
      </c>
      <c r="AF1274" s="31">
        <f>VLOOKUP($A1274,kurspris!$A$1:$Q$835,5,FALSE)</f>
        <v>0</v>
      </c>
      <c r="AG1274" s="31">
        <f>VLOOKUP($A1274,kurspris!$A$1:$Q$835,6,FALSE)</f>
        <v>0</v>
      </c>
      <c r="AH1274" s="31">
        <f>VLOOKUP($A1274,kurspris!$A$1:$Q$835,7,FALSE)</f>
        <v>0</v>
      </c>
      <c r="AI1274" s="31">
        <f>VLOOKUP($A1274,kurspris!$A$1:$Q$835,8,FALSE)</f>
        <v>0</v>
      </c>
      <c r="AJ1274" s="31">
        <f>VLOOKUP($A1274,kurspris!$A$1:$Q$835,9,FALSE)</f>
        <v>0</v>
      </c>
      <c r="AK1274" s="31">
        <f>VLOOKUP($A1274,kurspris!$A$1:$Q$835,10,FALSE)</f>
        <v>0</v>
      </c>
      <c r="AL1274" s="31">
        <f>VLOOKUP($A1274,kurspris!$A$1:$Q$835,11,FALSE)</f>
        <v>0</v>
      </c>
      <c r="AM1274" s="31">
        <f>VLOOKUP($A1274,kurspris!$A$1:$Q$835,12,FALSE)</f>
        <v>0</v>
      </c>
      <c r="AN1274" s="31">
        <f>VLOOKUP($A1274,kurspris!$A$1:$Q$835,13,FALSE)</f>
        <v>0</v>
      </c>
      <c r="AO1274" s="31">
        <f>VLOOKUP($A1274,kurspris!$A$1:$Q$835,14,FALSE)</f>
        <v>0</v>
      </c>
      <c r="AP1274" s="39" t="s">
        <v>2095</v>
      </c>
      <c r="AQ1274"/>
      <c r="AR1274" s="31">
        <f t="shared" si="669"/>
        <v>0</v>
      </c>
      <c r="AS1274" s="255">
        <f t="shared" si="670"/>
        <v>0</v>
      </c>
      <c r="AT1274" s="31">
        <f t="shared" si="671"/>
        <v>0.5</v>
      </c>
      <c r="AU1274" s="255">
        <f t="shared" si="672"/>
        <v>0.4</v>
      </c>
      <c r="AV1274" s="31">
        <f t="shared" si="673"/>
        <v>0</v>
      </c>
      <c r="AW1274" s="31">
        <f t="shared" si="674"/>
        <v>0</v>
      </c>
      <c r="AX1274" s="31">
        <f t="shared" si="675"/>
        <v>0</v>
      </c>
      <c r="AY1274" s="255">
        <f t="shared" si="676"/>
        <v>0</v>
      </c>
      <c r="AZ1274" s="232">
        <f t="shared" si="677"/>
        <v>0</v>
      </c>
      <c r="BA1274" s="255">
        <f t="shared" si="678"/>
        <v>0</v>
      </c>
      <c r="BB1274" s="31">
        <f t="shared" si="679"/>
        <v>0</v>
      </c>
      <c r="BC1274" s="255">
        <f t="shared" si="680"/>
        <v>0</v>
      </c>
      <c r="BD1274" s="31">
        <f t="shared" si="681"/>
        <v>0</v>
      </c>
      <c r="BE1274" s="255">
        <f t="shared" si="682"/>
        <v>0</v>
      </c>
      <c r="BF1274" s="31">
        <f t="shared" si="683"/>
        <v>0</v>
      </c>
      <c r="BG1274" s="255">
        <f t="shared" si="684"/>
        <v>0</v>
      </c>
      <c r="BH1274" s="31">
        <f t="shared" si="685"/>
        <v>0</v>
      </c>
      <c r="BI1274" s="255">
        <f t="shared" si="686"/>
        <v>0</v>
      </c>
      <c r="BJ1274" s="31">
        <f t="shared" si="687"/>
        <v>0</v>
      </c>
      <c r="BK1274" s="31">
        <f t="shared" si="688"/>
        <v>0</v>
      </c>
      <c r="BL1274" s="255">
        <f t="shared" si="689"/>
        <v>0</v>
      </c>
      <c r="BM1274" s="31">
        <f t="shared" si="690"/>
        <v>0</v>
      </c>
      <c r="BN1274" s="255">
        <f t="shared" si="691"/>
        <v>0</v>
      </c>
    </row>
    <row r="1275" spans="1:68" x14ac:dyDescent="0.25">
      <c r="A1275" s="18" t="s">
        <v>1056</v>
      </c>
      <c r="B1275" s="186" t="str">
        <f>VLOOKUP(A1275,kurspris!$A$1:$B$877,2,FALSE)</f>
        <v>Tyska III för ämneslärare med inriktning mot gymnasiet</v>
      </c>
      <c r="C1275" s="37"/>
      <c r="D1275" t="s">
        <v>117</v>
      </c>
      <c r="E1275"/>
      <c r="F1275" s="59" t="s">
        <v>1930</v>
      </c>
      <c r="G1275"/>
      <c r="H1275"/>
      <c r="I1275" t="s">
        <v>1634</v>
      </c>
      <c r="L1275">
        <v>100</v>
      </c>
      <c r="M1275">
        <v>30</v>
      </c>
      <c r="P1275" s="31">
        <v>1</v>
      </c>
      <c r="Q1275" s="232">
        <f t="shared" si="664"/>
        <v>0.5</v>
      </c>
      <c r="R1275" s="40">
        <v>0.8</v>
      </c>
      <c r="S1275" s="334">
        <f t="shared" si="665"/>
        <v>0.4</v>
      </c>
      <c r="T1275" s="31">
        <f>VLOOKUP(A1275,'Ansvar kurs'!$A$1:$C$1010,2,FALSE)</f>
        <v>1620</v>
      </c>
      <c r="U1275" s="31" t="str">
        <f>VLOOKUP(T1275,Orgenheter!$A$1:$C$165,2,FALSE)</f>
        <v>Inst för språkstudier</v>
      </c>
      <c r="V1275" s="31" t="str">
        <f>VLOOKUP(T1275,Orgenheter!$A$1:$C$165,3,FALSE)</f>
        <v>Hum</v>
      </c>
      <c r="W1275" s="37" t="str">
        <f>VLOOKUP(D1275,Program!$A$1:$B$34,2,FALSE)</f>
        <v>Fristående och övriga kurser</v>
      </c>
      <c r="X1275" s="42">
        <f>VLOOKUP(A1275,kurspris!$A$1:$Q$798,15,FALSE)</f>
        <v>18405</v>
      </c>
      <c r="Y1275" s="42">
        <f>VLOOKUP(A1275,kurspris!$A$1:$Q$798,16,FALSE)</f>
        <v>15773</v>
      </c>
      <c r="Z1275" s="42">
        <f t="shared" si="666"/>
        <v>15511.7</v>
      </c>
      <c r="AA1275" s="42">
        <f>VLOOKUP(A1275,kurspris!$A$1:$Q$798,17,FALSE)</f>
        <v>5800</v>
      </c>
      <c r="AB1275" s="42">
        <f t="shared" si="667"/>
        <v>2900</v>
      </c>
      <c r="AC1275" s="42">
        <f t="shared" si="668"/>
        <v>18411.7</v>
      </c>
      <c r="AD1275" s="31">
        <f>VLOOKUP($A1275,kurspris!$A$1:$Q$835,3,FALSE)</f>
        <v>0</v>
      </c>
      <c r="AE1275" s="31">
        <f>VLOOKUP($A1275,kurspris!$A$1:$Q$835,4,FALSE)</f>
        <v>1</v>
      </c>
      <c r="AF1275" s="31">
        <f>VLOOKUP($A1275,kurspris!$A$1:$Q$835,5,FALSE)</f>
        <v>0</v>
      </c>
      <c r="AG1275" s="31">
        <f>VLOOKUP($A1275,kurspris!$A$1:$Q$835,6,FALSE)</f>
        <v>0</v>
      </c>
      <c r="AH1275" s="31">
        <f>VLOOKUP($A1275,kurspris!$A$1:$Q$835,7,FALSE)</f>
        <v>0</v>
      </c>
      <c r="AI1275" s="31">
        <f>VLOOKUP($A1275,kurspris!$A$1:$Q$835,8,FALSE)</f>
        <v>0</v>
      </c>
      <c r="AJ1275" s="31">
        <f>VLOOKUP($A1275,kurspris!$A$1:$Q$835,9,FALSE)</f>
        <v>0</v>
      </c>
      <c r="AK1275" s="31">
        <f>VLOOKUP($A1275,kurspris!$A$1:$Q$835,10,FALSE)</f>
        <v>0</v>
      </c>
      <c r="AL1275" s="31">
        <f>VLOOKUP($A1275,kurspris!$A$1:$Q$835,11,FALSE)</f>
        <v>0</v>
      </c>
      <c r="AM1275" s="31">
        <f>VLOOKUP($A1275,kurspris!$A$1:$Q$835,12,FALSE)</f>
        <v>0</v>
      </c>
      <c r="AN1275" s="31">
        <f>VLOOKUP($A1275,kurspris!$A$1:$Q$835,13,FALSE)</f>
        <v>0</v>
      </c>
      <c r="AO1275" s="31">
        <f>VLOOKUP($A1275,kurspris!$A$1:$Q$835,14,FALSE)</f>
        <v>0</v>
      </c>
      <c r="AP1275" s="39" t="s">
        <v>2204</v>
      </c>
      <c r="AQ1275" s="39" t="s">
        <v>2095</v>
      </c>
      <c r="AR1275" s="31">
        <f t="shared" si="669"/>
        <v>0</v>
      </c>
      <c r="AS1275" s="255">
        <f t="shared" si="670"/>
        <v>0</v>
      </c>
      <c r="AT1275" s="31">
        <f t="shared" si="671"/>
        <v>0.5</v>
      </c>
      <c r="AU1275" s="255">
        <f t="shared" si="672"/>
        <v>0.4</v>
      </c>
      <c r="AV1275" s="31">
        <f t="shared" si="673"/>
        <v>0</v>
      </c>
      <c r="AW1275" s="31">
        <f t="shared" si="674"/>
        <v>0</v>
      </c>
      <c r="AX1275" s="31">
        <f t="shared" si="675"/>
        <v>0</v>
      </c>
      <c r="AY1275" s="255">
        <f t="shared" si="676"/>
        <v>0</v>
      </c>
      <c r="AZ1275" s="232">
        <f t="shared" si="677"/>
        <v>0</v>
      </c>
      <c r="BA1275" s="255">
        <f t="shared" si="678"/>
        <v>0</v>
      </c>
      <c r="BB1275" s="31">
        <f t="shared" si="679"/>
        <v>0</v>
      </c>
      <c r="BC1275" s="255">
        <f t="shared" si="680"/>
        <v>0</v>
      </c>
      <c r="BD1275" s="31">
        <f t="shared" si="681"/>
        <v>0</v>
      </c>
      <c r="BE1275" s="255">
        <f t="shared" si="682"/>
        <v>0</v>
      </c>
      <c r="BF1275" s="31">
        <f t="shared" si="683"/>
        <v>0</v>
      </c>
      <c r="BG1275" s="255">
        <f t="shared" si="684"/>
        <v>0</v>
      </c>
      <c r="BH1275" s="31">
        <f t="shared" si="685"/>
        <v>0</v>
      </c>
      <c r="BI1275" s="255">
        <f t="shared" si="686"/>
        <v>0</v>
      </c>
      <c r="BJ1275" s="31">
        <f t="shared" si="687"/>
        <v>0</v>
      </c>
      <c r="BK1275" s="31">
        <f t="shared" si="688"/>
        <v>0</v>
      </c>
      <c r="BL1275" s="255">
        <f t="shared" si="689"/>
        <v>0</v>
      </c>
      <c r="BM1275" s="31">
        <f t="shared" si="690"/>
        <v>0</v>
      </c>
      <c r="BN1275" s="255">
        <f t="shared" si="691"/>
        <v>0</v>
      </c>
    </row>
    <row r="1276" spans="1:68" x14ac:dyDescent="0.25">
      <c r="A1276" t="s">
        <v>1056</v>
      </c>
      <c r="B1276" s="186" t="str">
        <f>VLOOKUP(A1276,kurspris!$A$1:$B$877,2,FALSE)</f>
        <v>Tyska III för ämneslärare med inriktning mot gymnasiet</v>
      </c>
      <c r="C1276"/>
      <c r="D1276" t="s">
        <v>483</v>
      </c>
      <c r="E1276" t="s">
        <v>1609</v>
      </c>
      <c r="F1276" s="59" t="s">
        <v>1930</v>
      </c>
      <c r="G1276" t="s">
        <v>1995</v>
      </c>
      <c r="H1276" t="s">
        <v>1910</v>
      </c>
      <c r="I1276"/>
      <c r="J1276" t="s">
        <v>1593</v>
      </c>
      <c r="K1276"/>
      <c r="L1276">
        <v>100</v>
      </c>
      <c r="M1276">
        <v>30</v>
      </c>
      <c r="N1276"/>
      <c r="O1276"/>
      <c r="P1276" s="31">
        <v>1</v>
      </c>
      <c r="Q1276" s="232">
        <f t="shared" si="664"/>
        <v>0.5</v>
      </c>
      <c r="R1276" s="40">
        <v>0.85</v>
      </c>
      <c r="S1276" s="334">
        <f t="shared" si="665"/>
        <v>0.42499999999999999</v>
      </c>
      <c r="T1276" s="31">
        <f>VLOOKUP(A1276,'Ansvar kurs'!$A$1:$C$1010,2,FALSE)</f>
        <v>1620</v>
      </c>
      <c r="U1276" s="31" t="str">
        <f>VLOOKUP(T1276,Orgenheter!$A$1:$C$165,2,FALSE)</f>
        <v>Inst för språkstudier</v>
      </c>
      <c r="V1276" s="31" t="str">
        <f>VLOOKUP(T1276,Orgenheter!$A$1:$C$165,3,FALSE)</f>
        <v>Hum</v>
      </c>
      <c r="W1276" s="37" t="str">
        <f>VLOOKUP(D1276,Program!$A$1:$B$34,2,FALSE)</f>
        <v>Ämneslärarprogrammet - Gy</v>
      </c>
      <c r="X1276" s="42">
        <f>VLOOKUP(A1276,kurspris!$A$1:$Q$798,15,FALSE)</f>
        <v>18405</v>
      </c>
      <c r="Y1276" s="42">
        <f>VLOOKUP(A1276,kurspris!$A$1:$Q$798,16,FALSE)</f>
        <v>15773</v>
      </c>
      <c r="Z1276" s="42">
        <f t="shared" si="666"/>
        <v>15906.025</v>
      </c>
      <c r="AA1276" s="42">
        <f>VLOOKUP(A1276,kurspris!$A$1:$Q$798,17,FALSE)</f>
        <v>5800</v>
      </c>
      <c r="AB1276" s="42">
        <f t="shared" si="667"/>
        <v>2900</v>
      </c>
      <c r="AC1276" s="42">
        <f t="shared" si="668"/>
        <v>18806.025000000001</v>
      </c>
      <c r="AD1276" s="31">
        <f>VLOOKUP($A1276,kurspris!$A$1:$Q$835,3,FALSE)</f>
        <v>0</v>
      </c>
      <c r="AE1276" s="31">
        <f>VLOOKUP($A1276,kurspris!$A$1:$Q$835,4,FALSE)</f>
        <v>1</v>
      </c>
      <c r="AF1276" s="31">
        <f>VLOOKUP($A1276,kurspris!$A$1:$Q$835,5,FALSE)</f>
        <v>0</v>
      </c>
      <c r="AG1276" s="31">
        <f>VLOOKUP($A1276,kurspris!$A$1:$Q$835,6,FALSE)</f>
        <v>0</v>
      </c>
      <c r="AH1276" s="31">
        <f>VLOOKUP($A1276,kurspris!$A$1:$Q$835,7,FALSE)</f>
        <v>0</v>
      </c>
      <c r="AI1276" s="31">
        <f>VLOOKUP($A1276,kurspris!$A$1:$Q$835,8,FALSE)</f>
        <v>0</v>
      </c>
      <c r="AJ1276" s="31">
        <f>VLOOKUP($A1276,kurspris!$A$1:$Q$835,9,FALSE)</f>
        <v>0</v>
      </c>
      <c r="AK1276" s="31">
        <f>VLOOKUP($A1276,kurspris!$A$1:$Q$835,10,FALSE)</f>
        <v>0</v>
      </c>
      <c r="AL1276" s="31">
        <f>VLOOKUP($A1276,kurspris!$A$1:$Q$835,11,FALSE)</f>
        <v>0</v>
      </c>
      <c r="AM1276" s="31">
        <f>VLOOKUP($A1276,kurspris!$A$1:$Q$835,12,FALSE)</f>
        <v>0</v>
      </c>
      <c r="AN1276" s="31">
        <f>VLOOKUP($A1276,kurspris!$A$1:$Q$835,13,FALSE)</f>
        <v>0</v>
      </c>
      <c r="AO1276" s="31">
        <f>VLOOKUP($A1276,kurspris!$A$1:$Q$835,14,FALSE)</f>
        <v>0</v>
      </c>
      <c r="AP1276" s="39" t="s">
        <v>2204</v>
      </c>
      <c r="AQ1276"/>
      <c r="AR1276" s="31">
        <f t="shared" si="669"/>
        <v>0</v>
      </c>
      <c r="AS1276" s="255">
        <f t="shared" si="670"/>
        <v>0</v>
      </c>
      <c r="AT1276" s="31">
        <f t="shared" si="671"/>
        <v>0.5</v>
      </c>
      <c r="AU1276" s="255">
        <f t="shared" si="672"/>
        <v>0.42499999999999999</v>
      </c>
      <c r="AV1276" s="31">
        <f t="shared" si="673"/>
        <v>0</v>
      </c>
      <c r="AW1276" s="31">
        <f t="shared" si="674"/>
        <v>0</v>
      </c>
      <c r="AX1276" s="31">
        <f t="shared" si="675"/>
        <v>0</v>
      </c>
      <c r="AY1276" s="255">
        <f t="shared" si="676"/>
        <v>0</v>
      </c>
      <c r="AZ1276" s="232">
        <f t="shared" si="677"/>
        <v>0</v>
      </c>
      <c r="BA1276" s="255">
        <f t="shared" si="678"/>
        <v>0</v>
      </c>
      <c r="BB1276" s="31">
        <f t="shared" si="679"/>
        <v>0</v>
      </c>
      <c r="BC1276" s="255">
        <f t="shared" si="680"/>
        <v>0</v>
      </c>
      <c r="BD1276" s="31">
        <f t="shared" si="681"/>
        <v>0</v>
      </c>
      <c r="BE1276" s="255">
        <f t="shared" si="682"/>
        <v>0</v>
      </c>
      <c r="BF1276" s="31">
        <f t="shared" si="683"/>
        <v>0</v>
      </c>
      <c r="BG1276" s="255">
        <f t="shared" si="684"/>
        <v>0</v>
      </c>
      <c r="BH1276" s="31">
        <f t="shared" si="685"/>
        <v>0</v>
      </c>
      <c r="BI1276" s="255">
        <f t="shared" si="686"/>
        <v>0</v>
      </c>
      <c r="BJ1276" s="31">
        <f t="shared" si="687"/>
        <v>0</v>
      </c>
      <c r="BK1276" s="31">
        <f t="shared" si="688"/>
        <v>0</v>
      </c>
      <c r="BL1276" s="255">
        <f t="shared" si="689"/>
        <v>0</v>
      </c>
      <c r="BM1276" s="31">
        <f t="shared" si="690"/>
        <v>0</v>
      </c>
      <c r="BN1276" s="255">
        <f t="shared" si="691"/>
        <v>0</v>
      </c>
    </row>
    <row r="1277" spans="1:68" x14ac:dyDescent="0.25">
      <c r="A1277" s="18" t="s">
        <v>1901</v>
      </c>
      <c r="B1277" s="186" t="str">
        <f>VLOOKUP(A1277,kurspris!$A$1:$B$877,2,FALSE)</f>
        <v>Att undervisa i tyska (VFU)</v>
      </c>
      <c r="C1277" s="37"/>
      <c r="D1277" s="31" t="s">
        <v>483</v>
      </c>
      <c r="E1277" s="31" t="s">
        <v>1609</v>
      </c>
      <c r="F1277" s="59" t="s">
        <v>1931</v>
      </c>
      <c r="G1277" s="31" t="s">
        <v>2272</v>
      </c>
      <c r="J1277" t="s">
        <v>1593</v>
      </c>
      <c r="L1277" s="31">
        <v>100</v>
      </c>
      <c r="M1277" s="31">
        <v>6</v>
      </c>
      <c r="P1277" s="31">
        <v>1</v>
      </c>
      <c r="Q1277" s="232">
        <f t="shared" si="664"/>
        <v>0.1</v>
      </c>
      <c r="R1277" s="40">
        <v>0.85</v>
      </c>
      <c r="S1277" s="334">
        <f t="shared" si="665"/>
        <v>8.5000000000000006E-2</v>
      </c>
      <c r="T1277" s="31">
        <f>VLOOKUP(A1277,'Ansvar kurs'!$A$1:$C$1010,2,FALSE)</f>
        <v>1620</v>
      </c>
      <c r="U1277" s="31" t="str">
        <f>VLOOKUP(T1277,Orgenheter!$A$1:$C$165,2,FALSE)</f>
        <v>Inst för språkstudier</v>
      </c>
      <c r="V1277" s="31" t="str">
        <f>VLOOKUP(T1277,Orgenheter!$A$1:$C$165,3,FALSE)</f>
        <v>Hum</v>
      </c>
      <c r="W1277" s="37" t="str">
        <f>VLOOKUP(D1277,Program!$A$1:$B$34,2,FALSE)</f>
        <v>Ämneslärarprogrammet - Gy</v>
      </c>
      <c r="X1277" s="42">
        <f>VLOOKUP(A1277,kurspris!$A$1:$Q$798,15,FALSE)</f>
        <v>21634</v>
      </c>
      <c r="Y1277" s="42">
        <f>VLOOKUP(A1277,kurspris!$A$1:$Q$798,16,FALSE)</f>
        <v>26986</v>
      </c>
      <c r="Z1277" s="42">
        <f t="shared" si="666"/>
        <v>4457.21</v>
      </c>
      <c r="AA1277" s="42">
        <f>VLOOKUP(A1277,kurspris!$A$1:$Q$798,17,FALSE)</f>
        <v>3400</v>
      </c>
      <c r="AB1277" s="42">
        <f t="shared" si="667"/>
        <v>340</v>
      </c>
      <c r="AC1277" s="42">
        <f t="shared" si="668"/>
        <v>4797.21</v>
      </c>
      <c r="AD1277" s="31">
        <f>VLOOKUP($A1277,kurspris!$A$1:$Q$835,3,FALSE)</f>
        <v>0</v>
      </c>
      <c r="AE1277" s="31">
        <f>VLOOKUP($A1277,kurspris!$A$1:$Q$835,4,FALSE)</f>
        <v>0</v>
      </c>
      <c r="AF1277" s="31">
        <f>VLOOKUP($A1277,kurspris!$A$1:$Q$835,5,FALSE)</f>
        <v>0</v>
      </c>
      <c r="AG1277" s="31">
        <f>VLOOKUP($A1277,kurspris!$A$1:$Q$835,6,FALSE)</f>
        <v>0</v>
      </c>
      <c r="AH1277" s="31">
        <f>VLOOKUP($A1277,kurspris!$A$1:$Q$835,7,FALSE)</f>
        <v>0</v>
      </c>
      <c r="AI1277" s="31">
        <f>VLOOKUP($A1277,kurspris!$A$1:$Q$835,8,FALSE)</f>
        <v>0</v>
      </c>
      <c r="AJ1277" s="31">
        <f>VLOOKUP($A1277,kurspris!$A$1:$Q$835,9,FALSE)</f>
        <v>0</v>
      </c>
      <c r="AK1277" s="31">
        <f>VLOOKUP($A1277,kurspris!$A$1:$Q$835,10,FALSE)</f>
        <v>0</v>
      </c>
      <c r="AL1277" s="31">
        <f>VLOOKUP($A1277,kurspris!$A$1:$Q$835,11,FALSE)</f>
        <v>1</v>
      </c>
      <c r="AM1277" s="31">
        <f>VLOOKUP($A1277,kurspris!$A$1:$Q$835,12,FALSE)</f>
        <v>0</v>
      </c>
      <c r="AN1277" s="31">
        <f>VLOOKUP($A1277,kurspris!$A$1:$Q$835,13,FALSE)</f>
        <v>0</v>
      </c>
      <c r="AO1277" s="31">
        <f>VLOOKUP($A1277,kurspris!$A$1:$Q$835,14,FALSE)</f>
        <v>0</v>
      </c>
      <c r="AP1277" s="39" t="s">
        <v>2326</v>
      </c>
      <c r="AQ1277"/>
      <c r="AR1277" s="31">
        <f t="shared" si="669"/>
        <v>0</v>
      </c>
      <c r="AS1277" s="255">
        <f t="shared" si="670"/>
        <v>0</v>
      </c>
      <c r="AT1277" s="31">
        <f t="shared" si="671"/>
        <v>0</v>
      </c>
      <c r="AU1277" s="255">
        <f t="shared" si="672"/>
        <v>0</v>
      </c>
      <c r="AV1277" s="31">
        <f t="shared" si="673"/>
        <v>0</v>
      </c>
      <c r="AW1277" s="31">
        <f t="shared" si="674"/>
        <v>0</v>
      </c>
      <c r="AX1277" s="31">
        <f t="shared" si="675"/>
        <v>0</v>
      </c>
      <c r="AY1277" s="255">
        <f t="shared" si="676"/>
        <v>0</v>
      </c>
      <c r="AZ1277" s="232">
        <f t="shared" si="677"/>
        <v>0</v>
      </c>
      <c r="BA1277" s="255">
        <f t="shared" si="678"/>
        <v>0</v>
      </c>
      <c r="BB1277" s="31">
        <f t="shared" si="679"/>
        <v>0</v>
      </c>
      <c r="BC1277" s="255">
        <f t="shared" si="680"/>
        <v>0</v>
      </c>
      <c r="BD1277" s="31">
        <f t="shared" si="681"/>
        <v>0</v>
      </c>
      <c r="BE1277" s="255">
        <f t="shared" si="682"/>
        <v>0</v>
      </c>
      <c r="BF1277" s="31">
        <f t="shared" si="683"/>
        <v>0</v>
      </c>
      <c r="BG1277" s="255">
        <f t="shared" si="684"/>
        <v>0</v>
      </c>
      <c r="BH1277" s="31">
        <f t="shared" si="685"/>
        <v>0.1</v>
      </c>
      <c r="BI1277" s="255">
        <f t="shared" si="686"/>
        <v>8.5000000000000006E-2</v>
      </c>
      <c r="BJ1277" s="31">
        <f t="shared" si="687"/>
        <v>0</v>
      </c>
      <c r="BK1277" s="31">
        <f t="shared" si="688"/>
        <v>0</v>
      </c>
      <c r="BL1277" s="255">
        <f t="shared" si="689"/>
        <v>0</v>
      </c>
      <c r="BM1277" s="31">
        <f t="shared" si="690"/>
        <v>0</v>
      </c>
      <c r="BN1277" s="255">
        <f t="shared" si="691"/>
        <v>0</v>
      </c>
    </row>
    <row r="1278" spans="1:68" x14ac:dyDescent="0.25">
      <c r="A1278" s="18" t="s">
        <v>2240</v>
      </c>
      <c r="B1278" s="186" t="str">
        <f>VLOOKUP(A1278,kurspris!$A$1:$B$877,2,FALSE)</f>
        <v>Tyska för ämneslärare, kurs 2</v>
      </c>
      <c r="C1278" s="37"/>
      <c r="D1278" s="31" t="s">
        <v>483</v>
      </c>
      <c r="E1278" s="31" t="s">
        <v>1609</v>
      </c>
      <c r="F1278" s="59" t="s">
        <v>1931</v>
      </c>
      <c r="G1278" s="31" t="s">
        <v>2276</v>
      </c>
      <c r="J1278" t="s">
        <v>1593</v>
      </c>
      <c r="L1278" s="31">
        <v>100</v>
      </c>
      <c r="M1278" s="31">
        <v>30</v>
      </c>
      <c r="P1278" s="31">
        <v>1</v>
      </c>
      <c r="Q1278" s="232">
        <f t="shared" si="664"/>
        <v>0.5</v>
      </c>
      <c r="R1278" s="40">
        <v>0.85</v>
      </c>
      <c r="S1278" s="334">
        <f t="shared" si="665"/>
        <v>0.42499999999999999</v>
      </c>
      <c r="T1278" s="31">
        <f>VLOOKUP(A1278,'Ansvar kurs'!$A$1:$C$1010,2,FALSE)</f>
        <v>1620</v>
      </c>
      <c r="U1278" s="31" t="str">
        <f>VLOOKUP(T1278,Orgenheter!$A$1:$C$165,2,FALSE)</f>
        <v>Inst för språkstudier</v>
      </c>
      <c r="V1278" s="31" t="str">
        <f>VLOOKUP(T1278,Orgenheter!$A$1:$C$165,3,FALSE)</f>
        <v>Hum</v>
      </c>
      <c r="W1278" s="37" t="str">
        <f>VLOOKUP(D1278,Program!$A$1:$B$34,2,FALSE)</f>
        <v>Ämneslärarprogrammet - Gy</v>
      </c>
      <c r="X1278" s="42">
        <f>VLOOKUP(A1278,kurspris!$A$1:$Q$798,15,FALSE)</f>
        <v>18405</v>
      </c>
      <c r="Y1278" s="42">
        <f>VLOOKUP(A1278,kurspris!$A$1:$Q$798,16,FALSE)</f>
        <v>15773</v>
      </c>
      <c r="Z1278" s="42">
        <f t="shared" si="666"/>
        <v>15906.025</v>
      </c>
      <c r="AA1278" s="42">
        <f>VLOOKUP(A1278,kurspris!$A$1:$Q$798,17,FALSE)</f>
        <v>5800</v>
      </c>
      <c r="AB1278" s="42">
        <f t="shared" si="667"/>
        <v>2900</v>
      </c>
      <c r="AC1278" s="42">
        <f t="shared" si="668"/>
        <v>18806.025000000001</v>
      </c>
      <c r="AD1278" s="31">
        <f>VLOOKUP($A1278,kurspris!$A$1:$Q$835,3,FALSE)</f>
        <v>0</v>
      </c>
      <c r="AE1278" s="31">
        <f>VLOOKUP($A1278,kurspris!$A$1:$Q$835,4,FALSE)</f>
        <v>1</v>
      </c>
      <c r="AF1278" s="31">
        <f>VLOOKUP($A1278,kurspris!$A$1:$Q$835,5,FALSE)</f>
        <v>0</v>
      </c>
      <c r="AG1278" s="31">
        <f>VLOOKUP($A1278,kurspris!$A$1:$Q$835,6,FALSE)</f>
        <v>0</v>
      </c>
      <c r="AH1278" s="31">
        <f>VLOOKUP($A1278,kurspris!$A$1:$Q$835,7,FALSE)</f>
        <v>0</v>
      </c>
      <c r="AI1278" s="31">
        <f>VLOOKUP($A1278,kurspris!$A$1:$Q$835,8,FALSE)</f>
        <v>0</v>
      </c>
      <c r="AJ1278" s="31">
        <f>VLOOKUP($A1278,kurspris!$A$1:$Q$835,9,FALSE)</f>
        <v>0</v>
      </c>
      <c r="AK1278" s="31">
        <f>VLOOKUP($A1278,kurspris!$A$1:$Q$835,10,FALSE)</f>
        <v>0</v>
      </c>
      <c r="AL1278" s="31">
        <f>VLOOKUP($A1278,kurspris!$A$1:$Q$835,11,FALSE)</f>
        <v>0</v>
      </c>
      <c r="AM1278" s="31">
        <f>VLOOKUP($A1278,kurspris!$A$1:$Q$835,12,FALSE)</f>
        <v>0</v>
      </c>
      <c r="AN1278" s="31">
        <f>VLOOKUP($A1278,kurspris!$A$1:$Q$835,13,FALSE)</f>
        <v>0</v>
      </c>
      <c r="AO1278" s="31">
        <f>VLOOKUP($A1278,kurspris!$A$1:$Q$835,14,FALSE)</f>
        <v>0</v>
      </c>
      <c r="AP1278" s="39" t="s">
        <v>2326</v>
      </c>
      <c r="AQ1278"/>
      <c r="AR1278" s="31">
        <f t="shared" si="669"/>
        <v>0</v>
      </c>
      <c r="AS1278" s="255">
        <f t="shared" si="670"/>
        <v>0</v>
      </c>
      <c r="AT1278" s="31">
        <f t="shared" si="671"/>
        <v>0.5</v>
      </c>
      <c r="AU1278" s="255">
        <f t="shared" si="672"/>
        <v>0.42499999999999999</v>
      </c>
      <c r="AV1278" s="31">
        <f t="shared" si="673"/>
        <v>0</v>
      </c>
      <c r="AW1278" s="31">
        <f t="shared" si="674"/>
        <v>0</v>
      </c>
      <c r="AX1278" s="31">
        <f t="shared" si="675"/>
        <v>0</v>
      </c>
      <c r="AY1278" s="255">
        <f t="shared" si="676"/>
        <v>0</v>
      </c>
      <c r="AZ1278" s="232">
        <f t="shared" si="677"/>
        <v>0</v>
      </c>
      <c r="BA1278" s="255">
        <f t="shared" si="678"/>
        <v>0</v>
      </c>
      <c r="BB1278" s="31">
        <f t="shared" si="679"/>
        <v>0</v>
      </c>
      <c r="BC1278" s="255">
        <f t="shared" si="680"/>
        <v>0</v>
      </c>
      <c r="BD1278" s="31">
        <f t="shared" si="681"/>
        <v>0</v>
      </c>
      <c r="BE1278" s="255">
        <f t="shared" si="682"/>
        <v>0</v>
      </c>
      <c r="BF1278" s="31">
        <f t="shared" si="683"/>
        <v>0</v>
      </c>
      <c r="BG1278" s="255">
        <f t="shared" si="684"/>
        <v>0</v>
      </c>
      <c r="BH1278" s="31">
        <f t="shared" si="685"/>
        <v>0</v>
      </c>
      <c r="BI1278" s="255">
        <f t="shared" si="686"/>
        <v>0</v>
      </c>
      <c r="BJ1278" s="31">
        <f t="shared" si="687"/>
        <v>0</v>
      </c>
      <c r="BK1278" s="31">
        <f t="shared" si="688"/>
        <v>0</v>
      </c>
      <c r="BL1278" s="255">
        <f t="shared" si="689"/>
        <v>0</v>
      </c>
      <c r="BM1278" s="31">
        <f t="shared" si="690"/>
        <v>0</v>
      </c>
      <c r="BN1278" s="255">
        <f t="shared" si="691"/>
        <v>0</v>
      </c>
    </row>
    <row r="1279" spans="1:68" x14ac:dyDescent="0.25">
      <c r="B1279" s="186"/>
      <c r="C1279" s="36"/>
      <c r="D1279" s="39"/>
      <c r="E1279"/>
      <c r="G1279"/>
      <c r="H1279"/>
      <c r="J1279"/>
      <c r="K1279"/>
      <c r="L1279" s="19"/>
      <c r="M1279" s="228"/>
      <c r="N1279" s="228"/>
      <c r="O1279" s="228"/>
      <c r="P1279" s="38"/>
      <c r="Q1279" s="232"/>
      <c r="R1279" s="40"/>
      <c r="S1279" s="44"/>
      <c r="W1279" s="37"/>
      <c r="AP1279" s="39"/>
      <c r="AQ1279"/>
      <c r="AY1279" s="255"/>
      <c r="AZ1279" s="232"/>
      <c r="BA1279" s="255"/>
      <c r="BC1279" s="255"/>
      <c r="BE1279" s="255"/>
      <c r="BG1279" s="255"/>
      <c r="BI1279" s="255"/>
      <c r="BL1279" s="255"/>
      <c r="BN1279" s="255"/>
    </row>
    <row r="1280" spans="1:68" x14ac:dyDescent="0.25">
      <c r="A1280" s="237"/>
      <c r="B1280" s="381"/>
      <c r="C1280" s="239"/>
      <c r="D1280" s="240"/>
      <c r="E1280" s="237"/>
      <c r="F1280" s="240"/>
      <c r="G1280" s="237"/>
      <c r="H1280" s="237"/>
      <c r="I1280" s="237"/>
      <c r="J1280" s="237"/>
      <c r="K1280" s="237"/>
      <c r="L1280" s="241"/>
      <c r="M1280" s="238"/>
      <c r="N1280" s="238"/>
      <c r="O1280" s="238"/>
      <c r="P1280" s="242"/>
      <c r="Q1280" s="243"/>
      <c r="R1280" s="241"/>
      <c r="S1280" s="244"/>
      <c r="T1280" s="237"/>
      <c r="U1280" s="237"/>
      <c r="V1280" s="237"/>
      <c r="W1280" s="239"/>
      <c r="X1280" s="245"/>
      <c r="Y1280" s="245"/>
      <c r="Z1280" s="245"/>
      <c r="AA1280" s="245"/>
      <c r="AB1280" s="245"/>
      <c r="AC1280" s="245"/>
      <c r="AD1280" s="237"/>
      <c r="AE1280" s="237"/>
      <c r="AF1280" s="237"/>
      <c r="AG1280" s="237"/>
      <c r="AH1280" s="237"/>
      <c r="AI1280" s="237"/>
      <c r="AJ1280" s="237"/>
      <c r="AK1280" s="237"/>
      <c r="AL1280" s="237"/>
      <c r="AM1280" s="237"/>
      <c r="AN1280" s="237"/>
      <c r="AO1280" s="237"/>
      <c r="AP1280" s="240"/>
      <c r="AQ1280" s="240" t="s">
        <v>154</v>
      </c>
      <c r="AR1280" s="246">
        <f t="shared" ref="AR1280:BN1280" si="692">SUM(AR1:AR1279)</f>
        <v>43.0625</v>
      </c>
      <c r="AS1280" s="246">
        <f t="shared" si="692"/>
        <v>35.449999999999989</v>
      </c>
      <c r="AT1280" s="246">
        <f t="shared" si="692"/>
        <v>379.10416666666663</v>
      </c>
      <c r="AU1280" s="246">
        <f t="shared" si="692"/>
        <v>319.50833333333367</v>
      </c>
      <c r="AV1280" s="246">
        <f t="shared" si="692"/>
        <v>40.5</v>
      </c>
      <c r="AW1280" s="246">
        <f t="shared" si="692"/>
        <v>34.125</v>
      </c>
      <c r="AX1280" s="246">
        <f t="shared" si="692"/>
        <v>412.3603333333333</v>
      </c>
      <c r="AY1280" s="246">
        <f t="shared" si="692"/>
        <v>350.47294999999946</v>
      </c>
      <c r="AZ1280" s="246">
        <f t="shared" si="692"/>
        <v>26.125</v>
      </c>
      <c r="BA1280" s="246">
        <f t="shared" si="692"/>
        <v>21.475000000000005</v>
      </c>
      <c r="BB1280" s="246">
        <f t="shared" si="692"/>
        <v>232.5</v>
      </c>
      <c r="BC1280" s="246">
        <f t="shared" si="692"/>
        <v>194.5812499999999</v>
      </c>
      <c r="BD1280" s="246">
        <f t="shared" si="692"/>
        <v>510.4354166666667</v>
      </c>
      <c r="BE1280" s="246">
        <f t="shared" si="692"/>
        <v>426.24510416666652</v>
      </c>
      <c r="BF1280" s="246">
        <f t="shared" si="692"/>
        <v>88.925000000000011</v>
      </c>
      <c r="BG1280" s="246">
        <f t="shared" si="692"/>
        <v>71.876249999999985</v>
      </c>
      <c r="BH1280" s="246">
        <f t="shared" si="692"/>
        <v>164.08258333333328</v>
      </c>
      <c r="BI1280" s="246">
        <f t="shared" si="692"/>
        <v>139.29519583333339</v>
      </c>
      <c r="BJ1280" s="246">
        <f t="shared" si="692"/>
        <v>0</v>
      </c>
      <c r="BK1280" s="246">
        <f t="shared" si="692"/>
        <v>54.174999999999997</v>
      </c>
      <c r="BL1280" s="246">
        <f t="shared" si="692"/>
        <v>45.408750000000005</v>
      </c>
      <c r="BM1280" s="246">
        <f t="shared" si="692"/>
        <v>39.083333333333329</v>
      </c>
      <c r="BN1280" s="246">
        <f t="shared" si="692"/>
        <v>33.220833333333331</v>
      </c>
      <c r="BP1280" s="256"/>
    </row>
    <row r="1281" spans="2:53" x14ac:dyDescent="0.25">
      <c r="B1281" s="186"/>
      <c r="C1281" s="36"/>
      <c r="N1281" s="228"/>
      <c r="O1281" s="228"/>
      <c r="P1281" s="38"/>
      <c r="Q1281" s="232">
        <f>SUM(Q1:Q1279)</f>
        <v>1990.353333333333</v>
      </c>
      <c r="R1281" s="40"/>
      <c r="S1281" s="44">
        <f>SUM(S1:S1279)</f>
        <v>1671.6586666666683</v>
      </c>
      <c r="W1281" s="37"/>
      <c r="AP1281" s="39"/>
      <c r="AQ1281" s="31" t="s">
        <v>813</v>
      </c>
      <c r="AR1281" s="31">
        <v>37</v>
      </c>
      <c r="AS1281" s="31">
        <v>37</v>
      </c>
      <c r="AZ1281" s="232">
        <v>10</v>
      </c>
      <c r="BA1281" s="232">
        <v>10</v>
      </c>
    </row>
    <row r="1282" spans="2:53" x14ac:dyDescent="0.25">
      <c r="R1282" s="40"/>
      <c r="S1282" s="31"/>
      <c r="X1282" s="31"/>
      <c r="Y1282" s="31"/>
      <c r="Z1282" s="31"/>
      <c r="AA1282" s="31"/>
      <c r="AB1282" s="31"/>
      <c r="AC1282" s="31"/>
      <c r="AQ1282" s="31" t="s">
        <v>814</v>
      </c>
      <c r="AR1282" s="31">
        <f>IF(AR1280&gt;AR1281,AR1280-AR1281,0)</f>
        <v>6.0625</v>
      </c>
      <c r="AS1282" s="31">
        <f>IF(AS1280&gt;AS1281,AS1280-AS1281,0)</f>
        <v>0</v>
      </c>
      <c r="AZ1282" s="31">
        <f>IF(AZ1280&gt;AZ1281,AZ1280-AZ1281,0)</f>
        <v>16.125</v>
      </c>
      <c r="BA1282" s="31">
        <f>IF(BA1280&gt;BA1281,BA1280-BA1281,0)</f>
        <v>11.475000000000005</v>
      </c>
    </row>
    <row r="1283" spans="2:53" x14ac:dyDescent="0.25">
      <c r="S1283" s="31"/>
      <c r="X1283" s="31"/>
      <c r="Y1283" s="31"/>
      <c r="Z1283" s="31"/>
      <c r="AA1283" s="31"/>
      <c r="AB1283" s="31"/>
      <c r="AC1283" s="31"/>
      <c r="AQ1283" s="31" t="s">
        <v>815</v>
      </c>
      <c r="AR1283" s="42">
        <f>(AR1282*Prislapp!$H$2)-(AR1282*Prislapp!$C$2)</f>
        <v>-172684.25</v>
      </c>
      <c r="AS1283" s="42">
        <f>(AS1282*Prislapp!$H$3)-(AS1282*Prislapp!$C$3)</f>
        <v>0</v>
      </c>
      <c r="AZ1283" s="42">
        <f>(AZ1282*Prislapp!$H$2)-(AZ1282*Prislapp!$G$2)</f>
        <v>-182680.125</v>
      </c>
      <c r="BA1283" s="42">
        <f>(BA1282*Prislapp!$H$3)-(BA1282*Prislapp!$G$3)</f>
        <v>-332671.72500000015</v>
      </c>
    </row>
    <row r="1284" spans="2:53" x14ac:dyDescent="0.25">
      <c r="S1284" s="31"/>
      <c r="X1284" s="31"/>
      <c r="Y1284" s="31"/>
      <c r="Z1284" s="31"/>
      <c r="AA1284" s="31"/>
      <c r="AB1284" s="31"/>
      <c r="AC1284" s="31"/>
      <c r="AQ1284" s="31" t="s">
        <v>862</v>
      </c>
      <c r="AR1284" s="42">
        <f>(AR1282*Prislapp!$H$5)-(AR1282*Prislapp!$C$5)</f>
        <v>-286150</v>
      </c>
      <c r="AS1284" s="42"/>
      <c r="AZ1284" s="42">
        <f>(AZ1282*Prislapp!$H$5)-(AZ1282*Prislapp!$G$5)</f>
        <v>-778837.5</v>
      </c>
      <c r="BA1284" s="42"/>
    </row>
    <row r="1285" spans="2:53" x14ac:dyDescent="0.25">
      <c r="S1285" s="31"/>
      <c r="X1285" s="31"/>
      <c r="Y1285" s="31"/>
      <c r="Z1285" s="31"/>
      <c r="AA1285" s="31"/>
      <c r="AB1285" s="31"/>
      <c r="AC1285" s="31"/>
      <c r="AQ1285" s="59" t="s">
        <v>816</v>
      </c>
      <c r="AR1285" s="42">
        <f>SUM(AR1283:AR1284)</f>
        <v>-458834.25</v>
      </c>
      <c r="AS1285" s="42">
        <f>SUM(AS1283:AS1284)</f>
        <v>0</v>
      </c>
      <c r="AZ1285" s="42">
        <f>SUM(AZ1283:AZ1284)</f>
        <v>-961517.625</v>
      </c>
      <c r="BA1285" s="42">
        <f>SUM(BA1283:BA1284)</f>
        <v>-332671.72500000015</v>
      </c>
    </row>
    <row r="1286" spans="2:53" x14ac:dyDescent="0.25">
      <c r="S1286" s="31"/>
      <c r="X1286" s="31"/>
      <c r="Y1286" s="31"/>
      <c r="Z1286" s="31"/>
      <c r="AA1286" s="31"/>
      <c r="AB1286" s="31"/>
      <c r="AC1286" s="31"/>
    </row>
    <row r="1287" spans="2:53" x14ac:dyDescent="0.25">
      <c r="S1287" s="31"/>
      <c r="X1287" s="31"/>
      <c r="Y1287" s="31"/>
      <c r="Z1287" s="31"/>
      <c r="AA1287" s="31"/>
      <c r="AB1287" s="31"/>
      <c r="AC1287" s="31"/>
    </row>
    <row r="1288" spans="2:53" x14ac:dyDescent="0.25">
      <c r="S1288" s="31"/>
      <c r="X1288" s="31"/>
      <c r="Y1288" s="31"/>
      <c r="Z1288" s="31"/>
      <c r="AA1288" s="31"/>
      <c r="AB1288" s="31"/>
      <c r="AC1288" s="31"/>
    </row>
    <row r="1289" spans="2:53" x14ac:dyDescent="0.25">
      <c r="S1289" s="31"/>
      <c r="X1289" s="31"/>
      <c r="Y1289" s="31"/>
      <c r="Z1289" s="31"/>
      <c r="AA1289" s="31"/>
      <c r="AB1289" s="31"/>
      <c r="AC1289" s="31"/>
    </row>
    <row r="1290" spans="2:53" x14ac:dyDescent="0.25">
      <c r="S1290" s="31"/>
      <c r="X1290" s="31"/>
      <c r="Y1290" s="31"/>
      <c r="Z1290" s="31"/>
      <c r="AA1290" s="31"/>
      <c r="AB1290" s="31"/>
      <c r="AC1290" s="31"/>
    </row>
    <row r="1291" spans="2:53" x14ac:dyDescent="0.25">
      <c r="S1291" s="31"/>
      <c r="X1291" s="31"/>
      <c r="Y1291" s="31"/>
      <c r="Z1291" s="31"/>
      <c r="AA1291" s="31"/>
      <c r="AB1291" s="31"/>
      <c r="AC1291" s="31"/>
    </row>
    <row r="1292" spans="2:53" x14ac:dyDescent="0.25">
      <c r="S1292" s="31"/>
      <c r="X1292" s="31"/>
      <c r="Y1292" s="31"/>
      <c r="Z1292" s="31"/>
      <c r="AA1292" s="31"/>
      <c r="AB1292" s="31"/>
      <c r="AC1292" s="31"/>
    </row>
    <row r="1293" spans="2:53" x14ac:dyDescent="0.25">
      <c r="S1293" s="31"/>
      <c r="X1293" s="31"/>
      <c r="Y1293" s="31"/>
      <c r="Z1293" s="31"/>
      <c r="AA1293" s="31"/>
      <c r="AB1293" s="31"/>
      <c r="AC1293" s="31"/>
    </row>
    <row r="1294" spans="2:53" x14ac:dyDescent="0.25">
      <c r="S1294" s="31"/>
      <c r="X1294" s="31"/>
      <c r="Y1294" s="31"/>
      <c r="Z1294" s="31"/>
      <c r="AA1294" s="31"/>
      <c r="AB1294" s="31"/>
      <c r="AC1294" s="31"/>
    </row>
    <row r="1295" spans="2:53" x14ac:dyDescent="0.25">
      <c r="S1295" s="31"/>
      <c r="X1295" s="31"/>
      <c r="Y1295" s="31"/>
      <c r="Z1295" s="31"/>
      <c r="AA1295" s="31"/>
      <c r="AB1295" s="31"/>
      <c r="AC1295" s="31"/>
    </row>
    <row r="1296" spans="2:53" x14ac:dyDescent="0.25">
      <c r="S1296" s="31"/>
      <c r="X1296" s="31"/>
      <c r="Y1296" s="31"/>
      <c r="Z1296" s="31"/>
      <c r="AA1296" s="31"/>
      <c r="AB1296" s="31"/>
      <c r="AC1296" s="31"/>
    </row>
    <row r="1297" spans="19:29" x14ac:dyDescent="0.25">
      <c r="S1297" s="31"/>
      <c r="X1297" s="31"/>
      <c r="Y1297" s="31"/>
      <c r="Z1297" s="31"/>
      <c r="AA1297" s="31"/>
      <c r="AB1297" s="31"/>
      <c r="AC1297" s="31"/>
    </row>
    <row r="1298" spans="19:29" x14ac:dyDescent="0.25">
      <c r="S1298" s="31"/>
      <c r="X1298" s="31"/>
      <c r="Y1298" s="31"/>
      <c r="Z1298" s="31"/>
      <c r="AA1298" s="31"/>
      <c r="AB1298" s="31"/>
      <c r="AC1298" s="31"/>
    </row>
    <row r="1299" spans="19:29" x14ac:dyDescent="0.25">
      <c r="S1299" s="31"/>
      <c r="X1299" s="31"/>
      <c r="Y1299" s="31"/>
      <c r="Z1299" s="31"/>
      <c r="AA1299" s="31"/>
      <c r="AB1299" s="31"/>
      <c r="AC1299" s="31"/>
    </row>
    <row r="1300" spans="19:29" x14ac:dyDescent="0.25">
      <c r="S1300" s="31"/>
      <c r="X1300" s="31"/>
      <c r="Y1300" s="31"/>
      <c r="Z1300" s="31"/>
      <c r="AA1300" s="31"/>
      <c r="AB1300" s="31"/>
      <c r="AC1300" s="31"/>
    </row>
    <row r="1301" spans="19:29" x14ac:dyDescent="0.25">
      <c r="S1301" s="31"/>
      <c r="X1301" s="31"/>
      <c r="Y1301" s="31"/>
      <c r="Z1301" s="31"/>
      <c r="AA1301" s="31"/>
      <c r="AB1301" s="31"/>
      <c r="AC1301" s="31"/>
    </row>
    <row r="1302" spans="19:29" x14ac:dyDescent="0.25">
      <c r="S1302" s="31"/>
      <c r="X1302" s="31"/>
      <c r="Y1302" s="31"/>
      <c r="Z1302" s="31"/>
      <c r="AA1302" s="31"/>
      <c r="AB1302" s="31"/>
      <c r="AC1302" s="31"/>
    </row>
    <row r="1303" spans="19:29" x14ac:dyDescent="0.25">
      <c r="S1303" s="31"/>
      <c r="X1303" s="31"/>
      <c r="Y1303" s="31"/>
      <c r="Z1303" s="31"/>
      <c r="AA1303" s="31"/>
      <c r="AB1303" s="31"/>
      <c r="AC1303" s="31"/>
    </row>
    <row r="1304" spans="19:29" x14ac:dyDescent="0.25">
      <c r="S1304" s="31"/>
      <c r="X1304" s="31"/>
      <c r="Y1304" s="31"/>
      <c r="Z1304" s="31"/>
      <c r="AA1304" s="31"/>
      <c r="AB1304" s="31"/>
      <c r="AC1304" s="31"/>
    </row>
    <row r="1305" spans="19:29" x14ac:dyDescent="0.25">
      <c r="S1305" s="31"/>
      <c r="X1305" s="31"/>
      <c r="Y1305" s="31"/>
      <c r="Z1305" s="31"/>
      <c r="AA1305" s="31"/>
      <c r="AB1305" s="31"/>
      <c r="AC1305" s="31"/>
    </row>
    <row r="1306" spans="19:29" x14ac:dyDescent="0.25">
      <c r="S1306" s="31"/>
      <c r="X1306" s="31"/>
      <c r="Y1306" s="31"/>
      <c r="Z1306" s="31"/>
      <c r="AA1306" s="31"/>
      <c r="AB1306" s="31"/>
      <c r="AC1306" s="31"/>
    </row>
    <row r="1307" spans="19:29" x14ac:dyDescent="0.25">
      <c r="S1307" s="31"/>
      <c r="X1307" s="31"/>
      <c r="Y1307" s="31"/>
      <c r="Z1307" s="31"/>
      <c r="AA1307" s="31"/>
      <c r="AB1307" s="31"/>
      <c r="AC1307" s="31"/>
    </row>
    <row r="1308" spans="19:29" x14ac:dyDescent="0.25">
      <c r="S1308" s="31"/>
      <c r="X1308" s="31"/>
      <c r="Y1308" s="31"/>
      <c r="Z1308" s="31"/>
      <c r="AA1308" s="31"/>
      <c r="AB1308" s="31"/>
      <c r="AC1308" s="31"/>
    </row>
    <row r="1309" spans="19:29" x14ac:dyDescent="0.25">
      <c r="S1309" s="31"/>
      <c r="X1309" s="31"/>
      <c r="Y1309" s="31"/>
      <c r="Z1309" s="31"/>
      <c r="AA1309" s="31"/>
      <c r="AB1309" s="31"/>
      <c r="AC1309" s="31"/>
    </row>
    <row r="1310" spans="19:29" x14ac:dyDescent="0.25">
      <c r="S1310" s="31"/>
      <c r="X1310" s="31"/>
      <c r="Y1310" s="31"/>
      <c r="Z1310" s="31"/>
      <c r="AA1310" s="31"/>
      <c r="AB1310" s="31"/>
      <c r="AC1310" s="31"/>
    </row>
    <row r="1311" spans="19:29" x14ac:dyDescent="0.25">
      <c r="S1311" s="31"/>
      <c r="X1311" s="31"/>
      <c r="Y1311" s="31"/>
      <c r="Z1311" s="31"/>
      <c r="AA1311" s="31"/>
      <c r="AB1311" s="31"/>
      <c r="AC1311" s="31"/>
    </row>
    <row r="1312" spans="19:29" x14ac:dyDescent="0.25">
      <c r="S1312" s="31"/>
      <c r="X1312" s="31"/>
      <c r="Y1312" s="31"/>
      <c r="Z1312" s="31"/>
      <c r="AA1312" s="31"/>
      <c r="AB1312" s="31"/>
      <c r="AC1312" s="31"/>
    </row>
    <row r="1313" spans="19:29" x14ac:dyDescent="0.25">
      <c r="S1313" s="31"/>
      <c r="X1313" s="31"/>
      <c r="Y1313" s="31"/>
      <c r="Z1313" s="31"/>
      <c r="AA1313" s="31"/>
      <c r="AB1313" s="31"/>
      <c r="AC1313" s="31"/>
    </row>
    <row r="1314" spans="19:29" x14ac:dyDescent="0.25">
      <c r="S1314" s="31"/>
      <c r="X1314" s="31"/>
      <c r="Y1314" s="31"/>
      <c r="Z1314" s="31"/>
      <c r="AA1314" s="31"/>
      <c r="AB1314" s="31"/>
      <c r="AC1314" s="31"/>
    </row>
    <row r="1315" spans="19:29" x14ac:dyDescent="0.25">
      <c r="S1315" s="31"/>
      <c r="X1315" s="31"/>
      <c r="Y1315" s="31"/>
      <c r="Z1315" s="31"/>
      <c r="AA1315" s="31"/>
      <c r="AB1315" s="31"/>
      <c r="AC1315" s="31"/>
    </row>
    <row r="1316" spans="19:29" x14ac:dyDescent="0.25">
      <c r="S1316" s="31"/>
      <c r="X1316" s="31"/>
      <c r="Y1316" s="31"/>
      <c r="Z1316" s="31"/>
      <c r="AA1316" s="31"/>
      <c r="AB1316" s="31"/>
      <c r="AC1316" s="31"/>
    </row>
    <row r="1317" spans="19:29" x14ac:dyDescent="0.25">
      <c r="S1317" s="31"/>
      <c r="X1317" s="31"/>
      <c r="Y1317" s="31"/>
      <c r="Z1317" s="31"/>
      <c r="AA1317" s="31"/>
      <c r="AB1317" s="31"/>
      <c r="AC1317" s="31"/>
    </row>
    <row r="1318" spans="19:29" x14ac:dyDescent="0.25">
      <c r="S1318" s="31"/>
      <c r="X1318" s="31"/>
      <c r="Y1318" s="31"/>
      <c r="Z1318" s="31"/>
      <c r="AA1318" s="31"/>
      <c r="AB1318" s="31"/>
      <c r="AC1318" s="31"/>
    </row>
    <row r="1319" spans="19:29" x14ac:dyDescent="0.25">
      <c r="S1319" s="31"/>
      <c r="X1319" s="31"/>
      <c r="Y1319" s="31"/>
      <c r="Z1319" s="31"/>
      <c r="AA1319" s="31"/>
      <c r="AB1319" s="31"/>
      <c r="AC1319" s="31"/>
    </row>
    <row r="1320" spans="19:29" x14ac:dyDescent="0.25">
      <c r="S1320" s="31"/>
      <c r="X1320" s="31"/>
      <c r="Y1320" s="31"/>
      <c r="Z1320" s="31"/>
      <c r="AA1320" s="31"/>
      <c r="AB1320" s="31"/>
      <c r="AC1320" s="31"/>
    </row>
    <row r="1321" spans="19:29" x14ac:dyDescent="0.25">
      <c r="S1321" s="31"/>
      <c r="X1321" s="31"/>
      <c r="Y1321" s="31"/>
      <c r="Z1321" s="31"/>
      <c r="AA1321" s="31"/>
      <c r="AB1321" s="31"/>
      <c r="AC1321" s="31"/>
    </row>
    <row r="1322" spans="19:29" x14ac:dyDescent="0.25">
      <c r="S1322" s="31"/>
      <c r="X1322" s="31"/>
      <c r="Y1322" s="31"/>
      <c r="Z1322" s="31"/>
      <c r="AA1322" s="31"/>
      <c r="AB1322" s="31"/>
      <c r="AC1322" s="31"/>
    </row>
    <row r="1323" spans="19:29" x14ac:dyDescent="0.25">
      <c r="S1323" s="31"/>
      <c r="X1323" s="31"/>
      <c r="Y1323" s="31"/>
      <c r="Z1323" s="31"/>
      <c r="AA1323" s="31"/>
      <c r="AB1323" s="31"/>
      <c r="AC1323" s="31"/>
    </row>
    <row r="1324" spans="19:29" x14ac:dyDescent="0.25">
      <c r="S1324" s="31"/>
      <c r="X1324" s="31"/>
      <c r="Y1324" s="31"/>
      <c r="Z1324" s="31"/>
      <c r="AA1324" s="31"/>
      <c r="AB1324" s="31"/>
      <c r="AC1324" s="31"/>
    </row>
    <row r="1325" spans="19:29" x14ac:dyDescent="0.25">
      <c r="S1325" s="31"/>
      <c r="X1325" s="31"/>
      <c r="Y1325" s="31"/>
      <c r="Z1325" s="31"/>
      <c r="AA1325" s="31"/>
      <c r="AB1325" s="31"/>
      <c r="AC1325" s="31"/>
    </row>
    <row r="1326" spans="19:29" x14ac:dyDescent="0.25">
      <c r="S1326" s="31"/>
      <c r="X1326" s="31"/>
      <c r="Y1326" s="31"/>
      <c r="Z1326" s="31"/>
      <c r="AA1326" s="31"/>
      <c r="AB1326" s="31"/>
      <c r="AC1326" s="31"/>
    </row>
    <row r="1327" spans="19:29" x14ac:dyDescent="0.25">
      <c r="S1327" s="31"/>
      <c r="X1327" s="31"/>
      <c r="Y1327" s="31"/>
      <c r="Z1327" s="31"/>
      <c r="AA1327" s="31"/>
      <c r="AB1327" s="31"/>
      <c r="AC1327" s="31"/>
    </row>
    <row r="1328" spans="19:29" x14ac:dyDescent="0.25">
      <c r="S1328" s="31"/>
      <c r="X1328" s="31"/>
      <c r="Y1328" s="31"/>
      <c r="Z1328" s="31"/>
      <c r="AA1328" s="31"/>
      <c r="AB1328" s="31"/>
      <c r="AC1328" s="31"/>
    </row>
    <row r="1329" spans="19:29" x14ac:dyDescent="0.25">
      <c r="S1329" s="31"/>
      <c r="X1329" s="31"/>
      <c r="Y1329" s="31"/>
      <c r="Z1329" s="31"/>
      <c r="AA1329" s="31"/>
      <c r="AB1329" s="31"/>
      <c r="AC1329" s="31"/>
    </row>
    <row r="1330" spans="19:29" x14ac:dyDescent="0.25">
      <c r="S1330" s="31"/>
      <c r="X1330" s="31"/>
      <c r="Y1330" s="31"/>
      <c r="Z1330" s="31"/>
      <c r="AA1330" s="31"/>
      <c r="AB1330" s="31"/>
      <c r="AC1330" s="31"/>
    </row>
    <row r="1331" spans="19:29" x14ac:dyDescent="0.25">
      <c r="S1331" s="31"/>
      <c r="X1331" s="31"/>
      <c r="Y1331" s="31"/>
      <c r="Z1331" s="31"/>
      <c r="AA1331" s="31"/>
      <c r="AB1331" s="31"/>
      <c r="AC1331" s="31"/>
    </row>
    <row r="1332" spans="19:29" x14ac:dyDescent="0.25">
      <c r="S1332" s="31"/>
      <c r="X1332" s="31"/>
      <c r="Y1332" s="31"/>
      <c r="Z1332" s="31"/>
      <c r="AA1332" s="31"/>
      <c r="AB1332" s="31"/>
      <c r="AC1332" s="31"/>
    </row>
    <row r="1333" spans="19:29" x14ac:dyDescent="0.25">
      <c r="S1333" s="31"/>
      <c r="X1333" s="31"/>
      <c r="Y1333" s="31"/>
      <c r="Z1333" s="31"/>
      <c r="AA1333" s="31"/>
      <c r="AB1333" s="31"/>
      <c r="AC1333" s="31"/>
    </row>
    <row r="1334" spans="19:29" x14ac:dyDescent="0.25">
      <c r="S1334" s="31"/>
      <c r="X1334" s="31"/>
      <c r="Y1334" s="31"/>
      <c r="Z1334" s="31"/>
      <c r="AA1334" s="31"/>
      <c r="AB1334" s="31"/>
      <c r="AC1334" s="31"/>
    </row>
    <row r="1335" spans="19:29" x14ac:dyDescent="0.25">
      <c r="S1335" s="31"/>
      <c r="X1335" s="31"/>
      <c r="Y1335" s="31"/>
      <c r="Z1335" s="31"/>
      <c r="AA1335" s="31"/>
      <c r="AB1335" s="31"/>
      <c r="AC1335" s="31"/>
    </row>
    <row r="1336" spans="19:29" x14ac:dyDescent="0.25">
      <c r="S1336" s="31"/>
      <c r="X1336" s="31"/>
      <c r="Y1336" s="31"/>
      <c r="Z1336" s="31"/>
      <c r="AA1336" s="31"/>
      <c r="AB1336" s="31"/>
      <c r="AC1336" s="31"/>
    </row>
    <row r="1337" spans="19:29" x14ac:dyDescent="0.25">
      <c r="S1337" s="31"/>
      <c r="X1337" s="31"/>
      <c r="Y1337" s="31"/>
      <c r="Z1337" s="31"/>
      <c r="AA1337" s="31"/>
      <c r="AB1337" s="31"/>
      <c r="AC1337" s="31"/>
    </row>
    <row r="1338" spans="19:29" x14ac:dyDescent="0.25">
      <c r="S1338" s="31"/>
      <c r="X1338" s="31"/>
      <c r="Y1338" s="31"/>
      <c r="Z1338" s="31"/>
      <c r="AA1338" s="31"/>
      <c r="AB1338" s="31"/>
      <c r="AC1338" s="31"/>
    </row>
    <row r="1339" spans="19:29" x14ac:dyDescent="0.25">
      <c r="S1339" s="31"/>
      <c r="X1339" s="31"/>
      <c r="Y1339" s="31"/>
      <c r="Z1339" s="31"/>
      <c r="AA1339" s="31"/>
      <c r="AB1339" s="31"/>
      <c r="AC1339" s="31"/>
    </row>
    <row r="1340" spans="19:29" x14ac:dyDescent="0.25">
      <c r="S1340" s="31"/>
      <c r="X1340" s="31"/>
      <c r="Y1340" s="31"/>
      <c r="Z1340" s="31"/>
      <c r="AA1340" s="31"/>
      <c r="AB1340" s="31"/>
      <c r="AC1340" s="31"/>
    </row>
    <row r="1341" spans="19:29" x14ac:dyDescent="0.25">
      <c r="S1341" s="31"/>
      <c r="X1341" s="31"/>
      <c r="Y1341" s="31"/>
      <c r="Z1341" s="31"/>
      <c r="AA1341" s="31"/>
      <c r="AB1341" s="31"/>
      <c r="AC1341" s="31"/>
    </row>
    <row r="1342" spans="19:29" x14ac:dyDescent="0.25">
      <c r="S1342" s="31"/>
      <c r="X1342" s="31"/>
      <c r="Y1342" s="31"/>
      <c r="Z1342" s="31"/>
      <c r="AA1342" s="31"/>
      <c r="AB1342" s="31"/>
      <c r="AC1342" s="31"/>
    </row>
    <row r="1343" spans="19:29" x14ac:dyDescent="0.25">
      <c r="S1343" s="31"/>
      <c r="X1343" s="31"/>
      <c r="Y1343" s="31"/>
      <c r="Z1343" s="31"/>
      <c r="AA1343" s="31"/>
      <c r="AB1343" s="31"/>
      <c r="AC1343" s="31"/>
    </row>
    <row r="1344" spans="19:29" x14ac:dyDescent="0.25">
      <c r="S1344" s="31"/>
      <c r="X1344" s="31"/>
      <c r="Y1344" s="31"/>
      <c r="Z1344" s="31"/>
      <c r="AA1344" s="31"/>
      <c r="AB1344" s="31"/>
      <c r="AC1344" s="31"/>
    </row>
    <row r="1345" spans="19:29" x14ac:dyDescent="0.25">
      <c r="S1345" s="31"/>
      <c r="X1345" s="31"/>
      <c r="Y1345" s="31"/>
      <c r="Z1345" s="31"/>
      <c r="AA1345" s="31"/>
      <c r="AB1345" s="31"/>
      <c r="AC1345" s="31"/>
    </row>
    <row r="1346" spans="19:29" x14ac:dyDescent="0.25">
      <c r="S1346" s="31"/>
      <c r="X1346" s="31"/>
      <c r="Y1346" s="31"/>
      <c r="Z1346" s="31"/>
      <c r="AA1346" s="31"/>
      <c r="AB1346" s="31"/>
      <c r="AC1346" s="31"/>
    </row>
    <row r="1347" spans="19:29" x14ac:dyDescent="0.25">
      <c r="S1347" s="31"/>
      <c r="X1347" s="31"/>
      <c r="Y1347" s="31"/>
      <c r="Z1347" s="31"/>
      <c r="AA1347" s="31"/>
      <c r="AB1347" s="31"/>
      <c r="AC1347" s="31"/>
    </row>
    <row r="1348" spans="19:29" x14ac:dyDescent="0.25">
      <c r="S1348" s="31"/>
      <c r="X1348" s="31"/>
      <c r="Y1348" s="31"/>
      <c r="Z1348" s="31"/>
      <c r="AA1348" s="31"/>
      <c r="AB1348" s="31"/>
      <c r="AC1348" s="31"/>
    </row>
    <row r="1349" spans="19:29" x14ac:dyDescent="0.25">
      <c r="S1349" s="31"/>
      <c r="X1349" s="31"/>
      <c r="Y1349" s="31"/>
      <c r="Z1349" s="31"/>
      <c r="AA1349" s="31"/>
      <c r="AB1349" s="31"/>
      <c r="AC1349" s="31"/>
    </row>
    <row r="1350" spans="19:29" x14ac:dyDescent="0.25">
      <c r="S1350" s="31"/>
      <c r="X1350" s="31"/>
      <c r="Y1350" s="31"/>
      <c r="Z1350" s="31"/>
      <c r="AA1350" s="31"/>
      <c r="AB1350" s="31"/>
      <c r="AC1350" s="31"/>
    </row>
    <row r="1351" spans="19:29" x14ac:dyDescent="0.25">
      <c r="S1351" s="31"/>
      <c r="X1351" s="31"/>
      <c r="Y1351" s="31"/>
      <c r="Z1351" s="31"/>
      <c r="AA1351" s="31"/>
      <c r="AB1351" s="31"/>
      <c r="AC1351" s="31"/>
    </row>
    <row r="1352" spans="19:29" x14ac:dyDescent="0.25">
      <c r="S1352" s="31"/>
      <c r="X1352" s="31"/>
      <c r="Y1352" s="31"/>
      <c r="Z1352" s="31"/>
      <c r="AA1352" s="31"/>
      <c r="AB1352" s="31"/>
      <c r="AC1352" s="31"/>
    </row>
    <row r="1353" spans="19:29" x14ac:dyDescent="0.25">
      <c r="S1353" s="31"/>
      <c r="X1353" s="31"/>
      <c r="Y1353" s="31"/>
      <c r="Z1353" s="31"/>
      <c r="AA1353" s="31"/>
      <c r="AB1353" s="31"/>
      <c r="AC1353" s="31"/>
    </row>
    <row r="1354" spans="19:29" x14ac:dyDescent="0.25">
      <c r="S1354" s="31"/>
      <c r="X1354" s="31"/>
      <c r="Y1354" s="31"/>
      <c r="Z1354" s="31"/>
      <c r="AA1354" s="31"/>
      <c r="AB1354" s="31"/>
      <c r="AC1354" s="31"/>
    </row>
    <row r="1355" spans="19:29" x14ac:dyDescent="0.25">
      <c r="S1355" s="31"/>
      <c r="X1355" s="31"/>
      <c r="Y1355" s="31"/>
      <c r="Z1355" s="31"/>
      <c r="AA1355" s="31"/>
      <c r="AB1355" s="31"/>
      <c r="AC1355" s="31"/>
    </row>
    <row r="1356" spans="19:29" x14ac:dyDescent="0.25">
      <c r="S1356" s="31"/>
      <c r="X1356" s="31"/>
      <c r="Y1356" s="31"/>
      <c r="Z1356" s="31"/>
      <c r="AA1356" s="31"/>
      <c r="AB1356" s="31"/>
      <c r="AC1356" s="31"/>
    </row>
    <row r="1357" spans="19:29" x14ac:dyDescent="0.25">
      <c r="S1357" s="31"/>
      <c r="X1357" s="31"/>
      <c r="Y1357" s="31"/>
      <c r="Z1357" s="31"/>
      <c r="AA1357" s="31"/>
      <c r="AB1357" s="31"/>
      <c r="AC1357" s="31"/>
    </row>
    <row r="1358" spans="19:29" x14ac:dyDescent="0.25">
      <c r="S1358" s="31"/>
      <c r="X1358" s="31"/>
      <c r="Y1358" s="31"/>
      <c r="Z1358" s="31"/>
      <c r="AA1358" s="31"/>
      <c r="AB1358" s="31"/>
      <c r="AC1358" s="31"/>
    </row>
    <row r="1359" spans="19:29" x14ac:dyDescent="0.25">
      <c r="S1359" s="31"/>
      <c r="X1359" s="31"/>
      <c r="Y1359" s="31"/>
      <c r="Z1359" s="31"/>
      <c r="AA1359" s="31"/>
      <c r="AB1359" s="31"/>
      <c r="AC1359" s="31"/>
    </row>
    <row r="1360" spans="19:29" x14ac:dyDescent="0.25">
      <c r="S1360" s="31"/>
      <c r="X1360" s="31"/>
      <c r="Y1360" s="31"/>
      <c r="Z1360" s="31"/>
      <c r="AA1360" s="31"/>
      <c r="AB1360" s="31"/>
      <c r="AC1360" s="31"/>
    </row>
    <row r="1361" spans="19:29" x14ac:dyDescent="0.25">
      <c r="S1361" s="31"/>
      <c r="X1361" s="31"/>
      <c r="Y1361" s="31"/>
      <c r="Z1361" s="31"/>
      <c r="AA1361" s="31"/>
      <c r="AB1361" s="31"/>
      <c r="AC1361" s="31"/>
    </row>
    <row r="1362" spans="19:29" x14ac:dyDescent="0.25">
      <c r="S1362" s="31"/>
      <c r="X1362" s="31"/>
      <c r="Y1362" s="31"/>
      <c r="Z1362" s="31"/>
      <c r="AA1362" s="31"/>
      <c r="AB1362" s="31"/>
      <c r="AC1362" s="31"/>
    </row>
    <row r="1363" spans="19:29" x14ac:dyDescent="0.25">
      <c r="S1363" s="31"/>
      <c r="X1363" s="31"/>
      <c r="Y1363" s="31"/>
      <c r="Z1363" s="31"/>
      <c r="AA1363" s="31"/>
      <c r="AB1363" s="31"/>
      <c r="AC1363" s="31"/>
    </row>
    <row r="1364" spans="19:29" x14ac:dyDescent="0.25">
      <c r="S1364" s="31"/>
      <c r="X1364" s="31"/>
      <c r="Y1364" s="31"/>
      <c r="Z1364" s="31"/>
      <c r="AA1364" s="31"/>
      <c r="AB1364" s="31"/>
      <c r="AC1364" s="31"/>
    </row>
    <row r="1365" spans="19:29" x14ac:dyDescent="0.25">
      <c r="S1365" s="31"/>
      <c r="X1365" s="31"/>
      <c r="Y1365" s="31"/>
      <c r="Z1365" s="31"/>
      <c r="AA1365" s="31"/>
      <c r="AB1365" s="31"/>
      <c r="AC1365" s="31"/>
    </row>
    <row r="1366" spans="19:29" x14ac:dyDescent="0.25">
      <c r="S1366" s="31"/>
      <c r="X1366" s="31"/>
      <c r="Y1366" s="31"/>
      <c r="Z1366" s="31"/>
      <c r="AA1366" s="31"/>
      <c r="AB1366" s="31"/>
      <c r="AC1366" s="31"/>
    </row>
    <row r="1367" spans="19:29" x14ac:dyDescent="0.25">
      <c r="S1367" s="31"/>
      <c r="X1367" s="31"/>
      <c r="Y1367" s="31"/>
      <c r="Z1367" s="31"/>
      <c r="AA1367" s="31"/>
      <c r="AB1367" s="31"/>
      <c r="AC1367" s="31"/>
    </row>
    <row r="1368" spans="19:29" x14ac:dyDescent="0.25">
      <c r="S1368" s="31"/>
      <c r="X1368" s="31"/>
      <c r="Y1368" s="31"/>
      <c r="Z1368" s="31"/>
      <c r="AA1368" s="31"/>
      <c r="AB1368" s="31"/>
      <c r="AC1368" s="31"/>
    </row>
    <row r="1369" spans="19:29" x14ac:dyDescent="0.25">
      <c r="S1369" s="31"/>
      <c r="X1369" s="31"/>
      <c r="Y1369" s="31"/>
      <c r="Z1369" s="31"/>
      <c r="AA1369" s="31"/>
      <c r="AB1369" s="31"/>
      <c r="AC1369" s="31"/>
    </row>
    <row r="1370" spans="19:29" x14ac:dyDescent="0.25">
      <c r="S1370" s="31"/>
      <c r="X1370" s="31"/>
      <c r="Y1370" s="31"/>
      <c r="Z1370" s="31"/>
      <c r="AA1370" s="31"/>
      <c r="AB1370" s="31"/>
      <c r="AC1370" s="31"/>
    </row>
    <row r="1371" spans="19:29" x14ac:dyDescent="0.25">
      <c r="S1371" s="31"/>
      <c r="X1371" s="31"/>
      <c r="Y1371" s="31"/>
      <c r="Z1371" s="31"/>
      <c r="AA1371" s="31"/>
      <c r="AB1371" s="31"/>
      <c r="AC1371" s="31"/>
    </row>
    <row r="1372" spans="19:29" x14ac:dyDescent="0.25">
      <c r="S1372" s="31"/>
      <c r="X1372" s="31"/>
      <c r="Y1372" s="31"/>
      <c r="Z1372" s="31"/>
      <c r="AA1372" s="31"/>
      <c r="AB1372" s="31"/>
      <c r="AC1372" s="31"/>
    </row>
    <row r="1373" spans="19:29" x14ac:dyDescent="0.25">
      <c r="S1373" s="31"/>
      <c r="X1373" s="31"/>
      <c r="Y1373" s="31"/>
      <c r="Z1373" s="31"/>
      <c r="AA1373" s="31"/>
      <c r="AB1373" s="31"/>
      <c r="AC1373" s="31"/>
    </row>
    <row r="1374" spans="19:29" x14ac:dyDescent="0.25">
      <c r="S1374" s="31"/>
      <c r="X1374" s="31"/>
      <c r="Y1374" s="31"/>
      <c r="Z1374" s="31"/>
      <c r="AA1374" s="31"/>
      <c r="AB1374" s="31"/>
      <c r="AC1374" s="31"/>
    </row>
    <row r="1375" spans="19:29" x14ac:dyDescent="0.25">
      <c r="S1375" s="31"/>
      <c r="X1375" s="31"/>
      <c r="Y1375" s="31"/>
      <c r="Z1375" s="31"/>
      <c r="AA1375" s="31"/>
      <c r="AB1375" s="31"/>
      <c r="AC1375" s="31"/>
    </row>
    <row r="1376" spans="19:29" x14ac:dyDescent="0.25">
      <c r="S1376" s="31"/>
      <c r="X1376" s="31"/>
      <c r="Y1376" s="31"/>
      <c r="Z1376" s="31"/>
      <c r="AA1376" s="31"/>
      <c r="AB1376" s="31"/>
      <c r="AC1376" s="31"/>
    </row>
    <row r="1377" spans="19:29" x14ac:dyDescent="0.25">
      <c r="S1377" s="31"/>
      <c r="X1377" s="31"/>
      <c r="Y1377" s="31"/>
      <c r="Z1377" s="31"/>
      <c r="AA1377" s="31"/>
      <c r="AB1377" s="31"/>
      <c r="AC1377" s="31"/>
    </row>
    <row r="1378" spans="19:29" x14ac:dyDescent="0.25">
      <c r="S1378" s="31"/>
      <c r="X1378" s="31"/>
      <c r="Y1378" s="31"/>
      <c r="Z1378" s="31"/>
      <c r="AA1378" s="31"/>
      <c r="AB1378" s="31"/>
      <c r="AC1378" s="31"/>
    </row>
    <row r="1379" spans="19:29" x14ac:dyDescent="0.25">
      <c r="S1379" s="31"/>
      <c r="X1379" s="31"/>
      <c r="Y1379" s="31"/>
      <c r="Z1379" s="31"/>
      <c r="AA1379" s="31"/>
      <c r="AB1379" s="31"/>
      <c r="AC1379" s="31"/>
    </row>
    <row r="1380" spans="19:29" x14ac:dyDescent="0.25">
      <c r="S1380" s="31"/>
      <c r="X1380" s="31"/>
      <c r="Y1380" s="31"/>
      <c r="Z1380" s="31"/>
      <c r="AA1380" s="31"/>
      <c r="AB1380" s="31"/>
      <c r="AC1380" s="31"/>
    </row>
    <row r="1381" spans="19:29" x14ac:dyDescent="0.25">
      <c r="S1381" s="31"/>
      <c r="X1381" s="31"/>
      <c r="Y1381" s="31"/>
      <c r="Z1381" s="31"/>
      <c r="AA1381" s="31"/>
      <c r="AB1381" s="31"/>
      <c r="AC1381" s="31"/>
    </row>
    <row r="1382" spans="19:29" x14ac:dyDescent="0.25">
      <c r="S1382" s="31"/>
      <c r="X1382" s="31"/>
      <c r="Y1382" s="31"/>
      <c r="Z1382" s="31"/>
      <c r="AA1382" s="31"/>
      <c r="AB1382" s="31"/>
      <c r="AC1382" s="31"/>
    </row>
    <row r="1383" spans="19:29" x14ac:dyDescent="0.25">
      <c r="S1383" s="31"/>
      <c r="X1383" s="31"/>
      <c r="Y1383" s="31"/>
      <c r="Z1383" s="31"/>
      <c r="AA1383" s="31"/>
      <c r="AB1383" s="31"/>
      <c r="AC1383" s="31"/>
    </row>
    <row r="1384" spans="19:29" x14ac:dyDescent="0.25">
      <c r="S1384" s="31"/>
      <c r="X1384" s="31"/>
      <c r="Y1384" s="31"/>
      <c r="Z1384" s="31"/>
      <c r="AA1384" s="31"/>
      <c r="AB1384" s="31"/>
      <c r="AC1384" s="31"/>
    </row>
    <row r="1385" spans="19:29" x14ac:dyDescent="0.25">
      <c r="S1385" s="31"/>
      <c r="X1385" s="31"/>
      <c r="Y1385" s="31"/>
      <c r="Z1385" s="31"/>
      <c r="AA1385" s="31"/>
      <c r="AB1385" s="31"/>
      <c r="AC1385" s="31"/>
    </row>
    <row r="1386" spans="19:29" x14ac:dyDescent="0.25">
      <c r="S1386" s="31"/>
      <c r="X1386" s="31"/>
      <c r="Y1386" s="31"/>
      <c r="Z1386" s="31"/>
      <c r="AA1386" s="31"/>
      <c r="AB1386" s="31"/>
      <c r="AC1386" s="31"/>
    </row>
    <row r="1387" spans="19:29" x14ac:dyDescent="0.25">
      <c r="S1387" s="31"/>
      <c r="X1387" s="31"/>
      <c r="Y1387" s="31"/>
      <c r="Z1387" s="31"/>
      <c r="AA1387" s="31"/>
      <c r="AB1387" s="31"/>
      <c r="AC1387" s="31"/>
    </row>
    <row r="1388" spans="19:29" x14ac:dyDescent="0.25">
      <c r="S1388" s="31"/>
      <c r="X1388" s="31"/>
      <c r="Y1388" s="31"/>
      <c r="Z1388" s="31"/>
      <c r="AA1388" s="31"/>
      <c r="AB1388" s="31"/>
      <c r="AC1388" s="31"/>
    </row>
    <row r="1389" spans="19:29" x14ac:dyDescent="0.25">
      <c r="S1389" s="31"/>
      <c r="X1389" s="31"/>
      <c r="Y1389" s="31"/>
      <c r="Z1389" s="31"/>
      <c r="AA1389" s="31"/>
      <c r="AB1389" s="31"/>
      <c r="AC1389" s="31"/>
    </row>
    <row r="1390" spans="19:29" x14ac:dyDescent="0.25">
      <c r="S1390" s="31"/>
      <c r="X1390" s="31"/>
      <c r="Y1390" s="31"/>
      <c r="Z1390" s="31"/>
      <c r="AA1390" s="31"/>
      <c r="AB1390" s="31"/>
      <c r="AC1390" s="31"/>
    </row>
    <row r="1391" spans="19:29" x14ac:dyDescent="0.25">
      <c r="S1391" s="31"/>
      <c r="X1391" s="31"/>
      <c r="Y1391" s="31"/>
      <c r="Z1391" s="31"/>
      <c r="AA1391" s="31"/>
      <c r="AB1391" s="31"/>
      <c r="AC1391" s="31"/>
    </row>
    <row r="1392" spans="19:29" x14ac:dyDescent="0.25">
      <c r="S1392" s="31"/>
      <c r="X1392" s="31"/>
      <c r="Y1392" s="31"/>
      <c r="Z1392" s="31"/>
      <c r="AA1392" s="31"/>
      <c r="AB1392" s="31"/>
      <c r="AC1392" s="31"/>
    </row>
    <row r="1393" spans="19:29" x14ac:dyDescent="0.25">
      <c r="S1393" s="31"/>
      <c r="X1393" s="31"/>
      <c r="Y1393" s="31"/>
      <c r="Z1393" s="31"/>
      <c r="AA1393" s="31"/>
      <c r="AB1393" s="31"/>
      <c r="AC1393" s="31"/>
    </row>
    <row r="1394" spans="19:29" x14ac:dyDescent="0.25">
      <c r="S1394" s="31"/>
      <c r="X1394" s="31"/>
      <c r="Y1394" s="31"/>
      <c r="Z1394" s="31"/>
      <c r="AA1394" s="31"/>
      <c r="AB1394" s="31"/>
      <c r="AC1394" s="31"/>
    </row>
    <row r="1395" spans="19:29" x14ac:dyDescent="0.25">
      <c r="S1395" s="31"/>
      <c r="X1395" s="31"/>
      <c r="Y1395" s="31"/>
      <c r="Z1395" s="31"/>
      <c r="AA1395" s="31"/>
      <c r="AB1395" s="31"/>
      <c r="AC1395" s="31"/>
    </row>
    <row r="1396" spans="19:29" x14ac:dyDescent="0.25">
      <c r="S1396" s="31"/>
      <c r="X1396" s="31"/>
      <c r="Y1396" s="31"/>
      <c r="Z1396" s="31"/>
      <c r="AA1396" s="31"/>
      <c r="AB1396" s="31"/>
      <c r="AC1396" s="31"/>
    </row>
    <row r="1397" spans="19:29" x14ac:dyDescent="0.25">
      <c r="S1397" s="31"/>
      <c r="X1397" s="31"/>
      <c r="Y1397" s="31"/>
      <c r="Z1397" s="31"/>
      <c r="AA1397" s="31"/>
      <c r="AB1397" s="31"/>
      <c r="AC1397" s="31"/>
    </row>
    <row r="1398" spans="19:29" x14ac:dyDescent="0.25">
      <c r="S1398" s="31"/>
      <c r="X1398" s="31"/>
      <c r="Y1398" s="31"/>
      <c r="Z1398" s="31"/>
      <c r="AA1398" s="31"/>
      <c r="AB1398" s="31"/>
      <c r="AC1398" s="31"/>
    </row>
    <row r="1399" spans="19:29" x14ac:dyDescent="0.25">
      <c r="S1399" s="31"/>
      <c r="X1399" s="31"/>
      <c r="Y1399" s="31"/>
      <c r="Z1399" s="31"/>
      <c r="AA1399" s="31"/>
      <c r="AB1399" s="31"/>
      <c r="AC1399" s="31"/>
    </row>
    <row r="1400" spans="19:29" x14ac:dyDescent="0.25">
      <c r="S1400" s="31"/>
      <c r="X1400" s="31"/>
      <c r="Y1400" s="31"/>
      <c r="Z1400" s="31"/>
      <c r="AA1400" s="31"/>
      <c r="AB1400" s="31"/>
      <c r="AC1400" s="31"/>
    </row>
    <row r="1401" spans="19:29" x14ac:dyDescent="0.25">
      <c r="S1401" s="31"/>
      <c r="X1401" s="31"/>
      <c r="Y1401" s="31"/>
      <c r="Z1401" s="31"/>
      <c r="AA1401" s="31"/>
      <c r="AB1401" s="31"/>
      <c r="AC1401" s="31"/>
    </row>
    <row r="1402" spans="19:29" x14ac:dyDescent="0.25">
      <c r="S1402" s="31"/>
      <c r="X1402" s="31"/>
      <c r="Y1402" s="31"/>
      <c r="Z1402" s="31"/>
      <c r="AA1402" s="31"/>
      <c r="AB1402" s="31"/>
      <c r="AC1402" s="31"/>
    </row>
    <row r="1403" spans="19:29" x14ac:dyDescent="0.25">
      <c r="S1403" s="31"/>
      <c r="X1403" s="31"/>
      <c r="Y1403" s="31"/>
      <c r="Z1403" s="31"/>
      <c r="AA1403" s="31"/>
      <c r="AB1403" s="31"/>
      <c r="AC1403" s="31"/>
    </row>
    <row r="1404" spans="19:29" x14ac:dyDescent="0.25">
      <c r="S1404" s="31"/>
      <c r="X1404" s="31"/>
      <c r="Y1404" s="31"/>
      <c r="Z1404" s="31"/>
      <c r="AA1404" s="31"/>
      <c r="AB1404" s="31"/>
      <c r="AC1404" s="31"/>
    </row>
    <row r="1405" spans="19:29" x14ac:dyDescent="0.25">
      <c r="S1405" s="31"/>
      <c r="X1405" s="31"/>
      <c r="Y1405" s="31"/>
      <c r="Z1405" s="31"/>
      <c r="AA1405" s="31"/>
      <c r="AB1405" s="31"/>
      <c r="AC1405" s="31"/>
    </row>
    <row r="1406" spans="19:29" x14ac:dyDescent="0.25">
      <c r="S1406" s="31"/>
      <c r="X1406" s="31"/>
      <c r="Y1406" s="31"/>
      <c r="Z1406" s="31"/>
      <c r="AA1406" s="31"/>
      <c r="AB1406" s="31"/>
      <c r="AC1406" s="31"/>
    </row>
    <row r="1407" spans="19:29" x14ac:dyDescent="0.25">
      <c r="S1407" s="31"/>
      <c r="X1407" s="31"/>
      <c r="Y1407" s="31"/>
      <c r="Z1407" s="31"/>
      <c r="AA1407" s="31"/>
      <c r="AB1407" s="31"/>
      <c r="AC1407" s="31"/>
    </row>
    <row r="1408" spans="19:29" x14ac:dyDescent="0.25">
      <c r="S1408" s="31"/>
      <c r="X1408" s="31"/>
      <c r="Y1408" s="31"/>
      <c r="Z1408" s="31"/>
      <c r="AA1408" s="31"/>
      <c r="AB1408" s="31"/>
      <c r="AC1408" s="31"/>
    </row>
    <row r="1409" spans="19:29" x14ac:dyDescent="0.25">
      <c r="S1409" s="31"/>
      <c r="X1409" s="31"/>
      <c r="Y1409" s="31"/>
      <c r="Z1409" s="31"/>
      <c r="AA1409" s="31"/>
      <c r="AB1409" s="31"/>
      <c r="AC1409" s="31"/>
    </row>
    <row r="1410" spans="19:29" x14ac:dyDescent="0.25">
      <c r="S1410" s="31"/>
      <c r="X1410" s="31"/>
      <c r="Y1410" s="31"/>
      <c r="Z1410" s="31"/>
      <c r="AA1410" s="31"/>
      <c r="AB1410" s="31"/>
      <c r="AC1410" s="31"/>
    </row>
    <row r="1411" spans="19:29" x14ac:dyDescent="0.25">
      <c r="S1411" s="31"/>
      <c r="X1411" s="31"/>
      <c r="Y1411" s="31"/>
      <c r="Z1411" s="31"/>
      <c r="AA1411" s="31"/>
      <c r="AB1411" s="31"/>
      <c r="AC1411" s="31"/>
    </row>
    <row r="1412" spans="19:29" x14ac:dyDescent="0.25">
      <c r="S1412" s="31"/>
      <c r="X1412" s="31"/>
      <c r="Y1412" s="31"/>
      <c r="Z1412" s="31"/>
      <c r="AA1412" s="31"/>
      <c r="AB1412" s="31"/>
      <c r="AC1412" s="31"/>
    </row>
    <row r="1413" spans="19:29" x14ac:dyDescent="0.25">
      <c r="S1413" s="31"/>
      <c r="X1413" s="31"/>
      <c r="Y1413" s="31"/>
      <c r="Z1413" s="31"/>
      <c r="AA1413" s="31"/>
      <c r="AB1413" s="31"/>
      <c r="AC1413" s="31"/>
    </row>
    <row r="1414" spans="19:29" x14ac:dyDescent="0.25">
      <c r="S1414" s="31"/>
      <c r="X1414" s="31"/>
      <c r="Y1414" s="31"/>
      <c r="Z1414" s="31"/>
      <c r="AA1414" s="31"/>
      <c r="AB1414" s="31"/>
      <c r="AC1414" s="31"/>
    </row>
    <row r="1415" spans="19:29" x14ac:dyDescent="0.25">
      <c r="S1415" s="31"/>
      <c r="X1415" s="31"/>
      <c r="Y1415" s="31"/>
      <c r="Z1415" s="31"/>
      <c r="AA1415" s="31"/>
      <c r="AB1415" s="31"/>
      <c r="AC1415" s="31"/>
    </row>
    <row r="1416" spans="19:29" x14ac:dyDescent="0.25">
      <c r="S1416" s="31"/>
      <c r="X1416" s="31"/>
      <c r="Y1416" s="31"/>
      <c r="Z1416" s="31"/>
      <c r="AA1416" s="31"/>
      <c r="AB1416" s="31"/>
      <c r="AC1416" s="31"/>
    </row>
    <row r="1417" spans="19:29" x14ac:dyDescent="0.25">
      <c r="S1417" s="31"/>
      <c r="X1417" s="31"/>
      <c r="Y1417" s="31"/>
      <c r="Z1417" s="31"/>
      <c r="AA1417" s="31"/>
      <c r="AB1417" s="31"/>
      <c r="AC1417" s="31"/>
    </row>
    <row r="1418" spans="19:29" x14ac:dyDescent="0.25">
      <c r="S1418" s="31"/>
      <c r="X1418" s="31"/>
      <c r="Y1418" s="31"/>
      <c r="Z1418" s="31"/>
      <c r="AA1418" s="31"/>
      <c r="AB1418" s="31"/>
      <c r="AC1418" s="31"/>
    </row>
    <row r="1419" spans="19:29" x14ac:dyDescent="0.25">
      <c r="S1419" s="31"/>
      <c r="X1419" s="31"/>
      <c r="Y1419" s="31"/>
      <c r="Z1419" s="31"/>
      <c r="AA1419" s="31"/>
      <c r="AB1419" s="31"/>
      <c r="AC1419" s="31"/>
    </row>
    <row r="1420" spans="19:29" x14ac:dyDescent="0.25">
      <c r="S1420" s="31"/>
      <c r="X1420" s="31"/>
      <c r="Y1420" s="31"/>
      <c r="Z1420" s="31"/>
      <c r="AA1420" s="31"/>
      <c r="AB1420" s="31"/>
      <c r="AC1420" s="31"/>
    </row>
    <row r="1421" spans="19:29" x14ac:dyDescent="0.25">
      <c r="S1421" s="31"/>
      <c r="X1421" s="31"/>
      <c r="Y1421" s="31"/>
      <c r="Z1421" s="31"/>
      <c r="AA1421" s="31"/>
      <c r="AB1421" s="31"/>
      <c r="AC1421" s="31"/>
    </row>
    <row r="1422" spans="19:29" x14ac:dyDescent="0.25">
      <c r="S1422" s="31"/>
      <c r="X1422" s="31"/>
      <c r="Y1422" s="31"/>
      <c r="Z1422" s="31"/>
      <c r="AA1422" s="31"/>
      <c r="AB1422" s="31"/>
      <c r="AC1422" s="31"/>
    </row>
    <row r="1423" spans="19:29" x14ac:dyDescent="0.25">
      <c r="S1423" s="31"/>
      <c r="X1423" s="31"/>
      <c r="Y1423" s="31"/>
      <c r="Z1423" s="31"/>
      <c r="AA1423" s="31"/>
      <c r="AB1423" s="31"/>
      <c r="AC1423" s="31"/>
    </row>
    <row r="1424" spans="19:29" x14ac:dyDescent="0.25">
      <c r="S1424" s="31"/>
      <c r="X1424" s="31"/>
      <c r="Y1424" s="31"/>
      <c r="Z1424" s="31"/>
      <c r="AA1424" s="31"/>
      <c r="AB1424" s="31"/>
      <c r="AC1424" s="31"/>
    </row>
    <row r="1425" spans="19:29" x14ac:dyDescent="0.25">
      <c r="S1425" s="31"/>
      <c r="X1425" s="31"/>
      <c r="Y1425" s="31"/>
      <c r="Z1425" s="31"/>
      <c r="AA1425" s="31"/>
      <c r="AB1425" s="31"/>
      <c r="AC1425" s="31"/>
    </row>
    <row r="1426" spans="19:29" x14ac:dyDescent="0.25">
      <c r="S1426" s="31"/>
      <c r="X1426" s="31"/>
      <c r="Y1426" s="31"/>
      <c r="Z1426" s="31"/>
      <c r="AA1426" s="31"/>
      <c r="AB1426" s="31"/>
      <c r="AC1426" s="31"/>
    </row>
    <row r="1427" spans="19:29" x14ac:dyDescent="0.25">
      <c r="S1427" s="31"/>
      <c r="X1427" s="31"/>
      <c r="Y1427" s="31"/>
      <c r="Z1427" s="31"/>
      <c r="AA1427" s="31"/>
      <c r="AB1427" s="31"/>
      <c r="AC1427" s="31"/>
    </row>
    <row r="1428" spans="19:29" x14ac:dyDescent="0.25">
      <c r="S1428" s="31"/>
      <c r="X1428" s="31"/>
      <c r="Y1428" s="31"/>
      <c r="Z1428" s="31"/>
      <c r="AA1428" s="31"/>
      <c r="AB1428" s="31"/>
      <c r="AC1428" s="31"/>
    </row>
    <row r="1429" spans="19:29" x14ac:dyDescent="0.25">
      <c r="S1429" s="31"/>
      <c r="X1429" s="31"/>
      <c r="Y1429" s="31"/>
      <c r="Z1429" s="31"/>
      <c r="AA1429" s="31"/>
      <c r="AB1429" s="31"/>
      <c r="AC1429" s="31"/>
    </row>
    <row r="1430" spans="19:29" x14ac:dyDescent="0.25">
      <c r="S1430" s="31"/>
      <c r="X1430" s="31"/>
      <c r="Y1430" s="31"/>
      <c r="Z1430" s="31"/>
      <c r="AA1430" s="31"/>
      <c r="AB1430" s="31"/>
      <c r="AC1430" s="31"/>
    </row>
    <row r="1431" spans="19:29" x14ac:dyDescent="0.25">
      <c r="S1431" s="31"/>
      <c r="X1431" s="31"/>
      <c r="Y1431" s="31"/>
      <c r="Z1431" s="31"/>
      <c r="AA1431" s="31"/>
      <c r="AB1431" s="31"/>
      <c r="AC1431" s="31"/>
    </row>
    <row r="1432" spans="19:29" x14ac:dyDescent="0.25">
      <c r="S1432" s="31"/>
      <c r="X1432" s="31"/>
      <c r="Y1432" s="31"/>
      <c r="Z1432" s="31"/>
      <c r="AA1432" s="31"/>
      <c r="AB1432" s="31"/>
      <c r="AC1432" s="31"/>
    </row>
    <row r="1433" spans="19:29" x14ac:dyDescent="0.25">
      <c r="S1433" s="31"/>
      <c r="X1433" s="31"/>
      <c r="Y1433" s="31"/>
      <c r="Z1433" s="31"/>
      <c r="AA1433" s="31"/>
      <c r="AB1433" s="31"/>
      <c r="AC1433" s="31"/>
    </row>
    <row r="1434" spans="19:29" x14ac:dyDescent="0.25">
      <c r="S1434" s="31"/>
      <c r="X1434" s="31"/>
      <c r="Y1434" s="31"/>
      <c r="Z1434" s="31"/>
      <c r="AA1434" s="31"/>
      <c r="AB1434" s="31"/>
      <c r="AC1434" s="31"/>
    </row>
    <row r="1435" spans="19:29" x14ac:dyDescent="0.25">
      <c r="S1435" s="31"/>
      <c r="X1435" s="31"/>
      <c r="Y1435" s="31"/>
      <c r="Z1435" s="31"/>
      <c r="AA1435" s="31"/>
      <c r="AB1435" s="31"/>
      <c r="AC1435" s="31"/>
    </row>
    <row r="1436" spans="19:29" x14ac:dyDescent="0.25">
      <c r="S1436" s="31"/>
      <c r="X1436" s="31"/>
      <c r="Y1436" s="31"/>
      <c r="Z1436" s="31"/>
      <c r="AA1436" s="31"/>
      <c r="AB1436" s="31"/>
      <c r="AC1436" s="31"/>
    </row>
    <row r="1437" spans="19:29" x14ac:dyDescent="0.25">
      <c r="S1437" s="31"/>
      <c r="X1437" s="31"/>
      <c r="Y1437" s="31"/>
      <c r="Z1437" s="31"/>
      <c r="AA1437" s="31"/>
      <c r="AB1437" s="31"/>
      <c r="AC1437" s="31"/>
    </row>
    <row r="1438" spans="19:29" x14ac:dyDescent="0.25">
      <c r="S1438" s="31"/>
      <c r="X1438" s="31"/>
      <c r="Y1438" s="31"/>
      <c r="Z1438" s="31"/>
      <c r="AA1438" s="31"/>
      <c r="AB1438" s="31"/>
      <c r="AC1438" s="31"/>
    </row>
    <row r="1439" spans="19:29" x14ac:dyDescent="0.25">
      <c r="S1439" s="31"/>
      <c r="X1439" s="31"/>
      <c r="Y1439" s="31"/>
      <c r="Z1439" s="31"/>
      <c r="AA1439" s="31"/>
      <c r="AB1439" s="31"/>
      <c r="AC1439" s="31"/>
    </row>
    <row r="1440" spans="19:29" x14ac:dyDescent="0.25">
      <c r="S1440" s="31"/>
      <c r="X1440" s="31"/>
      <c r="Y1440" s="31"/>
      <c r="Z1440" s="31"/>
      <c r="AA1440" s="31"/>
      <c r="AB1440" s="31"/>
      <c r="AC1440" s="31"/>
    </row>
    <row r="1441" spans="19:29" x14ac:dyDescent="0.25">
      <c r="S1441" s="31"/>
      <c r="X1441" s="31"/>
      <c r="Y1441" s="31"/>
      <c r="Z1441" s="31"/>
      <c r="AA1441" s="31"/>
      <c r="AB1441" s="31"/>
      <c r="AC1441" s="31"/>
    </row>
    <row r="1442" spans="19:29" x14ac:dyDescent="0.25">
      <c r="S1442" s="31"/>
      <c r="X1442" s="31"/>
      <c r="Y1442" s="31"/>
      <c r="Z1442" s="31"/>
      <c r="AA1442" s="31"/>
      <c r="AB1442" s="31"/>
      <c r="AC1442" s="31"/>
    </row>
    <row r="1443" spans="19:29" x14ac:dyDescent="0.25">
      <c r="S1443" s="31"/>
      <c r="X1443" s="31"/>
      <c r="Y1443" s="31"/>
      <c r="Z1443" s="31"/>
      <c r="AA1443" s="31"/>
      <c r="AB1443" s="31"/>
      <c r="AC1443" s="31"/>
    </row>
    <row r="1444" spans="19:29" x14ac:dyDescent="0.25">
      <c r="S1444" s="31"/>
      <c r="X1444" s="31"/>
      <c r="Y1444" s="31"/>
      <c r="Z1444" s="31"/>
      <c r="AA1444" s="31"/>
      <c r="AB1444" s="31"/>
      <c r="AC1444" s="31"/>
    </row>
    <row r="1445" spans="19:29" x14ac:dyDescent="0.25">
      <c r="S1445" s="31"/>
      <c r="X1445" s="31"/>
      <c r="Y1445" s="31"/>
      <c r="Z1445" s="31"/>
      <c r="AA1445" s="31"/>
      <c r="AB1445" s="31"/>
      <c r="AC1445" s="31"/>
    </row>
    <row r="1446" spans="19:29" x14ac:dyDescent="0.25">
      <c r="S1446" s="31"/>
      <c r="X1446" s="31"/>
      <c r="Y1446" s="31"/>
      <c r="Z1446" s="31"/>
      <c r="AA1446" s="31"/>
      <c r="AB1446" s="31"/>
      <c r="AC1446" s="31"/>
    </row>
    <row r="1447" spans="19:29" x14ac:dyDescent="0.25">
      <c r="S1447" s="31"/>
      <c r="X1447" s="31"/>
      <c r="Y1447" s="31"/>
      <c r="Z1447" s="31"/>
      <c r="AA1447" s="31"/>
      <c r="AB1447" s="31"/>
      <c r="AC1447" s="31"/>
    </row>
    <row r="1448" spans="19:29" x14ac:dyDescent="0.25">
      <c r="S1448" s="31"/>
      <c r="X1448" s="31"/>
      <c r="Y1448" s="31"/>
      <c r="Z1448" s="31"/>
      <c r="AA1448" s="31"/>
      <c r="AB1448" s="31"/>
      <c r="AC1448" s="31"/>
    </row>
    <row r="1449" spans="19:29" x14ac:dyDescent="0.25">
      <c r="S1449" s="31"/>
      <c r="X1449" s="31"/>
      <c r="Y1449" s="31"/>
      <c r="Z1449" s="31"/>
      <c r="AA1449" s="31"/>
      <c r="AB1449" s="31"/>
      <c r="AC1449" s="31"/>
    </row>
    <row r="1450" spans="19:29" x14ac:dyDescent="0.25">
      <c r="S1450" s="31"/>
      <c r="X1450" s="31"/>
      <c r="Y1450" s="31"/>
      <c r="Z1450" s="31"/>
      <c r="AA1450" s="31"/>
      <c r="AB1450" s="31"/>
      <c r="AC1450" s="31"/>
    </row>
    <row r="1451" spans="19:29" x14ac:dyDescent="0.25">
      <c r="S1451" s="31"/>
      <c r="X1451" s="31"/>
      <c r="Y1451" s="31"/>
      <c r="Z1451" s="31"/>
      <c r="AA1451" s="31"/>
      <c r="AB1451" s="31"/>
      <c r="AC1451" s="31"/>
    </row>
    <row r="1452" spans="19:29" x14ac:dyDescent="0.25">
      <c r="S1452" s="31"/>
      <c r="X1452" s="31"/>
      <c r="Y1452" s="31"/>
      <c r="Z1452" s="31"/>
      <c r="AA1452" s="31"/>
      <c r="AB1452" s="31"/>
      <c r="AC1452" s="31"/>
    </row>
    <row r="1453" spans="19:29" x14ac:dyDescent="0.25">
      <c r="S1453" s="31"/>
      <c r="X1453" s="31"/>
      <c r="Y1453" s="31"/>
      <c r="Z1453" s="31"/>
      <c r="AA1453" s="31"/>
      <c r="AB1453" s="31"/>
      <c r="AC1453" s="31"/>
    </row>
    <row r="1454" spans="19:29" x14ac:dyDescent="0.25">
      <c r="S1454" s="31"/>
      <c r="X1454" s="31"/>
      <c r="Y1454" s="31"/>
      <c r="Z1454" s="31"/>
      <c r="AA1454" s="31"/>
      <c r="AB1454" s="31"/>
      <c r="AC1454" s="31"/>
    </row>
    <row r="1455" spans="19:29" x14ac:dyDescent="0.25">
      <c r="S1455" s="31"/>
      <c r="X1455" s="31"/>
      <c r="Y1455" s="31"/>
      <c r="Z1455" s="31"/>
      <c r="AA1455" s="31"/>
      <c r="AB1455" s="31"/>
      <c r="AC1455" s="31"/>
    </row>
    <row r="1456" spans="19:29" x14ac:dyDescent="0.25">
      <c r="S1456" s="31"/>
      <c r="X1456" s="31"/>
      <c r="Y1456" s="31"/>
      <c r="Z1456" s="31"/>
      <c r="AA1456" s="31"/>
      <c r="AB1456" s="31"/>
      <c r="AC1456" s="31"/>
    </row>
    <row r="1457" spans="19:29" x14ac:dyDescent="0.25">
      <c r="S1457" s="31"/>
      <c r="X1457" s="31"/>
      <c r="Y1457" s="31"/>
      <c r="Z1457" s="31"/>
      <c r="AA1457" s="31"/>
      <c r="AB1457" s="31"/>
      <c r="AC1457" s="31"/>
    </row>
    <row r="1458" spans="19:29" x14ac:dyDescent="0.25">
      <c r="S1458" s="31"/>
      <c r="X1458" s="31"/>
      <c r="Y1458" s="31"/>
      <c r="Z1458" s="31"/>
      <c r="AA1458" s="31"/>
      <c r="AB1458" s="31"/>
      <c r="AC1458" s="31"/>
    </row>
    <row r="1459" spans="19:29" x14ac:dyDescent="0.25">
      <c r="S1459" s="31"/>
      <c r="X1459" s="31"/>
      <c r="Y1459" s="31"/>
      <c r="Z1459" s="31"/>
      <c r="AA1459" s="31"/>
      <c r="AB1459" s="31"/>
      <c r="AC1459" s="31"/>
    </row>
    <row r="1460" spans="19:29" x14ac:dyDescent="0.25">
      <c r="S1460" s="31"/>
      <c r="X1460" s="31"/>
      <c r="Y1460" s="31"/>
      <c r="Z1460" s="31"/>
      <c r="AA1460" s="31"/>
      <c r="AB1460" s="31"/>
      <c r="AC1460" s="31"/>
    </row>
    <row r="1461" spans="19:29" x14ac:dyDescent="0.25">
      <c r="S1461" s="31"/>
      <c r="X1461" s="31"/>
      <c r="Y1461" s="31"/>
      <c r="Z1461" s="31"/>
      <c r="AA1461" s="31"/>
      <c r="AB1461" s="31"/>
      <c r="AC1461" s="31"/>
    </row>
    <row r="1462" spans="19:29" x14ac:dyDescent="0.25">
      <c r="S1462" s="31"/>
      <c r="X1462" s="31"/>
      <c r="Y1462" s="31"/>
      <c r="Z1462" s="31"/>
      <c r="AA1462" s="31"/>
      <c r="AB1462" s="31"/>
      <c r="AC1462" s="31"/>
    </row>
    <row r="1463" spans="19:29" x14ac:dyDescent="0.25">
      <c r="S1463" s="31"/>
      <c r="X1463" s="31"/>
      <c r="Y1463" s="31"/>
      <c r="Z1463" s="31"/>
      <c r="AA1463" s="31"/>
      <c r="AB1463" s="31"/>
      <c r="AC1463" s="31"/>
    </row>
    <row r="1464" spans="19:29" x14ac:dyDescent="0.25">
      <c r="S1464" s="31"/>
      <c r="X1464" s="31"/>
      <c r="Y1464" s="31"/>
      <c r="Z1464" s="31"/>
      <c r="AA1464" s="31"/>
      <c r="AB1464" s="31"/>
      <c r="AC1464" s="31"/>
    </row>
    <row r="1465" spans="19:29" x14ac:dyDescent="0.25">
      <c r="S1465" s="31"/>
      <c r="X1465" s="31"/>
      <c r="Y1465" s="31"/>
      <c r="Z1465" s="31"/>
      <c r="AA1465" s="31"/>
      <c r="AB1465" s="31"/>
      <c r="AC1465" s="31"/>
    </row>
    <row r="1466" spans="19:29" x14ac:dyDescent="0.25">
      <c r="S1466" s="31"/>
      <c r="X1466" s="31"/>
      <c r="Y1466" s="31"/>
      <c r="Z1466" s="31"/>
      <c r="AA1466" s="31"/>
      <c r="AB1466" s="31"/>
      <c r="AC1466" s="31"/>
    </row>
    <row r="1467" spans="19:29" x14ac:dyDescent="0.25">
      <c r="S1467" s="31"/>
      <c r="X1467" s="31"/>
      <c r="Y1467" s="31"/>
      <c r="Z1467" s="31"/>
      <c r="AA1467" s="31"/>
      <c r="AB1467" s="31"/>
      <c r="AC1467" s="31"/>
    </row>
    <row r="1468" spans="19:29" x14ac:dyDescent="0.25">
      <c r="S1468" s="31"/>
      <c r="X1468" s="31"/>
      <c r="Y1468" s="31"/>
      <c r="Z1468" s="31"/>
      <c r="AA1468" s="31"/>
      <c r="AB1468" s="31"/>
      <c r="AC1468" s="31"/>
    </row>
    <row r="1469" spans="19:29" x14ac:dyDescent="0.25">
      <c r="S1469" s="31"/>
      <c r="X1469" s="31"/>
      <c r="Y1469" s="31"/>
      <c r="Z1469" s="31"/>
      <c r="AA1469" s="31"/>
      <c r="AB1469" s="31"/>
      <c r="AC1469" s="31"/>
    </row>
    <row r="1470" spans="19:29" x14ac:dyDescent="0.25">
      <c r="S1470" s="31"/>
      <c r="X1470" s="31"/>
      <c r="Y1470" s="31"/>
      <c r="Z1470" s="31"/>
      <c r="AA1470" s="31"/>
      <c r="AB1470" s="31"/>
      <c r="AC1470" s="31"/>
    </row>
    <row r="1471" spans="19:29" x14ac:dyDescent="0.25">
      <c r="S1471" s="31"/>
      <c r="X1471" s="31"/>
      <c r="Y1471" s="31"/>
      <c r="Z1471" s="31"/>
      <c r="AA1471" s="31"/>
      <c r="AB1471" s="31"/>
      <c r="AC1471" s="31"/>
    </row>
    <row r="1472" spans="19:29" x14ac:dyDescent="0.25">
      <c r="S1472" s="31"/>
      <c r="X1472" s="31"/>
      <c r="Y1472" s="31"/>
      <c r="Z1472" s="31"/>
      <c r="AA1472" s="31"/>
      <c r="AB1472" s="31"/>
      <c r="AC1472" s="31"/>
    </row>
    <row r="1473" spans="19:29" x14ac:dyDescent="0.25">
      <c r="S1473" s="31"/>
      <c r="X1473" s="31"/>
      <c r="Y1473" s="31"/>
      <c r="Z1473" s="31"/>
      <c r="AA1473" s="31"/>
      <c r="AB1473" s="31"/>
      <c r="AC1473" s="31"/>
    </row>
    <row r="1474" spans="19:29" x14ac:dyDescent="0.25">
      <c r="S1474" s="31"/>
      <c r="X1474" s="31"/>
      <c r="Y1474" s="31"/>
      <c r="Z1474" s="31"/>
      <c r="AA1474" s="31"/>
      <c r="AB1474" s="31"/>
      <c r="AC1474" s="31"/>
    </row>
    <row r="1475" spans="19:29" x14ac:dyDescent="0.25">
      <c r="S1475" s="31"/>
      <c r="X1475" s="31"/>
      <c r="Y1475" s="31"/>
      <c r="Z1475" s="31"/>
      <c r="AA1475" s="31"/>
      <c r="AB1475" s="31"/>
      <c r="AC1475" s="31"/>
    </row>
    <row r="1476" spans="19:29" x14ac:dyDescent="0.25">
      <c r="S1476" s="31"/>
      <c r="X1476" s="31"/>
      <c r="Y1476" s="31"/>
      <c r="Z1476" s="31"/>
      <c r="AA1476" s="31"/>
      <c r="AB1476" s="31"/>
      <c r="AC1476" s="31"/>
    </row>
    <row r="1477" spans="19:29" x14ac:dyDescent="0.25">
      <c r="S1477" s="31"/>
      <c r="X1477" s="31"/>
      <c r="Y1477" s="31"/>
      <c r="Z1477" s="31"/>
      <c r="AA1477" s="31"/>
      <c r="AB1477" s="31"/>
      <c r="AC1477" s="31"/>
    </row>
    <row r="1478" spans="19:29" x14ac:dyDescent="0.25">
      <c r="S1478" s="31"/>
      <c r="X1478" s="31"/>
      <c r="Y1478" s="31"/>
      <c r="Z1478" s="31"/>
      <c r="AA1478" s="31"/>
      <c r="AB1478" s="31"/>
      <c r="AC1478" s="31"/>
    </row>
    <row r="1479" spans="19:29" x14ac:dyDescent="0.25">
      <c r="S1479" s="31"/>
      <c r="X1479" s="31"/>
      <c r="Y1479" s="31"/>
      <c r="Z1479" s="31"/>
      <c r="AA1479" s="31"/>
      <c r="AB1479" s="31"/>
      <c r="AC1479" s="31"/>
    </row>
    <row r="1480" spans="19:29" x14ac:dyDescent="0.25">
      <c r="S1480" s="31"/>
      <c r="X1480" s="31"/>
      <c r="Y1480" s="31"/>
      <c r="Z1480" s="31"/>
      <c r="AA1480" s="31"/>
      <c r="AB1480" s="31"/>
      <c r="AC1480" s="31"/>
    </row>
    <row r="1481" spans="19:29" x14ac:dyDescent="0.25">
      <c r="S1481" s="31"/>
      <c r="X1481" s="31"/>
      <c r="Y1481" s="31"/>
      <c r="Z1481" s="31"/>
      <c r="AA1481" s="31"/>
      <c r="AB1481" s="31"/>
      <c r="AC1481" s="31"/>
    </row>
    <row r="1482" spans="19:29" x14ac:dyDescent="0.25">
      <c r="S1482" s="31"/>
      <c r="X1482" s="31"/>
      <c r="Y1482" s="31"/>
      <c r="Z1482" s="31"/>
      <c r="AA1482" s="31"/>
      <c r="AB1482" s="31"/>
      <c r="AC1482" s="31"/>
    </row>
    <row r="1483" spans="19:29" x14ac:dyDescent="0.25">
      <c r="S1483" s="31"/>
      <c r="X1483" s="31"/>
      <c r="Y1483" s="31"/>
      <c r="Z1483" s="31"/>
      <c r="AA1483" s="31"/>
      <c r="AB1483" s="31"/>
      <c r="AC1483" s="31"/>
    </row>
    <row r="1484" spans="19:29" x14ac:dyDescent="0.25">
      <c r="S1484" s="31"/>
      <c r="X1484" s="31"/>
      <c r="Y1484" s="31"/>
      <c r="Z1484" s="31"/>
      <c r="AA1484" s="31"/>
      <c r="AB1484" s="31"/>
      <c r="AC1484" s="31"/>
    </row>
    <row r="1485" spans="19:29" x14ac:dyDescent="0.25">
      <c r="S1485" s="31"/>
      <c r="X1485" s="31"/>
      <c r="Y1485" s="31"/>
      <c r="Z1485" s="31"/>
      <c r="AA1485" s="31"/>
      <c r="AB1485" s="31"/>
      <c r="AC1485" s="31"/>
    </row>
    <row r="1486" spans="19:29" x14ac:dyDescent="0.25">
      <c r="S1486" s="31"/>
      <c r="X1486" s="31"/>
      <c r="Y1486" s="31"/>
      <c r="Z1486" s="31"/>
      <c r="AA1486" s="31"/>
      <c r="AB1486" s="31"/>
      <c r="AC1486" s="31"/>
    </row>
    <row r="1487" spans="19:29" x14ac:dyDescent="0.25">
      <c r="S1487" s="31"/>
      <c r="X1487" s="31"/>
      <c r="Y1487" s="31"/>
      <c r="Z1487" s="31"/>
      <c r="AA1487" s="31"/>
      <c r="AB1487" s="31"/>
      <c r="AC1487" s="31"/>
    </row>
    <row r="1488" spans="19:29" x14ac:dyDescent="0.25">
      <c r="S1488" s="31"/>
      <c r="X1488" s="31"/>
      <c r="Y1488" s="31"/>
      <c r="Z1488" s="31"/>
      <c r="AA1488" s="31"/>
      <c r="AB1488" s="31"/>
      <c r="AC1488" s="31"/>
    </row>
    <row r="1489" spans="19:29" x14ac:dyDescent="0.25">
      <c r="S1489" s="31"/>
      <c r="X1489" s="31"/>
      <c r="Y1489" s="31"/>
      <c r="Z1489" s="31"/>
      <c r="AA1489" s="31"/>
      <c r="AB1489" s="31"/>
      <c r="AC1489" s="31"/>
    </row>
    <row r="1490" spans="19:29" x14ac:dyDescent="0.25">
      <c r="S1490" s="31"/>
      <c r="X1490" s="31"/>
      <c r="Y1490" s="31"/>
      <c r="Z1490" s="31"/>
      <c r="AA1490" s="31"/>
      <c r="AB1490" s="31"/>
      <c r="AC1490" s="31"/>
    </row>
    <row r="1491" spans="19:29" x14ac:dyDescent="0.25">
      <c r="S1491" s="31"/>
      <c r="X1491" s="31"/>
      <c r="Y1491" s="31"/>
      <c r="Z1491" s="31"/>
      <c r="AA1491" s="31"/>
      <c r="AB1491" s="31"/>
      <c r="AC1491" s="31"/>
    </row>
    <row r="1492" spans="19:29" x14ac:dyDescent="0.25">
      <c r="S1492" s="31"/>
      <c r="X1492" s="31"/>
      <c r="Y1492" s="31"/>
      <c r="Z1492" s="31"/>
      <c r="AA1492" s="31"/>
      <c r="AB1492" s="31"/>
      <c r="AC1492" s="31"/>
    </row>
    <row r="1493" spans="19:29" x14ac:dyDescent="0.25">
      <c r="S1493" s="31"/>
      <c r="X1493" s="31"/>
      <c r="Y1493" s="31"/>
      <c r="Z1493" s="31"/>
      <c r="AA1493" s="31"/>
      <c r="AB1493" s="31"/>
      <c r="AC1493" s="31"/>
    </row>
    <row r="1494" spans="19:29" x14ac:dyDescent="0.25">
      <c r="S1494" s="31"/>
      <c r="X1494" s="31"/>
      <c r="Y1494" s="31"/>
      <c r="Z1494" s="31"/>
      <c r="AA1494" s="31"/>
      <c r="AB1494" s="31"/>
      <c r="AC1494" s="31"/>
    </row>
    <row r="1495" spans="19:29" x14ac:dyDescent="0.25">
      <c r="S1495" s="31"/>
      <c r="X1495" s="31"/>
      <c r="Y1495" s="31"/>
      <c r="Z1495" s="31"/>
      <c r="AA1495" s="31"/>
      <c r="AB1495" s="31"/>
      <c r="AC1495" s="31"/>
    </row>
    <row r="1496" spans="19:29" x14ac:dyDescent="0.25">
      <c r="S1496" s="31"/>
      <c r="X1496" s="31"/>
      <c r="Y1496" s="31"/>
      <c r="Z1496" s="31"/>
      <c r="AA1496" s="31"/>
      <c r="AB1496" s="31"/>
      <c r="AC1496" s="31"/>
    </row>
    <row r="1497" spans="19:29" x14ac:dyDescent="0.25">
      <c r="S1497" s="31"/>
      <c r="X1497" s="31"/>
      <c r="Y1497" s="31"/>
      <c r="Z1497" s="31"/>
      <c r="AA1497" s="31"/>
      <c r="AB1497" s="31"/>
      <c r="AC1497" s="31"/>
    </row>
    <row r="1498" spans="19:29" x14ac:dyDescent="0.25">
      <c r="S1498" s="31"/>
      <c r="X1498" s="31"/>
      <c r="Y1498" s="31"/>
      <c r="Z1498" s="31"/>
      <c r="AA1498" s="31"/>
      <c r="AB1498" s="31"/>
      <c r="AC1498" s="31"/>
    </row>
    <row r="1499" spans="19:29" x14ac:dyDescent="0.25">
      <c r="S1499" s="31"/>
      <c r="X1499" s="31"/>
      <c r="Y1499" s="31"/>
      <c r="Z1499" s="31"/>
      <c r="AA1499" s="31"/>
      <c r="AB1499" s="31"/>
      <c r="AC1499" s="31"/>
    </row>
    <row r="1500" spans="19:29" x14ac:dyDescent="0.25">
      <c r="S1500" s="31"/>
      <c r="X1500" s="31"/>
      <c r="Y1500" s="31"/>
      <c r="Z1500" s="31"/>
      <c r="AA1500" s="31"/>
      <c r="AB1500" s="31"/>
      <c r="AC1500" s="31"/>
    </row>
    <row r="1501" spans="19:29" x14ac:dyDescent="0.25">
      <c r="S1501" s="31"/>
      <c r="X1501" s="31"/>
      <c r="Y1501" s="31"/>
      <c r="Z1501" s="31"/>
      <c r="AA1501" s="31"/>
      <c r="AB1501" s="31"/>
      <c r="AC1501" s="31"/>
    </row>
    <row r="1502" spans="19:29" x14ac:dyDescent="0.25">
      <c r="S1502" s="31"/>
      <c r="X1502" s="31"/>
      <c r="Y1502" s="31"/>
      <c r="Z1502" s="31"/>
      <c r="AA1502" s="31"/>
      <c r="AB1502" s="31"/>
      <c r="AC1502" s="31"/>
    </row>
    <row r="1503" spans="19:29" x14ac:dyDescent="0.25">
      <c r="S1503" s="31"/>
      <c r="X1503" s="31"/>
      <c r="Y1503" s="31"/>
      <c r="Z1503" s="31"/>
      <c r="AA1503" s="31"/>
      <c r="AB1503" s="31"/>
      <c r="AC1503" s="31"/>
    </row>
    <row r="1504" spans="19:29" x14ac:dyDescent="0.25">
      <c r="S1504" s="31"/>
      <c r="X1504" s="31"/>
      <c r="Y1504" s="31"/>
      <c r="Z1504" s="31"/>
      <c r="AA1504" s="31"/>
      <c r="AB1504" s="31"/>
      <c r="AC1504" s="31"/>
    </row>
    <row r="1505" spans="19:29" x14ac:dyDescent="0.25">
      <c r="S1505" s="31"/>
      <c r="X1505" s="31"/>
      <c r="Y1505" s="31"/>
      <c r="Z1505" s="31"/>
      <c r="AA1505" s="31"/>
      <c r="AB1505" s="31"/>
      <c r="AC1505" s="31"/>
    </row>
    <row r="1506" spans="19:29" x14ac:dyDescent="0.25">
      <c r="S1506" s="31"/>
      <c r="X1506" s="31"/>
      <c r="Y1506" s="31"/>
      <c r="Z1506" s="31"/>
      <c r="AA1506" s="31"/>
      <c r="AB1506" s="31"/>
      <c r="AC1506" s="31"/>
    </row>
    <row r="1507" spans="19:29" x14ac:dyDescent="0.25">
      <c r="S1507" s="31"/>
      <c r="X1507" s="31"/>
      <c r="Y1507" s="31"/>
      <c r="Z1507" s="31"/>
      <c r="AA1507" s="31"/>
      <c r="AB1507" s="31"/>
      <c r="AC1507" s="31"/>
    </row>
    <row r="1508" spans="19:29" x14ac:dyDescent="0.25">
      <c r="S1508" s="31"/>
      <c r="X1508" s="31"/>
      <c r="Y1508" s="31"/>
      <c r="Z1508" s="31"/>
      <c r="AA1508" s="31"/>
      <c r="AB1508" s="31"/>
      <c r="AC1508" s="31"/>
    </row>
    <row r="1509" spans="19:29" x14ac:dyDescent="0.25">
      <c r="S1509" s="31"/>
      <c r="X1509" s="31"/>
      <c r="Y1509" s="31"/>
      <c r="Z1509" s="31"/>
      <c r="AA1509" s="31"/>
      <c r="AB1509" s="31"/>
      <c r="AC1509" s="31"/>
    </row>
    <row r="1510" spans="19:29" x14ac:dyDescent="0.25">
      <c r="S1510" s="31"/>
      <c r="X1510" s="31"/>
      <c r="Y1510" s="31"/>
      <c r="Z1510" s="31"/>
      <c r="AA1510" s="31"/>
      <c r="AB1510" s="31"/>
      <c r="AC1510" s="31"/>
    </row>
    <row r="1511" spans="19:29" x14ac:dyDescent="0.25">
      <c r="S1511" s="31"/>
      <c r="X1511" s="31"/>
      <c r="Y1511" s="31"/>
      <c r="Z1511" s="31"/>
      <c r="AA1511" s="31"/>
      <c r="AB1511" s="31"/>
      <c r="AC1511" s="31"/>
    </row>
    <row r="1512" spans="19:29" x14ac:dyDescent="0.25">
      <c r="S1512" s="31"/>
      <c r="X1512" s="31"/>
      <c r="Y1512" s="31"/>
      <c r="Z1512" s="31"/>
      <c r="AA1512" s="31"/>
      <c r="AB1512" s="31"/>
      <c r="AC1512" s="31"/>
    </row>
    <row r="1513" spans="19:29" x14ac:dyDescent="0.25">
      <c r="S1513" s="31"/>
      <c r="X1513" s="31"/>
      <c r="Y1513" s="31"/>
      <c r="Z1513" s="31"/>
      <c r="AA1513" s="31"/>
      <c r="AB1513" s="31"/>
      <c r="AC1513" s="31"/>
    </row>
    <row r="1514" spans="19:29" x14ac:dyDescent="0.25">
      <c r="S1514" s="31"/>
      <c r="X1514" s="31"/>
      <c r="Y1514" s="31"/>
      <c r="Z1514" s="31"/>
      <c r="AA1514" s="31"/>
      <c r="AB1514" s="31"/>
      <c r="AC1514" s="31"/>
    </row>
    <row r="1515" spans="19:29" x14ac:dyDescent="0.25">
      <c r="S1515" s="31"/>
      <c r="X1515" s="31"/>
      <c r="Y1515" s="31"/>
      <c r="Z1515" s="31"/>
      <c r="AA1515" s="31"/>
      <c r="AB1515" s="31"/>
      <c r="AC1515" s="31"/>
    </row>
    <row r="1516" spans="19:29" x14ac:dyDescent="0.25">
      <c r="S1516" s="31"/>
      <c r="X1516" s="31"/>
      <c r="Y1516" s="31"/>
      <c r="Z1516" s="31"/>
      <c r="AA1516" s="31"/>
      <c r="AB1516" s="31"/>
      <c r="AC1516" s="31"/>
    </row>
    <row r="1517" spans="19:29" x14ac:dyDescent="0.25">
      <c r="S1517" s="31"/>
      <c r="X1517" s="31"/>
      <c r="Y1517" s="31"/>
      <c r="Z1517" s="31"/>
      <c r="AA1517" s="31"/>
      <c r="AB1517" s="31"/>
      <c r="AC1517" s="31"/>
    </row>
    <row r="1518" spans="19:29" x14ac:dyDescent="0.25">
      <c r="S1518" s="31"/>
      <c r="X1518" s="31"/>
      <c r="Y1518" s="31"/>
      <c r="Z1518" s="31"/>
      <c r="AA1518" s="31"/>
      <c r="AB1518" s="31"/>
      <c r="AC1518" s="31"/>
    </row>
    <row r="1519" spans="19:29" x14ac:dyDescent="0.25">
      <c r="S1519" s="31"/>
      <c r="X1519" s="31"/>
      <c r="Y1519" s="31"/>
      <c r="Z1519" s="31"/>
      <c r="AA1519" s="31"/>
      <c r="AB1519" s="31"/>
      <c r="AC1519" s="31"/>
    </row>
    <row r="1520" spans="19:29" x14ac:dyDescent="0.25">
      <c r="S1520" s="31"/>
      <c r="X1520" s="31"/>
      <c r="Y1520" s="31"/>
      <c r="Z1520" s="31"/>
      <c r="AA1520" s="31"/>
      <c r="AB1520" s="31"/>
      <c r="AC1520" s="31"/>
    </row>
    <row r="1521" spans="19:29" x14ac:dyDescent="0.25">
      <c r="S1521" s="31"/>
      <c r="X1521" s="31"/>
      <c r="Y1521" s="31"/>
      <c r="Z1521" s="31"/>
      <c r="AA1521" s="31"/>
      <c r="AB1521" s="31"/>
      <c r="AC1521" s="31"/>
    </row>
    <row r="1522" spans="19:29" x14ac:dyDescent="0.25">
      <c r="S1522" s="31"/>
      <c r="X1522" s="31"/>
      <c r="Y1522" s="31"/>
      <c r="Z1522" s="31"/>
      <c r="AA1522" s="31"/>
      <c r="AB1522" s="31"/>
      <c r="AC1522" s="31"/>
    </row>
    <row r="1523" spans="19:29" x14ac:dyDescent="0.25">
      <c r="S1523" s="31"/>
      <c r="X1523" s="31"/>
      <c r="Y1523" s="31"/>
      <c r="Z1523" s="31"/>
      <c r="AA1523" s="31"/>
      <c r="AB1523" s="31"/>
      <c r="AC1523" s="31"/>
    </row>
    <row r="1524" spans="19:29" x14ac:dyDescent="0.25">
      <c r="S1524" s="31"/>
      <c r="X1524" s="31"/>
      <c r="Y1524" s="31"/>
      <c r="Z1524" s="31"/>
      <c r="AA1524" s="31"/>
      <c r="AB1524" s="31"/>
      <c r="AC1524" s="31"/>
    </row>
    <row r="1525" spans="19:29" x14ac:dyDescent="0.25">
      <c r="S1525" s="31"/>
      <c r="X1525" s="31"/>
      <c r="Y1525" s="31"/>
      <c r="Z1525" s="31"/>
      <c r="AA1525" s="31"/>
      <c r="AB1525" s="31"/>
      <c r="AC1525" s="31"/>
    </row>
    <row r="1526" spans="19:29" x14ac:dyDescent="0.25">
      <c r="S1526" s="31"/>
      <c r="X1526" s="31"/>
      <c r="Y1526" s="31"/>
      <c r="Z1526" s="31"/>
      <c r="AA1526" s="31"/>
      <c r="AB1526" s="31"/>
      <c r="AC1526" s="31"/>
    </row>
    <row r="1527" spans="19:29" x14ac:dyDescent="0.25">
      <c r="S1527" s="31"/>
      <c r="X1527" s="31"/>
      <c r="Y1527" s="31"/>
      <c r="Z1527" s="31"/>
      <c r="AA1527" s="31"/>
      <c r="AB1527" s="31"/>
      <c r="AC1527" s="31"/>
    </row>
    <row r="1528" spans="19:29" x14ac:dyDescent="0.25">
      <c r="S1528" s="31"/>
      <c r="X1528" s="31"/>
      <c r="Y1528" s="31"/>
      <c r="Z1528" s="31"/>
      <c r="AA1528" s="31"/>
      <c r="AB1528" s="31"/>
      <c r="AC1528" s="31"/>
    </row>
    <row r="1529" spans="19:29" x14ac:dyDescent="0.25">
      <c r="S1529" s="31"/>
      <c r="X1529" s="31"/>
      <c r="Y1529" s="31"/>
      <c r="Z1529" s="31"/>
      <c r="AA1529" s="31"/>
      <c r="AB1529" s="31"/>
      <c r="AC1529" s="31"/>
    </row>
    <row r="1530" spans="19:29" x14ac:dyDescent="0.25">
      <c r="S1530" s="31"/>
      <c r="X1530" s="31"/>
      <c r="Y1530" s="31"/>
      <c r="Z1530" s="31"/>
      <c r="AA1530" s="31"/>
      <c r="AB1530" s="31"/>
      <c r="AC1530" s="31"/>
    </row>
    <row r="1531" spans="19:29" x14ac:dyDescent="0.25">
      <c r="S1531" s="31"/>
      <c r="X1531" s="31"/>
      <c r="Y1531" s="31"/>
      <c r="Z1531" s="31"/>
      <c r="AA1531" s="31"/>
      <c r="AB1531" s="31"/>
      <c r="AC1531" s="31"/>
    </row>
    <row r="1532" spans="19:29" x14ac:dyDescent="0.25">
      <c r="S1532" s="31"/>
      <c r="X1532" s="31"/>
      <c r="Y1532" s="31"/>
      <c r="Z1532" s="31"/>
      <c r="AA1532" s="31"/>
      <c r="AB1532" s="31"/>
      <c r="AC1532" s="31"/>
    </row>
    <row r="1533" spans="19:29" x14ac:dyDescent="0.25">
      <c r="S1533" s="31"/>
      <c r="X1533" s="31"/>
      <c r="Y1533" s="31"/>
      <c r="Z1533" s="31"/>
      <c r="AA1533" s="31"/>
      <c r="AB1533" s="31"/>
      <c r="AC1533" s="31"/>
    </row>
    <row r="1534" spans="19:29" x14ac:dyDescent="0.25">
      <c r="S1534" s="31"/>
      <c r="X1534" s="31"/>
      <c r="Y1534" s="31"/>
      <c r="Z1534" s="31"/>
      <c r="AA1534" s="31"/>
      <c r="AB1534" s="31"/>
      <c r="AC1534" s="31"/>
    </row>
    <row r="1535" spans="19:29" x14ac:dyDescent="0.25">
      <c r="S1535" s="31"/>
      <c r="X1535" s="31"/>
      <c r="Y1535" s="31"/>
      <c r="Z1535" s="31"/>
      <c r="AA1535" s="31"/>
      <c r="AB1535" s="31"/>
      <c r="AC1535" s="31"/>
    </row>
    <row r="1536" spans="19:29" x14ac:dyDescent="0.25">
      <c r="S1536" s="31"/>
      <c r="X1536" s="31"/>
      <c r="Y1536" s="31"/>
      <c r="Z1536" s="31"/>
      <c r="AA1536" s="31"/>
      <c r="AB1536" s="31"/>
      <c r="AC1536" s="31"/>
    </row>
    <row r="1537" spans="19:29" x14ac:dyDescent="0.25">
      <c r="S1537" s="31"/>
      <c r="X1537" s="31"/>
      <c r="Y1537" s="31"/>
      <c r="Z1537" s="31"/>
      <c r="AA1537" s="31"/>
      <c r="AB1537" s="31"/>
      <c r="AC1537" s="31"/>
    </row>
    <row r="1538" spans="19:29" x14ac:dyDescent="0.25">
      <c r="S1538" s="31"/>
      <c r="X1538" s="31"/>
      <c r="Y1538" s="31"/>
      <c r="Z1538" s="31"/>
      <c r="AA1538" s="31"/>
      <c r="AB1538" s="31"/>
      <c r="AC1538" s="31"/>
    </row>
    <row r="1539" spans="19:29" x14ac:dyDescent="0.25">
      <c r="S1539" s="31"/>
      <c r="X1539" s="31"/>
      <c r="Y1539" s="31"/>
      <c r="Z1539" s="31"/>
      <c r="AA1539" s="31"/>
      <c r="AB1539" s="31"/>
      <c r="AC1539" s="31"/>
    </row>
    <row r="1540" spans="19:29" x14ac:dyDescent="0.25">
      <c r="S1540" s="31"/>
      <c r="X1540" s="31"/>
      <c r="Y1540" s="31"/>
      <c r="Z1540" s="31"/>
      <c r="AA1540" s="31"/>
      <c r="AB1540" s="31"/>
      <c r="AC1540" s="31"/>
    </row>
    <row r="1541" spans="19:29" x14ac:dyDescent="0.25">
      <c r="S1541" s="31"/>
      <c r="X1541" s="31"/>
      <c r="Y1541" s="31"/>
      <c r="Z1541" s="31"/>
      <c r="AA1541" s="31"/>
      <c r="AB1541" s="31"/>
      <c r="AC1541" s="31"/>
    </row>
    <row r="1542" spans="19:29" x14ac:dyDescent="0.25">
      <c r="S1542" s="31"/>
      <c r="X1542" s="31"/>
      <c r="Y1542" s="31"/>
      <c r="Z1542" s="31"/>
      <c r="AA1542" s="31"/>
      <c r="AB1542" s="31"/>
      <c r="AC1542" s="31"/>
    </row>
    <row r="1543" spans="19:29" x14ac:dyDescent="0.25">
      <c r="S1543" s="31"/>
      <c r="X1543" s="31"/>
      <c r="Y1543" s="31"/>
      <c r="Z1543" s="31"/>
      <c r="AA1543" s="31"/>
      <c r="AB1543" s="31"/>
      <c r="AC1543" s="31"/>
    </row>
    <row r="1544" spans="19:29" x14ac:dyDescent="0.25">
      <c r="S1544" s="31"/>
      <c r="X1544" s="31"/>
      <c r="Y1544" s="31"/>
      <c r="Z1544" s="31"/>
      <c r="AA1544" s="31"/>
      <c r="AB1544" s="31"/>
      <c r="AC1544" s="31"/>
    </row>
    <row r="1545" spans="19:29" x14ac:dyDescent="0.25">
      <c r="S1545" s="31"/>
      <c r="X1545" s="31"/>
      <c r="Y1545" s="31"/>
      <c r="Z1545" s="31"/>
      <c r="AA1545" s="31"/>
      <c r="AB1545" s="31"/>
      <c r="AC1545" s="31"/>
    </row>
    <row r="1546" spans="19:29" x14ac:dyDescent="0.25">
      <c r="S1546" s="31"/>
      <c r="X1546" s="31"/>
      <c r="Y1546" s="31"/>
      <c r="Z1546" s="31"/>
      <c r="AA1546" s="31"/>
      <c r="AB1546" s="31"/>
      <c r="AC1546" s="31"/>
    </row>
    <row r="1547" spans="19:29" x14ac:dyDescent="0.25">
      <c r="S1547" s="31"/>
      <c r="X1547" s="31"/>
      <c r="Y1547" s="31"/>
      <c r="Z1547" s="31"/>
      <c r="AA1547" s="31"/>
      <c r="AB1547" s="31"/>
      <c r="AC1547" s="31"/>
    </row>
    <row r="1548" spans="19:29" x14ac:dyDescent="0.25">
      <c r="S1548" s="31"/>
      <c r="X1548" s="31"/>
      <c r="Y1548" s="31"/>
      <c r="Z1548" s="31"/>
      <c r="AA1548" s="31"/>
      <c r="AB1548" s="31"/>
      <c r="AC1548" s="31"/>
    </row>
    <row r="1549" spans="19:29" x14ac:dyDescent="0.25">
      <c r="S1549" s="31"/>
      <c r="X1549" s="31"/>
      <c r="Y1549" s="31"/>
      <c r="Z1549" s="31"/>
      <c r="AA1549" s="31"/>
      <c r="AB1549" s="31"/>
      <c r="AC1549" s="31"/>
    </row>
    <row r="1550" spans="19:29" x14ac:dyDescent="0.25">
      <c r="S1550" s="31"/>
      <c r="X1550" s="31"/>
      <c r="Y1550" s="31"/>
      <c r="Z1550" s="31"/>
      <c r="AA1550" s="31"/>
      <c r="AB1550" s="31"/>
      <c r="AC1550" s="31"/>
    </row>
    <row r="1551" spans="19:29" x14ac:dyDescent="0.25">
      <c r="S1551" s="31"/>
      <c r="X1551" s="31"/>
      <c r="Y1551" s="31"/>
      <c r="Z1551" s="31"/>
      <c r="AA1551" s="31"/>
      <c r="AB1551" s="31"/>
      <c r="AC1551" s="31"/>
    </row>
    <row r="1552" spans="19:29" x14ac:dyDescent="0.25">
      <c r="S1552" s="31"/>
      <c r="X1552" s="31"/>
      <c r="Y1552" s="31"/>
      <c r="Z1552" s="31"/>
      <c r="AA1552" s="31"/>
      <c r="AB1552" s="31"/>
      <c r="AC1552" s="31"/>
    </row>
    <row r="1553" spans="19:29" x14ac:dyDescent="0.25">
      <c r="S1553" s="31"/>
      <c r="X1553" s="31"/>
      <c r="Y1553" s="31"/>
      <c r="Z1553" s="31"/>
      <c r="AA1553" s="31"/>
      <c r="AB1553" s="31"/>
      <c r="AC1553" s="31"/>
    </row>
    <row r="1554" spans="19:29" x14ac:dyDescent="0.25">
      <c r="S1554" s="31"/>
      <c r="X1554" s="31"/>
      <c r="Y1554" s="31"/>
      <c r="Z1554" s="31"/>
      <c r="AA1554" s="31"/>
      <c r="AB1554" s="31"/>
      <c r="AC1554" s="31"/>
    </row>
    <row r="1555" spans="19:29" x14ac:dyDescent="0.25">
      <c r="S1555" s="31"/>
      <c r="X1555" s="31"/>
      <c r="Y1555" s="31"/>
      <c r="Z1555" s="31"/>
      <c r="AA1555" s="31"/>
      <c r="AB1555" s="31"/>
      <c r="AC1555" s="31"/>
    </row>
    <row r="1556" spans="19:29" x14ac:dyDescent="0.25">
      <c r="S1556" s="31"/>
      <c r="X1556" s="31"/>
      <c r="Y1556" s="31"/>
      <c r="Z1556" s="31"/>
      <c r="AA1556" s="31"/>
      <c r="AB1556" s="31"/>
      <c r="AC1556" s="31"/>
    </row>
    <row r="1557" spans="19:29" x14ac:dyDescent="0.25">
      <c r="S1557" s="31"/>
      <c r="X1557" s="31"/>
      <c r="Y1557" s="31"/>
      <c r="Z1557" s="31"/>
      <c r="AA1557" s="31"/>
      <c r="AB1557" s="31"/>
      <c r="AC1557" s="31"/>
    </row>
    <row r="1558" spans="19:29" x14ac:dyDescent="0.25">
      <c r="S1558" s="31"/>
      <c r="X1558" s="31"/>
      <c r="Y1558" s="31"/>
      <c r="Z1558" s="31"/>
      <c r="AA1558" s="31"/>
      <c r="AB1558" s="31"/>
      <c r="AC1558" s="31"/>
    </row>
    <row r="1559" spans="19:29" x14ac:dyDescent="0.25">
      <c r="S1559" s="31"/>
      <c r="X1559" s="31"/>
      <c r="Y1559" s="31"/>
      <c r="Z1559" s="31"/>
      <c r="AA1559" s="31"/>
      <c r="AB1559" s="31"/>
      <c r="AC1559" s="31"/>
    </row>
    <row r="1560" spans="19:29" x14ac:dyDescent="0.25">
      <c r="S1560" s="31"/>
      <c r="X1560" s="31"/>
      <c r="Y1560" s="31"/>
      <c r="Z1560" s="31"/>
      <c r="AA1560" s="31"/>
      <c r="AB1560" s="31"/>
      <c r="AC1560" s="31"/>
    </row>
    <row r="1561" spans="19:29" x14ac:dyDescent="0.25">
      <c r="S1561" s="31"/>
      <c r="X1561" s="31"/>
      <c r="Y1561" s="31"/>
      <c r="Z1561" s="31"/>
      <c r="AA1561" s="31"/>
      <c r="AB1561" s="31"/>
      <c r="AC1561" s="31"/>
    </row>
    <row r="1562" spans="19:29" x14ac:dyDescent="0.25">
      <c r="S1562" s="31"/>
      <c r="X1562" s="31"/>
      <c r="Y1562" s="31"/>
      <c r="Z1562" s="31"/>
      <c r="AA1562" s="31"/>
      <c r="AB1562" s="31"/>
      <c r="AC1562" s="31"/>
    </row>
    <row r="1563" spans="19:29" x14ac:dyDescent="0.25">
      <c r="S1563" s="31"/>
      <c r="X1563" s="31"/>
      <c r="Y1563" s="31"/>
      <c r="Z1563" s="31"/>
      <c r="AA1563" s="31"/>
      <c r="AB1563" s="31"/>
      <c r="AC1563" s="31"/>
    </row>
    <row r="1564" spans="19:29" x14ac:dyDescent="0.25">
      <c r="S1564" s="31"/>
      <c r="X1564" s="31"/>
      <c r="Y1564" s="31"/>
      <c r="Z1564" s="31"/>
      <c r="AA1564" s="31"/>
      <c r="AB1564" s="31"/>
      <c r="AC1564" s="31"/>
    </row>
    <row r="1565" spans="19:29" x14ac:dyDescent="0.25">
      <c r="S1565" s="31"/>
      <c r="X1565" s="31"/>
      <c r="Y1565" s="31"/>
      <c r="Z1565" s="31"/>
      <c r="AA1565" s="31"/>
      <c r="AB1565" s="31"/>
      <c r="AC1565" s="31"/>
    </row>
    <row r="1566" spans="19:29" x14ac:dyDescent="0.25">
      <c r="S1566" s="31"/>
      <c r="X1566" s="31"/>
      <c r="Y1566" s="31"/>
      <c r="Z1566" s="31"/>
      <c r="AA1566" s="31"/>
      <c r="AB1566" s="31"/>
      <c r="AC1566" s="31"/>
    </row>
    <row r="1567" spans="19:29" x14ac:dyDescent="0.25">
      <c r="S1567" s="31"/>
      <c r="X1567" s="31"/>
      <c r="Y1567" s="31"/>
      <c r="Z1567" s="31"/>
      <c r="AA1567" s="31"/>
      <c r="AB1567" s="31"/>
      <c r="AC1567" s="31"/>
    </row>
    <row r="1568" spans="19:29" x14ac:dyDescent="0.25">
      <c r="S1568" s="31"/>
      <c r="X1568" s="31"/>
      <c r="Y1568" s="31"/>
      <c r="Z1568" s="31"/>
      <c r="AA1568" s="31"/>
      <c r="AB1568" s="31"/>
      <c r="AC1568" s="31"/>
    </row>
    <row r="1569" spans="19:29" x14ac:dyDescent="0.25">
      <c r="S1569" s="31"/>
      <c r="X1569" s="31"/>
      <c r="Y1569" s="31"/>
      <c r="Z1569" s="31"/>
      <c r="AA1569" s="31"/>
      <c r="AB1569" s="31"/>
      <c r="AC1569" s="31"/>
    </row>
    <row r="1570" spans="19:29" x14ac:dyDescent="0.25">
      <c r="S1570" s="31"/>
      <c r="X1570" s="31"/>
      <c r="Y1570" s="31"/>
      <c r="Z1570" s="31"/>
      <c r="AA1570" s="31"/>
      <c r="AB1570" s="31"/>
      <c r="AC1570" s="31"/>
    </row>
    <row r="1571" spans="19:29" x14ac:dyDescent="0.25">
      <c r="S1571" s="31"/>
      <c r="X1571" s="31"/>
      <c r="Y1571" s="31"/>
      <c r="Z1571" s="31"/>
      <c r="AA1571" s="31"/>
      <c r="AB1571" s="31"/>
      <c r="AC1571" s="31"/>
    </row>
    <row r="1572" spans="19:29" x14ac:dyDescent="0.25">
      <c r="S1572" s="31"/>
      <c r="X1572" s="31"/>
      <c r="Y1572" s="31"/>
      <c r="Z1572" s="31"/>
      <c r="AA1572" s="31"/>
      <c r="AB1572" s="31"/>
      <c r="AC1572" s="31"/>
    </row>
    <row r="1573" spans="19:29" x14ac:dyDescent="0.25">
      <c r="S1573" s="31"/>
      <c r="X1573" s="31"/>
      <c r="Y1573" s="31"/>
      <c r="Z1573" s="31"/>
      <c r="AA1573" s="31"/>
      <c r="AB1573" s="31"/>
      <c r="AC1573" s="31"/>
    </row>
    <row r="1574" spans="19:29" x14ac:dyDescent="0.25">
      <c r="S1574" s="31"/>
      <c r="X1574" s="31"/>
      <c r="Y1574" s="31"/>
      <c r="Z1574" s="31"/>
      <c r="AA1574" s="31"/>
      <c r="AB1574" s="31"/>
      <c r="AC1574" s="31"/>
    </row>
    <row r="1575" spans="19:29" x14ac:dyDescent="0.25">
      <c r="S1575" s="31"/>
      <c r="X1575" s="31"/>
      <c r="Y1575" s="31"/>
      <c r="Z1575" s="31"/>
      <c r="AA1575" s="31"/>
      <c r="AB1575" s="31"/>
      <c r="AC1575" s="31"/>
    </row>
    <row r="1576" spans="19:29" x14ac:dyDescent="0.25">
      <c r="S1576" s="31"/>
      <c r="X1576" s="31"/>
      <c r="Y1576" s="31"/>
      <c r="Z1576" s="31"/>
      <c r="AA1576" s="31"/>
      <c r="AB1576" s="31"/>
      <c r="AC1576" s="31"/>
    </row>
    <row r="1577" spans="19:29" x14ac:dyDescent="0.25">
      <c r="S1577" s="31"/>
      <c r="X1577" s="31"/>
      <c r="Y1577" s="31"/>
      <c r="Z1577" s="31"/>
      <c r="AA1577" s="31"/>
      <c r="AB1577" s="31"/>
      <c r="AC1577" s="31"/>
    </row>
    <row r="1578" spans="19:29" x14ac:dyDescent="0.25">
      <c r="S1578" s="31"/>
      <c r="X1578" s="31"/>
      <c r="Y1578" s="31"/>
      <c r="Z1578" s="31"/>
      <c r="AA1578" s="31"/>
      <c r="AB1578" s="31"/>
      <c r="AC1578" s="31"/>
    </row>
    <row r="1579" spans="19:29" x14ac:dyDescent="0.25">
      <c r="S1579" s="31"/>
      <c r="X1579" s="31"/>
      <c r="Y1579" s="31"/>
      <c r="Z1579" s="31"/>
      <c r="AA1579" s="31"/>
      <c r="AB1579" s="31"/>
      <c r="AC1579" s="31"/>
    </row>
    <row r="1580" spans="19:29" x14ac:dyDescent="0.25">
      <c r="S1580" s="31"/>
      <c r="X1580" s="31"/>
      <c r="Y1580" s="31"/>
      <c r="Z1580" s="31"/>
      <c r="AA1580" s="31"/>
      <c r="AB1580" s="31"/>
      <c r="AC1580" s="31"/>
    </row>
    <row r="1581" spans="19:29" x14ac:dyDescent="0.25">
      <c r="S1581" s="31"/>
      <c r="X1581" s="31"/>
      <c r="Y1581" s="31"/>
      <c r="Z1581" s="31"/>
      <c r="AA1581" s="31"/>
      <c r="AB1581" s="31"/>
      <c r="AC1581" s="31"/>
    </row>
    <row r="1582" spans="19:29" x14ac:dyDescent="0.25">
      <c r="S1582" s="31"/>
      <c r="X1582" s="31"/>
      <c r="Y1582" s="31"/>
      <c r="Z1582" s="31"/>
      <c r="AA1582" s="31"/>
      <c r="AB1582" s="31"/>
      <c r="AC1582" s="31"/>
    </row>
    <row r="1583" spans="19:29" x14ac:dyDescent="0.25">
      <c r="S1583" s="31"/>
      <c r="X1583" s="31"/>
      <c r="Y1583" s="31"/>
      <c r="Z1583" s="31"/>
      <c r="AA1583" s="31"/>
      <c r="AB1583" s="31"/>
      <c r="AC1583" s="31"/>
    </row>
    <row r="1584" spans="19:29" x14ac:dyDescent="0.25">
      <c r="S1584" s="31"/>
      <c r="X1584" s="31"/>
      <c r="Y1584" s="31"/>
      <c r="Z1584" s="31"/>
      <c r="AA1584" s="31"/>
      <c r="AB1584" s="31"/>
      <c r="AC1584" s="31"/>
    </row>
    <row r="1585" spans="19:29" x14ac:dyDescent="0.25">
      <c r="S1585" s="31"/>
      <c r="X1585" s="31"/>
      <c r="Y1585" s="31"/>
      <c r="Z1585" s="31"/>
      <c r="AA1585" s="31"/>
      <c r="AB1585" s="31"/>
      <c r="AC1585" s="31"/>
    </row>
    <row r="1586" spans="19:29" x14ac:dyDescent="0.25">
      <c r="S1586" s="31"/>
      <c r="X1586" s="31"/>
      <c r="Y1586" s="31"/>
      <c r="Z1586" s="31"/>
      <c r="AA1586" s="31"/>
      <c r="AB1586" s="31"/>
      <c r="AC1586" s="31"/>
    </row>
    <row r="1587" spans="19:29" x14ac:dyDescent="0.25">
      <c r="S1587" s="31"/>
      <c r="X1587" s="31"/>
      <c r="Y1587" s="31"/>
      <c r="Z1587" s="31"/>
      <c r="AA1587" s="31"/>
      <c r="AB1587" s="31"/>
      <c r="AC1587" s="31"/>
    </row>
    <row r="1588" spans="19:29" x14ac:dyDescent="0.25">
      <c r="S1588" s="31"/>
      <c r="X1588" s="31"/>
      <c r="Y1588" s="31"/>
      <c r="Z1588" s="31"/>
      <c r="AA1588" s="31"/>
      <c r="AB1588" s="31"/>
      <c r="AC1588" s="31"/>
    </row>
    <row r="1589" spans="19:29" x14ac:dyDescent="0.25">
      <c r="S1589" s="31"/>
      <c r="X1589" s="31"/>
      <c r="Y1589" s="31"/>
      <c r="Z1589" s="31"/>
      <c r="AA1589" s="31"/>
      <c r="AB1589" s="31"/>
      <c r="AC1589" s="31"/>
    </row>
    <row r="1590" spans="19:29" x14ac:dyDescent="0.25">
      <c r="S1590" s="31"/>
      <c r="X1590" s="31"/>
      <c r="Y1590" s="31"/>
      <c r="Z1590" s="31"/>
      <c r="AA1590" s="31"/>
      <c r="AB1590" s="31"/>
      <c r="AC1590" s="31"/>
    </row>
    <row r="1591" spans="19:29" x14ac:dyDescent="0.25">
      <c r="S1591" s="31"/>
      <c r="X1591" s="31"/>
      <c r="Y1591" s="31"/>
      <c r="Z1591" s="31"/>
      <c r="AA1591" s="31"/>
      <c r="AB1591" s="31"/>
      <c r="AC1591" s="31"/>
    </row>
    <row r="1592" spans="19:29" x14ac:dyDescent="0.25">
      <c r="S1592" s="31"/>
      <c r="X1592" s="31"/>
      <c r="Y1592" s="31"/>
      <c r="Z1592" s="31"/>
      <c r="AA1592" s="31"/>
      <c r="AB1592" s="31"/>
      <c r="AC1592" s="31"/>
    </row>
    <row r="1593" spans="19:29" x14ac:dyDescent="0.25">
      <c r="S1593" s="31"/>
      <c r="X1593" s="31"/>
      <c r="Y1593" s="31"/>
      <c r="Z1593" s="31"/>
      <c r="AA1593" s="31"/>
      <c r="AB1593" s="31"/>
      <c r="AC1593" s="31"/>
    </row>
    <row r="1594" spans="19:29" x14ac:dyDescent="0.25">
      <c r="S1594" s="31"/>
      <c r="X1594" s="31"/>
      <c r="Y1594" s="31"/>
      <c r="Z1594" s="31"/>
      <c r="AA1594" s="31"/>
      <c r="AB1594" s="31"/>
      <c r="AC1594" s="31"/>
    </row>
    <row r="1595" spans="19:29" x14ac:dyDescent="0.25">
      <c r="S1595" s="31"/>
      <c r="X1595" s="31"/>
      <c r="Y1595" s="31"/>
      <c r="Z1595" s="31"/>
      <c r="AA1595" s="31"/>
      <c r="AB1595" s="31"/>
      <c r="AC1595" s="31"/>
    </row>
    <row r="1596" spans="19:29" x14ac:dyDescent="0.25">
      <c r="S1596" s="31"/>
      <c r="X1596" s="31"/>
      <c r="Y1596" s="31"/>
      <c r="Z1596" s="31"/>
      <c r="AA1596" s="31"/>
      <c r="AB1596" s="31"/>
      <c r="AC1596" s="31"/>
    </row>
    <row r="1597" spans="19:29" x14ac:dyDescent="0.25">
      <c r="S1597" s="31"/>
      <c r="X1597" s="31"/>
      <c r="Y1597" s="31"/>
      <c r="Z1597" s="31"/>
      <c r="AA1597" s="31"/>
      <c r="AB1597" s="31"/>
      <c r="AC1597" s="31"/>
    </row>
    <row r="1598" spans="19:29" x14ac:dyDescent="0.25">
      <c r="S1598" s="31"/>
      <c r="X1598" s="31"/>
      <c r="Y1598" s="31"/>
      <c r="Z1598" s="31"/>
      <c r="AA1598" s="31"/>
      <c r="AB1598" s="31"/>
      <c r="AC1598" s="31"/>
    </row>
    <row r="1599" spans="19:29" x14ac:dyDescent="0.25">
      <c r="S1599" s="31"/>
      <c r="X1599" s="31"/>
      <c r="Y1599" s="31"/>
      <c r="Z1599" s="31"/>
      <c r="AA1599" s="31"/>
      <c r="AB1599" s="31"/>
      <c r="AC1599" s="31"/>
    </row>
    <row r="1600" spans="19:29" x14ac:dyDescent="0.25">
      <c r="S1600" s="31"/>
      <c r="X1600" s="31"/>
      <c r="Y1600" s="31"/>
      <c r="Z1600" s="31"/>
      <c r="AA1600" s="31"/>
      <c r="AB1600" s="31"/>
      <c r="AC1600" s="31"/>
    </row>
    <row r="1601" spans="19:29" x14ac:dyDescent="0.25">
      <c r="S1601" s="31"/>
      <c r="X1601" s="31"/>
      <c r="Y1601" s="31"/>
      <c r="Z1601" s="31"/>
      <c r="AA1601" s="31"/>
      <c r="AB1601" s="31"/>
      <c r="AC1601" s="31"/>
    </row>
    <row r="1602" spans="19:29" x14ac:dyDescent="0.25">
      <c r="S1602" s="31"/>
      <c r="X1602" s="31"/>
      <c r="Y1602" s="31"/>
      <c r="Z1602" s="31"/>
      <c r="AA1602" s="31"/>
      <c r="AB1602" s="31"/>
      <c r="AC1602" s="31"/>
    </row>
    <row r="1603" spans="19:29" x14ac:dyDescent="0.25">
      <c r="S1603" s="31"/>
      <c r="X1603" s="31"/>
      <c r="Y1603" s="31"/>
      <c r="Z1603" s="31"/>
      <c r="AA1603" s="31"/>
      <c r="AB1603" s="31"/>
      <c r="AC1603" s="31"/>
    </row>
    <row r="1604" spans="19:29" x14ac:dyDescent="0.25">
      <c r="S1604" s="31"/>
      <c r="X1604" s="31"/>
      <c r="Y1604" s="31"/>
      <c r="Z1604" s="31"/>
      <c r="AA1604" s="31"/>
      <c r="AB1604" s="31"/>
      <c r="AC1604" s="31"/>
    </row>
    <row r="1605" spans="19:29" x14ac:dyDescent="0.25">
      <c r="S1605" s="31"/>
      <c r="X1605" s="31"/>
      <c r="Y1605" s="31"/>
      <c r="Z1605" s="31"/>
      <c r="AA1605" s="31"/>
      <c r="AB1605" s="31"/>
      <c r="AC1605" s="31"/>
    </row>
    <row r="1606" spans="19:29" x14ac:dyDescent="0.25">
      <c r="S1606" s="31"/>
      <c r="X1606" s="31"/>
      <c r="Y1606" s="31"/>
      <c r="Z1606" s="31"/>
      <c r="AA1606" s="31"/>
      <c r="AB1606" s="31"/>
      <c r="AC1606" s="31"/>
    </row>
    <row r="1607" spans="19:29" x14ac:dyDescent="0.25">
      <c r="S1607" s="31"/>
      <c r="X1607" s="31"/>
      <c r="Y1607" s="31"/>
      <c r="Z1607" s="31"/>
      <c r="AA1607" s="31"/>
      <c r="AB1607" s="31"/>
      <c r="AC1607" s="31"/>
    </row>
    <row r="1608" spans="19:29" x14ac:dyDescent="0.25">
      <c r="S1608" s="31"/>
      <c r="X1608" s="31"/>
      <c r="Y1608" s="31"/>
      <c r="Z1608" s="31"/>
      <c r="AA1608" s="31"/>
      <c r="AB1608" s="31"/>
      <c r="AC1608" s="31"/>
    </row>
    <row r="1609" spans="19:29" x14ac:dyDescent="0.25">
      <c r="S1609" s="31"/>
      <c r="X1609" s="31"/>
      <c r="Y1609" s="31"/>
      <c r="Z1609" s="31"/>
      <c r="AA1609" s="31"/>
      <c r="AB1609" s="31"/>
      <c r="AC1609" s="31"/>
    </row>
    <row r="1610" spans="19:29" x14ac:dyDescent="0.25">
      <c r="S1610" s="31"/>
      <c r="X1610" s="31"/>
      <c r="Y1610" s="31"/>
      <c r="Z1610" s="31"/>
      <c r="AA1610" s="31"/>
      <c r="AB1610" s="31"/>
      <c r="AC1610" s="31"/>
    </row>
    <row r="1611" spans="19:29" x14ac:dyDescent="0.25">
      <c r="S1611" s="31"/>
      <c r="X1611" s="31"/>
      <c r="Y1611" s="31"/>
      <c r="Z1611" s="31"/>
      <c r="AA1611" s="31"/>
      <c r="AB1611" s="31"/>
      <c r="AC1611" s="31"/>
    </row>
    <row r="1612" spans="19:29" x14ac:dyDescent="0.25">
      <c r="S1612" s="31"/>
      <c r="X1612" s="31"/>
      <c r="Y1612" s="31"/>
      <c r="Z1612" s="31"/>
      <c r="AA1612" s="31"/>
      <c r="AB1612" s="31"/>
      <c r="AC1612" s="31"/>
    </row>
    <row r="1613" spans="19:29" x14ac:dyDescent="0.25">
      <c r="S1613" s="31"/>
      <c r="X1613" s="31"/>
      <c r="Y1613" s="31"/>
      <c r="Z1613" s="31"/>
      <c r="AA1613" s="31"/>
      <c r="AB1613" s="31"/>
      <c r="AC1613" s="31"/>
    </row>
    <row r="1614" spans="19:29" x14ac:dyDescent="0.25">
      <c r="S1614" s="31"/>
      <c r="X1614" s="31"/>
      <c r="Y1614" s="31"/>
      <c r="Z1614" s="31"/>
      <c r="AA1614" s="31"/>
      <c r="AB1614" s="31"/>
      <c r="AC1614" s="31"/>
    </row>
    <row r="1615" spans="19:29" x14ac:dyDescent="0.25">
      <c r="S1615" s="31"/>
      <c r="X1615" s="31"/>
      <c r="Y1615" s="31"/>
      <c r="Z1615" s="31"/>
      <c r="AA1615" s="31"/>
      <c r="AB1615" s="31"/>
      <c r="AC1615" s="31"/>
    </row>
    <row r="1616" spans="19:29" x14ac:dyDescent="0.25">
      <c r="S1616" s="31"/>
      <c r="X1616" s="31"/>
      <c r="Y1616" s="31"/>
      <c r="Z1616" s="31"/>
      <c r="AA1616" s="31"/>
      <c r="AB1616" s="31"/>
      <c r="AC1616" s="31"/>
    </row>
    <row r="1617" spans="19:29" x14ac:dyDescent="0.25">
      <c r="S1617" s="31"/>
      <c r="X1617" s="31"/>
      <c r="Y1617" s="31"/>
      <c r="Z1617" s="31"/>
      <c r="AA1617" s="31"/>
      <c r="AB1617" s="31"/>
      <c r="AC1617" s="31"/>
    </row>
    <row r="1618" spans="19:29" x14ac:dyDescent="0.25">
      <c r="S1618" s="31"/>
      <c r="X1618" s="31"/>
      <c r="Y1618" s="31"/>
      <c r="Z1618" s="31"/>
      <c r="AA1618" s="31"/>
      <c r="AB1618" s="31"/>
      <c r="AC1618" s="31"/>
    </row>
    <row r="1619" spans="19:29" x14ac:dyDescent="0.25">
      <c r="S1619" s="31"/>
      <c r="X1619" s="31"/>
      <c r="Y1619" s="31"/>
      <c r="Z1619" s="31"/>
      <c r="AA1619" s="31"/>
      <c r="AB1619" s="31"/>
      <c r="AC1619" s="31"/>
    </row>
    <row r="1620" spans="19:29" x14ac:dyDescent="0.25">
      <c r="S1620" s="31"/>
      <c r="X1620" s="31"/>
      <c r="Y1620" s="31"/>
      <c r="Z1620" s="31"/>
      <c r="AA1620" s="31"/>
      <c r="AB1620" s="31"/>
      <c r="AC1620" s="31"/>
    </row>
    <row r="1621" spans="19:29" x14ac:dyDescent="0.25">
      <c r="S1621" s="31"/>
      <c r="X1621" s="31"/>
      <c r="Y1621" s="31"/>
      <c r="Z1621" s="31"/>
      <c r="AA1621" s="31"/>
      <c r="AB1621" s="31"/>
      <c r="AC1621" s="31"/>
    </row>
    <row r="1622" spans="19:29" x14ac:dyDescent="0.25">
      <c r="S1622" s="31"/>
      <c r="X1622" s="31"/>
      <c r="Y1622" s="31"/>
      <c r="Z1622" s="31"/>
      <c r="AA1622" s="31"/>
      <c r="AB1622" s="31"/>
      <c r="AC1622" s="31"/>
    </row>
    <row r="1623" spans="19:29" x14ac:dyDescent="0.25">
      <c r="S1623" s="31"/>
      <c r="X1623" s="31"/>
      <c r="Y1623" s="31"/>
      <c r="Z1623" s="31"/>
      <c r="AA1623" s="31"/>
      <c r="AB1623" s="31"/>
      <c r="AC1623" s="31"/>
    </row>
    <row r="1624" spans="19:29" x14ac:dyDescent="0.25">
      <c r="S1624" s="31"/>
      <c r="X1624" s="31"/>
      <c r="Y1624" s="31"/>
      <c r="Z1624" s="31"/>
      <c r="AA1624" s="31"/>
      <c r="AB1624" s="31"/>
      <c r="AC1624" s="31"/>
    </row>
    <row r="1625" spans="19:29" x14ac:dyDescent="0.25">
      <c r="S1625" s="31"/>
      <c r="X1625" s="31"/>
      <c r="Y1625" s="31"/>
      <c r="Z1625" s="31"/>
      <c r="AA1625" s="31"/>
      <c r="AB1625" s="31"/>
      <c r="AC1625" s="31"/>
    </row>
    <row r="1626" spans="19:29" x14ac:dyDescent="0.25">
      <c r="S1626" s="31"/>
      <c r="X1626" s="31"/>
      <c r="Y1626" s="31"/>
      <c r="Z1626" s="31"/>
      <c r="AA1626" s="31"/>
      <c r="AB1626" s="31"/>
      <c r="AC1626" s="31"/>
    </row>
    <row r="1627" spans="19:29" x14ac:dyDescent="0.25">
      <c r="S1627" s="31"/>
      <c r="X1627" s="31"/>
      <c r="Y1627" s="31"/>
      <c r="Z1627" s="31"/>
      <c r="AA1627" s="31"/>
      <c r="AB1627" s="31"/>
      <c r="AC1627" s="31"/>
    </row>
    <row r="1628" spans="19:29" x14ac:dyDescent="0.25">
      <c r="S1628" s="31"/>
      <c r="X1628" s="31"/>
      <c r="Y1628" s="31"/>
      <c r="Z1628" s="31"/>
      <c r="AA1628" s="31"/>
      <c r="AB1628" s="31"/>
      <c r="AC1628" s="31"/>
    </row>
    <row r="1629" spans="19:29" x14ac:dyDescent="0.25">
      <c r="S1629" s="31"/>
      <c r="X1629" s="31"/>
      <c r="Y1629" s="31"/>
      <c r="Z1629" s="31"/>
      <c r="AA1629" s="31"/>
      <c r="AB1629" s="31"/>
      <c r="AC1629" s="31"/>
    </row>
    <row r="1630" spans="19:29" x14ac:dyDescent="0.25">
      <c r="S1630" s="31"/>
      <c r="X1630" s="31"/>
      <c r="Y1630" s="31"/>
      <c r="Z1630" s="31"/>
      <c r="AA1630" s="31"/>
      <c r="AB1630" s="31"/>
      <c r="AC1630" s="31"/>
    </row>
    <row r="1631" spans="19:29" x14ac:dyDescent="0.25">
      <c r="S1631" s="31"/>
      <c r="X1631" s="31"/>
      <c r="Y1631" s="31"/>
      <c r="Z1631" s="31"/>
      <c r="AA1631" s="31"/>
      <c r="AB1631" s="31"/>
      <c r="AC1631" s="31"/>
    </row>
    <row r="1632" spans="19:29" x14ac:dyDescent="0.25">
      <c r="S1632" s="31"/>
      <c r="X1632" s="31"/>
      <c r="Y1632" s="31"/>
      <c r="Z1632" s="31"/>
      <c r="AA1632" s="31"/>
      <c r="AB1632" s="31"/>
      <c r="AC1632" s="31"/>
    </row>
    <row r="1633" spans="19:29" x14ac:dyDescent="0.25">
      <c r="S1633" s="31"/>
      <c r="X1633" s="31"/>
      <c r="Y1633" s="31"/>
      <c r="Z1633" s="31"/>
      <c r="AA1633" s="31"/>
      <c r="AB1633" s="31"/>
      <c r="AC1633" s="31"/>
    </row>
    <row r="1634" spans="19:29" x14ac:dyDescent="0.25">
      <c r="S1634" s="31"/>
      <c r="X1634" s="31"/>
      <c r="Y1634" s="31"/>
      <c r="Z1634" s="31"/>
      <c r="AA1634" s="31"/>
      <c r="AB1634" s="31"/>
      <c r="AC1634" s="31"/>
    </row>
    <row r="1635" spans="19:29" x14ac:dyDescent="0.25">
      <c r="S1635" s="31"/>
      <c r="X1635" s="31"/>
      <c r="Y1635" s="31"/>
      <c r="Z1635" s="31"/>
      <c r="AA1635" s="31"/>
      <c r="AB1635" s="31"/>
      <c r="AC1635" s="31"/>
    </row>
    <row r="1636" spans="19:29" x14ac:dyDescent="0.25">
      <c r="S1636" s="31"/>
      <c r="X1636" s="31"/>
      <c r="Y1636" s="31"/>
      <c r="Z1636" s="31"/>
      <c r="AA1636" s="31"/>
      <c r="AB1636" s="31"/>
      <c r="AC1636" s="31"/>
    </row>
    <row r="1637" spans="19:29" x14ac:dyDescent="0.25">
      <c r="S1637" s="31"/>
      <c r="X1637" s="31"/>
      <c r="Y1637" s="31"/>
      <c r="Z1637" s="31"/>
      <c r="AA1637" s="31"/>
      <c r="AB1637" s="31"/>
      <c r="AC1637" s="31"/>
    </row>
    <row r="1638" spans="19:29" x14ac:dyDescent="0.25">
      <c r="S1638" s="31"/>
      <c r="X1638" s="31"/>
      <c r="Y1638" s="31"/>
      <c r="Z1638" s="31"/>
      <c r="AA1638" s="31"/>
      <c r="AB1638" s="31"/>
      <c r="AC1638" s="31"/>
    </row>
    <row r="1639" spans="19:29" x14ac:dyDescent="0.25">
      <c r="S1639" s="31"/>
      <c r="X1639" s="31"/>
      <c r="Y1639" s="31"/>
      <c r="Z1639" s="31"/>
      <c r="AA1639" s="31"/>
      <c r="AB1639" s="31"/>
      <c r="AC1639" s="31"/>
    </row>
    <row r="1640" spans="19:29" x14ac:dyDescent="0.25">
      <c r="S1640" s="31"/>
      <c r="X1640" s="31"/>
      <c r="Y1640" s="31"/>
      <c r="Z1640" s="31"/>
      <c r="AA1640" s="31"/>
      <c r="AB1640" s="31"/>
      <c r="AC1640" s="31"/>
    </row>
    <row r="1641" spans="19:29" x14ac:dyDescent="0.25">
      <c r="S1641" s="31"/>
      <c r="X1641" s="31"/>
      <c r="Y1641" s="31"/>
      <c r="Z1641" s="31"/>
      <c r="AA1641" s="31"/>
      <c r="AB1641" s="31"/>
      <c r="AC1641" s="31"/>
    </row>
    <row r="1642" spans="19:29" x14ac:dyDescent="0.25">
      <c r="S1642" s="31"/>
      <c r="X1642" s="31"/>
      <c r="Y1642" s="31"/>
      <c r="Z1642" s="31"/>
      <c r="AA1642" s="31"/>
      <c r="AB1642" s="31"/>
      <c r="AC1642" s="31"/>
    </row>
    <row r="1643" spans="19:29" x14ac:dyDescent="0.25">
      <c r="S1643" s="31"/>
      <c r="X1643" s="31"/>
      <c r="Y1643" s="31"/>
      <c r="Z1643" s="31"/>
      <c r="AA1643" s="31"/>
      <c r="AB1643" s="31"/>
      <c r="AC1643" s="31"/>
    </row>
    <row r="1644" spans="19:29" x14ac:dyDescent="0.25">
      <c r="S1644" s="31"/>
      <c r="X1644" s="31"/>
      <c r="Y1644" s="31"/>
      <c r="Z1644" s="31"/>
      <c r="AA1644" s="31"/>
      <c r="AB1644" s="31"/>
      <c r="AC1644" s="31"/>
    </row>
    <row r="1645" spans="19:29" x14ac:dyDescent="0.25">
      <c r="S1645" s="31"/>
      <c r="X1645" s="31"/>
      <c r="Y1645" s="31"/>
      <c r="Z1645" s="31"/>
      <c r="AA1645" s="31"/>
      <c r="AB1645" s="31"/>
      <c r="AC1645" s="31"/>
    </row>
    <row r="1646" spans="19:29" x14ac:dyDescent="0.25">
      <c r="S1646" s="31"/>
      <c r="X1646" s="31"/>
      <c r="Y1646" s="31"/>
      <c r="Z1646" s="31"/>
      <c r="AA1646" s="31"/>
      <c r="AB1646" s="31"/>
      <c r="AC1646" s="31"/>
    </row>
    <row r="1647" spans="19:29" x14ac:dyDescent="0.25">
      <c r="S1647" s="31"/>
      <c r="X1647" s="31"/>
      <c r="Y1647" s="31"/>
      <c r="Z1647" s="31"/>
      <c r="AA1647" s="31"/>
      <c r="AB1647" s="31"/>
      <c r="AC1647" s="31"/>
    </row>
    <row r="1648" spans="19:29" x14ac:dyDescent="0.25">
      <c r="S1648" s="31"/>
      <c r="X1648" s="31"/>
      <c r="Y1648" s="31"/>
      <c r="Z1648" s="31"/>
      <c r="AA1648" s="31"/>
      <c r="AB1648" s="31"/>
      <c r="AC1648" s="31"/>
    </row>
    <row r="1649" spans="19:29" x14ac:dyDescent="0.25">
      <c r="S1649" s="31"/>
      <c r="X1649" s="31"/>
      <c r="Y1649" s="31"/>
      <c r="Z1649" s="31"/>
      <c r="AA1649" s="31"/>
      <c r="AB1649" s="31"/>
      <c r="AC1649" s="31"/>
    </row>
    <row r="1650" spans="19:29" x14ac:dyDescent="0.25">
      <c r="S1650" s="31"/>
      <c r="X1650" s="31"/>
      <c r="Y1650" s="31"/>
      <c r="Z1650" s="31"/>
      <c r="AA1650" s="31"/>
      <c r="AB1650" s="31"/>
      <c r="AC1650" s="31"/>
    </row>
    <row r="1651" spans="19:29" x14ac:dyDescent="0.25">
      <c r="S1651" s="31"/>
      <c r="X1651" s="31"/>
      <c r="Y1651" s="31"/>
      <c r="Z1651" s="31"/>
      <c r="AA1651" s="31"/>
      <c r="AB1651" s="31"/>
      <c r="AC1651" s="31"/>
    </row>
    <row r="1652" spans="19:29" x14ac:dyDescent="0.25">
      <c r="S1652" s="31"/>
      <c r="X1652" s="31"/>
      <c r="Y1652" s="31"/>
      <c r="Z1652" s="31"/>
      <c r="AA1652" s="31"/>
      <c r="AB1652" s="31"/>
      <c r="AC1652" s="31"/>
    </row>
    <row r="1653" spans="19:29" x14ac:dyDescent="0.25">
      <c r="S1653" s="31"/>
      <c r="X1653" s="31"/>
      <c r="Y1653" s="31"/>
      <c r="Z1653" s="31"/>
      <c r="AA1653" s="31"/>
      <c r="AB1653" s="31"/>
      <c r="AC1653" s="31"/>
    </row>
    <row r="1654" spans="19:29" x14ac:dyDescent="0.25">
      <c r="S1654" s="31"/>
      <c r="X1654" s="31"/>
      <c r="Y1654" s="31"/>
      <c r="Z1654" s="31"/>
      <c r="AA1654" s="31"/>
      <c r="AB1654" s="31"/>
      <c r="AC1654" s="31"/>
    </row>
    <row r="1655" spans="19:29" x14ac:dyDescent="0.25">
      <c r="S1655" s="31"/>
      <c r="X1655" s="31"/>
      <c r="Y1655" s="31"/>
      <c r="Z1655" s="31"/>
      <c r="AA1655" s="31"/>
      <c r="AB1655" s="31"/>
      <c r="AC1655" s="31"/>
    </row>
    <row r="1656" spans="19:29" x14ac:dyDescent="0.25">
      <c r="S1656" s="31"/>
      <c r="X1656" s="31"/>
      <c r="Y1656" s="31"/>
      <c r="Z1656" s="31"/>
      <c r="AA1656" s="31"/>
      <c r="AB1656" s="31"/>
      <c r="AC1656" s="31"/>
    </row>
    <row r="1657" spans="19:29" x14ac:dyDescent="0.25">
      <c r="S1657" s="31"/>
      <c r="X1657" s="31"/>
      <c r="Y1657" s="31"/>
      <c r="Z1657" s="31"/>
      <c r="AA1657" s="31"/>
      <c r="AB1657" s="31"/>
      <c r="AC1657" s="31"/>
    </row>
    <row r="1658" spans="19:29" x14ac:dyDescent="0.25">
      <c r="S1658" s="31"/>
      <c r="X1658" s="31"/>
      <c r="Y1658" s="31"/>
      <c r="Z1658" s="31"/>
      <c r="AA1658" s="31"/>
      <c r="AB1658" s="31"/>
      <c r="AC1658" s="31"/>
    </row>
    <row r="1659" spans="19:29" x14ac:dyDescent="0.25">
      <c r="S1659" s="31"/>
      <c r="X1659" s="31"/>
      <c r="Y1659" s="31"/>
      <c r="Z1659" s="31"/>
      <c r="AA1659" s="31"/>
      <c r="AB1659" s="31"/>
      <c r="AC1659" s="31"/>
    </row>
    <row r="1660" spans="19:29" x14ac:dyDescent="0.25">
      <c r="S1660" s="31"/>
      <c r="X1660" s="31"/>
      <c r="Y1660" s="31"/>
      <c r="Z1660" s="31"/>
      <c r="AA1660" s="31"/>
      <c r="AB1660" s="31"/>
      <c r="AC1660" s="31"/>
    </row>
    <row r="1661" spans="19:29" x14ac:dyDescent="0.25">
      <c r="S1661" s="31"/>
      <c r="X1661" s="31"/>
      <c r="Y1661" s="31"/>
      <c r="Z1661" s="31"/>
      <c r="AA1661" s="31"/>
      <c r="AB1661" s="31"/>
      <c r="AC1661" s="31"/>
    </row>
    <row r="1662" spans="19:29" x14ac:dyDescent="0.25">
      <c r="S1662" s="31"/>
      <c r="X1662" s="31"/>
      <c r="Y1662" s="31"/>
      <c r="Z1662" s="31"/>
      <c r="AA1662" s="31"/>
      <c r="AB1662" s="31"/>
      <c r="AC1662" s="31"/>
    </row>
    <row r="1663" spans="19:29" x14ac:dyDescent="0.25">
      <c r="S1663" s="31"/>
      <c r="X1663" s="31"/>
      <c r="Y1663" s="31"/>
      <c r="Z1663" s="31"/>
      <c r="AA1663" s="31"/>
      <c r="AB1663" s="31"/>
      <c r="AC1663" s="31"/>
    </row>
    <row r="1664" spans="19:29" x14ac:dyDescent="0.25">
      <c r="S1664" s="31"/>
      <c r="X1664" s="31"/>
      <c r="Y1664" s="31"/>
      <c r="Z1664" s="31"/>
      <c r="AA1664" s="31"/>
      <c r="AB1664" s="31"/>
      <c r="AC1664" s="31"/>
    </row>
    <row r="1665" spans="19:29" x14ac:dyDescent="0.25">
      <c r="S1665" s="31"/>
      <c r="X1665" s="31"/>
      <c r="Y1665" s="31"/>
      <c r="Z1665" s="31"/>
      <c r="AA1665" s="31"/>
      <c r="AB1665" s="31"/>
      <c r="AC1665" s="31"/>
    </row>
    <row r="1666" spans="19:29" x14ac:dyDescent="0.25">
      <c r="S1666" s="31"/>
      <c r="X1666" s="31"/>
      <c r="Y1666" s="31"/>
      <c r="Z1666" s="31"/>
      <c r="AA1666" s="31"/>
      <c r="AB1666" s="31"/>
      <c r="AC1666" s="31"/>
    </row>
    <row r="1667" spans="19:29" x14ac:dyDescent="0.25">
      <c r="S1667" s="31"/>
      <c r="X1667" s="31"/>
      <c r="Y1667" s="31"/>
      <c r="Z1667" s="31"/>
      <c r="AA1667" s="31"/>
      <c r="AB1667" s="31"/>
      <c r="AC1667" s="31"/>
    </row>
    <row r="1668" spans="19:29" x14ac:dyDescent="0.25">
      <c r="S1668" s="31"/>
      <c r="X1668" s="31"/>
      <c r="Y1668" s="31"/>
      <c r="Z1668" s="31"/>
      <c r="AA1668" s="31"/>
      <c r="AB1668" s="31"/>
      <c r="AC1668" s="31"/>
    </row>
    <row r="1669" spans="19:29" x14ac:dyDescent="0.25">
      <c r="S1669" s="31"/>
      <c r="X1669" s="31"/>
      <c r="Y1669" s="31"/>
      <c r="Z1669" s="31"/>
      <c r="AA1669" s="31"/>
      <c r="AB1669" s="31"/>
      <c r="AC1669" s="31"/>
    </row>
    <row r="1670" spans="19:29" x14ac:dyDescent="0.25">
      <c r="S1670" s="31"/>
      <c r="X1670" s="31"/>
      <c r="Y1670" s="31"/>
      <c r="Z1670" s="31"/>
      <c r="AA1670" s="31"/>
      <c r="AB1670" s="31"/>
      <c r="AC1670" s="31"/>
    </row>
    <row r="1671" spans="19:29" x14ac:dyDescent="0.25">
      <c r="S1671" s="31"/>
      <c r="X1671" s="31"/>
      <c r="Y1671" s="31"/>
      <c r="Z1671" s="31"/>
      <c r="AA1671" s="31"/>
      <c r="AB1671" s="31"/>
      <c r="AC1671" s="31"/>
    </row>
    <row r="1672" spans="19:29" x14ac:dyDescent="0.25">
      <c r="S1672" s="31"/>
      <c r="X1672" s="31"/>
      <c r="Y1672" s="31"/>
      <c r="Z1672" s="31"/>
      <c r="AA1672" s="31"/>
      <c r="AB1672" s="31"/>
      <c r="AC1672" s="31"/>
    </row>
    <row r="1673" spans="19:29" x14ac:dyDescent="0.25">
      <c r="S1673" s="31"/>
      <c r="X1673" s="31"/>
      <c r="Y1673" s="31"/>
      <c r="Z1673" s="31"/>
      <c r="AA1673" s="31"/>
      <c r="AB1673" s="31"/>
      <c r="AC1673" s="31"/>
    </row>
    <row r="1674" spans="19:29" x14ac:dyDescent="0.25">
      <c r="S1674" s="31"/>
      <c r="X1674" s="31"/>
      <c r="Y1674" s="31"/>
      <c r="Z1674" s="31"/>
      <c r="AA1674" s="31"/>
      <c r="AB1674" s="31"/>
      <c r="AC1674" s="31"/>
    </row>
    <row r="1675" spans="19:29" x14ac:dyDescent="0.25">
      <c r="S1675" s="31"/>
      <c r="X1675" s="31"/>
      <c r="Y1675" s="31"/>
      <c r="Z1675" s="31"/>
      <c r="AA1675" s="31"/>
      <c r="AB1675" s="31"/>
      <c r="AC1675" s="31"/>
    </row>
    <row r="1676" spans="19:29" x14ac:dyDescent="0.25">
      <c r="S1676" s="31"/>
      <c r="X1676" s="31"/>
      <c r="Y1676" s="31"/>
      <c r="Z1676" s="31"/>
      <c r="AA1676" s="31"/>
      <c r="AB1676" s="31"/>
      <c r="AC1676" s="31"/>
    </row>
    <row r="1677" spans="19:29" x14ac:dyDescent="0.25">
      <c r="S1677" s="31"/>
      <c r="X1677" s="31"/>
      <c r="Y1677" s="31"/>
      <c r="Z1677" s="31"/>
      <c r="AA1677" s="31"/>
      <c r="AB1677" s="31"/>
      <c r="AC1677" s="31"/>
    </row>
    <row r="1678" spans="19:29" x14ac:dyDescent="0.25">
      <c r="S1678" s="31"/>
      <c r="X1678" s="31"/>
      <c r="Y1678" s="31"/>
      <c r="Z1678" s="31"/>
      <c r="AA1678" s="31"/>
      <c r="AB1678" s="31"/>
      <c r="AC1678" s="31"/>
    </row>
    <row r="1679" spans="19:29" x14ac:dyDescent="0.25">
      <c r="S1679" s="31"/>
      <c r="X1679" s="31"/>
      <c r="Y1679" s="31"/>
      <c r="Z1679" s="31"/>
      <c r="AA1679" s="31"/>
      <c r="AB1679" s="31"/>
      <c r="AC1679" s="31"/>
    </row>
    <row r="1680" spans="19:29" x14ac:dyDescent="0.25">
      <c r="S1680" s="31"/>
      <c r="X1680" s="31"/>
      <c r="Y1680" s="31"/>
      <c r="Z1680" s="31"/>
      <c r="AA1680" s="31"/>
      <c r="AB1680" s="31"/>
      <c r="AC1680" s="31"/>
    </row>
    <row r="1681" spans="19:29" x14ac:dyDescent="0.25">
      <c r="S1681" s="31"/>
      <c r="X1681" s="31"/>
      <c r="Y1681" s="31"/>
      <c r="Z1681" s="31"/>
      <c r="AA1681" s="31"/>
      <c r="AB1681" s="31"/>
      <c r="AC1681" s="31"/>
    </row>
    <row r="1682" spans="19:29" x14ac:dyDescent="0.25">
      <c r="S1682" s="31"/>
      <c r="X1682" s="31"/>
      <c r="Y1682" s="31"/>
      <c r="Z1682" s="31"/>
      <c r="AA1682" s="31"/>
      <c r="AB1682" s="31"/>
      <c r="AC1682" s="31"/>
    </row>
    <row r="1683" spans="19:29" x14ac:dyDescent="0.25">
      <c r="S1683" s="31"/>
      <c r="X1683" s="31"/>
      <c r="Y1683" s="31"/>
      <c r="Z1683" s="31"/>
      <c r="AA1683" s="31"/>
      <c r="AB1683" s="31"/>
      <c r="AC1683" s="31"/>
    </row>
    <row r="1684" spans="19:29" x14ac:dyDescent="0.25">
      <c r="S1684" s="31"/>
      <c r="X1684" s="31"/>
      <c r="Y1684" s="31"/>
      <c r="Z1684" s="31"/>
      <c r="AA1684" s="31"/>
      <c r="AB1684" s="31"/>
      <c r="AC1684" s="31"/>
    </row>
    <row r="1685" spans="19:29" x14ac:dyDescent="0.25">
      <c r="S1685" s="31"/>
      <c r="X1685" s="31"/>
      <c r="Y1685" s="31"/>
      <c r="Z1685" s="31"/>
      <c r="AA1685" s="31"/>
      <c r="AB1685" s="31"/>
      <c r="AC1685" s="31"/>
    </row>
    <row r="1686" spans="19:29" x14ac:dyDescent="0.25">
      <c r="S1686" s="31"/>
      <c r="X1686" s="31"/>
      <c r="Y1686" s="31"/>
      <c r="Z1686" s="31"/>
      <c r="AA1686" s="31"/>
      <c r="AB1686" s="31"/>
      <c r="AC1686" s="31"/>
    </row>
    <row r="1687" spans="19:29" x14ac:dyDescent="0.25">
      <c r="S1687" s="31"/>
      <c r="X1687" s="31"/>
      <c r="Y1687" s="31"/>
      <c r="Z1687" s="31"/>
      <c r="AA1687" s="31"/>
      <c r="AB1687" s="31"/>
      <c r="AC1687" s="31"/>
    </row>
    <row r="1688" spans="19:29" x14ac:dyDescent="0.25">
      <c r="S1688" s="31"/>
      <c r="X1688" s="31"/>
      <c r="Y1688" s="31"/>
      <c r="Z1688" s="31"/>
      <c r="AA1688" s="31"/>
      <c r="AB1688" s="31"/>
      <c r="AC1688" s="31"/>
    </row>
    <row r="1689" spans="19:29" x14ac:dyDescent="0.25">
      <c r="S1689" s="31"/>
      <c r="X1689" s="31"/>
      <c r="Y1689" s="31"/>
      <c r="Z1689" s="31"/>
      <c r="AA1689" s="31"/>
      <c r="AB1689" s="31"/>
      <c r="AC1689" s="31"/>
    </row>
    <row r="1690" spans="19:29" x14ac:dyDescent="0.25">
      <c r="S1690" s="31"/>
      <c r="X1690" s="31"/>
      <c r="Y1690" s="31"/>
      <c r="Z1690" s="31"/>
      <c r="AA1690" s="31"/>
      <c r="AB1690" s="31"/>
      <c r="AC1690" s="31"/>
    </row>
    <row r="1691" spans="19:29" x14ac:dyDescent="0.25">
      <c r="S1691" s="31"/>
      <c r="X1691" s="31"/>
      <c r="Y1691" s="31"/>
      <c r="Z1691" s="31"/>
      <c r="AA1691" s="31"/>
      <c r="AB1691" s="31"/>
      <c r="AC1691" s="31"/>
    </row>
    <row r="1692" spans="19:29" x14ac:dyDescent="0.25">
      <c r="S1692" s="31"/>
      <c r="X1692" s="31"/>
      <c r="Y1692" s="31"/>
      <c r="Z1692" s="31"/>
      <c r="AA1692" s="31"/>
      <c r="AB1692" s="31"/>
      <c r="AC1692" s="31"/>
    </row>
    <row r="1693" spans="19:29" x14ac:dyDescent="0.25">
      <c r="S1693" s="31"/>
      <c r="X1693" s="31"/>
      <c r="Y1693" s="31"/>
      <c r="Z1693" s="31"/>
      <c r="AA1693" s="31"/>
      <c r="AB1693" s="31"/>
      <c r="AC1693" s="31"/>
    </row>
    <row r="1694" spans="19:29" x14ac:dyDescent="0.25">
      <c r="S1694" s="31"/>
      <c r="X1694" s="31"/>
      <c r="Y1694" s="31"/>
      <c r="Z1694" s="31"/>
      <c r="AA1694" s="31"/>
      <c r="AB1694" s="31"/>
      <c r="AC1694" s="31"/>
    </row>
    <row r="1695" spans="19:29" x14ac:dyDescent="0.25">
      <c r="S1695" s="31"/>
      <c r="X1695" s="31"/>
      <c r="Y1695" s="31"/>
      <c r="Z1695" s="31"/>
      <c r="AA1695" s="31"/>
      <c r="AB1695" s="31"/>
      <c r="AC1695" s="31"/>
    </row>
    <row r="1696" spans="19:29" x14ac:dyDescent="0.25">
      <c r="S1696" s="31"/>
      <c r="X1696" s="31"/>
      <c r="Y1696" s="31"/>
      <c r="Z1696" s="31"/>
      <c r="AA1696" s="31"/>
      <c r="AB1696" s="31"/>
      <c r="AC1696" s="31"/>
    </row>
    <row r="1697" spans="19:29" x14ac:dyDescent="0.25">
      <c r="S1697" s="31"/>
      <c r="X1697" s="31"/>
      <c r="Y1697" s="31"/>
      <c r="Z1697" s="31"/>
      <c r="AA1697" s="31"/>
      <c r="AB1697" s="31"/>
      <c r="AC1697" s="31"/>
    </row>
    <row r="1698" spans="19:29" x14ac:dyDescent="0.25">
      <c r="S1698" s="31"/>
      <c r="X1698" s="31"/>
      <c r="Y1698" s="31"/>
      <c r="Z1698" s="31"/>
      <c r="AA1698" s="31"/>
      <c r="AB1698" s="31"/>
      <c r="AC1698" s="31"/>
    </row>
    <row r="1699" spans="19:29" x14ac:dyDescent="0.25">
      <c r="S1699" s="31"/>
      <c r="X1699" s="31"/>
      <c r="Y1699" s="31"/>
      <c r="Z1699" s="31"/>
      <c r="AA1699" s="31"/>
      <c r="AB1699" s="31"/>
      <c r="AC1699" s="31"/>
    </row>
    <row r="1700" spans="19:29" x14ac:dyDescent="0.25">
      <c r="S1700" s="31"/>
      <c r="X1700" s="31"/>
      <c r="Y1700" s="31"/>
      <c r="Z1700" s="31"/>
      <c r="AA1700" s="31"/>
      <c r="AB1700" s="31"/>
      <c r="AC1700" s="31"/>
    </row>
    <row r="1701" spans="19:29" x14ac:dyDescent="0.25">
      <c r="S1701" s="31"/>
      <c r="X1701" s="31"/>
      <c r="Y1701" s="31"/>
      <c r="Z1701" s="31"/>
      <c r="AA1701" s="31"/>
      <c r="AB1701" s="31"/>
      <c r="AC1701" s="31"/>
    </row>
    <row r="1702" spans="19:29" x14ac:dyDescent="0.25">
      <c r="S1702" s="31"/>
      <c r="X1702" s="31"/>
      <c r="Y1702" s="31"/>
      <c r="Z1702" s="31"/>
      <c r="AA1702" s="31"/>
      <c r="AB1702" s="31"/>
      <c r="AC1702" s="31"/>
    </row>
    <row r="1703" spans="19:29" x14ac:dyDescent="0.25">
      <c r="S1703" s="31"/>
      <c r="X1703" s="31"/>
      <c r="Y1703" s="31"/>
      <c r="Z1703" s="31"/>
      <c r="AA1703" s="31"/>
      <c r="AB1703" s="31"/>
      <c r="AC1703" s="31"/>
    </row>
    <row r="1704" spans="19:29" x14ac:dyDescent="0.25">
      <c r="S1704" s="31"/>
      <c r="X1704" s="31"/>
      <c r="Y1704" s="31"/>
      <c r="Z1704" s="31"/>
      <c r="AA1704" s="31"/>
      <c r="AB1704" s="31"/>
      <c r="AC1704" s="31"/>
    </row>
    <row r="1705" spans="19:29" x14ac:dyDescent="0.25">
      <c r="S1705" s="31"/>
      <c r="X1705" s="31"/>
      <c r="Y1705" s="31"/>
      <c r="Z1705" s="31"/>
      <c r="AA1705" s="31"/>
      <c r="AB1705" s="31"/>
      <c r="AC1705" s="31"/>
    </row>
    <row r="1706" spans="19:29" x14ac:dyDescent="0.25">
      <c r="S1706" s="31"/>
      <c r="X1706" s="31"/>
      <c r="Y1706" s="31"/>
      <c r="Z1706" s="31"/>
      <c r="AA1706" s="31"/>
      <c r="AB1706" s="31"/>
      <c r="AC1706" s="31"/>
    </row>
    <row r="1707" spans="19:29" x14ac:dyDescent="0.25">
      <c r="S1707" s="31"/>
      <c r="X1707" s="31"/>
      <c r="Y1707" s="31"/>
      <c r="Z1707" s="31"/>
      <c r="AA1707" s="31"/>
      <c r="AB1707" s="31"/>
      <c r="AC1707" s="31"/>
    </row>
    <row r="1708" spans="19:29" x14ac:dyDescent="0.25">
      <c r="S1708" s="31"/>
      <c r="X1708" s="31"/>
      <c r="Y1708" s="31"/>
      <c r="Z1708" s="31"/>
      <c r="AA1708" s="31"/>
      <c r="AB1708" s="31"/>
      <c r="AC1708" s="31"/>
    </row>
    <row r="1709" spans="19:29" x14ac:dyDescent="0.25">
      <c r="S1709" s="31"/>
      <c r="X1709" s="31"/>
      <c r="Y1709" s="31"/>
      <c r="Z1709" s="31"/>
      <c r="AA1709" s="31"/>
      <c r="AB1709" s="31"/>
      <c r="AC1709" s="31"/>
    </row>
    <row r="1710" spans="19:29" x14ac:dyDescent="0.25">
      <c r="S1710" s="31"/>
      <c r="X1710" s="31"/>
      <c r="Y1710" s="31"/>
      <c r="Z1710" s="31"/>
      <c r="AA1710" s="31"/>
      <c r="AB1710" s="31"/>
      <c r="AC1710" s="31"/>
    </row>
    <row r="1711" spans="19:29" x14ac:dyDescent="0.25">
      <c r="S1711" s="31"/>
      <c r="X1711" s="31"/>
      <c r="Y1711" s="31"/>
      <c r="Z1711" s="31"/>
      <c r="AA1711" s="31"/>
      <c r="AB1711" s="31"/>
      <c r="AC1711" s="31"/>
    </row>
    <row r="1712" spans="19:29" x14ac:dyDescent="0.25">
      <c r="S1712" s="31"/>
      <c r="X1712" s="31"/>
      <c r="Y1712" s="31"/>
      <c r="Z1712" s="31"/>
      <c r="AA1712" s="31"/>
      <c r="AB1712" s="31"/>
      <c r="AC1712" s="31"/>
    </row>
    <row r="1713" spans="19:29" x14ac:dyDescent="0.25">
      <c r="S1713" s="31"/>
      <c r="X1713" s="31"/>
      <c r="Y1713" s="31"/>
      <c r="Z1713" s="31"/>
      <c r="AA1713" s="31"/>
      <c r="AB1713" s="31"/>
      <c r="AC1713" s="31"/>
    </row>
    <row r="1714" spans="19:29" x14ac:dyDescent="0.25">
      <c r="S1714" s="31"/>
      <c r="X1714" s="31"/>
      <c r="Y1714" s="31"/>
      <c r="Z1714" s="31"/>
      <c r="AA1714" s="31"/>
      <c r="AB1714" s="31"/>
      <c r="AC1714" s="31"/>
    </row>
    <row r="1715" spans="19:29" x14ac:dyDescent="0.25">
      <c r="S1715" s="31"/>
      <c r="X1715" s="31"/>
      <c r="Y1715" s="31"/>
      <c r="Z1715" s="31"/>
      <c r="AA1715" s="31"/>
      <c r="AB1715" s="31"/>
      <c r="AC1715" s="31"/>
    </row>
    <row r="1716" spans="19:29" x14ac:dyDescent="0.25">
      <c r="S1716" s="31"/>
      <c r="X1716" s="31"/>
      <c r="Y1716" s="31"/>
      <c r="Z1716" s="31"/>
      <c r="AA1716" s="31"/>
      <c r="AB1716" s="31"/>
      <c r="AC1716" s="31"/>
    </row>
    <row r="1717" spans="19:29" x14ac:dyDescent="0.25">
      <c r="S1717" s="31"/>
      <c r="X1717" s="31"/>
      <c r="Y1717" s="31"/>
      <c r="Z1717" s="31"/>
      <c r="AA1717" s="31"/>
      <c r="AB1717" s="31"/>
      <c r="AC1717" s="31"/>
    </row>
    <row r="1718" spans="19:29" x14ac:dyDescent="0.25">
      <c r="S1718" s="31"/>
      <c r="X1718" s="31"/>
      <c r="Y1718" s="31"/>
      <c r="Z1718" s="31"/>
      <c r="AA1718" s="31"/>
      <c r="AB1718" s="31"/>
      <c r="AC1718" s="31"/>
    </row>
    <row r="1719" spans="19:29" x14ac:dyDescent="0.25">
      <c r="S1719" s="31"/>
      <c r="X1719" s="31"/>
      <c r="Y1719" s="31"/>
      <c r="Z1719" s="31"/>
      <c r="AA1719" s="31"/>
      <c r="AB1719" s="31"/>
      <c r="AC1719" s="31"/>
    </row>
    <row r="1720" spans="19:29" x14ac:dyDescent="0.25">
      <c r="S1720" s="31"/>
      <c r="X1720" s="31"/>
      <c r="Y1720" s="31"/>
      <c r="Z1720" s="31"/>
      <c r="AA1720" s="31"/>
      <c r="AB1720" s="31"/>
      <c r="AC1720" s="31"/>
    </row>
    <row r="1721" spans="19:29" x14ac:dyDescent="0.25">
      <c r="S1721" s="31"/>
      <c r="X1721" s="31"/>
      <c r="Y1721" s="31"/>
      <c r="Z1721" s="31"/>
      <c r="AA1721" s="31"/>
      <c r="AB1721" s="31"/>
      <c r="AC1721" s="31"/>
    </row>
    <row r="1722" spans="19:29" x14ac:dyDescent="0.25">
      <c r="S1722" s="31"/>
      <c r="X1722" s="31"/>
      <c r="Y1722" s="31"/>
      <c r="Z1722" s="31"/>
      <c r="AA1722" s="31"/>
      <c r="AB1722" s="31"/>
      <c r="AC1722" s="31"/>
    </row>
    <row r="1723" spans="19:29" x14ac:dyDescent="0.25">
      <c r="S1723" s="31"/>
      <c r="X1723" s="31"/>
      <c r="Y1723" s="31"/>
      <c r="Z1723" s="31"/>
      <c r="AA1723" s="31"/>
      <c r="AB1723" s="31"/>
      <c r="AC1723" s="31"/>
    </row>
    <row r="1724" spans="19:29" x14ac:dyDescent="0.25">
      <c r="S1724" s="31"/>
      <c r="X1724" s="31"/>
      <c r="Y1724" s="31"/>
      <c r="Z1724" s="31"/>
      <c r="AA1724" s="31"/>
      <c r="AB1724" s="31"/>
      <c r="AC1724" s="31"/>
    </row>
    <row r="1725" spans="19:29" x14ac:dyDescent="0.25">
      <c r="S1725" s="31"/>
      <c r="X1725" s="31"/>
      <c r="Y1725" s="31"/>
      <c r="Z1725" s="31"/>
      <c r="AA1725" s="31"/>
      <c r="AB1725" s="31"/>
      <c r="AC1725" s="31"/>
    </row>
    <row r="1726" spans="19:29" x14ac:dyDescent="0.25">
      <c r="S1726" s="31"/>
      <c r="X1726" s="31"/>
      <c r="Y1726" s="31"/>
      <c r="Z1726" s="31"/>
      <c r="AA1726" s="31"/>
      <c r="AB1726" s="31"/>
      <c r="AC1726" s="31"/>
    </row>
    <row r="1727" spans="19:29" x14ac:dyDescent="0.25">
      <c r="S1727" s="31"/>
      <c r="X1727" s="31"/>
      <c r="Y1727" s="31"/>
      <c r="Z1727" s="31"/>
      <c r="AA1727" s="31"/>
      <c r="AB1727" s="31"/>
      <c r="AC1727" s="31"/>
    </row>
    <row r="1728" spans="19:29" x14ac:dyDescent="0.25">
      <c r="S1728" s="31"/>
      <c r="X1728" s="31"/>
      <c r="Y1728" s="31"/>
      <c r="Z1728" s="31"/>
      <c r="AA1728" s="31"/>
      <c r="AB1728" s="31"/>
      <c r="AC1728" s="31"/>
    </row>
    <row r="1729" spans="19:29" x14ac:dyDescent="0.25">
      <c r="S1729" s="31"/>
      <c r="X1729" s="31"/>
      <c r="Y1729" s="31"/>
      <c r="Z1729" s="31"/>
      <c r="AA1729" s="31"/>
      <c r="AB1729" s="31"/>
      <c r="AC1729" s="31"/>
    </row>
    <row r="1730" spans="19:29" x14ac:dyDescent="0.25">
      <c r="S1730" s="31"/>
      <c r="X1730" s="31"/>
      <c r="Y1730" s="31"/>
      <c r="Z1730" s="31"/>
      <c r="AA1730" s="31"/>
      <c r="AB1730" s="31"/>
      <c r="AC1730" s="31"/>
    </row>
    <row r="1731" spans="19:29" x14ac:dyDescent="0.25">
      <c r="S1731" s="31"/>
      <c r="X1731" s="31"/>
      <c r="Y1731" s="31"/>
      <c r="Z1731" s="31"/>
      <c r="AA1731" s="31"/>
      <c r="AB1731" s="31"/>
      <c r="AC1731" s="31"/>
    </row>
    <row r="1732" spans="19:29" x14ac:dyDescent="0.25">
      <c r="S1732" s="31"/>
      <c r="X1732" s="31"/>
      <c r="Y1732" s="31"/>
      <c r="Z1732" s="31"/>
      <c r="AA1732" s="31"/>
      <c r="AB1732" s="31"/>
      <c r="AC1732" s="31"/>
    </row>
    <row r="1733" spans="19:29" x14ac:dyDescent="0.25">
      <c r="S1733" s="31"/>
      <c r="X1733" s="31"/>
      <c r="Y1733" s="31"/>
      <c r="Z1733" s="31"/>
      <c r="AA1733" s="31"/>
      <c r="AB1733" s="31"/>
      <c r="AC1733" s="31"/>
    </row>
    <row r="1734" spans="19:29" x14ac:dyDescent="0.25">
      <c r="S1734" s="31"/>
      <c r="X1734" s="31"/>
      <c r="Y1734" s="31"/>
      <c r="Z1734" s="31"/>
      <c r="AA1734" s="31"/>
      <c r="AB1734" s="31"/>
      <c r="AC1734" s="31"/>
    </row>
    <row r="1735" spans="19:29" x14ac:dyDescent="0.25">
      <c r="S1735" s="31"/>
      <c r="X1735" s="31"/>
      <c r="Y1735" s="31"/>
      <c r="Z1735" s="31"/>
      <c r="AA1735" s="31"/>
      <c r="AB1735" s="31"/>
      <c r="AC1735" s="31"/>
    </row>
    <row r="1736" spans="19:29" x14ac:dyDescent="0.25">
      <c r="S1736" s="31"/>
      <c r="X1736" s="31"/>
      <c r="Y1736" s="31"/>
      <c r="Z1736" s="31"/>
      <c r="AA1736" s="31"/>
      <c r="AB1736" s="31"/>
      <c r="AC1736" s="31"/>
    </row>
    <row r="1737" spans="19:29" x14ac:dyDescent="0.25">
      <c r="S1737" s="31"/>
      <c r="X1737" s="31"/>
      <c r="Y1737" s="31"/>
      <c r="Z1737" s="31"/>
      <c r="AA1737" s="31"/>
      <c r="AB1737" s="31"/>
      <c r="AC1737" s="31"/>
    </row>
    <row r="1738" spans="19:29" x14ac:dyDescent="0.25">
      <c r="S1738" s="31"/>
      <c r="X1738" s="31"/>
      <c r="Y1738" s="31"/>
      <c r="Z1738" s="31"/>
      <c r="AA1738" s="31"/>
      <c r="AB1738" s="31"/>
      <c r="AC1738" s="31"/>
    </row>
    <row r="1739" spans="19:29" x14ac:dyDescent="0.25">
      <c r="S1739" s="31"/>
      <c r="X1739" s="31"/>
      <c r="Y1739" s="31"/>
      <c r="Z1739" s="31"/>
      <c r="AA1739" s="31"/>
      <c r="AB1739" s="31"/>
      <c r="AC1739" s="31"/>
    </row>
    <row r="1740" spans="19:29" x14ac:dyDescent="0.25">
      <c r="S1740" s="31"/>
      <c r="X1740" s="31"/>
      <c r="Y1740" s="31"/>
      <c r="Z1740" s="31"/>
      <c r="AA1740" s="31"/>
      <c r="AB1740" s="31"/>
      <c r="AC1740" s="31"/>
    </row>
    <row r="1741" spans="19:29" x14ac:dyDescent="0.25">
      <c r="S1741" s="31"/>
      <c r="X1741" s="31"/>
      <c r="Y1741" s="31"/>
      <c r="Z1741" s="31"/>
      <c r="AA1741" s="31"/>
      <c r="AB1741" s="31"/>
      <c r="AC1741" s="31"/>
    </row>
    <row r="1742" spans="19:29" x14ac:dyDescent="0.25">
      <c r="S1742" s="31"/>
      <c r="X1742" s="31"/>
      <c r="Y1742" s="31"/>
      <c r="Z1742" s="31"/>
      <c r="AA1742" s="31"/>
      <c r="AB1742" s="31"/>
      <c r="AC1742" s="31"/>
    </row>
    <row r="1743" spans="19:29" x14ac:dyDescent="0.25">
      <c r="S1743" s="31"/>
      <c r="X1743" s="31"/>
      <c r="Y1743" s="31"/>
      <c r="Z1743" s="31"/>
      <c r="AA1743" s="31"/>
      <c r="AB1743" s="31"/>
      <c r="AC1743" s="31"/>
    </row>
    <row r="1744" spans="19:29" x14ac:dyDescent="0.25">
      <c r="S1744" s="31"/>
      <c r="X1744" s="31"/>
      <c r="Y1744" s="31"/>
      <c r="Z1744" s="31"/>
      <c r="AA1744" s="31"/>
      <c r="AB1744" s="31"/>
      <c r="AC1744" s="31"/>
    </row>
    <row r="1745" spans="19:29" x14ac:dyDescent="0.25">
      <c r="S1745" s="31"/>
      <c r="X1745" s="31"/>
      <c r="Y1745" s="31"/>
      <c r="Z1745" s="31"/>
      <c r="AA1745" s="31"/>
      <c r="AB1745" s="31"/>
      <c r="AC1745" s="31"/>
    </row>
    <row r="1746" spans="19:29" x14ac:dyDescent="0.25">
      <c r="S1746" s="31"/>
      <c r="X1746" s="31"/>
      <c r="Y1746" s="31"/>
      <c r="Z1746" s="31"/>
      <c r="AA1746" s="31"/>
      <c r="AB1746" s="31"/>
      <c r="AC1746" s="31"/>
    </row>
    <row r="1747" spans="19:29" x14ac:dyDescent="0.25">
      <c r="S1747" s="31"/>
      <c r="X1747" s="31"/>
      <c r="Y1747" s="31"/>
      <c r="Z1747" s="31"/>
      <c r="AA1747" s="31"/>
      <c r="AB1747" s="31"/>
      <c r="AC1747" s="31"/>
    </row>
    <row r="1748" spans="19:29" x14ac:dyDescent="0.25">
      <c r="S1748" s="31"/>
      <c r="X1748" s="31"/>
      <c r="Y1748" s="31"/>
      <c r="Z1748" s="31"/>
      <c r="AA1748" s="31"/>
      <c r="AB1748" s="31"/>
      <c r="AC1748" s="31"/>
    </row>
    <row r="1749" spans="19:29" x14ac:dyDescent="0.25">
      <c r="S1749" s="31"/>
      <c r="X1749" s="31"/>
      <c r="Y1749" s="31"/>
      <c r="Z1749" s="31"/>
      <c r="AA1749" s="31"/>
      <c r="AB1749" s="31"/>
      <c r="AC1749" s="31"/>
    </row>
    <row r="1750" spans="19:29" x14ac:dyDescent="0.25">
      <c r="S1750" s="31"/>
      <c r="X1750" s="31"/>
      <c r="Y1750" s="31"/>
      <c r="Z1750" s="31"/>
      <c r="AA1750" s="31"/>
      <c r="AB1750" s="31"/>
      <c r="AC1750" s="31"/>
    </row>
    <row r="1751" spans="19:29" x14ac:dyDescent="0.25">
      <c r="S1751" s="31"/>
      <c r="X1751" s="31"/>
      <c r="Y1751" s="31"/>
      <c r="Z1751" s="31"/>
      <c r="AA1751" s="31"/>
      <c r="AB1751" s="31"/>
      <c r="AC1751" s="31"/>
    </row>
    <row r="1752" spans="19:29" x14ac:dyDescent="0.25">
      <c r="S1752" s="31"/>
      <c r="X1752" s="31"/>
      <c r="Y1752" s="31"/>
      <c r="Z1752" s="31"/>
      <c r="AA1752" s="31"/>
      <c r="AB1752" s="31"/>
      <c r="AC1752" s="31"/>
    </row>
    <row r="1753" spans="19:29" x14ac:dyDescent="0.25">
      <c r="S1753" s="31"/>
      <c r="X1753" s="31"/>
      <c r="Y1753" s="31"/>
      <c r="Z1753" s="31"/>
      <c r="AA1753" s="31"/>
      <c r="AB1753" s="31"/>
      <c r="AC1753" s="31"/>
    </row>
    <row r="1754" spans="19:29" x14ac:dyDescent="0.25">
      <c r="S1754" s="31"/>
      <c r="X1754" s="31"/>
      <c r="Y1754" s="31"/>
      <c r="Z1754" s="31"/>
      <c r="AA1754" s="31"/>
      <c r="AB1754" s="31"/>
      <c r="AC1754" s="31"/>
    </row>
    <row r="1755" spans="19:29" x14ac:dyDescent="0.25">
      <c r="S1755" s="31"/>
      <c r="X1755" s="31"/>
      <c r="Y1755" s="31"/>
      <c r="Z1755" s="31"/>
      <c r="AA1755" s="31"/>
      <c r="AB1755" s="31"/>
      <c r="AC1755" s="31"/>
    </row>
    <row r="1756" spans="19:29" x14ac:dyDescent="0.25">
      <c r="S1756" s="31"/>
      <c r="X1756" s="31"/>
      <c r="Y1756" s="31"/>
      <c r="Z1756" s="31"/>
      <c r="AA1756" s="31"/>
      <c r="AB1756" s="31"/>
      <c r="AC1756" s="31"/>
    </row>
    <row r="1757" spans="19:29" x14ac:dyDescent="0.25">
      <c r="S1757" s="31"/>
      <c r="X1757" s="31"/>
      <c r="Y1757" s="31"/>
      <c r="Z1757" s="31"/>
      <c r="AA1757" s="31"/>
      <c r="AB1757" s="31"/>
      <c r="AC1757" s="31"/>
    </row>
    <row r="1758" spans="19:29" x14ac:dyDescent="0.25">
      <c r="S1758" s="31"/>
      <c r="X1758" s="31"/>
      <c r="Y1758" s="31"/>
      <c r="Z1758" s="31"/>
      <c r="AA1758" s="31"/>
      <c r="AB1758" s="31"/>
      <c r="AC1758" s="31"/>
    </row>
    <row r="1759" spans="19:29" x14ac:dyDescent="0.25">
      <c r="S1759" s="31"/>
      <c r="X1759" s="31"/>
      <c r="Y1759" s="31"/>
      <c r="Z1759" s="31"/>
      <c r="AA1759" s="31"/>
      <c r="AB1759" s="31"/>
      <c r="AC1759" s="31"/>
    </row>
    <row r="1760" spans="19:29" x14ac:dyDescent="0.25">
      <c r="S1760" s="31"/>
      <c r="X1760" s="31"/>
      <c r="Y1760" s="31"/>
      <c r="Z1760" s="31"/>
      <c r="AA1760" s="31"/>
      <c r="AB1760" s="31"/>
      <c r="AC1760" s="31"/>
    </row>
    <row r="1761" spans="19:29" x14ac:dyDescent="0.25">
      <c r="S1761" s="31"/>
      <c r="X1761" s="31"/>
      <c r="Y1761" s="31"/>
      <c r="Z1761" s="31"/>
      <c r="AA1761" s="31"/>
      <c r="AB1761" s="31"/>
      <c r="AC1761" s="31"/>
    </row>
    <row r="1762" spans="19:29" x14ac:dyDescent="0.25">
      <c r="S1762" s="31"/>
      <c r="X1762" s="31"/>
      <c r="Y1762" s="31"/>
      <c r="Z1762" s="31"/>
      <c r="AA1762" s="31"/>
      <c r="AB1762" s="31"/>
      <c r="AC1762" s="31"/>
    </row>
    <row r="1763" spans="19:29" x14ac:dyDescent="0.25">
      <c r="S1763" s="31"/>
      <c r="X1763" s="31"/>
      <c r="Y1763" s="31"/>
      <c r="Z1763" s="31"/>
      <c r="AA1763" s="31"/>
      <c r="AB1763" s="31"/>
      <c r="AC1763" s="31"/>
    </row>
    <row r="1764" spans="19:29" x14ac:dyDescent="0.25">
      <c r="S1764" s="31"/>
      <c r="X1764" s="31"/>
      <c r="Y1764" s="31"/>
      <c r="Z1764" s="31"/>
      <c r="AA1764" s="31"/>
      <c r="AB1764" s="31"/>
      <c r="AC1764" s="31"/>
    </row>
    <row r="1765" spans="19:29" x14ac:dyDescent="0.25">
      <c r="S1765" s="31"/>
      <c r="X1765" s="31"/>
      <c r="Y1765" s="31"/>
      <c r="Z1765" s="31"/>
      <c r="AA1765" s="31"/>
      <c r="AB1765" s="31"/>
      <c r="AC1765" s="31"/>
    </row>
    <row r="1766" spans="19:29" x14ac:dyDescent="0.25">
      <c r="S1766" s="31"/>
      <c r="X1766" s="31"/>
      <c r="Y1766" s="31"/>
      <c r="Z1766" s="31"/>
      <c r="AA1766" s="31"/>
      <c r="AB1766" s="31"/>
      <c r="AC1766" s="31"/>
    </row>
    <row r="1767" spans="19:29" x14ac:dyDescent="0.25">
      <c r="S1767" s="31"/>
      <c r="X1767" s="31"/>
      <c r="Y1767" s="31"/>
      <c r="Z1767" s="31"/>
      <c r="AA1767" s="31"/>
      <c r="AB1767" s="31"/>
      <c r="AC1767" s="31"/>
    </row>
    <row r="1768" spans="19:29" x14ac:dyDescent="0.25">
      <c r="S1768" s="31"/>
      <c r="X1768" s="31"/>
      <c r="Y1768" s="31"/>
      <c r="Z1768" s="31"/>
      <c r="AA1768" s="31"/>
      <c r="AB1768" s="31"/>
      <c r="AC1768" s="31"/>
    </row>
    <row r="1769" spans="19:29" x14ac:dyDescent="0.25">
      <c r="S1769" s="31"/>
      <c r="X1769" s="31"/>
      <c r="Y1769" s="31"/>
      <c r="Z1769" s="31"/>
      <c r="AA1769" s="31"/>
      <c r="AB1769" s="31"/>
      <c r="AC1769" s="31"/>
    </row>
    <row r="1770" spans="19:29" x14ac:dyDescent="0.25">
      <c r="S1770" s="31"/>
      <c r="X1770" s="31"/>
      <c r="Y1770" s="31"/>
      <c r="Z1770" s="31"/>
      <c r="AA1770" s="31"/>
      <c r="AB1770" s="31"/>
      <c r="AC1770" s="31"/>
    </row>
    <row r="1771" spans="19:29" x14ac:dyDescent="0.25">
      <c r="S1771" s="31"/>
      <c r="X1771" s="31"/>
      <c r="Y1771" s="31"/>
      <c r="Z1771" s="31"/>
      <c r="AA1771" s="31"/>
      <c r="AB1771" s="31"/>
      <c r="AC1771" s="31"/>
    </row>
    <row r="1772" spans="19:29" x14ac:dyDescent="0.25">
      <c r="S1772" s="31"/>
      <c r="X1772" s="31"/>
      <c r="Y1772" s="31"/>
      <c r="Z1772" s="31"/>
      <c r="AA1772" s="31"/>
      <c r="AB1772" s="31"/>
      <c r="AC1772" s="31"/>
    </row>
    <row r="1773" spans="19:29" x14ac:dyDescent="0.25">
      <c r="S1773" s="31"/>
      <c r="X1773" s="31"/>
      <c r="Y1773" s="31"/>
      <c r="Z1773" s="31"/>
      <c r="AA1773" s="31"/>
      <c r="AB1773" s="31"/>
      <c r="AC1773" s="31"/>
    </row>
    <row r="1774" spans="19:29" x14ac:dyDescent="0.25">
      <c r="S1774" s="31"/>
      <c r="X1774" s="31"/>
      <c r="Y1774" s="31"/>
      <c r="Z1774" s="31"/>
      <c r="AA1774" s="31"/>
      <c r="AB1774" s="31"/>
      <c r="AC1774" s="31"/>
    </row>
    <row r="1775" spans="19:29" x14ac:dyDescent="0.25">
      <c r="S1775" s="31"/>
      <c r="X1775" s="31"/>
      <c r="Y1775" s="31"/>
      <c r="Z1775" s="31"/>
      <c r="AA1775" s="31"/>
      <c r="AB1775" s="31"/>
      <c r="AC1775" s="31"/>
    </row>
    <row r="1776" spans="19:29" x14ac:dyDescent="0.25">
      <c r="S1776" s="31"/>
      <c r="X1776" s="31"/>
      <c r="Y1776" s="31"/>
      <c r="Z1776" s="31"/>
      <c r="AA1776" s="31"/>
      <c r="AB1776" s="31"/>
      <c r="AC1776" s="31"/>
    </row>
    <row r="1777" spans="19:29" x14ac:dyDescent="0.25">
      <c r="S1777" s="31"/>
      <c r="X1777" s="31"/>
      <c r="Y1777" s="31"/>
      <c r="Z1777" s="31"/>
      <c r="AA1777" s="31"/>
      <c r="AB1777" s="31"/>
      <c r="AC1777" s="31"/>
    </row>
    <row r="1778" spans="19:29" x14ac:dyDescent="0.25">
      <c r="S1778" s="31"/>
      <c r="X1778" s="31"/>
      <c r="Y1778" s="31"/>
      <c r="Z1778" s="31"/>
      <c r="AA1778" s="31"/>
      <c r="AB1778" s="31"/>
      <c r="AC1778" s="31"/>
    </row>
    <row r="1779" spans="19:29" x14ac:dyDescent="0.25">
      <c r="S1779" s="31"/>
      <c r="X1779" s="31"/>
      <c r="Y1779" s="31"/>
      <c r="Z1779" s="31"/>
      <c r="AA1779" s="31"/>
      <c r="AB1779" s="31"/>
      <c r="AC1779" s="31"/>
    </row>
    <row r="1780" spans="19:29" x14ac:dyDescent="0.25">
      <c r="S1780" s="31"/>
      <c r="X1780" s="31"/>
      <c r="Y1780" s="31"/>
      <c r="Z1780" s="31"/>
      <c r="AA1780" s="31"/>
      <c r="AB1780" s="31"/>
      <c r="AC1780" s="31"/>
    </row>
    <row r="1781" spans="19:29" x14ac:dyDescent="0.25">
      <c r="S1781" s="31"/>
      <c r="X1781" s="31"/>
      <c r="Y1781" s="31"/>
      <c r="Z1781" s="31"/>
      <c r="AA1781" s="31"/>
      <c r="AB1781" s="31"/>
      <c r="AC1781" s="31"/>
    </row>
    <row r="1782" spans="19:29" x14ac:dyDescent="0.25">
      <c r="S1782" s="31"/>
      <c r="X1782" s="31"/>
      <c r="Y1782" s="31"/>
      <c r="Z1782" s="31"/>
      <c r="AA1782" s="31"/>
      <c r="AB1782" s="31"/>
      <c r="AC1782" s="31"/>
    </row>
    <row r="1783" spans="19:29" x14ac:dyDescent="0.25">
      <c r="S1783" s="31"/>
      <c r="X1783" s="31"/>
      <c r="Y1783" s="31"/>
      <c r="Z1783" s="31"/>
      <c r="AA1783" s="31"/>
      <c r="AB1783" s="31"/>
      <c r="AC1783" s="31"/>
    </row>
    <row r="1784" spans="19:29" x14ac:dyDescent="0.25">
      <c r="S1784" s="31"/>
      <c r="X1784" s="31"/>
      <c r="Y1784" s="31"/>
      <c r="Z1784" s="31"/>
      <c r="AA1784" s="31"/>
      <c r="AB1784" s="31"/>
      <c r="AC1784" s="31"/>
    </row>
    <row r="1785" spans="19:29" x14ac:dyDescent="0.25">
      <c r="S1785" s="31"/>
      <c r="X1785" s="31"/>
      <c r="Y1785" s="31"/>
      <c r="Z1785" s="31"/>
      <c r="AA1785" s="31"/>
      <c r="AB1785" s="31"/>
      <c r="AC1785" s="31"/>
    </row>
    <row r="1786" spans="19:29" x14ac:dyDescent="0.25">
      <c r="S1786" s="31"/>
      <c r="X1786" s="31"/>
      <c r="Y1786" s="31"/>
      <c r="Z1786" s="31"/>
      <c r="AA1786" s="31"/>
      <c r="AB1786" s="31"/>
      <c r="AC1786" s="31"/>
    </row>
    <row r="1787" spans="19:29" x14ac:dyDescent="0.25">
      <c r="S1787" s="31"/>
      <c r="X1787" s="31"/>
      <c r="Y1787" s="31"/>
      <c r="Z1787" s="31"/>
      <c r="AA1787" s="31"/>
      <c r="AB1787" s="31"/>
      <c r="AC1787" s="31"/>
    </row>
    <row r="1788" spans="19:29" x14ac:dyDescent="0.25">
      <c r="S1788" s="31"/>
      <c r="X1788" s="31"/>
      <c r="Y1788" s="31"/>
      <c r="Z1788" s="31"/>
      <c r="AA1788" s="31"/>
      <c r="AB1788" s="31"/>
      <c r="AC1788" s="31"/>
    </row>
    <row r="1789" spans="19:29" x14ac:dyDescent="0.25">
      <c r="S1789" s="31"/>
      <c r="X1789" s="31"/>
      <c r="Y1789" s="31"/>
      <c r="Z1789" s="31"/>
      <c r="AA1789" s="31"/>
      <c r="AB1789" s="31"/>
      <c r="AC1789" s="31"/>
    </row>
    <row r="1790" spans="19:29" x14ac:dyDescent="0.25">
      <c r="S1790" s="31"/>
      <c r="X1790" s="31"/>
      <c r="Y1790" s="31"/>
      <c r="Z1790" s="31"/>
      <c r="AA1790" s="31"/>
      <c r="AB1790" s="31"/>
      <c r="AC1790" s="31"/>
    </row>
    <row r="1791" spans="19:29" x14ac:dyDescent="0.25">
      <c r="S1791" s="31"/>
      <c r="X1791" s="31"/>
      <c r="Y1791" s="31"/>
      <c r="Z1791" s="31"/>
      <c r="AA1791" s="31"/>
      <c r="AB1791" s="31"/>
      <c r="AC1791" s="31"/>
    </row>
    <row r="1792" spans="19:29" x14ac:dyDescent="0.25">
      <c r="S1792" s="31"/>
      <c r="X1792" s="31"/>
      <c r="Y1792" s="31"/>
      <c r="Z1792" s="31"/>
      <c r="AA1792" s="31"/>
      <c r="AB1792" s="31"/>
      <c r="AC1792" s="31"/>
    </row>
    <row r="1793" spans="19:29" x14ac:dyDescent="0.25">
      <c r="S1793" s="31"/>
      <c r="X1793" s="31"/>
      <c r="Y1793" s="31"/>
      <c r="Z1793" s="31"/>
      <c r="AA1793" s="31"/>
      <c r="AB1793" s="31"/>
      <c r="AC1793" s="31"/>
    </row>
    <row r="1794" spans="19:29" x14ac:dyDescent="0.25">
      <c r="S1794" s="31"/>
      <c r="X1794" s="31"/>
      <c r="Y1794" s="31"/>
      <c r="Z1794" s="31"/>
      <c r="AA1794" s="31"/>
      <c r="AB1794" s="31"/>
      <c r="AC1794" s="31"/>
    </row>
    <row r="1795" spans="19:29" x14ac:dyDescent="0.25">
      <c r="S1795" s="31"/>
      <c r="X1795" s="31"/>
      <c r="Y1795" s="31"/>
      <c r="Z1795" s="31"/>
      <c r="AA1795" s="31"/>
      <c r="AB1795" s="31"/>
      <c r="AC1795" s="31"/>
    </row>
    <row r="1796" spans="19:29" x14ac:dyDescent="0.25">
      <c r="S1796" s="31"/>
      <c r="X1796" s="31"/>
      <c r="Y1796" s="31"/>
      <c r="Z1796" s="31"/>
      <c r="AA1796" s="31"/>
      <c r="AB1796" s="31"/>
      <c r="AC1796" s="31"/>
    </row>
    <row r="1797" spans="19:29" x14ac:dyDescent="0.25">
      <c r="S1797" s="31"/>
      <c r="X1797" s="31"/>
      <c r="Y1797" s="31"/>
      <c r="Z1797" s="31"/>
      <c r="AA1797" s="31"/>
      <c r="AB1797" s="31"/>
      <c r="AC1797" s="31"/>
    </row>
    <row r="1798" spans="19:29" x14ac:dyDescent="0.25">
      <c r="S1798" s="31"/>
      <c r="X1798" s="31"/>
      <c r="Y1798" s="31"/>
      <c r="Z1798" s="31"/>
      <c r="AA1798" s="31"/>
      <c r="AB1798" s="31"/>
      <c r="AC1798" s="31"/>
    </row>
    <row r="1799" spans="19:29" x14ac:dyDescent="0.25">
      <c r="S1799" s="31"/>
      <c r="X1799" s="31"/>
      <c r="Y1799" s="31"/>
      <c r="Z1799" s="31"/>
      <c r="AA1799" s="31"/>
      <c r="AB1799" s="31"/>
      <c r="AC1799" s="31"/>
    </row>
    <row r="1800" spans="19:29" x14ac:dyDescent="0.25">
      <c r="S1800" s="31"/>
      <c r="X1800" s="31"/>
      <c r="Y1800" s="31"/>
      <c r="Z1800" s="31"/>
      <c r="AA1800" s="31"/>
      <c r="AB1800" s="31"/>
      <c r="AC1800" s="31"/>
    </row>
    <row r="1801" spans="19:29" x14ac:dyDescent="0.25">
      <c r="S1801" s="31"/>
      <c r="X1801" s="31"/>
      <c r="Y1801" s="31"/>
      <c r="Z1801" s="31"/>
      <c r="AA1801" s="31"/>
      <c r="AB1801" s="31"/>
      <c r="AC1801" s="31"/>
    </row>
    <row r="1802" spans="19:29" x14ac:dyDescent="0.25">
      <c r="S1802" s="31"/>
      <c r="X1802" s="31"/>
      <c r="Y1802" s="31"/>
      <c r="Z1802" s="31"/>
      <c r="AA1802" s="31"/>
      <c r="AB1802" s="31"/>
      <c r="AC1802" s="31"/>
    </row>
    <row r="1803" spans="19:29" x14ac:dyDescent="0.25">
      <c r="S1803" s="31"/>
      <c r="X1803" s="31"/>
      <c r="Y1803" s="31"/>
      <c r="Z1803" s="31"/>
      <c r="AA1803" s="31"/>
      <c r="AB1803" s="31"/>
      <c r="AC1803" s="31"/>
    </row>
    <row r="1804" spans="19:29" x14ac:dyDescent="0.25">
      <c r="S1804" s="31"/>
      <c r="X1804" s="31"/>
      <c r="Y1804" s="31"/>
      <c r="Z1804" s="31"/>
      <c r="AA1804" s="31"/>
      <c r="AB1804" s="31"/>
      <c r="AC1804" s="31"/>
    </row>
    <row r="1805" spans="19:29" x14ac:dyDescent="0.25">
      <c r="S1805" s="31"/>
      <c r="X1805" s="31"/>
      <c r="Y1805" s="31"/>
      <c r="Z1805" s="31"/>
      <c r="AA1805" s="31"/>
      <c r="AB1805" s="31"/>
      <c r="AC1805" s="31"/>
    </row>
    <row r="1806" spans="19:29" x14ac:dyDescent="0.25">
      <c r="S1806" s="31"/>
      <c r="X1806" s="31"/>
      <c r="Y1806" s="31"/>
      <c r="Z1806" s="31"/>
      <c r="AA1806" s="31"/>
      <c r="AB1806" s="31"/>
      <c r="AC1806" s="31"/>
    </row>
    <row r="1807" spans="19:29" x14ac:dyDescent="0.25">
      <c r="S1807" s="31"/>
      <c r="X1807" s="31"/>
      <c r="Y1807" s="31"/>
      <c r="Z1807" s="31"/>
      <c r="AA1807" s="31"/>
      <c r="AB1807" s="31"/>
      <c r="AC1807" s="31"/>
    </row>
    <row r="1808" spans="19:29" x14ac:dyDescent="0.25">
      <c r="S1808" s="31"/>
      <c r="X1808" s="31"/>
      <c r="Y1808" s="31"/>
      <c r="Z1808" s="31"/>
      <c r="AA1808" s="31"/>
      <c r="AB1808" s="31"/>
      <c r="AC1808" s="31"/>
    </row>
    <row r="1809" spans="19:29" x14ac:dyDescent="0.25">
      <c r="S1809" s="31"/>
      <c r="X1809" s="31"/>
      <c r="Y1809" s="31"/>
      <c r="Z1809" s="31"/>
      <c r="AA1809" s="31"/>
      <c r="AB1809" s="31"/>
      <c r="AC1809" s="31"/>
    </row>
    <row r="1810" spans="19:29" x14ac:dyDescent="0.25">
      <c r="S1810" s="31"/>
      <c r="X1810" s="31"/>
      <c r="Y1810" s="31"/>
      <c r="Z1810" s="31"/>
      <c r="AA1810" s="31"/>
      <c r="AB1810" s="31"/>
      <c r="AC1810" s="31"/>
    </row>
    <row r="1811" spans="19:29" x14ac:dyDescent="0.25">
      <c r="S1811" s="31"/>
      <c r="X1811" s="31"/>
      <c r="Y1811" s="31"/>
      <c r="Z1811" s="31"/>
      <c r="AA1811" s="31"/>
      <c r="AB1811" s="31"/>
      <c r="AC1811" s="31"/>
    </row>
    <row r="1812" spans="19:29" x14ac:dyDescent="0.25">
      <c r="S1812" s="31"/>
      <c r="X1812" s="31"/>
      <c r="Y1812" s="31"/>
      <c r="Z1812" s="31"/>
      <c r="AA1812" s="31"/>
      <c r="AB1812" s="31"/>
      <c r="AC1812" s="31"/>
    </row>
    <row r="1813" spans="19:29" x14ac:dyDescent="0.25">
      <c r="S1813" s="31"/>
      <c r="X1813" s="31"/>
      <c r="Y1813" s="31"/>
      <c r="Z1813" s="31"/>
      <c r="AA1813" s="31"/>
      <c r="AB1813" s="31"/>
      <c r="AC1813" s="31"/>
    </row>
    <row r="1814" spans="19:29" x14ac:dyDescent="0.25">
      <c r="S1814" s="31"/>
      <c r="X1814" s="31"/>
      <c r="Y1814" s="31"/>
      <c r="Z1814" s="31"/>
      <c r="AA1814" s="31"/>
      <c r="AB1814" s="31"/>
      <c r="AC1814" s="31"/>
    </row>
    <row r="1815" spans="19:29" x14ac:dyDescent="0.25">
      <c r="S1815" s="31"/>
      <c r="X1815" s="31"/>
      <c r="Y1815" s="31"/>
      <c r="Z1815" s="31"/>
      <c r="AA1815" s="31"/>
      <c r="AB1815" s="31"/>
      <c r="AC1815" s="31"/>
    </row>
    <row r="1816" spans="19:29" x14ac:dyDescent="0.25">
      <c r="S1816" s="31"/>
      <c r="X1816" s="31"/>
      <c r="Y1816" s="31"/>
      <c r="Z1816" s="31"/>
      <c r="AA1816" s="31"/>
      <c r="AB1816" s="31"/>
      <c r="AC1816" s="31"/>
    </row>
    <row r="1817" spans="19:29" x14ac:dyDescent="0.25">
      <c r="S1817" s="31"/>
      <c r="X1817" s="31"/>
      <c r="Y1817" s="31"/>
      <c r="Z1817" s="31"/>
      <c r="AA1817" s="31"/>
      <c r="AB1817" s="31"/>
      <c r="AC1817" s="31"/>
    </row>
    <row r="1818" spans="19:29" x14ac:dyDescent="0.25">
      <c r="S1818" s="31"/>
      <c r="X1818" s="31"/>
      <c r="Y1818" s="31"/>
      <c r="Z1818" s="31"/>
      <c r="AA1818" s="31"/>
      <c r="AB1818" s="31"/>
      <c r="AC1818" s="31"/>
    </row>
    <row r="1819" spans="19:29" x14ac:dyDescent="0.25">
      <c r="S1819" s="31"/>
      <c r="X1819" s="31"/>
      <c r="Y1819" s="31"/>
      <c r="Z1819" s="31"/>
      <c r="AA1819" s="31"/>
      <c r="AB1819" s="31"/>
      <c r="AC1819" s="31"/>
    </row>
    <row r="1820" spans="19:29" x14ac:dyDescent="0.25">
      <c r="S1820" s="31"/>
      <c r="X1820" s="31"/>
      <c r="Y1820" s="31"/>
      <c r="Z1820" s="31"/>
      <c r="AA1820" s="31"/>
      <c r="AB1820" s="31"/>
      <c r="AC1820" s="31"/>
    </row>
    <row r="1821" spans="19:29" x14ac:dyDescent="0.25">
      <c r="S1821" s="31"/>
      <c r="X1821" s="31"/>
      <c r="Y1821" s="31"/>
      <c r="Z1821" s="31"/>
      <c r="AA1821" s="31"/>
      <c r="AB1821" s="31"/>
      <c r="AC1821" s="31"/>
    </row>
    <row r="1822" spans="19:29" x14ac:dyDescent="0.25">
      <c r="S1822" s="31"/>
      <c r="X1822" s="31"/>
      <c r="Y1822" s="31"/>
      <c r="Z1822" s="31"/>
      <c r="AA1822" s="31"/>
      <c r="AB1822" s="31"/>
      <c r="AC1822" s="31"/>
    </row>
    <row r="1823" spans="19:29" x14ac:dyDescent="0.25">
      <c r="S1823" s="31"/>
      <c r="X1823" s="31"/>
      <c r="Y1823" s="31"/>
      <c r="Z1823" s="31"/>
      <c r="AA1823" s="31"/>
      <c r="AB1823" s="31"/>
      <c r="AC1823" s="31"/>
    </row>
    <row r="1824" spans="19:29" x14ac:dyDescent="0.25">
      <c r="S1824" s="31"/>
      <c r="X1824" s="31"/>
      <c r="Y1824" s="31"/>
      <c r="Z1824" s="31"/>
      <c r="AA1824" s="31"/>
      <c r="AB1824" s="31"/>
      <c r="AC1824" s="31"/>
    </row>
    <row r="1825" spans="19:29" x14ac:dyDescent="0.25">
      <c r="S1825" s="31"/>
      <c r="X1825" s="31"/>
      <c r="Y1825" s="31"/>
      <c r="Z1825" s="31"/>
      <c r="AA1825" s="31"/>
      <c r="AB1825" s="31"/>
      <c r="AC1825" s="31"/>
    </row>
    <row r="1826" spans="19:29" x14ac:dyDescent="0.25">
      <c r="S1826" s="31"/>
      <c r="X1826" s="31"/>
      <c r="Y1826" s="31"/>
      <c r="Z1826" s="31"/>
      <c r="AA1826" s="31"/>
      <c r="AB1826" s="31"/>
      <c r="AC1826" s="31"/>
    </row>
    <row r="1827" spans="19:29" x14ac:dyDescent="0.25">
      <c r="S1827" s="31"/>
      <c r="X1827" s="31"/>
      <c r="Y1827" s="31"/>
      <c r="Z1827" s="31"/>
      <c r="AA1827" s="31"/>
      <c r="AB1827" s="31"/>
      <c r="AC1827" s="31"/>
    </row>
    <row r="1828" spans="19:29" x14ac:dyDescent="0.25">
      <c r="S1828" s="31"/>
      <c r="X1828" s="31"/>
      <c r="Y1828" s="31"/>
      <c r="Z1828" s="31"/>
      <c r="AA1828" s="31"/>
      <c r="AB1828" s="31"/>
      <c r="AC1828" s="31"/>
    </row>
    <row r="1829" spans="19:29" x14ac:dyDescent="0.25">
      <c r="S1829" s="31"/>
      <c r="X1829" s="31"/>
      <c r="Y1829" s="31"/>
      <c r="Z1829" s="31"/>
      <c r="AA1829" s="31"/>
      <c r="AB1829" s="31"/>
      <c r="AC1829" s="31"/>
    </row>
    <row r="1830" spans="19:29" x14ac:dyDescent="0.25">
      <c r="S1830" s="31"/>
      <c r="X1830" s="31"/>
      <c r="Y1830" s="31"/>
      <c r="Z1830" s="31"/>
      <c r="AA1830" s="31"/>
      <c r="AB1830" s="31"/>
      <c r="AC1830" s="31"/>
    </row>
    <row r="1831" spans="19:29" x14ac:dyDescent="0.25">
      <c r="S1831" s="31"/>
      <c r="X1831" s="31"/>
      <c r="Y1831" s="31"/>
      <c r="Z1831" s="31"/>
      <c r="AA1831" s="31"/>
      <c r="AB1831" s="31"/>
      <c r="AC1831" s="31"/>
    </row>
    <row r="1832" spans="19:29" x14ac:dyDescent="0.25">
      <c r="S1832" s="31"/>
      <c r="X1832" s="31"/>
      <c r="Y1832" s="31"/>
      <c r="Z1832" s="31"/>
      <c r="AA1832" s="31"/>
      <c r="AB1832" s="31"/>
      <c r="AC1832" s="31"/>
    </row>
    <row r="1833" spans="19:29" x14ac:dyDescent="0.25">
      <c r="S1833" s="31"/>
      <c r="X1833" s="31"/>
      <c r="Y1833" s="31"/>
      <c r="Z1833" s="31"/>
      <c r="AA1833" s="31"/>
      <c r="AB1833" s="31"/>
      <c r="AC1833" s="31"/>
    </row>
    <row r="1834" spans="19:29" x14ac:dyDescent="0.25">
      <c r="S1834" s="31"/>
      <c r="X1834" s="31"/>
      <c r="Y1834" s="31"/>
      <c r="Z1834" s="31"/>
      <c r="AA1834" s="31"/>
      <c r="AB1834" s="31"/>
      <c r="AC1834" s="31"/>
    </row>
    <row r="1835" spans="19:29" x14ac:dyDescent="0.25">
      <c r="S1835" s="31"/>
      <c r="X1835" s="31"/>
      <c r="Y1835" s="31"/>
      <c r="Z1835" s="31"/>
      <c r="AA1835" s="31"/>
      <c r="AB1835" s="31"/>
      <c r="AC1835" s="31"/>
    </row>
    <row r="1836" spans="19:29" x14ac:dyDescent="0.25">
      <c r="S1836" s="31"/>
      <c r="X1836" s="31"/>
      <c r="Y1836" s="31"/>
      <c r="Z1836" s="31"/>
      <c r="AA1836" s="31"/>
      <c r="AB1836" s="31"/>
      <c r="AC1836" s="31"/>
    </row>
    <row r="1837" spans="19:29" x14ac:dyDescent="0.25">
      <c r="S1837" s="31"/>
      <c r="X1837" s="31"/>
      <c r="Y1837" s="31"/>
      <c r="Z1837" s="31"/>
      <c r="AA1837" s="31"/>
      <c r="AB1837" s="31"/>
      <c r="AC1837" s="31"/>
    </row>
    <row r="1838" spans="19:29" x14ac:dyDescent="0.25">
      <c r="S1838" s="31"/>
      <c r="X1838" s="31"/>
      <c r="Y1838" s="31"/>
      <c r="Z1838" s="31"/>
      <c r="AA1838" s="31"/>
      <c r="AB1838" s="31"/>
      <c r="AC1838" s="31"/>
    </row>
    <row r="1839" spans="19:29" x14ac:dyDescent="0.25">
      <c r="S1839" s="31"/>
      <c r="X1839" s="31"/>
      <c r="Y1839" s="31"/>
      <c r="Z1839" s="31"/>
      <c r="AA1839" s="31"/>
      <c r="AB1839" s="31"/>
      <c r="AC1839" s="31"/>
    </row>
    <row r="1840" spans="19:29" x14ac:dyDescent="0.25">
      <c r="S1840" s="31"/>
      <c r="X1840" s="31"/>
      <c r="Y1840" s="31"/>
      <c r="Z1840" s="31"/>
      <c r="AA1840" s="31"/>
      <c r="AB1840" s="31"/>
      <c r="AC1840" s="31"/>
    </row>
    <row r="1841" spans="19:29" x14ac:dyDescent="0.25">
      <c r="S1841" s="31"/>
      <c r="X1841" s="31"/>
      <c r="Y1841" s="31"/>
      <c r="Z1841" s="31"/>
      <c r="AA1841" s="31"/>
      <c r="AB1841" s="31"/>
      <c r="AC1841" s="31"/>
    </row>
    <row r="1842" spans="19:29" x14ac:dyDescent="0.25">
      <c r="S1842" s="31"/>
      <c r="X1842" s="31"/>
      <c r="Y1842" s="31"/>
      <c r="Z1842" s="31"/>
      <c r="AA1842" s="31"/>
      <c r="AB1842" s="31"/>
      <c r="AC1842" s="31"/>
    </row>
    <row r="1843" spans="19:29" x14ac:dyDescent="0.25">
      <c r="S1843" s="31"/>
      <c r="X1843" s="31"/>
      <c r="Y1843" s="31"/>
      <c r="Z1843" s="31"/>
      <c r="AA1843" s="31"/>
      <c r="AB1843" s="31"/>
      <c r="AC1843" s="31"/>
    </row>
    <row r="1844" spans="19:29" x14ac:dyDescent="0.25">
      <c r="S1844" s="31"/>
      <c r="X1844" s="31"/>
      <c r="Y1844" s="31"/>
      <c r="Z1844" s="31"/>
      <c r="AA1844" s="31"/>
      <c r="AB1844" s="31"/>
      <c r="AC1844" s="31"/>
    </row>
    <row r="1845" spans="19:29" x14ac:dyDescent="0.25">
      <c r="S1845" s="31"/>
      <c r="X1845" s="31"/>
      <c r="Y1845" s="31"/>
      <c r="Z1845" s="31"/>
      <c r="AA1845" s="31"/>
      <c r="AB1845" s="31"/>
      <c r="AC1845" s="31"/>
    </row>
    <row r="1846" spans="19:29" x14ac:dyDescent="0.25">
      <c r="S1846" s="31"/>
      <c r="X1846" s="31"/>
      <c r="Y1846" s="31"/>
      <c r="Z1846" s="31"/>
      <c r="AA1846" s="31"/>
      <c r="AB1846" s="31"/>
      <c r="AC1846" s="31"/>
    </row>
    <row r="1847" spans="19:29" x14ac:dyDescent="0.25">
      <c r="S1847" s="31"/>
      <c r="X1847" s="31"/>
      <c r="Y1847" s="31"/>
      <c r="Z1847" s="31"/>
      <c r="AA1847" s="31"/>
      <c r="AB1847" s="31"/>
      <c r="AC1847" s="31"/>
    </row>
    <row r="1848" spans="19:29" x14ac:dyDescent="0.25">
      <c r="S1848" s="31"/>
      <c r="X1848" s="31"/>
      <c r="Y1848" s="31"/>
      <c r="Z1848" s="31"/>
      <c r="AA1848" s="31"/>
      <c r="AB1848" s="31"/>
      <c r="AC1848" s="31"/>
    </row>
    <row r="1849" spans="19:29" x14ac:dyDescent="0.25">
      <c r="S1849" s="31"/>
      <c r="X1849" s="31"/>
      <c r="Y1849" s="31"/>
      <c r="Z1849" s="31"/>
      <c r="AA1849" s="31"/>
      <c r="AB1849" s="31"/>
      <c r="AC1849" s="31"/>
    </row>
    <row r="1850" spans="19:29" x14ac:dyDescent="0.25">
      <c r="S1850" s="31"/>
      <c r="X1850" s="31"/>
      <c r="Y1850" s="31"/>
      <c r="Z1850" s="31"/>
      <c r="AA1850" s="31"/>
      <c r="AB1850" s="31"/>
      <c r="AC1850" s="31"/>
    </row>
    <row r="1851" spans="19:29" x14ac:dyDescent="0.25">
      <c r="S1851" s="31"/>
      <c r="X1851" s="31"/>
      <c r="Y1851" s="31"/>
      <c r="Z1851" s="31"/>
      <c r="AA1851" s="31"/>
      <c r="AB1851" s="31"/>
      <c r="AC1851" s="31"/>
    </row>
    <row r="1852" spans="19:29" x14ac:dyDescent="0.25">
      <c r="S1852" s="31"/>
      <c r="X1852" s="31"/>
      <c r="Y1852" s="31"/>
      <c r="Z1852" s="31"/>
      <c r="AA1852" s="31"/>
      <c r="AB1852" s="31"/>
      <c r="AC1852" s="31"/>
    </row>
    <row r="1853" spans="19:29" x14ac:dyDescent="0.25">
      <c r="S1853" s="31"/>
      <c r="X1853" s="31"/>
      <c r="Y1853" s="31"/>
      <c r="Z1853" s="31"/>
      <c r="AA1853" s="31"/>
      <c r="AB1853" s="31"/>
      <c r="AC1853" s="31"/>
    </row>
    <row r="1854" spans="19:29" x14ac:dyDescent="0.25">
      <c r="S1854" s="31"/>
      <c r="X1854" s="31"/>
      <c r="Y1854" s="31"/>
      <c r="Z1854" s="31"/>
      <c r="AA1854" s="31"/>
      <c r="AB1854" s="31"/>
      <c r="AC1854" s="31"/>
    </row>
    <row r="1855" spans="19:29" x14ac:dyDescent="0.25">
      <c r="S1855" s="31"/>
      <c r="X1855" s="31"/>
      <c r="Y1855" s="31"/>
      <c r="Z1855" s="31"/>
      <c r="AA1855" s="31"/>
      <c r="AB1855" s="31"/>
      <c r="AC1855" s="31"/>
    </row>
    <row r="1856" spans="19:29" x14ac:dyDescent="0.25">
      <c r="S1856" s="31"/>
      <c r="X1856" s="31"/>
      <c r="Y1856" s="31"/>
      <c r="Z1856" s="31"/>
      <c r="AA1856" s="31"/>
      <c r="AB1856" s="31"/>
      <c r="AC1856" s="31"/>
    </row>
    <row r="1857" spans="19:29" x14ac:dyDescent="0.25">
      <c r="S1857" s="31"/>
      <c r="X1857" s="31"/>
      <c r="Y1857" s="31"/>
      <c r="Z1857" s="31"/>
      <c r="AA1857" s="31"/>
      <c r="AB1857" s="31"/>
      <c r="AC1857" s="31"/>
    </row>
    <row r="1858" spans="19:29" x14ac:dyDescent="0.25">
      <c r="S1858" s="31"/>
      <c r="X1858" s="31"/>
      <c r="Y1858" s="31"/>
      <c r="Z1858" s="31"/>
      <c r="AA1858" s="31"/>
      <c r="AB1858" s="31"/>
      <c r="AC1858" s="31"/>
    </row>
    <row r="1859" spans="19:29" x14ac:dyDescent="0.25">
      <c r="S1859" s="31"/>
      <c r="X1859" s="31"/>
      <c r="Y1859" s="31"/>
      <c r="Z1859" s="31"/>
      <c r="AA1859" s="31"/>
      <c r="AB1859" s="31"/>
      <c r="AC1859" s="31"/>
    </row>
    <row r="1860" spans="19:29" x14ac:dyDescent="0.25">
      <c r="S1860" s="31"/>
      <c r="X1860" s="31"/>
      <c r="Y1860" s="31"/>
      <c r="Z1860" s="31"/>
      <c r="AA1860" s="31"/>
      <c r="AB1860" s="31"/>
      <c r="AC1860" s="31"/>
    </row>
    <row r="1861" spans="19:29" x14ac:dyDescent="0.25">
      <c r="S1861" s="31"/>
      <c r="X1861" s="31"/>
      <c r="Y1861" s="31"/>
      <c r="Z1861" s="31"/>
      <c r="AA1861" s="31"/>
      <c r="AB1861" s="31"/>
      <c r="AC1861" s="31"/>
    </row>
    <row r="1862" spans="19:29" x14ac:dyDescent="0.25">
      <c r="S1862" s="31"/>
      <c r="X1862" s="31"/>
      <c r="Y1862" s="31"/>
      <c r="Z1862" s="31"/>
      <c r="AA1862" s="31"/>
      <c r="AB1862" s="31"/>
      <c r="AC1862" s="31"/>
    </row>
    <row r="1863" spans="19:29" x14ac:dyDescent="0.25">
      <c r="S1863" s="31"/>
      <c r="X1863" s="31"/>
      <c r="Y1863" s="31"/>
      <c r="Z1863" s="31"/>
      <c r="AA1863" s="31"/>
      <c r="AB1863" s="31"/>
      <c r="AC1863" s="31"/>
    </row>
    <row r="1864" spans="19:29" x14ac:dyDescent="0.25">
      <c r="S1864" s="31"/>
      <c r="X1864" s="31"/>
      <c r="Y1864" s="31"/>
      <c r="Z1864" s="31"/>
      <c r="AA1864" s="31"/>
      <c r="AB1864" s="31"/>
      <c r="AC1864" s="31"/>
    </row>
    <row r="1865" spans="19:29" x14ac:dyDescent="0.25">
      <c r="S1865" s="31"/>
      <c r="X1865" s="31"/>
      <c r="Y1865" s="31"/>
      <c r="Z1865" s="31"/>
      <c r="AA1865" s="31"/>
      <c r="AB1865" s="31"/>
      <c r="AC1865" s="31"/>
    </row>
    <row r="1866" spans="19:29" x14ac:dyDescent="0.25">
      <c r="S1866" s="31"/>
      <c r="X1866" s="31"/>
      <c r="Y1866" s="31"/>
      <c r="Z1866" s="31"/>
      <c r="AA1866" s="31"/>
      <c r="AB1866" s="31"/>
      <c r="AC1866" s="31"/>
    </row>
    <row r="1867" spans="19:29" x14ac:dyDescent="0.25">
      <c r="S1867" s="31"/>
      <c r="X1867" s="31"/>
      <c r="Y1867" s="31"/>
      <c r="Z1867" s="31"/>
      <c r="AA1867" s="31"/>
      <c r="AB1867" s="31"/>
      <c r="AC1867" s="31"/>
    </row>
    <row r="1868" spans="19:29" x14ac:dyDescent="0.25">
      <c r="S1868" s="31"/>
      <c r="X1868" s="31"/>
      <c r="Y1868" s="31"/>
      <c r="Z1868" s="31"/>
      <c r="AA1868" s="31"/>
      <c r="AB1868" s="31"/>
      <c r="AC1868" s="31"/>
    </row>
    <row r="1869" spans="19:29" x14ac:dyDescent="0.25">
      <c r="S1869" s="31"/>
      <c r="X1869" s="31"/>
      <c r="Y1869" s="31"/>
      <c r="Z1869" s="31"/>
      <c r="AA1869" s="31"/>
      <c r="AB1869" s="31"/>
      <c r="AC1869" s="31"/>
    </row>
    <row r="1870" spans="19:29" x14ac:dyDescent="0.25">
      <c r="S1870" s="31"/>
      <c r="X1870" s="31"/>
      <c r="Y1870" s="31"/>
      <c r="Z1870" s="31"/>
      <c r="AA1870" s="31"/>
      <c r="AB1870" s="31"/>
      <c r="AC1870" s="31"/>
    </row>
    <row r="1871" spans="19:29" x14ac:dyDescent="0.25">
      <c r="S1871" s="31"/>
      <c r="X1871" s="31"/>
      <c r="Y1871" s="31"/>
      <c r="Z1871" s="31"/>
      <c r="AA1871" s="31"/>
      <c r="AB1871" s="31"/>
      <c r="AC1871" s="31"/>
    </row>
    <row r="1872" spans="19:29" x14ac:dyDescent="0.25">
      <c r="S1872" s="31"/>
      <c r="X1872" s="31"/>
      <c r="Y1872" s="31"/>
      <c r="Z1872" s="31"/>
      <c r="AA1872" s="31"/>
      <c r="AB1872" s="31"/>
      <c r="AC1872" s="31"/>
    </row>
    <row r="1873" spans="19:29" x14ac:dyDescent="0.25">
      <c r="S1873" s="31"/>
      <c r="X1873" s="31"/>
      <c r="Y1873" s="31"/>
      <c r="Z1873" s="31"/>
      <c r="AA1873" s="31"/>
      <c r="AB1873" s="31"/>
      <c r="AC1873" s="31"/>
    </row>
    <row r="1874" spans="19:29" x14ac:dyDescent="0.25">
      <c r="S1874" s="31"/>
      <c r="X1874" s="31"/>
      <c r="Y1874" s="31"/>
      <c r="Z1874" s="31"/>
      <c r="AA1874" s="31"/>
      <c r="AB1874" s="31"/>
      <c r="AC1874" s="31"/>
    </row>
    <row r="1875" spans="19:29" x14ac:dyDescent="0.25">
      <c r="S1875" s="31"/>
      <c r="X1875" s="31"/>
      <c r="Y1875" s="31"/>
      <c r="Z1875" s="31"/>
      <c r="AA1875" s="31"/>
      <c r="AB1875" s="31"/>
      <c r="AC1875" s="31"/>
    </row>
    <row r="1876" spans="19:29" x14ac:dyDescent="0.25">
      <c r="S1876" s="31"/>
      <c r="X1876" s="31"/>
      <c r="Y1876" s="31"/>
      <c r="Z1876" s="31"/>
      <c r="AA1876" s="31"/>
      <c r="AB1876" s="31"/>
      <c r="AC1876" s="31"/>
    </row>
    <row r="1877" spans="19:29" x14ac:dyDescent="0.25">
      <c r="S1877" s="31"/>
      <c r="X1877" s="31"/>
      <c r="Y1877" s="31"/>
      <c r="Z1877" s="31"/>
      <c r="AA1877" s="31"/>
      <c r="AB1877" s="31"/>
      <c r="AC1877" s="31"/>
    </row>
    <row r="1878" spans="19:29" x14ac:dyDescent="0.25">
      <c r="S1878" s="31"/>
      <c r="X1878" s="31"/>
      <c r="Y1878" s="31"/>
      <c r="Z1878" s="31"/>
      <c r="AA1878" s="31"/>
      <c r="AB1878" s="31"/>
      <c r="AC1878" s="31"/>
    </row>
    <row r="1879" spans="19:29" x14ac:dyDescent="0.25">
      <c r="S1879" s="31"/>
      <c r="X1879" s="31"/>
      <c r="Y1879" s="31"/>
      <c r="Z1879" s="31"/>
      <c r="AA1879" s="31"/>
      <c r="AB1879" s="31"/>
      <c r="AC1879" s="31"/>
    </row>
    <row r="1880" spans="19:29" x14ac:dyDescent="0.25">
      <c r="S1880" s="31"/>
      <c r="X1880" s="31"/>
      <c r="Y1880" s="31"/>
      <c r="Z1880" s="31"/>
      <c r="AA1880" s="31"/>
      <c r="AB1880" s="31"/>
      <c r="AC1880" s="31"/>
    </row>
    <row r="1881" spans="19:29" x14ac:dyDescent="0.25">
      <c r="S1881" s="31"/>
      <c r="X1881" s="31"/>
      <c r="Y1881" s="31"/>
      <c r="Z1881" s="31"/>
      <c r="AA1881" s="31"/>
      <c r="AB1881" s="31"/>
      <c r="AC1881" s="31"/>
    </row>
    <row r="1882" spans="19:29" x14ac:dyDescent="0.25">
      <c r="S1882" s="31"/>
      <c r="X1882" s="31"/>
      <c r="Y1882" s="31"/>
      <c r="Z1882" s="31"/>
      <c r="AA1882" s="31"/>
      <c r="AB1882" s="31"/>
      <c r="AC1882" s="31"/>
    </row>
    <row r="1883" spans="19:29" x14ac:dyDescent="0.25">
      <c r="S1883" s="31"/>
      <c r="X1883" s="31"/>
      <c r="Y1883" s="31"/>
      <c r="Z1883" s="31"/>
      <c r="AA1883" s="31"/>
      <c r="AB1883" s="31"/>
      <c r="AC1883" s="31"/>
    </row>
    <row r="1884" spans="19:29" x14ac:dyDescent="0.25">
      <c r="S1884" s="31"/>
      <c r="X1884" s="31"/>
      <c r="Y1884" s="31"/>
      <c r="Z1884" s="31"/>
      <c r="AA1884" s="31"/>
      <c r="AB1884" s="31"/>
      <c r="AC1884" s="31"/>
    </row>
  </sheetData>
  <autoFilter ref="A1:BN1280">
    <sortState ref="A2:BN1271">
      <sortCondition sortBy="cellColor" ref="P1:P1271" dxfId="0"/>
    </sortState>
  </autoFilter>
  <sortState ref="A2:BN1319">
    <sortCondition ref="A2:A1319"/>
    <sortCondition ref="D2:D1319"/>
    <sortCondition ref="E2:E1319"/>
    <sortCondition descending="1" ref="F2:F1319"/>
    <sortCondition ref="J2:J1319"/>
  </sortState>
  <printOptions gridLines="1"/>
  <pageMargins left="0.74803149606299213" right="0.74803149606299213" top="0.98425196850393704" bottom="0.98425196850393704" header="0.51181102362204722" footer="0.51181102362204722"/>
  <pageSetup paperSize="9" scale="21" orientation="landscape" r:id="rId1"/>
  <headerFooter alignWithMargins="0"/>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tabColor rgb="FFC00000"/>
    <pageSetUpPr fitToPage="1"/>
  </sheetPr>
  <dimension ref="A1:S8"/>
  <sheetViews>
    <sheetView workbookViewId="0">
      <selection activeCell="P1" sqref="P1"/>
    </sheetView>
  </sheetViews>
  <sheetFormatPr defaultColWidth="8.85546875" defaultRowHeight="15" x14ac:dyDescent="0.25"/>
  <cols>
    <col min="1" max="1" width="22.42578125" bestFit="1" customWidth="1"/>
    <col min="2" max="2" width="22.42578125" customWidth="1"/>
  </cols>
  <sheetData>
    <row r="1" spans="1:19" ht="15.75" thickTop="1" x14ac:dyDescent="0.25">
      <c r="A1" s="55" t="s">
        <v>380</v>
      </c>
      <c r="B1" s="102"/>
      <c r="C1" s="56" t="s">
        <v>381</v>
      </c>
      <c r="D1" s="57" t="s">
        <v>72</v>
      </c>
      <c r="E1" s="56" t="s">
        <v>382</v>
      </c>
      <c r="F1" s="56" t="s">
        <v>386</v>
      </c>
      <c r="G1" s="56" t="s">
        <v>383</v>
      </c>
      <c r="H1" s="56" t="s">
        <v>384</v>
      </c>
      <c r="I1" s="57" t="s">
        <v>73</v>
      </c>
      <c r="J1" s="56" t="s">
        <v>385</v>
      </c>
      <c r="K1" s="101" t="s">
        <v>783</v>
      </c>
      <c r="L1" s="101" t="s">
        <v>342</v>
      </c>
      <c r="M1" s="58" t="s">
        <v>387</v>
      </c>
      <c r="N1" s="58" t="s">
        <v>443</v>
      </c>
      <c r="P1" s="51"/>
      <c r="Q1" s="51"/>
      <c r="R1" s="51"/>
      <c r="S1" s="51"/>
    </row>
    <row r="2" spans="1:19" x14ac:dyDescent="0.25">
      <c r="A2" s="247" t="s">
        <v>61</v>
      </c>
      <c r="B2" s="248"/>
      <c r="C2" s="340">
        <v>47957</v>
      </c>
      <c r="D2" s="340">
        <v>18405</v>
      </c>
      <c r="E2" s="340">
        <v>45034</v>
      </c>
      <c r="F2" s="340">
        <v>23641</v>
      </c>
      <c r="G2" s="340">
        <v>30802</v>
      </c>
      <c r="H2" s="340">
        <v>19473</v>
      </c>
      <c r="I2" s="340">
        <v>18405</v>
      </c>
      <c r="J2" s="340">
        <v>19473</v>
      </c>
      <c r="K2" s="341">
        <v>21634</v>
      </c>
      <c r="L2" s="341">
        <v>18505</v>
      </c>
      <c r="M2" s="342">
        <v>15846</v>
      </c>
      <c r="N2" s="342">
        <v>38079</v>
      </c>
      <c r="P2" s="15"/>
      <c r="Q2" s="15"/>
      <c r="R2" s="52"/>
      <c r="S2" s="52"/>
    </row>
    <row r="3" spans="1:19" x14ac:dyDescent="0.25">
      <c r="A3" s="247" t="s">
        <v>62</v>
      </c>
      <c r="B3" s="248"/>
      <c r="C3" s="340">
        <v>57006</v>
      </c>
      <c r="D3" s="340">
        <v>15773</v>
      </c>
      <c r="E3" s="340">
        <v>31547</v>
      </c>
      <c r="F3" s="340">
        <v>28786</v>
      </c>
      <c r="G3" s="340">
        <v>63797</v>
      </c>
      <c r="H3" s="340">
        <v>34806</v>
      </c>
      <c r="I3" s="340">
        <v>15773</v>
      </c>
      <c r="J3" s="340">
        <v>34806</v>
      </c>
      <c r="K3" s="340">
        <v>26986</v>
      </c>
      <c r="L3" s="340">
        <v>15773</v>
      </c>
      <c r="M3" s="342">
        <v>26926</v>
      </c>
      <c r="N3" s="342">
        <v>38004</v>
      </c>
    </row>
    <row r="4" spans="1:19" s="1" customFormat="1" ht="15.75" x14ac:dyDescent="0.25">
      <c r="A4" s="249" t="s">
        <v>1692</v>
      </c>
      <c r="B4" s="250"/>
      <c r="C4" s="251">
        <f t="shared" ref="C4:N4" si="0">SUM(C2:C3)</f>
        <v>104963</v>
      </c>
      <c r="D4" s="251">
        <f t="shared" si="0"/>
        <v>34178</v>
      </c>
      <c r="E4" s="251">
        <f t="shared" si="0"/>
        <v>76581</v>
      </c>
      <c r="F4" s="251">
        <f t="shared" si="0"/>
        <v>52427</v>
      </c>
      <c r="G4" s="251">
        <f t="shared" si="0"/>
        <v>94599</v>
      </c>
      <c r="H4" s="251">
        <f t="shared" si="0"/>
        <v>54279</v>
      </c>
      <c r="I4" s="251">
        <f t="shared" si="0"/>
        <v>34178</v>
      </c>
      <c r="J4" s="251">
        <f t="shared" si="0"/>
        <v>54279</v>
      </c>
      <c r="K4" s="251">
        <f t="shared" si="0"/>
        <v>48620</v>
      </c>
      <c r="L4" s="251">
        <f t="shared" si="0"/>
        <v>34278</v>
      </c>
      <c r="M4" s="252">
        <f t="shared" si="0"/>
        <v>42772</v>
      </c>
      <c r="N4" s="252">
        <f t="shared" si="0"/>
        <v>76083</v>
      </c>
      <c r="R4" s="1" t="s">
        <v>457</v>
      </c>
    </row>
    <row r="5" spans="1:19" x14ac:dyDescent="0.25">
      <c r="A5" s="253" t="s">
        <v>390</v>
      </c>
      <c r="B5" s="254"/>
      <c r="C5" s="343">
        <v>69000</v>
      </c>
      <c r="D5" s="343">
        <v>5800</v>
      </c>
      <c r="E5" s="343">
        <v>34500</v>
      </c>
      <c r="F5" s="343">
        <v>5800</v>
      </c>
      <c r="G5" s="343">
        <v>70100</v>
      </c>
      <c r="H5" s="343">
        <v>21800</v>
      </c>
      <c r="I5" s="343">
        <v>5800</v>
      </c>
      <c r="J5" s="343">
        <v>21800</v>
      </c>
      <c r="K5" s="344">
        <v>3400</v>
      </c>
      <c r="L5" s="344">
        <v>5700</v>
      </c>
      <c r="M5" s="345">
        <v>17300</v>
      </c>
      <c r="N5" s="345">
        <v>5800</v>
      </c>
      <c r="R5" s="19">
        <v>7.0000000000000007E-2</v>
      </c>
    </row>
    <row r="6" spans="1:19" ht="16.5" thickBot="1" x14ac:dyDescent="0.3">
      <c r="A6" s="53" t="s">
        <v>1692</v>
      </c>
      <c r="B6" s="103"/>
      <c r="C6" s="54">
        <f>SUM(C4:C5)</f>
        <v>173963</v>
      </c>
      <c r="D6" s="54">
        <f t="shared" ref="D6:N6" si="1">SUM(D4:D5)</f>
        <v>39978</v>
      </c>
      <c r="E6" s="54">
        <f t="shared" si="1"/>
        <v>111081</v>
      </c>
      <c r="F6" s="54">
        <f t="shared" si="1"/>
        <v>58227</v>
      </c>
      <c r="G6" s="54">
        <f t="shared" si="1"/>
        <v>164699</v>
      </c>
      <c r="H6" s="54">
        <f t="shared" si="1"/>
        <v>76079</v>
      </c>
      <c r="I6" s="54">
        <f t="shared" si="1"/>
        <v>39978</v>
      </c>
      <c r="J6" s="54">
        <f t="shared" si="1"/>
        <v>76079</v>
      </c>
      <c r="K6" s="54">
        <f t="shared" si="1"/>
        <v>52020</v>
      </c>
      <c r="L6" s="54">
        <f t="shared" si="1"/>
        <v>39978</v>
      </c>
      <c r="M6" s="54">
        <f t="shared" si="1"/>
        <v>60072</v>
      </c>
      <c r="N6" s="54">
        <f t="shared" si="1"/>
        <v>81883</v>
      </c>
    </row>
    <row r="7" spans="1:19" ht="15.75" thickTop="1" x14ac:dyDescent="0.25">
      <c r="A7" s="48"/>
      <c r="B7" s="48"/>
      <c r="C7" s="50"/>
      <c r="D7" s="49"/>
      <c r="E7" s="49"/>
      <c r="F7" s="47"/>
    </row>
    <row r="8" spans="1:19" x14ac:dyDescent="0.25">
      <c r="A8" s="48"/>
      <c r="B8" s="48"/>
      <c r="C8" s="65"/>
      <c r="D8" s="65"/>
      <c r="E8" s="65"/>
      <c r="F8" s="47"/>
      <c r="G8" s="66"/>
      <c r="H8" s="66"/>
      <c r="I8" s="66"/>
      <c r="J8" s="66"/>
      <c r="K8" s="66"/>
      <c r="L8" s="66"/>
      <c r="M8" s="66"/>
      <c r="N8" s="66"/>
    </row>
  </sheetData>
  <sheetProtection sheet="1" objects="1" scenarios="1"/>
  <sortState ref="A22:E30">
    <sortCondition ref="A22:A30"/>
  </sortState>
  <phoneticPr fontId="14" type="noConversion"/>
  <pageMargins left="0.74803149606299213" right="0.74803149606299213" top="0.98425196850393704" bottom="0.98425196850393704" header="0.51181102362204722" footer="0.51181102362204722"/>
  <pageSetup paperSize="9" scale="68" orientation="landscape" r:id="rId1"/>
  <headerFooter alignWithMargins="0">
    <oddHeader>&amp;R&amp;F</oddHead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7">
    <tabColor rgb="FFC00000"/>
    <pageSetUpPr fitToPage="1"/>
  </sheetPr>
  <dimension ref="A1:XER877"/>
  <sheetViews>
    <sheetView workbookViewId="0">
      <pane ySplit="1" topLeftCell="A2" activePane="bottomLeft" state="frozen"/>
      <selection activeCell="A6" sqref="A6"/>
      <selection pane="bottomLeft" activeCell="S3" sqref="S3"/>
    </sheetView>
  </sheetViews>
  <sheetFormatPr defaultColWidth="8.85546875" defaultRowHeight="15" x14ac:dyDescent="0.25"/>
  <cols>
    <col min="1" max="1" width="14.140625" style="31" bestFit="1" customWidth="1"/>
    <col min="2" max="2" width="50" style="31" customWidth="1"/>
    <col min="3" max="3" width="5" style="31" bestFit="1" customWidth="1"/>
    <col min="4" max="4" width="7" style="31" bestFit="1" customWidth="1"/>
    <col min="5" max="5" width="6" style="31" customWidth="1"/>
    <col min="6" max="6" width="7" style="31" bestFit="1" customWidth="1"/>
    <col min="7" max="7" width="6.140625" style="31" customWidth="1"/>
    <col min="8" max="9" width="6" style="31" bestFit="1" customWidth="1"/>
    <col min="10" max="11" width="6.140625" style="31" customWidth="1"/>
    <col min="12" max="12" width="5.42578125" style="31" bestFit="1" customWidth="1"/>
    <col min="13" max="13" width="6" style="31" customWidth="1"/>
    <col min="14" max="14" width="5" style="31" bestFit="1" customWidth="1"/>
    <col min="15" max="15" width="15.140625" style="31" bestFit="1" customWidth="1"/>
    <col min="16" max="16" width="14.85546875" style="31" bestFit="1" customWidth="1"/>
    <col min="17" max="17" width="12.140625" style="31" customWidth="1"/>
    <col min="18" max="18" width="11.42578125" style="31" customWidth="1"/>
    <col min="19" max="19" width="41" style="31" customWidth="1"/>
    <col min="20" max="20" width="28.42578125" style="31" customWidth="1"/>
    <col min="21" max="21" width="13.42578125" style="31" customWidth="1"/>
    <col min="22" max="25" width="11.42578125" style="31" bestFit="1" customWidth="1"/>
    <col min="26" max="26" width="17.5703125" style="31" bestFit="1" customWidth="1"/>
    <col min="27" max="16384" width="8.85546875" style="31"/>
  </cols>
  <sheetData>
    <row r="1" spans="1:26" s="32" customFormat="1" ht="14.25" x14ac:dyDescent="0.2">
      <c r="A1" s="32" t="s">
        <v>59</v>
      </c>
      <c r="B1" s="32" t="s">
        <v>158</v>
      </c>
      <c r="C1" s="32" t="s">
        <v>130</v>
      </c>
      <c r="D1" s="32" t="s">
        <v>131</v>
      </c>
      <c r="E1" s="32" t="s">
        <v>132</v>
      </c>
      <c r="F1" s="32" t="s">
        <v>133</v>
      </c>
      <c r="G1" s="32" t="s">
        <v>134</v>
      </c>
      <c r="H1" s="32" t="s">
        <v>135</v>
      </c>
      <c r="I1" s="32" t="s">
        <v>136</v>
      </c>
      <c r="J1" s="32" t="s">
        <v>126</v>
      </c>
      <c r="K1" s="32" t="s">
        <v>783</v>
      </c>
      <c r="L1" s="32" t="s">
        <v>342</v>
      </c>
      <c r="M1" s="32" t="s">
        <v>137</v>
      </c>
      <c r="N1" s="32" t="s">
        <v>322</v>
      </c>
      <c r="O1" s="32" t="s">
        <v>388</v>
      </c>
      <c r="P1" s="32" t="s">
        <v>389</v>
      </c>
      <c r="Q1" s="32" t="s">
        <v>390</v>
      </c>
      <c r="R1" s="32" t="s">
        <v>1388</v>
      </c>
      <c r="S1" s="207" t="s">
        <v>1004</v>
      </c>
      <c r="T1" s="207" t="s">
        <v>1005</v>
      </c>
      <c r="U1" s="207"/>
      <c r="V1" s="207"/>
      <c r="W1" s="207"/>
      <c r="X1" s="207"/>
      <c r="Y1" s="207"/>
      <c r="Z1" s="207"/>
    </row>
    <row r="2" spans="1:26" x14ac:dyDescent="0.25">
      <c r="A2" s="31" t="s">
        <v>1394</v>
      </c>
      <c r="B2" s="31" t="s">
        <v>1395</v>
      </c>
      <c r="D2" s="31">
        <v>1</v>
      </c>
      <c r="O2" s="42">
        <f>C2*Prislapp!$C$2+D2*Prislapp!$D$2+E2*Prislapp!$E$2+F2*Prislapp!$F$2+G2*Prislapp!$G$2+H2*Prislapp!$H$2+I2*Prislapp!$I$2+J2*Prislapp!$J$2+K2*Prislapp!$K$2+L2*Prislapp!$L$2+M2*Prislapp!$M$2+N2*Prislapp!$N$2</f>
        <v>18405</v>
      </c>
      <c r="P2" s="42">
        <f>C2*Prislapp!$C$3+D2*Prislapp!$D$3+E2*Prislapp!$E$3+F2*Prislapp!$F$3+G2*Prislapp!$G$3+H2*Prislapp!$H$3+I2*Prislapp!$I$3+J2*Prislapp!$J$3+K2*Prislapp!$K$3+M2*Prislapp!$M$3+N2*Prislapp!$N$3</f>
        <v>15773</v>
      </c>
      <c r="Q2" s="42">
        <f>C2*Prislapp!$C$5+D2*Prislapp!$D$5+E2*Prislapp!$E$5+F2*Prislapp!$F$5+G2*Prislapp!$G$5+H2*Prislapp!$H$5+I2*Prislapp!$I$5+J2*Prislapp!$J$5+K2*Prislapp!$K$5+L2*Prislapp!$L$5+M2*Prislapp!$M$5+N2*Prislapp!$N$5</f>
        <v>5800</v>
      </c>
      <c r="R2" s="9">
        <f>VLOOKUP(A2,'Ansvar kurs'!$A$2:$B$830,2,FALSE)</f>
        <v>1620</v>
      </c>
      <c r="S2" s="159"/>
      <c r="T2" s="159"/>
      <c r="U2" s="159"/>
      <c r="V2" s="159"/>
      <c r="W2" s="159"/>
      <c r="X2" s="159"/>
      <c r="Y2" s="159"/>
      <c r="Z2" s="159"/>
    </row>
    <row r="3" spans="1:26" x14ac:dyDescent="0.25">
      <c r="A3" s="31" t="s">
        <v>1396</v>
      </c>
      <c r="B3" s="31" t="s">
        <v>1397</v>
      </c>
      <c r="D3" s="31">
        <v>1</v>
      </c>
      <c r="O3" s="42">
        <f>C3*Prislapp!$C$2+D3*Prislapp!$D$2+E3*Prislapp!$E$2+F3*Prislapp!$F$2+G3*Prislapp!$G$2+H3*Prislapp!$H$2+I3*Prislapp!$I$2+J3*Prislapp!$J$2+K3*Prislapp!$K$2+L3*Prislapp!$L$2+M3*Prislapp!$M$2+N3*Prislapp!$N$2</f>
        <v>18405</v>
      </c>
      <c r="P3" s="42">
        <f>C3*Prislapp!$C$3+D3*Prislapp!$D$3+E3*Prislapp!$E$3+F3*Prislapp!$F$3+G3*Prislapp!$G$3+H3*Prislapp!$H$3+I3*Prislapp!$I$3+J3*Prislapp!$J$3+K3*Prislapp!$K$3+M3*Prislapp!$M$3+N3*Prislapp!$N$3</f>
        <v>15773</v>
      </c>
      <c r="Q3" s="42">
        <f>C3*Prislapp!$C$5+D3*Prislapp!$D$5+E3*Prislapp!$E$5+F3*Prislapp!$F$5+G3*Prislapp!$G$5+H3*Prislapp!$H$5+I3*Prislapp!$I$5+J3*Prislapp!$J$5+K3*Prislapp!$K$5+L3*Prislapp!$L$5+M3*Prislapp!$M$5+N3*Prislapp!$N$5</f>
        <v>5800</v>
      </c>
      <c r="R3" s="9">
        <f>VLOOKUP(A3,'Ansvar kurs'!$A$2:$B$830,2,FALSE)</f>
        <v>1620</v>
      </c>
      <c r="S3" s="159"/>
      <c r="T3" s="159"/>
      <c r="U3" s="159"/>
      <c r="V3" s="159"/>
      <c r="W3" s="159"/>
      <c r="X3" s="159"/>
      <c r="Y3" s="159"/>
      <c r="Z3" s="159"/>
    </row>
    <row r="4" spans="1:26" x14ac:dyDescent="0.25">
      <c r="A4" s="31" t="s">
        <v>1398</v>
      </c>
      <c r="B4" s="31" t="s">
        <v>1399</v>
      </c>
      <c r="D4" s="31">
        <v>1</v>
      </c>
      <c r="O4" s="42">
        <f>C4*Prislapp!$C$2+D4*Prislapp!$D$2+E4*Prislapp!$E$2+F4*Prislapp!$F$2+G4*Prislapp!$G$2+H4*Prislapp!$H$2+I4*Prislapp!$I$2+J4*Prislapp!$J$2+K4*Prislapp!$K$2+L4*Prislapp!$L$2+M4*Prislapp!$M$2+N4*Prislapp!$N$2</f>
        <v>18405</v>
      </c>
      <c r="P4" s="42">
        <f>C4*Prislapp!$C$3+D4*Prislapp!$D$3+E4*Prislapp!$E$3+F4*Prislapp!$F$3+G4*Prislapp!$G$3+H4*Prislapp!$H$3+I4*Prislapp!$I$3+J4*Prislapp!$J$3+K4*Prislapp!$K$3+M4*Prislapp!$M$3+N4*Prislapp!$N$3</f>
        <v>15773</v>
      </c>
      <c r="Q4" s="42">
        <f>C4*Prislapp!$C$5+D4*Prislapp!$D$5+E4*Prislapp!$E$5+F4*Prislapp!$F$5+G4*Prislapp!$G$5+H4*Prislapp!$H$5+I4*Prislapp!$I$5+J4*Prislapp!$J$5+K4*Prislapp!$K$5+L4*Prislapp!$L$5+M4*Prislapp!$M$5+N4*Prislapp!$N$5</f>
        <v>5800</v>
      </c>
      <c r="R4" s="9">
        <f>VLOOKUP(A4,'Ansvar kurs'!$A$2:$B$830,2,FALSE)</f>
        <v>1620</v>
      </c>
      <c r="S4" s="159"/>
      <c r="T4" s="159"/>
      <c r="U4" s="159"/>
      <c r="V4" s="159"/>
      <c r="W4" s="159"/>
      <c r="X4" s="159"/>
      <c r="Y4" s="159"/>
      <c r="Z4" s="159"/>
    </row>
    <row r="5" spans="1:26" x14ac:dyDescent="0.25">
      <c r="A5" s="31" t="s">
        <v>1505</v>
      </c>
      <c r="B5" s="31" t="s">
        <v>1516</v>
      </c>
      <c r="D5" s="31">
        <v>1</v>
      </c>
      <c r="O5" s="42">
        <f>C5*Prislapp!$C$2+D5*Prislapp!$D$2+E5*Prislapp!$E$2+F5*Prislapp!$F$2+G5*Prislapp!$G$2+H5*Prislapp!$H$2+I5*Prislapp!$I$2+J5*Prislapp!$J$2+K5*Prislapp!$K$2+L5*Prislapp!$L$2+M5*Prislapp!$M$2+N5*Prislapp!$N$2</f>
        <v>18405</v>
      </c>
      <c r="P5" s="42">
        <f>C5*Prislapp!$C$3+D5*Prislapp!$D$3+E5*Prislapp!$E$3+F5*Prislapp!$F$3+G5*Prislapp!$G$3+H5*Prislapp!$H$3+I5*Prislapp!$I$3+J5*Prislapp!$J$3+K5*Prislapp!$K$3+M5*Prislapp!$M$3+N5*Prislapp!$N$3</f>
        <v>15773</v>
      </c>
      <c r="Q5" s="42">
        <f>C5*Prislapp!$C$5+D5*Prislapp!$D$5+E5*Prislapp!$E$5+F5*Prislapp!$F$5+G5*Prislapp!$G$5+H5*Prislapp!$H$5+I5*Prislapp!$I$5+J5*Prislapp!$J$5+K5*Prislapp!$K$5+L5*Prislapp!$L$5+M5*Prislapp!$M$5+N5*Prislapp!$N$5</f>
        <v>5800</v>
      </c>
      <c r="R5" s="9">
        <f>VLOOKUP(A5,'Ansvar kurs'!$A$2:$B$830,2,FALSE)</f>
        <v>1620</v>
      </c>
      <c r="S5" s="159"/>
      <c r="T5" s="159"/>
      <c r="U5" s="159"/>
      <c r="V5" s="159"/>
      <c r="W5" s="159"/>
      <c r="X5" s="159"/>
      <c r="Y5" s="159"/>
      <c r="Z5" s="159"/>
    </row>
    <row r="6" spans="1:26" x14ac:dyDescent="0.25">
      <c r="A6" s="31" t="s">
        <v>1506</v>
      </c>
      <c r="B6" s="31" t="s">
        <v>1517</v>
      </c>
      <c r="D6" s="31">
        <v>1</v>
      </c>
      <c r="O6" s="42">
        <f>C6*Prislapp!$C$2+D6*Prislapp!$D$2+E6*Prislapp!$E$2+F6*Prislapp!$F$2+G6*Prislapp!$G$2+H6*Prislapp!$H$2+I6*Prislapp!$I$2+J6*Prislapp!$J$2+K6*Prislapp!$K$2+L6*Prislapp!$L$2+M6*Prislapp!$M$2+N6*Prislapp!$N$2</f>
        <v>18405</v>
      </c>
      <c r="P6" s="42">
        <f>C6*Prislapp!$C$3+D6*Prislapp!$D$3+E6*Prislapp!$E$3+F6*Prislapp!$F$3+G6*Prislapp!$G$3+H6*Prislapp!$H$3+I6*Prislapp!$I$3+J6*Prislapp!$J$3+K6*Prislapp!$K$3+M6*Prislapp!$M$3+N6*Prislapp!$N$3</f>
        <v>15773</v>
      </c>
      <c r="Q6" s="42">
        <f>C6*Prislapp!$C$5+D6*Prislapp!$D$5+E6*Prislapp!$E$5+F6*Prislapp!$F$5+G6*Prislapp!$G$5+H6*Prislapp!$H$5+I6*Prislapp!$I$5+J6*Prislapp!$J$5+K6*Prislapp!$K$5+L6*Prislapp!$L$5+M6*Prislapp!$M$5+N6*Prislapp!$N$5</f>
        <v>5800</v>
      </c>
      <c r="R6" s="9">
        <f>VLOOKUP(A6,'Ansvar kurs'!$A$2:$B$830,2,FALSE)</f>
        <v>1620</v>
      </c>
      <c r="S6" s="159"/>
      <c r="T6" s="159"/>
      <c r="U6" s="159"/>
      <c r="V6" s="159"/>
      <c r="W6" s="159"/>
      <c r="X6" s="159"/>
      <c r="Y6" s="159"/>
      <c r="Z6" s="159"/>
    </row>
    <row r="7" spans="1:26" x14ac:dyDescent="0.25">
      <c r="A7" s="31" t="s">
        <v>1507</v>
      </c>
      <c r="B7" s="31" t="s">
        <v>359</v>
      </c>
      <c r="D7" s="31">
        <v>1</v>
      </c>
      <c r="O7" s="42">
        <f>C7*Prislapp!$C$2+D7*Prislapp!$D$2+E7*Prislapp!$E$2+F7*Prislapp!$F$2+G7*Prislapp!$G$2+H7*Prislapp!$H$2+I7*Prislapp!$I$2+J7*Prislapp!$J$2+K7*Prislapp!$K$2+L7*Prislapp!$L$2+M7*Prislapp!$M$2+N7*Prislapp!$N$2</f>
        <v>18405</v>
      </c>
      <c r="P7" s="42">
        <f>C7*Prislapp!$C$3+D7*Prislapp!$D$3+E7*Prislapp!$E$3+F7*Prislapp!$F$3+G7*Prislapp!$G$3+H7*Prislapp!$H$3+I7*Prislapp!$I$3+J7*Prislapp!$J$3+K7*Prislapp!$K$3+M7*Prislapp!$M$3+N7*Prislapp!$N$3</f>
        <v>15773</v>
      </c>
      <c r="Q7" s="42">
        <f>C7*Prislapp!$C$5+D7*Prislapp!$D$5+E7*Prislapp!$E$5+F7*Prislapp!$F$5+G7*Prislapp!$G$5+H7*Prislapp!$H$5+I7*Prislapp!$I$5+J7*Prislapp!$J$5+K7*Prislapp!$K$5+L7*Prislapp!$L$5+M7*Prislapp!$M$5+N7*Prislapp!$N$5</f>
        <v>5800</v>
      </c>
      <c r="R7" s="9">
        <f>VLOOKUP(A7,'Ansvar kurs'!$A$2:$B$830,2,FALSE)</f>
        <v>1630</v>
      </c>
      <c r="S7" s="159"/>
      <c r="T7" s="159"/>
      <c r="U7" s="159"/>
      <c r="V7" s="159"/>
      <c r="W7" s="159"/>
      <c r="X7" s="159"/>
      <c r="Y7" s="159"/>
      <c r="Z7" s="159"/>
    </row>
    <row r="8" spans="1:26" x14ac:dyDescent="0.25">
      <c r="A8" s="31" t="s">
        <v>1508</v>
      </c>
      <c r="B8" s="31" t="s">
        <v>1518</v>
      </c>
      <c r="D8" s="31">
        <v>1</v>
      </c>
      <c r="O8" s="42">
        <f>C8*Prislapp!$C$2+D8*Prislapp!$D$2+E8*Prislapp!$E$2+F8*Prislapp!$F$2+G8*Prislapp!$G$2+H8*Prislapp!$H$2+I8*Prislapp!$I$2+J8*Prislapp!$J$2+K8*Prislapp!$K$2+L8*Prislapp!$L$2+M8*Prislapp!$M$2+N8*Prislapp!$N$2</f>
        <v>18405</v>
      </c>
      <c r="P8" s="42">
        <f>C8*Prislapp!$C$3+D8*Prislapp!$D$3+E8*Prislapp!$E$3+F8*Prislapp!$F$3+G8*Prislapp!$G$3+H8*Prislapp!$H$3+I8*Prislapp!$I$3+J8*Prislapp!$J$3+K8*Prislapp!$K$3+M8*Prislapp!$M$3+N8*Prislapp!$N$3</f>
        <v>15773</v>
      </c>
      <c r="Q8" s="42">
        <f>C8*Prislapp!$C$5+D8*Prislapp!$D$5+E8*Prislapp!$E$5+F8*Prislapp!$F$5+G8*Prislapp!$G$5+H8*Prislapp!$H$5+I8*Prislapp!$I$5+J8*Prislapp!$J$5+K8*Prislapp!$K$5+L8*Prislapp!$L$5+M8*Prislapp!$M$5+N8*Prislapp!$N$5</f>
        <v>5800</v>
      </c>
      <c r="R8" s="9">
        <f>VLOOKUP(A8,'Ansvar kurs'!$A$2:$B$830,2,FALSE)</f>
        <v>1640</v>
      </c>
      <c r="S8" s="159"/>
      <c r="T8" s="159"/>
      <c r="U8" s="159"/>
      <c r="V8" s="159"/>
      <c r="W8" s="159"/>
      <c r="X8" s="159"/>
      <c r="Y8" s="159"/>
      <c r="Z8" s="159"/>
    </row>
    <row r="9" spans="1:26" x14ac:dyDescent="0.25">
      <c r="A9" s="31" t="s">
        <v>1509</v>
      </c>
      <c r="B9" s="31" t="s">
        <v>1519</v>
      </c>
      <c r="D9" s="31">
        <v>1</v>
      </c>
      <c r="O9" s="42">
        <f>C9*Prislapp!$C$2+D9*Prislapp!$D$2+E9*Prislapp!$E$2+F9*Prislapp!$F$2+G9*Prislapp!$G$2+H9*Prislapp!$H$2+I9*Prislapp!$I$2+J9*Prislapp!$J$2+K9*Prislapp!$K$2+L9*Prislapp!$L$2+M9*Prislapp!$M$2+N9*Prislapp!$N$2</f>
        <v>18405</v>
      </c>
      <c r="P9" s="42">
        <f>C9*Prislapp!$C$3+D9*Prislapp!$D$3+E9*Prislapp!$E$3+F9*Prislapp!$F$3+G9*Prislapp!$G$3+H9*Prislapp!$H$3+I9*Prislapp!$I$3+J9*Prislapp!$J$3+K9*Prislapp!$K$3+M9*Prislapp!$M$3+N9*Prislapp!$N$3</f>
        <v>15773</v>
      </c>
      <c r="Q9" s="42">
        <f>C9*Prislapp!$C$5+D9*Prislapp!$D$5+E9*Prislapp!$E$5+F9*Prislapp!$F$5+G9*Prislapp!$G$5+H9*Prislapp!$H$5+I9*Prislapp!$I$5+J9*Prislapp!$J$5+K9*Prislapp!$K$5+L9*Prislapp!$L$5+M9*Prislapp!$M$5+N9*Prislapp!$N$5</f>
        <v>5800</v>
      </c>
      <c r="R9" s="9">
        <f>VLOOKUP(A9,'Ansvar kurs'!$A$2:$B$830,2,FALSE)</f>
        <v>1620</v>
      </c>
      <c r="S9" s="159"/>
      <c r="T9" s="159"/>
      <c r="U9" s="159"/>
      <c r="V9" s="159"/>
      <c r="W9" s="159"/>
      <c r="X9" s="159"/>
      <c r="Y9" s="159"/>
      <c r="Z9" s="159"/>
    </row>
    <row r="10" spans="1:26" x14ac:dyDescent="0.25">
      <c r="A10" s="31" t="s">
        <v>1510</v>
      </c>
      <c r="B10" s="31" t="s">
        <v>1520</v>
      </c>
      <c r="D10" s="31">
        <v>1</v>
      </c>
      <c r="O10" s="42">
        <f>C10*Prislapp!$C$2+D10*Prislapp!$D$2+E10*Prislapp!$E$2+F10*Prislapp!$F$2+G10*Prislapp!$G$2+H10*Prislapp!$H$2+I10*Prislapp!$I$2+J10*Prislapp!$J$2+K10*Prislapp!$K$2+L10*Prislapp!$L$2+M10*Prislapp!$M$2+N10*Prislapp!$N$2</f>
        <v>18405</v>
      </c>
      <c r="P10" s="42">
        <f>C10*Prislapp!$C$3+D10*Prislapp!$D$3+E10*Prislapp!$E$3+F10*Prislapp!$F$3+G10*Prislapp!$G$3+H10*Prislapp!$H$3+I10*Prislapp!$I$3+J10*Prislapp!$J$3+K10*Prislapp!$K$3+M10*Prislapp!$M$3+N10*Prislapp!$N$3</f>
        <v>15773</v>
      </c>
      <c r="Q10" s="42">
        <f>C10*Prislapp!$C$5+D10*Prislapp!$D$5+E10*Prislapp!$E$5+F10*Prislapp!$F$5+G10*Prislapp!$G$5+H10*Prislapp!$H$5+I10*Prislapp!$I$5+J10*Prislapp!$J$5+K10*Prislapp!$K$5+L10*Prislapp!$L$5+M10*Prislapp!$M$5+N10*Prislapp!$N$5</f>
        <v>5800</v>
      </c>
      <c r="R10" s="9">
        <f>VLOOKUP(A10,'Ansvar kurs'!$A$2:$B$830,2,FALSE)</f>
        <v>1620</v>
      </c>
      <c r="S10" s="159"/>
      <c r="T10" s="159"/>
      <c r="U10" s="159"/>
      <c r="V10" s="159"/>
      <c r="W10" s="159"/>
      <c r="X10" s="159"/>
      <c r="Y10" s="159"/>
      <c r="Z10" s="159"/>
    </row>
    <row r="11" spans="1:26" x14ac:dyDescent="0.25">
      <c r="A11" s="31" t="s">
        <v>1400</v>
      </c>
      <c r="B11" s="31" t="s">
        <v>1401</v>
      </c>
      <c r="D11" s="31">
        <v>1</v>
      </c>
      <c r="O11" s="42">
        <f>C11*Prislapp!$C$2+D11*Prislapp!$D$2+E11*Prislapp!$E$2+F11*Prislapp!$F$2+G11*Prislapp!$G$2+H11*Prislapp!$H$2+I11*Prislapp!$I$2+J11*Prislapp!$J$2+K11*Prislapp!$K$2+L11*Prislapp!$L$2+M11*Prislapp!$M$2+N11*Prislapp!$N$2</f>
        <v>18405</v>
      </c>
      <c r="P11" s="42">
        <f>C11*Prislapp!$C$3+D11*Prislapp!$D$3+E11*Prislapp!$E$3+F11*Prislapp!$F$3+G11*Prislapp!$G$3+H11*Prislapp!$H$3+I11*Prislapp!$I$3+J11*Prislapp!$J$3+K11*Prislapp!$K$3+M11*Prislapp!$M$3+N11*Prislapp!$N$3</f>
        <v>15773</v>
      </c>
      <c r="Q11" s="42">
        <f>C11*Prislapp!$C$5+D11*Prislapp!$D$5+E11*Prislapp!$E$5+F11*Prislapp!$F$5+G11*Prislapp!$G$5+H11*Prislapp!$H$5+I11*Prislapp!$I$5+J11*Prislapp!$J$5+K11*Prislapp!$K$5+L11*Prislapp!$L$5+M11*Prislapp!$M$5+N11*Prislapp!$N$5</f>
        <v>5800</v>
      </c>
      <c r="R11" s="9">
        <f>VLOOKUP(A11,'Ansvar kurs'!$A$2:$B$830,2,FALSE)</f>
        <v>1620</v>
      </c>
      <c r="S11" s="159"/>
      <c r="T11" s="159"/>
      <c r="U11" s="159"/>
      <c r="V11" s="159"/>
      <c r="W11" s="159"/>
      <c r="X11" s="159"/>
      <c r="Y11" s="159"/>
      <c r="Z11" s="159"/>
    </row>
    <row r="12" spans="1:26" x14ac:dyDescent="0.25">
      <c r="A12" s="31" t="s">
        <v>1511</v>
      </c>
      <c r="B12" s="31" t="s">
        <v>1521</v>
      </c>
      <c r="D12" s="31">
        <v>1</v>
      </c>
      <c r="O12" s="42">
        <f>C12*Prislapp!$C$2+D12*Prislapp!$D$2+E12*Prislapp!$E$2+F12*Prislapp!$F$2+G12*Prislapp!$G$2+H12*Prislapp!$H$2+I12*Prislapp!$I$2+J12*Prislapp!$J$2+K12*Prislapp!$K$2+L12*Prislapp!$L$2+M12*Prislapp!$M$2+N12*Prislapp!$N$2</f>
        <v>18405</v>
      </c>
      <c r="P12" s="42">
        <f>C12*Prislapp!$C$3+D12*Prislapp!$D$3+E12*Prislapp!$E$3+F12*Prislapp!$F$3+G12*Prislapp!$G$3+H12*Prislapp!$H$3+I12*Prislapp!$I$3+J12*Prislapp!$J$3+K12*Prislapp!$K$3+M12*Prislapp!$M$3+N12*Prislapp!$N$3</f>
        <v>15773</v>
      </c>
      <c r="Q12" s="42">
        <f>C12*Prislapp!$C$5+D12*Prislapp!$D$5+E12*Prislapp!$E$5+F12*Prislapp!$F$5+G12*Prislapp!$G$5+H12*Prislapp!$H$5+I12*Prislapp!$I$5+J12*Prislapp!$J$5+K12*Prislapp!$K$5+L12*Prislapp!$L$5+M12*Prislapp!$M$5+N12*Prislapp!$N$5</f>
        <v>5800</v>
      </c>
      <c r="R12" s="9">
        <f>VLOOKUP(A12,'Ansvar kurs'!$A$2:$B$830,2,FALSE)</f>
        <v>1620</v>
      </c>
      <c r="S12" s="159"/>
      <c r="T12" s="159"/>
      <c r="U12" s="159"/>
      <c r="V12" s="159"/>
      <c r="W12" s="159"/>
      <c r="X12" s="159"/>
      <c r="Y12" s="159"/>
      <c r="Z12" s="159"/>
    </row>
    <row r="13" spans="1:26" x14ac:dyDescent="0.25">
      <c r="A13" s="31" t="s">
        <v>1402</v>
      </c>
      <c r="B13" s="31" t="s">
        <v>1345</v>
      </c>
      <c r="D13" s="31">
        <v>1</v>
      </c>
      <c r="O13" s="42">
        <f>C13*Prislapp!$C$2+D13*Prislapp!$D$2+E13*Prislapp!$E$2+F13*Prislapp!$F$2+G13*Prislapp!$G$2+H13*Prislapp!$H$2+I13*Prislapp!$I$2+J13*Prislapp!$J$2+K13*Prislapp!$K$2+L13*Prislapp!$L$2+M13*Prislapp!$M$2+N13*Prislapp!$N$2</f>
        <v>18405</v>
      </c>
      <c r="P13" s="42">
        <f>C13*Prislapp!$C$3+D13*Prislapp!$D$3+E13*Prislapp!$E$3+F13*Prislapp!$F$3+G13*Prislapp!$G$3+H13*Prislapp!$H$3+I13*Prislapp!$I$3+J13*Prislapp!$J$3+K13*Prislapp!$K$3+M13*Prislapp!$M$3+N13*Prislapp!$N$3</f>
        <v>15773</v>
      </c>
      <c r="Q13" s="42">
        <f>C13*Prislapp!$C$5+D13*Prislapp!$D$5+E13*Prislapp!$E$5+F13*Prislapp!$F$5+G13*Prislapp!$G$5+H13*Prislapp!$H$5+I13*Prislapp!$I$5+J13*Prislapp!$J$5+K13*Prislapp!$K$5+L13*Prislapp!$L$5+M13*Prislapp!$M$5+N13*Prislapp!$N$5</f>
        <v>5800</v>
      </c>
      <c r="R13" s="9">
        <f>VLOOKUP(A13,'Ansvar kurs'!$A$2:$B$830,2,FALSE)</f>
        <v>1620</v>
      </c>
      <c r="S13" s="159"/>
      <c r="T13" s="159"/>
      <c r="U13" s="159"/>
      <c r="V13" s="159"/>
      <c r="W13" s="159"/>
      <c r="X13" s="159"/>
      <c r="Y13" s="159"/>
      <c r="Z13" s="159"/>
    </row>
    <row r="14" spans="1:26" x14ac:dyDescent="0.25">
      <c r="A14" s="62" t="s">
        <v>2064</v>
      </c>
      <c r="B14" s="62" t="s">
        <v>2075</v>
      </c>
      <c r="E14" s="31">
        <v>0.5</v>
      </c>
      <c r="I14" s="31">
        <v>0.5</v>
      </c>
      <c r="O14" s="42">
        <f>C14*Prislapp!$C$2+D14*Prislapp!$D$2+E14*Prislapp!$E$2+F14*Prislapp!$F$2+G14*Prislapp!$G$2+H14*Prislapp!$H$2+I14*Prislapp!$I$2+J14*Prislapp!$J$2+K14*Prislapp!$K$2+L14*Prislapp!$L$2+M14*Prislapp!$M$2+N14*Prislapp!$N$2</f>
        <v>31719.5</v>
      </c>
      <c r="P14" s="42">
        <f>C14*Prislapp!$C$3+D14*Prislapp!$D$3+E14*Prislapp!$E$3+F14*Prislapp!$F$3+G14*Prislapp!$G$3+H14*Prislapp!$H$3+I14*Prislapp!$I$3+J14*Prislapp!$J$3+K14*Prislapp!$K$3+M14*Prislapp!$M$3+N14*Prislapp!$N$3</f>
        <v>23660</v>
      </c>
      <c r="Q14" s="42">
        <f>C14*Prislapp!$C$5+D14*Prislapp!$D$5+E14*Prislapp!$E$5+F14*Prislapp!$F$5+G14*Prislapp!$G$5+H14*Prislapp!$H$5+I14*Prislapp!$I$5+J14*Prislapp!$J$5+K14*Prislapp!$K$5+L14*Prislapp!$L$5+M14*Prislapp!$M$5+N14*Prislapp!$N$5</f>
        <v>20150</v>
      </c>
      <c r="R14" s="9">
        <f>VLOOKUP(A14,'Ansvar kurs'!$A$2:$B$830,2,FALSE)</f>
        <v>2180</v>
      </c>
      <c r="S14" s="159"/>
      <c r="T14" s="159"/>
      <c r="U14" s="159"/>
      <c r="V14" s="159"/>
      <c r="W14" s="159"/>
      <c r="X14" s="159"/>
      <c r="Y14" s="159"/>
      <c r="Z14" s="159"/>
    </row>
    <row r="15" spans="1:26" x14ac:dyDescent="0.25">
      <c r="A15" s="62" t="s">
        <v>908</v>
      </c>
      <c r="B15" s="62" t="s">
        <v>2074</v>
      </c>
      <c r="H15" s="31">
        <v>1</v>
      </c>
      <c r="O15" s="42">
        <f>C15*Prislapp!$C$2+D15*Prislapp!$D$2+E15*Prislapp!$E$2+F15*Prislapp!$F$2+G15*Prislapp!$G$2+H15*Prislapp!$H$2+I15*Prislapp!$I$2+J15*Prislapp!$J$2+K15*Prislapp!$K$2+L15*Prislapp!$L$2+M15*Prislapp!$M$2+N15*Prislapp!$N$2</f>
        <v>19473</v>
      </c>
      <c r="P15" s="42">
        <f>C15*Prislapp!$C$3+D15*Prislapp!$D$3+E15*Prislapp!$E$3+F15*Prislapp!$F$3+G15*Prislapp!$G$3+H15*Prislapp!$H$3+I15*Prislapp!$I$3+J15*Prislapp!$J$3+K15*Prislapp!$K$3+M15*Prislapp!$M$3+N15*Prislapp!$N$3</f>
        <v>34806</v>
      </c>
      <c r="Q15" s="42">
        <f>C15*Prislapp!$C$5+D15*Prislapp!$D$5+E15*Prislapp!$E$5+F15*Prislapp!$F$5+G15*Prislapp!$G$5+H15*Prislapp!$H$5+I15*Prislapp!$I$5+J15*Prislapp!$J$5+K15*Prislapp!$K$5+L15*Prislapp!$L$5+M15*Prislapp!$M$5+N15*Prislapp!$N$5</f>
        <v>21800</v>
      </c>
      <c r="R15" s="9">
        <f>VLOOKUP(A15,'Ansvar kurs'!$A$2:$B$830,2,FALSE)</f>
        <v>2193</v>
      </c>
      <c r="S15" s="159"/>
      <c r="T15" s="159"/>
      <c r="U15" s="159"/>
      <c r="V15" s="159"/>
      <c r="W15" s="159"/>
      <c r="X15" s="159"/>
      <c r="Y15" s="159"/>
      <c r="Z15" s="159"/>
    </row>
    <row r="16" spans="1:26" x14ac:dyDescent="0.25">
      <c r="A16" s="31" t="s">
        <v>1512</v>
      </c>
      <c r="B16" s="31" t="s">
        <v>1522</v>
      </c>
      <c r="I16" s="31">
        <v>1</v>
      </c>
      <c r="O16" s="42">
        <f>C16*Prislapp!$C$2+D16*Prislapp!$D$2+E16*Prislapp!$E$2+F16*Prislapp!$F$2+G16*Prislapp!$G$2+H16*Prislapp!$H$2+I16*Prislapp!$I$2+J16*Prislapp!$J$2+K16*Prislapp!$K$2+L16*Prislapp!$L$2+M16*Prislapp!$M$2+N16*Prislapp!$N$2</f>
        <v>18405</v>
      </c>
      <c r="P16" s="42">
        <f>C16*Prislapp!$C$3+D16*Prislapp!$D$3+E16*Prislapp!$E$3+F16*Prislapp!$F$3+G16*Prislapp!$G$3+H16*Prislapp!$H$3+I16*Prislapp!$I$3+J16*Prislapp!$J$3+K16*Prislapp!$K$3+M16*Prislapp!$M$3+N16*Prislapp!$N$3</f>
        <v>15773</v>
      </c>
      <c r="Q16" s="42">
        <f>C16*Prislapp!$C$5+D16*Prislapp!$D$5+E16*Prislapp!$E$5+F16*Prislapp!$F$5+G16*Prislapp!$G$5+H16*Prislapp!$H$5+I16*Prislapp!$I$5+J16*Prislapp!$J$5+K16*Prislapp!$K$5+L16*Prislapp!$L$5+M16*Prislapp!$M$5+N16*Prislapp!$N$5</f>
        <v>5800</v>
      </c>
      <c r="R16" s="9">
        <f>VLOOKUP(A16,'Ansvar kurs'!$A$2:$B$830,2,FALSE)</f>
        <v>2340</v>
      </c>
      <c r="S16" s="159"/>
      <c r="T16" s="159"/>
      <c r="U16" s="159"/>
      <c r="V16" s="159"/>
      <c r="W16" s="159"/>
      <c r="X16" s="159"/>
      <c r="Y16" s="159"/>
      <c r="Z16" s="159"/>
    </row>
    <row r="17" spans="1:26" x14ac:dyDescent="0.25">
      <c r="A17" s="31" t="s">
        <v>1016</v>
      </c>
      <c r="B17" s="31" t="s">
        <v>1057</v>
      </c>
      <c r="H17" s="31">
        <v>1</v>
      </c>
      <c r="O17" s="42">
        <f>C17*Prislapp!$C$2+D17*Prislapp!$D$2+E17*Prislapp!$E$2+F17*Prislapp!$F$2+G17*Prislapp!$G$2+H17*Prislapp!$H$2+I17*Prislapp!$I$2+J17*Prislapp!$J$2+K17*Prislapp!$K$2+L17*Prislapp!$L$2+M17*Prislapp!$M$2+N17*Prislapp!$N$2</f>
        <v>19473</v>
      </c>
      <c r="P17" s="42">
        <f>C17*Prislapp!$C$3+D17*Prislapp!$D$3+E17*Prislapp!$E$3+F17*Prislapp!$F$3+G17*Prislapp!$G$3+H17*Prislapp!$H$3+I17*Prislapp!$I$3+J17*Prislapp!$J$3+K17*Prislapp!$K$3+M17*Prislapp!$M$3+N17*Prislapp!$N$3</f>
        <v>34806</v>
      </c>
      <c r="Q17" s="42">
        <f>C17*Prislapp!$C$5+D17*Prislapp!$D$5+E17*Prislapp!$E$5+F17*Prislapp!$F$5+G17*Prislapp!$G$5+H17*Prislapp!$H$5+I17*Prislapp!$I$5+J17*Prislapp!$J$5+K17*Prislapp!$K$5+L17*Prislapp!$L$5+M17*Prislapp!$M$5+N17*Prislapp!$N$5</f>
        <v>21800</v>
      </c>
      <c r="R17" s="9">
        <f>VLOOKUP(A17,'Ansvar kurs'!$A$2:$B$830,2,FALSE)</f>
        <v>5740</v>
      </c>
      <c r="S17" s="159"/>
      <c r="T17" s="159"/>
      <c r="U17" s="159"/>
      <c r="V17" s="159"/>
      <c r="W17" s="159"/>
      <c r="X17" s="159"/>
      <c r="Y17" s="159"/>
      <c r="Z17" s="159"/>
    </row>
    <row r="18" spans="1:26" x14ac:dyDescent="0.25">
      <c r="A18" s="59" t="s">
        <v>1262</v>
      </c>
      <c r="B18" s="62" t="s">
        <v>1276</v>
      </c>
      <c r="H18" s="31">
        <v>1</v>
      </c>
      <c r="O18" s="42">
        <f>C18*Prislapp!$C$2+D18*Prislapp!$D$2+E18*Prislapp!$E$2+F18*Prislapp!$F$2+G18*Prislapp!$G$2+H18*Prislapp!$H$2+I18*Prislapp!$I$2+J18*Prislapp!$J$2+K18*Prislapp!$K$2+L18*Prislapp!$L$2+M18*Prislapp!$M$2+N18*Prislapp!$N$2</f>
        <v>19473</v>
      </c>
      <c r="P18" s="42">
        <f>C18*Prislapp!$C$3+D18*Prislapp!$D$3+E18*Prislapp!$E$3+F18*Prislapp!$F$3+G18*Prislapp!$G$3+H18*Prislapp!$H$3+I18*Prislapp!$I$3+J18*Prislapp!$J$3+K18*Prislapp!$K$3+M18*Prislapp!$M$3+N18*Prislapp!$N$3</f>
        <v>34806</v>
      </c>
      <c r="Q18" s="42">
        <f>C18*Prislapp!$C$5+D18*Prislapp!$D$5+E18*Prislapp!$E$5+F18*Prislapp!$F$5+G18*Prislapp!$G$5+H18*Prislapp!$H$5+I18*Prislapp!$I$5+J18*Prislapp!$J$5+K18*Prislapp!$K$5+L18*Prislapp!$L$5+M18*Prislapp!$M$5+N18*Prislapp!$N$5</f>
        <v>21800</v>
      </c>
      <c r="R18" s="9">
        <f>VLOOKUP(A18,'Ansvar kurs'!$A$2:$B$830,2,FALSE)</f>
        <v>5740</v>
      </c>
      <c r="S18" s="159"/>
      <c r="T18" s="159"/>
      <c r="U18" s="159"/>
      <c r="V18" s="159"/>
      <c r="W18" s="159"/>
      <c r="X18" s="159"/>
      <c r="Y18" s="159"/>
      <c r="Z18" s="159"/>
    </row>
    <row r="19" spans="1:26" x14ac:dyDescent="0.25">
      <c r="A19" s="31" t="s">
        <v>952</v>
      </c>
      <c r="B19" s="31" t="s">
        <v>957</v>
      </c>
      <c r="H19" s="31">
        <v>1</v>
      </c>
      <c r="O19" s="42">
        <f>C19*Prislapp!$C$2+D19*Prislapp!$D$2+E19*Prislapp!$E$2+F19*Prislapp!$F$2+G19*Prislapp!$G$2+H19*Prislapp!$H$2+I19*Prislapp!$I$2+J19*Prislapp!$J$2+K19*Prislapp!$K$2+L19*Prislapp!$L$2+M19*Prislapp!$M$2+N19*Prislapp!$N$2</f>
        <v>19473</v>
      </c>
      <c r="P19" s="42">
        <f>C19*Prislapp!$C$3+D19*Prislapp!$D$3+E19*Prislapp!$E$3+F19*Prislapp!$F$3+G19*Prislapp!$G$3+H19*Prislapp!$H$3+I19*Prislapp!$I$3+J19*Prislapp!$J$3+K19*Prislapp!$K$3+M19*Prislapp!$M$3+N19*Prislapp!$N$3</f>
        <v>34806</v>
      </c>
      <c r="Q19" s="42">
        <f>C19*Prislapp!$C$5+D19*Prislapp!$D$5+E19*Prislapp!$E$5+F19*Prislapp!$F$5+G19*Prislapp!$G$5+H19*Prislapp!$H$5+I19*Prislapp!$I$5+J19*Prislapp!$J$5+K19*Prislapp!$K$5+L19*Prislapp!$L$5+M19*Prislapp!$M$5+N19*Prislapp!$N$5</f>
        <v>21800</v>
      </c>
      <c r="R19" s="9">
        <f>VLOOKUP(A19,'Ansvar kurs'!$A$2:$B$830,2,FALSE)</f>
        <v>5100</v>
      </c>
      <c r="S19" s="159"/>
      <c r="T19" s="159"/>
      <c r="U19" s="159"/>
      <c r="V19" s="159"/>
      <c r="W19" s="159"/>
      <c r="X19" s="159"/>
      <c r="Y19" s="159"/>
      <c r="Z19" s="159"/>
    </row>
    <row r="20" spans="1:26" x14ac:dyDescent="0.25">
      <c r="A20" s="31" t="s">
        <v>1018</v>
      </c>
      <c r="B20" s="31" t="s">
        <v>1058</v>
      </c>
      <c r="H20" s="31">
        <v>1</v>
      </c>
      <c r="O20" s="42">
        <f>C20*Prislapp!$C$2+D20*Prislapp!$D$2+E20*Prislapp!$E$2+F20*Prislapp!$F$2+G20*Prislapp!$G$2+H20*Prislapp!$H$2+I20*Prislapp!$I$2+J20*Prislapp!$J$2+K20*Prislapp!$K$2+L20*Prislapp!$L$2+M20*Prislapp!$M$2+N20*Prislapp!$N$2</f>
        <v>19473</v>
      </c>
      <c r="P20" s="42">
        <f>C20*Prislapp!$C$3+D20*Prislapp!$D$3+E20*Prislapp!$E$3+F20*Prislapp!$F$3+G20*Prislapp!$G$3+H20*Prislapp!$H$3+I20*Prislapp!$I$3+J20*Prislapp!$J$3+K20*Prislapp!$K$3+M20*Prislapp!$M$3+N20*Prislapp!$N$3</f>
        <v>34806</v>
      </c>
      <c r="Q20" s="42">
        <f>C20*Prislapp!$C$5+D20*Prislapp!$D$5+E20*Prislapp!$E$5+F20*Prislapp!$F$5+G20*Prislapp!$G$5+H20*Prislapp!$H$5+I20*Prislapp!$I$5+J20*Prislapp!$J$5+K20*Prislapp!$K$5+L20*Prislapp!$L$5+M20*Prislapp!$M$5+N20*Prislapp!$N$5</f>
        <v>21800</v>
      </c>
      <c r="R20" s="9">
        <f>VLOOKUP(A20,'Ansvar kurs'!$A$2:$B$830,2,FALSE)</f>
        <v>5160</v>
      </c>
      <c r="S20" s="159"/>
      <c r="T20" s="159"/>
      <c r="U20" s="159"/>
      <c r="V20" s="159"/>
      <c r="W20" s="159"/>
      <c r="X20" s="159"/>
      <c r="Y20" s="159"/>
      <c r="Z20" s="159"/>
    </row>
    <row r="21" spans="1:26" x14ac:dyDescent="0.25">
      <c r="A21" s="31" t="s">
        <v>951</v>
      </c>
      <c r="B21" s="31" t="s">
        <v>959</v>
      </c>
      <c r="H21" s="31">
        <v>1</v>
      </c>
      <c r="O21" s="42">
        <f>C21*Prislapp!$C$2+D21*Prislapp!$D$2+E21*Prislapp!$E$2+F21*Prislapp!$F$2+G21*Prislapp!$G$2+H21*Prislapp!$H$2+I21*Prislapp!$I$2+J21*Prislapp!$J$2+K21*Prislapp!$K$2+L21*Prislapp!$L$2+M21*Prislapp!$M$2+N21*Prislapp!$N$2</f>
        <v>19473</v>
      </c>
      <c r="P21" s="42">
        <f>C21*Prislapp!$C$3+D21*Prislapp!$D$3+E21*Prislapp!$E$3+F21*Prislapp!$F$3+G21*Prislapp!$G$3+H21*Prislapp!$H$3+I21*Prislapp!$I$3+J21*Prislapp!$J$3+K21*Prislapp!$K$3+M21*Prislapp!$M$3+N21*Prislapp!$N$3</f>
        <v>34806</v>
      </c>
      <c r="Q21" s="42">
        <f>C21*Prislapp!$C$5+D21*Prislapp!$D$5+E21*Prislapp!$E$5+F21*Prislapp!$F$5+G21*Prislapp!$G$5+H21*Prislapp!$H$5+I21*Prislapp!$I$5+J21*Prislapp!$J$5+K21*Prislapp!$K$5+L21*Prislapp!$L$5+M21*Prislapp!$M$5+N21*Prislapp!$N$5</f>
        <v>21800</v>
      </c>
      <c r="R21" s="9">
        <f>VLOOKUP(A21,'Ansvar kurs'!$A$2:$B$830,2,FALSE)</f>
        <v>5100</v>
      </c>
      <c r="S21" s="159"/>
      <c r="T21" s="159"/>
      <c r="U21" s="159"/>
      <c r="V21" s="159"/>
      <c r="W21" s="159"/>
      <c r="X21" s="159"/>
      <c r="Y21" s="159"/>
      <c r="Z21" s="159"/>
    </row>
    <row r="22" spans="1:26" x14ac:dyDescent="0.25">
      <c r="A22" s="31" t="s">
        <v>953</v>
      </c>
      <c r="B22" s="31" t="s">
        <v>960</v>
      </c>
      <c r="H22" s="31">
        <v>1</v>
      </c>
      <c r="O22" s="42">
        <f>C22*Prislapp!$C$2+D22*Prislapp!$D$2+E22*Prislapp!$E$2+F22*Prislapp!$F$2+G22*Prislapp!$G$2+H22*Prislapp!$H$2+I22*Prislapp!$I$2+J22*Prislapp!$J$2+K22*Prislapp!$K$2+L22*Prislapp!$L$2+M22*Prislapp!$M$2+N22*Prislapp!$N$2</f>
        <v>19473</v>
      </c>
      <c r="P22" s="42">
        <f>C22*Prislapp!$C$3+D22*Prislapp!$D$3+E22*Prislapp!$E$3+F22*Prislapp!$F$3+G22*Prislapp!$G$3+H22*Prislapp!$H$3+I22*Prislapp!$I$3+J22*Prislapp!$J$3+K22*Prislapp!$K$3+M22*Prislapp!$M$3+N22*Prislapp!$N$3</f>
        <v>34806</v>
      </c>
      <c r="Q22" s="42">
        <f>C22*Prislapp!$C$5+D22*Prislapp!$D$5+E22*Prislapp!$E$5+F22*Prislapp!$F$5+G22*Prislapp!$G$5+H22*Prislapp!$H$5+I22*Prislapp!$I$5+J22*Prislapp!$J$5+K22*Prislapp!$K$5+L22*Prislapp!$L$5+M22*Prislapp!$M$5+N22*Prislapp!$N$5</f>
        <v>21800</v>
      </c>
      <c r="R22" s="9">
        <f>VLOOKUP(A22,'Ansvar kurs'!$A$2:$B$830,2,FALSE)</f>
        <v>5100</v>
      </c>
      <c r="S22" s="159"/>
      <c r="T22" s="159"/>
      <c r="U22" s="159"/>
      <c r="V22" s="159"/>
      <c r="W22" s="159"/>
      <c r="X22" s="159"/>
      <c r="Y22" s="159"/>
      <c r="Z22" s="159"/>
    </row>
    <row r="23" spans="1:26" x14ac:dyDescent="0.25">
      <c r="A23" s="62" t="s">
        <v>1581</v>
      </c>
      <c r="B23" s="62" t="s">
        <v>1600</v>
      </c>
      <c r="H23" s="31">
        <v>1</v>
      </c>
      <c r="O23" s="42">
        <f>C23*Prislapp!$C$2+D23*Prislapp!$D$2+E23*Prislapp!$E$2+F23*Prislapp!$F$2+G23*Prislapp!$G$2+H23*Prislapp!$H$2+I23*Prislapp!$I$2+J23*Prislapp!$J$2+K23*Prislapp!$K$2+L23*Prislapp!$L$2+M23*Prislapp!$M$2+N23*Prislapp!$N$2</f>
        <v>19473</v>
      </c>
      <c r="P23" s="42">
        <f>C23*Prislapp!$C$3+D23*Prislapp!$D$3+E23*Prislapp!$E$3+F23*Prislapp!$F$3+G23*Prislapp!$G$3+H23*Prislapp!$H$3+I23*Prislapp!$I$3+J23*Prislapp!$J$3+K23*Prislapp!$K$3+M23*Prislapp!$M$3+N23*Prislapp!$N$3</f>
        <v>34806</v>
      </c>
      <c r="Q23" s="42">
        <f>C23*Prislapp!$C$5+D23*Prislapp!$D$5+E23*Prislapp!$E$5+F23*Prislapp!$F$5+G23*Prislapp!$G$5+H23*Prislapp!$H$5+I23*Prislapp!$I$5+J23*Prislapp!$J$5+K23*Prislapp!$K$5+L23*Prislapp!$L$5+M23*Prislapp!$M$5+N23*Prislapp!$N$5</f>
        <v>21800</v>
      </c>
      <c r="R23" s="9">
        <f>VLOOKUP(A23,'Ansvar kurs'!$A$2:$B$830,2,FALSE)</f>
        <v>5100</v>
      </c>
      <c r="S23" s="159"/>
      <c r="T23" s="159"/>
      <c r="U23" s="159"/>
      <c r="V23" s="159"/>
      <c r="W23" s="159"/>
      <c r="X23" s="159"/>
      <c r="Y23" s="159"/>
      <c r="Z23" s="159"/>
    </row>
    <row r="24" spans="1:26" x14ac:dyDescent="0.25">
      <c r="A24" s="62" t="s">
        <v>1580</v>
      </c>
      <c r="B24" s="62" t="s">
        <v>1601</v>
      </c>
      <c r="H24" s="31">
        <v>0.5</v>
      </c>
      <c r="J24" s="31">
        <v>0.5</v>
      </c>
      <c r="O24" s="42">
        <f>C24*Prislapp!$C$2+D24*Prislapp!$D$2+E24*Prislapp!$E$2+F24*Prislapp!$F$2+G24*Prislapp!$G$2+H24*Prislapp!$H$2+I24*Prislapp!$I$2+J24*Prislapp!$J$2+K24*Prislapp!$K$2+L24*Prislapp!$L$2+M24*Prislapp!$M$2+N24*Prislapp!$N$2</f>
        <v>19473</v>
      </c>
      <c r="P24" s="42">
        <f>C24*Prislapp!$C$3+D24*Prislapp!$D$3+E24*Prislapp!$E$3+F24*Prislapp!$F$3+G24*Prislapp!$G$3+H24*Prislapp!$H$3+I24*Prislapp!$I$3+J24*Prislapp!$J$3+K24*Prislapp!$K$3+M24*Prislapp!$M$3+N24*Prislapp!$N$3</f>
        <v>34806</v>
      </c>
      <c r="Q24" s="42">
        <f>C24*Prislapp!$C$5+D24*Prislapp!$D$5+E24*Prislapp!$E$5+F24*Prislapp!$F$5+G24*Prislapp!$G$5+H24*Prislapp!$H$5+I24*Prislapp!$I$5+J24*Prislapp!$J$5+K24*Prislapp!$K$5+L24*Prislapp!$L$5+M24*Prislapp!$M$5+N24*Prislapp!$N$5</f>
        <v>21800</v>
      </c>
      <c r="R24" s="9">
        <f>VLOOKUP(A24,'Ansvar kurs'!$A$2:$B$830,2,FALSE)</f>
        <v>5100</v>
      </c>
      <c r="S24" s="159"/>
      <c r="T24" s="159"/>
      <c r="U24" s="159"/>
      <c r="V24" s="159"/>
      <c r="W24" s="159"/>
      <c r="X24" s="159"/>
      <c r="Y24" s="159"/>
      <c r="Z24" s="159"/>
    </row>
    <row r="25" spans="1:26" x14ac:dyDescent="0.25">
      <c r="A25" s="62" t="s">
        <v>1562</v>
      </c>
      <c r="B25" s="62" t="s">
        <v>959</v>
      </c>
      <c r="H25" s="31">
        <v>0.5</v>
      </c>
      <c r="J25" s="31">
        <v>0.5</v>
      </c>
      <c r="O25" s="42">
        <f>C25*Prislapp!$C$2+D25*Prislapp!$D$2+E25*Prislapp!$E$2+F25*Prislapp!$F$2+G25*Prislapp!$G$2+H25*Prislapp!$H$2+I25*Prislapp!$I$2+J25*Prislapp!$J$2+K25*Prislapp!$K$2+L25*Prislapp!$L$2+M25*Prislapp!$M$2+N25*Prislapp!$N$2</f>
        <v>19473</v>
      </c>
      <c r="P25" s="42">
        <f>C25*Prislapp!$C$3+D25*Prislapp!$D$3+E25*Prislapp!$E$3+F25*Prislapp!$F$3+G25*Prislapp!$G$3+H25*Prislapp!$H$3+I25*Prislapp!$I$3+J25*Prislapp!$J$3+K25*Prislapp!$K$3+M25*Prislapp!$M$3+N25*Prislapp!$N$3</f>
        <v>34806</v>
      </c>
      <c r="Q25" s="42">
        <f>C25*Prislapp!$C$5+D25*Prislapp!$D$5+E25*Prislapp!$E$5+F25*Prislapp!$F$5+G25*Prislapp!$G$5+H25*Prislapp!$H$5+I25*Prislapp!$I$5+J25*Prislapp!$J$5+K25*Prislapp!$K$5+L25*Prislapp!$L$5+M25*Prislapp!$M$5+N25*Prislapp!$N$5</f>
        <v>21800</v>
      </c>
      <c r="R25" s="9">
        <f>VLOOKUP(A25,'Ansvar kurs'!$A$2:$B$830,2,FALSE)</f>
        <v>5100</v>
      </c>
      <c r="S25" s="159"/>
      <c r="T25" s="159"/>
      <c r="U25" s="159"/>
      <c r="V25" s="159"/>
      <c r="W25" s="159"/>
      <c r="X25" s="159"/>
      <c r="Y25" s="159"/>
      <c r="Z25" s="159"/>
    </row>
    <row r="26" spans="1:26" x14ac:dyDescent="0.25">
      <c r="A26" s="62" t="s">
        <v>1563</v>
      </c>
      <c r="B26" s="62" t="s">
        <v>1596</v>
      </c>
      <c r="H26" s="31">
        <v>1</v>
      </c>
      <c r="O26" s="42">
        <f>C26*Prislapp!$C$2+D26*Prislapp!$D$2+E26*Prislapp!$E$2+F26*Prislapp!$F$2+G26*Prislapp!$G$2+H26*Prislapp!$H$2+I26*Prislapp!$I$2+J26*Prislapp!$J$2+K26*Prislapp!$K$2+L26*Prislapp!$L$2+M26*Prislapp!$M$2+N26*Prislapp!$N$2</f>
        <v>19473</v>
      </c>
      <c r="P26" s="42">
        <f>C26*Prislapp!$C$3+D26*Prislapp!$D$3+E26*Prislapp!$E$3+F26*Prislapp!$F$3+G26*Prislapp!$G$3+H26*Prislapp!$H$3+I26*Prislapp!$I$3+J26*Prislapp!$J$3+K26*Prislapp!$K$3+M26*Prislapp!$M$3+N26*Prislapp!$N$3</f>
        <v>34806</v>
      </c>
      <c r="Q26" s="42">
        <f>C26*Prislapp!$C$5+D26*Prislapp!$D$5+E26*Prislapp!$E$5+F26*Prislapp!$F$5+G26*Prislapp!$G$5+H26*Prislapp!$H$5+I26*Prislapp!$I$5+J26*Prislapp!$J$5+K26*Prislapp!$K$5+L26*Prislapp!$L$5+M26*Prislapp!$M$5+N26*Prislapp!$N$5</f>
        <v>21800</v>
      </c>
      <c r="R26" s="9">
        <f>VLOOKUP(A26,'Ansvar kurs'!$A$2:$B$830,2,FALSE)</f>
        <v>5100</v>
      </c>
      <c r="S26" s="159"/>
      <c r="T26" s="159"/>
      <c r="U26" s="159"/>
      <c r="V26" s="159"/>
      <c r="W26" s="159"/>
      <c r="X26" s="159"/>
      <c r="Y26" s="159"/>
      <c r="Z26" s="159"/>
    </row>
    <row r="27" spans="1:26" x14ac:dyDescent="0.25">
      <c r="A27" s="31" t="s">
        <v>2099</v>
      </c>
      <c r="B27" s="31" t="s">
        <v>958</v>
      </c>
      <c r="H27" s="31">
        <v>1</v>
      </c>
      <c r="O27" s="42">
        <f>C27*Prislapp!$C$2+D27*Prislapp!$D$2+E27*Prislapp!$E$2+F27*Prislapp!$F$2+G27*Prislapp!$G$2+H27*Prislapp!$H$2+I27*Prislapp!$I$2+J27*Prislapp!$J$2+K27*Prislapp!$K$2+L27*Prislapp!$L$2+M27*Prislapp!$M$2+N27*Prislapp!$N$2</f>
        <v>19473</v>
      </c>
      <c r="P27" s="42">
        <f>C27*Prislapp!$C$3+D27*Prislapp!$D$3+E27*Prislapp!$E$3+F27*Prislapp!$F$3+G27*Prislapp!$G$3+H27*Prislapp!$H$3+I27*Prislapp!$I$3+J27*Prislapp!$J$3+K27*Prislapp!$K$3+M27*Prislapp!$M$3+N27*Prislapp!$N$3</f>
        <v>34806</v>
      </c>
      <c r="Q27" s="42">
        <f>C27*Prislapp!$C$5+D27*Prislapp!$D$5+E27*Prislapp!$E$5+F27*Prislapp!$F$5+G27*Prislapp!$G$5+H27*Prislapp!$H$5+I27*Prislapp!$I$5+J27*Prislapp!$J$5+K27*Prislapp!$K$5+L27*Prislapp!$L$5+M27*Prislapp!$M$5+N27*Prislapp!$N$5</f>
        <v>21800</v>
      </c>
      <c r="R27" s="9">
        <f>VLOOKUP(A27,'Ansvar kurs'!$A$2:$B$830,2,FALSE)</f>
        <v>5100</v>
      </c>
      <c r="S27" s="159"/>
      <c r="T27" s="159"/>
      <c r="U27" s="159"/>
      <c r="V27" s="159"/>
      <c r="W27" s="159"/>
      <c r="X27" s="159"/>
      <c r="Y27" s="159"/>
      <c r="Z27" s="159"/>
    </row>
    <row r="28" spans="1:26" x14ac:dyDescent="0.25">
      <c r="A28" s="62" t="s">
        <v>2098</v>
      </c>
      <c r="B28" s="62" t="s">
        <v>957</v>
      </c>
      <c r="H28" s="31">
        <v>1</v>
      </c>
      <c r="O28" s="42">
        <f>C28*Prislapp!$C$2+D28*Prislapp!$D$2+E28*Prislapp!$E$2+F28*Prislapp!$F$2+G28*Prislapp!$G$2+H28*Prislapp!$H$2+I28*Prislapp!$I$2+J28*Prislapp!$J$2+K28*Prislapp!$K$2+L28*Prislapp!$L$2+M28*Prislapp!$M$2+N28*Prislapp!$N$2</f>
        <v>19473</v>
      </c>
      <c r="P28" s="42">
        <f>C28*Prislapp!$C$3+D28*Prislapp!$D$3+E28*Prislapp!$E$3+F28*Prislapp!$F$3+G28*Prislapp!$G$3+H28*Prislapp!$H$3+I28*Prislapp!$I$3+J28*Prislapp!$J$3+K28*Prislapp!$K$3+M28*Prislapp!$M$3+N28*Prislapp!$N$3</f>
        <v>34806</v>
      </c>
      <c r="Q28" s="42">
        <f>C28*Prislapp!$C$5+D28*Prislapp!$D$5+E28*Prislapp!$E$5+F28*Prislapp!$F$5+G28*Prislapp!$G$5+H28*Prislapp!$H$5+I28*Prislapp!$I$5+J28*Prislapp!$J$5+K28*Prislapp!$K$5+L28*Prislapp!$L$5+M28*Prislapp!$M$5+N28*Prislapp!$N$5</f>
        <v>21800</v>
      </c>
      <c r="R28" s="9">
        <f>VLOOKUP(A28,'Ansvar kurs'!$A$2:$B$830,2,FALSE)</f>
        <v>5100</v>
      </c>
      <c r="S28" s="159"/>
      <c r="T28" s="159"/>
      <c r="U28" s="159"/>
      <c r="V28" s="159"/>
      <c r="W28" s="159"/>
      <c r="X28" s="159"/>
      <c r="Y28" s="159"/>
      <c r="Z28" s="159"/>
    </row>
    <row r="29" spans="1:26" x14ac:dyDescent="0.25">
      <c r="A29" s="62" t="s">
        <v>2237</v>
      </c>
      <c r="B29" s="62" t="s">
        <v>2076</v>
      </c>
      <c r="H29" s="31">
        <v>0.5</v>
      </c>
      <c r="J29" s="31">
        <v>0.5</v>
      </c>
      <c r="O29" s="42">
        <f>C29*Prislapp!$C$2+D29*Prislapp!$D$2+E29*Prislapp!$E$2+F29*Prislapp!$F$2+G29*Prislapp!$G$2+H29*Prislapp!$H$2+I29*Prislapp!$I$2+J29*Prislapp!$J$2+K29*Prislapp!$K$2+L29*Prislapp!$L$2+M29*Prislapp!$M$2+N29*Prislapp!$N$2</f>
        <v>19473</v>
      </c>
      <c r="P29" s="42">
        <f>C29*Prislapp!$C$3+D29*Prislapp!$D$3+E29*Prislapp!$E$3+F29*Prislapp!$F$3+G29*Prislapp!$G$3+H29*Prislapp!$H$3+I29*Prislapp!$I$3+J29*Prislapp!$J$3+K29*Prislapp!$K$3+M29*Prislapp!$M$3+N29*Prislapp!$N$3</f>
        <v>34806</v>
      </c>
      <c r="Q29" s="42">
        <f>C29*Prislapp!$C$5+D29*Prislapp!$D$5+E29*Prislapp!$E$5+F29*Prislapp!$F$5+G29*Prislapp!$G$5+H29*Prislapp!$H$5+I29*Prislapp!$I$5+J29*Prislapp!$J$5+K29*Prislapp!$K$5+L29*Prislapp!$L$5+M29*Prislapp!$M$5+N29*Prislapp!$N$5</f>
        <v>21800</v>
      </c>
      <c r="R29" s="9">
        <f>VLOOKUP(A29,'Ansvar kurs'!$A$2:$B$830,2,FALSE)</f>
        <v>5700</v>
      </c>
      <c r="S29" s="159"/>
      <c r="T29" s="159"/>
      <c r="U29" s="159"/>
      <c r="V29" s="159"/>
      <c r="W29" s="159"/>
      <c r="X29" s="159"/>
      <c r="Y29" s="159"/>
      <c r="Z29" s="159"/>
    </row>
    <row r="30" spans="1:26" x14ac:dyDescent="0.25">
      <c r="A30" s="31" t="s">
        <v>1019</v>
      </c>
      <c r="B30" s="31" t="s">
        <v>1524</v>
      </c>
      <c r="J30" s="31">
        <v>1</v>
      </c>
      <c r="O30" s="42">
        <f>C30*Prislapp!$C$2+D30*Prislapp!$D$2+E30*Prislapp!$E$2+F30*Prislapp!$F$2+G30*Prislapp!$G$2+H30*Prislapp!$H$2+I30*Prislapp!$I$2+J30*Prislapp!$J$2+K30*Prislapp!$K$2+L30*Prislapp!$L$2+M30*Prislapp!$M$2+N30*Prislapp!$N$2</f>
        <v>19473</v>
      </c>
      <c r="P30" s="42">
        <f>C30*Prislapp!$C$3+D30*Prislapp!$D$3+E30*Prislapp!$E$3+F30*Prislapp!$F$3+G30*Prislapp!$G$3+H30*Prislapp!$H$3+I30*Prislapp!$I$3+J30*Prislapp!$J$3+K30*Prislapp!$K$3+M30*Prislapp!$M$3+N30*Prislapp!$N$3</f>
        <v>34806</v>
      </c>
      <c r="Q30" s="42">
        <f>C30*Prislapp!$C$5+D30*Prislapp!$D$5+E30*Prislapp!$E$5+F30*Prislapp!$F$5+G30*Prislapp!$G$5+H30*Prislapp!$H$5+I30*Prislapp!$I$5+J30*Prislapp!$J$5+K30*Prislapp!$K$5+L30*Prislapp!$L$5+M30*Prislapp!$M$5+N30*Prislapp!$N$5</f>
        <v>21800</v>
      </c>
      <c r="R30" s="9">
        <f>VLOOKUP(A30,'Ansvar kurs'!$A$2:$B$830,2,FALSE)</f>
        <v>5410</v>
      </c>
      <c r="S30" s="159"/>
      <c r="T30" s="159"/>
      <c r="U30" s="159"/>
      <c r="V30" s="159"/>
      <c r="W30" s="159"/>
      <c r="X30" s="159"/>
      <c r="Y30" s="159"/>
      <c r="Z30" s="159"/>
    </row>
    <row r="31" spans="1:26" x14ac:dyDescent="0.25">
      <c r="A31" s="31" t="s">
        <v>1141</v>
      </c>
      <c r="B31" s="31" t="s">
        <v>1145</v>
      </c>
      <c r="J31" s="31">
        <v>1</v>
      </c>
      <c r="O31" s="42">
        <f>C31*Prislapp!$C$2+D31*Prislapp!$D$2+E31*Prislapp!$E$2+F31*Prislapp!$F$2+G31*Prislapp!$G$2+H31*Prislapp!$H$2+I31*Prislapp!$I$2+J31*Prislapp!$J$2+K31*Prislapp!$K$2+L31*Prislapp!$L$2+M31*Prislapp!$M$2+N31*Prislapp!$N$2</f>
        <v>19473</v>
      </c>
      <c r="P31" s="42">
        <f>C31*Prislapp!$C$3+D31*Prislapp!$D$3+E31*Prislapp!$E$3+F31*Prislapp!$F$3+G31*Prislapp!$G$3+H31*Prislapp!$H$3+I31*Prislapp!$I$3+J31*Prislapp!$J$3+K31*Prislapp!$K$3+M31*Prislapp!$M$3+N31*Prislapp!$N$3</f>
        <v>34806</v>
      </c>
      <c r="Q31" s="42">
        <f>C31*Prislapp!$C$5+D31*Prislapp!$D$5+E31*Prislapp!$E$5+F31*Prislapp!$F$5+G31*Prislapp!$G$5+H31*Prislapp!$H$5+I31*Prislapp!$I$5+J31*Prislapp!$J$5+K31*Prislapp!$K$5+L31*Prislapp!$L$5+M31*Prislapp!$M$5+N31*Prislapp!$N$5</f>
        <v>21800</v>
      </c>
      <c r="R31" s="9">
        <f>VLOOKUP(A31,'Ansvar kurs'!$A$2:$B$830,2,FALSE)</f>
        <v>5400</v>
      </c>
      <c r="S31" s="159"/>
      <c r="T31" s="159"/>
      <c r="U31" s="159"/>
      <c r="V31" s="159"/>
      <c r="W31" s="159"/>
      <c r="X31" s="159"/>
      <c r="Y31" s="159"/>
      <c r="Z31" s="159"/>
    </row>
    <row r="32" spans="1:26" x14ac:dyDescent="0.25">
      <c r="A32" s="31" t="s">
        <v>348</v>
      </c>
      <c r="B32" s="31" t="s">
        <v>351</v>
      </c>
      <c r="J32" s="31">
        <v>1</v>
      </c>
      <c r="O32" s="42">
        <f>C32*Prislapp!$C$2+D32*Prislapp!$D$2+E32*Prislapp!$E$2+F32*Prislapp!$F$2+G32*Prislapp!$G$2+H32*Prislapp!$H$2+I32*Prislapp!$I$2+J32*Prislapp!$J$2+K32*Prislapp!$K$2+L32*Prislapp!$L$2+M32*Prislapp!$M$2+N32*Prislapp!$N$2</f>
        <v>19473</v>
      </c>
      <c r="P32" s="42">
        <f>C32*Prislapp!$C$3+D32*Prislapp!$D$3+E32*Prislapp!$E$3+F32*Prislapp!$F$3+G32*Prislapp!$G$3+H32*Prislapp!$H$3+I32*Prislapp!$I$3+J32*Prislapp!$J$3+K32*Prislapp!$K$3+M32*Prislapp!$M$3+N32*Prislapp!$N$3</f>
        <v>34806</v>
      </c>
      <c r="Q32" s="42">
        <f>C32*Prislapp!$C$5+D32*Prislapp!$D$5+E32*Prislapp!$E$5+F32*Prislapp!$F$5+G32*Prislapp!$G$5+H32*Prislapp!$H$5+I32*Prislapp!$I$5+J32*Prislapp!$J$5+K32*Prislapp!$K$5+L32*Prislapp!$L$5+M32*Prislapp!$M$5+N32*Prislapp!$N$5</f>
        <v>21800</v>
      </c>
      <c r="R32" s="9">
        <f>VLOOKUP(A32,'Ansvar kurs'!$A$2:$B$830,2,FALSE)</f>
        <v>5400</v>
      </c>
      <c r="S32" s="159"/>
      <c r="T32" s="159"/>
      <c r="U32" s="159"/>
      <c r="V32" s="159"/>
      <c r="W32" s="159"/>
      <c r="X32" s="159"/>
      <c r="Y32" s="159"/>
      <c r="Z32" s="159"/>
    </row>
    <row r="33" spans="1:26" x14ac:dyDescent="0.25">
      <c r="A33" s="31" t="s">
        <v>1020</v>
      </c>
      <c r="B33" s="31" t="s">
        <v>1059</v>
      </c>
      <c r="J33" s="31">
        <v>1</v>
      </c>
      <c r="O33" s="42">
        <f>C33*Prislapp!$C$2+D33*Prislapp!$D$2+E33*Prislapp!$E$2+F33*Prislapp!$F$2+G33*Prislapp!$G$2+H33*Prislapp!$H$2+I33*Prislapp!$I$2+J33*Prislapp!$J$2+K33*Prislapp!$K$2+L33*Prislapp!$L$2+M33*Prislapp!$M$2+N33*Prislapp!$N$2</f>
        <v>19473</v>
      </c>
      <c r="P33" s="42">
        <f>C33*Prislapp!$C$3+D33*Prislapp!$D$3+E33*Prislapp!$E$3+F33*Prislapp!$F$3+G33*Prislapp!$G$3+H33*Prislapp!$H$3+I33*Prislapp!$I$3+J33*Prislapp!$J$3+K33*Prislapp!$K$3+M33*Prislapp!$M$3+N33*Prislapp!$N$3</f>
        <v>34806</v>
      </c>
      <c r="Q33" s="42">
        <f>C33*Prislapp!$C$5+D33*Prislapp!$D$5+E33*Prislapp!$E$5+F33*Prislapp!$F$5+G33*Prislapp!$G$5+H33*Prislapp!$H$5+I33*Prislapp!$I$5+J33*Prislapp!$J$5+K33*Prislapp!$K$5+L33*Prislapp!$L$5+M33*Prislapp!$M$5+N33*Prislapp!$N$5</f>
        <v>21800</v>
      </c>
      <c r="R33" s="9">
        <f>VLOOKUP(A33,'Ansvar kurs'!$A$2:$B$830,2,FALSE)</f>
        <v>5400</v>
      </c>
      <c r="S33" s="159"/>
      <c r="T33" s="159"/>
      <c r="U33" s="159"/>
      <c r="V33" s="159"/>
      <c r="W33" s="159"/>
      <c r="X33" s="159"/>
      <c r="Y33" s="159"/>
      <c r="Z33" s="159"/>
    </row>
    <row r="34" spans="1:26" x14ac:dyDescent="0.25">
      <c r="A34" s="31" t="s">
        <v>1513</v>
      </c>
      <c r="B34" s="31" t="s">
        <v>961</v>
      </c>
      <c r="J34" s="31">
        <v>1</v>
      </c>
      <c r="O34" s="42">
        <f>C34*Prislapp!$C$2+D34*Prislapp!$D$2+E34*Prislapp!$E$2+F34*Prislapp!$F$2+G34*Prislapp!$G$2+H34*Prislapp!$H$2+I34*Prislapp!$I$2+J34*Prislapp!$J$2+K34*Prislapp!$K$2+L34*Prislapp!$L$2+M34*Prislapp!$M$2+N34*Prislapp!$N$2</f>
        <v>19473</v>
      </c>
      <c r="P34" s="42">
        <f>C34*Prislapp!$C$3+D34*Prislapp!$D$3+E34*Prislapp!$E$3+F34*Prislapp!$F$3+G34*Prislapp!$G$3+H34*Prislapp!$H$3+I34*Prislapp!$I$3+J34*Prislapp!$J$3+K34*Prislapp!$K$3+M34*Prislapp!$M$3+N34*Prislapp!$N$3</f>
        <v>34806</v>
      </c>
      <c r="Q34" s="42">
        <f>C34*Prislapp!$C$5+D34*Prislapp!$D$5+E34*Prislapp!$E$5+F34*Prislapp!$F$5+G34*Prislapp!$G$5+H34*Prislapp!$H$5+I34*Prislapp!$I$5+J34*Prislapp!$J$5+K34*Prislapp!$K$5+L34*Prislapp!$L$5+M34*Prislapp!$M$5+N34*Prislapp!$N$5</f>
        <v>21800</v>
      </c>
      <c r="R34" s="9">
        <f>VLOOKUP(A34,'Ansvar kurs'!$A$2:$B$830,2,FALSE)</f>
        <v>5400</v>
      </c>
      <c r="S34" s="159"/>
      <c r="T34" s="159"/>
      <c r="U34" s="159"/>
      <c r="V34" s="159"/>
      <c r="W34" s="159"/>
      <c r="X34" s="159"/>
      <c r="Y34" s="159"/>
      <c r="Z34" s="159"/>
    </row>
    <row r="35" spans="1:26" x14ac:dyDescent="0.25">
      <c r="A35" s="31" t="s">
        <v>954</v>
      </c>
      <c r="B35" s="31" t="s">
        <v>961</v>
      </c>
      <c r="J35" s="31">
        <v>1</v>
      </c>
      <c r="O35" s="42">
        <f>C35*Prislapp!$C$2+D35*Prislapp!$D$2+E35*Prislapp!$E$2+F35*Prislapp!$F$2+G35*Prislapp!$G$2+H35*Prislapp!$H$2+I35*Prislapp!$I$2+J35*Prislapp!$J$2+K35*Prislapp!$K$2+L35*Prislapp!$L$2+M35*Prislapp!$M$2+N35*Prislapp!$N$2</f>
        <v>19473</v>
      </c>
      <c r="P35" s="42">
        <f>C35*Prislapp!$C$3+D35*Prislapp!$D$3+E35*Prislapp!$E$3+F35*Prislapp!$F$3+G35*Prislapp!$G$3+H35*Prislapp!$H$3+I35*Prislapp!$I$3+J35*Prislapp!$J$3+K35*Prislapp!$K$3+M35*Prislapp!$M$3+N35*Prislapp!$N$3</f>
        <v>34806</v>
      </c>
      <c r="Q35" s="42">
        <f>C35*Prislapp!$C$5+D35*Prislapp!$D$5+E35*Prislapp!$E$5+F35*Prislapp!$F$5+G35*Prislapp!$G$5+H35*Prislapp!$H$5+I35*Prislapp!$I$5+J35*Prislapp!$J$5+K35*Prislapp!$K$5+L35*Prislapp!$L$5+M35*Prislapp!$M$5+N35*Prislapp!$N$5</f>
        <v>21800</v>
      </c>
      <c r="R35" s="9">
        <f>VLOOKUP(A35,'Ansvar kurs'!$A$2:$B$830,2,FALSE)</f>
        <v>5400</v>
      </c>
      <c r="S35" s="159"/>
      <c r="T35" s="159"/>
      <c r="U35" s="159"/>
      <c r="V35" s="159"/>
      <c r="W35" s="159"/>
      <c r="X35" s="159"/>
      <c r="Y35" s="159"/>
      <c r="Z35" s="159"/>
    </row>
    <row r="36" spans="1:26" x14ac:dyDescent="0.25">
      <c r="A36" s="62" t="s">
        <v>1583</v>
      </c>
      <c r="B36" s="62" t="s">
        <v>350</v>
      </c>
      <c r="J36" s="31">
        <v>1</v>
      </c>
      <c r="O36" s="42">
        <f>C36*Prislapp!$C$2+D36*Prislapp!$D$2+E36*Prislapp!$E$2+F36*Prislapp!$F$2+G36*Prislapp!$G$2+H36*Prislapp!$H$2+I36*Prislapp!$I$2+J36*Prislapp!$J$2+K36*Prislapp!$K$2+L36*Prislapp!$L$2+M36*Prislapp!$M$2+N36*Prislapp!$N$2</f>
        <v>19473</v>
      </c>
      <c r="P36" s="42">
        <f>C36*Prislapp!$C$3+D36*Prislapp!$D$3+E36*Prislapp!$E$3+F36*Prislapp!$F$3+G36*Prislapp!$G$3+H36*Prislapp!$H$3+I36*Prislapp!$I$3+J36*Prislapp!$J$3+K36*Prislapp!$K$3+M36*Prislapp!$M$3+N36*Prislapp!$N$3</f>
        <v>34806</v>
      </c>
      <c r="Q36" s="42">
        <f>C36*Prislapp!$C$5+D36*Prislapp!$D$5+E36*Prislapp!$E$5+F36*Prislapp!$F$5+G36*Prislapp!$G$5+H36*Prislapp!$H$5+I36*Prislapp!$I$5+J36*Prislapp!$J$5+K36*Prislapp!$K$5+L36*Prislapp!$L$5+M36*Prislapp!$M$5+N36*Prislapp!$N$5</f>
        <v>21800</v>
      </c>
      <c r="R36" s="9">
        <f>VLOOKUP(A36,'Ansvar kurs'!$A$2:$B$830,2,FALSE)</f>
        <v>5400</v>
      </c>
      <c r="S36" s="159"/>
      <c r="T36" s="159"/>
      <c r="U36" s="159"/>
      <c r="V36" s="159"/>
      <c r="W36" s="159"/>
      <c r="X36" s="159"/>
      <c r="Y36" s="159"/>
      <c r="Z36" s="159"/>
    </row>
    <row r="37" spans="1:26" x14ac:dyDescent="0.25">
      <c r="A37" s="31" t="s">
        <v>349</v>
      </c>
      <c r="B37" s="31" t="s">
        <v>350</v>
      </c>
      <c r="H37" s="31">
        <v>1</v>
      </c>
      <c r="O37" s="42">
        <f>C37*Prislapp!$C$2+D37*Prislapp!$D$2+E37*Prislapp!$E$2+F37*Prislapp!$F$2+G37*Prislapp!$G$2+H37*Prislapp!$H$2+I37*Prislapp!$I$2+J37*Prislapp!$J$2+K37*Prislapp!$K$2+L37*Prislapp!$L$2+M37*Prislapp!$M$2+N37*Prislapp!$N$2</f>
        <v>19473</v>
      </c>
      <c r="P37" s="42">
        <f>C37*Prislapp!$C$3+D37*Prislapp!$D$3+E37*Prislapp!$E$3+F37*Prislapp!$F$3+G37*Prislapp!$G$3+H37*Prislapp!$H$3+I37*Prislapp!$I$3+J37*Prislapp!$J$3+K37*Prislapp!$K$3+M37*Prislapp!$M$3+N37*Prislapp!$N$3</f>
        <v>34806</v>
      </c>
      <c r="Q37" s="42">
        <f>C37*Prislapp!$C$5+D37*Prislapp!$D$5+E37*Prislapp!$E$5+F37*Prislapp!$F$5+G37*Prislapp!$G$5+H37*Prislapp!$H$5+I37*Prislapp!$I$5+J37*Prislapp!$J$5+K37*Prislapp!$K$5+L37*Prislapp!$L$5+M37*Prislapp!$M$5+N37*Prislapp!$N$5</f>
        <v>21800</v>
      </c>
      <c r="R37" s="9">
        <f>VLOOKUP(A37,'Ansvar kurs'!$A$2:$B$830,2,FALSE)</f>
        <v>5400</v>
      </c>
      <c r="S37" s="159"/>
      <c r="T37" s="159"/>
      <c r="U37" s="159"/>
      <c r="V37" s="159"/>
      <c r="W37" s="159"/>
      <c r="X37" s="159"/>
      <c r="Y37" s="159"/>
      <c r="Z37" s="159"/>
    </row>
    <row r="38" spans="1:26" x14ac:dyDescent="0.25">
      <c r="A38" s="31" t="s">
        <v>1794</v>
      </c>
      <c r="B38" s="31" t="s">
        <v>1804</v>
      </c>
      <c r="J38" s="31">
        <v>1</v>
      </c>
      <c r="O38" s="42">
        <f>C38*Prislapp!$C$2+D38*Prislapp!$D$2+E38*Prislapp!$E$2+F38*Prislapp!$F$2+G38*Prislapp!$G$2+H38*Prislapp!$H$2+I38*Prislapp!$I$2+J38*Prislapp!$J$2+K38*Prislapp!$K$2+L38*Prislapp!$L$2+M38*Prislapp!$M$2+N38*Prislapp!$N$2</f>
        <v>19473</v>
      </c>
      <c r="P38" s="42">
        <f>C38*Prislapp!$C$3+D38*Prislapp!$D$3+E38*Prislapp!$E$3+F38*Prislapp!$F$3+G38*Prislapp!$G$3+H38*Prislapp!$H$3+I38*Prislapp!$I$3+J38*Prislapp!$J$3+K38*Prislapp!$K$3+M38*Prislapp!$M$3+N38*Prislapp!$N$3</f>
        <v>34806</v>
      </c>
      <c r="Q38" s="42">
        <f>C38*Prislapp!$C$5+D38*Prislapp!$D$5+E38*Prislapp!$E$5+F38*Prislapp!$F$5+G38*Prislapp!$G$5+H38*Prislapp!$H$5+I38*Prislapp!$I$5+J38*Prislapp!$J$5+K38*Prislapp!$K$5+L38*Prislapp!$L$5+M38*Prislapp!$M$5+N38*Prislapp!$N$5</f>
        <v>21800</v>
      </c>
      <c r="R38" s="9">
        <f>VLOOKUP(A38,'Ansvar kurs'!$A$2:$B$830,2,FALSE)</f>
        <v>5400</v>
      </c>
      <c r="S38" s="159"/>
      <c r="T38" s="159"/>
      <c r="U38" s="159"/>
      <c r="V38" s="159"/>
      <c r="W38" s="159"/>
      <c r="X38" s="159"/>
      <c r="Y38" s="159"/>
      <c r="Z38" s="159"/>
    </row>
    <row r="39" spans="1:26" x14ac:dyDescent="0.25">
      <c r="A39" s="31" t="s">
        <v>1021</v>
      </c>
      <c r="B39" s="31" t="s">
        <v>1060</v>
      </c>
      <c r="H39" s="31">
        <v>1</v>
      </c>
      <c r="O39" s="42">
        <f>C39*Prislapp!$C$2+D39*Prislapp!$D$2+E39*Prislapp!$E$2+F39*Prislapp!$F$2+G39*Prislapp!$G$2+H39*Prislapp!$H$2+I39*Prislapp!$I$2+J39*Prislapp!$J$2+K39*Prislapp!$K$2+L39*Prislapp!$L$2+M39*Prislapp!$M$2+N39*Prislapp!$N$2</f>
        <v>19473</v>
      </c>
      <c r="P39" s="42">
        <f>C39*Prislapp!$C$3+D39*Prislapp!$D$3+E39*Prislapp!$E$3+F39*Prislapp!$F$3+G39*Prislapp!$G$3+H39*Prislapp!$H$3+I39*Prislapp!$I$3+J39*Prislapp!$J$3+K39*Prislapp!$K$3+M39*Prislapp!$M$3+N39*Prislapp!$N$3</f>
        <v>34806</v>
      </c>
      <c r="Q39" s="42">
        <f>C39*Prislapp!$C$5+D39*Prislapp!$D$5+E39*Prislapp!$E$5+F39*Prislapp!$F$5+G39*Prislapp!$G$5+H39*Prislapp!$H$5+I39*Prislapp!$I$5+J39*Prislapp!$J$5+K39*Prislapp!$K$5+L39*Prislapp!$L$5+M39*Prislapp!$M$5+N39*Prislapp!$N$5</f>
        <v>21800</v>
      </c>
      <c r="R39" s="9">
        <f>VLOOKUP(A39,'Ansvar kurs'!$A$2:$B$830,2,FALSE)</f>
        <v>5400</v>
      </c>
      <c r="S39" s="159"/>
      <c r="T39" s="159"/>
      <c r="U39" s="159"/>
      <c r="V39" s="159"/>
      <c r="W39" s="159"/>
      <c r="X39" s="159"/>
      <c r="Y39" s="159"/>
      <c r="Z39" s="159"/>
    </row>
    <row r="40" spans="1:26" x14ac:dyDescent="0.25">
      <c r="A40" s="31" t="s">
        <v>1022</v>
      </c>
      <c r="B40" s="31" t="s">
        <v>1061</v>
      </c>
      <c r="H40" s="31">
        <v>1</v>
      </c>
      <c r="O40" s="42">
        <f>C40*Prislapp!$C$2+D40*Prislapp!$D$2+E40*Prislapp!$E$2+F40*Prislapp!$F$2+G40*Prislapp!$G$2+H40*Prislapp!$H$2+I40*Prislapp!$I$2+J40*Prislapp!$J$2+K40*Prislapp!$K$2+L40*Prislapp!$L$2+M40*Prislapp!$M$2+N40*Prislapp!$N$2</f>
        <v>19473</v>
      </c>
      <c r="P40" s="42">
        <f>C40*Prislapp!$C$3+D40*Prislapp!$D$3+E40*Prislapp!$E$3+F40*Prislapp!$F$3+G40*Prislapp!$G$3+H40*Prislapp!$H$3+I40*Prislapp!$I$3+J40*Prislapp!$J$3+K40*Prislapp!$K$3+M40*Prislapp!$M$3+N40*Prislapp!$N$3</f>
        <v>34806</v>
      </c>
      <c r="Q40" s="42">
        <f>C40*Prislapp!$C$5+D40*Prislapp!$D$5+E40*Prislapp!$E$5+F40*Prislapp!$F$5+G40*Prislapp!$G$5+H40*Prislapp!$H$5+I40*Prislapp!$I$5+J40*Prislapp!$J$5+K40*Prislapp!$K$5+L40*Prislapp!$L$5+M40*Prislapp!$M$5+N40*Prislapp!$N$5</f>
        <v>21800</v>
      </c>
      <c r="R40" s="9">
        <f>VLOOKUP(A40,'Ansvar kurs'!$A$2:$B$830,2,FALSE)</f>
        <v>5400</v>
      </c>
      <c r="S40" s="159"/>
      <c r="T40" s="159"/>
      <c r="U40" s="159"/>
      <c r="V40" s="159"/>
      <c r="W40" s="159"/>
      <c r="X40" s="159"/>
      <c r="Y40" s="159"/>
      <c r="Z40" s="159"/>
    </row>
    <row r="41" spans="1:26" x14ac:dyDescent="0.25">
      <c r="A41" s="31" t="s">
        <v>1142</v>
      </c>
      <c r="B41" s="31" t="s">
        <v>1146</v>
      </c>
      <c r="H41" s="31">
        <v>1</v>
      </c>
      <c r="O41" s="42">
        <f>C41*Prislapp!$C$2+D41*Prislapp!$D$2+E41*Prislapp!$E$2+F41*Prislapp!$F$2+G41*Prislapp!$G$2+H41*Prislapp!$H$2+I41*Prislapp!$I$2+J41*Prislapp!$J$2+K41*Prislapp!$K$2+L41*Prislapp!$L$2+M41*Prislapp!$M$2+N41*Prislapp!$N$2</f>
        <v>19473</v>
      </c>
      <c r="P41" s="42">
        <f>C41*Prislapp!$C$3+D41*Prislapp!$D$3+E41*Prislapp!$E$3+F41*Prislapp!$F$3+G41*Prislapp!$G$3+H41*Prislapp!$H$3+I41*Prislapp!$I$3+J41*Prislapp!$J$3+K41*Prislapp!$K$3+M41*Prislapp!$M$3+N41*Prislapp!$N$3</f>
        <v>34806</v>
      </c>
      <c r="Q41" s="42">
        <f>C41*Prislapp!$C$5+D41*Prislapp!$D$5+E41*Prislapp!$E$5+F41*Prislapp!$F$5+G41*Prislapp!$G$5+H41*Prislapp!$H$5+I41*Prislapp!$I$5+J41*Prislapp!$J$5+K41*Prislapp!$K$5+L41*Prislapp!$L$5+M41*Prislapp!$M$5+N41*Prislapp!$N$5</f>
        <v>21800</v>
      </c>
      <c r="R41" s="9">
        <f>VLOOKUP(A41,'Ansvar kurs'!$A$2:$B$830,2,FALSE)</f>
        <v>5400</v>
      </c>
      <c r="S41" s="159"/>
      <c r="T41" s="159"/>
      <c r="U41" s="159"/>
      <c r="V41" s="159"/>
      <c r="W41" s="159"/>
      <c r="X41" s="159"/>
      <c r="Y41" s="159"/>
      <c r="Z41" s="159"/>
    </row>
    <row r="42" spans="1:26" x14ac:dyDescent="0.25">
      <c r="A42" s="31" t="s">
        <v>1023</v>
      </c>
      <c r="B42" s="31" t="s">
        <v>1062</v>
      </c>
      <c r="J42" s="31">
        <v>1</v>
      </c>
      <c r="O42" s="42">
        <f>C42*Prislapp!$C$2+D42*Prislapp!$D$2+E42*Prislapp!$E$2+F42*Prislapp!$F$2+G42*Prislapp!$G$2+H42*Prislapp!$H$2+I42*Prislapp!$I$2+J42*Prislapp!$J$2+K42*Prislapp!$K$2+L42*Prislapp!$L$2+M42*Prislapp!$M$2+N42*Prislapp!$N$2</f>
        <v>19473</v>
      </c>
      <c r="P42" s="42">
        <f>C42*Prislapp!$C$3+D42*Prislapp!$D$3+E42*Prislapp!$E$3+F42*Prislapp!$F$3+G42*Prislapp!$G$3+H42*Prislapp!$H$3+I42*Prislapp!$I$3+J42*Prislapp!$J$3+K42*Prislapp!$K$3+M42*Prislapp!$M$3+N42*Prislapp!$N$3</f>
        <v>34806</v>
      </c>
      <c r="Q42" s="42">
        <f>C42*Prislapp!$C$5+D42*Prislapp!$D$5+E42*Prislapp!$E$5+F42*Prislapp!$F$5+G42*Prislapp!$G$5+H42*Prislapp!$H$5+I42*Prislapp!$I$5+J42*Prislapp!$J$5+K42*Prislapp!$K$5+L42*Prislapp!$L$5+M42*Prislapp!$M$5+N42*Prislapp!$N$5</f>
        <v>21800</v>
      </c>
      <c r="R42" s="9">
        <f>VLOOKUP(A42,'Ansvar kurs'!$A$2:$B$830,2,FALSE)</f>
        <v>5400</v>
      </c>
      <c r="S42" s="159"/>
      <c r="T42" s="159"/>
      <c r="U42" s="159"/>
      <c r="V42" s="159"/>
      <c r="W42" s="159"/>
      <c r="X42" s="159"/>
      <c r="Y42" s="159"/>
      <c r="Z42" s="159"/>
    </row>
    <row r="43" spans="1:26" x14ac:dyDescent="0.25">
      <c r="A43" s="31" t="s">
        <v>1795</v>
      </c>
      <c r="B43" s="31" t="s">
        <v>1805</v>
      </c>
      <c r="H43" s="31">
        <v>0.5</v>
      </c>
      <c r="J43" s="31">
        <v>0.5</v>
      </c>
      <c r="O43" s="42">
        <f>C43*Prislapp!$C$2+D43*Prislapp!$D$2+E43*Prislapp!$E$2+F43*Prislapp!$F$2+G43*Prislapp!$G$2+H43*Prislapp!$H$2+I43*Prislapp!$I$2+J43*Prislapp!$J$2+K43*Prislapp!$K$2+L43*Prislapp!$L$2+M43*Prislapp!$M$2+N43*Prislapp!$N$2</f>
        <v>19473</v>
      </c>
      <c r="P43" s="42">
        <f>C43*Prislapp!$C$3+D43*Prislapp!$D$3+E43*Prislapp!$E$3+F43*Prislapp!$F$3+G43*Prislapp!$G$3+H43*Prislapp!$H$3+I43*Prislapp!$I$3+J43*Prislapp!$J$3+K43*Prislapp!$K$3+M43*Prislapp!$M$3+N43*Prislapp!$N$3</f>
        <v>34806</v>
      </c>
      <c r="Q43" s="42">
        <f>C43*Prislapp!$C$5+D43*Prislapp!$D$5+E43*Prislapp!$E$5+F43*Prislapp!$F$5+G43*Prislapp!$G$5+H43*Prislapp!$H$5+I43*Prislapp!$I$5+J43*Prislapp!$J$5+K43*Prislapp!$K$5+L43*Prislapp!$L$5+M43*Prislapp!$M$5+N43*Prislapp!$N$5</f>
        <v>21800</v>
      </c>
      <c r="R43" s="9">
        <f>VLOOKUP(A43,'Ansvar kurs'!$A$2:$B$830,2,FALSE)</f>
        <v>5400</v>
      </c>
      <c r="S43" s="159"/>
      <c r="T43" s="159"/>
      <c r="U43" s="159"/>
      <c r="V43" s="159"/>
      <c r="W43" s="159"/>
      <c r="X43" s="159"/>
      <c r="Y43" s="159"/>
      <c r="Z43" s="159"/>
    </row>
    <row r="44" spans="1:26" x14ac:dyDescent="0.25">
      <c r="A44" s="31" t="s">
        <v>1082</v>
      </c>
      <c r="B44" s="31" t="s">
        <v>1091</v>
      </c>
      <c r="H44" s="31">
        <v>0.5</v>
      </c>
      <c r="J44" s="31">
        <v>0.5</v>
      </c>
      <c r="O44" s="42">
        <f>C44*Prislapp!$C$2+D44*Prislapp!$D$2+E44*Prislapp!$E$2+F44*Prislapp!$F$2+G44*Prislapp!$G$2+H44*Prislapp!$H$2+I44*Prislapp!$I$2+J44*Prislapp!$J$2+K44*Prislapp!$K$2+L44*Prislapp!$L$2+M44*Prislapp!$M$2+N44*Prislapp!$N$2</f>
        <v>19473</v>
      </c>
      <c r="P44" s="42">
        <f>C44*Prislapp!$C$3+D44*Prislapp!$D$3+E44*Prislapp!$E$3+F44*Prislapp!$F$3+G44*Prislapp!$G$3+H44*Prislapp!$H$3+I44*Prislapp!$I$3+J44*Prislapp!$J$3+K44*Prislapp!$K$3+M44*Prislapp!$M$3+N44*Prislapp!$N$3</f>
        <v>34806</v>
      </c>
      <c r="Q44" s="42">
        <f>C44*Prislapp!$C$5+D44*Prislapp!$D$5+E44*Prislapp!$E$5+F44*Prislapp!$F$5+G44*Prislapp!$G$5+H44*Prislapp!$H$5+I44*Prislapp!$I$5+J44*Prislapp!$J$5+K44*Prislapp!$K$5+L44*Prislapp!$L$5+M44*Prislapp!$M$5+N44*Prislapp!$N$5</f>
        <v>21800</v>
      </c>
      <c r="R44" s="9">
        <f>VLOOKUP(A44,'Ansvar kurs'!$A$2:$B$830,2,FALSE)</f>
        <v>5400</v>
      </c>
      <c r="S44" s="159"/>
      <c r="T44" s="159"/>
      <c r="U44" s="159"/>
      <c r="V44" s="159"/>
      <c r="W44" s="159"/>
      <c r="X44" s="159"/>
      <c r="Y44" s="159"/>
      <c r="Z44" s="159"/>
    </row>
    <row r="45" spans="1:26" x14ac:dyDescent="0.25">
      <c r="A45" s="62" t="s">
        <v>1260</v>
      </c>
      <c r="B45" s="62" t="s">
        <v>1261</v>
      </c>
      <c r="H45" s="31">
        <v>0.5</v>
      </c>
      <c r="J45" s="31">
        <v>0.5</v>
      </c>
      <c r="O45" s="42">
        <f>C45*Prislapp!$C$2+D45*Prislapp!$D$2+E45*Prislapp!$E$2+F45*Prislapp!$F$2+G45*Prislapp!$G$2+H45*Prislapp!$H$2+I45*Prislapp!$I$2+J45*Prislapp!$J$2+K45*Prislapp!$K$2+L45*Prislapp!$L$2+M45*Prislapp!$M$2+N45*Prislapp!$N$2</f>
        <v>19473</v>
      </c>
      <c r="P45" s="42">
        <f>C45*Prislapp!$C$3+D45*Prislapp!$D$3+E45*Prislapp!$E$3+F45*Prislapp!$F$3+G45*Prislapp!$G$3+H45*Prislapp!$H$3+I45*Prislapp!$I$3+J45*Prislapp!$J$3+K45*Prislapp!$K$3+M45*Prislapp!$M$3+N45*Prislapp!$N$3</f>
        <v>34806</v>
      </c>
      <c r="Q45" s="42">
        <f>C45*Prislapp!$C$5+D45*Prislapp!$D$5+E45*Prislapp!$E$5+F45*Prislapp!$F$5+G45*Prislapp!$G$5+H45*Prislapp!$H$5+I45*Prislapp!$I$5+J45*Prislapp!$J$5+K45*Prislapp!$K$5+L45*Prislapp!$L$5+M45*Prislapp!$M$5+N45*Prislapp!$N$5</f>
        <v>21800</v>
      </c>
      <c r="R45" s="9">
        <f>VLOOKUP(A45,'Ansvar kurs'!$A$2:$B$830,2,FALSE)</f>
        <v>5400</v>
      </c>
      <c r="S45" s="159"/>
      <c r="T45" s="159"/>
      <c r="U45" s="159"/>
      <c r="V45" s="159"/>
      <c r="W45" s="159"/>
      <c r="X45" s="159"/>
      <c r="Y45" s="159"/>
      <c r="Z45" s="159"/>
    </row>
    <row r="46" spans="1:26" x14ac:dyDescent="0.25">
      <c r="A46" s="31" t="s">
        <v>1143</v>
      </c>
      <c r="B46" s="31" t="s">
        <v>1147</v>
      </c>
      <c r="H46" s="31">
        <v>0.5</v>
      </c>
      <c r="J46" s="31">
        <v>0.5</v>
      </c>
      <c r="O46" s="42">
        <f>C46*Prislapp!$C$2+D46*Prislapp!$D$2+E46*Prislapp!$E$2+F46*Prislapp!$F$2+G46*Prislapp!$G$2+H46*Prislapp!$H$2+I46*Prislapp!$I$2+J46*Prislapp!$J$2+K46*Prislapp!$K$2+L46*Prislapp!$L$2+M46*Prislapp!$M$2+N46*Prislapp!$N$2</f>
        <v>19473</v>
      </c>
      <c r="P46" s="42">
        <f>C46*Prislapp!$C$3+D46*Prislapp!$D$3+E46*Prislapp!$E$3+F46*Prislapp!$F$3+G46*Prislapp!$G$3+H46*Prislapp!$H$3+I46*Prislapp!$I$3+J46*Prislapp!$J$3+K46*Prislapp!$K$3+M46*Prislapp!$M$3+N46*Prislapp!$N$3</f>
        <v>34806</v>
      </c>
      <c r="Q46" s="42">
        <f>C46*Prislapp!$C$5+D46*Prislapp!$D$5+E46*Prislapp!$E$5+F46*Prislapp!$F$5+G46*Prislapp!$G$5+H46*Prislapp!$H$5+I46*Prislapp!$I$5+J46*Prislapp!$J$5+K46*Prislapp!$K$5+L46*Prislapp!$L$5+M46*Prislapp!$M$5+N46*Prislapp!$N$5</f>
        <v>21800</v>
      </c>
      <c r="R46" s="9">
        <f>VLOOKUP(A46,'Ansvar kurs'!$A$2:$B$830,2,FALSE)</f>
        <v>5400</v>
      </c>
      <c r="S46" s="159"/>
      <c r="T46" s="159"/>
      <c r="U46" s="159"/>
      <c r="V46" s="159"/>
      <c r="W46" s="159"/>
      <c r="X46" s="159"/>
      <c r="Y46" s="159"/>
      <c r="Z46" s="159"/>
    </row>
    <row r="47" spans="1:26" x14ac:dyDescent="0.25">
      <c r="A47" s="31" t="s">
        <v>1144</v>
      </c>
      <c r="B47" s="31" t="s">
        <v>1148</v>
      </c>
      <c r="H47" s="31">
        <v>0.5</v>
      </c>
      <c r="J47" s="31">
        <v>0.5</v>
      </c>
      <c r="O47" s="42">
        <f>C47*Prislapp!$C$2+D47*Prislapp!$D$2+E47*Prislapp!$E$2+F47*Prislapp!$F$2+G47*Prislapp!$G$2+H47*Prislapp!$H$2+I47*Prislapp!$I$2+J47*Prislapp!$J$2+K47*Prislapp!$K$2+L47*Prislapp!$L$2+M47*Prislapp!$M$2+N47*Prislapp!$N$2</f>
        <v>19473</v>
      </c>
      <c r="P47" s="42">
        <f>C47*Prislapp!$C$3+D47*Prislapp!$D$3+E47*Prislapp!$E$3+F47*Prislapp!$F$3+G47*Prislapp!$G$3+H47*Prislapp!$H$3+I47*Prislapp!$I$3+J47*Prislapp!$J$3+K47*Prislapp!$K$3+M47*Prislapp!$M$3+N47*Prislapp!$N$3</f>
        <v>34806</v>
      </c>
      <c r="Q47" s="42">
        <f>C47*Prislapp!$C$5+D47*Prislapp!$D$5+E47*Prislapp!$E$5+F47*Prislapp!$F$5+G47*Prislapp!$G$5+H47*Prislapp!$H$5+I47*Prislapp!$I$5+J47*Prislapp!$J$5+K47*Prislapp!$K$5+L47*Prislapp!$L$5+M47*Prislapp!$M$5+N47*Prislapp!$N$5</f>
        <v>21800</v>
      </c>
      <c r="R47" s="9">
        <f>VLOOKUP(A47,'Ansvar kurs'!$A$2:$B$830,2,FALSE)</f>
        <v>5400</v>
      </c>
      <c r="S47" s="159"/>
      <c r="T47" s="159"/>
      <c r="U47" s="159"/>
      <c r="V47" s="159"/>
      <c r="W47" s="159"/>
      <c r="X47" s="159"/>
      <c r="Y47" s="159"/>
      <c r="Z47" s="159"/>
    </row>
    <row r="48" spans="1:26" x14ac:dyDescent="0.25">
      <c r="A48" s="31" t="s">
        <v>1746</v>
      </c>
      <c r="B48" s="31" t="s">
        <v>1060</v>
      </c>
      <c r="H48" s="31">
        <v>0.5</v>
      </c>
      <c r="J48" s="31">
        <v>0.5</v>
      </c>
      <c r="O48" s="42">
        <f>C48*Prislapp!$C$2+D48*Prislapp!$D$2+E48*Prislapp!$E$2+F48*Prislapp!$F$2+G48*Prislapp!$G$2+H48*Prislapp!$H$2+I48*Prislapp!$I$2+J48*Prislapp!$J$2+K48*Prislapp!$K$2+L48*Prislapp!$L$2+M48*Prislapp!$M$2+N48*Prislapp!$N$2</f>
        <v>19473</v>
      </c>
      <c r="P48" s="42">
        <f>C48*Prislapp!$C$3+D48*Prislapp!$D$3+E48*Prislapp!$E$3+F48*Prislapp!$F$3+G48*Prislapp!$G$3+H48*Prislapp!$H$3+I48*Prislapp!$I$3+J48*Prislapp!$J$3+K48*Prislapp!$K$3+M48*Prislapp!$M$3+N48*Prislapp!$N$3</f>
        <v>34806</v>
      </c>
      <c r="Q48" s="42">
        <f>C48*Prislapp!$C$5+D48*Prislapp!$D$5+E48*Prislapp!$E$5+F48*Prislapp!$F$5+G48*Prislapp!$G$5+H48*Prislapp!$H$5+I48*Prislapp!$I$5+J48*Prislapp!$J$5+K48*Prislapp!$K$5+L48*Prislapp!$L$5+M48*Prislapp!$M$5+N48*Prislapp!$N$5</f>
        <v>21800</v>
      </c>
      <c r="R48" s="9">
        <f>VLOOKUP(A48,'Ansvar kurs'!$A$2:$B$830,2,FALSE)</f>
        <v>5400</v>
      </c>
      <c r="S48" s="159"/>
      <c r="T48" s="159"/>
      <c r="U48" s="159"/>
      <c r="V48" s="159"/>
      <c r="W48" s="159"/>
      <c r="X48" s="159"/>
      <c r="Y48" s="159"/>
      <c r="Z48" s="159"/>
    </row>
    <row r="49" spans="1:26" x14ac:dyDescent="0.25">
      <c r="A49" s="62" t="s">
        <v>1602</v>
      </c>
      <c r="B49" s="59" t="s">
        <v>1603</v>
      </c>
      <c r="H49" s="31">
        <v>0.5</v>
      </c>
      <c r="J49" s="31">
        <v>0.5</v>
      </c>
      <c r="O49" s="42">
        <f>C49*Prislapp!$C$2+D49*Prislapp!$D$2+E49*Prislapp!$E$2+F49*Prislapp!$F$2+G49*Prislapp!$G$2+H49*Prislapp!$H$2+I49*Prislapp!$I$2+J49*Prislapp!$J$2+K49*Prislapp!$K$2+L49*Prislapp!$L$2+M49*Prislapp!$M$2+N49*Prislapp!$N$2</f>
        <v>19473</v>
      </c>
      <c r="P49" s="42">
        <f>C49*Prislapp!$C$3+D49*Prislapp!$D$3+E49*Prislapp!$E$3+F49*Prislapp!$F$3+G49*Prislapp!$G$3+H49*Prislapp!$H$3+I49*Prislapp!$I$3+J49*Prislapp!$J$3+K49*Prislapp!$K$3+M49*Prislapp!$M$3+N49*Prislapp!$N$3</f>
        <v>34806</v>
      </c>
      <c r="Q49" s="42">
        <f>C49*Prislapp!$C$5+D49*Prislapp!$D$5+E49*Prislapp!$E$5+F49*Prislapp!$F$5+G49*Prislapp!$G$5+H49*Prislapp!$H$5+I49*Prislapp!$I$5+J49*Prislapp!$J$5+K49*Prislapp!$K$5+L49*Prislapp!$L$5+M49*Prislapp!$M$5+N49*Prislapp!$N$5</f>
        <v>21800</v>
      </c>
      <c r="R49" s="9">
        <f>VLOOKUP(A49,'Ansvar kurs'!$A$2:$B$830,2,FALSE)</f>
        <v>5400</v>
      </c>
      <c r="S49" s="159"/>
      <c r="T49" s="159"/>
      <c r="U49" s="159"/>
      <c r="V49" s="159"/>
      <c r="W49" s="159"/>
      <c r="X49" s="159"/>
      <c r="Y49" s="159"/>
      <c r="Z49" s="159"/>
    </row>
    <row r="50" spans="1:26" x14ac:dyDescent="0.25">
      <c r="A50" s="62" t="s">
        <v>2233</v>
      </c>
      <c r="B50" s="59" t="s">
        <v>1091</v>
      </c>
      <c r="H50" s="31">
        <v>0.5</v>
      </c>
      <c r="J50" s="31">
        <v>0.5</v>
      </c>
      <c r="O50" s="42">
        <f>C50*Prislapp!$C$2+D50*Prislapp!$D$2+E50*Prislapp!$E$2+F50*Prislapp!$F$2+G50*Prislapp!$G$2+H50*Prislapp!$H$2+I50*Prislapp!$I$2+J50*Prislapp!$J$2+K50*Prislapp!$K$2+L50*Prislapp!$L$2+M50*Prislapp!$M$2+N50*Prislapp!$N$2</f>
        <v>19473</v>
      </c>
      <c r="P50" s="42">
        <f>C50*Prislapp!$C$3+D50*Prislapp!$D$3+E50*Prislapp!$E$3+F50*Prislapp!$F$3+G50*Prislapp!$G$3+H50*Prislapp!$H$3+I50*Prislapp!$I$3+J50*Prislapp!$J$3+K50*Prislapp!$K$3+M50*Prislapp!$M$3+N50*Prislapp!$N$3</f>
        <v>34806</v>
      </c>
      <c r="Q50" s="42">
        <f>C50*Prislapp!$C$5+D50*Prislapp!$D$5+E50*Prislapp!$E$5+F50*Prislapp!$F$5+G50*Prislapp!$G$5+H50*Prislapp!$H$5+I50*Prislapp!$I$5+J50*Prislapp!$J$5+K50*Prislapp!$K$5+L50*Prislapp!$L$5+M50*Prislapp!$M$5+N50*Prislapp!$N$5</f>
        <v>21800</v>
      </c>
      <c r="R50" s="9">
        <f>VLOOKUP(A50,'Ansvar kurs'!$A$2:$B$830,2,FALSE)</f>
        <v>5400</v>
      </c>
      <c r="S50" s="159"/>
      <c r="T50" s="159"/>
      <c r="U50" s="159"/>
      <c r="V50" s="159"/>
      <c r="W50" s="159"/>
      <c r="X50" s="159"/>
      <c r="Y50" s="159"/>
      <c r="Z50" s="159"/>
    </row>
    <row r="51" spans="1:26" x14ac:dyDescent="0.25">
      <c r="A51" s="31" t="s">
        <v>2234</v>
      </c>
      <c r="B51" s="31" t="s">
        <v>1090</v>
      </c>
      <c r="H51" s="31">
        <v>0.5</v>
      </c>
      <c r="J51" s="31">
        <v>0.5</v>
      </c>
      <c r="O51" s="42">
        <f>C51*Prislapp!$C$2+D51*Prislapp!$D$2+E51*Prislapp!$E$2+F51*Prislapp!$F$2+G51*Prislapp!$G$2+H51*Prislapp!$H$2+I51*Prislapp!$I$2+J51*Prislapp!$J$2+K51*Prislapp!$K$2+L51*Prislapp!$L$2+M51*Prislapp!$M$2+N51*Prislapp!$N$2</f>
        <v>19473</v>
      </c>
      <c r="P51" s="42">
        <f>C51*Prislapp!$C$3+D51*Prislapp!$D$3+E51*Prislapp!$E$3+F51*Prislapp!$F$3+G51*Prislapp!$G$3+H51*Prislapp!$H$3+I51*Prislapp!$I$3+J51*Prislapp!$J$3+K51*Prislapp!$K$3+M51*Prislapp!$M$3+N51*Prislapp!$N$3</f>
        <v>34806</v>
      </c>
      <c r="Q51" s="42">
        <f>C51*Prislapp!$C$5+D51*Prislapp!$D$5+E51*Prislapp!$E$5+F51*Prislapp!$F$5+G51*Prislapp!$G$5+H51*Prislapp!$H$5+I51*Prislapp!$I$5+J51*Prislapp!$J$5+K51*Prislapp!$K$5+L51*Prislapp!$L$5+M51*Prislapp!$M$5+N51*Prislapp!$N$5</f>
        <v>21800</v>
      </c>
      <c r="R51" s="9">
        <f>VLOOKUP(A51,'Ansvar kurs'!$A$2:$B$830,2,FALSE)</f>
        <v>5400</v>
      </c>
      <c r="S51" s="159"/>
      <c r="T51" s="159"/>
      <c r="U51" s="159"/>
      <c r="V51" s="159"/>
      <c r="W51" s="159"/>
      <c r="X51" s="159"/>
      <c r="Y51" s="159"/>
      <c r="Z51" s="159"/>
    </row>
    <row r="52" spans="1:26" x14ac:dyDescent="0.25">
      <c r="A52" s="62" t="s">
        <v>2191</v>
      </c>
      <c r="B52" s="59" t="s">
        <v>2192</v>
      </c>
      <c r="H52" s="31">
        <v>0.5</v>
      </c>
      <c r="J52" s="31">
        <v>0.5</v>
      </c>
      <c r="O52" s="42">
        <f>C52*Prislapp!$C$2+D52*Prislapp!$D$2+E52*Prislapp!$E$2+F52*Prislapp!$F$2+G52*Prislapp!$G$2+H52*Prislapp!$H$2+I52*Prislapp!$I$2+J52*Prislapp!$J$2+K52*Prislapp!$K$2+L52*Prislapp!$L$2+M52*Prislapp!$M$2+N52*Prislapp!$N$2</f>
        <v>19473</v>
      </c>
      <c r="P52" s="42">
        <f>C52*Prislapp!$C$3+D52*Prislapp!$D$3+E52*Prislapp!$E$3+F52*Prislapp!$F$3+G52*Prislapp!$G$3+H52*Prislapp!$H$3+I52*Prislapp!$I$3+J52*Prislapp!$J$3+K52*Prislapp!$K$3+M52*Prislapp!$M$3+N52*Prislapp!$N$3</f>
        <v>34806</v>
      </c>
      <c r="Q52" s="42">
        <f>C52*Prislapp!$C$5+D52*Prislapp!$D$5+E52*Prislapp!$E$5+F52*Prislapp!$F$5+G52*Prislapp!$G$5+H52*Prislapp!$H$5+I52*Prislapp!$I$5+J52*Prislapp!$J$5+K52*Prislapp!$K$5+L52*Prislapp!$L$5+M52*Prislapp!$M$5+N52*Prislapp!$N$5</f>
        <v>21800</v>
      </c>
      <c r="R52" s="9">
        <f>VLOOKUP(A52,'Ansvar kurs'!$A$2:$B$830,2,FALSE)</f>
        <v>5400</v>
      </c>
      <c r="S52" s="159"/>
      <c r="T52" s="159"/>
      <c r="U52" s="159"/>
      <c r="V52" s="159"/>
      <c r="W52" s="159"/>
      <c r="X52" s="159"/>
      <c r="Y52" s="159"/>
      <c r="Z52" s="159"/>
    </row>
    <row r="53" spans="1:26" x14ac:dyDescent="0.25">
      <c r="A53" s="31" t="s">
        <v>1024</v>
      </c>
      <c r="B53" s="31" t="s">
        <v>1063</v>
      </c>
      <c r="J53" s="31">
        <v>1</v>
      </c>
      <c r="O53" s="42">
        <f>C53*Prislapp!$C$2+D53*Prislapp!$D$2+E53*Prislapp!$E$2+F53*Prislapp!$F$2+G53*Prislapp!$G$2+H53*Prislapp!$H$2+I53*Prislapp!$I$2+J53*Prislapp!$J$2+K53*Prislapp!$K$2+L53*Prislapp!$L$2+M53*Prislapp!$M$2+N53*Prislapp!$N$2</f>
        <v>19473</v>
      </c>
      <c r="P53" s="42">
        <f>C53*Prislapp!$C$3+D53*Prislapp!$D$3+E53*Prislapp!$E$3+F53*Prislapp!$F$3+G53*Prislapp!$G$3+H53*Prislapp!$H$3+I53*Prislapp!$I$3+J53*Prislapp!$J$3+K53*Prislapp!$K$3+M53*Prislapp!$M$3+N53*Prislapp!$N$3</f>
        <v>34806</v>
      </c>
      <c r="Q53" s="42">
        <f>C53*Prislapp!$C$5+D53*Prislapp!$D$5+E53*Prislapp!$E$5+F53*Prislapp!$F$5+G53*Prislapp!$G$5+H53*Prislapp!$H$5+I53*Prislapp!$I$5+J53*Prislapp!$J$5+K53*Prislapp!$K$5+L53*Prislapp!$L$5+M53*Prislapp!$M$5+N53*Prislapp!$N$5</f>
        <v>21800</v>
      </c>
      <c r="R53" s="9">
        <f>VLOOKUP(A53,'Ansvar kurs'!$A$2:$B$830,2,FALSE)</f>
        <v>5500</v>
      </c>
      <c r="S53" s="159"/>
      <c r="T53" s="159"/>
      <c r="U53" s="159"/>
      <c r="V53" s="159"/>
      <c r="W53" s="159"/>
      <c r="X53" s="159"/>
      <c r="Y53" s="159"/>
      <c r="Z53" s="159"/>
    </row>
    <row r="54" spans="1:26" x14ac:dyDescent="0.25">
      <c r="A54" s="31" t="s">
        <v>955</v>
      </c>
      <c r="B54" s="31" t="s">
        <v>352</v>
      </c>
      <c r="J54" s="31">
        <v>1</v>
      </c>
      <c r="O54" s="42">
        <f>C54*Prislapp!$C$2+D54*Prislapp!$D$2+E54*Prislapp!$E$2+F54*Prislapp!$F$2+G54*Prislapp!$G$2+H54*Prislapp!$H$2+I54*Prislapp!$I$2+J54*Prislapp!$J$2+K54*Prislapp!$K$2+L54*Prislapp!$L$2+M54*Prislapp!$M$2+N54*Prislapp!$N$2</f>
        <v>19473</v>
      </c>
      <c r="P54" s="42">
        <f>C54*Prislapp!$C$3+D54*Prislapp!$D$3+E54*Prislapp!$E$3+F54*Prislapp!$F$3+G54*Prislapp!$G$3+H54*Prislapp!$H$3+I54*Prislapp!$I$3+J54*Prislapp!$J$3+K54*Prislapp!$K$3+M54*Prislapp!$M$3+N54*Prislapp!$N$3</f>
        <v>34806</v>
      </c>
      <c r="Q54" s="42">
        <f>C54*Prislapp!$C$5+D54*Prislapp!$D$5+E54*Prislapp!$E$5+F54*Prislapp!$F$5+G54*Prislapp!$G$5+H54*Prislapp!$H$5+I54*Prislapp!$I$5+J54*Prislapp!$J$5+K54*Prislapp!$K$5+L54*Prislapp!$L$5+M54*Prislapp!$M$5+N54*Prislapp!$N$5</f>
        <v>21800</v>
      </c>
      <c r="R54" s="9">
        <f>VLOOKUP(A54,'Ansvar kurs'!$A$2:$B$830,2,FALSE)</f>
        <v>5500</v>
      </c>
      <c r="S54" s="159"/>
      <c r="T54" s="159"/>
      <c r="U54" s="159"/>
      <c r="V54" s="159"/>
      <c r="W54" s="159"/>
      <c r="X54" s="159"/>
      <c r="Y54" s="159"/>
      <c r="Z54" s="159"/>
    </row>
    <row r="55" spans="1:26" x14ac:dyDescent="0.25">
      <c r="A55" s="59" t="s">
        <v>1796</v>
      </c>
      <c r="B55" s="62" t="s">
        <v>1275</v>
      </c>
      <c r="J55" s="31">
        <v>1</v>
      </c>
      <c r="O55" s="42">
        <f>C55*Prislapp!$C$2+D55*Prislapp!$D$2+E55*Prislapp!$E$2+F55*Prislapp!$F$2+G55*Prislapp!$G$2+H55*Prislapp!$H$2+I55*Prislapp!$I$2+J55*Prislapp!$J$2+K55*Prislapp!$K$2+L55*Prislapp!$L$2+M55*Prislapp!$M$2+N55*Prislapp!$N$2</f>
        <v>19473</v>
      </c>
      <c r="P55" s="42">
        <f>C55*Prislapp!$C$3+D55*Prislapp!$D$3+E55*Prislapp!$E$3+F55*Prislapp!$F$3+G55*Prislapp!$G$3+H55*Prislapp!$H$3+I55*Prislapp!$I$3+J55*Prislapp!$J$3+K55*Prislapp!$K$3+M55*Prislapp!$M$3+N55*Prislapp!$N$3</f>
        <v>34806</v>
      </c>
      <c r="Q55" s="42">
        <f>C55*Prislapp!$C$5+D55*Prislapp!$D$5+E55*Prislapp!$E$5+F55*Prislapp!$F$5+G55*Prislapp!$G$5+H55*Prislapp!$H$5+I55*Prislapp!$I$5+J55*Prislapp!$J$5+K55*Prislapp!$K$5+L55*Prislapp!$L$5+M55*Prislapp!$M$5+N55*Prislapp!$N$5</f>
        <v>21800</v>
      </c>
      <c r="R55" s="9">
        <f>VLOOKUP(A55,'Ansvar kurs'!$A$2:$B$830,2,FALSE)</f>
        <v>5500</v>
      </c>
      <c r="S55" s="159"/>
      <c r="T55" s="159"/>
      <c r="U55" s="159"/>
      <c r="V55" s="159"/>
      <c r="W55" s="159"/>
      <c r="X55" s="159"/>
      <c r="Y55" s="159"/>
      <c r="Z55" s="159"/>
    </row>
    <row r="56" spans="1:26" x14ac:dyDescent="0.25">
      <c r="A56" s="59" t="s">
        <v>1852</v>
      </c>
      <c r="B56" s="62" t="s">
        <v>1871</v>
      </c>
      <c r="H56" s="31">
        <v>1</v>
      </c>
      <c r="O56" s="42">
        <f>C56*Prislapp!$C$2+D56*Prislapp!$D$2+E56*Prislapp!$E$2+F56*Prislapp!$F$2+G56*Prislapp!$G$2+H56*Prislapp!$H$2+I56*Prislapp!$I$2+J56*Prislapp!$J$2+K56*Prislapp!$K$2+L56*Prislapp!$L$2+M56*Prislapp!$M$2+N56*Prislapp!$N$2</f>
        <v>19473</v>
      </c>
      <c r="P56" s="42">
        <f>C56*Prislapp!$C$3+D56*Prislapp!$D$3+E56*Prislapp!$E$3+F56*Prislapp!$F$3+G56*Prislapp!$G$3+H56*Prislapp!$H$3+I56*Prislapp!$I$3+J56*Prislapp!$J$3+K56*Prislapp!$K$3+M56*Prislapp!$M$3+N56*Prislapp!$N$3</f>
        <v>34806</v>
      </c>
      <c r="Q56" s="42">
        <f>C56*Prislapp!$C$5+D56*Prislapp!$D$5+E56*Prislapp!$E$5+F56*Prislapp!$F$5+G56*Prislapp!$G$5+H56*Prislapp!$H$5+I56*Prislapp!$I$5+J56*Prislapp!$J$5+K56*Prislapp!$K$5+L56*Prislapp!$L$5+M56*Prislapp!$M$5+N56*Prislapp!$N$5</f>
        <v>21800</v>
      </c>
      <c r="R56" s="9">
        <f>VLOOKUP(A56,'Ansvar kurs'!$A$2:$B$830,2,FALSE)</f>
        <v>5500</v>
      </c>
      <c r="S56" s="159"/>
      <c r="T56" s="159"/>
      <c r="U56" s="159"/>
      <c r="V56" s="159"/>
      <c r="W56" s="159"/>
      <c r="X56" s="159"/>
      <c r="Y56" s="159"/>
      <c r="Z56" s="159"/>
    </row>
    <row r="57" spans="1:26" x14ac:dyDescent="0.25">
      <c r="A57" s="59" t="s">
        <v>1853</v>
      </c>
      <c r="B57" s="62" t="s">
        <v>1870</v>
      </c>
      <c r="H57" s="31">
        <v>1</v>
      </c>
      <c r="O57" s="42">
        <f>C57*Prislapp!$C$2+D57*Prislapp!$D$2+E57*Prislapp!$E$2+F57*Prislapp!$F$2+G57*Prislapp!$G$2+H57*Prislapp!$H$2+I57*Prislapp!$I$2+J57*Prislapp!$J$2+K57*Prislapp!$K$2+L57*Prislapp!$L$2+M57*Prislapp!$M$2+N57*Prislapp!$N$2</f>
        <v>19473</v>
      </c>
      <c r="P57" s="42">
        <f>C57*Prislapp!$C$3+D57*Prislapp!$D$3+E57*Prislapp!$E$3+F57*Prislapp!$F$3+G57*Prislapp!$G$3+H57*Prislapp!$H$3+I57*Prislapp!$I$3+J57*Prislapp!$J$3+K57*Prislapp!$K$3+M57*Prislapp!$M$3+N57*Prislapp!$N$3</f>
        <v>34806</v>
      </c>
      <c r="Q57" s="42">
        <f>C57*Prislapp!$C$5+D57*Prislapp!$D$5+E57*Prislapp!$E$5+F57*Prislapp!$F$5+G57*Prislapp!$G$5+H57*Prislapp!$H$5+I57*Prislapp!$I$5+J57*Prislapp!$J$5+K57*Prislapp!$K$5+L57*Prislapp!$L$5+M57*Prislapp!$M$5+N57*Prislapp!$N$5</f>
        <v>21800</v>
      </c>
      <c r="R57" s="9">
        <f>VLOOKUP(A57,'Ansvar kurs'!$A$2:$B$830,2,FALSE)</f>
        <v>5500</v>
      </c>
      <c r="S57" s="159"/>
      <c r="T57" s="159"/>
      <c r="U57" s="159"/>
      <c r="V57" s="159"/>
      <c r="W57" s="159"/>
      <c r="X57" s="159"/>
      <c r="Y57" s="159"/>
      <c r="Z57" s="159"/>
    </row>
    <row r="58" spans="1:26" x14ac:dyDescent="0.25">
      <c r="A58" s="31" t="s">
        <v>1025</v>
      </c>
      <c r="B58" s="31" t="s">
        <v>1064</v>
      </c>
      <c r="J58" s="31">
        <v>1</v>
      </c>
      <c r="O58" s="42">
        <f>C58*Prislapp!$C$2+D58*Prislapp!$D$2+E58*Prislapp!$E$2+F58*Prislapp!$F$2+G58*Prislapp!$G$2+H58*Prislapp!$H$2+I58*Prislapp!$I$2+J58*Prislapp!$J$2+K58*Prislapp!$K$2+L58*Prislapp!$L$2+M58*Prislapp!$M$2+N58*Prislapp!$N$2</f>
        <v>19473</v>
      </c>
      <c r="P58" s="42">
        <f>C58*Prislapp!$C$3+D58*Prislapp!$D$3+E58*Prislapp!$E$3+F58*Prislapp!$F$3+G58*Prislapp!$G$3+H58*Prislapp!$H$3+I58*Prislapp!$I$3+J58*Prislapp!$J$3+K58*Prislapp!$K$3+M58*Prislapp!$M$3+N58*Prislapp!$N$3</f>
        <v>34806</v>
      </c>
      <c r="Q58" s="42">
        <f>C58*Prislapp!$C$5+D58*Prislapp!$D$5+E58*Prislapp!$E$5+F58*Prislapp!$F$5+G58*Prislapp!$G$5+H58*Prislapp!$H$5+I58*Prislapp!$I$5+J58*Prislapp!$J$5+K58*Prislapp!$K$5+L58*Prislapp!$L$5+M58*Prislapp!$M$5+N58*Prislapp!$N$5</f>
        <v>21800</v>
      </c>
      <c r="R58" s="9">
        <f>VLOOKUP(A58,'Ansvar kurs'!$A$2:$B$830,2,FALSE)</f>
        <v>5500</v>
      </c>
      <c r="S58" s="159"/>
      <c r="T58" s="159"/>
      <c r="U58" s="159"/>
      <c r="V58" s="159"/>
      <c r="W58" s="159"/>
      <c r="X58" s="159"/>
      <c r="Y58" s="159"/>
      <c r="Z58" s="159"/>
    </row>
    <row r="59" spans="1:26" x14ac:dyDescent="0.25">
      <c r="A59" s="31" t="s">
        <v>956</v>
      </c>
      <c r="B59" s="31" t="s">
        <v>962</v>
      </c>
      <c r="H59" s="31">
        <v>1</v>
      </c>
      <c r="O59" s="42">
        <f>C59*Prislapp!$C$2+D59*Prislapp!$D$2+E59*Prislapp!$E$2+F59*Prislapp!$F$2+G59*Prislapp!$G$2+H59*Prislapp!$H$2+I59*Prislapp!$I$2+J59*Prislapp!$J$2+K59*Prislapp!$K$2+L59*Prislapp!$L$2+M59*Prislapp!$M$2+N59*Prislapp!$N$2</f>
        <v>19473</v>
      </c>
      <c r="P59" s="42">
        <f>C59*Prislapp!$C$3+D59*Prislapp!$D$3+E59*Prislapp!$E$3+F59*Prislapp!$F$3+G59*Prislapp!$G$3+H59*Prislapp!$H$3+I59*Prislapp!$I$3+J59*Prislapp!$J$3+K59*Prislapp!$K$3+M59*Prislapp!$M$3+N59*Prislapp!$N$3</f>
        <v>34806</v>
      </c>
      <c r="Q59" s="42">
        <f>C59*Prislapp!$C$5+D59*Prislapp!$D$5+E59*Prislapp!$E$5+F59*Prislapp!$F$5+G59*Prislapp!$G$5+H59*Prislapp!$H$5+I59*Prislapp!$I$5+J59*Prislapp!$J$5+K59*Prislapp!$K$5+L59*Prislapp!$L$5+M59*Prislapp!$M$5+N59*Prislapp!$N$5</f>
        <v>21800</v>
      </c>
      <c r="R59" s="9">
        <f>VLOOKUP(A59,'Ansvar kurs'!$A$2:$B$830,2,FALSE)</f>
        <v>5500</v>
      </c>
      <c r="S59" s="159"/>
      <c r="T59" s="159"/>
      <c r="U59" s="159"/>
      <c r="V59" s="159"/>
      <c r="W59" s="159"/>
      <c r="X59" s="159"/>
      <c r="Y59" s="159"/>
      <c r="Z59" s="159"/>
    </row>
    <row r="60" spans="1:26" x14ac:dyDescent="0.25">
      <c r="A60" s="31" t="s">
        <v>2238</v>
      </c>
      <c r="B60" s="31" t="s">
        <v>2244</v>
      </c>
      <c r="H60" s="31">
        <v>1</v>
      </c>
      <c r="O60" s="42">
        <f>C60*Prislapp!$C$2+D60*Prislapp!$D$2+E60*Prislapp!$E$2+F60*Prislapp!$F$2+G60*Prislapp!$G$2+H60*Prislapp!$H$2+I60*Prislapp!$I$2+J60*Prislapp!$J$2+K60*Prislapp!$K$2+L60*Prislapp!$L$2+M60*Prislapp!$M$2+N60*Prislapp!$N$2</f>
        <v>19473</v>
      </c>
      <c r="P60" s="42">
        <f>C60*Prislapp!$C$3+D60*Prislapp!$D$3+E60*Prislapp!$E$3+F60*Prislapp!$F$3+G60*Prislapp!$G$3+H60*Prislapp!$H$3+I60*Prislapp!$I$3+J60*Prislapp!$J$3+K60*Prislapp!$K$3+M60*Prislapp!$M$3+N60*Prislapp!$N$3</f>
        <v>34806</v>
      </c>
      <c r="Q60" s="42">
        <f>C60*Prislapp!$C$5+D60*Prislapp!$D$5+E60*Prislapp!$E$5+F60*Prislapp!$F$5+G60*Prislapp!$G$5+H60*Prislapp!$H$5+I60*Prislapp!$I$5+J60*Prislapp!$J$5+K60*Prislapp!$K$5+L60*Prislapp!$L$5+M60*Prislapp!$M$5+N60*Prislapp!$N$5</f>
        <v>21800</v>
      </c>
      <c r="R60" s="9">
        <f>VLOOKUP(A60,'Ansvar kurs'!$A$2:$B$830,2,FALSE)</f>
        <v>5500</v>
      </c>
      <c r="S60" s="159"/>
      <c r="T60" s="159"/>
      <c r="U60" s="159"/>
      <c r="V60" s="159"/>
      <c r="W60" s="159"/>
      <c r="X60" s="159"/>
      <c r="Y60" s="159"/>
      <c r="Z60" s="159"/>
    </row>
    <row r="61" spans="1:26" x14ac:dyDescent="0.25">
      <c r="A61" s="31" t="s">
        <v>1306</v>
      </c>
      <c r="B61" s="31" t="s">
        <v>1307</v>
      </c>
      <c r="H61" s="31">
        <v>1</v>
      </c>
      <c r="O61" s="42">
        <f>C61*Prislapp!$C$2+D61*Prislapp!$D$2+E61*Prislapp!$E$2+F61*Prislapp!$F$2+G61*Prislapp!$G$2+H61*Prislapp!$H$2+I61*Prislapp!$I$2+J61*Prislapp!$J$2+K61*Prislapp!$K$2+L61*Prislapp!$L$2+M61*Prislapp!$M$2+N61*Prislapp!$N$2</f>
        <v>19473</v>
      </c>
      <c r="P61" s="42">
        <f>C61*Prislapp!$C$3+D61*Prislapp!$D$3+E61*Prislapp!$E$3+F61*Prislapp!$F$3+G61*Prislapp!$G$3+H61*Prislapp!$H$3+I61*Prislapp!$I$3+J61*Prislapp!$J$3+K61*Prislapp!$K$3+M61*Prislapp!$M$3+N61*Prislapp!$N$3</f>
        <v>34806</v>
      </c>
      <c r="Q61" s="42">
        <f>C61*Prislapp!$C$5+D61*Prislapp!$D$5+E61*Prislapp!$E$5+F61*Prislapp!$F$5+G61*Prislapp!$G$5+H61*Prislapp!$H$5+I61*Prislapp!$I$5+J61*Prislapp!$J$5+K61*Prislapp!$K$5+L61*Prislapp!$L$5+M61*Prislapp!$M$5+N61*Prislapp!$N$5</f>
        <v>21800</v>
      </c>
      <c r="R61" s="9">
        <f>VLOOKUP(A61,'Ansvar kurs'!$A$2:$B$830,2,FALSE)</f>
        <v>5500</v>
      </c>
      <c r="S61" s="159"/>
      <c r="T61" s="159"/>
      <c r="U61" s="159"/>
      <c r="V61" s="159"/>
      <c r="W61" s="159"/>
      <c r="X61" s="159"/>
      <c r="Y61" s="159"/>
      <c r="Z61" s="159"/>
    </row>
    <row r="62" spans="1:26" x14ac:dyDescent="0.25">
      <c r="A62" s="31" t="s">
        <v>1854</v>
      </c>
      <c r="B62" s="31" t="s">
        <v>1872</v>
      </c>
      <c r="H62" s="31">
        <v>0.5</v>
      </c>
      <c r="J62" s="31">
        <v>0.5</v>
      </c>
      <c r="O62" s="42">
        <f>C62*Prislapp!$C$2+D62*Prislapp!$D$2+E62*Prislapp!$E$2+F62*Prislapp!$F$2+G62*Prislapp!$G$2+H62*Prislapp!$H$2+I62*Prislapp!$I$2+J62*Prislapp!$J$2+K62*Prislapp!$K$2+L62*Prislapp!$L$2+M62*Prislapp!$M$2+N62*Prislapp!$N$2</f>
        <v>19473</v>
      </c>
      <c r="P62" s="42">
        <f>C62*Prislapp!$C$3+D62*Prislapp!$D$3+E62*Prislapp!$E$3+F62*Prislapp!$F$3+G62*Prislapp!$G$3+H62*Prislapp!$H$3+I62*Prislapp!$I$3+J62*Prislapp!$J$3+K62*Prislapp!$K$3+M62*Prislapp!$M$3+N62*Prislapp!$N$3</f>
        <v>34806</v>
      </c>
      <c r="Q62" s="42">
        <f>C62*Prislapp!$C$5+D62*Prislapp!$D$5+E62*Prislapp!$E$5+F62*Prislapp!$F$5+G62*Prislapp!$G$5+H62*Prislapp!$H$5+I62*Prislapp!$I$5+J62*Prislapp!$J$5+K62*Prislapp!$K$5+L62*Prislapp!$L$5+M62*Prislapp!$M$5+N62*Prislapp!$N$5</f>
        <v>21800</v>
      </c>
      <c r="R62" s="9">
        <f>VLOOKUP(A62,'Ansvar kurs'!$A$2:$B$830,2,FALSE)</f>
        <v>5500</v>
      </c>
      <c r="S62" s="159"/>
      <c r="T62" s="159"/>
      <c r="U62" s="159"/>
      <c r="V62" s="159"/>
      <c r="W62" s="159"/>
      <c r="X62" s="159"/>
      <c r="Y62" s="159"/>
      <c r="Z62" s="159"/>
    </row>
    <row r="63" spans="1:26" x14ac:dyDescent="0.25">
      <c r="A63" s="31" t="s">
        <v>2001</v>
      </c>
      <c r="B63" s="31" t="s">
        <v>2018</v>
      </c>
      <c r="H63" s="31">
        <v>0.5</v>
      </c>
      <c r="J63" s="31">
        <v>0.5</v>
      </c>
      <c r="O63" s="42">
        <f>C63*Prislapp!$C$2+D63*Prislapp!$D$2+E63*Prislapp!$E$2+F63*Prislapp!$F$2+G63*Prislapp!$G$2+H63*Prislapp!$H$2+I63*Prislapp!$I$2+J63*Prislapp!$J$2+K63*Prislapp!$K$2+L63*Prislapp!$L$2+M63*Prislapp!$M$2+N63*Prislapp!$N$2</f>
        <v>19473</v>
      </c>
      <c r="P63" s="42">
        <f>C63*Prislapp!$C$3+D63*Prislapp!$D$3+E63*Prislapp!$E$3+F63*Prislapp!$F$3+G63*Prislapp!$G$3+H63*Prislapp!$H$3+I63*Prislapp!$I$3+J63*Prislapp!$J$3+K63*Prislapp!$K$3+M63*Prislapp!$M$3+N63*Prislapp!$N$3</f>
        <v>34806</v>
      </c>
      <c r="Q63" s="42">
        <f>C63*Prislapp!$C$5+D63*Prislapp!$D$5+E63*Prislapp!$E$5+F63*Prislapp!$F$5+G63*Prislapp!$G$5+H63*Prislapp!$H$5+I63*Prislapp!$I$5+J63*Prislapp!$J$5+K63*Prislapp!$K$5+L63*Prislapp!$L$5+M63*Prislapp!$M$5+N63*Prislapp!$N$5</f>
        <v>21800</v>
      </c>
      <c r="R63" s="9">
        <f>VLOOKUP(A63,'Ansvar kurs'!$A$2:$B$830,2,FALSE)</f>
        <v>5500</v>
      </c>
      <c r="S63" s="159"/>
      <c r="T63" s="159"/>
      <c r="U63" s="159"/>
      <c r="V63" s="159"/>
      <c r="W63" s="159"/>
      <c r="X63" s="159"/>
      <c r="Y63" s="159"/>
      <c r="Z63" s="159"/>
    </row>
    <row r="64" spans="1:26" x14ac:dyDescent="0.25">
      <c r="A64" s="62" t="s">
        <v>2193</v>
      </c>
      <c r="B64" s="62" t="s">
        <v>2194</v>
      </c>
      <c r="H64" s="31">
        <v>1</v>
      </c>
      <c r="O64" s="42">
        <f>C64*Prislapp!$C$2+D64*Prislapp!$D$2+E64*Prislapp!$E$2+F64*Prislapp!$F$2+G64*Prislapp!$G$2+H64*Prislapp!$H$2+I64*Prislapp!$I$2+J64*Prislapp!$J$2+K64*Prislapp!$K$2+L64*Prislapp!$L$2+M64*Prislapp!$M$2+N64*Prislapp!$N$2</f>
        <v>19473</v>
      </c>
      <c r="P64" s="42">
        <f>C64*Prislapp!$C$3+D64*Prislapp!$D$3+E64*Prislapp!$E$3+F64*Prislapp!$F$3+G64*Prislapp!$G$3+H64*Prislapp!$H$3+I64*Prislapp!$I$3+J64*Prislapp!$J$3+K64*Prislapp!$K$3+M64*Prislapp!$M$3+N64*Prislapp!$N$3</f>
        <v>34806</v>
      </c>
      <c r="Q64" s="42">
        <f>C64*Prislapp!$C$5+D64*Prislapp!$D$5+E64*Prislapp!$E$5+F64*Prislapp!$F$5+G64*Prislapp!$G$5+H64*Prislapp!$H$5+I64*Prislapp!$I$5+J64*Prislapp!$J$5+K64*Prislapp!$K$5+L64*Prislapp!$L$5+M64*Prislapp!$M$5+N64*Prislapp!$N$5</f>
        <v>21800</v>
      </c>
      <c r="R64" s="9">
        <f>VLOOKUP(A64,'Ansvar kurs'!$A$2:$B$830,2,FALSE)</f>
        <v>5500</v>
      </c>
      <c r="S64" s="159"/>
      <c r="T64" s="159"/>
      <c r="U64" s="159"/>
      <c r="V64" s="159"/>
      <c r="W64" s="159"/>
      <c r="X64" s="159"/>
      <c r="Y64" s="159"/>
      <c r="Z64" s="159"/>
    </row>
    <row r="65" spans="1:26" x14ac:dyDescent="0.25">
      <c r="A65" s="62" t="s">
        <v>1582</v>
      </c>
      <c r="B65" s="62" t="s">
        <v>1605</v>
      </c>
      <c r="H65" s="31">
        <v>0.5</v>
      </c>
      <c r="J65" s="31">
        <v>0.5</v>
      </c>
      <c r="O65" s="42">
        <f>C65*Prislapp!$C$2+D65*Prislapp!$D$2+E65*Prislapp!$E$2+F65*Prislapp!$F$2+G65*Prislapp!$G$2+H65*Prislapp!$H$2+I65*Prislapp!$I$2+J65*Prislapp!$J$2+K65*Prislapp!$K$2+L65*Prislapp!$L$2+M65*Prislapp!$M$2+N65*Prislapp!$N$2</f>
        <v>19473</v>
      </c>
      <c r="P65" s="42">
        <f>C65*Prislapp!$C$3+D65*Prislapp!$D$3+E65*Prislapp!$E$3+F65*Prislapp!$F$3+G65*Prislapp!$G$3+H65*Prislapp!$H$3+I65*Prislapp!$I$3+J65*Prislapp!$J$3+K65*Prislapp!$K$3+M65*Prislapp!$M$3+N65*Prislapp!$N$3</f>
        <v>34806</v>
      </c>
      <c r="Q65" s="42">
        <f>C65*Prislapp!$C$5+D65*Prislapp!$D$5+E65*Prislapp!$E$5+F65*Prislapp!$F$5+G65*Prislapp!$G$5+H65*Prislapp!$H$5+I65*Prislapp!$I$5+J65*Prislapp!$J$5+K65*Prislapp!$K$5+L65*Prislapp!$L$5+M65*Prislapp!$M$5+N65*Prislapp!$N$5</f>
        <v>21800</v>
      </c>
      <c r="R65" s="9">
        <f>VLOOKUP(A65,'Ansvar kurs'!$A$2:$B$830,2,FALSE)</f>
        <v>5730</v>
      </c>
      <c r="S65" s="159"/>
      <c r="T65" s="159"/>
      <c r="U65" s="159"/>
      <c r="V65" s="159"/>
      <c r="W65" s="159"/>
      <c r="X65" s="159"/>
      <c r="Y65" s="159"/>
      <c r="Z65" s="159"/>
    </row>
    <row r="66" spans="1:26" x14ac:dyDescent="0.25">
      <c r="A66" s="62" t="s">
        <v>2195</v>
      </c>
      <c r="B66" s="62" t="s">
        <v>431</v>
      </c>
      <c r="H66" s="31">
        <v>0.5</v>
      </c>
      <c r="J66" s="31">
        <v>0.5</v>
      </c>
      <c r="O66" s="42">
        <f>C66*Prislapp!$C$2+D66*Prislapp!$D$2+E66*Prislapp!$E$2+F66*Prislapp!$F$2+G66*Prislapp!$G$2+H66*Prislapp!$H$2+I66*Prislapp!$I$2+J66*Prislapp!$J$2+K66*Prislapp!$K$2+L66*Prislapp!$L$2+M66*Prislapp!$M$2+N66*Prislapp!$N$2</f>
        <v>19473</v>
      </c>
      <c r="P66" s="42">
        <f>C66*Prislapp!$C$3+D66*Prislapp!$D$3+E66*Prislapp!$E$3+F66*Prislapp!$F$3+G66*Prislapp!$G$3+H66*Prislapp!$H$3+I66*Prislapp!$I$3+J66*Prislapp!$J$3+K66*Prislapp!$K$3+M66*Prislapp!$M$3+N66*Prislapp!$N$3</f>
        <v>34806</v>
      </c>
      <c r="Q66" s="42">
        <f>C66*Prislapp!$C$5+D66*Prislapp!$D$5+E66*Prislapp!$E$5+F66*Prislapp!$F$5+G66*Prislapp!$G$5+H66*Prislapp!$H$5+I66*Prislapp!$I$5+J66*Prislapp!$J$5+K66*Prislapp!$K$5+L66*Prislapp!$L$5+M66*Prislapp!$M$5+N66*Prislapp!$N$5</f>
        <v>21800</v>
      </c>
      <c r="R66" s="9">
        <f>VLOOKUP(A66,'Ansvar kurs'!$A$2:$B$830,2,FALSE)</f>
        <v>5730</v>
      </c>
      <c r="S66" s="159"/>
      <c r="T66" s="159"/>
      <c r="U66" s="159"/>
      <c r="V66" s="159"/>
      <c r="W66" s="159"/>
      <c r="X66" s="159"/>
      <c r="Y66" s="159"/>
      <c r="Z66" s="159"/>
    </row>
    <row r="67" spans="1:26" x14ac:dyDescent="0.25">
      <c r="A67" s="31" t="s">
        <v>1529</v>
      </c>
      <c r="B67" s="31" t="s">
        <v>1542</v>
      </c>
      <c r="H67" s="31">
        <v>0.5</v>
      </c>
      <c r="J67" s="31">
        <v>0.5</v>
      </c>
      <c r="O67" s="42">
        <f>C67*Prislapp!$C$2+D67*Prislapp!$D$2+E67*Prislapp!$E$2+F67*Prislapp!$F$2+G67*Prislapp!$G$2+H67*Prislapp!$H$2+I67*Prislapp!$I$2+J67*Prislapp!$J$2+K67*Prislapp!$K$2+L67*Prislapp!$L$2+M67*Prislapp!$M$2+N67*Prislapp!$N$2</f>
        <v>19473</v>
      </c>
      <c r="P67" s="42">
        <f>C67*Prislapp!$C$3+D67*Prislapp!$D$3+E67*Prislapp!$E$3+F67*Prislapp!$F$3+G67*Prislapp!$G$3+H67*Prislapp!$H$3+I67*Prislapp!$I$3+J67*Prislapp!$J$3+K67*Prislapp!$K$3+M67*Prislapp!$M$3+N67*Prislapp!$N$3</f>
        <v>34806</v>
      </c>
      <c r="Q67" s="42">
        <f>C67*Prislapp!$C$5+D67*Prislapp!$D$5+E67*Prislapp!$E$5+F67*Prislapp!$F$5+G67*Prislapp!$G$5+H67*Prislapp!$H$5+I67*Prislapp!$I$5+J67*Prislapp!$J$5+K67*Prislapp!$K$5+L67*Prislapp!$L$5+M67*Prislapp!$M$5+N67*Prislapp!$N$5</f>
        <v>21800</v>
      </c>
      <c r="R67" s="9">
        <f>VLOOKUP(A67,'Ansvar kurs'!$A$2:$B$830,2,FALSE)</f>
        <v>5730</v>
      </c>
      <c r="S67" s="159"/>
      <c r="T67" s="159"/>
      <c r="U67" s="159"/>
      <c r="V67" s="159"/>
      <c r="W67" s="159"/>
      <c r="X67" s="159"/>
      <c r="Y67" s="159"/>
      <c r="Z67" s="159"/>
    </row>
    <row r="68" spans="1:26" x14ac:dyDescent="0.25">
      <c r="A68" s="31" t="s">
        <v>1530</v>
      </c>
      <c r="B68" s="31" t="s">
        <v>1543</v>
      </c>
      <c r="H68" s="31">
        <v>0.5</v>
      </c>
      <c r="J68" s="31">
        <v>0.5</v>
      </c>
      <c r="O68" s="42">
        <f>C68*Prislapp!$C$2+D68*Prislapp!$D$2+E68*Prislapp!$E$2+F68*Prislapp!$F$2+G68*Prislapp!$G$2+H68*Prislapp!$H$2+I68*Prislapp!$I$2+J68*Prislapp!$J$2+K68*Prislapp!$K$2+L68*Prislapp!$L$2+M68*Prislapp!$M$2+N68*Prislapp!$N$2</f>
        <v>19473</v>
      </c>
      <c r="P68" s="42">
        <f>C68*Prislapp!$C$3+D68*Prislapp!$D$3+E68*Prislapp!$E$3+F68*Prislapp!$F$3+G68*Prislapp!$G$3+H68*Prislapp!$H$3+I68*Prislapp!$I$3+J68*Prislapp!$J$3+K68*Prislapp!$K$3+M68*Prislapp!$M$3+N68*Prislapp!$N$3</f>
        <v>34806</v>
      </c>
      <c r="Q68" s="42">
        <f>C68*Prislapp!$C$5+D68*Prislapp!$D$5+E68*Prislapp!$E$5+F68*Prislapp!$F$5+G68*Prislapp!$G$5+H68*Prislapp!$H$5+I68*Prislapp!$I$5+J68*Prislapp!$J$5+K68*Prislapp!$K$5+L68*Prislapp!$L$5+M68*Prislapp!$M$5+N68*Prislapp!$N$5</f>
        <v>21800</v>
      </c>
      <c r="R68" s="9">
        <f>VLOOKUP(A68,'Ansvar kurs'!$A$2:$B$830,2,FALSE)</f>
        <v>5730</v>
      </c>
      <c r="S68" s="159"/>
      <c r="T68" s="159"/>
      <c r="U68" s="159"/>
      <c r="V68" s="159"/>
      <c r="W68" s="159"/>
      <c r="X68" s="159"/>
      <c r="Y68" s="159"/>
      <c r="Z68" s="159"/>
    </row>
    <row r="69" spans="1:26" x14ac:dyDescent="0.25">
      <c r="A69" s="31" t="s">
        <v>1026</v>
      </c>
      <c r="B69" s="31" t="s">
        <v>1057</v>
      </c>
      <c r="H69" s="31">
        <v>1</v>
      </c>
      <c r="O69" s="42">
        <f>C69*Prislapp!$C$2+D69*Prislapp!$D$2+E69*Prislapp!$E$2+F69*Prislapp!$F$2+G69*Prislapp!$G$2+H69*Prislapp!$H$2+I69*Prislapp!$I$2+J69*Prislapp!$J$2+K69*Prislapp!$K$2+L69*Prislapp!$L$2+M69*Prislapp!$M$2+N69*Prislapp!$N$2</f>
        <v>19473</v>
      </c>
      <c r="P69" s="42">
        <f>C69*Prislapp!$C$3+D69*Prislapp!$D$3+E69*Prislapp!$E$3+F69*Prislapp!$F$3+G69*Prislapp!$G$3+H69*Prislapp!$H$3+I69*Prislapp!$I$3+J69*Prislapp!$J$3+K69*Prislapp!$K$3+M69*Prislapp!$M$3+N69*Prislapp!$N$3</f>
        <v>34806</v>
      </c>
      <c r="Q69" s="42">
        <f>C69*Prislapp!$C$5+D69*Prislapp!$D$5+E69*Prislapp!$E$5+F69*Prislapp!$F$5+G69*Prislapp!$G$5+H69*Prislapp!$H$5+I69*Prislapp!$I$5+J69*Prislapp!$J$5+K69*Prislapp!$K$5+L69*Prislapp!$L$5+M69*Prislapp!$M$5+N69*Prislapp!$N$5</f>
        <v>21800</v>
      </c>
      <c r="R69" s="9">
        <f>VLOOKUP(A69,'Ansvar kurs'!$A$2:$B$830,2,FALSE)</f>
        <v>5740</v>
      </c>
      <c r="S69" s="159"/>
      <c r="T69" s="159"/>
      <c r="U69" s="159"/>
      <c r="V69" s="159"/>
      <c r="W69" s="159"/>
      <c r="X69" s="159"/>
      <c r="Y69" s="159"/>
      <c r="Z69" s="159"/>
    </row>
    <row r="70" spans="1:26" x14ac:dyDescent="0.25">
      <c r="A70" s="62" t="s">
        <v>1486</v>
      </c>
      <c r="B70" s="62" t="s">
        <v>1487</v>
      </c>
      <c r="H70" s="31">
        <v>1</v>
      </c>
      <c r="O70" s="42">
        <f>C70*Prislapp!$C$2+D70*Prislapp!$D$2+E70*Prislapp!$E$2+F70*Prislapp!$F$2+G70*Prislapp!$G$2+H70*Prislapp!$H$2+I70*Prislapp!$I$2+J70*Prislapp!$J$2+K70*Prislapp!$K$2+L70*Prislapp!$L$2+M70*Prislapp!$M$2+N70*Prislapp!$N$2</f>
        <v>19473</v>
      </c>
      <c r="P70" s="42">
        <f>C70*Prislapp!$C$3+D70*Prislapp!$D$3+E70*Prislapp!$E$3+F70*Prislapp!$F$3+G70*Prislapp!$G$3+H70*Prislapp!$H$3+I70*Prislapp!$I$3+J70*Prislapp!$J$3+K70*Prislapp!$K$3+M70*Prislapp!$M$3+N70*Prislapp!$N$3</f>
        <v>34806</v>
      </c>
      <c r="Q70" s="42">
        <f>C70*Prislapp!$C$5+D70*Prislapp!$D$5+E70*Prislapp!$E$5+F70*Prislapp!$F$5+G70*Prislapp!$G$5+H70*Prislapp!$H$5+I70*Prislapp!$I$5+J70*Prislapp!$J$5+K70*Prislapp!$K$5+L70*Prislapp!$L$5+M70*Prislapp!$M$5+N70*Prislapp!$N$5</f>
        <v>21800</v>
      </c>
      <c r="R70" s="9">
        <f>VLOOKUP(A70,'Ansvar kurs'!$A$2:$B$830,2,FALSE)</f>
        <v>5740</v>
      </c>
      <c r="S70" s="159"/>
      <c r="T70" s="159"/>
      <c r="U70" s="159"/>
      <c r="V70" s="159"/>
      <c r="W70" s="159"/>
      <c r="X70" s="159"/>
      <c r="Y70" s="159"/>
      <c r="Z70" s="159"/>
    </row>
    <row r="71" spans="1:26" x14ac:dyDescent="0.25">
      <c r="A71" s="62" t="s">
        <v>2003</v>
      </c>
      <c r="B71" s="62" t="s">
        <v>2019</v>
      </c>
      <c r="K71" s="31">
        <v>1</v>
      </c>
      <c r="O71" s="42">
        <f>C71*Prislapp!$C$2+D71*Prislapp!$D$2+E71*Prislapp!$E$2+F71*Prislapp!$F$2+G71*Prislapp!$G$2+H71*Prislapp!$H$2+I71*Prislapp!$I$2+J71*Prislapp!$J$2+K71*Prislapp!$K$2+L71*Prislapp!$L$2+M71*Prislapp!$M$2+N71*Prislapp!$N$2</f>
        <v>21634</v>
      </c>
      <c r="P71" s="42">
        <f>C71*Prislapp!$C$3+D71*Prislapp!$D$3+E71*Prislapp!$E$3+F71*Prislapp!$F$3+G71*Prislapp!$G$3+H71*Prislapp!$H$3+I71*Prislapp!$I$3+J71*Prislapp!$J$3+K71*Prislapp!$K$3+M71*Prislapp!$M$3+N71*Prislapp!$N$3</f>
        <v>26986</v>
      </c>
      <c r="Q71" s="42">
        <f>C71*Prislapp!$C$5+D71*Prislapp!$D$5+E71*Prislapp!$E$5+F71*Prislapp!$F$5+G71*Prislapp!$G$5+H71*Prislapp!$H$5+I71*Prislapp!$I$5+J71*Prislapp!$J$5+K71*Prislapp!$K$5+L71*Prislapp!$L$5+M71*Prislapp!$M$5+N71*Prislapp!$N$5</f>
        <v>3400</v>
      </c>
      <c r="R71" s="9">
        <f>VLOOKUP(A71,'Ansvar kurs'!$A$2:$B$830,2,FALSE)</f>
        <v>5740</v>
      </c>
      <c r="S71" s="159"/>
      <c r="T71" s="159"/>
      <c r="U71" s="159"/>
      <c r="V71" s="159"/>
      <c r="W71" s="159"/>
      <c r="X71" s="159"/>
      <c r="Y71" s="159"/>
      <c r="Z71" s="159"/>
    </row>
    <row r="72" spans="1:26" x14ac:dyDescent="0.25">
      <c r="A72" s="62" t="s">
        <v>1964</v>
      </c>
      <c r="B72" s="62" t="s">
        <v>1970</v>
      </c>
      <c r="H72" s="31">
        <v>1</v>
      </c>
      <c r="O72" s="42">
        <f>C72*Prislapp!$C$2+D72*Prislapp!$D$2+E72*Prislapp!$E$2+F72*Prislapp!$F$2+G72*Prislapp!$G$2+H72*Prislapp!$H$2+I72*Prislapp!$I$2+J72*Prislapp!$J$2+K72*Prislapp!$K$2+L72*Prislapp!$L$2+M72*Prislapp!$M$2+N72*Prislapp!$N$2</f>
        <v>19473</v>
      </c>
      <c r="P72" s="42">
        <f>C72*Prislapp!$C$3+D72*Prislapp!$D$3+E72*Prislapp!$E$3+F72*Prislapp!$F$3+G72*Prislapp!$G$3+H72*Prislapp!$H$3+I72*Prislapp!$I$3+J72*Prislapp!$J$3+K72*Prislapp!$K$3+M72*Prislapp!$M$3+N72*Prislapp!$N$3</f>
        <v>34806</v>
      </c>
      <c r="Q72" s="42">
        <f>C72*Prislapp!$C$5+D72*Prislapp!$D$5+E72*Prislapp!$E$5+F72*Prislapp!$F$5+G72*Prislapp!$G$5+H72*Prislapp!$H$5+I72*Prislapp!$I$5+J72*Prislapp!$J$5+K72*Prislapp!$K$5+L72*Prislapp!$L$5+M72*Prislapp!$M$5+N72*Prislapp!$N$5</f>
        <v>21800</v>
      </c>
      <c r="R72" s="9">
        <f>VLOOKUP(A72,'Ansvar kurs'!$A$2:$B$830,2,FALSE)</f>
        <v>5100</v>
      </c>
      <c r="S72" s="159"/>
      <c r="T72" s="159"/>
      <c r="U72" s="159"/>
      <c r="V72" s="159"/>
      <c r="W72" s="159"/>
      <c r="X72" s="159"/>
      <c r="Y72" s="159"/>
      <c r="Z72" s="159"/>
    </row>
    <row r="73" spans="1:26" x14ac:dyDescent="0.25">
      <c r="A73" s="62" t="s">
        <v>1955</v>
      </c>
      <c r="B73" s="62" t="s">
        <v>1966</v>
      </c>
      <c r="H73" s="31">
        <v>1</v>
      </c>
      <c r="O73" s="42">
        <f>C73*Prislapp!$C$2+D73*Prislapp!$D$2+E73*Prislapp!$E$2+F73*Prislapp!$F$2+G73*Prislapp!$G$2+H73*Prislapp!$H$2+I73*Prislapp!$I$2+J73*Prislapp!$J$2+K73*Prislapp!$K$2+L73*Prislapp!$L$2+M73*Prislapp!$M$2+N73*Prislapp!$N$2</f>
        <v>19473</v>
      </c>
      <c r="P73" s="42">
        <f>C73*Prislapp!$C$3+D73*Prislapp!$D$3+E73*Prislapp!$E$3+F73*Prislapp!$F$3+G73*Prislapp!$G$3+H73*Prislapp!$H$3+I73*Prislapp!$I$3+J73*Prislapp!$J$3+K73*Prislapp!$K$3+M73*Prislapp!$M$3+N73*Prislapp!$N$3</f>
        <v>34806</v>
      </c>
      <c r="Q73" s="42">
        <f>C73*Prislapp!$C$5+D73*Prislapp!$D$5+E73*Prislapp!$E$5+F73*Prislapp!$F$5+G73*Prislapp!$G$5+H73*Prislapp!$H$5+I73*Prislapp!$I$5+J73*Prislapp!$J$5+K73*Prislapp!$K$5+L73*Prislapp!$L$5+M73*Prislapp!$M$5+N73*Prislapp!$N$5</f>
        <v>21800</v>
      </c>
      <c r="R73" s="9">
        <f>VLOOKUP(A73,'Ansvar kurs'!$A$2:$B$830,2,FALSE)</f>
        <v>5100</v>
      </c>
      <c r="S73" s="159"/>
      <c r="T73" s="159"/>
      <c r="U73" s="159"/>
      <c r="V73" s="159"/>
      <c r="W73" s="159"/>
      <c r="X73" s="159"/>
      <c r="Y73" s="159"/>
      <c r="Z73" s="159"/>
    </row>
    <row r="74" spans="1:26" x14ac:dyDescent="0.25">
      <c r="A74" s="266" t="s">
        <v>1496</v>
      </c>
      <c r="B74" s="31" t="s">
        <v>1121</v>
      </c>
      <c r="H74" s="31">
        <v>1</v>
      </c>
      <c r="O74" s="42">
        <f>C74*Prislapp!$C$2+D74*Prislapp!$D$2+E74*Prislapp!$E$2+F74*Prislapp!$F$2+G74*Prislapp!$G$2+H74*Prislapp!$H$2+I74*Prislapp!$I$2+J74*Prislapp!$J$2+K74*Prislapp!$K$2+L74*Prislapp!$L$2+M74*Prislapp!$M$2+N74*Prislapp!$N$2</f>
        <v>19473</v>
      </c>
      <c r="P74" s="42">
        <f>C74*Prislapp!$C$3+D74*Prislapp!$D$3+E74*Prislapp!$E$3+F74*Prislapp!$F$3+G74*Prislapp!$G$3+H74*Prislapp!$H$3+I74*Prislapp!$I$3+J74*Prislapp!$J$3+K74*Prislapp!$K$3+M74*Prislapp!$M$3+N74*Prislapp!$N$3</f>
        <v>34806</v>
      </c>
      <c r="Q74" s="42">
        <f>C74*Prislapp!$C$5+D74*Prislapp!$D$5+E74*Prislapp!$E$5+F74*Prislapp!$F$5+G74*Prislapp!$G$5+H74*Prislapp!$H$5+I74*Prislapp!$I$5+J74*Prislapp!$J$5+K74*Prislapp!$K$5+L74*Prislapp!$L$5+M74*Prislapp!$M$5+N74*Prislapp!$N$5</f>
        <v>21800</v>
      </c>
      <c r="R74" s="9">
        <f>VLOOKUP(A74,'Ansvar kurs'!$A$2:$B$830,2,FALSE)</f>
        <v>5740</v>
      </c>
      <c r="S74" s="159" t="s">
        <v>1295</v>
      </c>
    </row>
    <row r="75" spans="1:26" x14ac:dyDescent="0.25">
      <c r="A75" s="266" t="s">
        <v>1497</v>
      </c>
      <c r="B75" s="31" t="s">
        <v>1155</v>
      </c>
      <c r="H75" s="31">
        <v>1</v>
      </c>
      <c r="O75" s="42">
        <f>C75*Prislapp!$C$2+D75*Prislapp!$D$2+E75*Prislapp!$E$2+F75*Prislapp!$F$2+G75*Prislapp!$G$2+H75*Prislapp!$H$2+I75*Prislapp!$I$2+J75*Prislapp!$J$2+K75*Prislapp!$K$2+L75*Prislapp!$L$2+M75*Prislapp!$M$2+N75*Prislapp!$N$2</f>
        <v>19473</v>
      </c>
      <c r="P75" s="42">
        <f>C75*Prislapp!$C$3+D75*Prislapp!$D$3+E75*Prislapp!$E$3+F75*Prislapp!$F$3+G75*Prislapp!$G$3+H75*Prislapp!$H$3+I75*Prislapp!$I$3+J75*Prislapp!$J$3+K75*Prislapp!$K$3+M75*Prislapp!$M$3+N75*Prislapp!$N$3</f>
        <v>34806</v>
      </c>
      <c r="Q75" s="42">
        <f>C75*Prislapp!$C$5+D75*Prislapp!$D$5+E75*Prislapp!$E$5+F75*Prislapp!$F$5+G75*Prislapp!$G$5+H75*Prislapp!$H$5+I75*Prislapp!$I$5+J75*Prislapp!$J$5+K75*Prislapp!$K$5+L75*Prislapp!$L$5+M75*Prislapp!$M$5+N75*Prislapp!$N$5</f>
        <v>21800</v>
      </c>
      <c r="R75" s="9">
        <f>VLOOKUP(A75,'Ansvar kurs'!$A$2:$B$830,2,FALSE)</f>
        <v>5740</v>
      </c>
      <c r="S75" s="159" t="s">
        <v>1295</v>
      </c>
    </row>
    <row r="76" spans="1:26" x14ac:dyDescent="0.25">
      <c r="A76" s="266" t="s">
        <v>1498</v>
      </c>
      <c r="B76" s="31" t="s">
        <v>1156</v>
      </c>
      <c r="H76" s="31">
        <v>1</v>
      </c>
      <c r="O76" s="42">
        <f>C76*Prislapp!$C$2+D76*Prislapp!$D$2+E76*Prislapp!$E$2+F76*Prislapp!$F$2+G76*Prislapp!$G$2+H76*Prislapp!$H$2+I76*Prislapp!$I$2+J76*Prislapp!$J$2+K76*Prislapp!$K$2+L76*Prislapp!$L$2+M76*Prislapp!$M$2+N76*Prislapp!$N$2</f>
        <v>19473</v>
      </c>
      <c r="P76" s="42">
        <f>C76*Prislapp!$C$3+D76*Prislapp!$D$3+E76*Prislapp!$E$3+F76*Prislapp!$F$3+G76*Prislapp!$G$3+H76*Prislapp!$H$3+I76*Prislapp!$I$3+J76*Prislapp!$J$3+K76*Prislapp!$K$3+M76*Prislapp!$M$3+N76*Prislapp!$N$3</f>
        <v>34806</v>
      </c>
      <c r="Q76" s="42">
        <f>C76*Prislapp!$C$5+D76*Prislapp!$D$5+E76*Prislapp!$E$5+F76*Prislapp!$F$5+G76*Prislapp!$G$5+H76*Prislapp!$H$5+I76*Prislapp!$I$5+J76*Prislapp!$J$5+K76*Prislapp!$K$5+L76*Prislapp!$L$5+M76*Prislapp!$M$5+N76*Prislapp!$N$5</f>
        <v>21800</v>
      </c>
      <c r="R76" s="9">
        <f>VLOOKUP(A76,'Ansvar kurs'!$A$2:$B$830,2,FALSE)</f>
        <v>5740</v>
      </c>
      <c r="S76" s="159" t="s">
        <v>1295</v>
      </c>
    </row>
    <row r="77" spans="1:26" x14ac:dyDescent="0.25">
      <c r="A77" s="62" t="s">
        <v>1403</v>
      </c>
      <c r="B77" s="62" t="s">
        <v>1407</v>
      </c>
      <c r="F77" s="31">
        <v>1</v>
      </c>
      <c r="O77" s="42">
        <f>C77*Prislapp!$C$2+D77*Prislapp!$D$2+E77*Prislapp!$E$2+F77*Prislapp!$F$2+G77*Prislapp!$G$2+H77*Prislapp!$H$2+I77*Prislapp!$I$2+J77*Prislapp!$J$2+K77*Prislapp!$K$2+L77*Prislapp!$L$2+M77*Prislapp!$M$2+N77*Prislapp!$N$2</f>
        <v>23641</v>
      </c>
      <c r="P77" s="42">
        <f>C77*Prislapp!$C$3+D77*Prislapp!$D$3+E77*Prislapp!$E$3+F77*Prislapp!$F$3+G77*Prislapp!$G$3+H77*Prislapp!$H$3+I77*Prislapp!$I$3+J77*Prislapp!$J$3+K77*Prislapp!$K$3+M77*Prislapp!$M$3+N77*Prislapp!$N$3</f>
        <v>28786</v>
      </c>
      <c r="Q77" s="42">
        <f>C77*Prislapp!$C$5+D77*Prislapp!$D$5+E77*Prislapp!$E$5+F77*Prislapp!$F$5+G77*Prislapp!$G$5+H77*Prislapp!$H$5+I77*Prislapp!$I$5+J77*Prislapp!$J$5+K77*Prislapp!$K$5+L77*Prislapp!$L$5+M77*Prislapp!$M$5+N77*Prislapp!$N$5</f>
        <v>5800</v>
      </c>
      <c r="R77" s="9">
        <f>VLOOKUP(A77,'Ansvar kurs'!$A$2:$B$830,2,FALSE)</f>
        <v>5740</v>
      </c>
      <c r="S77" s="159"/>
      <c r="T77" s="159"/>
      <c r="U77" s="159"/>
      <c r="V77" s="159"/>
      <c r="W77" s="159"/>
      <c r="X77" s="159"/>
      <c r="Y77" s="159"/>
      <c r="Z77" s="159"/>
    </row>
    <row r="78" spans="1:26" x14ac:dyDescent="0.25">
      <c r="A78" s="62" t="s">
        <v>1404</v>
      </c>
      <c r="B78" s="62" t="s">
        <v>1408</v>
      </c>
      <c r="F78" s="31">
        <v>1</v>
      </c>
      <c r="O78" s="42">
        <f>C78*Prislapp!$C$2+D78*Prislapp!$D$2+E78*Prislapp!$E$2+F78*Prislapp!$F$2+G78*Prislapp!$G$2+H78*Prislapp!$H$2+I78*Prislapp!$I$2+J78*Prislapp!$J$2+K78*Prislapp!$K$2+L78*Prislapp!$L$2+M78*Prislapp!$M$2+N78*Prislapp!$N$2</f>
        <v>23641</v>
      </c>
      <c r="P78" s="42">
        <f>C78*Prislapp!$C$3+D78*Prislapp!$D$3+E78*Prislapp!$E$3+F78*Prislapp!$F$3+G78*Prislapp!$G$3+H78*Prislapp!$H$3+I78*Prislapp!$I$3+J78*Prislapp!$J$3+K78*Prislapp!$K$3+M78*Prislapp!$M$3+N78*Prislapp!$N$3</f>
        <v>28786</v>
      </c>
      <c r="Q78" s="42">
        <f>C78*Prislapp!$C$5+D78*Prislapp!$D$5+E78*Prislapp!$E$5+F78*Prislapp!$F$5+G78*Prislapp!$G$5+H78*Prislapp!$H$5+I78*Prislapp!$I$5+J78*Prislapp!$J$5+K78*Prislapp!$K$5+L78*Prislapp!$L$5+M78*Prislapp!$M$5+N78*Prislapp!$N$5</f>
        <v>5800</v>
      </c>
      <c r="R78" s="9">
        <f>VLOOKUP(A78,'Ansvar kurs'!$A$2:$B$830,2,FALSE)</f>
        <v>5740</v>
      </c>
      <c r="S78" s="159"/>
      <c r="T78" s="159"/>
      <c r="U78" s="159"/>
      <c r="V78" s="159"/>
      <c r="W78" s="159"/>
      <c r="X78" s="159"/>
      <c r="Y78" s="159"/>
      <c r="Z78" s="159"/>
    </row>
    <row r="79" spans="1:26" x14ac:dyDescent="0.25">
      <c r="A79" s="62" t="s">
        <v>1405</v>
      </c>
      <c r="B79" s="62" t="s">
        <v>1409</v>
      </c>
      <c r="F79" s="31">
        <v>1</v>
      </c>
      <c r="O79" s="42">
        <f>C79*Prislapp!$C$2+D79*Prislapp!$D$2+E79*Prislapp!$E$2+F79*Prislapp!$F$2+G79*Prislapp!$G$2+H79*Prislapp!$H$2+I79*Prislapp!$I$2+J79*Prislapp!$J$2+K79*Prislapp!$K$2+L79*Prislapp!$L$2+M79*Prislapp!$M$2+N79*Prislapp!$N$2</f>
        <v>23641</v>
      </c>
      <c r="P79" s="42">
        <f>C79*Prislapp!$C$3+D79*Prislapp!$D$3+E79*Prislapp!$E$3+F79*Prislapp!$F$3+G79*Prislapp!$G$3+H79*Prislapp!$H$3+I79*Prislapp!$I$3+J79*Prislapp!$J$3+K79*Prislapp!$K$3+M79*Prislapp!$M$3+N79*Prislapp!$N$3</f>
        <v>28786</v>
      </c>
      <c r="Q79" s="42">
        <f>C79*Prislapp!$C$5+D79*Prislapp!$D$5+E79*Prislapp!$E$5+F79*Prislapp!$F$5+G79*Prislapp!$G$5+H79*Prislapp!$H$5+I79*Prislapp!$I$5+J79*Prislapp!$J$5+K79*Prislapp!$K$5+L79*Prislapp!$L$5+M79*Prislapp!$M$5+N79*Prislapp!$N$5</f>
        <v>5800</v>
      </c>
      <c r="R79" s="9">
        <f>VLOOKUP(A79,'Ansvar kurs'!$A$2:$B$830,2,FALSE)</f>
        <v>5740</v>
      </c>
      <c r="S79" s="159"/>
      <c r="T79" s="159"/>
      <c r="U79" s="159"/>
      <c r="V79" s="159"/>
      <c r="W79" s="159"/>
      <c r="X79" s="159"/>
      <c r="Y79" s="159"/>
      <c r="Z79" s="159"/>
    </row>
    <row r="80" spans="1:26" x14ac:dyDescent="0.25">
      <c r="A80" s="62" t="s">
        <v>1406</v>
      </c>
      <c r="B80" s="62" t="s">
        <v>1410</v>
      </c>
      <c r="F80" s="31">
        <v>1</v>
      </c>
      <c r="O80" s="42">
        <f>C80*Prislapp!$C$2+D80*Prislapp!$D$2+E80*Prislapp!$E$2+F80*Prislapp!$F$2+G80*Prislapp!$G$2+H80*Prislapp!$H$2+I80*Prislapp!$I$2+J80*Prislapp!$J$2+K80*Prislapp!$K$2+L80*Prislapp!$L$2+M80*Prislapp!$M$2+N80*Prislapp!$N$2</f>
        <v>23641</v>
      </c>
      <c r="P80" s="42">
        <f>C80*Prislapp!$C$3+D80*Prislapp!$D$3+E80*Prislapp!$E$3+F80*Prislapp!$F$3+G80*Prislapp!$G$3+H80*Prislapp!$H$3+I80*Prislapp!$I$3+J80*Prislapp!$J$3+K80*Prislapp!$K$3+M80*Prislapp!$M$3+N80*Prislapp!$N$3</f>
        <v>28786</v>
      </c>
      <c r="Q80" s="42">
        <f>C80*Prislapp!$C$5+D80*Prislapp!$D$5+E80*Prislapp!$E$5+F80*Prislapp!$F$5+G80*Prislapp!$G$5+H80*Prislapp!$H$5+I80*Prislapp!$I$5+J80*Prislapp!$J$5+K80*Prislapp!$K$5+L80*Prislapp!$L$5+M80*Prislapp!$M$5+N80*Prislapp!$N$5</f>
        <v>5800</v>
      </c>
      <c r="R80" s="9">
        <f>VLOOKUP(A80,'Ansvar kurs'!$A$2:$B$830,2,FALSE)</f>
        <v>5740</v>
      </c>
      <c r="S80" s="159"/>
      <c r="T80" s="159"/>
      <c r="U80" s="159"/>
      <c r="V80" s="159"/>
      <c r="W80" s="159"/>
      <c r="X80" s="159"/>
      <c r="Y80" s="159"/>
      <c r="Z80" s="159"/>
    </row>
    <row r="81" spans="1:26" x14ac:dyDescent="0.25">
      <c r="A81" s="62" t="s">
        <v>2049</v>
      </c>
      <c r="B81" s="62" t="s">
        <v>2076</v>
      </c>
      <c r="H81" s="31">
        <v>0.5</v>
      </c>
      <c r="J81" s="59">
        <v>0.5</v>
      </c>
      <c r="O81" s="42">
        <f>C81*Prislapp!$C$2+D81*Prislapp!$D$2+E81*Prislapp!$E$2+F81*Prislapp!$F$2+G81*Prislapp!$G$2+H81*Prislapp!$H$2+I81*Prislapp!$I$2+J81*Prislapp!$J$2+K81*Prislapp!$K$2+L81*Prislapp!$L$2+M81*Prislapp!$M$2+N81*Prislapp!$N$2</f>
        <v>19473</v>
      </c>
      <c r="P81" s="42">
        <f>C81*Prislapp!$C$3+D81*Prislapp!$D$3+E81*Prislapp!$E$3+F81*Prislapp!$F$3+G81*Prislapp!$G$3+H81*Prislapp!$H$3+I81*Prislapp!$I$3+J81*Prislapp!$J$3+K81*Prislapp!$K$3+M81*Prislapp!$M$3+N81*Prislapp!$N$3</f>
        <v>34806</v>
      </c>
      <c r="Q81" s="42">
        <f>C81*Prislapp!$C$5+D81*Prislapp!$D$5+E81*Prislapp!$E$5+F81*Prislapp!$F$5+G81*Prislapp!$G$5+H81*Prislapp!$H$5+I81*Prislapp!$I$5+J81*Prislapp!$J$5+K81*Prislapp!$K$5+L81*Prislapp!$L$5+M81*Prislapp!$M$5+N81*Prislapp!$N$5</f>
        <v>21800</v>
      </c>
      <c r="R81" s="9">
        <f>VLOOKUP(A81,'Ansvar kurs'!$A$2:$B$830,2,FALSE)</f>
        <v>5700</v>
      </c>
      <c r="S81" s="186"/>
      <c r="T81" s="159"/>
      <c r="U81" s="159"/>
      <c r="V81" s="159"/>
      <c r="W81" s="159"/>
      <c r="X81" s="159"/>
      <c r="Y81" s="159"/>
      <c r="Z81" s="159"/>
    </row>
    <row r="82" spans="1:26" x14ac:dyDescent="0.25">
      <c r="A82" s="31" t="s">
        <v>66</v>
      </c>
      <c r="B82" s="31" t="s">
        <v>660</v>
      </c>
      <c r="D82" s="31">
        <v>0.5</v>
      </c>
      <c r="K82" s="31">
        <v>0.5</v>
      </c>
      <c r="O82" s="42">
        <f>C82*Prislapp!$C$2+D82*Prislapp!$D$2+E82*Prislapp!$E$2+F82*Prislapp!$F$2+G82*Prislapp!$G$2+H82*Prislapp!$H$2+I82*Prislapp!$I$2+J82*Prislapp!$J$2+K82*Prislapp!$K$2+L82*Prislapp!$L$2+M82*Prislapp!$M$2+N82*Prislapp!$N$2</f>
        <v>20019.5</v>
      </c>
      <c r="P82" s="42">
        <f>C82*Prislapp!$C$3+D82*Prislapp!$D$3+E82*Prislapp!$E$3+F82*Prislapp!$F$3+G82*Prislapp!$G$3+H82*Prislapp!$H$3+I82*Prislapp!$I$3+J82*Prislapp!$J$3+K82*Prislapp!$K$3+M82*Prislapp!$M$3+N82*Prislapp!$N$3</f>
        <v>21379.5</v>
      </c>
      <c r="Q82" s="42">
        <f>C82*Prislapp!$C$5+D82*Prislapp!$D$5+E82*Prislapp!$E$5+F82*Prislapp!$F$5+G82*Prislapp!$G$5+H82*Prislapp!$H$5+I82*Prislapp!$I$5+J82*Prislapp!$J$5+K82*Prislapp!$K$5+L82*Prislapp!$L$5+M82*Prislapp!$M$5+N82*Prislapp!$N$5</f>
        <v>4600</v>
      </c>
      <c r="R82" s="9">
        <f>VLOOKUP(A82,'Ansvar kurs'!$A$2:$B$830,2,FALSE)</f>
        <v>1620</v>
      </c>
      <c r="S82" s="159"/>
      <c r="T82" s="159"/>
      <c r="U82" s="159"/>
      <c r="V82" s="159"/>
      <c r="W82" s="159"/>
      <c r="X82" s="159"/>
      <c r="Y82" s="159"/>
      <c r="Z82" s="159"/>
    </row>
    <row r="83" spans="1:26" x14ac:dyDescent="0.25">
      <c r="A83" s="31" t="s">
        <v>89</v>
      </c>
      <c r="B83" s="31" t="s">
        <v>661</v>
      </c>
      <c r="D83" s="31">
        <v>0.5</v>
      </c>
      <c r="K83" s="31">
        <v>0.5</v>
      </c>
      <c r="O83" s="42">
        <f>C83*Prislapp!$C$2+D83*Prislapp!$D$2+E83*Prislapp!$E$2+F83*Prislapp!$F$2+G83*Prislapp!$G$2+H83*Prislapp!$H$2+I83*Prislapp!$I$2+J83*Prislapp!$J$2+K83*Prislapp!$K$2+L83*Prislapp!$L$2+M83*Prislapp!$M$2+N83*Prislapp!$N$2</f>
        <v>20019.5</v>
      </c>
      <c r="P83" s="42">
        <f>C83*Prislapp!$C$3+D83*Prislapp!$D$3+E83*Prislapp!$E$3+F83*Prislapp!$F$3+G83*Prislapp!$G$3+H83*Prislapp!$H$3+I83*Prislapp!$I$3+J83*Prislapp!$J$3+K83*Prislapp!$K$3+M83*Prislapp!$M$3+N83*Prislapp!$N$3</f>
        <v>21379.5</v>
      </c>
      <c r="Q83" s="42">
        <f>C83*Prislapp!$C$5+D83*Prislapp!$D$5+E83*Prislapp!$E$5+F83*Prislapp!$F$5+G83*Prislapp!$G$5+H83*Prislapp!$H$5+I83*Prislapp!$I$5+J83*Prislapp!$J$5+K83*Prislapp!$K$5+L83*Prislapp!$L$5+M83*Prislapp!$M$5+N83*Prislapp!$N$5</f>
        <v>4600</v>
      </c>
      <c r="R83" s="9">
        <f>VLOOKUP(A83,'Ansvar kurs'!$A$2:$B$830,2,FALSE)</f>
        <v>1620</v>
      </c>
      <c r="S83" s="159"/>
      <c r="T83" s="159"/>
      <c r="U83" s="159"/>
      <c r="V83" s="159"/>
      <c r="W83" s="159"/>
      <c r="X83" s="159"/>
      <c r="Y83" s="159"/>
      <c r="Z83" s="159"/>
    </row>
    <row r="84" spans="1:26" x14ac:dyDescent="0.25">
      <c r="A84" s="31" t="s">
        <v>487</v>
      </c>
      <c r="B84" s="31" t="s">
        <v>662</v>
      </c>
      <c r="D84" s="31">
        <v>1</v>
      </c>
      <c r="O84" s="42">
        <f>C84*Prislapp!$C$2+D84*Prislapp!$D$2+E84*Prislapp!$E$2+F84*Prislapp!$F$2+G84*Prislapp!$G$2+H84*Prislapp!$H$2+I84*Prislapp!$I$2+J84*Prislapp!$J$2+K84*Prislapp!$K$2+L84*Prislapp!$L$2+M84*Prislapp!$M$2+N84*Prislapp!$N$2</f>
        <v>18405</v>
      </c>
      <c r="P84" s="42">
        <f>C84*Prislapp!$C$3+D84*Prislapp!$D$3+E84*Prislapp!$E$3+F84*Prislapp!$F$3+G84*Prislapp!$G$3+H84*Prislapp!$H$3+I84*Prislapp!$I$3+J84*Prislapp!$J$3+K84*Prislapp!$K$3+M84*Prislapp!$M$3+N84*Prislapp!$N$3</f>
        <v>15773</v>
      </c>
      <c r="Q84" s="42">
        <f>C84*Prislapp!$C$5+D84*Prislapp!$D$5+E84*Prislapp!$E$5+F84*Prislapp!$F$5+G84*Prislapp!$G$5+H84*Prislapp!$H$5+I84*Prislapp!$I$5+J84*Prislapp!$J$5+K84*Prislapp!$K$5+L84*Prislapp!$L$5+M84*Prislapp!$M$5+N84*Prislapp!$N$5</f>
        <v>5800</v>
      </c>
      <c r="R84" s="9">
        <f>VLOOKUP(A84,'Ansvar kurs'!$A$2:$B$830,2,FALSE)</f>
        <v>1620</v>
      </c>
      <c r="S84" s="159" t="s">
        <v>1312</v>
      </c>
      <c r="T84" s="159"/>
      <c r="U84" s="159"/>
      <c r="V84" s="159"/>
      <c r="W84" s="159"/>
      <c r="X84" s="159"/>
      <c r="Y84" s="159"/>
      <c r="Z84" s="159"/>
    </row>
    <row r="85" spans="1:26" x14ac:dyDescent="0.25">
      <c r="A85" s="31" t="s">
        <v>488</v>
      </c>
      <c r="B85" s="31" t="s">
        <v>663</v>
      </c>
      <c r="D85" s="31">
        <v>1</v>
      </c>
      <c r="O85" s="42">
        <f>C85*Prislapp!$C$2+D85*Prislapp!$D$2+E85*Prislapp!$E$2+F85*Prislapp!$F$2+G85*Prislapp!$G$2+H85*Prislapp!$H$2+I85*Prislapp!$I$2+J85*Prislapp!$J$2+K85*Prislapp!$K$2+L85*Prislapp!$L$2+M85*Prislapp!$M$2+N85*Prislapp!$N$2</f>
        <v>18405</v>
      </c>
      <c r="P85" s="42">
        <f>C85*Prislapp!$C$3+D85*Prislapp!$D$3+E85*Prislapp!$E$3+F85*Prislapp!$F$3+G85*Prislapp!$G$3+H85*Prislapp!$H$3+I85*Prislapp!$I$3+J85*Prislapp!$J$3+K85*Prislapp!$K$3+M85*Prislapp!$M$3+N85*Prislapp!$N$3</f>
        <v>15773</v>
      </c>
      <c r="Q85" s="42">
        <f>C85*Prislapp!$C$5+D85*Prislapp!$D$5+E85*Prislapp!$E$5+F85*Prislapp!$F$5+G85*Prislapp!$G$5+H85*Prislapp!$H$5+I85*Prislapp!$I$5+J85*Prislapp!$J$5+K85*Prislapp!$K$5+L85*Prislapp!$L$5+M85*Prislapp!$M$5+N85*Prislapp!$N$5</f>
        <v>5800</v>
      </c>
      <c r="R85" s="9">
        <f>VLOOKUP(A85,'Ansvar kurs'!$A$2:$B$830,2,FALSE)</f>
        <v>1620</v>
      </c>
      <c r="S85" s="159" t="s">
        <v>1312</v>
      </c>
      <c r="T85" s="159"/>
      <c r="U85" s="159"/>
      <c r="V85" s="159"/>
      <c r="W85" s="159"/>
      <c r="X85" s="159"/>
      <c r="Y85" s="159"/>
      <c r="Z85" s="159"/>
    </row>
    <row r="86" spans="1:26" x14ac:dyDescent="0.25">
      <c r="A86" s="265" t="s">
        <v>489</v>
      </c>
      <c r="B86" s="31" t="s">
        <v>544</v>
      </c>
      <c r="D86" s="31">
        <v>1</v>
      </c>
      <c r="O86" s="42">
        <f>C86*Prislapp!$C$2+D86*Prislapp!$D$2+E86*Prislapp!$E$2+F86*Prislapp!$F$2+G86*Prislapp!$G$2+H86*Prislapp!$H$2+I86*Prislapp!$I$2+J86*Prislapp!$J$2+K86*Prislapp!$K$2+L86*Prislapp!$L$2+M86*Prislapp!$M$2+N86*Prislapp!$N$2</f>
        <v>18405</v>
      </c>
      <c r="P86" s="42">
        <f>C86*Prislapp!$C$3+D86*Prislapp!$D$3+E86*Prislapp!$E$3+F86*Prislapp!$F$3+G86*Prislapp!$G$3+H86*Prislapp!$H$3+I86*Prislapp!$I$3+J86*Prislapp!$J$3+K86*Prislapp!$K$3+M86*Prislapp!$M$3+N86*Prislapp!$N$3</f>
        <v>15773</v>
      </c>
      <c r="Q86" s="42">
        <f>C86*Prislapp!$C$5+D86*Prislapp!$D$5+E86*Prislapp!$E$5+F86*Prislapp!$F$5+G86*Prislapp!$G$5+H86*Prislapp!$H$5+I86*Prislapp!$I$5+J86*Prislapp!$J$5+K86*Prislapp!$K$5+L86*Prislapp!$L$5+M86*Prislapp!$M$5+N86*Prislapp!$N$5</f>
        <v>5800</v>
      </c>
      <c r="R86" s="9">
        <f>VLOOKUP(A86,'Ansvar kurs'!$A$2:$B$830,2,FALSE)</f>
        <v>1620</v>
      </c>
      <c r="S86" s="159" t="s">
        <v>1312</v>
      </c>
      <c r="T86" s="159"/>
      <c r="U86" s="159"/>
      <c r="V86" s="159"/>
      <c r="W86" s="159"/>
      <c r="X86" s="159"/>
      <c r="Y86" s="159"/>
      <c r="Z86" s="159"/>
    </row>
    <row r="87" spans="1:26" x14ac:dyDescent="0.25">
      <c r="A87" s="265" t="s">
        <v>490</v>
      </c>
      <c r="B87" s="31" t="s">
        <v>546</v>
      </c>
      <c r="D87" s="31">
        <v>1</v>
      </c>
      <c r="O87" s="42">
        <f>C87*Prislapp!$C$2+D87*Prislapp!$D$2+E87*Prislapp!$E$2+F87*Prislapp!$F$2+G87*Prislapp!$G$2+H87*Prislapp!$H$2+I87*Prislapp!$I$2+J87*Prislapp!$J$2+K87*Prislapp!$K$2+L87*Prislapp!$L$2+M87*Prislapp!$M$2+N87*Prislapp!$N$2</f>
        <v>18405</v>
      </c>
      <c r="P87" s="42">
        <f>C87*Prislapp!$C$3+D87*Prislapp!$D$3+E87*Prislapp!$E$3+F87*Prislapp!$F$3+G87*Prislapp!$G$3+H87*Prislapp!$H$3+I87*Prislapp!$I$3+J87*Prislapp!$J$3+K87*Prislapp!$K$3+M87*Prislapp!$M$3+N87*Prislapp!$N$3</f>
        <v>15773</v>
      </c>
      <c r="Q87" s="42">
        <f>C87*Prislapp!$C$5+D87*Prislapp!$D$5+E87*Prislapp!$E$5+F87*Prislapp!$F$5+G87*Prislapp!$G$5+H87*Prislapp!$H$5+I87*Prislapp!$I$5+J87*Prislapp!$J$5+K87*Prislapp!$K$5+L87*Prislapp!$L$5+M87*Prislapp!$M$5+N87*Prislapp!$N$5</f>
        <v>5800</v>
      </c>
      <c r="R87" s="9">
        <f>VLOOKUP(A87,'Ansvar kurs'!$A$2:$B$830,2,FALSE)</f>
        <v>1620</v>
      </c>
      <c r="S87" s="159" t="s">
        <v>1312</v>
      </c>
      <c r="T87" s="159"/>
      <c r="U87" s="159"/>
      <c r="V87" s="159"/>
      <c r="W87" s="159"/>
      <c r="X87" s="159"/>
      <c r="Y87" s="159"/>
      <c r="Z87" s="159"/>
    </row>
    <row r="88" spans="1:26" x14ac:dyDescent="0.25">
      <c r="A88" s="265" t="s">
        <v>580</v>
      </c>
      <c r="B88" s="31" t="s">
        <v>608</v>
      </c>
      <c r="D88" s="31">
        <v>1</v>
      </c>
      <c r="O88" s="42">
        <f>C88*Prislapp!$C$2+D88*Prislapp!$D$2+E88*Prislapp!$E$2+F88*Prislapp!$F$2+G88*Prislapp!$G$2+H88*Prislapp!$H$2+I88*Prislapp!$I$2+J88*Prislapp!$J$2+K88*Prislapp!$K$2+L88*Prislapp!$L$2+M88*Prislapp!$M$2+N88*Prislapp!$N$2</f>
        <v>18405</v>
      </c>
      <c r="P88" s="42">
        <f>C88*Prislapp!$C$3+D88*Prislapp!$D$3+E88*Prislapp!$E$3+F88*Prislapp!$F$3+G88*Prislapp!$G$3+H88*Prislapp!$H$3+I88*Prislapp!$I$3+J88*Prislapp!$J$3+K88*Prislapp!$K$3+M88*Prislapp!$M$3+N88*Prislapp!$N$3</f>
        <v>15773</v>
      </c>
      <c r="Q88" s="42">
        <f>C88*Prislapp!$C$5+D88*Prislapp!$D$5+E88*Prislapp!$E$5+F88*Prislapp!$F$5+G88*Prislapp!$G$5+H88*Prislapp!$H$5+I88*Prislapp!$I$5+J88*Prislapp!$J$5+K88*Prislapp!$K$5+L88*Prislapp!$L$5+M88*Prislapp!$M$5+N88*Prislapp!$N$5</f>
        <v>5800</v>
      </c>
      <c r="R88" s="9">
        <f>VLOOKUP(A88,'Ansvar kurs'!$A$2:$B$830,2,FALSE)</f>
        <v>1620</v>
      </c>
      <c r="S88" s="159" t="s">
        <v>1312</v>
      </c>
      <c r="T88" s="159"/>
      <c r="U88" s="159"/>
      <c r="V88" s="159"/>
      <c r="W88" s="159"/>
      <c r="X88" s="159"/>
      <c r="Y88" s="159"/>
      <c r="Z88" s="159"/>
    </row>
    <row r="89" spans="1:26" x14ac:dyDescent="0.25">
      <c r="A89" s="31" t="s">
        <v>491</v>
      </c>
      <c r="B89" s="31" t="s">
        <v>664</v>
      </c>
      <c r="D89" s="31">
        <v>1</v>
      </c>
      <c r="O89" s="42">
        <f>C89*Prislapp!$C$2+D89*Prislapp!$D$2+E89*Prislapp!$E$2+F89*Prislapp!$F$2+G89*Prislapp!$G$2+H89*Prislapp!$H$2+I89*Prislapp!$I$2+J89*Prislapp!$J$2+K89*Prislapp!$K$2+L89*Prislapp!$L$2+M89*Prislapp!$M$2+N89*Prislapp!$N$2</f>
        <v>18405</v>
      </c>
      <c r="P89" s="42">
        <f>C89*Prislapp!$C$3+D89*Prislapp!$D$3+E89*Prislapp!$E$3+F89*Prislapp!$F$3+G89*Prislapp!$G$3+H89*Prislapp!$H$3+I89*Prislapp!$I$3+J89*Prislapp!$J$3+K89*Prislapp!$K$3+M89*Prislapp!$M$3+N89*Prislapp!$N$3</f>
        <v>15773</v>
      </c>
      <c r="Q89" s="42">
        <f>C89*Prislapp!$C$5+D89*Prislapp!$D$5+E89*Prislapp!$E$5+F89*Prislapp!$F$5+G89*Prislapp!$G$5+H89*Prislapp!$H$5+I89*Prislapp!$I$5+J89*Prislapp!$J$5+K89*Prislapp!$K$5+L89*Prislapp!$L$5+M89*Prislapp!$M$5+N89*Prislapp!$N$5</f>
        <v>5800</v>
      </c>
      <c r="R89" s="9">
        <f>VLOOKUP(A89,'Ansvar kurs'!$A$2:$B$830,2,FALSE)</f>
        <v>1620</v>
      </c>
      <c r="S89" s="159" t="s">
        <v>1312</v>
      </c>
      <c r="T89" s="159"/>
      <c r="U89" s="159"/>
      <c r="V89" s="159"/>
      <c r="W89" s="159"/>
      <c r="X89" s="159"/>
      <c r="Y89" s="159"/>
      <c r="Z89" s="159"/>
    </row>
    <row r="90" spans="1:26" x14ac:dyDescent="0.25">
      <c r="A90" s="31" t="s">
        <v>492</v>
      </c>
      <c r="B90" s="31" t="s">
        <v>665</v>
      </c>
      <c r="D90" s="31">
        <v>1</v>
      </c>
      <c r="O90" s="42">
        <f>C90*Prislapp!$C$2+D90*Prislapp!$D$2+E90*Prislapp!$E$2+F90*Prislapp!$F$2+G90*Prislapp!$G$2+H90*Prislapp!$H$2+I90*Prislapp!$I$2+J90*Prislapp!$J$2+K90*Prislapp!$K$2+L90*Prislapp!$L$2+M90*Prislapp!$M$2+N90*Prislapp!$N$2</f>
        <v>18405</v>
      </c>
      <c r="P90" s="42">
        <f>C90*Prislapp!$C$3+D90*Prislapp!$D$3+E90*Prislapp!$E$3+F90*Prislapp!$F$3+G90*Prislapp!$G$3+H90*Prislapp!$H$3+I90*Prislapp!$I$3+J90*Prislapp!$J$3+K90*Prislapp!$K$3+M90*Prislapp!$M$3+N90*Prislapp!$N$3</f>
        <v>15773</v>
      </c>
      <c r="Q90" s="42">
        <f>C90*Prislapp!$C$5+D90*Prislapp!$D$5+E90*Prislapp!$E$5+F90*Prislapp!$F$5+G90*Prislapp!$G$5+H90*Prislapp!$H$5+I90*Prislapp!$I$5+J90*Prislapp!$J$5+K90*Prislapp!$K$5+L90*Prislapp!$L$5+M90*Prislapp!$M$5+N90*Prislapp!$N$5</f>
        <v>5800</v>
      </c>
      <c r="R90" s="9">
        <f>VLOOKUP(A90,'Ansvar kurs'!$A$2:$B$830,2,FALSE)</f>
        <v>1620</v>
      </c>
      <c r="S90" s="159" t="s">
        <v>1312</v>
      </c>
      <c r="T90" s="159"/>
      <c r="U90" s="159"/>
      <c r="V90" s="159"/>
      <c r="W90" s="159"/>
      <c r="X90" s="159"/>
      <c r="Y90" s="159"/>
      <c r="Z90" s="159"/>
    </row>
    <row r="91" spans="1:26" x14ac:dyDescent="0.25">
      <c r="A91" s="31" t="s">
        <v>581</v>
      </c>
      <c r="B91" s="31" t="s">
        <v>1161</v>
      </c>
      <c r="D91" s="31">
        <v>1</v>
      </c>
      <c r="O91" s="42">
        <f>C91*Prislapp!$C$2+D91*Prislapp!$D$2+E91*Prislapp!$E$2+F91*Prislapp!$F$2+G91*Prislapp!$G$2+H91*Prislapp!$H$2+I91*Prislapp!$I$2+J91*Prislapp!$J$2+K91*Prislapp!$K$2+L91*Prislapp!$L$2+M91*Prislapp!$M$2+N91*Prislapp!$N$2</f>
        <v>18405</v>
      </c>
      <c r="P91" s="42">
        <f>C91*Prislapp!$C$3+D91*Prislapp!$D$3+E91*Prislapp!$E$3+F91*Prislapp!$F$3+G91*Prislapp!$G$3+H91*Prislapp!$H$3+I91*Prislapp!$I$3+J91*Prislapp!$J$3+K91*Prislapp!$K$3+M91*Prislapp!$M$3+N91*Prislapp!$N$3</f>
        <v>15773</v>
      </c>
      <c r="Q91" s="42">
        <f>C91*Prislapp!$C$5+D91*Prislapp!$D$5+E91*Prislapp!$E$5+F91*Prislapp!$F$5+G91*Prislapp!$G$5+H91*Prislapp!$H$5+I91*Prislapp!$I$5+J91*Prislapp!$J$5+K91*Prislapp!$K$5+L91*Prislapp!$L$5+M91*Prislapp!$M$5+N91*Prislapp!$N$5</f>
        <v>5800</v>
      </c>
      <c r="R91" s="9">
        <f>VLOOKUP(A91,'Ansvar kurs'!$A$2:$B$830,2,FALSE)</f>
        <v>1620</v>
      </c>
      <c r="S91" s="159" t="s">
        <v>1312</v>
      </c>
      <c r="T91" s="159"/>
      <c r="U91" s="159"/>
      <c r="V91" s="159"/>
      <c r="W91" s="159"/>
      <c r="X91" s="159"/>
      <c r="Y91" s="159"/>
      <c r="Z91" s="159"/>
    </row>
    <row r="92" spans="1:26" x14ac:dyDescent="0.25">
      <c r="A92" s="31" t="s">
        <v>1028</v>
      </c>
      <c r="B92" s="31" t="s">
        <v>1162</v>
      </c>
      <c r="K92" s="31">
        <v>1</v>
      </c>
      <c r="O92" s="42">
        <f>C92*Prislapp!$C$2+D92*Prislapp!$D$2+E92*Prislapp!$E$2+F92*Prislapp!$F$2+G92*Prislapp!$G$2+H92*Prislapp!$H$2+I92*Prislapp!$I$2+J92*Prislapp!$J$2+K92*Prislapp!$K$2+L92*Prislapp!$L$2+M92*Prislapp!$M$2+N92*Prislapp!$N$2</f>
        <v>21634</v>
      </c>
      <c r="P92" s="42">
        <f>C92*Prislapp!$C$3+D92*Prislapp!$D$3+E92*Prislapp!$E$3+F92*Prislapp!$F$3+G92*Prislapp!$G$3+H92*Prislapp!$H$3+I92*Prislapp!$I$3+J92*Prislapp!$J$3+K92*Prislapp!$K$3+M92*Prislapp!$M$3+N92*Prislapp!$N$3</f>
        <v>26986</v>
      </c>
      <c r="Q92" s="42">
        <f>C92*Prislapp!$C$5+D92*Prislapp!$D$5+E92*Prislapp!$E$5+F92*Prislapp!$F$5+G92*Prislapp!$G$5+H92*Prislapp!$H$5+I92*Prislapp!$I$5+J92*Prislapp!$J$5+K92*Prislapp!$K$5+L92*Prislapp!$L$5+M92*Prislapp!$M$5+N92*Prislapp!$N$5</f>
        <v>3400</v>
      </c>
      <c r="R92" s="9">
        <f>VLOOKUP(A92,'Ansvar kurs'!$A$2:$B$830,2,FALSE)</f>
        <v>1620</v>
      </c>
      <c r="S92" s="159"/>
      <c r="T92" s="159"/>
      <c r="U92" s="159"/>
      <c r="V92" s="159"/>
      <c r="W92" s="159"/>
      <c r="X92" s="159"/>
      <c r="Y92" s="159"/>
      <c r="Z92" s="159"/>
    </row>
    <row r="93" spans="1:26" x14ac:dyDescent="0.25">
      <c r="A93" s="31" t="s">
        <v>1748</v>
      </c>
      <c r="B93" s="31" t="s">
        <v>1756</v>
      </c>
      <c r="D93" s="31">
        <v>1</v>
      </c>
      <c r="O93" s="42">
        <f>C93*Prislapp!$C$2+D93*Prislapp!$D$2+E93*Prislapp!$E$2+F93*Prislapp!$F$2+G93*Prislapp!$G$2+H93*Prislapp!$H$2+I93*Prislapp!$I$2+J93*Prislapp!$J$2+K93*Prislapp!$K$2+L93*Prislapp!$L$2+M93*Prislapp!$M$2+N93*Prislapp!$N$2</f>
        <v>18405</v>
      </c>
      <c r="P93" s="42">
        <f>C93*Prislapp!$C$3+D93*Prislapp!$D$3+E93*Prislapp!$E$3+F93*Prislapp!$F$3+G93*Prislapp!$G$3+H93*Prislapp!$H$3+I93*Prislapp!$I$3+J93*Prislapp!$J$3+K93*Prislapp!$K$3+M93*Prislapp!$M$3+N93*Prislapp!$N$3</f>
        <v>15773</v>
      </c>
      <c r="Q93" s="42">
        <f>C93*Prislapp!$C$5+D93*Prislapp!$D$5+E93*Prislapp!$E$5+F93*Prislapp!$F$5+G93*Prislapp!$G$5+H93*Prislapp!$H$5+I93*Prislapp!$I$5+J93*Prislapp!$J$5+K93*Prislapp!$K$5+L93*Prislapp!$L$5+M93*Prislapp!$M$5+N93*Prislapp!$N$5</f>
        <v>5800</v>
      </c>
      <c r="R93" s="9">
        <f>VLOOKUP(A93,'Ansvar kurs'!$A$2:$B$830,2,FALSE)</f>
        <v>1620</v>
      </c>
      <c r="S93" s="159"/>
      <c r="T93" s="159"/>
      <c r="U93" s="159"/>
      <c r="V93" s="159"/>
      <c r="W93" s="159"/>
      <c r="X93" s="159"/>
      <c r="Y93" s="159"/>
      <c r="Z93" s="159"/>
    </row>
    <row r="94" spans="1:26" x14ac:dyDescent="0.25">
      <c r="A94" s="31" t="s">
        <v>1749</v>
      </c>
      <c r="B94" s="31" t="s">
        <v>1757</v>
      </c>
      <c r="D94" s="31">
        <v>1</v>
      </c>
      <c r="O94" s="42">
        <f>C94*Prislapp!$C$2+D94*Prislapp!$D$2+E94*Prislapp!$E$2+F94*Prislapp!$F$2+G94*Prislapp!$G$2+H94*Prislapp!$H$2+I94*Prislapp!$I$2+J94*Prislapp!$J$2+K94*Prislapp!$K$2+L94*Prislapp!$L$2+M94*Prislapp!$M$2+N94*Prislapp!$N$2</f>
        <v>18405</v>
      </c>
      <c r="P94" s="42">
        <f>C94*Prislapp!$C$3+D94*Prislapp!$D$3+E94*Prislapp!$E$3+F94*Prislapp!$F$3+G94*Prislapp!$G$3+H94*Prislapp!$H$3+I94*Prislapp!$I$3+J94*Prislapp!$J$3+K94*Prislapp!$K$3+M94*Prislapp!$M$3+N94*Prislapp!$N$3</f>
        <v>15773</v>
      </c>
      <c r="Q94" s="42">
        <f>C94*Prislapp!$C$5+D94*Prislapp!$D$5+E94*Prislapp!$E$5+F94*Prislapp!$F$5+G94*Prislapp!$G$5+H94*Prislapp!$H$5+I94*Prislapp!$I$5+J94*Prislapp!$J$5+K94*Prislapp!$K$5+L94*Prislapp!$L$5+M94*Prislapp!$M$5+N94*Prislapp!$N$5</f>
        <v>5800</v>
      </c>
      <c r="R94" s="9">
        <f>VLOOKUP(A94,'Ansvar kurs'!$A$2:$B$830,2,FALSE)</f>
        <v>1620</v>
      </c>
      <c r="S94" s="159"/>
      <c r="T94" s="159"/>
      <c r="U94" s="159"/>
      <c r="V94" s="159"/>
      <c r="W94" s="159"/>
      <c r="X94" s="159"/>
      <c r="Y94" s="159"/>
      <c r="Z94" s="159"/>
    </row>
    <row r="95" spans="1:26" x14ac:dyDescent="0.25">
      <c r="A95" s="265" t="s">
        <v>1897</v>
      </c>
      <c r="B95" s="31" t="s">
        <v>1892</v>
      </c>
      <c r="K95" s="31">
        <v>1</v>
      </c>
      <c r="O95" s="42">
        <f>C95*Prislapp!$C$2+D95*Prislapp!$D$2+E95*Prislapp!$E$2+F95*Prislapp!$F$2+G95*Prislapp!$G$2+H95*Prislapp!$H$2+I95*Prislapp!$I$2+J95*Prislapp!$J$2+K95*Prislapp!$K$2+L95*Prislapp!$L$2+M95*Prislapp!$M$2+N95*Prislapp!$N$2</f>
        <v>21634</v>
      </c>
      <c r="P95" s="42">
        <f>C95*Prislapp!$C$3+D95*Prislapp!$D$3+E95*Prislapp!$E$3+F95*Prislapp!$F$3+G95*Prislapp!$G$3+H95*Prislapp!$H$3+I95*Prislapp!$I$3+J95*Prislapp!$J$3+K95*Prislapp!$K$3+M95*Prislapp!$M$3+N95*Prislapp!$N$3</f>
        <v>26986</v>
      </c>
      <c r="Q95" s="42">
        <f>C95*Prislapp!$C$5+D95*Prislapp!$D$5+E95*Prislapp!$E$5+F95*Prislapp!$F$5+G95*Prislapp!$G$5+H95*Prislapp!$H$5+I95*Prislapp!$I$5+J95*Prislapp!$J$5+K95*Prislapp!$K$5+L95*Prislapp!$L$5+M95*Prislapp!$M$5+N95*Prislapp!$N$5</f>
        <v>3400</v>
      </c>
      <c r="R95" s="9">
        <f>VLOOKUP(A95,'Ansvar kurs'!$A$2:$B$830,2,FALSE)</f>
        <v>1620</v>
      </c>
      <c r="S95" s="159"/>
      <c r="T95" s="159"/>
      <c r="U95" s="159"/>
      <c r="V95" s="159"/>
      <c r="W95" s="159"/>
      <c r="X95" s="159"/>
      <c r="Y95" s="159"/>
      <c r="Z95" s="159"/>
    </row>
    <row r="96" spans="1:26" x14ac:dyDescent="0.25">
      <c r="A96" s="31" t="s">
        <v>1918</v>
      </c>
      <c r="B96" s="31" t="s">
        <v>543</v>
      </c>
      <c r="D96" s="31">
        <v>1</v>
      </c>
      <c r="O96" s="42">
        <f>C96*Prislapp!$C$2+D96*Prislapp!$D$2+E96*Prislapp!$E$2+F96*Prislapp!$F$2+G96*Prislapp!$G$2+H96*Prislapp!$H$2+I96*Prislapp!$I$2+J96*Prislapp!$J$2+K96*Prislapp!$K$2+L96*Prislapp!$L$2+M96*Prislapp!$M$2+N96*Prislapp!$N$2</f>
        <v>18405</v>
      </c>
      <c r="P96" s="42">
        <f>C96*Prislapp!$C$3+D96*Prislapp!$D$3+E96*Prislapp!$E$3+F96*Prislapp!$F$3+G96*Prislapp!$G$3+H96*Prislapp!$H$3+I96*Prislapp!$I$3+J96*Prislapp!$J$3+K96*Prislapp!$K$3+M96*Prislapp!$M$3+N96*Prislapp!$N$3</f>
        <v>15773</v>
      </c>
      <c r="Q96" s="42">
        <f>C96*Prislapp!$C$5+D96*Prislapp!$D$5+E96*Prislapp!$E$5+F96*Prislapp!$F$5+G96*Prislapp!$G$5+H96*Prislapp!$H$5+I96*Prislapp!$I$5+J96*Prislapp!$J$5+K96*Prislapp!$K$5+L96*Prislapp!$L$5+M96*Prislapp!$M$5+N96*Prislapp!$N$5</f>
        <v>5800</v>
      </c>
      <c r="R96" s="9">
        <f>VLOOKUP(A96,'Ansvar kurs'!$A$2:$B$830,2,FALSE)</f>
        <v>1620</v>
      </c>
      <c r="S96" s="159" t="s">
        <v>1312</v>
      </c>
      <c r="T96" s="159"/>
      <c r="U96" s="159"/>
      <c r="V96" s="159"/>
      <c r="W96" s="159"/>
      <c r="X96" s="159"/>
      <c r="Y96" s="159"/>
      <c r="Z96" s="159"/>
    </row>
    <row r="97" spans="1:26" x14ac:dyDescent="0.25">
      <c r="A97" s="31" t="s">
        <v>1919</v>
      </c>
      <c r="B97" s="31" t="s">
        <v>545</v>
      </c>
      <c r="D97" s="31">
        <v>1</v>
      </c>
      <c r="O97" s="42">
        <f>C97*Prislapp!$C$2+D97*Prislapp!$D$2+E97*Prislapp!$E$2+F97*Prislapp!$F$2+G97*Prislapp!$G$2+H97*Prislapp!$H$2+I97*Prislapp!$I$2+J97*Prislapp!$J$2+K97*Prislapp!$K$2+L97*Prislapp!$L$2+M97*Prislapp!$M$2+N97*Prislapp!$N$2</f>
        <v>18405</v>
      </c>
      <c r="P97" s="42">
        <f>C97*Prislapp!$C$3+D97*Prislapp!$D$3+E97*Prislapp!$E$3+F97*Prislapp!$F$3+G97*Prislapp!$G$3+H97*Prislapp!$H$3+I97*Prislapp!$I$3+J97*Prislapp!$J$3+K97*Prislapp!$K$3+M97*Prislapp!$M$3+N97*Prislapp!$N$3</f>
        <v>15773</v>
      </c>
      <c r="Q97" s="42">
        <f>C97*Prislapp!$C$5+D97*Prislapp!$D$5+E97*Prislapp!$E$5+F97*Prislapp!$F$5+G97*Prislapp!$G$5+H97*Prislapp!$H$5+I97*Prislapp!$I$5+J97*Prislapp!$J$5+K97*Prislapp!$K$5+L97*Prislapp!$L$5+M97*Prislapp!$M$5+N97*Prislapp!$N$5</f>
        <v>5800</v>
      </c>
      <c r="R97" s="9">
        <f>VLOOKUP(A97,'Ansvar kurs'!$A$2:$B$830,2,FALSE)</f>
        <v>1620</v>
      </c>
      <c r="S97" s="159" t="s">
        <v>1312</v>
      </c>
      <c r="T97" s="159"/>
      <c r="U97" s="159"/>
      <c r="V97" s="159"/>
      <c r="W97" s="159"/>
      <c r="X97" s="159"/>
      <c r="Y97" s="159"/>
      <c r="Z97" s="159"/>
    </row>
    <row r="98" spans="1:26" x14ac:dyDescent="0.25">
      <c r="A98" s="31" t="s">
        <v>2045</v>
      </c>
      <c r="B98" s="31" t="s">
        <v>544</v>
      </c>
      <c r="D98" s="31">
        <v>1</v>
      </c>
      <c r="O98" s="42">
        <f>C98*Prislapp!$C$2+D98*Prislapp!$D$2+E98*Prislapp!$E$2+F98*Prislapp!$F$2+G98*Prislapp!$G$2+H98*Prislapp!$H$2+I98*Prislapp!$I$2+J98*Prislapp!$J$2+K98*Prislapp!$K$2+L98*Prislapp!$L$2+M98*Prislapp!$M$2+N98*Prislapp!$N$2</f>
        <v>18405</v>
      </c>
      <c r="P98" s="42">
        <f>C98*Prislapp!$C$3+D98*Prislapp!$D$3+E98*Prislapp!$E$3+F98*Prislapp!$F$3+G98*Prislapp!$G$3+H98*Prislapp!$H$3+I98*Prislapp!$I$3+J98*Prislapp!$J$3+K98*Prislapp!$K$3+M98*Prislapp!$M$3+N98*Prislapp!$N$3</f>
        <v>15773</v>
      </c>
      <c r="Q98" s="42">
        <f>C98*Prislapp!$C$5+D98*Prislapp!$D$5+E98*Prislapp!$E$5+F98*Prislapp!$F$5+G98*Prislapp!$G$5+H98*Prislapp!$H$5+I98*Prislapp!$I$5+J98*Prislapp!$J$5+K98*Prislapp!$K$5+L98*Prislapp!$L$5+M98*Prislapp!$M$5+N98*Prislapp!$N$5</f>
        <v>5800</v>
      </c>
      <c r="R98" s="9">
        <f>VLOOKUP(A98,'Ansvar kurs'!$A$2:$B$830,2,FALSE)</f>
        <v>1620</v>
      </c>
      <c r="S98" s="159"/>
      <c r="T98" s="159"/>
      <c r="U98" s="159"/>
      <c r="V98" s="159"/>
      <c r="W98" s="159"/>
      <c r="X98" s="159"/>
      <c r="Y98" s="159"/>
      <c r="Z98" s="159"/>
    </row>
    <row r="99" spans="1:26" x14ac:dyDescent="0.25">
      <c r="A99" s="31" t="s">
        <v>2046</v>
      </c>
      <c r="B99" s="31" t="s">
        <v>546</v>
      </c>
      <c r="D99" s="31">
        <v>1</v>
      </c>
      <c r="O99" s="42">
        <f>C99*Prislapp!$C$2+D99*Prislapp!$D$2+E99*Prislapp!$E$2+F99*Prislapp!$F$2+G99*Prislapp!$G$2+H99*Prislapp!$H$2+I99*Prislapp!$I$2+J99*Prislapp!$J$2+K99*Prislapp!$K$2+L99*Prislapp!$L$2+M99*Prislapp!$M$2+N99*Prislapp!$N$2</f>
        <v>18405</v>
      </c>
      <c r="P99" s="42">
        <f>C99*Prislapp!$C$3+D99*Prislapp!$D$3+E99*Prislapp!$E$3+F99*Prislapp!$F$3+G99*Prislapp!$G$3+H99*Prislapp!$H$3+I99*Prislapp!$I$3+J99*Prislapp!$J$3+K99*Prislapp!$K$3+M99*Prislapp!$M$3+N99*Prislapp!$N$3</f>
        <v>15773</v>
      </c>
      <c r="Q99" s="42">
        <f>C99*Prislapp!$C$5+D99*Prislapp!$D$5+E99*Prislapp!$E$5+F99*Prislapp!$F$5+G99*Prislapp!$G$5+H99*Prislapp!$H$5+I99*Prislapp!$I$5+J99*Prislapp!$J$5+K99*Prislapp!$K$5+L99*Prislapp!$L$5+M99*Prislapp!$M$5+N99*Prislapp!$N$5</f>
        <v>5800</v>
      </c>
      <c r="R99" s="9">
        <f>VLOOKUP(A99,'Ansvar kurs'!$A$2:$B$830,2,FALSE)</f>
        <v>1620</v>
      </c>
      <c r="S99" s="159"/>
      <c r="T99" s="159"/>
      <c r="U99" s="159"/>
      <c r="V99" s="159"/>
      <c r="W99" s="159"/>
      <c r="X99" s="159"/>
      <c r="Y99" s="159"/>
      <c r="Z99" s="159"/>
    </row>
    <row r="100" spans="1:26" x14ac:dyDescent="0.25">
      <c r="A100" s="31" t="s">
        <v>2047</v>
      </c>
      <c r="B100" s="31" t="s">
        <v>608</v>
      </c>
      <c r="D100" s="31">
        <v>1</v>
      </c>
      <c r="O100" s="42">
        <f>C100*Prislapp!$C$2+D100*Prislapp!$D$2+E100*Prislapp!$E$2+F100*Prislapp!$F$2+G100*Prislapp!$G$2+H100*Prislapp!$H$2+I100*Prislapp!$I$2+J100*Prislapp!$J$2+K100*Prislapp!$K$2+L100*Prislapp!$L$2+M100*Prislapp!$M$2+N100*Prislapp!$N$2</f>
        <v>18405</v>
      </c>
      <c r="P100" s="42">
        <f>C100*Prislapp!$C$3+D100*Prislapp!$D$3+E100*Prislapp!$E$3+F100*Prislapp!$F$3+G100*Prislapp!$G$3+H100*Prislapp!$H$3+I100*Prislapp!$I$3+J100*Prislapp!$J$3+K100*Prislapp!$K$3+M100*Prislapp!$M$3+N100*Prislapp!$N$3</f>
        <v>15773</v>
      </c>
      <c r="Q100" s="42">
        <f>C100*Prislapp!$C$5+D100*Prislapp!$D$5+E100*Prislapp!$E$5+F100*Prislapp!$F$5+G100*Prislapp!$G$5+H100*Prislapp!$H$5+I100*Prislapp!$I$5+J100*Prislapp!$J$5+K100*Prislapp!$K$5+L100*Prislapp!$L$5+M100*Prislapp!$M$5+N100*Prislapp!$N$5</f>
        <v>5800</v>
      </c>
      <c r="R100" s="9">
        <f>VLOOKUP(A100,'Ansvar kurs'!$A$2:$B$830,2,FALSE)</f>
        <v>1620</v>
      </c>
      <c r="S100" s="159"/>
      <c r="T100" s="159"/>
      <c r="U100" s="159"/>
      <c r="V100" s="159"/>
      <c r="W100" s="159"/>
      <c r="X100" s="159"/>
      <c r="Y100" s="159"/>
      <c r="Z100" s="159"/>
    </row>
    <row r="101" spans="1:26" x14ac:dyDescent="0.25">
      <c r="A101" s="9" t="s">
        <v>2253</v>
      </c>
      <c r="B101" s="39" t="s">
        <v>2255</v>
      </c>
      <c r="D101" s="431">
        <v>1</v>
      </c>
      <c r="O101" s="42">
        <f>C101*Prislapp!$C$2+D101*Prislapp!$D$2+E101*Prislapp!$E$2+F101*Prislapp!$F$2+G101*Prislapp!$G$2+H101*Prislapp!$H$2+I101*Prislapp!$I$2+J101*Prislapp!$J$2+K101*Prislapp!$K$2+L101*Prislapp!$L$2+M101*Prislapp!$M$2+N101*Prislapp!$N$2</f>
        <v>18405</v>
      </c>
      <c r="P101" s="42">
        <f>C101*Prislapp!$C$3+D101*Prislapp!$D$3+E101*Prislapp!$E$3+F101*Prislapp!$F$3+G101*Prislapp!$G$3+H101*Prislapp!$H$3+I101*Prislapp!$I$3+J101*Prislapp!$J$3+K101*Prislapp!$K$3+M101*Prislapp!$M$3+N101*Prislapp!$N$3</f>
        <v>15773</v>
      </c>
      <c r="Q101" s="42">
        <f>C101*Prislapp!$C$5+D101*Prislapp!$D$5+E101*Prislapp!$E$5+F101*Prislapp!$F$5+G101*Prislapp!$G$5+H101*Prislapp!$H$5+I101*Prislapp!$I$5+J101*Prislapp!$J$5+K101*Prislapp!$K$5+L101*Prislapp!$L$5+M101*Prislapp!$M$5+N101*Prislapp!$N$5</f>
        <v>5800</v>
      </c>
      <c r="R101" s="9">
        <f>VLOOKUP(A101,'Ansvar kurs'!$A$2:$B$830,2,FALSE)</f>
        <v>1620</v>
      </c>
      <c r="S101" s="186" t="s">
        <v>2073</v>
      </c>
      <c r="T101" s="186"/>
      <c r="U101" s="159"/>
      <c r="V101" s="159"/>
      <c r="W101" s="159"/>
      <c r="X101" s="159"/>
      <c r="Y101" s="159"/>
      <c r="Z101" s="159"/>
    </row>
    <row r="102" spans="1:26" x14ac:dyDescent="0.25">
      <c r="A102" s="62" t="s">
        <v>1265</v>
      </c>
      <c r="B102" s="62" t="s">
        <v>1277</v>
      </c>
      <c r="F102" s="31">
        <v>1</v>
      </c>
      <c r="L102" s="31">
        <v>0</v>
      </c>
      <c r="O102" s="42">
        <f>C102*Prislapp!$C$2+D102*Prislapp!$D$2+E102*Prislapp!$E$2+F102*Prislapp!$F$2+G102*Prislapp!$G$2+H102*Prislapp!$H$2+I102*Prislapp!$I$2+J102*Prislapp!$J$2+K102*Prislapp!$K$2+L102*Prislapp!$L$2+M102*Prislapp!$M$2+N102*Prislapp!$N$2</f>
        <v>23641</v>
      </c>
      <c r="P102" s="42">
        <f>C102*Prislapp!$C$3+D102*Prislapp!$D$3+E102*Prislapp!$E$3+F102*Prislapp!$F$3+G102*Prislapp!$G$3+H102*Prislapp!$H$3+I102*Prislapp!$I$3+J102*Prislapp!$J$3+K102*Prislapp!$K$3+M102*Prislapp!$M$3+N102*Prislapp!$N$3</f>
        <v>28786</v>
      </c>
      <c r="Q102" s="42">
        <f>C102*Prislapp!$C$5+D102*Prislapp!$D$5+E102*Prislapp!$E$5+F102*Prislapp!$F$5+G102*Prislapp!$G$5+H102*Prislapp!$H$5+I102*Prislapp!$I$5+J102*Prislapp!$J$5+K102*Prislapp!$K$5+L102*Prislapp!$L$5+M102*Prislapp!$M$5+N102*Prislapp!$N$5</f>
        <v>5800</v>
      </c>
      <c r="R102" s="9">
        <f>VLOOKUP(A102,'Ansvar kurs'!$A$2:$B$830,2,FALSE)</f>
        <v>1620</v>
      </c>
      <c r="S102" s="159"/>
      <c r="T102" s="159"/>
      <c r="U102" s="159"/>
      <c r="V102" s="159"/>
      <c r="W102" s="159"/>
      <c r="X102" s="159"/>
      <c r="Y102" s="159"/>
      <c r="Z102" s="159"/>
    </row>
    <row r="103" spans="1:26" x14ac:dyDescent="0.25">
      <c r="A103" s="31" t="s">
        <v>67</v>
      </c>
      <c r="B103" s="31" t="s">
        <v>666</v>
      </c>
      <c r="C103" s="31">
        <v>0.75</v>
      </c>
      <c r="K103" s="159"/>
      <c r="L103" s="159"/>
      <c r="M103" s="159">
        <v>0.25</v>
      </c>
      <c r="O103" s="42">
        <f>C103*Prislapp!$C$2+D103*Prislapp!$D$2+E103*Prislapp!$E$2+F103*Prislapp!$F$2+G103*Prislapp!$G$2+H103*Prislapp!$H$2+I103*Prislapp!$I$2+J103*Prislapp!$J$2+K103*Prislapp!$K$2+L103*Prislapp!$L$2+M103*Prislapp!$M$2+N103*Prislapp!$N$2</f>
        <v>39929.25</v>
      </c>
      <c r="P103" s="42">
        <f>C103*Prislapp!$C$3+D103*Prislapp!$D$3+E103*Prislapp!$E$3+F103*Prislapp!$F$3+G103*Prislapp!$G$3+H103*Prislapp!$H$3+I103*Prislapp!$I$3+J103*Prislapp!$J$3+K103*Prislapp!$K$3+M103*Prislapp!$M$3+N103*Prislapp!$N$3</f>
        <v>49486</v>
      </c>
      <c r="Q103" s="42">
        <f>C103*Prislapp!$C$5+D103*Prislapp!$D$5+E103*Prislapp!$E$5+F103*Prislapp!$F$5+G103*Prislapp!$G$5+H103*Prislapp!$H$5+I103*Prislapp!$I$5+J103*Prislapp!$J$5+K103*Prislapp!$K$5+L103*Prislapp!$L$5+M103*Prislapp!$M$5+N103*Prislapp!$N$5</f>
        <v>56075</v>
      </c>
      <c r="R103" s="9">
        <f>VLOOKUP(A103,'Ansvar kurs'!$A$2:$B$830,2,FALSE)</f>
        <v>1650</v>
      </c>
      <c r="S103" s="159"/>
      <c r="T103" s="159"/>
      <c r="U103" s="159"/>
      <c r="V103" s="159"/>
      <c r="W103" s="159"/>
      <c r="X103" s="159"/>
      <c r="Y103" s="159"/>
      <c r="Z103" s="159"/>
    </row>
    <row r="104" spans="1:26" x14ac:dyDescent="0.25">
      <c r="A104" s="31" t="s">
        <v>83</v>
      </c>
      <c r="B104" s="31" t="s">
        <v>667</v>
      </c>
      <c r="C104" s="31">
        <v>1</v>
      </c>
      <c r="K104" s="159"/>
      <c r="L104" s="159"/>
      <c r="M104" s="159"/>
      <c r="O104" s="42">
        <f>C104*Prislapp!$C$2+D104*Prislapp!$D$2+E104*Prislapp!$E$2+F104*Prislapp!$F$2+G104*Prislapp!$G$2+H104*Prislapp!$H$2+I104*Prislapp!$I$2+J104*Prislapp!$J$2+K104*Prislapp!$K$2+L104*Prislapp!$L$2+M104*Prislapp!$M$2+N104*Prislapp!$N$2</f>
        <v>47957</v>
      </c>
      <c r="P104" s="42">
        <f>C104*Prislapp!$C$3+D104*Prislapp!$D$3+E104*Prislapp!$E$3+F104*Prislapp!$F$3+G104*Prislapp!$G$3+H104*Prislapp!$H$3+I104*Prislapp!$I$3+J104*Prislapp!$J$3+K104*Prislapp!$K$3+M104*Prislapp!$M$3+N104*Prislapp!$N$3</f>
        <v>57006</v>
      </c>
      <c r="Q104" s="42">
        <f>C104*Prislapp!$C$5+D104*Prislapp!$D$5+E104*Prislapp!$E$5+F104*Prislapp!$F$5+G104*Prislapp!$G$5+H104*Prislapp!$H$5+I104*Prislapp!$I$5+J104*Prislapp!$J$5+K104*Prislapp!$K$5+L104*Prislapp!$L$5+M104*Prislapp!$M$5+N104*Prislapp!$N$5</f>
        <v>69000</v>
      </c>
      <c r="R104" s="9">
        <f>VLOOKUP(A104,'Ansvar kurs'!$A$2:$B$830,2,FALSE)</f>
        <v>1650</v>
      </c>
      <c r="S104" s="159"/>
      <c r="T104" s="159"/>
      <c r="U104" s="159"/>
      <c r="V104" s="159"/>
      <c r="W104" s="159"/>
      <c r="X104" s="159"/>
      <c r="Y104" s="159"/>
      <c r="Z104" s="159"/>
    </row>
    <row r="105" spans="1:26" x14ac:dyDescent="0.25">
      <c r="A105" s="31" t="s">
        <v>336</v>
      </c>
      <c r="B105" s="31" t="s">
        <v>668</v>
      </c>
      <c r="C105" s="31">
        <v>0.75</v>
      </c>
      <c r="M105" s="31">
        <v>0.25</v>
      </c>
      <c r="O105" s="42">
        <f>C105*Prislapp!$C$2+D105*Prislapp!$D$2+E105*Prislapp!$E$2+F105*Prislapp!$F$2+G105*Prislapp!$G$2+H105*Prislapp!$H$2+I105*Prislapp!$I$2+J105*Prislapp!$J$2+K105*Prislapp!$K$2+L105*Prislapp!$L$2+M105*Prislapp!$M$2+N105*Prislapp!$N$2</f>
        <v>39929.25</v>
      </c>
      <c r="P105" s="42">
        <f>C105*Prislapp!$C$3+D105*Prislapp!$D$3+E105*Prislapp!$E$3+F105*Prislapp!$F$3+G105*Prislapp!$G$3+H105*Prislapp!$H$3+I105*Prislapp!$I$3+J105*Prislapp!$J$3+K105*Prislapp!$K$3+M105*Prislapp!$M$3+N105*Prislapp!$N$3</f>
        <v>49486</v>
      </c>
      <c r="Q105" s="42">
        <f>C105*Prislapp!$C$5+D105*Prislapp!$D$5+E105*Prislapp!$E$5+F105*Prislapp!$F$5+G105*Prislapp!$G$5+H105*Prislapp!$H$5+I105*Prislapp!$I$5+J105*Prislapp!$J$5+K105*Prislapp!$K$5+L105*Prislapp!$L$5+M105*Prislapp!$M$5+N105*Prislapp!$N$5</f>
        <v>56075</v>
      </c>
      <c r="R105" s="9">
        <f>VLOOKUP(A105,'Ansvar kurs'!$A$2:$B$830,2,FALSE)</f>
        <v>1650</v>
      </c>
      <c r="S105" s="159"/>
      <c r="T105" s="159"/>
      <c r="U105" s="159"/>
      <c r="V105" s="159"/>
      <c r="W105" s="159"/>
      <c r="X105" s="159"/>
      <c r="Y105" s="159"/>
      <c r="Z105" s="159"/>
    </row>
    <row r="106" spans="1:26" x14ac:dyDescent="0.25">
      <c r="A106" s="31" t="s">
        <v>65</v>
      </c>
      <c r="B106" s="31" t="s">
        <v>125</v>
      </c>
      <c r="I106" s="31">
        <v>1</v>
      </c>
      <c r="O106" s="42">
        <f>C106*Prislapp!$C$2+D106*Prislapp!$D$2+E106*Prislapp!$E$2+F106*Prislapp!$F$2+G106*Prislapp!$G$2+H106*Prislapp!$H$2+I106*Prislapp!$I$2+J106*Prislapp!$J$2+K106*Prislapp!$K$2+L106*Prislapp!$L$2+M106*Prislapp!$M$2+N106*Prislapp!$N$2</f>
        <v>18405</v>
      </c>
      <c r="P106" s="42">
        <f>C106*Prislapp!$C$3+D106*Prislapp!$D$3+E106*Prislapp!$E$3+F106*Prislapp!$F$3+G106*Prislapp!$G$3+H106*Prislapp!$H$3+I106*Prislapp!$I$3+J106*Prislapp!$J$3+K106*Prislapp!$K$3+M106*Prislapp!$M$3+N106*Prislapp!$N$3</f>
        <v>15773</v>
      </c>
      <c r="Q106" s="42">
        <f>C106*Prislapp!$C$5+D106*Prislapp!$D$5+E106*Prislapp!$E$5+F106*Prislapp!$F$5+G106*Prislapp!$G$5+H106*Prislapp!$H$5+I106*Prislapp!$I$5+J106*Prislapp!$J$5+K106*Prislapp!$K$5+L106*Prislapp!$L$5+M106*Prislapp!$M$5+N106*Prislapp!$N$5</f>
        <v>5800</v>
      </c>
      <c r="R106" s="9">
        <f>VLOOKUP(A106,'Ansvar kurs'!$A$2:$B$830,2,FALSE)</f>
        <v>1650</v>
      </c>
      <c r="S106" s="159"/>
      <c r="T106" s="159"/>
      <c r="U106" s="159"/>
      <c r="V106" s="159"/>
      <c r="W106" s="159"/>
      <c r="X106" s="159"/>
      <c r="Y106" s="159"/>
      <c r="Z106" s="159"/>
    </row>
    <row r="107" spans="1:26" x14ac:dyDescent="0.25">
      <c r="A107" s="31" t="s">
        <v>400</v>
      </c>
      <c r="B107" s="31" t="s">
        <v>669</v>
      </c>
      <c r="C107" s="31">
        <v>0.75</v>
      </c>
      <c r="D107" s="31">
        <v>0.25</v>
      </c>
      <c r="F107" s="31">
        <v>0</v>
      </c>
      <c r="O107" s="42">
        <f>C107*Prislapp!$C$2+D107*Prislapp!$D$2+E107*Prislapp!$E$2+F107*Prislapp!$F$2+G107*Prislapp!$G$2+H107*Prislapp!$H$2+I107*Prislapp!$I$2+J107*Prislapp!$J$2+K107*Prislapp!$K$2+L107*Prislapp!$L$2+M107*Prislapp!$M$2+N107*Prislapp!$N$2</f>
        <v>40569</v>
      </c>
      <c r="P107" s="42">
        <f>C107*Prislapp!$C$3+D107*Prislapp!$D$3+E107*Prislapp!$E$3+F107*Prislapp!$F$3+G107*Prislapp!$G$3+H107*Prislapp!$H$3+I107*Prislapp!$I$3+J107*Prislapp!$J$3+K107*Prislapp!$K$3+M107*Prislapp!$M$3+N107*Prislapp!$N$3</f>
        <v>46697.75</v>
      </c>
      <c r="Q107" s="42">
        <f>C107*Prislapp!$C$5+D107*Prislapp!$D$5+E107*Prislapp!$E$5+F107*Prislapp!$F$5+G107*Prislapp!$G$5+H107*Prislapp!$H$5+I107*Prislapp!$I$5+J107*Prislapp!$J$5+K107*Prislapp!$K$5+L107*Prislapp!$L$5+M107*Prislapp!$M$5+N107*Prislapp!$N$5</f>
        <v>53200</v>
      </c>
      <c r="R107" s="9">
        <f>VLOOKUP(A107,'Ansvar kurs'!$A$2:$B$830,2,FALSE)</f>
        <v>1650</v>
      </c>
      <c r="S107" s="186" t="s">
        <v>1437</v>
      </c>
      <c r="T107" s="159"/>
      <c r="U107" s="159"/>
      <c r="V107" s="159"/>
      <c r="W107" s="159"/>
      <c r="X107" s="159"/>
      <c r="Y107" s="159"/>
      <c r="Z107" s="159"/>
    </row>
    <row r="108" spans="1:26" x14ac:dyDescent="0.25">
      <c r="A108" s="31" t="s">
        <v>476</v>
      </c>
      <c r="B108" s="31" t="s">
        <v>670</v>
      </c>
      <c r="C108" s="31">
        <v>1</v>
      </c>
      <c r="O108" s="42">
        <f>C108*Prislapp!$C$2+D108*Prislapp!$D$2+E108*Prislapp!$E$2+F108*Prislapp!$F$2+G108*Prislapp!$G$2+H108*Prislapp!$H$2+I108*Prislapp!$I$2+J108*Prislapp!$J$2+K108*Prislapp!$K$2+L108*Prislapp!$L$2+M108*Prislapp!$M$2+N108*Prislapp!$N$2</f>
        <v>47957</v>
      </c>
      <c r="P108" s="42">
        <f>C108*Prislapp!$C$3+D108*Prislapp!$D$3+E108*Prislapp!$E$3+F108*Prislapp!$F$3+G108*Prislapp!$G$3+H108*Prislapp!$H$3+I108*Prislapp!$I$3+J108*Prislapp!$J$3+K108*Prislapp!$K$3+M108*Prislapp!$M$3+N108*Prislapp!$N$3</f>
        <v>57006</v>
      </c>
      <c r="Q108" s="42">
        <f>C108*Prislapp!$C$5+D108*Prislapp!$D$5+E108*Prislapp!$E$5+F108*Prislapp!$F$5+G108*Prislapp!$G$5+H108*Prislapp!$H$5+I108*Prislapp!$I$5+J108*Prislapp!$J$5+K108*Prislapp!$K$5+L108*Prislapp!$L$5+M108*Prislapp!$M$5+N108*Prislapp!$N$5</f>
        <v>69000</v>
      </c>
      <c r="R108" s="9">
        <f>VLOOKUP(A108,'Ansvar kurs'!$A$2:$B$830,2,FALSE)</f>
        <v>1650</v>
      </c>
      <c r="S108" s="159"/>
      <c r="T108" s="159"/>
      <c r="U108" s="159"/>
      <c r="V108" s="159"/>
      <c r="W108" s="159"/>
      <c r="X108" s="159"/>
      <c r="Y108" s="159"/>
      <c r="Z108" s="159"/>
    </row>
    <row r="109" spans="1:26" x14ac:dyDescent="0.25">
      <c r="A109" s="31" t="s">
        <v>525</v>
      </c>
      <c r="B109" s="31" t="s">
        <v>540</v>
      </c>
      <c r="C109" s="31">
        <v>1</v>
      </c>
      <c r="O109" s="42">
        <f>C109*Prislapp!$C$2+D109*Prislapp!$D$2+E109*Prislapp!$E$2+F109*Prislapp!$F$2+G109*Prislapp!$G$2+H109*Prislapp!$H$2+I109*Prislapp!$I$2+J109*Prislapp!$J$2+K109*Prislapp!$K$2+L109*Prislapp!$L$2+M109*Prislapp!$M$2+N109*Prislapp!$N$2</f>
        <v>47957</v>
      </c>
      <c r="P109" s="42">
        <f>C109*Prislapp!$C$3+D109*Prislapp!$D$3+E109*Prislapp!$E$3+F109*Prislapp!$F$3+G109*Prislapp!$G$3+H109*Prislapp!$H$3+I109*Prislapp!$I$3+J109*Prislapp!$J$3+K109*Prislapp!$K$3+M109*Prislapp!$M$3+N109*Prislapp!$N$3</f>
        <v>57006</v>
      </c>
      <c r="Q109" s="42">
        <f>C109*Prislapp!$C$5+D109*Prislapp!$D$5+E109*Prislapp!$E$5+F109*Prislapp!$F$5+G109*Prislapp!$G$5+H109*Prislapp!$H$5+I109*Prislapp!$I$5+J109*Prislapp!$J$5+K109*Prislapp!$K$5+L109*Prislapp!$L$5+M109*Prislapp!$M$5+N109*Prislapp!$N$5</f>
        <v>69000</v>
      </c>
      <c r="R109" s="9">
        <f>VLOOKUP(A109,'Ansvar kurs'!$A$2:$B$830,2,FALSE)</f>
        <v>1650</v>
      </c>
      <c r="S109" s="159"/>
      <c r="T109" s="159"/>
      <c r="U109" s="159"/>
      <c r="V109" s="159"/>
      <c r="W109" s="159"/>
      <c r="X109" s="159"/>
      <c r="Y109" s="159"/>
      <c r="Z109" s="159"/>
    </row>
    <row r="110" spans="1:26" x14ac:dyDescent="0.25">
      <c r="A110" s="31" t="s">
        <v>493</v>
      </c>
      <c r="B110" s="31" t="s">
        <v>537</v>
      </c>
      <c r="C110" s="31">
        <v>1</v>
      </c>
      <c r="O110" s="42">
        <f>C110*Prislapp!$C$2+D110*Prislapp!$D$2+E110*Prislapp!$E$2+F110*Prislapp!$F$2+G110*Prislapp!$G$2+H110*Prislapp!$H$2+I110*Prislapp!$I$2+J110*Prislapp!$J$2+K110*Prislapp!$K$2+L110*Prislapp!$L$2+M110*Prislapp!$M$2+N110*Prislapp!$N$2</f>
        <v>47957</v>
      </c>
      <c r="P110" s="42">
        <f>C110*Prislapp!$C$3+D110*Prislapp!$D$3+E110*Prislapp!$E$3+F110*Prislapp!$F$3+G110*Prislapp!$G$3+H110*Prislapp!$H$3+I110*Prislapp!$I$3+J110*Prislapp!$J$3+K110*Prislapp!$K$3+M110*Prislapp!$M$3+N110*Prislapp!$N$3</f>
        <v>57006</v>
      </c>
      <c r="Q110" s="42">
        <f>C110*Prislapp!$C$5+D110*Prislapp!$D$5+E110*Prislapp!$E$5+F110*Prislapp!$F$5+G110*Prislapp!$G$5+H110*Prislapp!$H$5+I110*Prislapp!$I$5+J110*Prislapp!$J$5+K110*Prislapp!$K$5+L110*Prislapp!$L$5+M110*Prislapp!$M$5+N110*Prislapp!$N$5</f>
        <v>69000</v>
      </c>
      <c r="R110" s="9">
        <f>VLOOKUP(A110,'Ansvar kurs'!$A$2:$B$830,2,FALSE)</f>
        <v>1650</v>
      </c>
      <c r="S110" s="159"/>
      <c r="T110" s="159"/>
      <c r="U110" s="159"/>
      <c r="V110" s="159"/>
      <c r="W110" s="159"/>
      <c r="X110" s="159"/>
      <c r="Y110" s="159"/>
      <c r="Z110" s="159"/>
    </row>
    <row r="111" spans="1:26" x14ac:dyDescent="0.25">
      <c r="A111" s="31" t="s">
        <v>494</v>
      </c>
      <c r="B111" s="31" t="s">
        <v>538</v>
      </c>
      <c r="C111" s="31">
        <v>1</v>
      </c>
      <c r="O111" s="42">
        <f>C111*Prislapp!$C$2+D111*Prislapp!$D$2+E111*Prislapp!$E$2+F111*Prislapp!$F$2+G111*Prislapp!$G$2+H111*Prislapp!$H$2+I111*Prislapp!$I$2+J111*Prislapp!$J$2+K111*Prislapp!$K$2+L111*Prislapp!$L$2+M111*Prislapp!$M$2+N111*Prislapp!$N$2</f>
        <v>47957</v>
      </c>
      <c r="P111" s="42">
        <f>C111*Prislapp!$C$3+D111*Prislapp!$D$3+E111*Prislapp!$E$3+F111*Prislapp!$F$3+G111*Prislapp!$G$3+H111*Prislapp!$H$3+I111*Prislapp!$I$3+J111*Prislapp!$J$3+K111*Prislapp!$K$3+M111*Prislapp!$M$3+N111*Prislapp!$N$3</f>
        <v>57006</v>
      </c>
      <c r="Q111" s="42">
        <f>C111*Prislapp!$C$5+D111*Prislapp!$D$5+E111*Prislapp!$E$5+F111*Prislapp!$F$5+G111*Prislapp!$G$5+H111*Prislapp!$H$5+I111*Prislapp!$I$5+J111*Prislapp!$J$5+K111*Prislapp!$K$5+L111*Prislapp!$L$5+M111*Prislapp!$M$5+N111*Prislapp!$N$5</f>
        <v>69000</v>
      </c>
      <c r="R111" s="9">
        <f>VLOOKUP(A111,'Ansvar kurs'!$A$2:$B$830,2,FALSE)</f>
        <v>1650</v>
      </c>
      <c r="S111" s="159"/>
      <c r="T111" s="159"/>
      <c r="U111" s="159"/>
      <c r="V111" s="159"/>
      <c r="W111" s="159"/>
      <c r="X111" s="159"/>
      <c r="Y111" s="159"/>
      <c r="Z111" s="159"/>
    </row>
    <row r="112" spans="1:26" x14ac:dyDescent="0.25">
      <c r="A112" s="265" t="s">
        <v>582</v>
      </c>
      <c r="B112" s="31" t="s">
        <v>609</v>
      </c>
      <c r="C112" s="31">
        <v>1</v>
      </c>
      <c r="O112" s="42">
        <f>C112*Prislapp!$C$2+D112*Prislapp!$D$2+E112*Prislapp!$E$2+F112*Prislapp!$F$2+G112*Prislapp!$G$2+H112*Prislapp!$H$2+I112*Prislapp!$I$2+J112*Prislapp!$J$2+K112*Prislapp!$K$2+L112*Prislapp!$L$2+M112*Prislapp!$M$2+N112*Prislapp!$N$2</f>
        <v>47957</v>
      </c>
      <c r="P112" s="42">
        <f>C112*Prislapp!$C$3+D112*Prislapp!$D$3+E112*Prislapp!$E$3+F112*Prislapp!$F$3+G112*Prislapp!$G$3+H112*Prislapp!$H$3+I112*Prislapp!$I$3+J112*Prislapp!$J$3+K112*Prislapp!$K$3+M112*Prislapp!$M$3+N112*Prislapp!$N$3</f>
        <v>57006</v>
      </c>
      <c r="Q112" s="42">
        <f>C112*Prislapp!$C$5+D112*Prislapp!$D$5+E112*Prislapp!$E$5+F112*Prislapp!$F$5+G112*Prislapp!$G$5+H112*Prislapp!$H$5+I112*Prislapp!$I$5+J112*Prislapp!$J$5+K112*Prislapp!$K$5+L112*Prislapp!$L$5+M112*Prislapp!$M$5+N112*Prislapp!$N$5</f>
        <v>69000</v>
      </c>
      <c r="R112" s="9">
        <f>VLOOKUP(A112,'Ansvar kurs'!$A$2:$B$830,2,FALSE)</f>
        <v>1650</v>
      </c>
      <c r="S112" s="159"/>
      <c r="T112" s="159"/>
      <c r="U112" s="159"/>
      <c r="V112" s="159"/>
      <c r="W112" s="159"/>
      <c r="X112" s="159"/>
      <c r="Y112" s="159"/>
      <c r="Z112" s="159"/>
    </row>
    <row r="113" spans="1:26" x14ac:dyDescent="0.25">
      <c r="A113" s="265" t="s">
        <v>1029</v>
      </c>
      <c r="B113" s="31" t="s">
        <v>1065</v>
      </c>
      <c r="K113" s="31">
        <v>1</v>
      </c>
      <c r="O113" s="42">
        <f>C113*Prislapp!$C$2+D113*Prislapp!$D$2+E113*Prislapp!$E$2+F113*Prislapp!$F$2+G113*Prislapp!$G$2+H113*Prislapp!$H$2+I113*Prislapp!$I$2+J113*Prislapp!$J$2+K113*Prislapp!$K$2+L113*Prislapp!$L$2+M113*Prislapp!$M$2+N113*Prislapp!$N$2</f>
        <v>21634</v>
      </c>
      <c r="P113" s="42">
        <f>C113*Prislapp!$C$3+D113*Prislapp!$D$3+E113*Prislapp!$E$3+F113*Prislapp!$F$3+G113*Prislapp!$G$3+H113*Prislapp!$H$3+I113*Prislapp!$I$3+J113*Prislapp!$J$3+K113*Prislapp!$K$3+M113*Prislapp!$M$3+N113*Prislapp!$N$3</f>
        <v>26986</v>
      </c>
      <c r="Q113" s="42">
        <f>C113*Prislapp!$C$5+D113*Prislapp!$D$5+E113*Prislapp!$E$5+F113*Prislapp!$F$5+G113*Prislapp!$G$5+H113*Prislapp!$H$5+I113*Prislapp!$I$5+J113*Prislapp!$J$5+K113*Prislapp!$K$5+L113*Prislapp!$L$5+M113*Prislapp!$M$5+N113*Prislapp!$N$5</f>
        <v>3400</v>
      </c>
      <c r="R113" s="9">
        <f>VLOOKUP(A113,'Ansvar kurs'!$A$2:$B$830,2,FALSE)</f>
        <v>1650</v>
      </c>
      <c r="S113" s="159" t="s">
        <v>1295</v>
      </c>
      <c r="T113" s="159" t="s">
        <v>1115</v>
      </c>
      <c r="U113" s="159"/>
      <c r="V113" s="159"/>
      <c r="W113" s="159"/>
      <c r="X113" s="159"/>
      <c r="Y113" s="159"/>
      <c r="Z113" s="159"/>
    </row>
    <row r="114" spans="1:26" x14ac:dyDescent="0.25">
      <c r="A114" s="265" t="s">
        <v>1030</v>
      </c>
      <c r="B114" s="31" t="s">
        <v>1163</v>
      </c>
      <c r="D114" s="31">
        <v>1</v>
      </c>
      <c r="O114" s="42">
        <f>C114*Prislapp!$C$2+D114*Prislapp!$D$2+E114*Prislapp!$E$2+F114*Prislapp!$F$2+G114*Prislapp!$G$2+H114*Prislapp!$H$2+I114*Prislapp!$I$2+J114*Prislapp!$J$2+K114*Prislapp!$K$2+L114*Prislapp!$L$2+M114*Prislapp!$M$2+N114*Prislapp!$N$2</f>
        <v>18405</v>
      </c>
      <c r="P114" s="42">
        <f>C114*Prislapp!$C$3+D114*Prislapp!$D$3+E114*Prislapp!$E$3+F114*Prislapp!$F$3+G114*Prislapp!$G$3+H114*Prislapp!$H$3+I114*Prislapp!$I$3+J114*Prislapp!$J$3+K114*Prislapp!$K$3+M114*Prislapp!$M$3+N114*Prislapp!$N$3</f>
        <v>15773</v>
      </c>
      <c r="Q114" s="42">
        <f>C114*Prislapp!$C$5+D114*Prislapp!$D$5+E114*Prislapp!$E$5+F114*Prislapp!$F$5+G114*Prislapp!$G$5+H114*Prislapp!$H$5+I114*Prislapp!$I$5+J114*Prislapp!$J$5+K114*Prislapp!$K$5+L114*Prislapp!$L$5+M114*Prislapp!$M$5+N114*Prislapp!$N$5</f>
        <v>5800</v>
      </c>
      <c r="R114" s="9">
        <f>VLOOKUP(A114,'Ansvar kurs'!$A$2:$B$830,2,FALSE)</f>
        <v>1650</v>
      </c>
      <c r="S114" s="159" t="s">
        <v>1312</v>
      </c>
      <c r="T114" s="159"/>
      <c r="U114" s="159"/>
      <c r="V114" s="159"/>
      <c r="W114" s="159"/>
      <c r="X114" s="159"/>
      <c r="Y114" s="159"/>
      <c r="Z114" s="159"/>
    </row>
    <row r="115" spans="1:26" x14ac:dyDescent="0.25">
      <c r="A115" s="266" t="s">
        <v>1266</v>
      </c>
      <c r="B115" s="62" t="s">
        <v>1278</v>
      </c>
      <c r="L115" s="31">
        <v>1</v>
      </c>
      <c r="O115" s="42">
        <f>C115*Prislapp!$C$2+D115*Prislapp!$D$2+E115*Prislapp!$E$2+F115*Prislapp!$F$2+G115*Prislapp!$G$2+H115*Prislapp!$H$2+I115*Prislapp!$I$2+J115*Prislapp!$J$2+K115*Prislapp!$K$2+L115*Prislapp!$L$2+M115*Prislapp!$M$2+N115*Prislapp!$N$2</f>
        <v>18505</v>
      </c>
      <c r="P115" s="42">
        <f>C115*Prislapp!$C$3+D115*Prislapp!$D$3+E115*Prislapp!$E$3+F115*Prislapp!$F$3+G115*Prislapp!$G$3+H115*Prislapp!$H$3+I115*Prislapp!$I$3+J115*Prislapp!$J$3+K115*Prislapp!$K$3+M115*Prislapp!$M$3+N115*Prislapp!$N$3</f>
        <v>0</v>
      </c>
      <c r="Q115" s="42">
        <f>C115*Prislapp!$C$5+D115*Prislapp!$D$5+E115*Prislapp!$E$5+F115*Prislapp!$F$5+G115*Prislapp!$G$5+H115*Prislapp!$H$5+I115*Prislapp!$I$5+J115*Prislapp!$J$5+K115*Prislapp!$K$5+L115*Prislapp!$L$5+M115*Prislapp!$M$5+N115*Prislapp!$N$5</f>
        <v>5700</v>
      </c>
      <c r="R115" s="9">
        <f>VLOOKUP(A115,'Ansvar kurs'!$A$2:$B$830,2,FALSE)</f>
        <v>1650</v>
      </c>
      <c r="S115" s="159"/>
      <c r="T115" s="159"/>
      <c r="U115" s="159"/>
      <c r="V115" s="159"/>
      <c r="W115" s="159"/>
      <c r="X115" s="159"/>
      <c r="Y115" s="159"/>
      <c r="Z115" s="159"/>
    </row>
    <row r="116" spans="1:26" x14ac:dyDescent="0.25">
      <c r="A116" s="31" t="s">
        <v>583</v>
      </c>
      <c r="B116" s="31" t="s">
        <v>1164</v>
      </c>
      <c r="K116" s="31">
        <v>1</v>
      </c>
      <c r="O116" s="42">
        <f>C116*Prislapp!$C$2+D116*Prislapp!$D$2+E116*Prislapp!$E$2+F116*Prislapp!$F$2+G116*Prislapp!$G$2+H116*Prislapp!$H$2+I116*Prislapp!$I$2+J116*Prislapp!$J$2+K116*Prislapp!$K$2+L116*Prislapp!$L$2+M116*Prislapp!$M$2+N116*Prislapp!$N$2</f>
        <v>21634</v>
      </c>
      <c r="P116" s="42">
        <f>C116*Prislapp!$C$3+D116*Prislapp!$D$3+E116*Prislapp!$E$3+F116*Prislapp!$F$3+G116*Prislapp!$G$3+H116*Prislapp!$H$3+I116*Prislapp!$I$3+J116*Prislapp!$J$3+K116*Prislapp!$K$3+M116*Prislapp!$M$3+N116*Prislapp!$N$3</f>
        <v>26986</v>
      </c>
      <c r="Q116" s="42">
        <f>C116*Prislapp!$C$5+D116*Prislapp!$D$5+E116*Prislapp!$E$5+F116*Prislapp!$F$5+G116*Prislapp!$G$5+H116*Prislapp!$H$5+I116*Prislapp!$I$5+J116*Prislapp!$J$5+K116*Prislapp!$K$5+L116*Prislapp!$L$5+M116*Prislapp!$M$5+N116*Prislapp!$N$5</f>
        <v>3400</v>
      </c>
      <c r="R116" s="9">
        <f>VLOOKUP(A116,'Ansvar kurs'!$A$2:$B$830,2,FALSE)</f>
        <v>1650</v>
      </c>
      <c r="S116" s="159"/>
      <c r="T116" s="159"/>
      <c r="U116" s="159"/>
      <c r="V116" s="159"/>
      <c r="W116" s="159"/>
      <c r="X116" s="159"/>
      <c r="Y116" s="159"/>
      <c r="Z116" s="159"/>
    </row>
    <row r="117" spans="1:26" x14ac:dyDescent="0.25">
      <c r="A117" s="62" t="s">
        <v>836</v>
      </c>
      <c r="B117" s="31" t="s">
        <v>839</v>
      </c>
      <c r="M117" s="31">
        <v>1</v>
      </c>
      <c r="O117" s="42">
        <f>C117*Prislapp!$C$2+D117*Prislapp!$D$2+E117*Prislapp!$E$2+F117*Prislapp!$F$2+G117*Prislapp!$G$2+H117*Prislapp!$H$2+I117*Prislapp!$I$2+J117*Prislapp!$J$2+K117*Prislapp!$K$2+L117*Prislapp!$L$2+M117*Prislapp!$M$2+N117*Prislapp!$N$2</f>
        <v>15846</v>
      </c>
      <c r="P117" s="42">
        <f>C117*Prislapp!$C$3+D117*Prislapp!$D$3+E117*Prislapp!$E$3+F117*Prislapp!$F$3+G117*Prislapp!$G$3+H117*Prislapp!$H$3+I117*Prislapp!$I$3+J117*Prislapp!$J$3+K117*Prislapp!$K$3+M117*Prislapp!$M$3+N117*Prislapp!$N$3</f>
        <v>26926</v>
      </c>
      <c r="Q117" s="42">
        <f>C117*Prislapp!$C$5+D117*Prislapp!$D$5+E117*Prislapp!$E$5+F117*Prislapp!$F$5+G117*Prislapp!$G$5+H117*Prislapp!$H$5+I117*Prislapp!$I$5+J117*Prislapp!$J$5+K117*Prislapp!$K$5+L117*Prislapp!$L$5+M117*Prislapp!$M$5+N117*Prislapp!$N$5</f>
        <v>17300</v>
      </c>
      <c r="R117" s="9">
        <f>VLOOKUP(A117,'Ansvar kurs'!$A$2:$B$830,2,FALSE)</f>
        <v>1650</v>
      </c>
      <c r="S117" s="159"/>
      <c r="T117" s="159"/>
      <c r="U117" s="159"/>
      <c r="V117" s="159"/>
      <c r="W117" s="159"/>
      <c r="X117" s="159"/>
      <c r="Y117" s="159"/>
      <c r="Z117" s="159"/>
    </row>
    <row r="118" spans="1:26" x14ac:dyDescent="0.25">
      <c r="A118" s="62" t="s">
        <v>837</v>
      </c>
      <c r="B118" s="31" t="s">
        <v>840</v>
      </c>
      <c r="M118" s="31">
        <v>1</v>
      </c>
      <c r="O118" s="42">
        <f>C118*Prislapp!$C$2+D118*Prislapp!$D$2+E118*Prislapp!$E$2+F118*Prislapp!$F$2+G118*Prislapp!$G$2+H118*Prislapp!$H$2+I118*Prislapp!$I$2+J118*Prislapp!$J$2+K118*Prislapp!$K$2+L118*Prislapp!$L$2+M118*Prislapp!$M$2+N118*Prislapp!$N$2</f>
        <v>15846</v>
      </c>
      <c r="P118" s="42">
        <f>C118*Prislapp!$C$3+D118*Prislapp!$D$3+E118*Prislapp!$E$3+F118*Prislapp!$F$3+G118*Prislapp!$G$3+H118*Prislapp!$H$3+I118*Prislapp!$I$3+J118*Prislapp!$J$3+K118*Prislapp!$K$3+M118*Prislapp!$M$3+N118*Prislapp!$N$3</f>
        <v>26926</v>
      </c>
      <c r="Q118" s="42">
        <f>C118*Prislapp!$C$5+D118*Prislapp!$D$5+E118*Prislapp!$E$5+F118*Prislapp!$F$5+G118*Prislapp!$G$5+H118*Prislapp!$H$5+I118*Prislapp!$I$5+J118*Prislapp!$J$5+K118*Prislapp!$K$5+L118*Prislapp!$L$5+M118*Prislapp!$M$5+N118*Prislapp!$N$5</f>
        <v>17300</v>
      </c>
      <c r="R118" s="9">
        <f>VLOOKUP(A118,'Ansvar kurs'!$A$2:$B$830,2,FALSE)</f>
        <v>1650</v>
      </c>
      <c r="S118" s="159"/>
      <c r="T118" s="159"/>
      <c r="U118" s="159"/>
      <c r="V118" s="159"/>
      <c r="W118" s="159"/>
      <c r="X118" s="159"/>
      <c r="Y118" s="159"/>
      <c r="Z118" s="159"/>
    </row>
    <row r="119" spans="1:26" x14ac:dyDescent="0.25">
      <c r="A119" s="59" t="s">
        <v>863</v>
      </c>
      <c r="B119" s="31" t="s">
        <v>894</v>
      </c>
      <c r="M119" s="31">
        <v>1</v>
      </c>
      <c r="O119" s="42">
        <f>C119*Prislapp!$C$2+D119*Prislapp!$D$2+E119*Prislapp!$E$2+F119*Prislapp!$F$2+G119*Prislapp!$G$2+H119*Prislapp!$H$2+I119*Prislapp!$I$2+J119*Prislapp!$J$2+K119*Prislapp!$K$2+L119*Prislapp!$L$2+M119*Prislapp!$M$2+N119*Prislapp!$N$2</f>
        <v>15846</v>
      </c>
      <c r="P119" s="42">
        <f>C119*Prislapp!$C$3+D119*Prislapp!$D$3+E119*Prislapp!$E$3+F119*Prislapp!$F$3+G119*Prislapp!$G$3+H119*Prislapp!$H$3+I119*Prislapp!$I$3+J119*Prislapp!$J$3+K119*Prislapp!$K$3+M119*Prislapp!$M$3+N119*Prislapp!$N$3</f>
        <v>26926</v>
      </c>
      <c r="Q119" s="42">
        <f>C119*Prislapp!$C$5+D119*Prislapp!$D$5+E119*Prislapp!$E$5+F119*Prislapp!$F$5+G119*Prislapp!$G$5+H119*Prislapp!$H$5+I119*Prislapp!$I$5+J119*Prislapp!$J$5+K119*Prislapp!$K$5+L119*Prislapp!$L$5+M119*Prislapp!$M$5+N119*Prislapp!$N$5</f>
        <v>17300</v>
      </c>
      <c r="R119" s="9">
        <f>VLOOKUP(A119,'Ansvar kurs'!$A$2:$B$830,2,FALSE)</f>
        <v>1650</v>
      </c>
      <c r="S119" s="159"/>
      <c r="T119" s="159"/>
      <c r="U119" s="159"/>
      <c r="V119" s="159"/>
      <c r="W119" s="159"/>
      <c r="X119" s="159"/>
      <c r="Y119" s="159"/>
      <c r="Z119" s="159"/>
    </row>
    <row r="120" spans="1:26" x14ac:dyDescent="0.25">
      <c r="A120" s="59" t="s">
        <v>864</v>
      </c>
      <c r="B120" s="31" t="s">
        <v>899</v>
      </c>
      <c r="M120" s="31">
        <v>1</v>
      </c>
      <c r="O120" s="42">
        <f>C120*Prislapp!$C$2+D120*Prislapp!$D$2+E120*Prislapp!$E$2+F120*Prislapp!$F$2+G120*Prislapp!$G$2+H120*Prislapp!$H$2+I120*Prislapp!$I$2+J120*Prislapp!$J$2+K120*Prislapp!$K$2+L120*Prislapp!$L$2+M120*Prislapp!$M$2+N120*Prislapp!$N$2</f>
        <v>15846</v>
      </c>
      <c r="P120" s="42">
        <f>C120*Prislapp!$C$3+D120*Prislapp!$D$3+E120*Prislapp!$E$3+F120*Prislapp!$F$3+G120*Prislapp!$G$3+H120*Prislapp!$H$3+I120*Prislapp!$I$3+J120*Prislapp!$J$3+K120*Prislapp!$K$3+M120*Prislapp!$M$3+N120*Prislapp!$N$3</f>
        <v>26926</v>
      </c>
      <c r="Q120" s="42">
        <f>C120*Prislapp!$C$5+D120*Prislapp!$D$5+E120*Prislapp!$E$5+F120*Prislapp!$F$5+G120*Prislapp!$G$5+H120*Prislapp!$H$5+I120*Prislapp!$I$5+J120*Prislapp!$J$5+K120*Prislapp!$K$5+L120*Prislapp!$L$5+M120*Prislapp!$M$5+N120*Prislapp!$N$5</f>
        <v>17300</v>
      </c>
      <c r="R120" s="9">
        <f>VLOOKUP(A120,'Ansvar kurs'!$A$2:$B$830,2,FALSE)</f>
        <v>1650</v>
      </c>
      <c r="S120" s="159"/>
      <c r="T120" s="159"/>
      <c r="U120" s="159"/>
      <c r="V120" s="159"/>
      <c r="W120" s="159"/>
      <c r="X120" s="159"/>
      <c r="Y120" s="159"/>
      <c r="Z120" s="159"/>
    </row>
    <row r="121" spans="1:26" x14ac:dyDescent="0.25">
      <c r="A121" s="59" t="s">
        <v>1031</v>
      </c>
      <c r="B121" s="31" t="s">
        <v>1132</v>
      </c>
      <c r="C121" s="31">
        <v>1</v>
      </c>
      <c r="O121" s="42">
        <f>C121*Prislapp!$C$2+D121*Prislapp!$D$2+E121*Prislapp!$E$2+F121*Prislapp!$F$2+G121*Prislapp!$G$2+H121*Prislapp!$H$2+I121*Prislapp!$I$2+J121*Prislapp!$J$2+K121*Prislapp!$K$2+L121*Prislapp!$L$2+M121*Prislapp!$M$2+N121*Prislapp!$N$2</f>
        <v>47957</v>
      </c>
      <c r="P121" s="42">
        <f>C121*Prislapp!$C$3+D121*Prislapp!$D$3+E121*Prislapp!$E$3+F121*Prislapp!$F$3+G121*Prislapp!$G$3+H121*Prislapp!$H$3+I121*Prislapp!$I$3+J121*Prislapp!$J$3+K121*Prislapp!$K$3+M121*Prislapp!$M$3+N121*Prislapp!$N$3</f>
        <v>57006</v>
      </c>
      <c r="Q121" s="42">
        <f>C121*Prislapp!$C$5+D121*Prislapp!$D$5+E121*Prislapp!$E$5+F121*Prislapp!$F$5+G121*Prislapp!$G$5+H121*Prislapp!$H$5+I121*Prislapp!$I$5+J121*Prislapp!$J$5+K121*Prislapp!$K$5+L121*Prislapp!$L$5+M121*Prislapp!$M$5+N121*Prislapp!$N$5</f>
        <v>69000</v>
      </c>
      <c r="R121" s="9">
        <f>VLOOKUP(A121,'Ansvar kurs'!$A$2:$B$830,2,FALSE)</f>
        <v>1650</v>
      </c>
      <c r="S121" s="159"/>
      <c r="T121" s="159"/>
      <c r="U121" s="159"/>
      <c r="V121" s="159"/>
      <c r="W121" s="159"/>
      <c r="X121" s="159"/>
      <c r="Y121" s="159"/>
      <c r="Z121" s="159"/>
    </row>
    <row r="122" spans="1:26" x14ac:dyDescent="0.25">
      <c r="A122" s="59" t="s">
        <v>1032</v>
      </c>
      <c r="B122" s="59" t="s">
        <v>1066</v>
      </c>
      <c r="C122" s="31">
        <v>1</v>
      </c>
      <c r="D122" s="31">
        <v>0</v>
      </c>
      <c r="O122" s="42">
        <f>C122*Prislapp!$C$2+D122*Prislapp!$D$2+E122*Prislapp!$E$2+F122*Prislapp!$F$2+G122*Prislapp!$G$2+H122*Prislapp!$H$2+I122*Prislapp!$I$2+J122*Prislapp!$J$2+K122*Prislapp!$K$2+L122*Prislapp!$L$2+M122*Prislapp!$M$2+N122*Prislapp!$N$2</f>
        <v>47957</v>
      </c>
      <c r="P122" s="42">
        <f>C122*Prislapp!$C$3+D122*Prislapp!$D$3+E122*Prislapp!$E$3+F122*Prislapp!$F$3+G122*Prislapp!$G$3+H122*Prislapp!$H$3+I122*Prislapp!$I$3+J122*Prislapp!$J$3+K122*Prislapp!$K$3+M122*Prislapp!$M$3+N122*Prislapp!$N$3</f>
        <v>57006</v>
      </c>
      <c r="Q122" s="42">
        <f>C122*Prislapp!$C$5+D122*Prislapp!$D$5+E122*Prislapp!$E$5+F122*Prislapp!$F$5+G122*Prislapp!$G$5+H122*Prislapp!$H$5+I122*Prislapp!$I$5+J122*Prislapp!$J$5+K122*Prislapp!$K$5+L122*Prislapp!$L$5+M122*Prislapp!$M$5+N122*Prislapp!$N$5</f>
        <v>69000</v>
      </c>
      <c r="R122" s="9">
        <f>VLOOKUP(A122,'Ansvar kurs'!$A$2:$B$830,2,FALSE)</f>
        <v>1650</v>
      </c>
      <c r="S122" s="159" t="s">
        <v>1361</v>
      </c>
      <c r="T122" s="159"/>
      <c r="U122" s="159"/>
      <c r="V122" s="159"/>
      <c r="W122" s="159"/>
      <c r="X122" s="159"/>
      <c r="Y122" s="159"/>
      <c r="Z122" s="159"/>
    </row>
    <row r="123" spans="1:26" x14ac:dyDescent="0.25">
      <c r="A123" s="31" t="s">
        <v>495</v>
      </c>
      <c r="B123" s="31" t="s">
        <v>671</v>
      </c>
      <c r="M123" s="31">
        <v>1</v>
      </c>
      <c r="O123" s="42">
        <f>C123*Prislapp!$C$2+D123*Prislapp!$D$2+E123*Prislapp!$E$2+F123*Prislapp!$F$2+G123*Prislapp!$G$2+H123*Prislapp!$H$2+I123*Prislapp!$I$2+J123*Prislapp!$J$2+K123*Prislapp!$K$2+L123*Prislapp!$L$2+M123*Prislapp!$M$2+N123*Prislapp!$N$2</f>
        <v>15846</v>
      </c>
      <c r="P123" s="42">
        <f>C123*Prislapp!$C$3+D123*Prislapp!$D$3+E123*Prislapp!$E$3+F123*Prislapp!$F$3+G123*Prislapp!$G$3+H123*Prislapp!$H$3+I123*Prislapp!$I$3+J123*Prislapp!$J$3+K123*Prislapp!$K$3+M123*Prislapp!$M$3+N123*Prislapp!$N$3</f>
        <v>26926</v>
      </c>
      <c r="Q123" s="42">
        <f>C123*Prislapp!$C$5+D123*Prislapp!$D$5+E123*Prislapp!$E$5+F123*Prislapp!$F$5+G123*Prislapp!$G$5+H123*Prislapp!$H$5+I123*Prislapp!$I$5+J123*Prislapp!$J$5+K123*Prislapp!$K$5+L123*Prislapp!$L$5+M123*Prislapp!$M$5+N123*Prislapp!$N$5</f>
        <v>17300</v>
      </c>
      <c r="R123" s="9">
        <f>VLOOKUP(A123,'Ansvar kurs'!$A$2:$B$830,2,FALSE)</f>
        <v>1650</v>
      </c>
      <c r="S123" s="159"/>
      <c r="T123" s="159"/>
      <c r="U123" s="159"/>
      <c r="V123" s="159"/>
      <c r="W123" s="159"/>
      <c r="X123" s="159"/>
      <c r="Y123" s="159"/>
      <c r="Z123" s="159"/>
    </row>
    <row r="124" spans="1:26" x14ac:dyDescent="0.25">
      <c r="A124" s="31" t="s">
        <v>566</v>
      </c>
      <c r="B124" s="31" t="s">
        <v>672</v>
      </c>
      <c r="C124" s="31">
        <v>1</v>
      </c>
      <c r="O124" s="42">
        <f>C124*Prislapp!$C$2+D124*Prislapp!$D$2+E124*Prislapp!$E$2+F124*Prislapp!$F$2+G124*Prislapp!$G$2+H124*Prislapp!$H$2+I124*Prislapp!$I$2+J124*Prislapp!$J$2+K124*Prislapp!$K$2+L124*Prislapp!$L$2+M124*Prislapp!$M$2+N124*Prislapp!$N$2</f>
        <v>47957</v>
      </c>
      <c r="P124" s="42">
        <f>C124*Prislapp!$C$3+D124*Prislapp!$D$3+E124*Prislapp!$E$3+F124*Prislapp!$F$3+G124*Prislapp!$G$3+H124*Prislapp!$H$3+I124*Prislapp!$I$3+J124*Prislapp!$J$3+K124*Prislapp!$K$3+M124*Prislapp!$M$3+N124*Prislapp!$N$3</f>
        <v>57006</v>
      </c>
      <c r="Q124" s="42">
        <f>C124*Prislapp!$C$5+D124*Prislapp!$D$5+E124*Prislapp!$E$5+F124*Prislapp!$F$5+G124*Prislapp!$G$5+H124*Prislapp!$H$5+I124*Prislapp!$I$5+J124*Prislapp!$J$5+K124*Prislapp!$K$5+L124*Prislapp!$L$5+M124*Prislapp!$M$5+N124*Prislapp!$N$5</f>
        <v>69000</v>
      </c>
      <c r="R124" s="9">
        <f>VLOOKUP(A124,'Ansvar kurs'!$A$2:$B$830,2,FALSE)</f>
        <v>1650</v>
      </c>
      <c r="S124" s="159"/>
      <c r="T124" s="159"/>
      <c r="U124" s="159"/>
      <c r="V124" s="159"/>
      <c r="W124" s="159"/>
      <c r="X124" s="159"/>
      <c r="Y124" s="159"/>
      <c r="Z124" s="159"/>
    </row>
    <row r="125" spans="1:26" x14ac:dyDescent="0.25">
      <c r="A125" s="31" t="s">
        <v>658</v>
      </c>
      <c r="B125" s="31" t="s">
        <v>360</v>
      </c>
      <c r="D125" s="31">
        <v>1</v>
      </c>
      <c r="F125" s="31">
        <v>0</v>
      </c>
      <c r="O125" s="42">
        <f>C125*Prislapp!$C$2+D125*Prislapp!$D$2+E125*Prislapp!$E$2+F125*Prislapp!$F$2+G125*Prislapp!$G$2+H125*Prislapp!$H$2+I125*Prislapp!$I$2+J125*Prislapp!$J$2+K125*Prislapp!$K$2+L125*Prislapp!$L$2+M125*Prislapp!$M$2+N125*Prislapp!$N$2</f>
        <v>18405</v>
      </c>
      <c r="P125" s="42">
        <f>C125*Prislapp!$C$3+D125*Prislapp!$D$3+E125*Prislapp!$E$3+F125*Prislapp!$F$3+G125*Prislapp!$G$3+H125*Prislapp!$H$3+I125*Prislapp!$I$3+J125*Prislapp!$J$3+K125*Prislapp!$K$3+M125*Prislapp!$M$3+N125*Prislapp!$N$3</f>
        <v>15773</v>
      </c>
      <c r="Q125" s="42">
        <f>C125*Prislapp!$C$5+D125*Prislapp!$D$5+E125*Prislapp!$E$5+F125*Prislapp!$F$5+G125*Prislapp!$G$5+H125*Prislapp!$H$5+I125*Prislapp!$I$5+J125*Prislapp!$J$5+K125*Prislapp!$K$5+L125*Prislapp!$L$5+M125*Prislapp!$M$5+N125*Prislapp!$N$5</f>
        <v>5800</v>
      </c>
      <c r="R125" s="9">
        <f>VLOOKUP(A125,'Ansvar kurs'!$A$2:$B$830,2,FALSE)</f>
        <v>1650</v>
      </c>
      <c r="S125" s="186" t="s">
        <v>1437</v>
      </c>
      <c r="T125" s="159"/>
      <c r="U125" s="159"/>
      <c r="V125" s="159"/>
      <c r="W125" s="159"/>
      <c r="X125" s="159"/>
      <c r="Y125" s="159"/>
      <c r="Z125" s="159"/>
    </row>
    <row r="126" spans="1:26" x14ac:dyDescent="0.25">
      <c r="A126" s="31" t="s">
        <v>659</v>
      </c>
      <c r="B126" s="31" t="s">
        <v>1165</v>
      </c>
      <c r="D126" s="31">
        <v>1</v>
      </c>
      <c r="F126" s="31">
        <v>0</v>
      </c>
      <c r="O126" s="42">
        <f>C126*Prislapp!$C$2+D126*Prislapp!$D$2+E126*Prislapp!$E$2+F126*Prislapp!$F$2+G126*Prislapp!$G$2+H126*Prislapp!$H$2+I126*Prislapp!$I$2+J126*Prislapp!$J$2+K126*Prislapp!$K$2+L126*Prislapp!$L$2+M126*Prislapp!$M$2+N126*Prislapp!$N$2</f>
        <v>18405</v>
      </c>
      <c r="P126" s="42">
        <f>C126*Prislapp!$C$3+D126*Prislapp!$D$3+E126*Prislapp!$E$3+F126*Prislapp!$F$3+G126*Prislapp!$G$3+H126*Prislapp!$H$3+I126*Prislapp!$I$3+J126*Prislapp!$J$3+K126*Prislapp!$K$3+M126*Prislapp!$M$3+N126*Prislapp!$N$3</f>
        <v>15773</v>
      </c>
      <c r="Q126" s="42">
        <f>C126*Prislapp!$C$5+D126*Prislapp!$D$5+E126*Prislapp!$E$5+F126*Prislapp!$F$5+G126*Prislapp!$G$5+H126*Prislapp!$H$5+I126*Prislapp!$I$5+J126*Prislapp!$J$5+K126*Prislapp!$K$5+L126*Prislapp!$L$5+M126*Prislapp!$M$5+N126*Prislapp!$N$5</f>
        <v>5800</v>
      </c>
      <c r="R126" s="9">
        <f>VLOOKUP(A126,'Ansvar kurs'!$A$2:$B$830,2,FALSE)</f>
        <v>1650</v>
      </c>
      <c r="S126" s="186" t="s">
        <v>1437</v>
      </c>
      <c r="T126" s="159"/>
      <c r="U126" s="159"/>
      <c r="V126" s="159"/>
      <c r="W126" s="159"/>
      <c r="X126" s="159"/>
      <c r="Y126" s="159"/>
      <c r="Z126" s="159"/>
    </row>
    <row r="127" spans="1:26" x14ac:dyDescent="0.25">
      <c r="A127" s="265" t="s">
        <v>916</v>
      </c>
      <c r="B127" s="31" t="s">
        <v>917</v>
      </c>
      <c r="D127" s="31">
        <v>1</v>
      </c>
      <c r="O127" s="42">
        <f>C127*Prislapp!$C$2+D127*Prislapp!$D$2+E127*Prislapp!$E$2+F127*Prislapp!$F$2+G127*Prislapp!$G$2+H127*Prislapp!$H$2+I127*Prislapp!$I$2+J127*Prislapp!$J$2+K127*Prislapp!$K$2+L127*Prislapp!$L$2+M127*Prislapp!$M$2+N127*Prislapp!$N$2</f>
        <v>18405</v>
      </c>
      <c r="P127" s="42">
        <f>C127*Prislapp!$C$3+D127*Prislapp!$D$3+E127*Prislapp!$E$3+F127*Prislapp!$F$3+G127*Prislapp!$G$3+H127*Prislapp!$H$3+I127*Prislapp!$I$3+J127*Prislapp!$J$3+K127*Prislapp!$K$3+M127*Prislapp!$M$3+N127*Prislapp!$N$3</f>
        <v>15773</v>
      </c>
      <c r="Q127" s="42">
        <f>C127*Prislapp!$C$5+D127*Prislapp!$D$5+E127*Prislapp!$E$5+F127*Prislapp!$F$5+G127*Prislapp!$G$5+H127*Prislapp!$H$5+I127*Prislapp!$I$5+J127*Prislapp!$J$5+K127*Prislapp!$K$5+L127*Prislapp!$L$5+M127*Prislapp!$M$5+N127*Prislapp!$N$5</f>
        <v>5800</v>
      </c>
      <c r="R127" s="9">
        <f>VLOOKUP(A127,'Ansvar kurs'!$A$2:$B$830,2,FALSE)</f>
        <v>1650</v>
      </c>
      <c r="S127" s="159"/>
      <c r="T127" s="159"/>
      <c r="U127" s="159"/>
      <c r="V127" s="159"/>
      <c r="W127" s="159"/>
      <c r="X127" s="159"/>
      <c r="Y127" s="159"/>
      <c r="Z127" s="159"/>
    </row>
    <row r="128" spans="1:26" x14ac:dyDescent="0.25">
      <c r="A128" s="266" t="s">
        <v>1359</v>
      </c>
      <c r="B128" s="62" t="s">
        <v>1360</v>
      </c>
      <c r="C128" s="31">
        <v>1</v>
      </c>
      <c r="D128" s="31">
        <v>0</v>
      </c>
      <c r="L128" s="31">
        <v>0</v>
      </c>
      <c r="O128" s="42">
        <f>C128*Prislapp!$C$2+D128*Prislapp!$D$2+E128*Prislapp!$E$2+F128*Prislapp!$F$2+G128*Prislapp!$G$2+H128*Prislapp!$H$2+I128*Prislapp!$I$2+J128*Prislapp!$J$2+K128*Prislapp!$K$2+L128*Prislapp!$L$2+M128*Prislapp!$M$2+N128*Prislapp!$N$2</f>
        <v>47957</v>
      </c>
      <c r="P128" s="42">
        <f>C128*Prislapp!$C$3+D128*Prislapp!$D$3+E128*Prislapp!$E$3+F128*Prislapp!$F$3+G128*Prislapp!$G$3+H128*Prislapp!$H$3+I128*Prislapp!$I$3+J128*Prislapp!$J$3+K128*Prislapp!$K$3+M128*Prislapp!$M$3+N128*Prislapp!$N$3</f>
        <v>57006</v>
      </c>
      <c r="Q128" s="42">
        <f>C128*Prislapp!$C$5+D128*Prislapp!$D$5+E128*Prislapp!$E$5+F128*Prislapp!$F$5+G128*Prislapp!$G$5+H128*Prislapp!$H$5+I128*Prislapp!$I$5+J128*Prislapp!$J$5+K128*Prislapp!$K$5+L128*Prislapp!$L$5+M128*Prislapp!$M$5+N128*Prislapp!$N$5</f>
        <v>69000</v>
      </c>
      <c r="R128" s="9">
        <f>VLOOKUP(A128,'Ansvar kurs'!$A$2:$B$830,2,FALSE)</f>
        <v>1650</v>
      </c>
      <c r="S128" s="186" t="s">
        <v>1525</v>
      </c>
      <c r="T128" s="186"/>
      <c r="U128" s="159"/>
      <c r="V128" s="159"/>
      <c r="W128" s="159"/>
      <c r="X128" s="159"/>
      <c r="Y128" s="159"/>
      <c r="Z128" s="159"/>
    </row>
    <row r="129" spans="1:26" x14ac:dyDescent="0.25">
      <c r="A129" s="266" t="s">
        <v>1378</v>
      </c>
      <c r="B129" s="62" t="s">
        <v>1210</v>
      </c>
      <c r="K129" s="31">
        <v>1</v>
      </c>
      <c r="O129" s="42">
        <f>C129*Prislapp!$C$2+D129*Prislapp!$D$2+E129*Prislapp!$E$2+F129*Prislapp!$F$2+G129*Prislapp!$G$2+H129*Prislapp!$H$2+I129*Prislapp!$I$2+J129*Prislapp!$J$2+K129*Prislapp!$K$2+L129*Prislapp!$L$2+M129*Prislapp!$M$2+N129*Prislapp!$N$2</f>
        <v>21634</v>
      </c>
      <c r="P129" s="42">
        <f>C129*Prislapp!$C$3+D129*Prislapp!$D$3+E129*Prislapp!$E$3+F129*Prislapp!$F$3+G129*Prislapp!$G$3+H129*Prislapp!$H$3+I129*Prislapp!$I$3+J129*Prislapp!$J$3+K129*Prislapp!$K$3+M129*Prislapp!$M$3+N129*Prislapp!$N$3</f>
        <v>26986</v>
      </c>
      <c r="Q129" s="42">
        <f>C129*Prislapp!$C$5+D129*Prislapp!$D$5+E129*Prislapp!$E$5+F129*Prislapp!$F$5+G129*Prislapp!$G$5+H129*Prislapp!$H$5+I129*Prislapp!$I$5+J129*Prislapp!$J$5+K129*Prislapp!$K$5+L129*Prislapp!$L$5+M129*Prislapp!$M$5+N129*Prislapp!$N$5</f>
        <v>3400</v>
      </c>
      <c r="R129" s="9">
        <f>VLOOKUP(A129,'Ansvar kurs'!$A$2:$B$830,2,FALSE)</f>
        <v>1650</v>
      </c>
      <c r="S129" s="186" t="s">
        <v>1377</v>
      </c>
      <c r="T129" s="159"/>
      <c r="U129" s="159"/>
      <c r="V129" s="159"/>
      <c r="W129" s="159"/>
      <c r="X129" s="159"/>
      <c r="Y129" s="159"/>
      <c r="Z129" s="159"/>
    </row>
    <row r="130" spans="1:26" x14ac:dyDescent="0.25">
      <c r="A130" s="266" t="s">
        <v>1379</v>
      </c>
      <c r="B130" s="59" t="s">
        <v>1211</v>
      </c>
      <c r="K130" s="31">
        <v>1</v>
      </c>
      <c r="O130" s="42">
        <f>C130*Prislapp!$C$2+D130*Prislapp!$D$2+E130*Prislapp!$E$2+F130*Prislapp!$F$2+G130*Prislapp!$G$2+H130*Prislapp!$H$2+I130*Prislapp!$I$2+J130*Prislapp!$J$2+K130*Prislapp!$K$2+L130*Prislapp!$L$2+M130*Prislapp!$M$2+N130*Prislapp!$N$2</f>
        <v>21634</v>
      </c>
      <c r="P130" s="42">
        <f>C130*Prislapp!$C$3+D130*Prislapp!$D$3+E130*Prislapp!$E$3+F130*Prislapp!$F$3+G130*Prislapp!$G$3+H130*Prislapp!$H$3+I130*Prislapp!$I$3+J130*Prislapp!$J$3+K130*Prislapp!$K$3+M130*Prislapp!$M$3+N130*Prislapp!$N$3</f>
        <v>26986</v>
      </c>
      <c r="Q130" s="42">
        <f>C130*Prislapp!$C$5+D130*Prislapp!$D$5+E130*Prislapp!$E$5+F130*Prislapp!$F$5+G130*Prislapp!$G$5+H130*Prislapp!$H$5+I130*Prislapp!$I$5+J130*Prislapp!$J$5+K130*Prislapp!$K$5+L130*Prislapp!$L$5+M130*Prislapp!$M$5+N130*Prislapp!$N$5</f>
        <v>3400</v>
      </c>
      <c r="R130" s="9">
        <f>VLOOKUP(A130,'Ansvar kurs'!$A$2:$B$830,2,FALSE)</f>
        <v>1650</v>
      </c>
      <c r="S130" s="186" t="s">
        <v>1377</v>
      </c>
      <c r="T130" s="159"/>
      <c r="U130" s="159"/>
      <c r="V130" s="159"/>
      <c r="W130" s="159"/>
      <c r="X130" s="159"/>
      <c r="Y130" s="159"/>
      <c r="Z130" s="159"/>
    </row>
    <row r="131" spans="1:26" x14ac:dyDescent="0.25">
      <c r="A131" s="266" t="s">
        <v>1380</v>
      </c>
      <c r="B131" s="59" t="s">
        <v>1218</v>
      </c>
      <c r="F131" s="31">
        <v>1</v>
      </c>
      <c r="O131" s="42">
        <f>C131*Prislapp!$C$2+D131*Prislapp!$D$2+E131*Prislapp!$E$2+F131*Prislapp!$F$2+G131*Prislapp!$G$2+H131*Prislapp!$H$2+I131*Prislapp!$I$2+J131*Prislapp!$J$2+K131*Prislapp!$K$2+L131*Prislapp!$L$2+M131*Prislapp!$M$2+N131*Prislapp!$N$2</f>
        <v>23641</v>
      </c>
      <c r="P131" s="42">
        <f>C131*Prislapp!$C$3+D131*Prislapp!$D$3+E131*Prislapp!$E$3+F131*Prislapp!$F$3+G131*Prislapp!$G$3+H131*Prislapp!$H$3+I131*Prislapp!$I$3+J131*Prislapp!$J$3+K131*Prislapp!$K$3+M131*Prislapp!$M$3+N131*Prislapp!$N$3</f>
        <v>28786</v>
      </c>
      <c r="Q131" s="42">
        <f>C131*Prislapp!$C$5+D131*Prislapp!$D$5+E131*Prislapp!$E$5+F131*Prislapp!$F$5+G131*Prislapp!$G$5+H131*Prislapp!$H$5+I131*Prislapp!$I$5+J131*Prislapp!$J$5+K131*Prislapp!$K$5+L131*Prislapp!$L$5+M131*Prislapp!$M$5+N131*Prislapp!$N$5</f>
        <v>5800</v>
      </c>
      <c r="R131" s="9">
        <f>VLOOKUP(A131,'Ansvar kurs'!$A$2:$B$830,2,FALSE)</f>
        <v>1650</v>
      </c>
      <c r="S131" s="186" t="s">
        <v>1377</v>
      </c>
      <c r="T131" s="159"/>
      <c r="U131" s="159"/>
      <c r="V131" s="159"/>
      <c r="W131" s="159"/>
      <c r="X131" s="159"/>
      <c r="Y131" s="159"/>
      <c r="Z131" s="159"/>
    </row>
    <row r="132" spans="1:26" x14ac:dyDescent="0.25">
      <c r="A132" t="s">
        <v>1636</v>
      </c>
      <c r="B132" s="62" t="s">
        <v>1341</v>
      </c>
      <c r="C132" s="31">
        <v>1</v>
      </c>
      <c r="O132" s="42">
        <f>C132*Prislapp!$C$2+D132*Prislapp!$D$2+E132*Prislapp!$E$2+F132*Prislapp!$F$2+G132*Prislapp!$G$2+H132*Prislapp!$H$2+I132*Prislapp!$I$2+J132*Prislapp!$J$2+K132*Prislapp!$K$2+L132*Prislapp!$L$2+M132*Prislapp!$M$2+N132*Prislapp!$N$2</f>
        <v>47957</v>
      </c>
      <c r="P132" s="42">
        <f>C132*Prislapp!$C$3+D132*Prislapp!$D$3+E132*Prislapp!$E$3+F132*Prislapp!$F$3+G132*Prislapp!$G$3+H132*Prislapp!$H$3+I132*Prislapp!$I$3+J132*Prislapp!$J$3+K132*Prislapp!$K$3+M132*Prislapp!$M$3+N132*Prislapp!$N$3</f>
        <v>57006</v>
      </c>
      <c r="Q132" s="42">
        <f>C132*Prislapp!$C$5+D132*Prislapp!$D$5+E132*Prislapp!$E$5+F132*Prislapp!$F$5+G132*Prislapp!$G$5+H132*Prislapp!$H$5+I132*Prislapp!$I$5+J132*Prislapp!$J$5+K132*Prislapp!$K$5+L132*Prislapp!$L$5+M132*Prislapp!$M$5+N132*Prislapp!$N$5</f>
        <v>69000</v>
      </c>
      <c r="R132" s="9">
        <f>VLOOKUP(A132,'Ansvar kurs'!$A$2:$B$830,2,FALSE)</f>
        <v>1650</v>
      </c>
      <c r="S132" s="159" t="s">
        <v>1904</v>
      </c>
      <c r="T132" s="159"/>
      <c r="U132" s="159"/>
      <c r="V132" s="159"/>
      <c r="W132" s="159"/>
      <c r="X132" s="159"/>
      <c r="Y132" s="159"/>
      <c r="Z132" s="159"/>
    </row>
    <row r="133" spans="1:26" x14ac:dyDescent="0.25">
      <c r="A133" s="266" t="s">
        <v>1637</v>
      </c>
      <c r="B133" s="62" t="s">
        <v>1670</v>
      </c>
      <c r="D133" s="31">
        <v>1</v>
      </c>
      <c r="O133" s="42">
        <f>C133*Prislapp!$C$2+D133*Prislapp!$D$2+E133*Prislapp!$E$2+F133*Prislapp!$F$2+G133*Prislapp!$G$2+H133*Prislapp!$H$2+I133*Prislapp!$I$2+J133*Prislapp!$J$2+K133*Prislapp!$K$2+L133*Prislapp!$L$2+M133*Prislapp!$M$2+N133*Prislapp!$N$2</f>
        <v>18405</v>
      </c>
      <c r="P133" s="42">
        <f>C133*Prislapp!$C$3+D133*Prislapp!$D$3+E133*Prislapp!$E$3+F133*Prislapp!$F$3+G133*Prislapp!$G$3+H133*Prislapp!$H$3+I133*Prislapp!$I$3+J133*Prislapp!$J$3+K133*Prislapp!$K$3+M133*Prislapp!$M$3+N133*Prislapp!$N$3</f>
        <v>15773</v>
      </c>
      <c r="Q133" s="42">
        <f>C133*Prislapp!$C$5+D133*Prislapp!$D$5+E133*Prislapp!$E$5+F133*Prislapp!$F$5+G133*Prislapp!$G$5+H133*Prislapp!$H$5+I133*Prislapp!$I$5+J133*Prislapp!$J$5+K133*Prislapp!$K$5+L133*Prislapp!$L$5+M133*Prislapp!$M$5+N133*Prislapp!$N$5</f>
        <v>5800</v>
      </c>
      <c r="R133" s="9">
        <f>VLOOKUP(A133,'Ansvar kurs'!$A$2:$B$830,2,FALSE)</f>
        <v>1650</v>
      </c>
      <c r="S133" s="159"/>
      <c r="T133" s="159"/>
      <c r="U133" s="159"/>
      <c r="V133" s="159"/>
      <c r="W133" s="159"/>
      <c r="X133" s="159"/>
      <c r="Y133" s="159"/>
      <c r="Z133" s="159"/>
    </row>
    <row r="134" spans="1:26" x14ac:dyDescent="0.25">
      <c r="A134" s="59" t="s">
        <v>1568</v>
      </c>
      <c r="B134" s="59" t="s">
        <v>1606</v>
      </c>
      <c r="M134" s="31">
        <v>1</v>
      </c>
      <c r="O134" s="42">
        <f>C134*Prislapp!$C$2+D134*Prislapp!$D$2+E134*Prislapp!$E$2+F134*Prislapp!$F$2+G134*Prislapp!$G$2+H134*Prislapp!$H$2+I134*Prislapp!$I$2+J134*Prislapp!$J$2+K134*Prislapp!$K$2+L134*Prislapp!$L$2+M134*Prislapp!$M$2+N134*Prislapp!$N$2</f>
        <v>15846</v>
      </c>
      <c r="P134" s="42">
        <f>C134*Prislapp!$C$3+D134*Prislapp!$D$3+E134*Prislapp!$E$3+F134*Prislapp!$F$3+G134*Prislapp!$G$3+H134*Prislapp!$H$3+I134*Prislapp!$I$3+J134*Prislapp!$J$3+K134*Prislapp!$K$3+M134*Prislapp!$M$3+N134*Prislapp!$N$3</f>
        <v>26926</v>
      </c>
      <c r="Q134" s="42">
        <f>C134*Prislapp!$C$5+D134*Prislapp!$D$5+E134*Prislapp!$E$5+F134*Prislapp!$F$5+G134*Prislapp!$G$5+H134*Prislapp!$H$5+I134*Prislapp!$I$5+J134*Prislapp!$J$5+K134*Prislapp!$K$5+L134*Prislapp!$L$5+M134*Prislapp!$M$5+N134*Prislapp!$N$5</f>
        <v>17300</v>
      </c>
      <c r="R134" s="9">
        <f>VLOOKUP(A134,'Ansvar kurs'!$A$2:$B$830,2,FALSE)</f>
        <v>1650</v>
      </c>
    </row>
    <row r="135" spans="1:26" x14ac:dyDescent="0.25">
      <c r="A135" s="266" t="s">
        <v>1467</v>
      </c>
      <c r="B135" s="328" t="s">
        <v>1470</v>
      </c>
      <c r="D135" s="31">
        <v>0</v>
      </c>
      <c r="M135" s="31">
        <v>1</v>
      </c>
      <c r="O135" s="42">
        <f>C135*Prislapp!$C$2+D135*Prislapp!$D$2+E135*Prislapp!$E$2+F135*Prislapp!$F$2+G135*Prislapp!$G$2+H135*Prislapp!$H$2+I135*Prislapp!$I$2+J135*Prislapp!$J$2+K135*Prislapp!$K$2+L135*Prislapp!$L$2+M135*Prislapp!$M$2+N135*Prislapp!$N$2</f>
        <v>15846</v>
      </c>
      <c r="P135" s="42">
        <f>C135*Prislapp!$C$3+D135*Prislapp!$D$3+E135*Prislapp!$E$3+F135*Prislapp!$F$3+G135*Prislapp!$G$3+H135*Prislapp!$H$3+I135*Prislapp!$I$3+J135*Prislapp!$J$3+K135*Prislapp!$K$3+M135*Prislapp!$M$3+N135*Prislapp!$N$3</f>
        <v>26926</v>
      </c>
      <c r="Q135" s="42">
        <f>C135*Prislapp!$C$5+D135*Prislapp!$D$5+E135*Prislapp!$E$5+F135*Prislapp!$F$5+G135*Prislapp!$G$5+H135*Prislapp!$H$5+I135*Prislapp!$I$5+J135*Prislapp!$J$5+K135*Prislapp!$K$5+L135*Prislapp!$L$5+M135*Prislapp!$M$5+N135*Prislapp!$N$5</f>
        <v>17300</v>
      </c>
      <c r="R135" s="9">
        <f>VLOOKUP(A135,'Ansvar kurs'!$A$2:$B$830,2,FALSE)</f>
        <v>1650</v>
      </c>
      <c r="S135" s="186" t="s">
        <v>1722</v>
      </c>
      <c r="T135" s="159"/>
      <c r="U135" s="159"/>
      <c r="V135" s="159"/>
      <c r="W135" s="159"/>
      <c r="X135" s="159"/>
      <c r="Y135" s="159"/>
      <c r="Z135" s="159"/>
    </row>
    <row r="136" spans="1:26" x14ac:dyDescent="0.25">
      <c r="A136" s="266" t="s">
        <v>1468</v>
      </c>
      <c r="B136" s="328" t="s">
        <v>1471</v>
      </c>
      <c r="M136" s="31">
        <v>1</v>
      </c>
      <c r="O136" s="42">
        <f>C136*Prislapp!$C$2+D136*Prislapp!$D$2+E136*Prislapp!$E$2+F136*Prislapp!$F$2+G136*Prislapp!$G$2+H136*Prislapp!$H$2+I136*Prislapp!$I$2+J136*Prislapp!$J$2+K136*Prislapp!$K$2+L136*Prislapp!$L$2+M136*Prislapp!$M$2+N136*Prislapp!$N$2</f>
        <v>15846</v>
      </c>
      <c r="P136" s="42">
        <f>C136*Prislapp!$C$3+D136*Prislapp!$D$3+E136*Prislapp!$E$3+F136*Prislapp!$F$3+G136*Prislapp!$G$3+H136*Prislapp!$H$3+I136*Prislapp!$I$3+J136*Prislapp!$J$3+K136*Prislapp!$K$3+M136*Prislapp!$M$3+N136*Prislapp!$N$3</f>
        <v>26926</v>
      </c>
      <c r="Q136" s="42">
        <f>C136*Prislapp!$C$5+D136*Prislapp!$D$5+E136*Prislapp!$E$5+F136*Prislapp!$F$5+G136*Prislapp!$G$5+H136*Prislapp!$H$5+I136*Prislapp!$I$5+J136*Prislapp!$J$5+K136*Prislapp!$K$5+L136*Prislapp!$L$5+M136*Prislapp!$M$5+N136*Prislapp!$N$5</f>
        <v>17300</v>
      </c>
      <c r="R136" s="9">
        <f>VLOOKUP(A136,'Ansvar kurs'!$A$2:$B$830,2,FALSE)</f>
        <v>1650</v>
      </c>
      <c r="S136" s="186"/>
      <c r="T136" s="159"/>
      <c r="U136" s="159"/>
      <c r="V136" s="159"/>
      <c r="W136" s="159"/>
      <c r="X136" s="159"/>
      <c r="Y136" s="159"/>
      <c r="Z136" s="159"/>
    </row>
    <row r="137" spans="1:26" x14ac:dyDescent="0.25">
      <c r="A137" s="266" t="s">
        <v>1469</v>
      </c>
      <c r="B137" s="328" t="s">
        <v>1432</v>
      </c>
      <c r="D137" s="31">
        <v>0</v>
      </c>
      <c r="M137" s="31">
        <v>1</v>
      </c>
      <c r="O137" s="42">
        <f>C137*Prislapp!$C$2+D137*Prislapp!$D$2+E137*Prislapp!$E$2+F137*Prislapp!$F$2+G137*Prislapp!$G$2+H137*Prislapp!$H$2+I137*Prislapp!$I$2+J137*Prislapp!$J$2+K137*Prislapp!$K$2+L137*Prislapp!$L$2+M137*Prislapp!$M$2+N137*Prislapp!$N$2</f>
        <v>15846</v>
      </c>
      <c r="P137" s="42">
        <f>C137*Prislapp!$C$3+D137*Prislapp!$D$3+E137*Prislapp!$E$3+F137*Prislapp!$F$3+G137*Prislapp!$G$3+H137*Prislapp!$H$3+I137*Prislapp!$I$3+J137*Prislapp!$J$3+K137*Prislapp!$K$3+M137*Prislapp!$M$3+N137*Prislapp!$N$3</f>
        <v>26926</v>
      </c>
      <c r="Q137" s="42">
        <f>C137*Prislapp!$C$5+D137*Prislapp!$D$5+E137*Prislapp!$E$5+F137*Prislapp!$F$5+G137*Prislapp!$G$5+H137*Prislapp!$H$5+I137*Prislapp!$I$5+J137*Prislapp!$J$5+K137*Prislapp!$K$5+L137*Prislapp!$L$5+M137*Prislapp!$M$5+N137*Prislapp!$N$5</f>
        <v>17300</v>
      </c>
      <c r="R137" s="9">
        <f>VLOOKUP(A137,'Ansvar kurs'!$A$2:$B$830,2,FALSE)</f>
        <v>1650</v>
      </c>
      <c r="S137" s="186" t="s">
        <v>1722</v>
      </c>
      <c r="T137" s="159"/>
      <c r="U137" s="159"/>
      <c r="V137" s="159"/>
      <c r="W137" s="159"/>
      <c r="X137" s="159"/>
      <c r="Y137" s="159"/>
      <c r="Z137" s="159"/>
    </row>
    <row r="138" spans="1:26" x14ac:dyDescent="0.25">
      <c r="A138" s="266" t="s">
        <v>1633</v>
      </c>
      <c r="B138" s="62" t="s">
        <v>1848</v>
      </c>
      <c r="D138" s="31">
        <v>1</v>
      </c>
      <c r="O138" s="42">
        <f>C138*Prislapp!$C$2+D138*Prislapp!$D$2+E138*Prislapp!$E$2+F138*Prislapp!$F$2+G138*Prislapp!$G$2+H138*Prislapp!$H$2+I138*Prislapp!$I$2+J138*Prislapp!$J$2+K138*Prislapp!$K$2+L138*Prislapp!$L$2+M138*Prislapp!$M$2+N138*Prislapp!$N$2</f>
        <v>18405</v>
      </c>
      <c r="P138" s="42">
        <f>C138*Prislapp!$C$3+D138*Prislapp!$D$3+E138*Prislapp!$E$3+F138*Prislapp!$F$3+G138*Prislapp!$G$3+H138*Prislapp!$H$3+I138*Prislapp!$I$3+J138*Prislapp!$J$3+K138*Prislapp!$K$3+M138*Prislapp!$M$3+N138*Prislapp!$N$3</f>
        <v>15773</v>
      </c>
      <c r="Q138" s="42">
        <f>C138*Prislapp!$C$5+D138*Prislapp!$D$5+E138*Prislapp!$E$5+F138*Prislapp!$F$5+G138*Prislapp!$G$5+H138*Prislapp!$H$5+I138*Prislapp!$I$5+J138*Prislapp!$J$5+K138*Prislapp!$K$5+L138*Prislapp!$L$5+M138*Prislapp!$M$5+N138*Prislapp!$N$5</f>
        <v>5800</v>
      </c>
      <c r="R138" s="9">
        <f>VLOOKUP(A138,'Ansvar kurs'!$A$2:$B$830,2,FALSE)</f>
        <v>1650</v>
      </c>
      <c r="S138" s="186"/>
      <c r="T138" s="159"/>
      <c r="U138" s="159"/>
      <c r="V138" s="159"/>
      <c r="W138" s="159"/>
      <c r="X138" s="159"/>
      <c r="Y138" s="159"/>
      <c r="Z138" s="159"/>
    </row>
    <row r="139" spans="1:26" x14ac:dyDescent="0.25">
      <c r="A139" s="266" t="s">
        <v>1723</v>
      </c>
      <c r="B139" s="328" t="s">
        <v>1435</v>
      </c>
      <c r="M139" s="31">
        <v>1</v>
      </c>
      <c r="O139" s="42">
        <f>C139*Prislapp!$C$2+D139*Prislapp!$D$2+E139*Prislapp!$E$2+F139*Prislapp!$F$2+G139*Prislapp!$G$2+H139*Prislapp!$H$2+I139*Prislapp!$I$2+J139*Prislapp!$J$2+K139*Prislapp!$K$2+L139*Prislapp!$L$2+M139*Prislapp!$M$2+N139*Prislapp!$N$2</f>
        <v>15846</v>
      </c>
      <c r="P139" s="42">
        <f>C139*Prislapp!$C$3+D139*Prislapp!$D$3+E139*Prislapp!$E$3+F139*Prislapp!$F$3+G139*Prislapp!$G$3+H139*Prislapp!$H$3+I139*Prislapp!$I$3+J139*Prislapp!$J$3+K139*Prislapp!$K$3+M139*Prislapp!$M$3+N139*Prislapp!$N$3</f>
        <v>26926</v>
      </c>
      <c r="Q139" s="42">
        <f>C139*Prislapp!$C$5+D139*Prislapp!$D$5+E139*Prislapp!$E$5+F139*Prislapp!$F$5+G139*Prislapp!$G$5+H139*Prislapp!$H$5+I139*Prislapp!$I$5+J139*Prislapp!$J$5+K139*Prislapp!$K$5+L139*Prislapp!$L$5+M139*Prislapp!$M$5+N139*Prislapp!$N$5</f>
        <v>17300</v>
      </c>
      <c r="R139" s="9">
        <f>VLOOKUP(A139,'Ansvar kurs'!$A$2:$B$830,2,FALSE)</f>
        <v>1650</v>
      </c>
      <c r="S139" s="186" t="s">
        <v>1722</v>
      </c>
      <c r="T139" s="159"/>
      <c r="U139" s="159"/>
      <c r="V139" s="159"/>
      <c r="W139" s="159"/>
      <c r="X139" s="159"/>
      <c r="Y139" s="159"/>
      <c r="Z139" s="159"/>
    </row>
    <row r="140" spans="1:26" x14ac:dyDescent="0.25">
      <c r="A140" s="266" t="s">
        <v>1671</v>
      </c>
      <c r="B140" s="62" t="s">
        <v>1672</v>
      </c>
      <c r="D140" s="31">
        <v>1</v>
      </c>
      <c r="O140" s="42">
        <f>C140*Prislapp!$C$2+D140*Prislapp!$D$2+E140*Prislapp!$E$2+F140*Prislapp!$F$2+G140*Prislapp!$G$2+H140*Prislapp!$H$2+I140*Prislapp!$I$2+J140*Prislapp!$J$2+K140*Prislapp!$K$2+L140*Prislapp!$L$2+M140*Prislapp!$M$2+N140*Prislapp!$N$2</f>
        <v>18405</v>
      </c>
      <c r="P140" s="42">
        <f>C140*Prislapp!$C$3+D140*Prislapp!$D$3+E140*Prislapp!$E$3+F140*Prislapp!$F$3+G140*Prislapp!$G$3+H140*Prislapp!$H$3+I140*Prislapp!$I$3+J140*Prislapp!$J$3+K140*Prislapp!$K$3+M140*Prislapp!$M$3+N140*Prislapp!$N$3</f>
        <v>15773</v>
      </c>
      <c r="Q140" s="42">
        <f>C140*Prislapp!$C$5+D140*Prislapp!$D$5+E140*Prislapp!$E$5+F140*Prislapp!$F$5+G140*Prislapp!$G$5+H140*Prislapp!$H$5+I140*Prislapp!$I$5+J140*Prislapp!$J$5+K140*Prislapp!$K$5+L140*Prislapp!$L$5+M140*Prislapp!$M$5+N140*Prislapp!$N$5</f>
        <v>5800</v>
      </c>
      <c r="R140" s="9">
        <f>VLOOKUP(A140,'Ansvar kurs'!$A$2:$B$830,2,FALSE)</f>
        <v>1650</v>
      </c>
      <c r="S140" s="186"/>
      <c r="T140" s="159"/>
      <c r="U140" s="159"/>
      <c r="V140" s="159"/>
      <c r="W140" s="159"/>
      <c r="X140" s="159"/>
      <c r="Y140" s="159"/>
      <c r="Z140" s="159"/>
    </row>
    <row r="141" spans="1:26" x14ac:dyDescent="0.25">
      <c r="A141" s="266" t="s">
        <v>1736</v>
      </c>
      <c r="B141" t="s">
        <v>1737</v>
      </c>
      <c r="D141" s="31">
        <v>1</v>
      </c>
      <c r="O141" s="42">
        <f>C141*Prislapp!$C$2+D141*Prislapp!$D$2+E141*Prislapp!$E$2+F141*Prislapp!$F$2+G141*Prislapp!$G$2+H141*Prislapp!$H$2+I141*Prislapp!$I$2+J141*Prislapp!$J$2+K141*Prislapp!$K$2+L141*Prislapp!$L$2+M141*Prislapp!$M$2+N141*Prislapp!$N$2</f>
        <v>18405</v>
      </c>
      <c r="P141" s="42">
        <f>C141*Prislapp!$C$3+D141*Prislapp!$D$3+E141*Prislapp!$E$3+F141*Prislapp!$F$3+G141*Prislapp!$G$3+H141*Prislapp!$H$3+I141*Prislapp!$I$3+J141*Prislapp!$J$3+K141*Prislapp!$K$3+M141*Prislapp!$M$3+N141*Prislapp!$N$3</f>
        <v>15773</v>
      </c>
      <c r="Q141" s="42">
        <f>C141*Prislapp!$C$5+D141*Prislapp!$D$5+E141*Prislapp!$E$5+F141*Prislapp!$F$5+G141*Prislapp!$G$5+H141*Prislapp!$H$5+I141*Prislapp!$I$5+J141*Prislapp!$J$5+K141*Prislapp!$K$5+L141*Prislapp!$L$5+M141*Prislapp!$M$5+N141*Prislapp!$N$5</f>
        <v>5800</v>
      </c>
      <c r="R141" s="9">
        <f>VLOOKUP(A141,'Ansvar kurs'!$A$2:$B$830,2,FALSE)</f>
        <v>1650</v>
      </c>
      <c r="S141" s="159"/>
      <c r="T141" s="159"/>
      <c r="U141" s="159"/>
      <c r="V141" s="159"/>
      <c r="W141" s="159"/>
      <c r="X141" s="159"/>
      <c r="Y141" s="159"/>
      <c r="Z141" s="159"/>
    </row>
    <row r="142" spans="1:26" x14ac:dyDescent="0.25">
      <c r="A142" s="266" t="s">
        <v>1729</v>
      </c>
      <c r="B142" s="62" t="s">
        <v>1731</v>
      </c>
      <c r="K142" s="31">
        <v>1</v>
      </c>
      <c r="O142" s="42">
        <f>C142*Prislapp!$C$2+D142*Prislapp!$D$2+E142*Prislapp!$E$2+F142*Prislapp!$F$2+G142*Prislapp!$G$2+H142*Prislapp!$H$2+I142*Prislapp!$I$2+J142*Prislapp!$J$2+K142*Prislapp!$K$2+L142*Prislapp!$L$2+M142*Prislapp!$M$2+N142*Prislapp!$N$2</f>
        <v>21634</v>
      </c>
      <c r="P142" s="42">
        <f>C142*Prislapp!$C$3+D142*Prislapp!$D$3+E142*Prislapp!$E$3+F142*Prislapp!$F$3+G142*Prislapp!$G$3+H142*Prislapp!$H$3+I142*Prislapp!$I$3+J142*Prislapp!$J$3+K142*Prislapp!$K$3+M142*Prislapp!$M$3+N142*Prislapp!$N$3</f>
        <v>26986</v>
      </c>
      <c r="Q142" s="42">
        <f>C142*Prislapp!$C$5+D142*Prislapp!$D$5+E142*Prislapp!$E$5+F142*Prislapp!$F$5+G142*Prislapp!$G$5+H142*Prislapp!$H$5+I142*Prislapp!$I$5+J142*Prislapp!$J$5+K142*Prislapp!$K$5+L142*Prislapp!$L$5+M142*Prislapp!$M$5+N142*Prislapp!$N$5</f>
        <v>3400</v>
      </c>
      <c r="R142" s="9">
        <f>VLOOKUP(A142,'Ansvar kurs'!$A$2:$B$830,2,FALSE)</f>
        <v>1650</v>
      </c>
      <c r="S142" s="186"/>
      <c r="T142" s="159"/>
      <c r="U142" s="159"/>
      <c r="V142" s="159"/>
      <c r="W142" s="159"/>
      <c r="X142" s="159"/>
      <c r="Y142" s="159"/>
      <c r="Z142" s="159"/>
    </row>
    <row r="143" spans="1:26" x14ac:dyDescent="0.25">
      <c r="A143" s="266" t="s">
        <v>1754</v>
      </c>
      <c r="B143" s="62" t="s">
        <v>1762</v>
      </c>
      <c r="M143" s="31">
        <v>1</v>
      </c>
      <c r="O143" s="42">
        <f>C143*Prislapp!$C$2+D143*Prislapp!$D$2+E143*Prislapp!$E$2+F143*Prislapp!$F$2+G143*Prislapp!$G$2+H143*Prislapp!$H$2+I143*Prislapp!$I$2+J143*Prislapp!$J$2+K143*Prislapp!$K$2+L143*Prislapp!$L$2+M143*Prislapp!$M$2+N143*Prislapp!$N$2</f>
        <v>15846</v>
      </c>
      <c r="P143" s="42">
        <f>C143*Prislapp!$C$3+D143*Prislapp!$D$3+E143*Prislapp!$E$3+F143*Prislapp!$F$3+G143*Prislapp!$G$3+H143*Prislapp!$H$3+I143*Prislapp!$I$3+J143*Prislapp!$J$3+K143*Prislapp!$K$3+M143*Prislapp!$M$3+N143*Prislapp!$N$3</f>
        <v>26926</v>
      </c>
      <c r="Q143" s="42">
        <f>C143*Prislapp!$C$5+D143*Prislapp!$D$5+E143*Prislapp!$E$5+F143*Prislapp!$F$5+G143*Prislapp!$G$5+H143*Prislapp!$H$5+I143*Prislapp!$I$5+J143*Prislapp!$J$5+K143*Prislapp!$K$5+L143*Prislapp!$L$5+M143*Prislapp!$M$5+N143*Prislapp!$N$5</f>
        <v>17300</v>
      </c>
      <c r="R143" s="9">
        <f>VLOOKUP(A143,'Ansvar kurs'!$A$2:$B$830,2,FALSE)</f>
        <v>1650</v>
      </c>
      <c r="S143" s="186"/>
      <c r="T143" s="159"/>
      <c r="U143" s="159"/>
      <c r="V143" s="159"/>
      <c r="W143" s="159"/>
      <c r="X143" s="159"/>
      <c r="Y143" s="159"/>
      <c r="Z143" s="159"/>
    </row>
    <row r="144" spans="1:26" x14ac:dyDescent="0.25">
      <c r="A144" s="266" t="s">
        <v>1821</v>
      </c>
      <c r="B144" s="62" t="s">
        <v>1831</v>
      </c>
      <c r="C144" s="31">
        <v>1</v>
      </c>
      <c r="D144" s="31">
        <v>0</v>
      </c>
      <c r="O144" s="42">
        <f>C144*Prislapp!$C$2+D144*Prislapp!$D$2+E144*Prislapp!$E$2+F144*Prislapp!$F$2+G144*Prislapp!$G$2+H144*Prislapp!$H$2+I144*Prislapp!$I$2+J144*Prislapp!$J$2+K144*Prislapp!$K$2+L144*Prislapp!$L$2+M144*Prislapp!$M$2+N144*Prislapp!$N$2</f>
        <v>47957</v>
      </c>
      <c r="P144" s="42">
        <f>C144*Prislapp!$C$3+D144*Prislapp!$D$3+E144*Prislapp!$E$3+F144*Prislapp!$F$3+G144*Prislapp!$G$3+H144*Prislapp!$H$3+I144*Prislapp!$I$3+J144*Prislapp!$J$3+K144*Prislapp!$K$3+M144*Prislapp!$M$3+N144*Prislapp!$N$3</f>
        <v>57006</v>
      </c>
      <c r="Q144" s="42">
        <f>C144*Prislapp!$C$5+D144*Prislapp!$D$5+E144*Prislapp!$E$5+F144*Prislapp!$F$5+G144*Prislapp!$G$5+H144*Prislapp!$H$5+I144*Prislapp!$I$5+J144*Prislapp!$J$5+K144*Prislapp!$K$5+L144*Prislapp!$L$5+M144*Prislapp!$M$5+N144*Prislapp!$N$5</f>
        <v>69000</v>
      </c>
      <c r="R144" s="9">
        <f>VLOOKUP(A144,'Ansvar kurs'!$A$2:$B$830,2,FALSE)</f>
        <v>1650</v>
      </c>
      <c r="S144" s="159" t="s">
        <v>1908</v>
      </c>
      <c r="T144" s="159"/>
      <c r="U144" s="159"/>
      <c r="V144" s="159"/>
      <c r="W144" s="159"/>
      <c r="X144" s="159"/>
      <c r="Y144" s="159"/>
      <c r="Z144" s="159"/>
    </row>
    <row r="145" spans="1:26" x14ac:dyDescent="0.25">
      <c r="A145" s="412" t="s">
        <v>1855</v>
      </c>
      <c r="B145" s="62" t="s">
        <v>1874</v>
      </c>
      <c r="C145" s="31">
        <v>1</v>
      </c>
      <c r="O145" s="42">
        <f>C145*Prislapp!$C$2+D145*Prislapp!$D$2+E145*Prislapp!$E$2+F145*Prislapp!$F$2+G145*Prislapp!$G$2+H145*Prislapp!$H$2+I145*Prislapp!$I$2+J145*Prislapp!$J$2+K145*Prislapp!$K$2+L145*Prislapp!$L$2+M145*Prislapp!$M$2+N145*Prislapp!$N$2</f>
        <v>47957</v>
      </c>
      <c r="P145" s="42">
        <f>C145*Prislapp!$C$3+D145*Prislapp!$D$3+E145*Prislapp!$E$3+F145*Prislapp!$F$3+G145*Prislapp!$G$3+H145*Prislapp!$H$3+I145*Prislapp!$I$3+J145*Prislapp!$J$3+K145*Prislapp!$K$3+M145*Prislapp!$M$3+N145*Prislapp!$N$3</f>
        <v>57006</v>
      </c>
      <c r="Q145" s="42">
        <f>C145*Prislapp!$C$5+D145*Prislapp!$D$5+E145*Prislapp!$E$5+F145*Prislapp!$F$5+G145*Prislapp!$G$5+H145*Prislapp!$H$5+I145*Prislapp!$I$5+J145*Prislapp!$J$5+K145*Prislapp!$K$5+L145*Prislapp!$L$5+M145*Prislapp!$M$5+N145*Prislapp!$N$5</f>
        <v>69000</v>
      </c>
      <c r="R145" s="9">
        <f>VLOOKUP(A145,'Ansvar kurs'!$A$2:$B$830,2,FALSE)</f>
        <v>1650</v>
      </c>
      <c r="S145" s="159"/>
      <c r="T145" s="159"/>
      <c r="U145" s="159"/>
      <c r="V145" s="159"/>
      <c r="W145" s="159"/>
      <c r="X145" s="159"/>
      <c r="Y145" s="159"/>
      <c r="Z145" s="159"/>
    </row>
    <row r="146" spans="1:26" x14ac:dyDescent="0.25">
      <c r="A146" s="159" t="s">
        <v>1883</v>
      </c>
      <c r="B146" s="31" t="s">
        <v>1849</v>
      </c>
      <c r="D146" s="31">
        <v>1</v>
      </c>
      <c r="O146" s="42">
        <f>C146*Prislapp!$C$2+D146*Prislapp!$D$2+E146*Prislapp!$E$2+F146*Prislapp!$F$2+G146*Prislapp!$G$2+H146*Prislapp!$H$2+I146*Prislapp!$I$2+J146*Prislapp!$J$2+K146*Prislapp!$K$2+L146*Prislapp!$L$2+M146*Prislapp!$M$2+N146*Prislapp!$N$2</f>
        <v>18405</v>
      </c>
      <c r="P146" s="42">
        <f>C146*Prislapp!$C$3+D146*Prislapp!$D$3+E146*Prislapp!$E$3+F146*Prislapp!$F$3+G146*Prislapp!$G$3+H146*Prislapp!$H$3+I146*Prislapp!$I$3+J146*Prislapp!$J$3+K146*Prislapp!$K$3+M146*Prislapp!$M$3+N146*Prislapp!$N$3</f>
        <v>15773</v>
      </c>
      <c r="Q146" s="42">
        <f>C146*Prislapp!$C$5+D146*Prislapp!$D$5+E146*Prislapp!$E$5+F146*Prislapp!$F$5+G146*Prislapp!$G$5+H146*Prislapp!$H$5+I146*Prislapp!$I$5+J146*Prislapp!$J$5+K146*Prislapp!$K$5+L146*Prislapp!$L$5+M146*Prislapp!$M$5+N146*Prislapp!$N$5</f>
        <v>5800</v>
      </c>
      <c r="R146" s="9">
        <f>VLOOKUP(A146,'Ansvar kurs'!$A$2:$B$830,2,FALSE)</f>
        <v>1650</v>
      </c>
      <c r="S146" s="159"/>
      <c r="T146" s="159"/>
      <c r="U146" s="159"/>
      <c r="V146" s="159"/>
      <c r="W146" s="159"/>
      <c r="X146" s="159"/>
      <c r="Y146" s="159"/>
      <c r="Z146" s="159"/>
    </row>
    <row r="147" spans="1:26" x14ac:dyDescent="0.25">
      <c r="A147" s="159" t="s">
        <v>1881</v>
      </c>
      <c r="B147" s="31" t="s">
        <v>1841</v>
      </c>
      <c r="C147" s="31">
        <v>1</v>
      </c>
      <c r="O147" s="42">
        <f>C147*Prislapp!$C$2+D147*Prislapp!$D$2+E147*Prislapp!$E$2+F147*Prislapp!$F$2+G147*Prislapp!$G$2+H147*Prislapp!$H$2+I147*Prislapp!$I$2+J147*Prislapp!$J$2+K147*Prislapp!$K$2+L147*Prislapp!$L$2+M147*Prislapp!$M$2+N147*Prislapp!$N$2</f>
        <v>47957</v>
      </c>
      <c r="P147" s="42">
        <f>C147*Prislapp!$C$3+D147*Prislapp!$D$3+E147*Prislapp!$E$3+F147*Prislapp!$F$3+G147*Prislapp!$G$3+H147*Prislapp!$H$3+I147*Prislapp!$I$3+J147*Prislapp!$J$3+K147*Prislapp!$K$3+M147*Prislapp!$M$3+N147*Prislapp!$N$3</f>
        <v>57006</v>
      </c>
      <c r="Q147" s="42">
        <f>C147*Prislapp!$C$5+D147*Prislapp!$D$5+E147*Prislapp!$E$5+F147*Prislapp!$F$5+G147*Prislapp!$G$5+H147*Prislapp!$H$5+I147*Prislapp!$I$5+J147*Prislapp!$J$5+K147*Prislapp!$K$5+L147*Prislapp!$L$5+M147*Prislapp!$M$5+N147*Prislapp!$N$5</f>
        <v>69000</v>
      </c>
      <c r="R147" s="9">
        <f>VLOOKUP(A147,'Ansvar kurs'!$A$2:$B$830,2,FALSE)</f>
        <v>1650</v>
      </c>
      <c r="S147" s="159"/>
      <c r="T147" s="159"/>
      <c r="U147" s="159"/>
      <c r="V147" s="159"/>
      <c r="W147" s="159"/>
      <c r="X147" s="159"/>
      <c r="Y147" s="159"/>
      <c r="Z147" s="159"/>
    </row>
    <row r="148" spans="1:26" x14ac:dyDescent="0.25">
      <c r="A148" s="159" t="s">
        <v>1882</v>
      </c>
      <c r="B148" s="31" t="s">
        <v>1842</v>
      </c>
      <c r="C148" s="31">
        <v>1</v>
      </c>
      <c r="O148" s="42">
        <f>C148*Prislapp!$C$2+D148*Prislapp!$D$2+E148*Prislapp!$E$2+F148*Prislapp!$F$2+G148*Prislapp!$G$2+H148*Prislapp!$H$2+I148*Prislapp!$I$2+J148*Prislapp!$J$2+K148*Prislapp!$K$2+L148*Prislapp!$L$2+M148*Prislapp!$M$2+N148*Prislapp!$N$2</f>
        <v>47957</v>
      </c>
      <c r="P148" s="42">
        <f>C148*Prislapp!$C$3+D148*Prislapp!$D$3+E148*Prislapp!$E$3+F148*Prislapp!$F$3+G148*Prislapp!$G$3+H148*Prislapp!$H$3+I148*Prislapp!$I$3+J148*Prislapp!$J$3+K148*Prislapp!$K$3+M148*Prislapp!$M$3+N148*Prislapp!$N$3</f>
        <v>57006</v>
      </c>
      <c r="Q148" s="42">
        <f>C148*Prislapp!$C$5+D148*Prislapp!$D$5+E148*Prislapp!$E$5+F148*Prislapp!$F$5+G148*Prislapp!$G$5+H148*Prislapp!$H$5+I148*Prislapp!$I$5+J148*Prislapp!$J$5+K148*Prislapp!$K$5+L148*Prislapp!$L$5+M148*Prislapp!$M$5+N148*Prislapp!$N$5</f>
        <v>69000</v>
      </c>
      <c r="R148" s="9">
        <f>VLOOKUP(A148,'Ansvar kurs'!$A$2:$B$830,2,FALSE)</f>
        <v>1650</v>
      </c>
      <c r="S148" s="159"/>
      <c r="T148" s="159"/>
      <c r="U148" s="159"/>
      <c r="V148" s="159"/>
      <c r="W148" s="159"/>
      <c r="X148" s="159"/>
      <c r="Y148" s="159"/>
      <c r="Z148" s="159"/>
    </row>
    <row r="149" spans="1:26" x14ac:dyDescent="0.25">
      <c r="A149" s="186" t="s">
        <v>2061</v>
      </c>
      <c r="B149" s="59" t="s">
        <v>2086</v>
      </c>
      <c r="D149" s="31">
        <v>1</v>
      </c>
      <c r="O149" s="42">
        <f>C149*Prislapp!$C$2+D149*Prislapp!$D$2+E149*Prislapp!$E$2+F149*Prislapp!$F$2+G149*Prislapp!$G$2+H149*Prislapp!$H$2+I149*Prislapp!$I$2+J149*Prislapp!$J$2+K149*Prislapp!$K$2+L149*Prislapp!$L$2+M149*Prislapp!$M$2+N149*Prislapp!$N$2</f>
        <v>18405</v>
      </c>
      <c r="P149" s="42">
        <f>C149*Prislapp!$C$3+D149*Prislapp!$D$3+E149*Prislapp!$E$3+F149*Prislapp!$F$3+G149*Prislapp!$G$3+H149*Prislapp!$H$3+I149*Prislapp!$I$3+J149*Prislapp!$J$3+K149*Prislapp!$K$3+M149*Prislapp!$M$3+N149*Prislapp!$N$3</f>
        <v>15773</v>
      </c>
      <c r="Q149" s="42">
        <f>C149*Prislapp!$C$5+D149*Prislapp!$D$5+E149*Prislapp!$E$5+F149*Prislapp!$F$5+G149*Prislapp!$G$5+H149*Prislapp!$H$5+I149*Prislapp!$I$5+J149*Prislapp!$J$5+K149*Prislapp!$K$5+L149*Prislapp!$L$5+M149*Prislapp!$M$5+N149*Prislapp!$N$5</f>
        <v>5800</v>
      </c>
      <c r="R149" s="9">
        <f>VLOOKUP(A149,'Ansvar kurs'!$A$2:$B$830,2,FALSE)</f>
        <v>1650</v>
      </c>
      <c r="S149" s="186" t="s">
        <v>2096</v>
      </c>
      <c r="T149" s="159"/>
      <c r="U149" s="159"/>
      <c r="V149" s="159"/>
      <c r="W149" s="159"/>
      <c r="X149" s="159"/>
      <c r="Y149" s="159"/>
      <c r="Z149" s="159"/>
    </row>
    <row r="150" spans="1:26" x14ac:dyDescent="0.25">
      <c r="A150" s="31" t="s">
        <v>2118</v>
      </c>
      <c r="B150" s="31" t="s">
        <v>1873</v>
      </c>
      <c r="C150" s="31">
        <v>1</v>
      </c>
      <c r="O150" s="42">
        <f>C150*Prislapp!$C$2+D150*Prislapp!$D$2+E150*Prislapp!$E$2+F150*Prislapp!$F$2+G150*Prislapp!$G$2+H150*Prislapp!$H$2+I150*Prislapp!$I$2+J150*Prislapp!$J$2+K150*Prislapp!$K$2+L150*Prislapp!$L$2+M150*Prislapp!$M$2+N150*Prislapp!$N$2</f>
        <v>47957</v>
      </c>
      <c r="P150" s="42">
        <f>C150*Prislapp!$C$3+D150*Prislapp!$D$3+E150*Prislapp!$E$3+F150*Prislapp!$F$3+G150*Prislapp!$G$3+H150*Prislapp!$H$3+I150*Prislapp!$I$3+J150*Prislapp!$J$3+K150*Prislapp!$K$3+M150*Prislapp!$M$3+N150*Prislapp!$N$3</f>
        <v>57006</v>
      </c>
      <c r="Q150" s="42">
        <f>C150*Prislapp!$C$5+D150*Prislapp!$D$5+E150*Prislapp!$E$5+F150*Prislapp!$F$5+G150*Prislapp!$G$5+H150*Prislapp!$H$5+I150*Prislapp!$I$5+J150*Prislapp!$J$5+K150*Prislapp!$K$5+L150*Prislapp!$L$5+M150*Prislapp!$M$5+N150*Prislapp!$N$5</f>
        <v>69000</v>
      </c>
      <c r="R150" s="9">
        <f>VLOOKUP(A150,'Ansvar kurs'!$A$2:$B$830,2,FALSE)</f>
        <v>1650</v>
      </c>
      <c r="S150" s="159"/>
      <c r="T150" s="159"/>
      <c r="U150" s="159"/>
      <c r="V150" s="159"/>
      <c r="W150" s="159"/>
      <c r="X150" s="159"/>
      <c r="Y150" s="159"/>
      <c r="Z150" s="159"/>
    </row>
    <row r="151" spans="1:26" x14ac:dyDescent="0.25">
      <c r="A151" s="266" t="s">
        <v>2060</v>
      </c>
      <c r="B151" s="31" t="s">
        <v>1642</v>
      </c>
      <c r="C151" s="31">
        <v>1</v>
      </c>
      <c r="O151" s="42">
        <f>C151*Prislapp!$C$2+D151*Prislapp!$D$2+E151*Prislapp!$E$2+F151*Prislapp!$F$2+G151*Prislapp!$G$2+H151*Prislapp!$H$2+I151*Prislapp!$I$2+J151*Prislapp!$J$2+K151*Prislapp!$K$2+L151*Prislapp!$L$2+M151*Prislapp!$M$2+N151*Prislapp!$N$2</f>
        <v>47957</v>
      </c>
      <c r="P151" s="42">
        <f>C151*Prislapp!$C$3+D151*Prislapp!$D$3+E151*Prislapp!$E$3+F151*Prislapp!$F$3+G151*Prislapp!$G$3+H151*Prislapp!$H$3+I151*Prislapp!$I$3+J151*Prislapp!$J$3+K151*Prislapp!$K$3+M151*Prislapp!$M$3+N151*Prislapp!$N$3</f>
        <v>57006</v>
      </c>
      <c r="Q151" s="42">
        <f>C151*Prislapp!$C$5+D151*Prislapp!$D$5+E151*Prislapp!$E$5+F151*Prislapp!$F$5+G151*Prislapp!$G$5+H151*Prislapp!$H$5+I151*Prislapp!$I$5+J151*Prislapp!$J$5+K151*Prislapp!$K$5+L151*Prislapp!$L$5+M151*Prislapp!$M$5+N151*Prislapp!$N$5</f>
        <v>69000</v>
      </c>
      <c r="R151" s="9">
        <f>VLOOKUP(A151,'Ansvar kurs'!$A$2:$B$830,2,FALSE)</f>
        <v>1650</v>
      </c>
      <c r="S151" s="159" t="s">
        <v>2097</v>
      </c>
      <c r="T151" s="159"/>
      <c r="U151" s="159"/>
      <c r="V151" s="159"/>
      <c r="W151" s="159"/>
      <c r="X151" s="159"/>
      <c r="Y151" s="159"/>
      <c r="Z151" s="159"/>
    </row>
    <row r="152" spans="1:26" x14ac:dyDescent="0.25">
      <c r="A152" s="31" t="s">
        <v>2200</v>
      </c>
      <c r="B152" s="31" t="s">
        <v>764</v>
      </c>
      <c r="C152" s="31">
        <v>1</v>
      </c>
      <c r="O152" s="42">
        <f>C152*Prislapp!$C$2+D152*Prislapp!$D$2+E152*Prislapp!$E$2+F152*Prislapp!$F$2+G152*Prislapp!$G$2+H152*Prislapp!$H$2+I152*Prislapp!$I$2+J152*Prislapp!$J$2+K152*Prislapp!$K$2+L152*Prislapp!$L$2+M152*Prislapp!$M$2+N152*Prislapp!$N$2</f>
        <v>47957</v>
      </c>
      <c r="P152" s="42">
        <f>C152*Prislapp!$C$3+D152*Prislapp!$D$3+E152*Prislapp!$E$3+F152*Prislapp!$F$3+G152*Prislapp!$G$3+H152*Prislapp!$H$3+I152*Prislapp!$I$3+J152*Prislapp!$J$3+K152*Prislapp!$K$3+M152*Prislapp!$M$3+N152*Prislapp!$N$3</f>
        <v>57006</v>
      </c>
      <c r="Q152" s="42">
        <f>C152*Prislapp!$C$5+D152*Prislapp!$D$5+E152*Prislapp!$E$5+F152*Prislapp!$F$5+G152*Prislapp!$G$5+H152*Prislapp!$H$5+I152*Prislapp!$I$5+J152*Prislapp!$J$5+K152*Prislapp!$K$5+L152*Prislapp!$L$5+M152*Prislapp!$M$5+N152*Prislapp!$N$5</f>
        <v>69000</v>
      </c>
      <c r="R152" s="9">
        <f>VLOOKUP(A152,'Ansvar kurs'!$A$2:$B$830,2,FALSE)</f>
        <v>1650</v>
      </c>
      <c r="S152" s="159"/>
      <c r="T152" s="159"/>
      <c r="U152" s="159"/>
      <c r="V152" s="159"/>
      <c r="W152" s="159"/>
      <c r="X152" s="159"/>
      <c r="Y152" s="159"/>
      <c r="Z152" s="159"/>
    </row>
    <row r="153" spans="1:26" x14ac:dyDescent="0.25">
      <c r="A153" s="266" t="s">
        <v>2119</v>
      </c>
      <c r="B153" s="31" t="s">
        <v>537</v>
      </c>
      <c r="C153" s="31">
        <v>1</v>
      </c>
      <c r="O153" s="42">
        <f>C153*Prislapp!$C$2+D153*Prislapp!$D$2+E153*Prislapp!$E$2+F153*Prislapp!$F$2+G153*Prislapp!$G$2+H153*Prislapp!$H$2+I153*Prislapp!$I$2+J153*Prislapp!$J$2+K153*Prislapp!$K$2+L153*Prislapp!$L$2+M153*Prislapp!$M$2+N153*Prislapp!$N$2</f>
        <v>47957</v>
      </c>
      <c r="P153" s="42">
        <f>C153*Prislapp!$C$3+D153*Prislapp!$D$3+E153*Prislapp!$E$3+F153*Prislapp!$F$3+G153*Prislapp!$G$3+H153*Prislapp!$H$3+I153*Prislapp!$I$3+J153*Prislapp!$J$3+K153*Prislapp!$K$3+M153*Prislapp!$M$3+N153*Prislapp!$N$3</f>
        <v>57006</v>
      </c>
      <c r="Q153" s="42">
        <f>C153*Prislapp!$C$5+D153*Prislapp!$D$5+E153*Prislapp!$E$5+F153*Prislapp!$F$5+G153*Prislapp!$G$5+H153*Prislapp!$H$5+I153*Prislapp!$I$5+J153*Prislapp!$J$5+K153*Prislapp!$K$5+L153*Prislapp!$L$5+M153*Prislapp!$M$5+N153*Prislapp!$N$5</f>
        <v>69000</v>
      </c>
      <c r="R153" s="9">
        <f>VLOOKUP(A153,'Ansvar kurs'!$A$2:$B$830,2,FALSE)</f>
        <v>1650</v>
      </c>
      <c r="S153" s="159"/>
      <c r="T153" s="159"/>
      <c r="U153" s="159"/>
      <c r="V153" s="159"/>
      <c r="W153" s="159"/>
      <c r="X153" s="159"/>
      <c r="Y153" s="159"/>
      <c r="Z153" s="159"/>
    </row>
    <row r="154" spans="1:26" x14ac:dyDescent="0.25">
      <c r="A154" s="266" t="s">
        <v>2120</v>
      </c>
      <c r="B154" s="31" t="s">
        <v>538</v>
      </c>
      <c r="C154" s="31">
        <v>1</v>
      </c>
      <c r="O154" s="42">
        <f>C154*Prislapp!$C$2+D154*Prislapp!$D$2+E154*Prislapp!$E$2+F154*Prislapp!$F$2+G154*Prislapp!$G$2+H154*Prislapp!$H$2+I154*Prislapp!$I$2+J154*Prislapp!$J$2+K154*Prislapp!$K$2+L154*Prislapp!$L$2+M154*Prislapp!$M$2+N154*Prislapp!$N$2</f>
        <v>47957</v>
      </c>
      <c r="P154" s="42">
        <f>C154*Prislapp!$C$3+D154*Prislapp!$D$3+E154*Prislapp!$E$3+F154*Prislapp!$F$3+G154*Prislapp!$G$3+H154*Prislapp!$H$3+I154*Prislapp!$I$3+J154*Prislapp!$J$3+K154*Prislapp!$K$3+M154*Prislapp!$M$3+N154*Prislapp!$N$3</f>
        <v>57006</v>
      </c>
      <c r="Q154" s="42">
        <f>C154*Prislapp!$C$5+D154*Prislapp!$D$5+E154*Prislapp!$E$5+F154*Prislapp!$F$5+G154*Prislapp!$G$5+H154*Prislapp!$H$5+I154*Prislapp!$I$5+J154*Prislapp!$J$5+K154*Prislapp!$K$5+L154*Prislapp!$L$5+M154*Prislapp!$M$5+N154*Prislapp!$N$5</f>
        <v>69000</v>
      </c>
      <c r="R154" s="9">
        <f>VLOOKUP(A154,'Ansvar kurs'!$A$2:$B$830,2,FALSE)</f>
        <v>1650</v>
      </c>
      <c r="S154" s="159"/>
      <c r="T154" s="159"/>
      <c r="U154" s="159"/>
      <c r="V154" s="159"/>
      <c r="W154" s="159"/>
      <c r="X154" s="159"/>
      <c r="Y154" s="159"/>
      <c r="Z154" s="159"/>
    </row>
    <row r="155" spans="1:26" x14ac:dyDescent="0.25">
      <c r="A155" s="62" t="s">
        <v>2109</v>
      </c>
      <c r="B155" s="31" t="s">
        <v>1428</v>
      </c>
      <c r="M155" s="31">
        <v>1</v>
      </c>
      <c r="O155" s="42">
        <f>C155*Prislapp!$C$2+D155*Prislapp!$D$2+E155*Prislapp!$E$2+F155*Prislapp!$F$2+G155*Prislapp!$G$2+H155*Prislapp!$H$2+I155*Prislapp!$I$2+J155*Prislapp!$J$2+K155*Prislapp!$K$2+L155*Prislapp!$L$2+M155*Prislapp!$M$2+N155*Prislapp!$N$2</f>
        <v>15846</v>
      </c>
      <c r="P155" s="42">
        <f>C155*Prislapp!$C$3+D155*Prislapp!$D$3+E155*Prislapp!$E$3+F155*Prislapp!$F$3+G155*Prislapp!$G$3+H155*Prislapp!$H$3+I155*Prislapp!$I$3+J155*Prislapp!$J$3+K155*Prislapp!$K$3+M155*Prislapp!$M$3+N155*Prislapp!$N$3</f>
        <v>26926</v>
      </c>
      <c r="Q155" s="42">
        <f>C155*Prislapp!$C$5+D155*Prislapp!$D$5+E155*Prislapp!$E$5+F155*Prislapp!$F$5+G155*Prislapp!$G$5+H155*Prislapp!$H$5+I155*Prislapp!$I$5+J155*Prislapp!$J$5+K155*Prislapp!$K$5+L155*Prislapp!$L$5+M155*Prislapp!$M$5+N155*Prislapp!$N$5</f>
        <v>17300</v>
      </c>
      <c r="R155" s="9">
        <f>VLOOKUP(A155,'Ansvar kurs'!$A$2:$B$830,2,FALSE)</f>
        <v>1650</v>
      </c>
    </row>
    <row r="156" spans="1:26" x14ac:dyDescent="0.25">
      <c r="A156" s="266" t="s">
        <v>2121</v>
      </c>
      <c r="B156" s="31" t="s">
        <v>2126</v>
      </c>
      <c r="K156" s="31">
        <v>1</v>
      </c>
      <c r="O156" s="42">
        <f>C156*Prislapp!$C$2+D156*Prislapp!$D$2+E156*Prislapp!$E$2+F156*Prislapp!$F$2+G156*Prislapp!$G$2+H156*Prislapp!$H$2+I156*Prislapp!$I$2+J156*Prislapp!$J$2+K156*Prislapp!$K$2+L156*Prislapp!$L$2+M156*Prislapp!$M$2+N156*Prislapp!$N$2</f>
        <v>21634</v>
      </c>
      <c r="P156" s="42">
        <f>C156*Prislapp!$C$3+D156*Prislapp!$D$3+E156*Prislapp!$E$3+F156*Prislapp!$F$3+G156*Prislapp!$G$3+H156*Prislapp!$H$3+I156*Prislapp!$I$3+J156*Prislapp!$J$3+K156*Prislapp!$K$3+M156*Prislapp!$M$3+N156*Prislapp!$N$3</f>
        <v>26986</v>
      </c>
      <c r="Q156" s="42">
        <f>C156*Prislapp!$C$5+D156*Prislapp!$D$5+E156*Prislapp!$E$5+F156*Prislapp!$F$5+G156*Prislapp!$G$5+H156*Prislapp!$H$5+I156*Prislapp!$I$5+J156*Prislapp!$J$5+K156*Prislapp!$K$5+L156*Prislapp!$L$5+M156*Prislapp!$M$5+N156*Prislapp!$N$5</f>
        <v>3400</v>
      </c>
      <c r="R156" s="9">
        <f>VLOOKUP(A156,'Ansvar kurs'!$A$2:$B$830,2,FALSE)</f>
        <v>1650</v>
      </c>
    </row>
    <row r="157" spans="1:26" x14ac:dyDescent="0.25">
      <c r="A157" s="266" t="s">
        <v>2122</v>
      </c>
      <c r="B157" s="31" t="s">
        <v>2127</v>
      </c>
      <c r="K157" s="31">
        <v>1</v>
      </c>
      <c r="O157" s="42">
        <f>C157*Prislapp!$C$2+D157*Prislapp!$D$2+E157*Prislapp!$E$2+F157*Prislapp!$F$2+G157*Prislapp!$G$2+H157*Prislapp!$H$2+I157*Prislapp!$I$2+J157*Prislapp!$J$2+K157*Prislapp!$K$2+L157*Prislapp!$L$2+M157*Prislapp!$M$2+N157*Prislapp!$N$2</f>
        <v>21634</v>
      </c>
      <c r="P157" s="42">
        <f>C157*Prislapp!$C$3+D157*Prislapp!$D$3+E157*Prislapp!$E$3+F157*Prislapp!$F$3+G157*Prislapp!$G$3+H157*Prislapp!$H$3+I157*Prislapp!$I$3+J157*Prislapp!$J$3+K157*Prislapp!$K$3+M157*Prislapp!$M$3+N157*Prislapp!$N$3</f>
        <v>26986</v>
      </c>
      <c r="Q157" s="42">
        <f>C157*Prislapp!$C$5+D157*Prislapp!$D$5+E157*Prislapp!$E$5+F157*Prislapp!$F$5+G157*Prislapp!$G$5+H157*Prislapp!$H$5+I157*Prislapp!$I$5+J157*Prislapp!$J$5+K157*Prislapp!$K$5+L157*Prislapp!$L$5+M157*Prislapp!$M$5+N157*Prislapp!$N$5</f>
        <v>3400</v>
      </c>
      <c r="R157" s="9">
        <f>VLOOKUP(A157,'Ansvar kurs'!$A$2:$B$830,2,FALSE)</f>
        <v>1650</v>
      </c>
    </row>
    <row r="158" spans="1:26" x14ac:dyDescent="0.25">
      <c r="A158" s="159" t="s">
        <v>2178</v>
      </c>
      <c r="B158" s="59" t="s">
        <v>2179</v>
      </c>
      <c r="D158" s="439">
        <v>1</v>
      </c>
      <c r="O158" s="42">
        <f>C158*Prislapp!$C$2+D158*Prislapp!$D$2+E158*Prislapp!$E$2+F158*Prislapp!$F$2+G158*Prislapp!$G$2+H158*Prislapp!$H$2+I158*Prislapp!$I$2+J158*Prislapp!$J$2+K158*Prislapp!$K$2+L158*Prislapp!$L$2+M158*Prislapp!$M$2+N158*Prislapp!$N$2</f>
        <v>18405</v>
      </c>
      <c r="P158" s="42">
        <f>C158*Prislapp!$C$3+D158*Prislapp!$D$3+E158*Prislapp!$E$3+F158*Prislapp!$F$3+G158*Prislapp!$G$3+H158*Prislapp!$H$3+I158*Prislapp!$I$3+J158*Prislapp!$J$3+K158*Prislapp!$K$3+M158*Prislapp!$M$3+N158*Prislapp!$N$3</f>
        <v>15773</v>
      </c>
      <c r="Q158" s="42">
        <f>C158*Prislapp!$C$5+D158*Prislapp!$D$5+E158*Prislapp!$E$5+F158*Prislapp!$F$5+G158*Prislapp!$G$5+H158*Prislapp!$H$5+I158*Prislapp!$I$5+J158*Prislapp!$J$5+K158*Prislapp!$K$5+L158*Prislapp!$L$5+M158*Prislapp!$M$5+N158*Prislapp!$N$5</f>
        <v>5800</v>
      </c>
      <c r="R158" s="9">
        <f>VLOOKUP(A158,'Ansvar kurs'!$A$2:$B$830,2,FALSE)</f>
        <v>1650</v>
      </c>
      <c r="S158" s="186" t="s">
        <v>2073</v>
      </c>
      <c r="T158" s="159"/>
      <c r="U158" s="159"/>
      <c r="V158" s="159"/>
      <c r="W158" s="159"/>
      <c r="X158" s="159"/>
      <c r="Y158" s="159"/>
      <c r="Z158" s="159"/>
    </row>
    <row r="159" spans="1:26" x14ac:dyDescent="0.25">
      <c r="A159" s="59" t="s">
        <v>2157</v>
      </c>
      <c r="B159" s="31" t="s">
        <v>539</v>
      </c>
      <c r="C159" s="31">
        <v>1</v>
      </c>
      <c r="O159" s="42">
        <f>C159*Prislapp!$C$2+D159*Prislapp!$D$2+E159*Prislapp!$E$2+F159*Prislapp!$F$2+G159*Prislapp!$G$2+H159*Prislapp!$H$2+I159*Prislapp!$I$2+J159*Prislapp!$J$2+K159*Prislapp!$K$2+L159*Prislapp!$L$2+M159*Prislapp!$M$2+N159*Prislapp!$N$2</f>
        <v>47957</v>
      </c>
      <c r="P159" s="42">
        <f>C159*Prislapp!$C$3+D159*Prislapp!$D$3+E159*Prislapp!$E$3+F159*Prislapp!$F$3+G159*Prislapp!$G$3+H159*Prislapp!$H$3+I159*Prislapp!$I$3+J159*Prislapp!$J$3+K159*Prislapp!$K$3+M159*Prislapp!$M$3+N159*Prislapp!$N$3</f>
        <v>57006</v>
      </c>
      <c r="Q159" s="42">
        <f>C159*Prislapp!$C$5+D159*Prislapp!$D$5+E159*Prislapp!$E$5+F159*Prislapp!$F$5+G159*Prislapp!$G$5+H159*Prislapp!$H$5+I159*Prislapp!$I$5+J159*Prislapp!$J$5+K159*Prislapp!$K$5+L159*Prislapp!$L$5+M159*Prislapp!$M$5+N159*Prislapp!$N$5</f>
        <v>69000</v>
      </c>
      <c r="R159" s="9">
        <f>VLOOKUP(A159,'Ansvar kurs'!$A$2:$B$830,2,FALSE)</f>
        <v>1650</v>
      </c>
      <c r="S159" s="159"/>
      <c r="T159" s="159"/>
      <c r="U159" s="159"/>
      <c r="V159" s="159"/>
      <c r="W159" s="159"/>
      <c r="X159" s="159"/>
      <c r="Y159" s="159"/>
      <c r="Z159" s="159"/>
    </row>
    <row r="160" spans="1:26" x14ac:dyDescent="0.25">
      <c r="A160" s="18" t="s">
        <v>2201</v>
      </c>
      <c r="B160" s="62" t="s">
        <v>1340</v>
      </c>
      <c r="C160" s="31">
        <v>1</v>
      </c>
      <c r="O160" s="42">
        <f>C160*Prislapp!$C$2+D160*Prislapp!$D$2+E160*Prislapp!$E$2+F160*Prislapp!$F$2+G160*Prislapp!$G$2+H160*Prislapp!$H$2+I160*Prislapp!$I$2+J160*Prislapp!$J$2+K160*Prislapp!$K$2+L160*Prislapp!$L$2+M160*Prislapp!$M$2+N160*Prislapp!$N$2</f>
        <v>47957</v>
      </c>
      <c r="P160" s="42">
        <f>C160*Prislapp!$C$3+D160*Prislapp!$D$3+E160*Prislapp!$E$3+F160*Prislapp!$F$3+G160*Prislapp!$G$3+H160*Prislapp!$H$3+I160*Prislapp!$I$3+J160*Prislapp!$J$3+K160*Prislapp!$K$3+M160*Prislapp!$M$3+N160*Prislapp!$N$3</f>
        <v>57006</v>
      </c>
      <c r="Q160" s="42">
        <f>C160*Prislapp!$C$5+D160*Prislapp!$D$5+E160*Prislapp!$E$5+F160*Prislapp!$F$5+G160*Prislapp!$G$5+H160*Prislapp!$H$5+I160*Prislapp!$I$5+J160*Prislapp!$J$5+K160*Prislapp!$K$5+L160*Prislapp!$L$5+M160*Prislapp!$M$5+N160*Prislapp!$N$5</f>
        <v>69000</v>
      </c>
      <c r="R160" s="9">
        <f>VLOOKUP(A160,'Ansvar kurs'!$A$2:$B$830,2,FALSE)</f>
        <v>1650</v>
      </c>
      <c r="S160" s="159"/>
      <c r="T160" s="159"/>
      <c r="U160" s="159"/>
      <c r="V160" s="159"/>
      <c r="W160" s="159"/>
      <c r="X160" s="159"/>
      <c r="Y160" s="159"/>
      <c r="Z160" s="159"/>
    </row>
    <row r="161" spans="1:26" x14ac:dyDescent="0.25">
      <c r="A161" s="159" t="s">
        <v>2183</v>
      </c>
      <c r="B161" s="31" t="s">
        <v>2085</v>
      </c>
      <c r="D161" s="439">
        <v>1</v>
      </c>
      <c r="O161" s="42">
        <f>C161*Prislapp!$C$2+D161*Prislapp!$D$2+E161*Prislapp!$E$2+F161*Prislapp!$F$2+G161*Prislapp!$G$2+H161*Prislapp!$H$2+I161*Prislapp!$I$2+J161*Prislapp!$J$2+K161*Prislapp!$K$2+L161*Prislapp!$L$2+M161*Prislapp!$M$2+N161*Prislapp!$N$2</f>
        <v>18405</v>
      </c>
      <c r="P161" s="42">
        <f>C161*Prislapp!$C$3+D161*Prislapp!$D$3+E161*Prislapp!$E$3+F161*Prislapp!$F$3+G161*Prislapp!$G$3+H161*Prislapp!$H$3+I161*Prislapp!$I$3+J161*Prislapp!$J$3+K161*Prislapp!$K$3+M161*Prislapp!$M$3+N161*Prislapp!$N$3</f>
        <v>15773</v>
      </c>
      <c r="Q161" s="42">
        <f>C161*Prislapp!$C$5+D161*Prislapp!$D$5+E161*Prislapp!$E$5+F161*Prislapp!$F$5+G161*Prislapp!$G$5+H161*Prislapp!$H$5+I161*Prislapp!$I$5+J161*Prislapp!$J$5+K161*Prislapp!$K$5+L161*Prislapp!$L$5+M161*Prislapp!$M$5+N161*Prislapp!$N$5</f>
        <v>5800</v>
      </c>
      <c r="R161" s="9">
        <f>VLOOKUP(A161,'Ansvar kurs'!$A$2:$B$830,2,FALSE)</f>
        <v>1650</v>
      </c>
      <c r="S161" s="186" t="s">
        <v>2073</v>
      </c>
      <c r="T161" s="159"/>
      <c r="U161" s="159"/>
      <c r="V161" s="159"/>
      <c r="W161" s="159"/>
      <c r="X161" s="159"/>
      <c r="Y161" s="159"/>
      <c r="Z161" s="159"/>
    </row>
    <row r="162" spans="1:26" x14ac:dyDescent="0.25">
      <c r="A162" s="295" t="s">
        <v>2105</v>
      </c>
      <c r="B162" s="295" t="s">
        <v>2038</v>
      </c>
      <c r="C162" s="295">
        <v>1</v>
      </c>
      <c r="D162" s="295">
        <v>0</v>
      </c>
      <c r="E162" s="295"/>
      <c r="F162" s="295"/>
      <c r="G162" s="295"/>
      <c r="H162" s="295"/>
      <c r="I162" s="295"/>
      <c r="J162" s="295"/>
      <c r="K162" s="295"/>
      <c r="L162" s="295"/>
      <c r="M162" s="295"/>
      <c r="N162" s="295"/>
      <c r="O162" s="414">
        <f>C162*Prislapp!$C$2+D162*Prislapp!$D$2+E162*Prislapp!$E$2+F162*Prislapp!$F$2+G162*Prislapp!$G$2+H162*Prislapp!$H$2+I162*Prislapp!$I$2+J162*Prislapp!$J$2+K162*Prislapp!$K$2+L162*Prislapp!$L$2+M162*Prislapp!$M$2+N162*Prislapp!$N$2</f>
        <v>47957</v>
      </c>
      <c r="P162" s="414">
        <f>C162*Prislapp!$C$3+D162*Prislapp!$D$3+E162*Prislapp!$E$3+F162*Prislapp!$F$3+G162*Prislapp!$G$3+H162*Prislapp!$H$3+I162*Prislapp!$I$3+J162*Prislapp!$J$3+K162*Prislapp!$K$3+M162*Prislapp!$M$3+N162*Prislapp!$N$3</f>
        <v>57006</v>
      </c>
      <c r="Q162" s="414">
        <f>C162*Prislapp!$C$5+D162*Prislapp!$D$5+E162*Prislapp!$E$5+F162*Prislapp!$F$5+G162*Prislapp!$G$5+H162*Prislapp!$H$5+I162*Prislapp!$I$5+J162*Prislapp!$J$5+K162*Prislapp!$K$5+L162*Prislapp!$L$5+M162*Prislapp!$M$5+N162*Prislapp!$N$5</f>
        <v>69000</v>
      </c>
      <c r="R162" s="415">
        <f>VLOOKUP(A162,'Ansvar kurs'!$A$2:$B$830,2,FALSE)</f>
        <v>1650</v>
      </c>
      <c r="S162" s="337" t="s">
        <v>1641</v>
      </c>
      <c r="T162" s="159"/>
      <c r="U162" s="159"/>
      <c r="V162" s="159"/>
      <c r="W162" s="159"/>
      <c r="X162" s="159"/>
      <c r="Y162" s="159"/>
      <c r="Z162" s="159"/>
    </row>
    <row r="163" spans="1:26" x14ac:dyDescent="0.25">
      <c r="A163" s="159" t="s">
        <v>2182</v>
      </c>
      <c r="B163" s="31" t="s">
        <v>2084</v>
      </c>
      <c r="C163" s="295">
        <v>1</v>
      </c>
      <c r="O163" s="42">
        <f>C163*Prislapp!$C$2+D163*Prislapp!$D$2+E163*Prislapp!$E$2+F163*Prislapp!$F$2+G163*Prislapp!$G$2+H163*Prislapp!$H$2+I163*Prislapp!$I$2+J163*Prislapp!$J$2+K163*Prislapp!$K$2+L163*Prislapp!$L$2+M163*Prislapp!$M$2+N163*Prislapp!$N$2</f>
        <v>47957</v>
      </c>
      <c r="P163" s="42">
        <f>C163*Prislapp!$C$3+D163*Prislapp!$D$3+E163*Prislapp!$E$3+F163*Prislapp!$F$3+G163*Prislapp!$G$3+H163*Prislapp!$H$3+I163*Prislapp!$I$3+J163*Prislapp!$J$3+K163*Prislapp!$K$3+M163*Prislapp!$M$3+N163*Prislapp!$N$3</f>
        <v>57006</v>
      </c>
      <c r="Q163" s="42">
        <f>C163*Prislapp!$C$5+D163*Prislapp!$D$5+E163*Prislapp!$E$5+F163*Prislapp!$F$5+G163*Prislapp!$G$5+H163*Prislapp!$H$5+I163*Prislapp!$I$5+J163*Prislapp!$J$5+K163*Prislapp!$K$5+L163*Prislapp!$L$5+M163*Prislapp!$M$5+N163*Prislapp!$N$5</f>
        <v>69000</v>
      </c>
      <c r="R163" s="9">
        <f>VLOOKUP(A163,'Ansvar kurs'!$A$2:$B$830,2,FALSE)</f>
        <v>1650</v>
      </c>
      <c r="S163" s="337" t="s">
        <v>1641</v>
      </c>
      <c r="T163" s="159"/>
      <c r="U163" s="159"/>
      <c r="V163" s="159"/>
      <c r="W163" s="159"/>
      <c r="X163" s="159"/>
      <c r="Y163" s="159"/>
      <c r="Z163" s="159"/>
    </row>
    <row r="164" spans="1:26" x14ac:dyDescent="0.25">
      <c r="A164" s="159" t="s">
        <v>2196</v>
      </c>
      <c r="B164" s="31" t="s">
        <v>609</v>
      </c>
      <c r="C164" s="295">
        <v>1</v>
      </c>
      <c r="O164" s="42">
        <f>C164*Prislapp!$C$2+D164*Prislapp!$D$2+E164*Prislapp!$E$2+F164*Prislapp!$F$2+G164*Prislapp!$G$2+H164*Prislapp!$H$2+I164*Prislapp!$I$2+J164*Prislapp!$J$2+K164*Prislapp!$K$2+L164*Prislapp!$L$2+M164*Prislapp!$M$2+N164*Prislapp!$N$2</f>
        <v>47957</v>
      </c>
      <c r="P164" s="42">
        <f>C164*Prislapp!$C$3+D164*Prislapp!$D$3+E164*Prislapp!$E$3+F164*Prislapp!$F$3+G164*Prislapp!$G$3+H164*Prislapp!$H$3+I164*Prislapp!$I$3+J164*Prislapp!$J$3+K164*Prislapp!$K$3+M164*Prislapp!$M$3+N164*Prislapp!$N$3</f>
        <v>57006</v>
      </c>
      <c r="Q164" s="42">
        <f>C164*Prislapp!$C$5+D164*Prislapp!$D$5+E164*Prislapp!$E$5+F164*Prislapp!$F$5+G164*Prislapp!$G$5+H164*Prislapp!$H$5+I164*Prislapp!$I$5+J164*Prislapp!$J$5+K164*Prislapp!$K$5+L164*Prislapp!$L$5+M164*Prislapp!$M$5+N164*Prislapp!$N$5</f>
        <v>69000</v>
      </c>
      <c r="R164" s="9">
        <f>VLOOKUP(A164,'Ansvar kurs'!$A$2:$B$830,2,FALSE)</f>
        <v>1650</v>
      </c>
      <c r="S164" s="337" t="s">
        <v>1641</v>
      </c>
      <c r="T164" s="159"/>
      <c r="U164" s="159"/>
      <c r="V164" s="159"/>
      <c r="W164" s="159"/>
      <c r="X164" s="159"/>
      <c r="Y164" s="159"/>
      <c r="Z164" s="159"/>
    </row>
    <row r="165" spans="1:26" x14ac:dyDescent="0.25">
      <c r="A165" s="412" t="s">
        <v>1267</v>
      </c>
      <c r="B165" s="62" t="s">
        <v>1279</v>
      </c>
      <c r="L165" s="31">
        <v>1</v>
      </c>
      <c r="O165" s="42">
        <f>C165*Prislapp!$C$2+D165*Prislapp!$D$2+E165*Prislapp!$E$2+F165*Prislapp!$F$2+G165*Prislapp!$G$2+H165*Prislapp!$H$2+I165*Prislapp!$I$2+J165*Prislapp!$J$2+K165*Prislapp!$K$2+L165*Prislapp!$L$2+M165*Prislapp!$M$2+N165*Prislapp!$N$2</f>
        <v>18505</v>
      </c>
      <c r="P165" s="42">
        <f>C165*Prislapp!$C$3+D165*Prislapp!$D$3+E165*Prislapp!$E$3+F165*Prislapp!$F$3+G165*Prislapp!$G$3+H165*Prislapp!$H$3+I165*Prislapp!$I$3+J165*Prislapp!$J$3+K165*Prislapp!$K$3+M165*Prislapp!$M$3+N165*Prislapp!$N$3</f>
        <v>0</v>
      </c>
      <c r="Q165" s="42">
        <f>C165*Prislapp!$C$5+D165*Prislapp!$D$5+E165*Prislapp!$E$5+F165*Prislapp!$F$5+G165*Prislapp!$G$5+H165*Prislapp!$H$5+I165*Prislapp!$I$5+J165*Prislapp!$J$5+K165*Prislapp!$K$5+L165*Prislapp!$L$5+M165*Prislapp!$M$5+N165*Prislapp!$N$5</f>
        <v>5700</v>
      </c>
      <c r="R165" s="9">
        <f>VLOOKUP(A165,'Ansvar kurs'!$A$2:$B$830,2,FALSE)</f>
        <v>6000</v>
      </c>
      <c r="S165" s="159"/>
      <c r="T165" s="159"/>
      <c r="U165" s="159"/>
      <c r="V165" s="159"/>
      <c r="W165" s="159"/>
      <c r="X165" s="159"/>
      <c r="Y165" s="159"/>
      <c r="Z165" s="159"/>
    </row>
    <row r="166" spans="1:26" x14ac:dyDescent="0.25">
      <c r="A166" s="266" t="s">
        <v>1797</v>
      </c>
      <c r="B166" s="62" t="s">
        <v>1807</v>
      </c>
      <c r="L166" s="31">
        <v>1</v>
      </c>
      <c r="O166" s="42">
        <f>C166*Prislapp!$C$2+D166*Prislapp!$D$2+E166*Prislapp!$E$2+F166*Prislapp!$F$2+G166*Prislapp!$G$2+H166*Prislapp!$H$2+I166*Prislapp!$I$2+J166*Prislapp!$J$2+K166*Prislapp!$K$2+L166*Prislapp!$L$2+M166*Prislapp!$M$2+N166*Prislapp!$N$2</f>
        <v>18505</v>
      </c>
      <c r="P166" s="42">
        <f>C166*Prislapp!$C$3+D166*Prislapp!$D$3+E166*Prislapp!$E$3+F166*Prislapp!$F$3+G166*Prislapp!$G$3+H166*Prislapp!$H$3+I166*Prislapp!$I$3+J166*Prislapp!$J$3+K166*Prislapp!$K$3+M166*Prislapp!$M$3+N166*Prislapp!$N$3</f>
        <v>0</v>
      </c>
      <c r="Q166" s="42">
        <f>C166*Prislapp!$C$5+D166*Prislapp!$D$5+E166*Prislapp!$E$5+F166*Prislapp!$F$5+G166*Prislapp!$G$5+H166*Prislapp!$H$5+I166*Prislapp!$I$5+J166*Prislapp!$J$5+K166*Prislapp!$K$5+L166*Prislapp!$L$5+M166*Prislapp!$M$5+N166*Prislapp!$N$5</f>
        <v>5700</v>
      </c>
      <c r="R166" s="9">
        <f>VLOOKUP(A166,'Ansvar kurs'!$A$2:$B$830,2,FALSE)</f>
        <v>6000</v>
      </c>
      <c r="S166" s="159"/>
      <c r="T166" s="159"/>
      <c r="U166" s="159"/>
      <c r="V166" s="159"/>
      <c r="W166" s="159"/>
      <c r="X166" s="159"/>
      <c r="Y166" s="159"/>
      <c r="Z166" s="159"/>
    </row>
    <row r="167" spans="1:26" x14ac:dyDescent="0.25">
      <c r="A167" s="265" t="s">
        <v>523</v>
      </c>
      <c r="B167" s="31" t="s">
        <v>330</v>
      </c>
      <c r="F167" s="31">
        <v>1</v>
      </c>
      <c r="O167" s="42">
        <f>C167*Prislapp!$C$2+D167*Prislapp!$D$2+E167*Prislapp!$E$2+F167*Prislapp!$F$2+G167*Prislapp!$G$2+H167*Prislapp!$H$2+I167*Prislapp!$I$2+J167*Prislapp!$J$2+K167*Prislapp!$K$2+L167*Prislapp!$L$2+M167*Prislapp!$M$2+N167*Prislapp!$N$2</f>
        <v>23641</v>
      </c>
      <c r="P167" s="42">
        <f>C167*Prislapp!$C$3+D167*Prislapp!$D$3+E167*Prislapp!$E$3+F167*Prislapp!$F$3+G167*Prislapp!$G$3+H167*Prislapp!$H$3+I167*Prislapp!$I$3+J167*Prislapp!$J$3+K167*Prislapp!$K$3+M167*Prislapp!$M$3+N167*Prislapp!$N$3</f>
        <v>28786</v>
      </c>
      <c r="Q167" s="42">
        <f>C167*Prislapp!$C$5+D167*Prislapp!$D$5+E167*Prislapp!$E$5+F167*Prislapp!$F$5+G167*Prislapp!$G$5+H167*Prislapp!$H$5+I167*Prislapp!$I$5+J167*Prislapp!$J$5+K167*Prislapp!$K$5+L167*Prislapp!$L$5+M167*Prislapp!$M$5+N167*Prislapp!$N$5</f>
        <v>5800</v>
      </c>
      <c r="R167" s="9">
        <f>VLOOKUP(A167,'Ansvar kurs'!$A$2:$B$830,2,FALSE)</f>
        <v>6000</v>
      </c>
      <c r="S167" s="159"/>
      <c r="T167" s="159"/>
      <c r="U167" s="159"/>
      <c r="V167" s="159"/>
      <c r="W167" s="159"/>
      <c r="X167" s="159"/>
      <c r="Y167" s="159"/>
      <c r="Z167" s="159"/>
    </row>
    <row r="168" spans="1:26" x14ac:dyDescent="0.25">
      <c r="A168" s="266" t="s">
        <v>865</v>
      </c>
      <c r="B168" s="31" t="s">
        <v>1166</v>
      </c>
      <c r="D168" s="31">
        <v>0.5</v>
      </c>
      <c r="K168" s="31">
        <v>0.5</v>
      </c>
      <c r="O168" s="42">
        <f>C168*Prislapp!$C$2+D168*Prislapp!$D$2+E168*Prislapp!$E$2+F168*Prislapp!$F$2+G168*Prislapp!$G$2+H168*Prislapp!$H$2+I168*Prislapp!$I$2+J168*Prislapp!$J$2+K168*Prislapp!$K$2+L168*Prislapp!$L$2+M168*Prislapp!$M$2+N168*Prislapp!$N$2</f>
        <v>20019.5</v>
      </c>
      <c r="P168" s="42">
        <f>C168*Prislapp!$C$3+D168*Prislapp!$D$3+E168*Prislapp!$E$3+F168*Prislapp!$F$3+G168*Prislapp!$G$3+H168*Prislapp!$H$3+I168*Prislapp!$I$3+J168*Prislapp!$J$3+K168*Prislapp!$K$3+M168*Prislapp!$M$3+N168*Prislapp!$N$3</f>
        <v>21379.5</v>
      </c>
      <c r="Q168" s="42">
        <f>C168*Prislapp!$C$5+D168*Prislapp!$D$5+E168*Prislapp!$E$5+F168*Prislapp!$F$5+G168*Prislapp!$G$5+H168*Prislapp!$H$5+I168*Prislapp!$I$5+J168*Prislapp!$J$5+K168*Prislapp!$K$5+L168*Prislapp!$L$5+M168*Prislapp!$M$5+N168*Prislapp!$N$5</f>
        <v>4600</v>
      </c>
      <c r="R168" s="9">
        <f>VLOOKUP(A168,'Ansvar kurs'!$A$2:$B$830,2,FALSE)</f>
        <v>1620</v>
      </c>
      <c r="S168" s="159"/>
      <c r="T168" s="159"/>
      <c r="U168" s="159"/>
      <c r="V168" s="159"/>
      <c r="W168" s="159"/>
      <c r="X168" s="159"/>
      <c r="Y168" s="159"/>
      <c r="Z168" s="159"/>
    </row>
    <row r="169" spans="1:26" x14ac:dyDescent="0.25">
      <c r="A169" s="31" t="s">
        <v>88</v>
      </c>
      <c r="B169" s="31" t="s">
        <v>831</v>
      </c>
      <c r="D169" s="31">
        <v>0.5</v>
      </c>
      <c r="K169" s="31">
        <v>0.5</v>
      </c>
      <c r="O169" s="42">
        <f>C169*Prislapp!$C$2+D169*Prislapp!$D$2+E169*Prislapp!$E$2+F169*Prislapp!$F$2+G169*Prislapp!$G$2+H169*Prislapp!$H$2+I169*Prislapp!$I$2+J169*Prislapp!$J$2+K169*Prislapp!$K$2+L169*Prislapp!$L$2+M169*Prislapp!$M$2+N169*Prislapp!$N$2</f>
        <v>20019.5</v>
      </c>
      <c r="P169" s="42">
        <f>C169*Prislapp!$C$3+D169*Prislapp!$D$3+E169*Prislapp!$E$3+F169*Prislapp!$F$3+G169*Prislapp!$G$3+H169*Prislapp!$H$3+I169*Prislapp!$I$3+J169*Prislapp!$J$3+K169*Prislapp!$K$3+M169*Prislapp!$M$3+N169*Prislapp!$N$3</f>
        <v>21379.5</v>
      </c>
      <c r="Q169" s="42">
        <f>C169*Prislapp!$C$5+D169*Prislapp!$D$5+E169*Prislapp!$E$5+F169*Prislapp!$F$5+G169*Prislapp!$G$5+H169*Prislapp!$H$5+I169*Prislapp!$I$5+J169*Prislapp!$J$5+K169*Prislapp!$K$5+L169*Prislapp!$L$5+M169*Prislapp!$M$5+N169*Prislapp!$N$5</f>
        <v>4600</v>
      </c>
      <c r="R169" s="9">
        <f>VLOOKUP(A169,'Ansvar kurs'!$A$2:$B$830,2,FALSE)</f>
        <v>1620</v>
      </c>
      <c r="S169" s="159"/>
      <c r="T169" s="159"/>
      <c r="U169" s="159"/>
      <c r="V169" s="159"/>
      <c r="W169" s="159"/>
      <c r="X169" s="159"/>
      <c r="Y169" s="159"/>
      <c r="Z169" s="159"/>
    </row>
    <row r="170" spans="1:26" x14ac:dyDescent="0.25">
      <c r="A170" s="31" t="s">
        <v>144</v>
      </c>
      <c r="B170" s="31" t="s">
        <v>673</v>
      </c>
      <c r="D170" s="31">
        <v>0.5</v>
      </c>
      <c r="K170" s="31">
        <v>0.5</v>
      </c>
      <c r="O170" s="42">
        <f>C170*Prislapp!$C$2+D170*Prislapp!$D$2+E170*Prislapp!$E$2+F170*Prislapp!$F$2+G170*Prislapp!$G$2+H170*Prislapp!$H$2+I170*Prislapp!$I$2+J170*Prislapp!$J$2+K170*Prislapp!$K$2+L170*Prislapp!$L$2+M170*Prislapp!$M$2+N170*Prislapp!$N$2</f>
        <v>20019.5</v>
      </c>
      <c r="P170" s="42">
        <f>C170*Prislapp!$C$3+D170*Prislapp!$D$3+E170*Prislapp!$E$3+F170*Prislapp!$F$3+G170*Prislapp!$G$3+H170*Prislapp!$H$3+I170*Prislapp!$I$3+J170*Prislapp!$J$3+K170*Prislapp!$K$3+M170*Prislapp!$M$3+N170*Prislapp!$N$3</f>
        <v>21379.5</v>
      </c>
      <c r="Q170" s="42">
        <f>C170*Prislapp!$C$5+D170*Prislapp!$D$5+E170*Prislapp!$E$5+F170*Prislapp!$F$5+G170*Prislapp!$G$5+H170*Prislapp!$H$5+I170*Prislapp!$I$5+J170*Prislapp!$J$5+K170*Prislapp!$K$5+L170*Prislapp!$L$5+M170*Prislapp!$M$5+N170*Prislapp!$N$5</f>
        <v>4600</v>
      </c>
      <c r="R170" s="9">
        <f>VLOOKUP(A170,'Ansvar kurs'!$A$2:$B$830,2,FALSE)</f>
        <v>1620</v>
      </c>
      <c r="S170" s="159"/>
      <c r="T170" s="159"/>
      <c r="U170" s="159"/>
      <c r="V170" s="159"/>
      <c r="W170" s="159"/>
      <c r="X170" s="159"/>
      <c r="Y170" s="159"/>
      <c r="Z170" s="159"/>
    </row>
    <row r="171" spans="1:26" x14ac:dyDescent="0.25">
      <c r="A171" s="266" t="s">
        <v>866</v>
      </c>
      <c r="B171" s="31" t="s">
        <v>1167</v>
      </c>
      <c r="D171" s="31">
        <v>1</v>
      </c>
      <c r="O171" s="42">
        <f>C171*Prislapp!$C$2+D171*Prislapp!$D$2+E171*Prislapp!$E$2+F171*Prislapp!$F$2+G171*Prislapp!$G$2+H171*Prislapp!$H$2+I171*Prislapp!$I$2+J171*Prislapp!$J$2+K171*Prislapp!$K$2+L171*Prislapp!$L$2+M171*Prislapp!$M$2+N171*Prislapp!$N$2</f>
        <v>18405</v>
      </c>
      <c r="P171" s="42">
        <f>C171*Prislapp!$C$3+D171*Prislapp!$D$3+E171*Prislapp!$E$3+F171*Prislapp!$F$3+G171*Prislapp!$G$3+H171*Prislapp!$H$3+I171*Prislapp!$I$3+J171*Prislapp!$J$3+K171*Prislapp!$K$3+M171*Prislapp!$M$3+N171*Prislapp!$N$3</f>
        <v>15773</v>
      </c>
      <c r="Q171" s="42">
        <f>C171*Prislapp!$C$5+D171*Prislapp!$D$5+E171*Prislapp!$E$5+F171*Prislapp!$F$5+G171*Prislapp!$G$5+H171*Prislapp!$H$5+I171*Prislapp!$I$5+J171*Prislapp!$J$5+K171*Prislapp!$K$5+L171*Prislapp!$L$5+M171*Prislapp!$M$5+N171*Prislapp!$N$5</f>
        <v>5800</v>
      </c>
      <c r="R171" s="9">
        <f>VLOOKUP(A171,'Ansvar kurs'!$A$2:$B$830,2,FALSE)</f>
        <v>1620</v>
      </c>
      <c r="S171" s="159"/>
      <c r="T171" s="159"/>
      <c r="U171" s="159"/>
      <c r="V171" s="159"/>
      <c r="W171" s="159"/>
      <c r="X171" s="159"/>
      <c r="Y171" s="159"/>
      <c r="Z171" s="159"/>
    </row>
    <row r="172" spans="1:26" x14ac:dyDescent="0.25">
      <c r="A172" s="266" t="s">
        <v>1033</v>
      </c>
      <c r="B172" s="31" t="s">
        <v>1067</v>
      </c>
      <c r="D172" s="31">
        <v>1</v>
      </c>
      <c r="O172" s="42">
        <f>C172*Prislapp!$C$2+D172*Prislapp!$D$2+E172*Prislapp!$E$2+F172*Prislapp!$F$2+G172*Prislapp!$G$2+H172*Prislapp!$H$2+I172*Prislapp!$I$2+J172*Prislapp!$J$2+K172*Prislapp!$K$2+L172*Prislapp!$L$2+M172*Prislapp!$M$2+N172*Prislapp!$N$2</f>
        <v>18405</v>
      </c>
      <c r="P172" s="42">
        <f>C172*Prislapp!$C$3+D172*Prislapp!$D$3+E172*Prislapp!$E$3+F172*Prislapp!$F$3+G172*Prislapp!$G$3+H172*Prislapp!$H$3+I172*Prislapp!$I$3+J172*Prislapp!$J$3+K172*Prislapp!$K$3+M172*Prislapp!$M$3+N172*Prislapp!$N$3</f>
        <v>15773</v>
      </c>
      <c r="Q172" s="42">
        <f>C172*Prislapp!$C$5+D172*Prislapp!$D$5+E172*Prislapp!$E$5+F172*Prislapp!$F$5+G172*Prislapp!$G$5+H172*Prislapp!$H$5+I172*Prislapp!$I$5+J172*Prislapp!$J$5+K172*Prislapp!$K$5+L172*Prislapp!$L$5+M172*Prislapp!$M$5+N172*Prislapp!$N$5</f>
        <v>5800</v>
      </c>
      <c r="R172" s="9">
        <f>VLOOKUP(A172,'Ansvar kurs'!$A$2:$B$830,2,FALSE)</f>
        <v>1620</v>
      </c>
      <c r="S172" s="159"/>
      <c r="T172" s="159"/>
      <c r="U172" s="159"/>
      <c r="V172" s="159"/>
      <c r="W172" s="159"/>
      <c r="X172" s="159"/>
      <c r="Y172" s="159"/>
      <c r="Z172" s="159"/>
    </row>
    <row r="173" spans="1:26" x14ac:dyDescent="0.25">
      <c r="A173" s="266" t="s">
        <v>1902</v>
      </c>
      <c r="B173" s="31" t="s">
        <v>1903</v>
      </c>
      <c r="K173" s="31">
        <v>1</v>
      </c>
      <c r="O173" s="42">
        <f>C173*Prislapp!$C$2+D173*Prislapp!$D$2+E173*Prislapp!$E$2+F173*Prislapp!$F$2+G173*Prislapp!$G$2+H173*Prislapp!$H$2+I173*Prislapp!$I$2+J173*Prislapp!$J$2+K173*Prislapp!$K$2+L173*Prislapp!$L$2+M173*Prislapp!$M$2+N173*Prislapp!$N$2</f>
        <v>21634</v>
      </c>
      <c r="P173" s="42">
        <f>C173*Prislapp!$C$3+D173*Prislapp!$D$3+E173*Prislapp!$E$3+F173*Prislapp!$F$3+G173*Prislapp!$G$3+H173*Prislapp!$H$3+I173*Prislapp!$I$3+J173*Prislapp!$J$3+K173*Prislapp!$K$3+M173*Prislapp!$M$3+N173*Prislapp!$N$3</f>
        <v>26986</v>
      </c>
      <c r="Q173" s="42">
        <f>C173*Prislapp!$C$5+D173*Prislapp!$D$5+E173*Prislapp!$E$5+F173*Prislapp!$F$5+G173*Prislapp!$G$5+H173*Prislapp!$H$5+I173*Prislapp!$I$5+J173*Prislapp!$J$5+K173*Prislapp!$K$5+L173*Prislapp!$L$5+M173*Prislapp!$M$5+N173*Prislapp!$N$5</f>
        <v>3400</v>
      </c>
      <c r="R173" s="9">
        <f>VLOOKUP(A173,'Ansvar kurs'!$A$2:$B$830,2,FALSE)</f>
        <v>1620</v>
      </c>
      <c r="S173" s="159"/>
      <c r="T173" s="159"/>
      <c r="U173" s="159"/>
      <c r="V173" s="159"/>
      <c r="W173" s="159"/>
      <c r="X173" s="159"/>
      <c r="Y173" s="159"/>
      <c r="Z173" s="159"/>
    </row>
    <row r="174" spans="1:26" x14ac:dyDescent="0.25">
      <c r="A174" s="18" t="s">
        <v>2202</v>
      </c>
      <c r="B174" t="s">
        <v>2203</v>
      </c>
      <c r="D174" s="31">
        <v>1</v>
      </c>
      <c r="O174" s="42">
        <f>C174*Prislapp!$C$2+D174*Prislapp!$D$2+E174*Prislapp!$E$2+F174*Prislapp!$F$2+G174*Prislapp!$G$2+H174*Prislapp!$H$2+I174*Prislapp!$I$2+J174*Prislapp!$J$2+K174*Prislapp!$K$2+L174*Prislapp!$L$2+M174*Prislapp!$M$2+N174*Prislapp!$N$2</f>
        <v>18405</v>
      </c>
      <c r="P174" s="42">
        <f>C174*Prislapp!$C$3+D174*Prislapp!$D$3+E174*Prislapp!$E$3+F174*Prislapp!$F$3+G174*Prislapp!$G$3+H174*Prislapp!$H$3+I174*Prislapp!$I$3+J174*Prislapp!$J$3+K174*Prislapp!$K$3+M174*Prislapp!$M$3+N174*Prislapp!$N$3</f>
        <v>15773</v>
      </c>
      <c r="Q174" s="42">
        <f>C174*Prislapp!$C$5+D174*Prislapp!$D$5+E174*Prislapp!$E$5+F174*Prislapp!$F$5+G174*Prislapp!$G$5+H174*Prislapp!$H$5+I174*Prislapp!$I$5+J174*Prislapp!$J$5+K174*Prislapp!$K$5+L174*Prislapp!$L$5+M174*Prislapp!$M$5+N174*Prislapp!$N$5</f>
        <v>5800</v>
      </c>
      <c r="R174" s="9">
        <f>VLOOKUP(A174,'Ansvar kurs'!$A$2:$B$830,2,FALSE)</f>
        <v>1620</v>
      </c>
      <c r="S174" s="159"/>
      <c r="T174" s="159"/>
      <c r="U174" s="159"/>
      <c r="V174" s="159"/>
      <c r="W174" s="159"/>
      <c r="X174" s="159"/>
      <c r="Y174" s="159"/>
      <c r="Z174" s="159"/>
    </row>
    <row r="175" spans="1:26" x14ac:dyDescent="0.25">
      <c r="A175" s="412" t="s">
        <v>1790</v>
      </c>
      <c r="B175" s="31" t="s">
        <v>1791</v>
      </c>
      <c r="L175" s="31">
        <v>1</v>
      </c>
      <c r="O175" s="42">
        <f>C175*Prislapp!$C$2+D175*Prislapp!$D$2+E175*Prislapp!$E$2+F175*Prislapp!$F$2+G175*Prislapp!$G$2+H175*Prislapp!$H$2+I175*Prislapp!$I$2+J175*Prislapp!$J$2+K175*Prislapp!$K$2+L175*Prislapp!$L$2+M175*Prislapp!$M$2+N175*Prislapp!$N$2</f>
        <v>18505</v>
      </c>
      <c r="P175" s="42">
        <f>C175*Prislapp!$C$3+D175*Prislapp!$D$3+E175*Prislapp!$E$3+F175*Prislapp!$F$3+G175*Prislapp!$G$3+H175*Prislapp!$H$3+I175*Prislapp!$I$3+J175*Prislapp!$J$3+K175*Prislapp!$K$3+M175*Prislapp!$M$3+N175*Prislapp!$N$3</f>
        <v>0</v>
      </c>
      <c r="Q175" s="42">
        <f>C175*Prislapp!$C$5+D175*Prislapp!$D$5+E175*Prislapp!$E$5+F175*Prislapp!$F$5+G175*Prislapp!$G$5+H175*Prislapp!$H$5+I175*Prislapp!$I$5+J175*Prislapp!$J$5+K175*Prislapp!$K$5+L175*Prislapp!$L$5+M175*Prislapp!$M$5+N175*Prislapp!$N$5</f>
        <v>5700</v>
      </c>
      <c r="R175" s="9">
        <f>VLOOKUP(A175,'Ansvar kurs'!$A$2:$B$830,2,FALSE)</f>
        <v>6000</v>
      </c>
      <c r="S175" s="159"/>
      <c r="T175" s="159"/>
      <c r="U175" s="159"/>
      <c r="V175" s="159"/>
      <c r="W175" s="159"/>
      <c r="X175" s="159"/>
      <c r="Y175" s="159"/>
      <c r="Z175" s="159"/>
    </row>
    <row r="176" spans="1:26" x14ac:dyDescent="0.25">
      <c r="A176" s="266" t="s">
        <v>1845</v>
      </c>
      <c r="B176" s="31" t="s">
        <v>1846</v>
      </c>
      <c r="I176" s="439">
        <v>1</v>
      </c>
      <c r="O176" s="42">
        <f>C176*Prislapp!$C$2+D176*Prislapp!$D$2+E176*Prislapp!$E$2+F176*Prislapp!$F$2+G176*Prislapp!$G$2+H176*Prislapp!$H$2+I176*Prislapp!$I$2+J176*Prislapp!$J$2+K176*Prislapp!$K$2+L176*Prislapp!$L$2+M176*Prislapp!$M$2+N176*Prislapp!$N$2</f>
        <v>18405</v>
      </c>
      <c r="P176" s="42">
        <f>C176*Prislapp!$C$3+D176*Prislapp!$D$3+E176*Prislapp!$E$3+F176*Prislapp!$F$3+G176*Prislapp!$G$3+H176*Prislapp!$H$3+I176*Prislapp!$I$3+J176*Prislapp!$J$3+K176*Prislapp!$K$3+M176*Prislapp!$M$3+N176*Prislapp!$N$3</f>
        <v>15773</v>
      </c>
      <c r="Q176" s="42">
        <f>C176*Prislapp!$C$5+D176*Prislapp!$D$5+E176*Prislapp!$E$5+F176*Prislapp!$F$5+G176*Prislapp!$G$5+H176*Prislapp!$H$5+I176*Prislapp!$I$5+J176*Prislapp!$J$5+K176*Prislapp!$K$5+L176*Prislapp!$L$5+M176*Prislapp!$M$5+N176*Prislapp!$N$5</f>
        <v>5800</v>
      </c>
      <c r="R176" s="9">
        <f>VLOOKUP(A176,'Ansvar kurs'!$A$2:$B$830,2,FALSE)</f>
        <v>2180</v>
      </c>
      <c r="S176" s="186" t="s">
        <v>2072</v>
      </c>
      <c r="T176" s="159"/>
      <c r="U176" s="159"/>
      <c r="V176" s="159"/>
      <c r="W176" s="159"/>
      <c r="X176" s="159"/>
      <c r="Y176" s="159"/>
      <c r="Z176" s="159"/>
    </row>
    <row r="177" spans="1:26" x14ac:dyDescent="0.25">
      <c r="A177" s="266" t="s">
        <v>1844</v>
      </c>
      <c r="B177" s="59" t="s">
        <v>2083</v>
      </c>
      <c r="D177" s="31">
        <v>1</v>
      </c>
      <c r="O177" s="42">
        <f>C177*Prislapp!$C$2+D177*Prislapp!$D$2+E177*Prislapp!$E$2+F177*Prislapp!$F$2+G177*Prislapp!$G$2+H177*Prislapp!$H$2+I177*Prislapp!$I$2+J177*Prislapp!$J$2+K177*Prislapp!$K$2+L177*Prislapp!$L$2+M177*Prislapp!$M$2+N177*Prislapp!$N$2</f>
        <v>18405</v>
      </c>
      <c r="P177" s="42">
        <f>C177*Prislapp!$C$3+D177*Prislapp!$D$3+E177*Prislapp!$E$3+F177*Prislapp!$F$3+G177*Prislapp!$G$3+H177*Prislapp!$H$3+I177*Prislapp!$I$3+J177*Prislapp!$J$3+K177*Prislapp!$K$3+M177*Prislapp!$M$3+N177*Prislapp!$N$3</f>
        <v>15773</v>
      </c>
      <c r="Q177" s="42">
        <f>C177*Prislapp!$C$5+D177*Prislapp!$D$5+E177*Prislapp!$E$5+F177*Prislapp!$F$5+G177*Prislapp!$G$5+H177*Prislapp!$H$5+I177*Prislapp!$I$5+J177*Prislapp!$J$5+K177*Prislapp!$K$5+L177*Prislapp!$L$5+M177*Prislapp!$M$5+N177*Prislapp!$N$5</f>
        <v>5800</v>
      </c>
      <c r="R177" s="9">
        <f>VLOOKUP(A177,'Ansvar kurs'!$A$2:$B$830,2,FALSE)</f>
        <v>1620</v>
      </c>
      <c r="S177" s="159"/>
      <c r="T177" s="159"/>
      <c r="U177" s="159"/>
      <c r="V177" s="159"/>
      <c r="W177" s="159"/>
      <c r="X177" s="159"/>
      <c r="Y177" s="159"/>
      <c r="Z177" s="159"/>
    </row>
    <row r="178" spans="1:26" ht="30" x14ac:dyDescent="0.25">
      <c r="A178" s="266" t="s">
        <v>2090</v>
      </c>
      <c r="B178" s="446" t="s">
        <v>2091</v>
      </c>
      <c r="D178" s="439">
        <v>1</v>
      </c>
      <c r="O178" s="42">
        <f>C178*Prislapp!$C$2+D178*Prislapp!$D$2+E178*Prislapp!$E$2+F178*Prislapp!$F$2+G178*Prislapp!$G$2+H178*Prislapp!$H$2+I178*Prislapp!$I$2+J178*Prislapp!$J$2+K178*Prislapp!$K$2+L178*Prislapp!$L$2+M178*Prislapp!$M$2+N178*Prislapp!$N$2</f>
        <v>18405</v>
      </c>
      <c r="P178" s="42">
        <f>C178*Prislapp!$C$3+D178*Prislapp!$D$3+E178*Prislapp!$E$3+F178*Prislapp!$F$3+G178*Prislapp!$G$3+H178*Prislapp!$H$3+I178*Prislapp!$I$3+J178*Prislapp!$J$3+K178*Prislapp!$K$3+M178*Prislapp!$M$3+N178*Prislapp!$N$3</f>
        <v>15773</v>
      </c>
      <c r="Q178" s="42">
        <f>C178*Prislapp!$C$5+D178*Prislapp!$D$5+E178*Prislapp!$E$5+F178*Prislapp!$F$5+G178*Prislapp!$G$5+H178*Prislapp!$H$5+I178*Prislapp!$I$5+J178*Prislapp!$J$5+K178*Prislapp!$K$5+L178*Prislapp!$L$5+M178*Prislapp!$M$5+N178*Prislapp!$N$5</f>
        <v>5800</v>
      </c>
      <c r="R178" s="9">
        <f>VLOOKUP(A178,'Ansvar kurs'!$A$2:$B$830,2,FALSE)</f>
        <v>1620</v>
      </c>
      <c r="S178" s="186" t="s">
        <v>2073</v>
      </c>
      <c r="T178" s="159"/>
      <c r="U178" s="159"/>
      <c r="V178" s="159"/>
      <c r="W178" s="159"/>
      <c r="X178" s="159"/>
      <c r="Y178" s="159"/>
      <c r="Z178" s="159"/>
    </row>
    <row r="179" spans="1:26" x14ac:dyDescent="0.25">
      <c r="A179" s="266" t="s">
        <v>2140</v>
      </c>
      <c r="B179" s="446" t="s">
        <v>2141</v>
      </c>
      <c r="D179" s="439">
        <v>1</v>
      </c>
      <c r="O179" s="42">
        <f>C179*Prislapp!$C$2+D179*Prislapp!$D$2+E179*Prislapp!$E$2+F179*Prislapp!$F$2+G179*Prislapp!$G$2+H179*Prislapp!$H$2+I179*Prislapp!$I$2+J179*Prislapp!$J$2+K179*Prislapp!$K$2+L179*Prislapp!$L$2+M179*Prislapp!$M$2+N179*Prislapp!$N$2</f>
        <v>18405</v>
      </c>
      <c r="P179" s="42">
        <f>C179*Prislapp!$C$3+D179*Prislapp!$D$3+E179*Prislapp!$E$3+F179*Prislapp!$F$3+G179*Prislapp!$G$3+H179*Prislapp!$H$3+I179*Prislapp!$I$3+J179*Prislapp!$J$3+K179*Prislapp!$K$3+M179*Prislapp!$M$3+N179*Prislapp!$N$3</f>
        <v>15773</v>
      </c>
      <c r="Q179" s="42">
        <f>C179*Prislapp!$C$5+D179*Prislapp!$D$5+E179*Prislapp!$E$5+F179*Prislapp!$F$5+G179*Prislapp!$G$5+H179*Prislapp!$H$5+I179*Prislapp!$I$5+J179*Prislapp!$J$5+K179*Prislapp!$K$5+L179*Prislapp!$L$5+M179*Prislapp!$M$5+N179*Prislapp!$N$5</f>
        <v>5800</v>
      </c>
      <c r="R179" s="9">
        <f>VLOOKUP(A179,'Ansvar kurs'!$A$2:$B$830,2,FALSE)</f>
        <v>1620</v>
      </c>
      <c r="S179" s="186"/>
      <c r="T179" s="159"/>
      <c r="U179" s="159"/>
      <c r="V179" s="159"/>
      <c r="W179" s="159"/>
      <c r="X179" s="159"/>
      <c r="Y179" s="159"/>
      <c r="Z179" s="159"/>
    </row>
    <row r="180" spans="1:26" x14ac:dyDescent="0.25">
      <c r="A180" s="266" t="s">
        <v>1489</v>
      </c>
      <c r="B180" s="62" t="s">
        <v>1488</v>
      </c>
      <c r="H180" s="31">
        <v>1</v>
      </c>
      <c r="O180" s="42">
        <f>C180*Prislapp!$C$2+D180*Prislapp!$D$2+E180*Prislapp!$E$2+F180*Prislapp!$F$2+G180*Prislapp!$G$2+H180*Prislapp!$H$2+I180*Prislapp!$I$2+J180*Prislapp!$J$2+K180*Prislapp!$K$2+L180*Prislapp!$L$2+M180*Prislapp!$M$2+N180*Prislapp!$N$2</f>
        <v>19473</v>
      </c>
      <c r="P180" s="42">
        <f>C180*Prislapp!$C$3+D180*Prislapp!$D$3+E180*Prislapp!$E$3+F180*Prislapp!$F$3+G180*Prislapp!$G$3+H180*Prislapp!$H$3+I180*Prislapp!$I$3+J180*Prislapp!$J$3+K180*Prislapp!$K$3+M180*Prislapp!$M$3+N180*Prislapp!$N$3</f>
        <v>34806</v>
      </c>
      <c r="Q180" s="42">
        <f>C180*Prislapp!$C$5+D180*Prislapp!$D$5+E180*Prislapp!$E$5+F180*Prislapp!$F$5+G180*Prislapp!$G$5+H180*Prislapp!$H$5+I180*Prislapp!$I$5+J180*Prislapp!$J$5+K180*Prislapp!$K$5+L180*Prislapp!$L$5+M180*Prislapp!$M$5+N180*Prislapp!$N$5</f>
        <v>21800</v>
      </c>
      <c r="R180" s="9">
        <f>VLOOKUP(A180,'Ansvar kurs'!$A$2:$B$830,2,FALSE)</f>
        <v>5740</v>
      </c>
      <c r="S180" s="159"/>
      <c r="T180" s="159"/>
      <c r="U180" s="159"/>
      <c r="V180" s="159"/>
      <c r="W180" s="159"/>
      <c r="X180" s="159"/>
      <c r="Y180" s="159"/>
      <c r="Z180" s="159"/>
    </row>
    <row r="181" spans="1:26" x14ac:dyDescent="0.25">
      <c r="A181" s="266" t="s">
        <v>1747</v>
      </c>
      <c r="B181" s="62" t="s">
        <v>1604</v>
      </c>
      <c r="H181" s="31">
        <v>0.5</v>
      </c>
      <c r="J181" s="31">
        <v>0.5</v>
      </c>
      <c r="O181" s="42">
        <f>C181*Prislapp!$C$2+D181*Prislapp!$D$2+E181*Prislapp!$E$2+F181*Prislapp!$F$2+G181*Prislapp!$G$2+H181*Prislapp!$H$2+I181*Prislapp!$I$2+J181*Prislapp!$J$2+K181*Prislapp!$K$2+L181*Prislapp!$L$2+M181*Prislapp!$M$2+N181*Prislapp!$N$2</f>
        <v>19473</v>
      </c>
      <c r="P181" s="42">
        <f>C181*Prislapp!$C$3+D181*Prislapp!$D$3+E181*Prislapp!$E$3+F181*Prislapp!$F$3+G181*Prislapp!$G$3+H181*Prislapp!$H$3+I181*Prislapp!$I$3+J181*Prislapp!$J$3+K181*Prislapp!$K$3+M181*Prislapp!$M$3+N181*Prislapp!$N$3</f>
        <v>34806</v>
      </c>
      <c r="Q181" s="42">
        <f>C181*Prislapp!$C$5+D181*Prislapp!$D$5+E181*Prislapp!$E$5+F181*Prislapp!$F$5+G181*Prislapp!$G$5+H181*Prislapp!$H$5+I181*Prislapp!$I$5+J181*Prislapp!$J$5+K181*Prislapp!$K$5+L181*Prislapp!$L$5+M181*Prislapp!$M$5+N181*Prislapp!$N$5</f>
        <v>21800</v>
      </c>
      <c r="R181" s="9">
        <f>VLOOKUP(A181,'Ansvar kurs'!$A$2:$B$830,2,FALSE)</f>
        <v>5400</v>
      </c>
      <c r="S181" s="159"/>
      <c r="T181" s="159"/>
      <c r="U181" s="159"/>
      <c r="V181" s="159"/>
      <c r="W181" s="159"/>
      <c r="X181" s="159"/>
      <c r="Y181" s="159"/>
      <c r="Z181" s="159"/>
    </row>
    <row r="182" spans="1:26" x14ac:dyDescent="0.25">
      <c r="A182" s="266" t="s">
        <v>1856</v>
      </c>
      <c r="B182" s="62" t="s">
        <v>1875</v>
      </c>
      <c r="H182" s="31">
        <v>1</v>
      </c>
      <c r="O182" s="42">
        <f>C182*Prislapp!$C$2+D182*Prislapp!$D$2+E182*Prislapp!$E$2+F182*Prislapp!$F$2+G182*Prislapp!$G$2+H182*Prislapp!$H$2+I182*Prislapp!$I$2+J182*Prislapp!$J$2+K182*Prislapp!$K$2+L182*Prislapp!$L$2+M182*Prislapp!$M$2+N182*Prislapp!$N$2</f>
        <v>19473</v>
      </c>
      <c r="P182" s="42">
        <f>C182*Prislapp!$C$3+D182*Prislapp!$D$3+E182*Prislapp!$E$3+F182*Prislapp!$F$3+G182*Prislapp!$G$3+H182*Prislapp!$H$3+I182*Prislapp!$I$3+J182*Prislapp!$J$3+K182*Prislapp!$K$3+M182*Prislapp!$M$3+N182*Prislapp!$N$3</f>
        <v>34806</v>
      </c>
      <c r="Q182" s="42">
        <f>C182*Prislapp!$C$5+D182*Prislapp!$D$5+E182*Prislapp!$E$5+F182*Prislapp!$F$5+G182*Prislapp!$G$5+H182*Prislapp!$H$5+I182*Prislapp!$I$5+J182*Prislapp!$J$5+K182*Prislapp!$K$5+L182*Prislapp!$L$5+M182*Prislapp!$M$5+N182*Prislapp!$N$5</f>
        <v>21800</v>
      </c>
      <c r="R182" s="9">
        <f>VLOOKUP(A182,'Ansvar kurs'!$A$2:$B$830,2,FALSE)</f>
        <v>5400</v>
      </c>
      <c r="S182" s="159"/>
      <c r="T182" s="159"/>
      <c r="U182" s="159"/>
      <c r="V182" s="159"/>
      <c r="W182" s="159"/>
      <c r="X182" s="159"/>
      <c r="Y182" s="159"/>
      <c r="Z182" s="159"/>
    </row>
    <row r="183" spans="1:26" x14ac:dyDescent="0.25">
      <c r="A183" s="266" t="s">
        <v>1857</v>
      </c>
      <c r="B183" s="62" t="s">
        <v>1768</v>
      </c>
      <c r="H183" s="31">
        <v>0</v>
      </c>
      <c r="J183" s="31">
        <v>1</v>
      </c>
      <c r="O183" s="42">
        <f>C183*Prislapp!$C$2+D183*Prislapp!$D$2+E183*Prislapp!$E$2+F183*Prislapp!$F$2+G183*Prislapp!$G$2+H183*Prislapp!$H$2+I183*Prislapp!$I$2+J183*Prislapp!$J$2+K183*Prislapp!$K$2+L183*Prislapp!$L$2+M183*Prislapp!$M$2+N183*Prislapp!$N$2</f>
        <v>19473</v>
      </c>
      <c r="P183" s="42">
        <f>C183*Prislapp!$C$3+D183*Prislapp!$D$3+E183*Prislapp!$E$3+F183*Prislapp!$F$3+G183*Prislapp!$G$3+H183*Prislapp!$H$3+I183*Prislapp!$I$3+J183*Prislapp!$J$3+K183*Prislapp!$K$3+M183*Prislapp!$M$3+N183*Prislapp!$N$3</f>
        <v>34806</v>
      </c>
      <c r="Q183" s="42">
        <f>C183*Prislapp!$C$5+D183*Prislapp!$D$5+E183*Prislapp!$E$5+F183*Prislapp!$F$5+G183*Prislapp!$G$5+H183*Prislapp!$H$5+I183*Prislapp!$I$5+J183*Prislapp!$J$5+K183*Prislapp!$K$5+L183*Prislapp!$L$5+M183*Prislapp!$M$5+N183*Prislapp!$N$5</f>
        <v>21800</v>
      </c>
      <c r="R183" s="9">
        <f>VLOOKUP(A183,'Ansvar kurs'!$A$2:$B$830,2,FALSE)</f>
        <v>5400</v>
      </c>
      <c r="S183" s="159" t="s">
        <v>1904</v>
      </c>
      <c r="T183" s="159"/>
      <c r="U183" s="159"/>
      <c r="V183" s="159"/>
      <c r="W183" s="159"/>
      <c r="X183" s="159"/>
      <c r="Y183" s="159"/>
      <c r="Z183" s="159"/>
    </row>
    <row r="184" spans="1:26" x14ac:dyDescent="0.25">
      <c r="A184" s="266" t="s">
        <v>1502</v>
      </c>
      <c r="B184" s="31" t="s">
        <v>1122</v>
      </c>
      <c r="H184" s="31">
        <v>1</v>
      </c>
      <c r="O184" s="42">
        <f>C184*Prislapp!$C$2+D184*Prislapp!$D$2+E184*Prislapp!$E$2+F184*Prislapp!$F$2+G184*Prislapp!$G$2+H184*Prislapp!$H$2+I184*Prislapp!$I$2+J184*Prislapp!$J$2+K184*Prislapp!$K$2+L184*Prislapp!$L$2+M184*Prislapp!$M$2+N184*Prislapp!$N$2</f>
        <v>19473</v>
      </c>
      <c r="P184" s="42">
        <f>C184*Prislapp!$C$3+D184*Prislapp!$D$3+E184*Prislapp!$E$3+F184*Prislapp!$F$3+G184*Prislapp!$G$3+H184*Prislapp!$H$3+I184*Prislapp!$I$3+J184*Prislapp!$J$3+K184*Prislapp!$K$3+M184*Prislapp!$M$3+N184*Prislapp!$N$3</f>
        <v>34806</v>
      </c>
      <c r="Q184" s="42">
        <f>C184*Prislapp!$C$5+D184*Prislapp!$D$5+E184*Prislapp!$E$5+F184*Prislapp!$F$5+G184*Prislapp!$G$5+H184*Prislapp!$H$5+I184*Prislapp!$I$5+J184*Prislapp!$J$5+K184*Prislapp!$K$5+L184*Prislapp!$L$5+M184*Prislapp!$M$5+N184*Prislapp!$N$5</f>
        <v>21800</v>
      </c>
      <c r="R184" s="9">
        <f>VLOOKUP(A184,'Ansvar kurs'!$A$2:$B$830,2,FALSE)</f>
        <v>5740</v>
      </c>
      <c r="S184" s="159" t="s">
        <v>1295</v>
      </c>
    </row>
    <row r="185" spans="1:26" x14ac:dyDescent="0.25">
      <c r="A185" s="266" t="s">
        <v>1503</v>
      </c>
      <c r="B185" s="31" t="s">
        <v>1157</v>
      </c>
      <c r="H185" s="31">
        <v>1</v>
      </c>
      <c r="O185" s="42">
        <f>C185*Prislapp!$C$2+D185*Prislapp!$D$2+E185*Prislapp!$E$2+F185*Prislapp!$F$2+G185*Prislapp!$G$2+H185*Prislapp!$H$2+I185*Prislapp!$I$2+J185*Prislapp!$J$2+K185*Prislapp!$K$2+L185*Prislapp!$L$2+M185*Prislapp!$M$2+N185*Prislapp!$N$2</f>
        <v>19473</v>
      </c>
      <c r="P185" s="42">
        <f>C185*Prislapp!$C$3+D185*Prislapp!$D$3+E185*Prislapp!$E$3+F185*Prislapp!$F$3+G185*Prislapp!$G$3+H185*Prislapp!$H$3+I185*Prislapp!$I$3+J185*Prislapp!$J$3+K185*Prislapp!$K$3+M185*Prislapp!$M$3+N185*Prislapp!$N$3</f>
        <v>34806</v>
      </c>
      <c r="Q185" s="42">
        <f>C185*Prislapp!$C$5+D185*Prislapp!$D$5+E185*Prislapp!$E$5+F185*Prislapp!$F$5+G185*Prislapp!$G$5+H185*Prislapp!$H$5+I185*Prislapp!$I$5+J185*Prislapp!$J$5+K185*Prislapp!$K$5+L185*Prislapp!$L$5+M185*Prislapp!$M$5+N185*Prislapp!$N$5</f>
        <v>21800</v>
      </c>
      <c r="R185" s="9">
        <f>VLOOKUP(A185,'Ansvar kurs'!$A$2:$B$830,2,FALSE)</f>
        <v>5740</v>
      </c>
      <c r="S185" s="159" t="s">
        <v>1295</v>
      </c>
    </row>
    <row r="186" spans="1:26" x14ac:dyDescent="0.25">
      <c r="A186" s="412" t="s">
        <v>1504</v>
      </c>
      <c r="B186" s="31" t="s">
        <v>1158</v>
      </c>
      <c r="H186" s="31">
        <v>1</v>
      </c>
      <c r="O186" s="42">
        <f>C186*Prislapp!$C$2+D186*Prislapp!$D$2+E186*Prislapp!$E$2+F186*Prislapp!$F$2+G186*Prislapp!$G$2+H186*Prislapp!$H$2+I186*Prislapp!$I$2+J186*Prislapp!$J$2+K186*Prislapp!$K$2+L186*Prislapp!$L$2+M186*Prislapp!$M$2+N186*Prislapp!$N$2</f>
        <v>19473</v>
      </c>
      <c r="P186" s="42">
        <f>C186*Prislapp!$C$3+D186*Prislapp!$D$3+E186*Prislapp!$E$3+F186*Prislapp!$F$3+G186*Prislapp!$G$3+H186*Prislapp!$H$3+I186*Prislapp!$I$3+J186*Prislapp!$J$3+K186*Prislapp!$K$3+M186*Prislapp!$M$3+N186*Prislapp!$N$3</f>
        <v>34806</v>
      </c>
      <c r="Q186" s="42">
        <f>C186*Prislapp!$C$5+D186*Prislapp!$D$5+E186*Prislapp!$E$5+F186*Prislapp!$F$5+G186*Prislapp!$G$5+H186*Prislapp!$H$5+I186*Prislapp!$I$5+J186*Prislapp!$J$5+K186*Prislapp!$K$5+L186*Prislapp!$L$5+M186*Prislapp!$M$5+N186*Prislapp!$N$5</f>
        <v>21800</v>
      </c>
      <c r="R186" s="9">
        <f>VLOOKUP(A186,'Ansvar kurs'!$A$2:$B$830,2,FALSE)</f>
        <v>5740</v>
      </c>
      <c r="S186" s="159" t="s">
        <v>1295</v>
      </c>
    </row>
    <row r="187" spans="1:26" x14ac:dyDescent="0.25">
      <c r="A187" s="9" t="s">
        <v>1957</v>
      </c>
      <c r="B187" s="31" t="s">
        <v>1600</v>
      </c>
      <c r="H187" s="31">
        <v>1</v>
      </c>
      <c r="O187" s="42">
        <f>C187*Prislapp!$C$2+D187*Prislapp!$D$2+E187*Prislapp!$E$2+F187*Prislapp!$F$2+G187*Prislapp!$G$2+H187*Prislapp!$H$2+I187*Prislapp!$I$2+J187*Prislapp!$J$2+K187*Prislapp!$K$2+L187*Prislapp!$L$2+M187*Prislapp!$M$2+N187*Prislapp!$N$2</f>
        <v>19473</v>
      </c>
      <c r="P187" s="42">
        <f>C187*Prislapp!$C$3+D187*Prislapp!$D$3+E187*Prislapp!$E$3+F187*Prislapp!$F$3+G187*Prislapp!$G$3+H187*Prislapp!$H$3+I187*Prislapp!$I$3+J187*Prislapp!$J$3+K187*Prislapp!$K$3+M187*Prislapp!$M$3+N187*Prislapp!$N$3</f>
        <v>34806</v>
      </c>
      <c r="Q187" s="42">
        <f>C187*Prislapp!$C$5+D187*Prislapp!$D$5+E187*Prislapp!$E$5+F187*Prislapp!$F$5+G187*Prislapp!$G$5+H187*Prislapp!$H$5+I187*Prislapp!$I$5+J187*Prislapp!$J$5+K187*Prislapp!$K$5+L187*Prislapp!$L$5+M187*Prislapp!$M$5+N187*Prislapp!$N$5</f>
        <v>21800</v>
      </c>
      <c r="R187" s="9">
        <f>VLOOKUP(A187,'Ansvar kurs'!$A$2:$B$830,2,FALSE)</f>
        <v>5100</v>
      </c>
      <c r="S187" s="159"/>
      <c r="T187" s="159"/>
      <c r="U187" s="159"/>
      <c r="V187" s="159"/>
      <c r="W187" s="159"/>
      <c r="X187" s="159"/>
      <c r="Y187" s="159"/>
      <c r="Z187" s="159"/>
    </row>
    <row r="188" spans="1:26" x14ac:dyDescent="0.25">
      <c r="A188" s="412" t="s">
        <v>1858</v>
      </c>
      <c r="B188" s="31" t="s">
        <v>1816</v>
      </c>
      <c r="H188" s="31">
        <v>1</v>
      </c>
      <c r="O188" s="42">
        <f>C188*Prislapp!$C$2+D188*Prislapp!$D$2+E188*Prislapp!$E$2+F188*Prislapp!$F$2+G188*Prislapp!$G$2+H188*Prislapp!$H$2+I188*Prislapp!$I$2+J188*Prislapp!$J$2+K188*Prislapp!$K$2+L188*Prislapp!$L$2+M188*Prislapp!$M$2+N188*Prislapp!$N$2</f>
        <v>19473</v>
      </c>
      <c r="P188" s="42">
        <f>C188*Prislapp!$C$3+D188*Prislapp!$D$3+E188*Prislapp!$E$3+F188*Prislapp!$F$3+G188*Prislapp!$G$3+H188*Prislapp!$H$3+I188*Prislapp!$I$3+J188*Prislapp!$J$3+K188*Prislapp!$K$3+M188*Prislapp!$M$3+N188*Prislapp!$N$3</f>
        <v>34806</v>
      </c>
      <c r="Q188" s="42">
        <f>C188*Prislapp!$C$5+D188*Prislapp!$D$5+E188*Prislapp!$E$5+F188*Prislapp!$F$5+G188*Prislapp!$G$5+H188*Prislapp!$H$5+I188*Prislapp!$I$5+J188*Prislapp!$J$5+K188*Prislapp!$K$5+L188*Prislapp!$L$5+M188*Prislapp!$M$5+N188*Prislapp!$N$5</f>
        <v>21800</v>
      </c>
      <c r="R188" s="9">
        <f>VLOOKUP(A188,'Ansvar kurs'!$A$2:$B$830,2,FALSE)</f>
        <v>5100</v>
      </c>
      <c r="S188" s="159"/>
      <c r="T188" s="159"/>
      <c r="U188" s="159"/>
      <c r="V188" s="159"/>
      <c r="W188" s="159"/>
      <c r="X188" s="159"/>
      <c r="Y188" s="159"/>
      <c r="Z188" s="159"/>
    </row>
    <row r="189" spans="1:26" x14ac:dyDescent="0.25">
      <c r="A189" s="9" t="s">
        <v>1958</v>
      </c>
      <c r="B189" s="31" t="s">
        <v>1819</v>
      </c>
      <c r="H189" s="31">
        <v>1</v>
      </c>
      <c r="O189" s="42">
        <f>C189*Prislapp!$C$2+D189*Prislapp!$D$2+E189*Prislapp!$E$2+F189*Prislapp!$F$2+G189*Prislapp!$G$2+H189*Prislapp!$H$2+I189*Prislapp!$I$2+J189*Prislapp!$J$2+K189*Prislapp!$K$2+L189*Prislapp!$L$2+M189*Prislapp!$M$2+N189*Prislapp!$N$2</f>
        <v>19473</v>
      </c>
      <c r="P189" s="42">
        <f>C189*Prislapp!$C$3+D189*Prislapp!$D$3+E189*Prislapp!$E$3+F189*Prislapp!$F$3+G189*Prislapp!$G$3+H189*Prislapp!$H$3+I189*Prislapp!$I$3+J189*Prislapp!$J$3+K189*Prislapp!$K$3+M189*Prislapp!$M$3+N189*Prislapp!$N$3</f>
        <v>34806</v>
      </c>
      <c r="Q189" s="42">
        <f>C189*Prislapp!$C$5+D189*Prislapp!$D$5+E189*Prislapp!$E$5+F189*Prislapp!$F$5+G189*Prislapp!$G$5+H189*Prislapp!$H$5+I189*Prislapp!$I$5+J189*Prislapp!$J$5+K189*Prislapp!$K$5+L189*Prislapp!$L$5+M189*Prislapp!$M$5+N189*Prislapp!$N$5</f>
        <v>21800</v>
      </c>
      <c r="R189" s="9">
        <f>VLOOKUP(A189,'Ansvar kurs'!$A$2:$B$830,2,FALSE)</f>
        <v>5100</v>
      </c>
      <c r="S189" s="159"/>
      <c r="T189" s="159"/>
      <c r="U189" s="159"/>
      <c r="V189" s="159"/>
      <c r="W189" s="159"/>
      <c r="X189" s="159"/>
      <c r="Y189" s="159"/>
      <c r="Z189" s="159"/>
    </row>
    <row r="190" spans="1:26" x14ac:dyDescent="0.25">
      <c r="A190" s="412" t="s">
        <v>2110</v>
      </c>
      <c r="B190" s="31" t="s">
        <v>2029</v>
      </c>
      <c r="H190" s="295">
        <v>1</v>
      </c>
      <c r="O190" s="42">
        <f>C190*Prislapp!$C$2+D190*Prislapp!$D$2+E190*Prislapp!$E$2+F190*Prislapp!$F$2+G190*Prislapp!$G$2+H190*Prislapp!$H$2+I190*Prislapp!$I$2+J190*Prislapp!$J$2+K190*Prislapp!$K$2+L190*Prislapp!$L$2+M190*Prislapp!$M$2+N190*Prislapp!$N$2</f>
        <v>19473</v>
      </c>
      <c r="P190" s="42">
        <f>C190*Prislapp!$C$3+D190*Prislapp!$D$3+E190*Prislapp!$E$3+F190*Prislapp!$F$3+G190*Prislapp!$G$3+H190*Prislapp!$H$3+I190*Prislapp!$I$3+J190*Prislapp!$J$3+K190*Prislapp!$K$3+M190*Prislapp!$M$3+N190*Prislapp!$N$3</f>
        <v>34806</v>
      </c>
      <c r="Q190" s="42">
        <f>C190*Prislapp!$C$5+D190*Prislapp!$D$5+E190*Prislapp!$E$5+F190*Prislapp!$F$5+G190*Prislapp!$G$5+H190*Prislapp!$H$5+I190*Prislapp!$I$5+J190*Prislapp!$J$5+K190*Prislapp!$K$5+L190*Prislapp!$L$5+M190*Prislapp!$M$5+N190*Prislapp!$N$5</f>
        <v>21800</v>
      </c>
      <c r="R190" s="9">
        <f>VLOOKUP(A190,'Ansvar kurs'!$A$2:$B$830,2,FALSE)</f>
        <v>5100</v>
      </c>
      <c r="S190" s="420" t="s">
        <v>2247</v>
      </c>
    </row>
    <row r="191" spans="1:26" ht="15.75" x14ac:dyDescent="0.25">
      <c r="A191" s="430" t="s">
        <v>1956</v>
      </c>
      <c r="B191" s="31" t="s">
        <v>1818</v>
      </c>
      <c r="H191" s="31">
        <v>0.5</v>
      </c>
      <c r="I191" s="31">
        <v>0.5</v>
      </c>
      <c r="O191" s="42">
        <f>C191*Prislapp!$C$2+D191*Prislapp!$D$2+E191*Prislapp!$E$2+F191*Prislapp!$F$2+G191*Prislapp!$G$2+H191*Prislapp!$H$2+I191*Prislapp!$I$2+J191*Prislapp!$J$2+K191*Prislapp!$K$2+L191*Prislapp!$L$2+M191*Prislapp!$M$2+N191*Prislapp!$N$2</f>
        <v>18939</v>
      </c>
      <c r="P191" s="42">
        <f>C191*Prislapp!$C$3+D191*Prislapp!$D$3+E191*Prislapp!$E$3+F191*Prislapp!$F$3+G191*Prislapp!$G$3+H191*Prislapp!$H$3+I191*Prislapp!$I$3+J191*Prislapp!$J$3+K191*Prislapp!$K$3+M191*Prislapp!$M$3+N191*Prislapp!$N$3</f>
        <v>25289.5</v>
      </c>
      <c r="Q191" s="42">
        <f>C191*Prislapp!$C$5+D191*Prislapp!$D$5+E191*Prislapp!$E$5+F191*Prislapp!$F$5+G191*Prislapp!$G$5+H191*Prislapp!$H$5+I191*Prislapp!$I$5+J191*Prislapp!$J$5+K191*Prislapp!$K$5+L191*Prislapp!$L$5+M191*Prislapp!$M$5+N191*Prislapp!$N$5</f>
        <v>13800</v>
      </c>
      <c r="R191" s="9">
        <f>VLOOKUP(A191,'Ansvar kurs'!$A$2:$B$830,2,FALSE)</f>
        <v>2500</v>
      </c>
      <c r="S191" s="159"/>
      <c r="T191" s="159"/>
      <c r="U191" s="159"/>
      <c r="V191" s="159"/>
      <c r="W191" s="159"/>
      <c r="X191" s="159"/>
      <c r="Y191" s="159"/>
      <c r="Z191" s="159"/>
    </row>
    <row r="192" spans="1:26" ht="15.75" x14ac:dyDescent="0.25">
      <c r="A192" s="430" t="s">
        <v>1959</v>
      </c>
      <c r="B192" s="31" t="s">
        <v>1820</v>
      </c>
      <c r="I192" s="31">
        <v>1</v>
      </c>
      <c r="O192" s="42">
        <f>C192*Prislapp!$C$2+D192*Prislapp!$D$2+E192*Prislapp!$E$2+F192*Prislapp!$F$2+G192*Prislapp!$G$2+H192*Prislapp!$H$2+I192*Prislapp!$I$2+J192*Prislapp!$J$2+K192*Prislapp!$K$2+L192*Prislapp!$L$2+M192*Prislapp!$M$2+N192*Prislapp!$N$2</f>
        <v>18405</v>
      </c>
      <c r="P192" s="42">
        <f>C192*Prislapp!$C$3+D192*Prislapp!$D$3+E192*Prislapp!$E$3+F192*Prislapp!$F$3+G192*Prislapp!$G$3+H192*Prislapp!$H$3+I192*Prislapp!$I$3+J192*Prislapp!$J$3+K192*Prislapp!$K$3+M192*Prislapp!$M$3+N192*Prislapp!$N$3</f>
        <v>15773</v>
      </c>
      <c r="Q192" s="42">
        <f>C192*Prislapp!$C$5+D192*Prislapp!$D$5+E192*Prislapp!$E$5+F192*Prislapp!$F$5+G192*Prislapp!$G$5+H192*Prislapp!$H$5+I192*Prislapp!$I$5+J192*Prislapp!$J$5+K192*Prislapp!$K$5+L192*Prislapp!$L$5+M192*Prislapp!$M$5+N192*Prislapp!$N$5</f>
        <v>5800</v>
      </c>
      <c r="R192" s="9">
        <f>VLOOKUP(A192,'Ansvar kurs'!$A$2:$B$830,2,FALSE)</f>
        <v>2500</v>
      </c>
      <c r="S192" s="159"/>
      <c r="T192" s="159"/>
      <c r="U192" s="159"/>
      <c r="V192" s="159"/>
      <c r="W192" s="159"/>
      <c r="X192" s="159"/>
      <c r="Y192" s="159"/>
      <c r="Z192" s="159"/>
    </row>
    <row r="193" spans="1:26" ht="15.75" x14ac:dyDescent="0.25">
      <c r="A193" s="430" t="s">
        <v>2256</v>
      </c>
      <c r="B193" s="62" t="s">
        <v>2259</v>
      </c>
      <c r="J193" s="439">
        <v>0.5</v>
      </c>
      <c r="M193" s="439">
        <v>0.5</v>
      </c>
      <c r="O193" s="42">
        <f>C193*Prislapp!$C$2+D193*Prislapp!$D$2+E193*Prislapp!$E$2+F193*Prislapp!$F$2+G193*Prislapp!$G$2+H193*Prislapp!$H$2+I193*Prislapp!$I$2+J193*Prislapp!$J$2+K193*Prislapp!$K$2+L193*Prislapp!$L$2+M193*Prislapp!$M$2+N193*Prislapp!$N$2</f>
        <v>17659.5</v>
      </c>
      <c r="P193" s="42">
        <f>C193*Prislapp!$C$3+D193*Prislapp!$D$3+E193*Prislapp!$E$3+F193*Prislapp!$F$3+G193*Prislapp!$G$3+H193*Prislapp!$H$3+I193*Prislapp!$I$3+J193*Prislapp!$J$3+K193*Prislapp!$K$3+M193*Prislapp!$M$3+N193*Prislapp!$N$3</f>
        <v>30866</v>
      </c>
      <c r="Q193" s="42">
        <f>C193*Prislapp!$C$5+D193*Prislapp!$D$5+E193*Prislapp!$E$5+F193*Prislapp!$F$5+G193*Prislapp!$G$5+H193*Prislapp!$H$5+I193*Prislapp!$I$5+J193*Prislapp!$J$5+K193*Prislapp!$K$5+L193*Prislapp!$L$5+M193*Prislapp!$M$5+N193*Prislapp!$N$5</f>
        <v>19550</v>
      </c>
      <c r="R193" s="9">
        <f>VLOOKUP(A193,'Ansvar kurs'!$A$2:$B$830,2,FALSE)</f>
        <v>1650</v>
      </c>
      <c r="S193" s="186" t="s">
        <v>2260</v>
      </c>
      <c r="T193" s="159"/>
      <c r="U193" s="159"/>
      <c r="V193" s="159"/>
      <c r="W193" s="159"/>
      <c r="X193" s="159"/>
      <c r="Y193" s="159"/>
      <c r="Z193" s="159"/>
    </row>
    <row r="194" spans="1:26" ht="15.75" x14ac:dyDescent="0.25">
      <c r="A194" s="430" t="s">
        <v>2257</v>
      </c>
      <c r="B194" s="62" t="s">
        <v>2261</v>
      </c>
      <c r="D194" s="439">
        <v>0.5</v>
      </c>
      <c r="G194" s="439">
        <v>0.5</v>
      </c>
      <c r="O194" s="42">
        <f>C194*Prislapp!$C$2+D194*Prislapp!$D$2+E194*Prislapp!$E$2+F194*Prislapp!$F$2+G194*Prislapp!$G$2+H194*Prislapp!$H$2+I194*Prislapp!$I$2+J194*Prislapp!$J$2+K194*Prislapp!$K$2+L194*Prislapp!$L$2+M194*Prislapp!$M$2+N194*Prislapp!$N$2</f>
        <v>24603.5</v>
      </c>
      <c r="P194" s="42">
        <f>C194*Prislapp!$C$3+D194*Prislapp!$D$3+E194*Prislapp!$E$3+F194*Prislapp!$F$3+G194*Prislapp!$G$3+H194*Prislapp!$H$3+I194*Prislapp!$I$3+J194*Prislapp!$J$3+K194*Prislapp!$K$3+M194*Prislapp!$M$3+N194*Prislapp!$N$3</f>
        <v>39785</v>
      </c>
      <c r="Q194" s="42">
        <f>C194*Prislapp!$C$5+D194*Prislapp!$D$5+E194*Prislapp!$E$5+F194*Prislapp!$F$5+G194*Prislapp!$G$5+H194*Prislapp!$H$5+I194*Prislapp!$I$5+J194*Prislapp!$J$5+K194*Prislapp!$K$5+L194*Prislapp!$L$5+M194*Prislapp!$M$5+N194*Prislapp!$N$5</f>
        <v>37950</v>
      </c>
      <c r="R194" s="9">
        <f>VLOOKUP(A194,'Ansvar kurs'!$A$2:$B$830,2,FALSE)</f>
        <v>1650</v>
      </c>
      <c r="S194" s="186" t="s">
        <v>2260</v>
      </c>
      <c r="T194" s="159"/>
      <c r="U194" s="159"/>
      <c r="V194" s="159"/>
      <c r="W194" s="159"/>
      <c r="X194" s="159"/>
      <c r="Y194" s="159"/>
      <c r="Z194" s="159"/>
    </row>
    <row r="195" spans="1:26" x14ac:dyDescent="0.25">
      <c r="A195" s="159" t="s">
        <v>95</v>
      </c>
      <c r="B195" s="31" t="s">
        <v>674</v>
      </c>
      <c r="D195" s="31">
        <v>0.75</v>
      </c>
      <c r="K195" s="31">
        <v>0.25</v>
      </c>
      <c r="O195" s="42">
        <f>C195*Prislapp!$C$2+D195*Prislapp!$D$2+E195*Prislapp!$E$2+F195*Prislapp!$F$2+G195*Prislapp!$G$2+H195*Prislapp!$H$2+I195*Prislapp!$I$2+J195*Prislapp!$J$2+K195*Prislapp!$K$2+L195*Prislapp!$L$2+M195*Prislapp!$M$2+N195*Prislapp!$N$2</f>
        <v>19212.25</v>
      </c>
      <c r="P195" s="42">
        <f>C195*Prislapp!$C$3+D195*Prislapp!$D$3+E195*Prislapp!$E$3+F195*Prislapp!$F$3+G195*Prislapp!$G$3+H195*Prislapp!$H$3+I195*Prislapp!$I$3+J195*Prislapp!$J$3+K195*Prislapp!$K$3+M195*Prislapp!$M$3+N195*Prislapp!$N$3</f>
        <v>18576.25</v>
      </c>
      <c r="Q195" s="42">
        <f>C195*Prislapp!$C$5+D195*Prislapp!$D$5+E195*Prislapp!$E$5+F195*Prislapp!$F$5+G195*Prislapp!$G$5+H195*Prislapp!$H$5+I195*Prislapp!$I$5+J195*Prislapp!$J$5+K195*Prislapp!$K$5+L195*Prislapp!$L$5+M195*Prislapp!$M$5+N195*Prislapp!$N$5</f>
        <v>5200</v>
      </c>
      <c r="R195" s="9">
        <f>VLOOKUP(A195,'Ansvar kurs'!$A$2:$B$830,2,FALSE)</f>
        <v>1630</v>
      </c>
      <c r="S195" s="159"/>
      <c r="T195" s="159"/>
      <c r="U195" s="159"/>
      <c r="V195" s="159"/>
      <c r="W195" s="159"/>
      <c r="X195" s="159"/>
      <c r="Y195" s="159"/>
      <c r="Z195" s="159"/>
    </row>
    <row r="196" spans="1:26" x14ac:dyDescent="0.25">
      <c r="A196" s="31" t="s">
        <v>99</v>
      </c>
      <c r="B196" s="31" t="s">
        <v>675</v>
      </c>
      <c r="D196" s="31">
        <v>1</v>
      </c>
      <c r="O196" s="42">
        <f>C196*Prislapp!$C$2+D196*Prislapp!$D$2+E196*Prislapp!$E$2+F196*Prislapp!$F$2+G196*Prislapp!$G$2+H196*Prislapp!$H$2+I196*Prislapp!$I$2+J196*Prislapp!$J$2+K196*Prislapp!$K$2+L196*Prislapp!$L$2+M196*Prislapp!$M$2+N196*Prislapp!$N$2</f>
        <v>18405</v>
      </c>
      <c r="P196" s="42">
        <f>C196*Prislapp!$C$3+D196*Prislapp!$D$3+E196*Prislapp!$E$3+F196*Prislapp!$F$3+G196*Prislapp!$G$3+H196*Prislapp!$H$3+I196*Prislapp!$I$3+J196*Prislapp!$J$3+K196*Prislapp!$K$3+M196*Prislapp!$M$3+N196*Prislapp!$N$3</f>
        <v>15773</v>
      </c>
      <c r="Q196" s="42">
        <f>C196*Prislapp!$C$5+D196*Prislapp!$D$5+E196*Prislapp!$E$5+F196*Prislapp!$F$5+G196*Prislapp!$G$5+H196*Prislapp!$H$5+I196*Prislapp!$I$5+J196*Prislapp!$J$5+K196*Prislapp!$K$5+L196*Prislapp!$L$5+M196*Prislapp!$M$5+N196*Prislapp!$N$5</f>
        <v>5800</v>
      </c>
      <c r="R196" s="9">
        <f>VLOOKUP(A196,'Ansvar kurs'!$A$2:$B$830,2,FALSE)</f>
        <v>1630</v>
      </c>
      <c r="S196" s="159"/>
      <c r="T196" s="159"/>
      <c r="U196" s="159"/>
      <c r="V196" s="159"/>
      <c r="W196" s="159"/>
      <c r="X196" s="159"/>
      <c r="Y196" s="159"/>
      <c r="Z196" s="159"/>
    </row>
    <row r="197" spans="1:26" x14ac:dyDescent="0.25">
      <c r="A197" s="31" t="s">
        <v>391</v>
      </c>
      <c r="B197" s="31" t="s">
        <v>359</v>
      </c>
      <c r="F197" s="31">
        <v>1</v>
      </c>
      <c r="O197" s="42">
        <f>C197*Prislapp!$C$2+D197*Prislapp!$D$2+E197*Prislapp!$E$2+F197*Prislapp!$F$2+G197*Prislapp!$G$2+H197*Prislapp!$H$2+I197*Prislapp!$I$2+J197*Prislapp!$J$2+K197*Prislapp!$K$2+L197*Prislapp!$L$2+M197*Prislapp!$M$2+N197*Prislapp!$N$2</f>
        <v>23641</v>
      </c>
      <c r="P197" s="42">
        <f>C197*Prislapp!$C$3+D197*Prislapp!$D$3+E197*Prislapp!$E$3+F197*Prislapp!$F$3+G197*Prislapp!$G$3+H197*Prislapp!$H$3+I197*Prislapp!$I$3+J197*Prislapp!$J$3+K197*Prislapp!$K$3+M197*Prislapp!$M$3+N197*Prislapp!$N$3</f>
        <v>28786</v>
      </c>
      <c r="Q197" s="42">
        <f>C197*Prislapp!$C$5+D197*Prislapp!$D$5+E197*Prislapp!$E$5+F197*Prislapp!$F$5+G197*Prislapp!$G$5+H197*Prislapp!$H$5+I197*Prislapp!$I$5+J197*Prislapp!$J$5+K197*Prislapp!$K$5+L197*Prislapp!$L$5+M197*Prislapp!$M$5+N197*Prislapp!$N$5</f>
        <v>5800</v>
      </c>
      <c r="R197" s="9">
        <f>VLOOKUP(A197,'Ansvar kurs'!$A$2:$B$830,2,FALSE)</f>
        <v>1630</v>
      </c>
      <c r="S197" s="159"/>
      <c r="T197" s="159"/>
      <c r="U197" s="159"/>
      <c r="V197" s="159"/>
      <c r="W197" s="159"/>
      <c r="X197" s="159"/>
      <c r="Y197" s="159"/>
      <c r="Z197" s="159"/>
    </row>
    <row r="198" spans="1:26" x14ac:dyDescent="0.25">
      <c r="A198" s="62" t="s">
        <v>868</v>
      </c>
      <c r="B198" s="31" t="s">
        <v>1168</v>
      </c>
      <c r="D198" s="31">
        <v>1</v>
      </c>
      <c r="O198" s="42">
        <f>C198*Prislapp!$C$2+D198*Prislapp!$D$2+E198*Prislapp!$E$2+F198*Prislapp!$F$2+G198*Prislapp!$G$2+H198*Prislapp!$H$2+I198*Prislapp!$I$2+J198*Prislapp!$J$2+K198*Prislapp!$K$2+L198*Prislapp!$L$2+M198*Prislapp!$M$2+N198*Prislapp!$N$2</f>
        <v>18405</v>
      </c>
      <c r="P198" s="42">
        <f>C198*Prislapp!$C$3+D198*Prislapp!$D$3+E198*Prislapp!$E$3+F198*Prislapp!$F$3+G198*Prislapp!$G$3+H198*Prislapp!$H$3+I198*Prislapp!$I$3+J198*Prislapp!$J$3+K198*Prislapp!$K$3+M198*Prislapp!$M$3+N198*Prislapp!$N$3</f>
        <v>15773</v>
      </c>
      <c r="Q198" s="42">
        <f>C198*Prislapp!$C$5+D198*Prislapp!$D$5+E198*Prislapp!$E$5+F198*Prislapp!$F$5+G198*Prislapp!$G$5+H198*Prislapp!$H$5+I198*Prislapp!$I$5+J198*Prislapp!$J$5+K198*Prislapp!$K$5+L198*Prislapp!$L$5+M198*Prislapp!$M$5+N198*Prislapp!$N$5</f>
        <v>5800</v>
      </c>
      <c r="R198" s="9">
        <f>VLOOKUP(A198,'Ansvar kurs'!$A$2:$B$830,2,FALSE)</f>
        <v>1630</v>
      </c>
      <c r="S198" s="159"/>
      <c r="T198" s="159"/>
      <c r="U198" s="159"/>
      <c r="V198" s="159"/>
      <c r="W198" s="159"/>
      <c r="X198" s="159"/>
      <c r="Y198" s="159"/>
      <c r="Z198" s="159"/>
    </row>
    <row r="199" spans="1:26" x14ac:dyDescent="0.25">
      <c r="A199" s="31" t="s">
        <v>496</v>
      </c>
      <c r="B199" s="31" t="s">
        <v>547</v>
      </c>
      <c r="D199" s="31">
        <v>1</v>
      </c>
      <c r="O199" s="42">
        <f>C199*Prislapp!$C$2+D199*Prislapp!$D$2+E199*Prislapp!$E$2+F199*Prislapp!$F$2+G199*Prislapp!$G$2+H199*Prislapp!$H$2+I199*Prislapp!$I$2+J199*Prislapp!$J$2+K199*Prislapp!$K$2+L199*Prislapp!$L$2+M199*Prislapp!$M$2+N199*Prislapp!$N$2</f>
        <v>18405</v>
      </c>
      <c r="P199" s="42">
        <f>C199*Prislapp!$C$3+D199*Prislapp!$D$3+E199*Prislapp!$E$3+F199*Prislapp!$F$3+G199*Prislapp!$G$3+H199*Prislapp!$H$3+I199*Prislapp!$I$3+J199*Prislapp!$J$3+K199*Prislapp!$K$3+M199*Prislapp!$M$3+N199*Prislapp!$N$3</f>
        <v>15773</v>
      </c>
      <c r="Q199" s="42">
        <f>C199*Prislapp!$C$5+D199*Prislapp!$D$5+E199*Prislapp!$E$5+F199*Prislapp!$F$5+G199*Prislapp!$G$5+H199*Prislapp!$H$5+I199*Prislapp!$I$5+J199*Prislapp!$J$5+K199*Prislapp!$K$5+L199*Prislapp!$L$5+M199*Prislapp!$M$5+N199*Prislapp!$N$5</f>
        <v>5800</v>
      </c>
      <c r="R199" s="9">
        <f>VLOOKUP(A199,'Ansvar kurs'!$A$2:$B$830,2,FALSE)</f>
        <v>1630</v>
      </c>
      <c r="S199" s="159"/>
      <c r="T199" s="159"/>
      <c r="U199" s="159"/>
      <c r="V199" s="159"/>
      <c r="W199" s="159"/>
      <c r="X199" s="159"/>
      <c r="Y199" s="159"/>
      <c r="Z199" s="159"/>
    </row>
    <row r="200" spans="1:26" x14ac:dyDescent="0.25">
      <c r="A200" s="31" t="s">
        <v>610</v>
      </c>
      <c r="B200" s="31" t="s">
        <v>676</v>
      </c>
      <c r="D200" s="31">
        <v>1</v>
      </c>
      <c r="O200" s="42">
        <f>C200*Prislapp!$C$2+D200*Prislapp!$D$2+E200*Prislapp!$E$2+F200*Prislapp!$F$2+G200*Prislapp!$G$2+H200*Prislapp!$H$2+I200*Prislapp!$I$2+J200*Prislapp!$J$2+K200*Prislapp!$K$2+L200*Prislapp!$L$2+M200*Prislapp!$M$2+N200*Prislapp!$N$2</f>
        <v>18405</v>
      </c>
      <c r="P200" s="42">
        <f>C200*Prislapp!$C$3+D200*Prislapp!$D$3+E200*Prislapp!$E$3+F200*Prislapp!$F$3+G200*Prislapp!$G$3+H200*Prislapp!$H$3+I200*Prislapp!$I$3+J200*Prislapp!$J$3+K200*Prislapp!$K$3+M200*Prislapp!$M$3+N200*Prislapp!$N$3</f>
        <v>15773</v>
      </c>
      <c r="Q200" s="42">
        <f>C200*Prislapp!$C$5+D200*Prislapp!$D$5+E200*Prislapp!$E$5+F200*Prislapp!$F$5+G200*Prislapp!$G$5+H200*Prislapp!$H$5+I200*Prislapp!$I$5+J200*Prislapp!$J$5+K200*Prislapp!$K$5+L200*Prislapp!$L$5+M200*Prislapp!$M$5+N200*Prislapp!$N$5</f>
        <v>5800</v>
      </c>
      <c r="R200" s="9">
        <f>VLOOKUP(A200,'Ansvar kurs'!$A$2:$B$830,2,FALSE)</f>
        <v>1630</v>
      </c>
      <c r="S200" s="159"/>
      <c r="T200" s="159"/>
      <c r="U200" s="159"/>
      <c r="V200" s="159"/>
      <c r="W200" s="159"/>
      <c r="X200" s="159"/>
      <c r="Y200" s="159"/>
      <c r="Z200" s="159"/>
    </row>
    <row r="201" spans="1:26" x14ac:dyDescent="0.25">
      <c r="A201" s="31" t="s">
        <v>784</v>
      </c>
      <c r="B201" s="31" t="s">
        <v>787</v>
      </c>
      <c r="D201" s="31">
        <v>1</v>
      </c>
      <c r="O201" s="42">
        <f>C201*Prislapp!$C$2+D201*Prislapp!$D$2+E201*Prislapp!$E$2+F201*Prislapp!$F$2+G201*Prislapp!$G$2+H201*Prislapp!$H$2+I201*Prislapp!$I$2+J201*Prislapp!$J$2+K201*Prislapp!$K$2+L201*Prislapp!$L$2+M201*Prislapp!$M$2+N201*Prislapp!$N$2</f>
        <v>18405</v>
      </c>
      <c r="P201" s="42">
        <f>C201*Prislapp!$C$3+D201*Prislapp!$D$3+E201*Prislapp!$E$3+F201*Prislapp!$F$3+G201*Prislapp!$G$3+H201*Prislapp!$H$3+I201*Prislapp!$I$3+J201*Prislapp!$J$3+K201*Prislapp!$K$3+M201*Prislapp!$M$3+N201*Prislapp!$N$3</f>
        <v>15773</v>
      </c>
      <c r="Q201" s="42">
        <f>C201*Prislapp!$C$5+D201*Prislapp!$D$5+E201*Prislapp!$E$5+F201*Prislapp!$F$5+G201*Prislapp!$G$5+H201*Prislapp!$H$5+I201*Prislapp!$I$5+J201*Prislapp!$J$5+K201*Prislapp!$K$5+L201*Prislapp!$L$5+M201*Prislapp!$M$5+N201*Prislapp!$N$5</f>
        <v>5800</v>
      </c>
      <c r="R201" s="9">
        <f>VLOOKUP(A201,'Ansvar kurs'!$A$2:$B$830,2,FALSE)</f>
        <v>1630</v>
      </c>
      <c r="S201" s="159"/>
      <c r="T201" s="159"/>
      <c r="U201" s="159"/>
      <c r="V201" s="159"/>
      <c r="W201" s="159"/>
      <c r="X201" s="159"/>
      <c r="Y201" s="159"/>
      <c r="Z201" s="159"/>
    </row>
    <row r="202" spans="1:26" x14ac:dyDescent="0.25">
      <c r="A202" s="31" t="s">
        <v>1268</v>
      </c>
      <c r="B202" s="31" t="s">
        <v>1162</v>
      </c>
      <c r="K202" s="31">
        <v>1</v>
      </c>
      <c r="O202" s="42">
        <f>C202*Prislapp!$C$2+D202*Prislapp!$D$2+E202*Prislapp!$E$2+F202*Prislapp!$F$2+G202*Prislapp!$G$2+H202*Prislapp!$H$2+I202*Prislapp!$I$2+J202*Prislapp!$J$2+K202*Prislapp!$K$2+L202*Prislapp!$L$2+M202*Prislapp!$M$2+N202*Prislapp!$N$2</f>
        <v>21634</v>
      </c>
      <c r="P202" s="42">
        <f>C202*Prislapp!$C$3+D202*Prislapp!$D$3+E202*Prislapp!$E$3+F202*Prislapp!$F$3+G202*Prislapp!$G$3+H202*Prislapp!$H$3+I202*Prislapp!$I$3+J202*Prislapp!$J$3+K202*Prislapp!$K$3+M202*Prislapp!$M$3+N202*Prislapp!$N$3</f>
        <v>26986</v>
      </c>
      <c r="Q202" s="42">
        <f>C202*Prislapp!$C$5+D202*Prislapp!$D$5+E202*Prislapp!$E$5+F202*Prislapp!$F$5+G202*Prislapp!$G$5+H202*Prislapp!$H$5+I202*Prislapp!$I$5+J202*Prislapp!$J$5+K202*Prislapp!$K$5+L202*Prislapp!$L$5+M202*Prislapp!$M$5+N202*Prislapp!$N$5</f>
        <v>3400</v>
      </c>
      <c r="R202" s="9">
        <f>VLOOKUP(A202,'Ansvar kurs'!$A$2:$B$830,2,FALSE)</f>
        <v>1630</v>
      </c>
      <c r="S202" s="159"/>
      <c r="T202" s="159"/>
      <c r="U202" s="159"/>
      <c r="V202" s="159"/>
      <c r="W202" s="159"/>
      <c r="X202" s="159"/>
      <c r="Y202" s="159"/>
      <c r="Z202" s="159"/>
    </row>
    <row r="203" spans="1:26" x14ac:dyDescent="0.25">
      <c r="A203" s="31" t="s">
        <v>1035</v>
      </c>
      <c r="B203" s="31" t="s">
        <v>763</v>
      </c>
      <c r="K203" s="31">
        <v>1</v>
      </c>
      <c r="O203" s="42">
        <f>C203*Prislapp!$C$2+D203*Prislapp!$D$2+E203*Prislapp!$E$2+F203*Prislapp!$F$2+G203*Prislapp!$G$2+H203*Prislapp!$H$2+I203*Prislapp!$I$2+J203*Prislapp!$J$2+K203*Prislapp!$K$2+L203*Prislapp!$L$2+M203*Prislapp!$M$2+N203*Prislapp!$N$2</f>
        <v>21634</v>
      </c>
      <c r="P203" s="42">
        <f>C203*Prislapp!$C$3+D203*Prislapp!$D$3+E203*Prislapp!$E$3+F203*Prislapp!$F$3+G203*Prislapp!$G$3+H203*Prislapp!$H$3+I203*Prislapp!$I$3+J203*Prislapp!$J$3+K203*Prislapp!$K$3+M203*Prislapp!$M$3+N203*Prislapp!$N$3</f>
        <v>26986</v>
      </c>
      <c r="Q203" s="42">
        <f>C203*Prislapp!$C$5+D203*Prislapp!$D$5+E203*Prislapp!$E$5+F203*Prislapp!$F$5+G203*Prislapp!$G$5+H203*Prislapp!$H$5+I203*Prislapp!$I$5+J203*Prislapp!$J$5+K203*Prislapp!$K$5+L203*Prislapp!$L$5+M203*Prislapp!$M$5+N203*Prislapp!$N$5</f>
        <v>3400</v>
      </c>
      <c r="R203" s="9">
        <f>VLOOKUP(A203,'Ansvar kurs'!$A$2:$B$830,2,FALSE)</f>
        <v>1630</v>
      </c>
      <c r="S203" s="159"/>
      <c r="T203" s="159"/>
      <c r="U203" s="159"/>
      <c r="V203" s="159"/>
      <c r="W203" s="159"/>
      <c r="X203" s="159"/>
      <c r="Y203" s="159"/>
      <c r="Z203" s="159"/>
    </row>
    <row r="204" spans="1:26" x14ac:dyDescent="0.25">
      <c r="A204" s="31" t="s">
        <v>1083</v>
      </c>
      <c r="B204" s="31" t="s">
        <v>1544</v>
      </c>
      <c r="K204" s="31">
        <v>1</v>
      </c>
      <c r="O204" s="42">
        <f>C204*Prislapp!$C$2+D204*Prislapp!$D$2+E204*Prislapp!$E$2+F204*Prislapp!$F$2+G204*Prislapp!$G$2+H204*Prislapp!$H$2+I204*Prislapp!$I$2+J204*Prislapp!$J$2+K204*Prislapp!$K$2+L204*Prislapp!$L$2+M204*Prislapp!$M$2+N204*Prislapp!$N$2</f>
        <v>21634</v>
      </c>
      <c r="P204" s="42">
        <f>C204*Prislapp!$C$3+D204*Prislapp!$D$3+E204*Prislapp!$E$3+F204*Prislapp!$F$3+G204*Prislapp!$G$3+H204*Prislapp!$H$3+I204*Prislapp!$I$3+J204*Prislapp!$J$3+K204*Prislapp!$K$3+M204*Prislapp!$M$3+N204*Prislapp!$N$3</f>
        <v>26986</v>
      </c>
      <c r="Q204" s="42">
        <f>C204*Prislapp!$C$5+D204*Prislapp!$D$5+E204*Prislapp!$E$5+F204*Prislapp!$F$5+G204*Prislapp!$G$5+H204*Prislapp!$H$5+I204*Prislapp!$I$5+J204*Prislapp!$J$5+K204*Prislapp!$K$5+L204*Prislapp!$L$5+M204*Prislapp!$M$5+N204*Prislapp!$N$5</f>
        <v>3400</v>
      </c>
      <c r="R204" s="9">
        <f>VLOOKUP(A204,'Ansvar kurs'!$A$2:$B$830,2,FALSE)</f>
        <v>1630</v>
      </c>
      <c r="S204" s="159"/>
      <c r="T204" s="159"/>
      <c r="U204" s="159"/>
      <c r="V204" s="159"/>
      <c r="W204" s="159"/>
      <c r="X204" s="159"/>
      <c r="Y204" s="159"/>
      <c r="Z204" s="159"/>
    </row>
    <row r="205" spans="1:26" x14ac:dyDescent="0.25">
      <c r="A205" s="266" t="s">
        <v>1084</v>
      </c>
      <c r="B205" s="31" t="s">
        <v>1169</v>
      </c>
      <c r="D205" s="31">
        <v>1</v>
      </c>
      <c r="O205" s="42">
        <f>C205*Prislapp!$C$2+D205*Prislapp!$D$2+E205*Prislapp!$E$2+F205*Prislapp!$F$2+G205*Prislapp!$G$2+H205*Prislapp!$H$2+I205*Prislapp!$I$2+J205*Prislapp!$J$2+K205*Prislapp!$K$2+L205*Prislapp!$L$2+M205*Prislapp!$M$2+N205*Prislapp!$N$2</f>
        <v>18405</v>
      </c>
      <c r="P205" s="42">
        <f>C205*Prislapp!$C$3+D205*Prislapp!$D$3+E205*Prislapp!$E$3+F205*Prislapp!$F$3+G205*Prislapp!$G$3+H205*Prislapp!$H$3+I205*Prislapp!$I$3+J205*Prislapp!$J$3+K205*Prislapp!$K$3+M205*Prislapp!$M$3+N205*Prislapp!$N$3</f>
        <v>15773</v>
      </c>
      <c r="Q205" s="42">
        <f>C205*Prislapp!$C$5+D205*Prislapp!$D$5+E205*Prislapp!$E$5+F205*Prislapp!$F$5+G205*Prislapp!$G$5+H205*Prislapp!$H$5+I205*Prislapp!$I$5+J205*Prislapp!$J$5+K205*Prislapp!$K$5+L205*Prislapp!$L$5+M205*Prislapp!$M$5+N205*Prislapp!$N$5</f>
        <v>5800</v>
      </c>
      <c r="R205" s="9">
        <f>VLOOKUP(A205,'Ansvar kurs'!$A$2:$B$830,2,FALSE)</f>
        <v>1630</v>
      </c>
      <c r="S205" s="31" t="s">
        <v>1116</v>
      </c>
      <c r="T205" s="159" t="s">
        <v>1088</v>
      </c>
      <c r="U205" s="159"/>
      <c r="V205" s="159"/>
      <c r="W205" s="159"/>
      <c r="X205" s="159"/>
      <c r="Y205" s="159"/>
      <c r="Z205" s="159"/>
    </row>
    <row r="206" spans="1:26" x14ac:dyDescent="0.25">
      <c r="A206" s="266" t="s">
        <v>1476</v>
      </c>
      <c r="B206" s="31" t="s">
        <v>1477</v>
      </c>
      <c r="D206" s="31">
        <v>1</v>
      </c>
      <c r="O206" s="42">
        <f>C206*Prislapp!$C$2+D206*Prislapp!$D$2+E206*Prislapp!$E$2+F206*Prislapp!$F$2+G206*Prislapp!$G$2+H206*Prislapp!$H$2+I206*Prislapp!$I$2+J206*Prislapp!$J$2+K206*Prislapp!$K$2+L206*Prislapp!$L$2+M206*Prislapp!$M$2+N206*Prislapp!$N$2</f>
        <v>18405</v>
      </c>
      <c r="P206" s="42">
        <f>C206*Prislapp!$C$3+D206*Prislapp!$D$3+E206*Prislapp!$E$3+F206*Prislapp!$F$3+G206*Prislapp!$G$3+H206*Prislapp!$H$3+I206*Prislapp!$I$3+J206*Prislapp!$J$3+K206*Prislapp!$K$3+M206*Prislapp!$M$3+N206*Prislapp!$N$3</f>
        <v>15773</v>
      </c>
      <c r="Q206" s="42">
        <f>C206*Prislapp!$C$5+D206*Prislapp!$D$5+E206*Prislapp!$E$5+F206*Prislapp!$F$5+G206*Prislapp!$G$5+H206*Prislapp!$H$5+I206*Prislapp!$I$5+J206*Prislapp!$J$5+K206*Prislapp!$K$5+L206*Prislapp!$L$5+M206*Prislapp!$M$5+N206*Prislapp!$N$5</f>
        <v>5800</v>
      </c>
      <c r="R206" s="9">
        <f>VLOOKUP(A206,'Ansvar kurs'!$A$2:$B$830,2,FALSE)</f>
        <v>1630</v>
      </c>
      <c r="T206" s="159"/>
      <c r="U206" s="159"/>
      <c r="V206" s="159"/>
      <c r="W206" s="159"/>
      <c r="X206" s="159"/>
      <c r="Y206" s="159"/>
      <c r="Z206" s="159"/>
    </row>
    <row r="207" spans="1:26" x14ac:dyDescent="0.25">
      <c r="A207" s="266" t="s">
        <v>981</v>
      </c>
      <c r="B207" s="31" t="s">
        <v>982</v>
      </c>
      <c r="K207" s="31">
        <v>1</v>
      </c>
      <c r="O207" s="42">
        <f>C207*Prislapp!$C$2+D207*Prislapp!$D$2+E207*Prislapp!$E$2+F207*Prislapp!$F$2+G207*Prislapp!$G$2+H207*Prislapp!$H$2+I207*Prislapp!$I$2+J207*Prislapp!$J$2+K207*Prislapp!$K$2+L207*Prislapp!$L$2+M207*Prislapp!$M$2+N207*Prislapp!$N$2</f>
        <v>21634</v>
      </c>
      <c r="P207" s="42">
        <f>C207*Prislapp!$C$3+D207*Prislapp!$D$3+E207*Prislapp!$E$3+F207*Prislapp!$F$3+G207*Prislapp!$G$3+H207*Prislapp!$H$3+I207*Prislapp!$I$3+J207*Prislapp!$J$3+K207*Prislapp!$K$3+M207*Prislapp!$M$3+N207*Prislapp!$N$3</f>
        <v>26986</v>
      </c>
      <c r="Q207" s="42">
        <f>C207*Prislapp!$C$5+D207*Prislapp!$D$5+E207*Prislapp!$E$5+F207*Prislapp!$F$5+G207*Prislapp!$G$5+H207*Prislapp!$H$5+I207*Prislapp!$I$5+J207*Prislapp!$J$5+K207*Prislapp!$K$5+L207*Prislapp!$L$5+M207*Prislapp!$M$5+N207*Prislapp!$N$5</f>
        <v>3400</v>
      </c>
      <c r="R207" s="9">
        <f>VLOOKUP(A207,'Ansvar kurs'!$A$2:$B$830,2,FALSE)</f>
        <v>1630</v>
      </c>
      <c r="S207" s="159" t="s">
        <v>983</v>
      </c>
      <c r="T207" s="159"/>
      <c r="U207" s="159"/>
      <c r="V207" s="159"/>
      <c r="W207" s="159"/>
      <c r="X207" s="159"/>
      <c r="Y207" s="159"/>
      <c r="Z207" s="159"/>
    </row>
    <row r="208" spans="1:26" x14ac:dyDescent="0.25">
      <c r="A208" s="62" t="s">
        <v>1527</v>
      </c>
      <c r="B208" s="62" t="s">
        <v>1162</v>
      </c>
      <c r="F208" s="31">
        <v>0</v>
      </c>
      <c r="K208" s="31">
        <v>1</v>
      </c>
      <c r="O208" s="42">
        <f>C208*Prislapp!$C$2+D208*Prislapp!$D$2+E208*Prislapp!$E$2+F208*Prislapp!$F$2+G208*Prislapp!$G$2+H208*Prislapp!$H$2+I208*Prislapp!$I$2+J208*Prislapp!$J$2+K208*Prislapp!$K$2+L208*Prislapp!$L$2+M208*Prislapp!$M$2+N208*Prislapp!$N$2</f>
        <v>21634</v>
      </c>
      <c r="P208" s="42">
        <f>C208*Prislapp!$C$3+D208*Prislapp!$D$3+E208*Prislapp!$E$3+F208*Prislapp!$F$3+G208*Prislapp!$G$3+H208*Prislapp!$H$3+I208*Prislapp!$I$3+J208*Prislapp!$J$3+K208*Prislapp!$K$3+M208*Prislapp!$M$3+N208*Prislapp!$N$3</f>
        <v>26986</v>
      </c>
      <c r="Q208" s="42">
        <f>C208*Prislapp!$C$5+D208*Prislapp!$D$5+E208*Prislapp!$E$5+F208*Prislapp!$F$5+G208*Prislapp!$G$5+H208*Prislapp!$H$5+I208*Prislapp!$I$5+J208*Prislapp!$J$5+K208*Prislapp!$K$5+L208*Prislapp!$L$5+M208*Prislapp!$M$5+N208*Prislapp!$N$5</f>
        <v>3400</v>
      </c>
      <c r="R208" s="9">
        <f>VLOOKUP(A208,'Ansvar kurs'!$A$2:$B$830,2,FALSE)</f>
        <v>1630</v>
      </c>
      <c r="S208" s="186"/>
      <c r="T208" s="159"/>
      <c r="U208" s="159"/>
      <c r="V208" s="159"/>
      <c r="W208" s="159"/>
      <c r="X208" s="159"/>
      <c r="Y208" s="159"/>
      <c r="Z208" s="159"/>
    </row>
    <row r="209" spans="1:26" x14ac:dyDescent="0.25">
      <c r="A209" s="266" t="s">
        <v>2005</v>
      </c>
      <c r="B209" s="62" t="s">
        <v>2020</v>
      </c>
      <c r="K209" s="31">
        <v>1</v>
      </c>
      <c r="O209" s="42">
        <f>C209*Prislapp!$C$2+D209*Prislapp!$D$2+E209*Prislapp!$E$2+F209*Prislapp!$F$2+G209*Prislapp!$G$2+H209*Prislapp!$H$2+I209*Prislapp!$I$2+J209*Prislapp!$J$2+K209*Prislapp!$K$2+L209*Prislapp!$L$2+M209*Prislapp!$M$2+N209*Prislapp!$N$2</f>
        <v>21634</v>
      </c>
      <c r="P209" s="42">
        <f>C209*Prislapp!$C$3+D209*Prislapp!$D$3+E209*Prislapp!$E$3+F209*Prislapp!$F$3+G209*Prislapp!$G$3+H209*Prislapp!$H$3+I209*Prislapp!$I$3+J209*Prislapp!$J$3+K209*Prislapp!$K$3+M209*Prislapp!$M$3+N209*Prislapp!$N$3</f>
        <v>26986</v>
      </c>
      <c r="Q209" s="42">
        <f>C209*Prislapp!$C$5+D209*Prislapp!$D$5+E209*Prislapp!$E$5+F209*Prislapp!$F$5+G209*Prislapp!$G$5+H209*Prislapp!$H$5+I209*Prislapp!$I$5+J209*Prislapp!$J$5+K209*Prislapp!$K$5+L209*Prislapp!$L$5+M209*Prislapp!$M$5+N209*Prislapp!$N$5</f>
        <v>3400</v>
      </c>
      <c r="R209" s="9">
        <f>VLOOKUP(A209,'Ansvar kurs'!$A$2:$B$830,2,FALSE)</f>
        <v>1630</v>
      </c>
      <c r="S209" s="186"/>
      <c r="T209" s="159"/>
      <c r="U209" s="159"/>
      <c r="V209" s="159"/>
      <c r="W209" s="159"/>
      <c r="X209" s="159"/>
      <c r="Y209" s="159"/>
      <c r="Z209" s="159"/>
    </row>
    <row r="210" spans="1:26" x14ac:dyDescent="0.25">
      <c r="A210" s="266" t="s">
        <v>1960</v>
      </c>
      <c r="B210" s="313" t="s">
        <v>1967</v>
      </c>
      <c r="D210" s="31">
        <v>1</v>
      </c>
      <c r="O210" s="42">
        <f>C210*Prislapp!$C$2+D210*Prislapp!$D$2+E210*Prislapp!$E$2+F210*Prislapp!$F$2+G210*Prislapp!$G$2+H210*Prislapp!$H$2+I210*Prislapp!$I$2+J210*Prislapp!$J$2+K210*Prislapp!$K$2+L210*Prislapp!$L$2+M210*Prislapp!$M$2+N210*Prislapp!$N$2</f>
        <v>18405</v>
      </c>
      <c r="P210" s="42">
        <f>C210*Prislapp!$C$3+D210*Prislapp!$D$3+E210*Prislapp!$E$3+F210*Prislapp!$F$3+G210*Prislapp!$G$3+H210*Prislapp!$H$3+I210*Prislapp!$I$3+J210*Prislapp!$J$3+K210*Prislapp!$K$3+M210*Prislapp!$M$3+N210*Prislapp!$N$3</f>
        <v>15773</v>
      </c>
      <c r="Q210" s="42">
        <f>C210*Prislapp!$C$5+D210*Prislapp!$D$5+E210*Prislapp!$E$5+F210*Prislapp!$F$5+G210*Prislapp!$G$5+H210*Prislapp!$H$5+I210*Prislapp!$I$5+J210*Prislapp!$J$5+K210*Prislapp!$K$5+L210*Prislapp!$L$5+M210*Prislapp!$M$5+N210*Prislapp!$N$5</f>
        <v>5800</v>
      </c>
      <c r="R210" s="9">
        <f>VLOOKUP(A210,'Ansvar kurs'!$A$2:$B$830,2,FALSE)</f>
        <v>1630</v>
      </c>
      <c r="S210" s="186"/>
      <c r="T210" s="159"/>
      <c r="U210" s="159"/>
      <c r="V210" s="159"/>
      <c r="W210" s="159"/>
      <c r="X210" s="159"/>
      <c r="Y210" s="159"/>
      <c r="Z210" s="159"/>
    </row>
    <row r="211" spans="1:26" x14ac:dyDescent="0.25">
      <c r="A211" s="266" t="s">
        <v>2111</v>
      </c>
      <c r="B211" s="452" t="s">
        <v>2128</v>
      </c>
      <c r="D211" s="31">
        <v>1</v>
      </c>
      <c r="O211" s="42">
        <f>C211*Prislapp!$C$2+D211*Prislapp!$D$2+E211*Prislapp!$E$2+F211*Prislapp!$F$2+G211*Prislapp!$G$2+H211*Prislapp!$H$2+I211*Prislapp!$I$2+J211*Prislapp!$J$2+K211*Prislapp!$K$2+L211*Prislapp!$L$2+M211*Prislapp!$M$2+N211*Prislapp!$N$2</f>
        <v>18405</v>
      </c>
      <c r="P211" s="42">
        <f>C211*Prislapp!$C$3+D211*Prislapp!$D$3+E211*Prislapp!$E$3+F211*Prislapp!$F$3+G211*Prislapp!$G$3+H211*Prislapp!$H$3+I211*Prislapp!$I$3+J211*Prislapp!$J$3+K211*Prislapp!$K$3+M211*Prislapp!$M$3+N211*Prislapp!$N$3</f>
        <v>15773</v>
      </c>
      <c r="Q211" s="42">
        <f>C211*Prislapp!$C$5+D211*Prislapp!$D$5+E211*Prislapp!$E$5+F211*Prislapp!$F$5+G211*Prislapp!$G$5+H211*Prislapp!$H$5+I211*Prislapp!$I$5+J211*Prislapp!$J$5+K211*Prislapp!$K$5+L211*Prislapp!$L$5+M211*Prislapp!$M$5+N211*Prislapp!$N$5</f>
        <v>5800</v>
      </c>
      <c r="R211" s="9">
        <f>VLOOKUP(A211,'Ansvar kurs'!$A$2:$B$830,2,FALSE)</f>
        <v>1630</v>
      </c>
      <c r="S211" s="186"/>
      <c r="T211" s="159"/>
      <c r="U211" s="159"/>
      <c r="V211" s="159"/>
      <c r="W211" s="159"/>
      <c r="X211" s="159"/>
      <c r="Y211" s="159"/>
      <c r="Z211" s="159"/>
    </row>
    <row r="212" spans="1:26" x14ac:dyDescent="0.25">
      <c r="A212" s="266" t="s">
        <v>2112</v>
      </c>
      <c r="B212" s="452" t="s">
        <v>2129</v>
      </c>
      <c r="D212" s="31">
        <v>1</v>
      </c>
      <c r="O212" s="42">
        <f>C212*Prislapp!$C$2+D212*Prislapp!$D$2+E212*Prislapp!$E$2+F212*Prislapp!$F$2+G212*Prislapp!$G$2+H212*Prislapp!$H$2+I212*Prislapp!$I$2+J212*Prislapp!$J$2+K212*Prislapp!$K$2+L212*Prislapp!$L$2+M212*Prislapp!$M$2+N212*Prislapp!$N$2</f>
        <v>18405</v>
      </c>
      <c r="P212" s="42">
        <f>C212*Prislapp!$C$3+D212*Prislapp!$D$3+E212*Prislapp!$E$3+F212*Prislapp!$F$3+G212*Prislapp!$G$3+H212*Prislapp!$H$3+I212*Prislapp!$I$3+J212*Prislapp!$J$3+K212*Prislapp!$K$3+M212*Prislapp!$M$3+N212*Prislapp!$N$3</f>
        <v>15773</v>
      </c>
      <c r="Q212" s="42">
        <f>C212*Prislapp!$C$5+D212*Prislapp!$D$5+E212*Prislapp!$E$5+F212*Prislapp!$F$5+G212*Prislapp!$G$5+H212*Prislapp!$H$5+I212*Prislapp!$I$5+J212*Prislapp!$J$5+K212*Prislapp!$K$5+L212*Prislapp!$L$5+M212*Prislapp!$M$5+N212*Prislapp!$N$5</f>
        <v>5800</v>
      </c>
      <c r="R212" s="9">
        <f>VLOOKUP(A212,'Ansvar kurs'!$A$2:$B$830,2,FALSE)</f>
        <v>1630</v>
      </c>
      <c r="S212" s="186"/>
      <c r="T212" s="159"/>
      <c r="U212" s="159"/>
      <c r="V212" s="159"/>
      <c r="W212" s="159"/>
      <c r="X212" s="159"/>
      <c r="Y212" s="159"/>
      <c r="Z212" s="159"/>
    </row>
    <row r="213" spans="1:26" x14ac:dyDescent="0.25">
      <c r="A213" s="31" t="s">
        <v>92</v>
      </c>
      <c r="B213" s="31" t="s">
        <v>323</v>
      </c>
      <c r="F213" s="31">
        <v>1</v>
      </c>
      <c r="O213" s="42">
        <f>C213*Prislapp!$C$2+D213*Prislapp!$D$2+E213*Prislapp!$E$2+F213*Prislapp!$F$2+G213*Prislapp!$G$2+H213*Prislapp!$H$2+I213*Prislapp!$I$2+J213*Prislapp!$J$2+K213*Prislapp!$K$2+L213*Prislapp!$L$2+M213*Prislapp!$M$2+N213*Prislapp!$N$2</f>
        <v>23641</v>
      </c>
      <c r="P213" s="42">
        <f>C213*Prislapp!$C$3+D213*Prislapp!$D$3+E213*Prislapp!$E$3+F213*Prislapp!$F$3+G213*Prislapp!$G$3+H213*Prislapp!$H$3+I213*Prislapp!$I$3+J213*Prislapp!$J$3+K213*Prislapp!$K$3+M213*Prislapp!$M$3+N213*Prislapp!$N$3</f>
        <v>28786</v>
      </c>
      <c r="Q213" s="42">
        <f>C213*Prislapp!$C$5+D213*Prislapp!$D$5+E213*Prislapp!$E$5+F213*Prislapp!$F$5+G213*Prislapp!$G$5+H213*Prislapp!$H$5+I213*Prislapp!$I$5+J213*Prislapp!$J$5+K213*Prislapp!$K$5+L213*Prislapp!$L$5+M213*Prislapp!$M$5+N213*Prislapp!$N$5</f>
        <v>5800</v>
      </c>
      <c r="R213" s="9">
        <f>VLOOKUP(A213,'Ansvar kurs'!$A$2:$B$830,2,FALSE)</f>
        <v>1630</v>
      </c>
      <c r="S213" s="159"/>
      <c r="T213" s="159"/>
      <c r="U213" s="159"/>
      <c r="V213" s="159"/>
      <c r="W213" s="159"/>
      <c r="X213" s="159"/>
      <c r="Y213" s="159"/>
      <c r="Z213" s="159"/>
    </row>
    <row r="214" spans="1:26" x14ac:dyDescent="0.25">
      <c r="A214" s="266" t="s">
        <v>1126</v>
      </c>
      <c r="B214" s="31" t="s">
        <v>1170</v>
      </c>
      <c r="E214" s="31">
        <v>1</v>
      </c>
      <c r="O214" s="42">
        <f>C214*Prislapp!$C$2+D214*Prislapp!$D$2+E214*Prislapp!$E$2+F214*Prislapp!$F$2+G214*Prislapp!$G$2+H214*Prislapp!$H$2+I214*Prislapp!$I$2+J214*Prislapp!$J$2+K214*Prislapp!$K$2+L214*Prislapp!$L$2+M214*Prislapp!$M$2+N214*Prislapp!$N$2</f>
        <v>45034</v>
      </c>
      <c r="P214" s="42">
        <f>C214*Prislapp!$C$3+D214*Prislapp!$D$3+E214*Prislapp!$E$3+F214*Prislapp!$F$3+G214*Prislapp!$G$3+H214*Prislapp!$H$3+I214*Prislapp!$I$3+J214*Prislapp!$J$3+K214*Prislapp!$K$3+M214*Prislapp!$M$3+N214*Prislapp!$N$3</f>
        <v>31547</v>
      </c>
      <c r="Q214" s="42">
        <f>C214*Prislapp!$C$5+D214*Prislapp!$D$5+E214*Prislapp!$E$5+F214*Prislapp!$F$5+G214*Prislapp!$G$5+H214*Prislapp!$H$5+I214*Prislapp!$I$5+J214*Prislapp!$J$5+K214*Prislapp!$K$5+L214*Prislapp!$L$5+M214*Prislapp!$M$5+N214*Prislapp!$N$5</f>
        <v>34500</v>
      </c>
      <c r="R214" s="9">
        <f>VLOOKUP(A214,'Ansvar kurs'!$A$2:$B$830,2,FALSE)</f>
        <v>2180</v>
      </c>
      <c r="S214" s="31" t="s">
        <v>1296</v>
      </c>
      <c r="T214" s="186" t="s">
        <v>1128</v>
      </c>
      <c r="U214" s="159"/>
      <c r="V214" s="159"/>
      <c r="W214" s="159"/>
      <c r="X214" s="159"/>
      <c r="Y214" s="159"/>
      <c r="Z214" s="159"/>
    </row>
    <row r="215" spans="1:26" x14ac:dyDescent="0.25">
      <c r="A215" s="266" t="s">
        <v>1127</v>
      </c>
      <c r="B215" s="31" t="s">
        <v>1171</v>
      </c>
      <c r="E215" s="31">
        <v>1</v>
      </c>
      <c r="O215" s="42">
        <f>C215*Prislapp!$C$2+D215*Prislapp!$D$2+E215*Prislapp!$E$2+F215*Prislapp!$F$2+G215*Prislapp!$G$2+H215*Prislapp!$H$2+I215*Prislapp!$I$2+J215*Prislapp!$J$2+K215*Prislapp!$K$2+L215*Prislapp!$L$2+M215*Prislapp!$M$2+N215*Prislapp!$N$2</f>
        <v>45034</v>
      </c>
      <c r="P215" s="42">
        <f>C215*Prislapp!$C$3+D215*Prislapp!$D$3+E215*Prislapp!$E$3+F215*Prislapp!$F$3+G215*Prislapp!$G$3+H215*Prislapp!$H$3+I215*Prislapp!$I$3+J215*Prislapp!$J$3+K215*Prislapp!$K$3+M215*Prislapp!$M$3+N215*Prislapp!$N$3</f>
        <v>31547</v>
      </c>
      <c r="Q215" s="42">
        <f>C215*Prislapp!$C$5+D215*Prislapp!$D$5+E215*Prislapp!$E$5+F215*Prislapp!$F$5+G215*Prislapp!$G$5+H215*Prislapp!$H$5+I215*Prislapp!$I$5+J215*Prislapp!$J$5+K215*Prislapp!$K$5+L215*Prislapp!$L$5+M215*Prislapp!$M$5+N215*Prislapp!$N$5</f>
        <v>34500</v>
      </c>
      <c r="R215" s="9">
        <f>VLOOKUP(A215,'Ansvar kurs'!$A$2:$B$830,2,FALSE)</f>
        <v>2180</v>
      </c>
      <c r="S215" s="31" t="s">
        <v>1296</v>
      </c>
      <c r="T215" s="186" t="s">
        <v>1129</v>
      </c>
      <c r="U215" s="159"/>
      <c r="V215" s="159"/>
      <c r="W215" s="159"/>
      <c r="X215" s="159"/>
      <c r="Y215" s="159"/>
      <c r="Z215" s="159"/>
    </row>
    <row r="216" spans="1:26" x14ac:dyDescent="0.25">
      <c r="A216" s="266" t="s">
        <v>1557</v>
      </c>
      <c r="B216" s="62" t="s">
        <v>1558</v>
      </c>
      <c r="I216" s="31">
        <v>1</v>
      </c>
      <c r="O216" s="42">
        <f>C216*Prislapp!$C$2+D216*Prislapp!$D$2+E216*Prislapp!$E$2+F216*Prislapp!$F$2+G216*Prislapp!$G$2+H216*Prislapp!$H$2+I216*Prislapp!$I$2+J216*Prislapp!$J$2+K216*Prislapp!$K$2+L216*Prislapp!$L$2+M216*Prislapp!$M$2+N216*Prislapp!$N$2</f>
        <v>18405</v>
      </c>
      <c r="P216" s="42">
        <f>C216*Prislapp!$C$3+D216*Prislapp!$D$3+E216*Prislapp!$E$3+F216*Prislapp!$F$3+G216*Prislapp!$G$3+H216*Prislapp!$H$3+I216*Prislapp!$I$3+J216*Prislapp!$J$3+K216*Prislapp!$K$3+M216*Prislapp!$M$3+N216*Prislapp!$N$3</f>
        <v>15773</v>
      </c>
      <c r="Q216" s="42">
        <f>C216*Prislapp!$C$5+D216*Prislapp!$D$5+E216*Prislapp!$E$5+F216*Prislapp!$F$5+G216*Prislapp!$G$5+H216*Prislapp!$H$5+I216*Prislapp!$I$5+J216*Prislapp!$J$5+K216*Prislapp!$K$5+L216*Prislapp!$L$5+M216*Prislapp!$M$5+N216*Prislapp!$N$5</f>
        <v>5800</v>
      </c>
      <c r="R216" s="9">
        <f>VLOOKUP(A216,'Ansvar kurs'!$A$2:$B$830,2,FALSE)</f>
        <v>2180</v>
      </c>
      <c r="T216" s="186"/>
      <c r="U216" s="159"/>
      <c r="V216" s="159"/>
      <c r="W216" s="159"/>
      <c r="X216" s="159"/>
      <c r="Y216" s="159"/>
      <c r="Z216" s="159"/>
    </row>
    <row r="217" spans="1:26" x14ac:dyDescent="0.25">
      <c r="A217" s="266" t="s">
        <v>1482</v>
      </c>
      <c r="B217" s="31" t="s">
        <v>1436</v>
      </c>
      <c r="E217" s="31">
        <v>0</v>
      </c>
      <c r="M217" s="31">
        <v>1</v>
      </c>
      <c r="O217" s="42">
        <f>C217*Prislapp!$C$2+D217*Prislapp!$D$2+E217*Prislapp!$E$2+F217*Prislapp!$F$2+G217*Prislapp!$G$2+H217*Prislapp!$H$2+I217*Prislapp!$I$2+J217*Prislapp!$J$2+K217*Prislapp!$K$2+L217*Prislapp!$L$2+M217*Prislapp!$M$2+N217*Prislapp!$N$2</f>
        <v>15846</v>
      </c>
      <c r="P217" s="42">
        <f>C217*Prislapp!$C$3+D217*Prislapp!$D$3+E217*Prislapp!$E$3+F217*Prislapp!$F$3+G217*Prislapp!$G$3+H217*Prislapp!$H$3+I217*Prislapp!$I$3+J217*Prislapp!$J$3+K217*Prislapp!$K$3+M217*Prislapp!$M$3+N217*Prislapp!$N$3</f>
        <v>26926</v>
      </c>
      <c r="Q217" s="42">
        <f>C217*Prislapp!$C$5+D217*Prislapp!$D$5+E217*Prislapp!$E$5+F217*Prislapp!$F$5+G217*Prislapp!$G$5+H217*Prislapp!$H$5+I217*Prislapp!$I$5+J217*Prislapp!$J$5+K217*Prislapp!$K$5+L217*Prislapp!$L$5+M217*Prislapp!$M$5+N217*Prislapp!$N$5</f>
        <v>17300</v>
      </c>
      <c r="R217" s="9">
        <f>VLOOKUP(A217,'Ansvar kurs'!$A$2:$B$830,2,FALSE)</f>
        <v>2180</v>
      </c>
      <c r="S217" s="31" t="s">
        <v>1774</v>
      </c>
      <c r="T217" s="31" t="s">
        <v>1773</v>
      </c>
      <c r="U217" s="159"/>
      <c r="V217" s="159"/>
      <c r="W217" s="159"/>
      <c r="X217" s="159"/>
      <c r="Y217" s="159"/>
      <c r="Z217" s="159"/>
    </row>
    <row r="218" spans="1:26" x14ac:dyDescent="0.25">
      <c r="A218" s="266" t="s">
        <v>1472</v>
      </c>
      <c r="B218" s="328" t="s">
        <v>1433</v>
      </c>
      <c r="E218" s="31">
        <v>0</v>
      </c>
      <c r="M218" s="31">
        <v>1</v>
      </c>
      <c r="O218" s="42">
        <f>C218*Prislapp!$C$2+D218*Prislapp!$D$2+E218*Prislapp!$E$2+F218*Prislapp!$F$2+G218*Prislapp!$G$2+H218*Prislapp!$H$2+I218*Prislapp!$I$2+J218*Prislapp!$J$2+K218*Prislapp!$K$2+L218*Prislapp!$L$2+M218*Prislapp!$M$2+N218*Prislapp!$N$2</f>
        <v>15846</v>
      </c>
      <c r="P218" s="42">
        <f>C218*Prislapp!$C$3+D218*Prislapp!$D$3+E218*Prislapp!$E$3+F218*Prislapp!$F$3+G218*Prislapp!$G$3+H218*Prislapp!$H$3+I218*Prislapp!$I$3+J218*Prislapp!$J$3+K218*Prislapp!$K$3+M218*Prislapp!$M$3+N218*Prislapp!$N$3</f>
        <v>26926</v>
      </c>
      <c r="Q218" s="42">
        <f>C218*Prislapp!$C$5+D218*Prislapp!$D$5+E218*Prislapp!$E$5+F218*Prislapp!$F$5+G218*Prislapp!$G$5+H218*Prislapp!$H$5+I218*Prislapp!$I$5+J218*Prislapp!$J$5+K218*Prislapp!$K$5+L218*Prislapp!$L$5+M218*Prislapp!$M$5+N218*Prislapp!$N$5</f>
        <v>17300</v>
      </c>
      <c r="R218" s="9">
        <f>VLOOKUP(A218,'Ansvar kurs'!$A$2:$B$830,2,FALSE)</f>
        <v>2180</v>
      </c>
      <c r="S218" s="31" t="s">
        <v>1774</v>
      </c>
      <c r="T218" s="31" t="s">
        <v>1773</v>
      </c>
      <c r="U218" s="159"/>
      <c r="V218" s="159"/>
      <c r="W218" s="159"/>
      <c r="X218" s="159"/>
      <c r="Y218" s="159"/>
      <c r="Z218" s="159"/>
    </row>
    <row r="219" spans="1:26" x14ac:dyDescent="0.25">
      <c r="A219" s="59" t="s">
        <v>1586</v>
      </c>
      <c r="B219" s="59" t="s">
        <v>1607</v>
      </c>
      <c r="E219" s="31">
        <v>1</v>
      </c>
      <c r="O219" s="42">
        <f>C219*Prislapp!$C$2+D219*Prislapp!$D$2+E219*Prislapp!$E$2+F219*Prislapp!$F$2+G219*Prislapp!$G$2+H219*Prislapp!$H$2+I219*Prislapp!$I$2+J219*Prislapp!$J$2+K219*Prislapp!$K$2+L219*Prislapp!$L$2+M219*Prislapp!$M$2+N219*Prislapp!$N$2</f>
        <v>45034</v>
      </c>
      <c r="P219" s="42">
        <f>C219*Prislapp!$C$3+D219*Prislapp!$D$3+E219*Prislapp!$E$3+F219*Prislapp!$F$3+G219*Prislapp!$G$3+H219*Prislapp!$H$3+I219*Prislapp!$I$3+J219*Prislapp!$J$3+K219*Prislapp!$K$3+M219*Prislapp!$M$3+N219*Prislapp!$N$3</f>
        <v>31547</v>
      </c>
      <c r="Q219" s="42">
        <f>C219*Prislapp!$C$5+D219*Prislapp!$D$5+E219*Prislapp!$E$5+F219*Prislapp!$F$5+G219*Prislapp!$G$5+H219*Prislapp!$H$5+I219*Prislapp!$I$5+J219*Prislapp!$J$5+K219*Prislapp!$K$5+L219*Prislapp!$L$5+M219*Prislapp!$M$5+N219*Prislapp!$N$5</f>
        <v>34500</v>
      </c>
      <c r="R219" s="9">
        <f>VLOOKUP(A219,'Ansvar kurs'!$A$2:$B$830,2,FALSE)</f>
        <v>2180</v>
      </c>
      <c r="S219" s="159"/>
      <c r="T219" s="159"/>
      <c r="U219" s="159"/>
      <c r="V219" s="159"/>
      <c r="W219" s="159"/>
      <c r="X219" s="159"/>
      <c r="Y219" s="159"/>
      <c r="Z219" s="159"/>
    </row>
    <row r="220" spans="1:26" x14ac:dyDescent="0.25">
      <c r="A220" s="266" t="s">
        <v>1822</v>
      </c>
      <c r="B220" s="59" t="s">
        <v>1832</v>
      </c>
      <c r="E220" s="31">
        <v>1</v>
      </c>
      <c r="O220" s="42">
        <f>C220*Prislapp!$C$2+D220*Prislapp!$D$2+E220*Prislapp!$E$2+F220*Prislapp!$F$2+G220*Prislapp!$G$2+H220*Prislapp!$H$2+I220*Prislapp!$I$2+J220*Prislapp!$J$2+K220*Prislapp!$K$2+L220*Prislapp!$L$2+M220*Prislapp!$M$2+N220*Prislapp!$N$2</f>
        <v>45034</v>
      </c>
      <c r="P220" s="42">
        <f>C220*Prislapp!$C$3+D220*Prislapp!$D$3+E220*Prislapp!$E$3+F220*Prislapp!$F$3+G220*Prislapp!$G$3+H220*Prislapp!$H$3+I220*Prislapp!$I$3+J220*Prislapp!$J$3+K220*Prislapp!$K$3+M220*Prislapp!$M$3+N220*Prislapp!$N$3</f>
        <v>31547</v>
      </c>
      <c r="Q220" s="42">
        <f>C220*Prislapp!$C$5+D220*Prislapp!$D$5+E220*Prislapp!$E$5+F220*Prislapp!$F$5+G220*Prislapp!$G$5+H220*Prislapp!$H$5+I220*Prislapp!$I$5+J220*Prislapp!$J$5+K220*Prislapp!$K$5+L220*Prislapp!$L$5+M220*Prislapp!$M$5+N220*Prislapp!$N$5</f>
        <v>34500</v>
      </c>
      <c r="R220" s="9">
        <f>VLOOKUP(A220,'Ansvar kurs'!$A$2:$B$830,2,FALSE)</f>
        <v>2180</v>
      </c>
      <c r="S220" s="159" t="s">
        <v>1885</v>
      </c>
      <c r="T220" s="159" t="s">
        <v>1886</v>
      </c>
      <c r="U220" s="159"/>
      <c r="V220" s="159"/>
      <c r="W220" s="159"/>
      <c r="X220" s="159"/>
      <c r="Y220" s="159"/>
      <c r="Z220" s="159"/>
    </row>
    <row r="221" spans="1:26" x14ac:dyDescent="0.25">
      <c r="A221" s="31" t="s">
        <v>497</v>
      </c>
      <c r="B221" s="31" t="s">
        <v>677</v>
      </c>
      <c r="E221" s="31">
        <v>1</v>
      </c>
      <c r="O221" s="42">
        <f>C221*Prislapp!$C$2+D221*Prislapp!$D$2+E221*Prislapp!$E$2+F221*Prislapp!$F$2+G221*Prislapp!$G$2+H221*Prislapp!$H$2+I221*Prislapp!$I$2+J221*Prislapp!$J$2+K221*Prislapp!$K$2+L221*Prislapp!$L$2+M221*Prislapp!$M$2+N221*Prislapp!$N$2</f>
        <v>45034</v>
      </c>
      <c r="P221" s="42">
        <f>C221*Prislapp!$C$3+D221*Prislapp!$D$3+E221*Prislapp!$E$3+F221*Prislapp!$F$3+G221*Prislapp!$G$3+H221*Prislapp!$H$3+I221*Prislapp!$I$3+J221*Prislapp!$J$3+K221*Prislapp!$K$3+M221*Prislapp!$M$3+N221*Prislapp!$N$3</f>
        <v>31547</v>
      </c>
      <c r="Q221" s="42">
        <f>C221*Prislapp!$C$5+D221*Prislapp!$D$5+E221*Prislapp!$E$5+F221*Prislapp!$F$5+G221*Prislapp!$G$5+H221*Prislapp!$H$5+I221*Prislapp!$I$5+J221*Prislapp!$J$5+K221*Prislapp!$K$5+L221*Prislapp!$L$5+M221*Prislapp!$M$5+N221*Prislapp!$N$5</f>
        <v>34500</v>
      </c>
      <c r="R221" s="9">
        <f>VLOOKUP(A221,'Ansvar kurs'!$A$2:$B$830,2,FALSE)</f>
        <v>2180</v>
      </c>
      <c r="S221" s="159"/>
      <c r="T221" s="159"/>
      <c r="U221" s="159"/>
      <c r="V221" s="159"/>
      <c r="W221" s="159"/>
      <c r="X221" s="159"/>
      <c r="Y221" s="159"/>
      <c r="Z221" s="159"/>
    </row>
    <row r="222" spans="1:26" x14ac:dyDescent="0.25">
      <c r="A222" s="265" t="s">
        <v>584</v>
      </c>
      <c r="B222" s="31" t="s">
        <v>611</v>
      </c>
      <c r="E222" s="31">
        <v>1</v>
      </c>
      <c r="O222" s="42">
        <f>C222*Prislapp!$C$2+D222*Prislapp!$D$2+E222*Prislapp!$E$2+F222*Prislapp!$F$2+G222*Prislapp!$G$2+H222*Prislapp!$H$2+I222*Prislapp!$I$2+J222*Prislapp!$J$2+K222*Prislapp!$K$2+L222*Prislapp!$L$2+M222*Prislapp!$M$2+N222*Prislapp!$N$2</f>
        <v>45034</v>
      </c>
      <c r="P222" s="42">
        <f>C222*Prislapp!$C$3+D222*Prislapp!$D$3+E222*Prislapp!$E$3+F222*Prislapp!$F$3+G222*Prislapp!$G$3+H222*Prislapp!$H$3+I222*Prislapp!$I$3+J222*Prislapp!$J$3+K222*Prislapp!$K$3+M222*Prislapp!$M$3+N222*Prislapp!$N$3</f>
        <v>31547</v>
      </c>
      <c r="Q222" s="42">
        <f>C222*Prislapp!$C$5+D222*Prislapp!$D$5+E222*Prislapp!$E$5+F222*Prislapp!$F$5+G222*Prislapp!$G$5+H222*Prislapp!$H$5+I222*Prislapp!$I$5+J222*Prislapp!$J$5+K222*Prislapp!$K$5+L222*Prislapp!$L$5+M222*Prislapp!$M$5+N222*Prislapp!$N$5</f>
        <v>34500</v>
      </c>
      <c r="R222" s="9">
        <f>VLOOKUP(A222,'Ansvar kurs'!$A$2:$B$830,2,FALSE)</f>
        <v>2180</v>
      </c>
      <c r="S222" s="159"/>
      <c r="T222" s="159"/>
      <c r="U222" s="159"/>
      <c r="V222" s="159"/>
      <c r="W222" s="159"/>
      <c r="X222" s="159"/>
      <c r="Y222" s="159"/>
      <c r="Z222" s="159"/>
    </row>
    <row r="223" spans="1:26" x14ac:dyDescent="0.25">
      <c r="A223" s="265" t="s">
        <v>585</v>
      </c>
      <c r="B223" s="31" t="s">
        <v>1172</v>
      </c>
      <c r="K223" s="31">
        <v>1</v>
      </c>
      <c r="O223" s="42">
        <f>C223*Prislapp!$C$2+D223*Prislapp!$D$2+E223*Prislapp!$E$2+F223*Prislapp!$F$2+G223*Prislapp!$G$2+H223*Prislapp!$H$2+I223*Prislapp!$I$2+J223*Prislapp!$J$2+K223*Prislapp!$K$2+L223*Prislapp!$L$2+M223*Prislapp!$M$2+N223*Prislapp!$N$2</f>
        <v>21634</v>
      </c>
      <c r="P223" s="42">
        <f>C223*Prislapp!$C$3+D223*Prislapp!$D$3+E223*Prislapp!$E$3+F223*Prislapp!$F$3+G223*Prislapp!$G$3+H223*Prislapp!$H$3+I223*Prislapp!$I$3+J223*Prislapp!$J$3+K223*Prislapp!$K$3+M223*Prislapp!$M$3+N223*Prislapp!$N$3</f>
        <v>26986</v>
      </c>
      <c r="Q223" s="42">
        <f>C223*Prislapp!$C$5+D223*Prislapp!$D$5+E223*Prislapp!$E$5+F223*Prislapp!$F$5+G223*Prislapp!$G$5+H223*Prislapp!$H$5+I223*Prislapp!$I$5+J223*Prislapp!$J$5+K223*Prislapp!$K$5+L223*Prislapp!$L$5+M223*Prislapp!$M$5+N223*Prislapp!$N$5</f>
        <v>3400</v>
      </c>
      <c r="R223" s="9">
        <f>VLOOKUP(A223,'Ansvar kurs'!$A$2:$B$830,2,FALSE)</f>
        <v>2180</v>
      </c>
      <c r="S223" s="159"/>
      <c r="T223" s="159"/>
      <c r="U223" s="159"/>
      <c r="V223" s="159"/>
      <c r="W223" s="159"/>
      <c r="X223" s="159"/>
      <c r="Y223" s="159"/>
      <c r="Z223" s="159"/>
    </row>
    <row r="224" spans="1:26" x14ac:dyDescent="0.25">
      <c r="A224" s="265" t="s">
        <v>1037</v>
      </c>
      <c r="B224" s="31" t="s">
        <v>1068</v>
      </c>
      <c r="F224" s="31">
        <v>1</v>
      </c>
      <c r="O224" s="42">
        <f>C224*Prislapp!$C$2+D224*Prislapp!$D$2+E224*Prislapp!$E$2+F224*Prislapp!$F$2+G224*Prislapp!$G$2+H224*Prislapp!$H$2+I224*Prislapp!$I$2+J224*Prislapp!$J$2+K224*Prislapp!$K$2+L224*Prislapp!$L$2+M224*Prislapp!$M$2+N224*Prislapp!$N$2</f>
        <v>23641</v>
      </c>
      <c r="P224" s="42">
        <f>C224*Prislapp!$C$3+D224*Prislapp!$D$3+E224*Prislapp!$E$3+F224*Prislapp!$F$3+G224*Prislapp!$G$3+H224*Prislapp!$H$3+I224*Prislapp!$I$3+J224*Prislapp!$J$3+K224*Prislapp!$K$3+M224*Prislapp!$M$3+N224*Prislapp!$N$3</f>
        <v>28786</v>
      </c>
      <c r="Q224" s="42">
        <f>C224*Prislapp!$C$5+D224*Prislapp!$D$5+E224*Prislapp!$E$5+F224*Prislapp!$F$5+G224*Prislapp!$G$5+H224*Prislapp!$H$5+I224*Prislapp!$I$5+J224*Prislapp!$J$5+K224*Prislapp!$K$5+L224*Prislapp!$L$5+M224*Prislapp!$M$5+N224*Prislapp!$N$5</f>
        <v>5800</v>
      </c>
      <c r="R224" s="9">
        <f>VLOOKUP(A224,'Ansvar kurs'!$A$2:$B$830,2,FALSE)</f>
        <v>2180</v>
      </c>
      <c r="S224" s="159"/>
      <c r="T224" s="159"/>
      <c r="U224" s="159"/>
      <c r="V224" s="159"/>
      <c r="W224" s="159"/>
      <c r="X224" s="159"/>
      <c r="Y224" s="159"/>
      <c r="Z224" s="159"/>
    </row>
    <row r="225" spans="1:26" x14ac:dyDescent="0.25">
      <c r="A225" s="265" t="s">
        <v>1038</v>
      </c>
      <c r="B225" s="31" t="s">
        <v>1069</v>
      </c>
      <c r="K225" s="31">
        <v>1</v>
      </c>
      <c r="O225" s="42">
        <f>C225*Prislapp!$C$2+D225*Prislapp!$D$2+E225*Prislapp!$E$2+F225*Prislapp!$F$2+G225*Prislapp!$G$2+H225*Prislapp!$H$2+I225*Prislapp!$I$2+J225*Prislapp!$J$2+K225*Prislapp!$K$2+L225*Prislapp!$L$2+M225*Prislapp!$M$2+N225*Prislapp!$N$2</f>
        <v>21634</v>
      </c>
      <c r="P225" s="42">
        <f>C225*Prislapp!$C$3+D225*Prislapp!$D$3+E225*Prislapp!$E$3+F225*Prislapp!$F$3+G225*Prislapp!$G$3+H225*Prislapp!$H$3+I225*Prislapp!$I$3+J225*Prislapp!$J$3+K225*Prislapp!$K$3+M225*Prislapp!$M$3+N225*Prislapp!$N$3</f>
        <v>26986</v>
      </c>
      <c r="Q225" s="42">
        <f>C225*Prislapp!$C$5+D225*Prislapp!$D$5+E225*Prislapp!$E$5+F225*Prislapp!$F$5+G225*Prislapp!$G$5+H225*Prislapp!$H$5+I225*Prislapp!$I$5+J225*Prislapp!$J$5+K225*Prislapp!$K$5+L225*Prislapp!$L$5+M225*Prislapp!$M$5+N225*Prislapp!$N$5</f>
        <v>3400</v>
      </c>
      <c r="R225" s="9">
        <f>VLOOKUP(A225,'Ansvar kurs'!$A$2:$B$830,2,FALSE)</f>
        <v>2180</v>
      </c>
      <c r="S225" s="159"/>
      <c r="T225" s="159"/>
      <c r="U225" s="159"/>
      <c r="V225" s="159"/>
      <c r="W225" s="159"/>
      <c r="X225" s="159"/>
      <c r="Y225" s="159"/>
      <c r="Z225" s="159"/>
    </row>
    <row r="226" spans="1:26" x14ac:dyDescent="0.25">
      <c r="A226" s="265" t="s">
        <v>1039</v>
      </c>
      <c r="B226" s="31" t="s">
        <v>1173</v>
      </c>
      <c r="F226" s="31">
        <v>0</v>
      </c>
      <c r="I226" s="31">
        <v>1</v>
      </c>
      <c r="O226" s="42">
        <f>C226*Prislapp!$C$2+D226*Prislapp!$D$2+E226*Prislapp!$E$2+F226*Prislapp!$F$2+G226*Prislapp!$G$2+H226*Prislapp!$H$2+I226*Prislapp!$I$2+J226*Prislapp!$J$2+K226*Prislapp!$K$2+L226*Prislapp!$L$2+M226*Prislapp!$M$2+N226*Prislapp!$N$2</f>
        <v>18405</v>
      </c>
      <c r="P226" s="42">
        <f>C226*Prislapp!$C$3+D226*Prislapp!$D$3+E226*Prislapp!$E$3+F226*Prislapp!$F$3+G226*Prislapp!$G$3+H226*Prislapp!$H$3+I226*Prislapp!$I$3+J226*Prislapp!$J$3+K226*Prislapp!$K$3+M226*Prislapp!$M$3+N226*Prislapp!$N$3</f>
        <v>15773</v>
      </c>
      <c r="Q226" s="42">
        <f>C226*Prislapp!$C$5+D226*Prislapp!$D$5+E226*Prislapp!$E$5+F226*Prislapp!$F$5+G226*Prislapp!$G$5+H226*Prislapp!$H$5+I226*Prislapp!$I$5+J226*Prislapp!$J$5+K226*Prislapp!$K$5+L226*Prislapp!$L$5+M226*Prislapp!$M$5+N226*Prislapp!$N$5</f>
        <v>5800</v>
      </c>
      <c r="R226" s="9">
        <f>VLOOKUP(A226,'Ansvar kurs'!$A$2:$B$830,2,FALSE)</f>
        <v>2180</v>
      </c>
      <c r="S226" s="159" t="s">
        <v>1312</v>
      </c>
      <c r="T226" s="159"/>
      <c r="U226" s="159"/>
      <c r="V226" s="159"/>
      <c r="W226" s="159"/>
      <c r="X226" s="159"/>
      <c r="Y226" s="159"/>
      <c r="Z226" s="159"/>
    </row>
    <row r="227" spans="1:26" x14ac:dyDescent="0.25">
      <c r="A227" s="266" t="s">
        <v>869</v>
      </c>
      <c r="B227" s="31" t="s">
        <v>1174</v>
      </c>
      <c r="E227" s="31">
        <v>1</v>
      </c>
      <c r="O227" s="42">
        <f>C227*Prislapp!$C$2+D227*Prislapp!$D$2+E227*Prislapp!$E$2+F227*Prislapp!$F$2+G227*Prislapp!$G$2+H227*Prislapp!$H$2+I227*Prislapp!$I$2+J227*Prislapp!$J$2+K227*Prislapp!$K$2+L227*Prislapp!$L$2+M227*Prislapp!$M$2+N227*Prislapp!$N$2</f>
        <v>45034</v>
      </c>
      <c r="P227" s="42">
        <f>C227*Prislapp!$C$3+D227*Prislapp!$D$3+E227*Prislapp!$E$3+F227*Prislapp!$F$3+G227*Prislapp!$G$3+H227*Prislapp!$H$3+I227*Prislapp!$I$3+J227*Prislapp!$J$3+K227*Prislapp!$K$3+M227*Prislapp!$M$3+N227*Prislapp!$N$3</f>
        <v>31547</v>
      </c>
      <c r="Q227" s="42">
        <f>C227*Prislapp!$C$5+D227*Prislapp!$D$5+E227*Prislapp!$E$5+F227*Prislapp!$F$5+G227*Prislapp!$G$5+H227*Prislapp!$H$5+I227*Prislapp!$I$5+J227*Prislapp!$J$5+K227*Prislapp!$K$5+L227*Prislapp!$L$5+M227*Prislapp!$M$5+N227*Prislapp!$N$5</f>
        <v>34500</v>
      </c>
      <c r="R227" s="9">
        <f>VLOOKUP(A227,'Ansvar kurs'!$A$2:$B$830,2,FALSE)</f>
        <v>2180</v>
      </c>
      <c r="S227" s="159" t="s">
        <v>964</v>
      </c>
      <c r="T227" s="159"/>
      <c r="U227" s="159"/>
      <c r="V227" s="159"/>
      <c r="W227" s="159"/>
      <c r="X227" s="159"/>
      <c r="Y227" s="159"/>
      <c r="Z227" s="159"/>
    </row>
    <row r="228" spans="1:26" x14ac:dyDescent="0.25">
      <c r="A228" s="266" t="s">
        <v>870</v>
      </c>
      <c r="B228" s="31" t="s">
        <v>1175</v>
      </c>
      <c r="E228" s="31">
        <v>1</v>
      </c>
      <c r="O228" s="42">
        <f>C228*Prislapp!$C$2+D228*Prislapp!$D$2+E228*Prislapp!$E$2+F228*Prislapp!$F$2+G228*Prislapp!$G$2+H228*Prislapp!$H$2+I228*Prislapp!$I$2+J228*Prislapp!$J$2+K228*Prislapp!$K$2+L228*Prislapp!$L$2+M228*Prislapp!$M$2+N228*Prislapp!$N$2</f>
        <v>45034</v>
      </c>
      <c r="P228" s="42">
        <f>C228*Prislapp!$C$3+D228*Prislapp!$D$3+E228*Prislapp!$E$3+F228*Prislapp!$F$3+G228*Prislapp!$G$3+H228*Prislapp!$H$3+I228*Prislapp!$I$3+J228*Prislapp!$J$3+K228*Prislapp!$K$3+M228*Prislapp!$M$3+N228*Prislapp!$N$3</f>
        <v>31547</v>
      </c>
      <c r="Q228" s="42">
        <f>C228*Prislapp!$C$5+D228*Prislapp!$D$5+E228*Prislapp!$E$5+F228*Prislapp!$F$5+G228*Prislapp!$G$5+H228*Prislapp!$H$5+I228*Prislapp!$I$5+J228*Prislapp!$J$5+K228*Prislapp!$K$5+L228*Prislapp!$L$5+M228*Prislapp!$M$5+N228*Prislapp!$N$5</f>
        <v>34500</v>
      </c>
      <c r="R228" s="9">
        <f>VLOOKUP(A228,'Ansvar kurs'!$A$2:$B$830,2,FALSE)</f>
        <v>2180</v>
      </c>
      <c r="S228" s="159" t="s">
        <v>964</v>
      </c>
      <c r="T228" s="159"/>
      <c r="U228" s="159"/>
      <c r="V228" s="159"/>
      <c r="W228" s="159"/>
      <c r="X228" s="159"/>
      <c r="Y228" s="159"/>
      <c r="Z228" s="159"/>
    </row>
    <row r="229" spans="1:26" x14ac:dyDescent="0.25">
      <c r="A229" s="31" t="s">
        <v>586</v>
      </c>
      <c r="B229" s="31" t="s">
        <v>678</v>
      </c>
      <c r="E229" s="31">
        <v>1</v>
      </c>
      <c r="O229" s="42">
        <f>C229*Prislapp!$C$2+D229*Prislapp!$D$2+E229*Prislapp!$E$2+F229*Prislapp!$F$2+G229*Prislapp!$G$2+H229*Prislapp!$H$2+I229*Prislapp!$I$2+J229*Prislapp!$J$2+K229*Prislapp!$K$2+L229*Prislapp!$L$2+M229*Prislapp!$M$2+N229*Prislapp!$N$2</f>
        <v>45034</v>
      </c>
      <c r="P229" s="42">
        <f>C229*Prislapp!$C$3+D229*Prislapp!$D$3+E229*Prislapp!$E$3+F229*Prislapp!$F$3+G229*Prislapp!$G$3+H229*Prislapp!$H$3+I229*Prislapp!$I$3+J229*Prislapp!$J$3+K229*Prislapp!$K$3+M229*Prislapp!$M$3+N229*Prislapp!$N$3</f>
        <v>31547</v>
      </c>
      <c r="Q229" s="42">
        <f>C229*Prislapp!$C$5+D229*Prislapp!$D$5+E229*Prislapp!$E$5+F229*Prislapp!$F$5+G229*Prislapp!$G$5+H229*Prislapp!$H$5+I229*Prislapp!$I$5+J229*Prislapp!$J$5+K229*Prislapp!$K$5+L229*Prislapp!$L$5+M229*Prislapp!$M$5+N229*Prislapp!$N$5</f>
        <v>34500</v>
      </c>
      <c r="R229" s="9">
        <f>VLOOKUP(A229,'Ansvar kurs'!$A$2:$B$830,2,FALSE)</f>
        <v>2180</v>
      </c>
      <c r="S229" s="159"/>
      <c r="T229" s="159"/>
      <c r="U229" s="159"/>
      <c r="V229" s="159"/>
      <c r="W229" s="159"/>
      <c r="X229" s="159"/>
      <c r="Y229" s="159"/>
      <c r="Z229" s="159"/>
    </row>
    <row r="230" spans="1:26" x14ac:dyDescent="0.25">
      <c r="A230" s="266" t="s">
        <v>1000</v>
      </c>
      <c r="B230" s="31" t="s">
        <v>1176</v>
      </c>
      <c r="E230" s="31">
        <v>1</v>
      </c>
      <c r="O230" s="42">
        <f>C230*Prislapp!$C$2+D230*Prislapp!$D$2+E230*Prislapp!$E$2+F230*Prislapp!$F$2+G230*Prislapp!$G$2+H230*Prislapp!$H$2+I230*Prislapp!$I$2+J230*Prislapp!$J$2+K230*Prislapp!$K$2+L230*Prislapp!$L$2+M230*Prislapp!$M$2+N230*Prislapp!$N$2</f>
        <v>45034</v>
      </c>
      <c r="P230" s="42">
        <f>C230*Prislapp!$C$3+D230*Prislapp!$D$3+E230*Prislapp!$E$3+F230*Prislapp!$F$3+G230*Prislapp!$G$3+H230*Prislapp!$H$3+I230*Prislapp!$I$3+J230*Prislapp!$J$3+K230*Prislapp!$K$3+M230*Prislapp!$M$3+N230*Prislapp!$N$3</f>
        <v>31547</v>
      </c>
      <c r="Q230" s="42">
        <f>C230*Prislapp!$C$5+D230*Prislapp!$D$5+E230*Prislapp!$E$5+F230*Prislapp!$F$5+G230*Prislapp!$G$5+H230*Prislapp!$H$5+I230*Prislapp!$I$5+J230*Prislapp!$J$5+K230*Prislapp!$K$5+L230*Prislapp!$L$5+M230*Prislapp!$M$5+N230*Prislapp!$N$5</f>
        <v>34500</v>
      </c>
      <c r="R230" s="9">
        <f>VLOOKUP(A230,'Ansvar kurs'!$A$2:$B$830,2,FALSE)</f>
        <v>2180</v>
      </c>
      <c r="S230" s="159" t="s">
        <v>1077</v>
      </c>
      <c r="T230" s="159" t="s">
        <v>1002</v>
      </c>
      <c r="U230" s="159"/>
      <c r="V230" s="159"/>
      <c r="W230" s="159"/>
      <c r="X230" s="159"/>
      <c r="Y230" s="159"/>
      <c r="Z230" s="159"/>
    </row>
    <row r="231" spans="1:26" x14ac:dyDescent="0.25">
      <c r="A231" s="266" t="s">
        <v>1001</v>
      </c>
      <c r="B231" s="31" t="s">
        <v>1177</v>
      </c>
      <c r="E231" s="31">
        <v>1</v>
      </c>
      <c r="O231" s="42">
        <f>C231*Prislapp!$C$2+D231*Prislapp!$D$2+E231*Prislapp!$E$2+F231*Prislapp!$F$2+G231*Prislapp!$G$2+H231*Prislapp!$H$2+I231*Prislapp!$I$2+J231*Prislapp!$J$2+K231*Prislapp!$K$2+L231*Prislapp!$L$2+M231*Prislapp!$M$2+N231*Prislapp!$N$2</f>
        <v>45034</v>
      </c>
      <c r="P231" s="42">
        <f>C231*Prislapp!$C$3+D231*Prislapp!$D$3+E231*Prislapp!$E$3+F231*Prislapp!$F$3+G231*Prislapp!$G$3+H231*Prislapp!$H$3+I231*Prislapp!$I$3+J231*Prislapp!$J$3+K231*Prislapp!$K$3+M231*Prislapp!$M$3+N231*Prislapp!$N$3</f>
        <v>31547</v>
      </c>
      <c r="Q231" s="42">
        <f>C231*Prislapp!$C$5+D231*Prislapp!$D$5+E231*Prislapp!$E$5+F231*Prislapp!$F$5+G231*Prislapp!$G$5+H231*Prislapp!$H$5+I231*Prislapp!$I$5+J231*Prislapp!$J$5+K231*Prislapp!$K$5+L231*Prislapp!$L$5+M231*Prislapp!$M$5+N231*Prislapp!$N$5</f>
        <v>34500</v>
      </c>
      <c r="R231" s="9">
        <f>VLOOKUP(A231,'Ansvar kurs'!$A$2:$B$830,2,FALSE)</f>
        <v>2180</v>
      </c>
      <c r="S231" s="159" t="s">
        <v>1077</v>
      </c>
      <c r="T231" s="159" t="s">
        <v>1003</v>
      </c>
      <c r="U231" s="159"/>
      <c r="V231" s="159"/>
      <c r="W231" s="159"/>
      <c r="X231" s="159"/>
      <c r="Y231" s="159"/>
      <c r="Z231" s="159"/>
    </row>
    <row r="232" spans="1:26" x14ac:dyDescent="0.25">
      <c r="A232" s="266" t="s">
        <v>1715</v>
      </c>
      <c r="B232" t="s">
        <v>1667</v>
      </c>
      <c r="I232" s="31">
        <v>1</v>
      </c>
      <c r="O232" s="42">
        <f>C232*Prislapp!$C$2+D232*Prislapp!$D$2+E232*Prislapp!$E$2+F232*Prislapp!$F$2+G232*Prislapp!$G$2+H232*Prislapp!$H$2+I232*Prislapp!$I$2+J232*Prislapp!$J$2+K232*Prislapp!$K$2+L232*Prislapp!$L$2+M232*Prislapp!$M$2+N232*Prislapp!$N$2</f>
        <v>18405</v>
      </c>
      <c r="P232" s="42">
        <f>C232*Prislapp!$C$3+D232*Prislapp!$D$3+E232*Prislapp!$E$3+F232*Prislapp!$F$3+G232*Prislapp!$G$3+H232*Prislapp!$H$3+I232*Prislapp!$I$3+J232*Prislapp!$J$3+K232*Prislapp!$K$3+M232*Prislapp!$M$3+N232*Prislapp!$N$3</f>
        <v>15773</v>
      </c>
      <c r="Q232" s="42">
        <f>C232*Prislapp!$C$5+D232*Prislapp!$D$5+E232*Prislapp!$E$5+F232*Prislapp!$F$5+G232*Prislapp!$G$5+H232*Prislapp!$H$5+I232*Prislapp!$I$5+J232*Prislapp!$J$5+K232*Prislapp!$K$5+L232*Prislapp!$L$5+M232*Prislapp!$M$5+N232*Prislapp!$N$5</f>
        <v>5800</v>
      </c>
      <c r="R232" s="9">
        <f>VLOOKUP(A232,'Ansvar kurs'!$A$2:$B$830,2,FALSE)</f>
        <v>2193</v>
      </c>
      <c r="S232" s="159"/>
      <c r="T232" s="159"/>
      <c r="U232" s="159"/>
      <c r="V232" s="159"/>
      <c r="W232" s="159"/>
      <c r="X232" s="159"/>
      <c r="Y232" s="159"/>
      <c r="Z232" s="159"/>
    </row>
    <row r="233" spans="1:26" x14ac:dyDescent="0.25">
      <c r="A233" s="266" t="s">
        <v>1714</v>
      </c>
      <c r="B233" t="s">
        <v>1666</v>
      </c>
      <c r="I233" s="31">
        <v>1</v>
      </c>
      <c r="O233" s="42">
        <f>C233*Prislapp!$C$2+D233*Prislapp!$D$2+E233*Prislapp!$E$2+F233*Prislapp!$F$2+G233*Prislapp!$G$2+H233*Prislapp!$H$2+I233*Prislapp!$I$2+J233*Prislapp!$J$2+K233*Prislapp!$K$2+L233*Prislapp!$L$2+M233*Prislapp!$M$2+N233*Prislapp!$N$2</f>
        <v>18405</v>
      </c>
      <c r="P233" s="42">
        <f>C233*Prislapp!$C$3+D233*Prislapp!$D$3+E233*Prislapp!$E$3+F233*Prislapp!$F$3+G233*Prislapp!$G$3+H233*Prislapp!$H$3+I233*Prislapp!$I$3+J233*Prislapp!$J$3+K233*Prislapp!$K$3+M233*Prislapp!$M$3+N233*Prislapp!$N$3</f>
        <v>15773</v>
      </c>
      <c r="Q233" s="42">
        <f>C233*Prislapp!$C$5+D233*Prislapp!$D$5+E233*Prislapp!$E$5+F233*Prislapp!$F$5+G233*Prislapp!$G$5+H233*Prislapp!$H$5+I233*Prislapp!$I$5+J233*Prislapp!$J$5+K233*Prislapp!$K$5+L233*Prislapp!$L$5+M233*Prislapp!$M$5+N233*Prislapp!$N$5</f>
        <v>5800</v>
      </c>
      <c r="R233" s="9">
        <f>VLOOKUP(A233,'Ansvar kurs'!$A$2:$B$830,2,FALSE)</f>
        <v>2193</v>
      </c>
      <c r="S233" s="159"/>
      <c r="T233" s="159"/>
      <c r="U233" s="159"/>
      <c r="V233" s="159"/>
      <c r="W233" s="159"/>
      <c r="X233" s="159"/>
      <c r="Y233" s="159"/>
      <c r="Z233" s="159"/>
    </row>
    <row r="234" spans="1:26" x14ac:dyDescent="0.25">
      <c r="A234" s="31" t="s">
        <v>965</v>
      </c>
      <c r="B234" s="31" t="s">
        <v>966</v>
      </c>
      <c r="I234" s="31">
        <v>1</v>
      </c>
      <c r="O234" s="42">
        <f>C234*Prislapp!$C$2+D234*Prislapp!$D$2+E234*Prislapp!$E$2+F234*Prislapp!$F$2+G234*Prislapp!$G$2+H234*Prislapp!$H$2+I234*Prislapp!$I$2+J234*Prislapp!$J$2+K234*Prislapp!$K$2+L234*Prislapp!$L$2+M234*Prislapp!$M$2+N234*Prislapp!$N$2</f>
        <v>18405</v>
      </c>
      <c r="P234" s="42">
        <f>C234*Prislapp!$C$3+D234*Prislapp!$D$3+E234*Prislapp!$E$3+F234*Prislapp!$F$3+G234*Prislapp!$G$3+H234*Prislapp!$H$3+I234*Prislapp!$I$3+J234*Prislapp!$J$3+K234*Prislapp!$K$3+M234*Prislapp!$M$3+N234*Prislapp!$N$3</f>
        <v>15773</v>
      </c>
      <c r="Q234" s="42">
        <f>C234*Prislapp!$C$5+D234*Prislapp!$D$5+E234*Prislapp!$E$5+F234*Prislapp!$F$5+G234*Prislapp!$G$5+H234*Prislapp!$H$5+I234*Prislapp!$I$5+J234*Prislapp!$J$5+K234*Prislapp!$K$5+L234*Prislapp!$L$5+M234*Prislapp!$M$5+N234*Prislapp!$N$5</f>
        <v>5800</v>
      </c>
      <c r="R234" s="9">
        <f>VLOOKUP(A234,'Ansvar kurs'!$A$2:$B$830,2,FALSE)</f>
        <v>2300</v>
      </c>
      <c r="S234" s="159" t="s">
        <v>967</v>
      </c>
      <c r="T234" s="159"/>
      <c r="U234" s="159"/>
      <c r="V234" s="159"/>
      <c r="W234" s="159"/>
      <c r="X234" s="159"/>
      <c r="Y234" s="159"/>
      <c r="Z234" s="159"/>
    </row>
    <row r="235" spans="1:26" x14ac:dyDescent="0.25">
      <c r="A235" s="62" t="s">
        <v>1315</v>
      </c>
      <c r="B235" s="62" t="s">
        <v>1316</v>
      </c>
      <c r="D235" s="31">
        <v>1</v>
      </c>
      <c r="O235" s="42">
        <f>C235*Prislapp!$C$2+D235*Prislapp!$D$2+E235*Prislapp!$E$2+F235*Prislapp!$F$2+G235*Prislapp!$G$2+H235*Prislapp!$H$2+I235*Prislapp!$I$2+J235*Prislapp!$J$2+K235*Prislapp!$K$2+L235*Prislapp!$L$2+M235*Prislapp!$M$2+N235*Prislapp!$N$2</f>
        <v>18405</v>
      </c>
      <c r="P235" s="42">
        <f>C235*Prislapp!$C$3+D235*Prislapp!$D$3+E235*Prislapp!$E$3+F235*Prislapp!$F$3+G235*Prislapp!$G$3+H235*Prislapp!$H$3+I235*Prislapp!$I$3+J235*Prislapp!$J$3+K235*Prislapp!$K$3+M235*Prislapp!$M$3+N235*Prislapp!$N$3</f>
        <v>15773</v>
      </c>
      <c r="Q235" s="42">
        <f>C235*Prislapp!$C$5+D235*Prislapp!$D$5+E235*Prislapp!$E$5+F235*Prislapp!$F$5+G235*Prislapp!$G$5+H235*Prislapp!$H$5+I235*Prislapp!$I$5+J235*Prislapp!$J$5+K235*Prislapp!$K$5+L235*Prislapp!$L$5+M235*Prislapp!$M$5+N235*Prislapp!$N$5</f>
        <v>5800</v>
      </c>
      <c r="R235" s="9">
        <f>VLOOKUP(A235,'Ansvar kurs'!$A$2:$B$830,2,FALSE)</f>
        <v>1640</v>
      </c>
      <c r="S235" s="159"/>
      <c r="T235" s="159"/>
      <c r="U235" s="159"/>
      <c r="V235" s="159"/>
      <c r="W235" s="159"/>
      <c r="X235" s="159"/>
      <c r="Y235" s="159"/>
      <c r="Z235" s="159"/>
    </row>
    <row r="236" spans="1:26" x14ac:dyDescent="0.25">
      <c r="A236" s="62" t="s">
        <v>1317</v>
      </c>
      <c r="B236" s="62" t="s">
        <v>1318</v>
      </c>
      <c r="D236" s="31">
        <v>1</v>
      </c>
      <c r="O236" s="42">
        <f>C236*Prislapp!$C$2+D236*Prislapp!$D$2+E236*Prislapp!$E$2+F236*Prislapp!$F$2+G236*Prislapp!$G$2+H236*Prislapp!$H$2+I236*Prislapp!$I$2+J236*Prislapp!$J$2+K236*Prislapp!$K$2+L236*Prislapp!$L$2+M236*Prislapp!$M$2+N236*Prislapp!$N$2</f>
        <v>18405</v>
      </c>
      <c r="P236" s="42">
        <f>C236*Prislapp!$C$3+D236*Prislapp!$D$3+E236*Prislapp!$E$3+F236*Prislapp!$F$3+G236*Prislapp!$G$3+H236*Prislapp!$H$3+I236*Prislapp!$I$3+J236*Prislapp!$J$3+K236*Prislapp!$K$3+M236*Prislapp!$M$3+N236*Prislapp!$N$3</f>
        <v>15773</v>
      </c>
      <c r="Q236" s="42">
        <f>C236*Prislapp!$C$5+D236*Prislapp!$D$5+E236*Prislapp!$E$5+F236*Prislapp!$F$5+G236*Prislapp!$G$5+H236*Prislapp!$H$5+I236*Prislapp!$I$5+J236*Prislapp!$J$5+K236*Prislapp!$K$5+L236*Prislapp!$L$5+M236*Prislapp!$M$5+N236*Prislapp!$N$5</f>
        <v>5800</v>
      </c>
      <c r="R236" s="9">
        <f>VLOOKUP(A236,'Ansvar kurs'!$A$2:$B$830,2,FALSE)</f>
        <v>1640</v>
      </c>
      <c r="S236" s="159"/>
      <c r="T236" s="159"/>
      <c r="U236" s="159"/>
      <c r="V236" s="159"/>
      <c r="W236" s="159"/>
      <c r="X236" s="159"/>
      <c r="Y236" s="159"/>
      <c r="Z236" s="159"/>
    </row>
    <row r="237" spans="1:26" x14ac:dyDescent="0.25">
      <c r="A237" s="266" t="s">
        <v>1491</v>
      </c>
      <c r="B237" s="62" t="s">
        <v>1490</v>
      </c>
      <c r="H237" s="31">
        <v>1</v>
      </c>
      <c r="O237" s="42">
        <f>C237*Prislapp!$C$2+D237*Prislapp!$D$2+E237*Prislapp!$E$2+F237*Prislapp!$F$2+G237*Prislapp!$G$2+H237*Prislapp!$H$2+I237*Prislapp!$I$2+J237*Prislapp!$J$2+K237*Prislapp!$K$2+L237*Prislapp!$L$2+M237*Prislapp!$M$2+N237*Prislapp!$N$2</f>
        <v>19473</v>
      </c>
      <c r="P237" s="42">
        <f>C237*Prislapp!$C$3+D237*Prislapp!$D$3+E237*Prislapp!$E$3+F237*Prislapp!$F$3+G237*Prislapp!$G$3+H237*Prislapp!$H$3+I237*Prislapp!$I$3+J237*Prislapp!$J$3+K237*Prislapp!$K$3+M237*Prislapp!$M$3+N237*Prislapp!$N$3</f>
        <v>34806</v>
      </c>
      <c r="Q237" s="42">
        <f>C237*Prislapp!$C$5+D237*Prislapp!$D$5+E237*Prislapp!$E$5+F237*Prislapp!$F$5+G237*Prislapp!$G$5+H237*Prislapp!$H$5+I237*Prislapp!$I$5+J237*Prislapp!$J$5+K237*Prislapp!$K$5+L237*Prislapp!$L$5+M237*Prislapp!$M$5+N237*Prislapp!$N$5</f>
        <v>21800</v>
      </c>
      <c r="R237" s="9">
        <f>VLOOKUP(A237,'Ansvar kurs'!$A$2:$B$830,2,FALSE)</f>
        <v>5740</v>
      </c>
      <c r="S237" s="159"/>
      <c r="T237" s="159"/>
      <c r="U237" s="159"/>
      <c r="V237" s="159"/>
      <c r="W237" s="159"/>
      <c r="X237" s="159"/>
      <c r="Y237" s="159"/>
      <c r="Z237" s="159"/>
    </row>
    <row r="238" spans="1:26" x14ac:dyDescent="0.25">
      <c r="A238" s="266" t="s">
        <v>1499</v>
      </c>
      <c r="B238" s="31" t="s">
        <v>1123</v>
      </c>
      <c r="H238" s="31">
        <v>1</v>
      </c>
      <c r="O238" s="42">
        <f>C238*Prislapp!$C$2+D238*Prislapp!$D$2+E238*Prislapp!$E$2+F238*Prislapp!$F$2+G238*Prislapp!$G$2+H238*Prislapp!$H$2+I238*Prislapp!$I$2+J238*Prislapp!$J$2+K238*Prislapp!$K$2+L238*Prislapp!$L$2+M238*Prislapp!$M$2+N238*Prislapp!$N$2</f>
        <v>19473</v>
      </c>
      <c r="P238" s="42">
        <f>C238*Prislapp!$C$3+D238*Prislapp!$D$3+E238*Prislapp!$E$3+F238*Prislapp!$F$3+G238*Prislapp!$G$3+H238*Prislapp!$H$3+I238*Prislapp!$I$3+J238*Prislapp!$J$3+K238*Prislapp!$K$3+M238*Prislapp!$M$3+N238*Prislapp!$N$3</f>
        <v>34806</v>
      </c>
      <c r="Q238" s="42">
        <f>C238*Prislapp!$C$5+D238*Prislapp!$D$5+E238*Prislapp!$E$5+F238*Prislapp!$F$5+G238*Prislapp!$G$5+H238*Prislapp!$H$5+I238*Prislapp!$I$5+J238*Prislapp!$J$5+K238*Prislapp!$K$5+L238*Prislapp!$L$5+M238*Prislapp!$M$5+N238*Prislapp!$N$5</f>
        <v>21800</v>
      </c>
      <c r="R238" s="9">
        <f>VLOOKUP(A238,'Ansvar kurs'!$A$2:$B$830,2,FALSE)</f>
        <v>5740</v>
      </c>
      <c r="S238" s="159" t="s">
        <v>1295</v>
      </c>
    </row>
    <row r="239" spans="1:26" x14ac:dyDescent="0.25">
      <c r="A239" s="266" t="s">
        <v>1500</v>
      </c>
      <c r="B239" s="31" t="s">
        <v>1159</v>
      </c>
      <c r="H239" s="31">
        <v>1</v>
      </c>
      <c r="O239" s="42">
        <f>C239*Prislapp!$C$2+D239*Prislapp!$D$2+E239*Prislapp!$E$2+F239*Prislapp!$F$2+G239*Prislapp!$G$2+H239*Prislapp!$H$2+I239*Prislapp!$I$2+J239*Prislapp!$J$2+K239*Prislapp!$K$2+L239*Prislapp!$L$2+M239*Prislapp!$M$2+N239*Prislapp!$N$2</f>
        <v>19473</v>
      </c>
      <c r="P239" s="42">
        <f>C239*Prislapp!$C$3+D239*Prislapp!$D$3+E239*Prislapp!$E$3+F239*Prislapp!$F$3+G239*Prislapp!$G$3+H239*Prislapp!$H$3+I239*Prislapp!$I$3+J239*Prislapp!$J$3+K239*Prislapp!$K$3+M239*Prislapp!$M$3+N239*Prislapp!$N$3</f>
        <v>34806</v>
      </c>
      <c r="Q239" s="42">
        <f>C239*Prislapp!$C$5+D239*Prislapp!$D$5+E239*Prislapp!$E$5+F239*Prislapp!$F$5+G239*Prislapp!$G$5+H239*Prislapp!$H$5+I239*Prislapp!$I$5+J239*Prislapp!$J$5+K239*Prislapp!$K$5+L239*Prislapp!$L$5+M239*Prislapp!$M$5+N239*Prislapp!$N$5</f>
        <v>21800</v>
      </c>
      <c r="R239" s="9">
        <f>VLOOKUP(A239,'Ansvar kurs'!$A$2:$B$830,2,FALSE)</f>
        <v>5740</v>
      </c>
      <c r="S239" s="159" t="s">
        <v>1295</v>
      </c>
    </row>
    <row r="240" spans="1:26" x14ac:dyDescent="0.25">
      <c r="A240" s="266" t="s">
        <v>1501</v>
      </c>
      <c r="B240" s="31" t="s">
        <v>1160</v>
      </c>
      <c r="H240" s="31">
        <v>1</v>
      </c>
      <c r="O240" s="42">
        <f>C240*Prislapp!$C$2+D240*Prislapp!$D$2+E240*Prislapp!$E$2+F240*Prislapp!$F$2+G240*Prislapp!$G$2+H240*Prislapp!$H$2+I240*Prislapp!$I$2+J240*Prislapp!$J$2+K240*Prislapp!$K$2+L240*Prislapp!$L$2+M240*Prislapp!$M$2+N240*Prislapp!$N$2</f>
        <v>19473</v>
      </c>
      <c r="P240" s="42">
        <f>C240*Prislapp!$C$3+D240*Prislapp!$D$3+E240*Prislapp!$E$3+F240*Prislapp!$F$3+G240*Prislapp!$G$3+H240*Prislapp!$H$3+I240*Prislapp!$I$3+J240*Prislapp!$J$3+K240*Prislapp!$K$3+M240*Prislapp!$M$3+N240*Prislapp!$N$3</f>
        <v>34806</v>
      </c>
      <c r="Q240" s="42">
        <f>C240*Prislapp!$C$5+D240*Prislapp!$D$5+E240*Prislapp!$E$5+F240*Prislapp!$F$5+G240*Prislapp!$G$5+H240*Prislapp!$H$5+I240*Prislapp!$I$5+J240*Prislapp!$J$5+K240*Prislapp!$K$5+L240*Prislapp!$L$5+M240*Prislapp!$M$5+N240*Prislapp!$N$5</f>
        <v>21800</v>
      </c>
      <c r="R240" s="9">
        <f>VLOOKUP(A240,'Ansvar kurs'!$A$2:$B$830,2,FALSE)</f>
        <v>5740</v>
      </c>
      <c r="S240" s="159" t="s">
        <v>1295</v>
      </c>
    </row>
    <row r="241" spans="1:26" x14ac:dyDescent="0.25">
      <c r="A241" s="266" t="s">
        <v>871</v>
      </c>
      <c r="B241" s="31" t="s">
        <v>2042</v>
      </c>
      <c r="H241" s="431">
        <v>1</v>
      </c>
      <c r="O241" s="42">
        <f>C241*Prislapp!$C$2+D241*Prislapp!$D$2+E241*Prislapp!$E$2+F241*Prislapp!$F$2+G241*Prislapp!$G$2+H241*Prislapp!$H$2+I241*Prislapp!$I$2+J241*Prislapp!$J$2+K241*Prislapp!$K$2+L241*Prislapp!$L$2+M241*Prislapp!$M$2+N241*Prislapp!$N$2</f>
        <v>19473</v>
      </c>
      <c r="P241" s="42">
        <f>C241*Prislapp!$C$3+D241*Prislapp!$D$3+E241*Prislapp!$E$3+F241*Prislapp!$F$3+G241*Prislapp!$G$3+H241*Prislapp!$H$3+I241*Prislapp!$I$3+J241*Prislapp!$J$3+K241*Prislapp!$K$3+M241*Prislapp!$M$3+N241*Prislapp!$N$3</f>
        <v>34806</v>
      </c>
      <c r="Q241" s="42">
        <f>C241*Prislapp!$C$5+D241*Prislapp!$D$5+E241*Prislapp!$E$5+F241*Prislapp!$F$5+G241*Prislapp!$G$5+H241*Prislapp!$H$5+I241*Prislapp!$I$5+J241*Prislapp!$J$5+K241*Prislapp!$K$5+L241*Prislapp!$L$5+M241*Prislapp!$M$5+N241*Prislapp!$N$5</f>
        <v>21800</v>
      </c>
      <c r="R241" s="9">
        <f>VLOOKUP(A241,'Ansvar kurs'!$A$2:$B$830,2,FALSE)</f>
        <v>5500</v>
      </c>
      <c r="S241" s="337" t="s">
        <v>2043</v>
      </c>
    </row>
    <row r="242" spans="1:26" x14ac:dyDescent="0.25">
      <c r="A242" s="266" t="s">
        <v>2006</v>
      </c>
      <c r="B242" s="31" t="s">
        <v>2044</v>
      </c>
      <c r="H242" s="431">
        <v>1</v>
      </c>
      <c r="O242" s="42">
        <f>C242*Prislapp!$C$2+D242*Prislapp!$D$2+E242*Prislapp!$E$2+F242*Prislapp!$F$2+G242*Prislapp!$G$2+H242*Prislapp!$H$2+I242*Prislapp!$I$2+J242*Prislapp!$J$2+K242*Prislapp!$K$2+L242*Prislapp!$L$2+M242*Prislapp!$M$2+N242*Prislapp!$N$2</f>
        <v>19473</v>
      </c>
      <c r="P242" s="42">
        <f>C242*Prislapp!$C$3+D242*Prislapp!$D$3+E242*Prislapp!$E$3+F242*Prislapp!$F$3+G242*Prislapp!$G$3+H242*Prislapp!$H$3+I242*Prislapp!$I$3+J242*Prislapp!$J$3+K242*Prislapp!$K$3+M242*Prislapp!$M$3+N242*Prislapp!$N$3</f>
        <v>34806</v>
      </c>
      <c r="Q242" s="42">
        <f>C242*Prislapp!$C$5+D242*Prislapp!$D$5+E242*Prislapp!$E$5+F242*Prislapp!$F$5+G242*Prislapp!$G$5+H242*Prislapp!$H$5+I242*Prislapp!$I$5+J242*Prislapp!$J$5+K242*Prislapp!$K$5+L242*Prislapp!$L$5+M242*Prislapp!$M$5+N242*Prislapp!$N$5</f>
        <v>21800</v>
      </c>
      <c r="R242" s="9">
        <f>VLOOKUP(A242,'Ansvar kurs'!$A$2:$B$830,2,FALSE)</f>
        <v>5500</v>
      </c>
      <c r="S242" s="337" t="s">
        <v>2043</v>
      </c>
    </row>
    <row r="243" spans="1:26" x14ac:dyDescent="0.25">
      <c r="A243" s="31" t="s">
        <v>785</v>
      </c>
      <c r="B243" s="31" t="s">
        <v>788</v>
      </c>
      <c r="I243" s="31">
        <v>1</v>
      </c>
      <c r="O243" s="42">
        <f>C243*Prislapp!$C$2+D243*Prislapp!$D$2+E243*Prislapp!$E$2+F243*Prislapp!$F$2+G243*Prislapp!$G$2+H243*Prislapp!$H$2+I243*Prislapp!$I$2+J243*Prislapp!$J$2+K243*Prislapp!$K$2+L243*Prislapp!$L$2+M243*Prislapp!$M$2+N243*Prislapp!$N$2</f>
        <v>18405</v>
      </c>
      <c r="P243" s="42">
        <f>C243*Prislapp!$C$3+D243*Prislapp!$D$3+E243*Prislapp!$E$3+F243*Prislapp!$F$3+G243*Prislapp!$G$3+H243*Prislapp!$H$3+I243*Prislapp!$I$3+J243*Prislapp!$J$3+K243*Prislapp!$K$3+M243*Prislapp!$M$3+N243*Prislapp!$N$3</f>
        <v>15773</v>
      </c>
      <c r="Q243" s="42">
        <f>C243*Prislapp!$C$5+D243*Prislapp!$D$5+E243*Prislapp!$E$5+F243*Prislapp!$F$5+G243*Prislapp!$G$5+H243*Prislapp!$H$5+I243*Prislapp!$I$5+J243*Prislapp!$J$5+K243*Prislapp!$K$5+L243*Prislapp!$L$5+M243*Prislapp!$M$5+N243*Prislapp!$N$5</f>
        <v>5800</v>
      </c>
      <c r="R243" s="9">
        <f>VLOOKUP(A243,'Ansvar kurs'!$A$2:$B$830,2,FALSE)</f>
        <v>2500</v>
      </c>
      <c r="S243" s="159" t="s">
        <v>950</v>
      </c>
      <c r="T243" s="159"/>
      <c r="U243" s="159"/>
      <c r="V243" s="159"/>
      <c r="W243" s="159"/>
      <c r="X243" s="159"/>
      <c r="Y243" s="159"/>
      <c r="Z243" s="159"/>
    </row>
    <row r="244" spans="1:26" x14ac:dyDescent="0.25">
      <c r="A244" s="31" t="s">
        <v>949</v>
      </c>
      <c r="B244" s="31" t="s">
        <v>1178</v>
      </c>
      <c r="H244" s="31">
        <v>0.5</v>
      </c>
      <c r="I244" s="31">
        <v>0.5</v>
      </c>
      <c r="O244" s="42">
        <f>C244*Prislapp!$C$2+D244*Prislapp!$D$2+E244*Prislapp!$E$2+F244*Prislapp!$F$2+G244*Prislapp!$G$2+H244*Prislapp!$H$2+I244*Prislapp!$I$2+J244*Prislapp!$J$2+K244*Prislapp!$K$2+L244*Prislapp!$L$2+M244*Prislapp!$M$2+N244*Prislapp!$N$2</f>
        <v>18939</v>
      </c>
      <c r="P244" s="42">
        <f>C244*Prislapp!$C$3+D244*Prislapp!$D$3+E244*Prislapp!$E$3+F244*Prislapp!$F$3+G244*Prislapp!$G$3+H244*Prislapp!$H$3+I244*Prislapp!$I$3+J244*Prislapp!$J$3+K244*Prislapp!$K$3+M244*Prislapp!$M$3+N244*Prislapp!$N$3</f>
        <v>25289.5</v>
      </c>
      <c r="Q244" s="42">
        <f>C244*Prislapp!$C$5+D244*Prislapp!$D$5+E244*Prislapp!$E$5+F244*Prislapp!$F$5+G244*Prislapp!$G$5+H244*Prislapp!$H$5+I244*Prislapp!$I$5+J244*Prislapp!$J$5+K244*Prislapp!$K$5+L244*Prislapp!$L$5+M244*Prislapp!$M$5+N244*Prislapp!$N$5</f>
        <v>13800</v>
      </c>
      <c r="R244" s="9">
        <f>VLOOKUP(A244,'Ansvar kurs'!$A$2:$B$830,2,FALSE)</f>
        <v>2500</v>
      </c>
      <c r="S244" s="159" t="s">
        <v>1077</v>
      </c>
      <c r="T244" s="159"/>
      <c r="U244" s="159"/>
      <c r="V244" s="159"/>
      <c r="W244" s="159"/>
      <c r="X244" s="159"/>
      <c r="Y244" s="159"/>
      <c r="Z244" s="159"/>
    </row>
    <row r="245" spans="1:26" x14ac:dyDescent="0.25">
      <c r="A245" s="412" t="s">
        <v>2113</v>
      </c>
      <c r="B245" s="31" t="s">
        <v>2028</v>
      </c>
      <c r="H245" s="31">
        <v>0.25</v>
      </c>
      <c r="I245" s="31">
        <v>0.75</v>
      </c>
      <c r="O245" s="42">
        <f>C245*Prislapp!$C$2+D245*Prislapp!$D$2+E245*Prislapp!$E$2+F245*Prislapp!$F$2+G245*Prislapp!$G$2+H245*Prislapp!$H$2+I245*Prislapp!$I$2+J245*Prislapp!$J$2+K245*Prislapp!$K$2+L245*Prislapp!$L$2+M245*Prislapp!$M$2+N245*Prislapp!$N$2</f>
        <v>18672</v>
      </c>
      <c r="P245" s="42">
        <f>C245*Prislapp!$C$3+D245*Prislapp!$D$3+E245*Prislapp!$E$3+F245*Prislapp!$F$3+G245*Prislapp!$G$3+H245*Prislapp!$H$3+I245*Prislapp!$I$3+J245*Prislapp!$J$3+K245*Prislapp!$K$3+M245*Prislapp!$M$3+N245*Prislapp!$N$3</f>
        <v>20531.25</v>
      </c>
      <c r="Q245" s="42">
        <f>C245*Prislapp!$C$5+D245*Prislapp!$D$5+E245*Prislapp!$E$5+F245*Prislapp!$F$5+G245*Prislapp!$G$5+H245*Prislapp!$H$5+I245*Prislapp!$I$5+J245*Prislapp!$J$5+K245*Prislapp!$K$5+L245*Prislapp!$L$5+M245*Prislapp!$M$5+N245*Prislapp!$N$5</f>
        <v>9800</v>
      </c>
      <c r="R245" s="9">
        <f>VLOOKUP(A245,'Ansvar kurs'!$A$2:$B$830,2,FALSE)</f>
        <v>2500</v>
      </c>
      <c r="S245" s="159"/>
    </row>
    <row r="246" spans="1:26" x14ac:dyDescent="0.25">
      <c r="A246" s="266" t="s">
        <v>1859</v>
      </c>
      <c r="B246" s="31" t="s">
        <v>1814</v>
      </c>
      <c r="I246" s="31">
        <v>1</v>
      </c>
      <c r="O246" s="42">
        <f>C246*Prislapp!$C$2+D246*Prislapp!$D$2+E246*Prislapp!$E$2+F246*Prislapp!$F$2+G246*Prislapp!$G$2+H246*Prislapp!$H$2+I246*Prislapp!$I$2+J246*Prislapp!$J$2+K246*Prislapp!$K$2+L246*Prislapp!$L$2+M246*Prislapp!$M$2+N246*Prislapp!$N$2</f>
        <v>18405</v>
      </c>
      <c r="P246" s="42">
        <f>C246*Prislapp!$C$3+D246*Prislapp!$D$3+E246*Prislapp!$E$3+F246*Prislapp!$F$3+G246*Prislapp!$G$3+H246*Prislapp!$H$3+I246*Prislapp!$I$3+J246*Prislapp!$J$3+K246*Prislapp!$K$3+M246*Prislapp!$M$3+N246*Prislapp!$N$3</f>
        <v>15773</v>
      </c>
      <c r="Q246" s="42">
        <f>C246*Prislapp!$C$5+D246*Prislapp!$D$5+E246*Prislapp!$E$5+F246*Prislapp!$F$5+G246*Prislapp!$G$5+H246*Prislapp!$H$5+I246*Prislapp!$I$5+J246*Prislapp!$J$5+K246*Prislapp!$K$5+L246*Prislapp!$L$5+M246*Prislapp!$M$5+N246*Prislapp!$N$5</f>
        <v>5800</v>
      </c>
      <c r="R246" s="9">
        <f>VLOOKUP(A246,'Ansvar kurs'!$A$2:$B$830,2,FALSE)</f>
        <v>2500</v>
      </c>
      <c r="S246" s="159"/>
      <c r="T246" s="159"/>
      <c r="U246" s="159"/>
      <c r="V246" s="159"/>
      <c r="W246" s="159"/>
      <c r="X246" s="159"/>
      <c r="Y246" s="159"/>
      <c r="Z246" s="159"/>
    </row>
    <row r="247" spans="1:26" x14ac:dyDescent="0.25">
      <c r="A247" s="266" t="s">
        <v>1860</v>
      </c>
      <c r="B247" s="31" t="s">
        <v>1817</v>
      </c>
      <c r="H247" s="31">
        <v>0.25</v>
      </c>
      <c r="I247" s="31">
        <v>0.75</v>
      </c>
      <c r="O247" s="42">
        <f>C247*Prislapp!$C$2+D247*Prislapp!$D$2+E247*Prislapp!$E$2+F247*Prislapp!$F$2+G247*Prislapp!$G$2+H247*Prislapp!$H$2+I247*Prislapp!$I$2+J247*Prislapp!$J$2+K247*Prislapp!$K$2+L247*Prislapp!$L$2+M247*Prislapp!$M$2+N247*Prislapp!$N$2</f>
        <v>18672</v>
      </c>
      <c r="P247" s="42">
        <f>C247*Prislapp!$C$3+D247*Prislapp!$D$3+E247*Prislapp!$E$3+F247*Prislapp!$F$3+G247*Prislapp!$G$3+H247*Prislapp!$H$3+I247*Prislapp!$I$3+J247*Prislapp!$J$3+K247*Prislapp!$K$3+M247*Prislapp!$M$3+N247*Prislapp!$N$3</f>
        <v>20531.25</v>
      </c>
      <c r="Q247" s="42">
        <f>C247*Prislapp!$C$5+D247*Prislapp!$D$5+E247*Prislapp!$E$5+F247*Prislapp!$F$5+G247*Prislapp!$G$5+H247*Prislapp!$H$5+I247*Prislapp!$I$5+J247*Prislapp!$J$5+K247*Prislapp!$K$5+L247*Prislapp!$L$5+M247*Prislapp!$M$5+N247*Prislapp!$N$5</f>
        <v>9800</v>
      </c>
      <c r="R247" s="9">
        <f>VLOOKUP(A247,'Ansvar kurs'!$A$2:$B$830,2,FALSE)</f>
        <v>2500</v>
      </c>
      <c r="S247" s="159"/>
      <c r="T247" s="159"/>
      <c r="U247" s="159"/>
      <c r="V247" s="159"/>
      <c r="W247" s="159"/>
      <c r="X247" s="159"/>
      <c r="Y247" s="159"/>
      <c r="Z247" s="159"/>
    </row>
    <row r="248" spans="1:26" x14ac:dyDescent="0.25">
      <c r="A248" s="412" t="s">
        <v>2114</v>
      </c>
      <c r="B248" s="31" t="s">
        <v>2030</v>
      </c>
      <c r="I248" s="295">
        <v>1</v>
      </c>
      <c r="O248" s="42">
        <f>C248*Prislapp!$C$2+D248*Prislapp!$D$2+E248*Prislapp!$E$2+F248*Prislapp!$F$2+G248*Prislapp!$G$2+H248*Prislapp!$H$2+I248*Prislapp!$I$2+J248*Prislapp!$J$2+K248*Prislapp!$K$2+L248*Prislapp!$L$2+M248*Prislapp!$M$2+N248*Prislapp!$N$2</f>
        <v>18405</v>
      </c>
      <c r="P248" s="42">
        <f>C248*Prislapp!$C$3+D248*Prislapp!$D$3+E248*Prislapp!$E$3+F248*Prislapp!$F$3+G248*Prislapp!$G$3+H248*Prislapp!$H$3+I248*Prislapp!$I$3+J248*Prislapp!$J$3+K248*Prislapp!$K$3+M248*Prislapp!$M$3+N248*Prislapp!$N$3</f>
        <v>15773</v>
      </c>
      <c r="Q248" s="42">
        <f>C248*Prislapp!$C$5+D248*Prislapp!$D$5+E248*Prislapp!$E$5+F248*Prislapp!$F$5+G248*Prislapp!$G$5+H248*Prislapp!$H$5+I248*Prislapp!$I$5+J248*Prislapp!$J$5+K248*Prislapp!$K$5+L248*Prislapp!$L$5+M248*Prislapp!$M$5+N248*Prislapp!$N$5</f>
        <v>5800</v>
      </c>
      <c r="R248" s="9">
        <f>VLOOKUP(A248,'Ansvar kurs'!$A$2:$B$830,2,FALSE)</f>
        <v>2500</v>
      </c>
      <c r="S248" s="159"/>
    </row>
    <row r="249" spans="1:26" ht="15.75" x14ac:dyDescent="0.25">
      <c r="A249" s="460" t="s">
        <v>2186</v>
      </c>
      <c r="B249" s="31" t="s">
        <v>2039</v>
      </c>
      <c r="K249" s="31">
        <v>1</v>
      </c>
      <c r="O249" s="42">
        <f>C249*Prislapp!$C$2+D249*Prislapp!$D$2+E249*Prislapp!$E$2+F249*Prislapp!$F$2+G249*Prislapp!$G$2+H249*Prislapp!$H$2+I249*Prislapp!$I$2+J249*Prislapp!$J$2+K249*Prislapp!$K$2+L249*Prislapp!$L$2+M249*Prislapp!$M$2+N249*Prislapp!$N$2</f>
        <v>21634</v>
      </c>
      <c r="P249" s="42">
        <f>C249*Prislapp!$C$3+D249*Prislapp!$D$3+E249*Prislapp!$E$3+F249*Prislapp!$F$3+G249*Prislapp!$G$3+H249*Prislapp!$H$3+I249*Prislapp!$I$3+J249*Prislapp!$J$3+K249*Prislapp!$K$3+M249*Prislapp!$M$3+N249*Prislapp!$N$3</f>
        <v>26986</v>
      </c>
      <c r="Q249" s="42">
        <f>C249*Prislapp!$C$5+D249*Prislapp!$D$5+E249*Prislapp!$E$5+F249*Prislapp!$F$5+G249*Prislapp!$G$5+H249*Prislapp!$H$5+I249*Prislapp!$I$5+J249*Prislapp!$J$5+K249*Prislapp!$K$5+L249*Prislapp!$L$5+M249*Prislapp!$M$5+N249*Prislapp!$N$5</f>
        <v>3400</v>
      </c>
      <c r="R249" s="9">
        <f>VLOOKUP(A249,'Ansvar kurs'!$A$2:$B$830,2,FALSE)</f>
        <v>2500</v>
      </c>
      <c r="S249" s="159"/>
    </row>
    <row r="250" spans="1:26" x14ac:dyDescent="0.25">
      <c r="A250" s="31" t="s">
        <v>104</v>
      </c>
      <c r="B250" s="31" t="s">
        <v>679</v>
      </c>
      <c r="H250" s="31">
        <v>1</v>
      </c>
      <c r="O250" s="42">
        <f>C250*Prislapp!$C$2+D250*Prislapp!$D$2+E250*Prislapp!$E$2+F250*Prislapp!$F$2+G250*Prislapp!$G$2+H250*Prislapp!$H$2+I250*Prislapp!$I$2+J250*Prislapp!$J$2+K250*Prislapp!$K$2+L250*Prislapp!$L$2+M250*Prislapp!$M$2+N250*Prislapp!$N$2</f>
        <v>19473</v>
      </c>
      <c r="P250" s="42">
        <f>C250*Prislapp!$C$3+D250*Prislapp!$D$3+E250*Prislapp!$E$3+F250*Prislapp!$F$3+G250*Prislapp!$G$3+H250*Prislapp!$H$3+I250*Prislapp!$I$3+J250*Prislapp!$J$3+K250*Prislapp!$K$3+M250*Prislapp!$M$3+N250*Prislapp!$N$3</f>
        <v>34806</v>
      </c>
      <c r="Q250" s="42">
        <f>C250*Prislapp!$C$5+D250*Prislapp!$D$5+E250*Prislapp!$E$5+F250*Prislapp!$F$5+G250*Prislapp!$G$5+H250*Prislapp!$H$5+I250*Prislapp!$I$5+J250*Prislapp!$J$5+K250*Prislapp!$K$5+L250*Prislapp!$L$5+M250*Prislapp!$M$5+N250*Prislapp!$N$5</f>
        <v>21800</v>
      </c>
      <c r="R250" s="9">
        <f>VLOOKUP(A250,'Ansvar kurs'!$A$2:$B$830,2,FALSE)</f>
        <v>2750</v>
      </c>
      <c r="S250" s="159"/>
      <c r="T250" s="159"/>
      <c r="U250" s="159"/>
      <c r="V250" s="159"/>
      <c r="W250" s="159"/>
      <c r="X250" s="159"/>
      <c r="Y250" s="159"/>
      <c r="Z250" s="159"/>
    </row>
    <row r="251" spans="1:26" x14ac:dyDescent="0.25">
      <c r="A251" s="31" t="s">
        <v>329</v>
      </c>
      <c r="B251" s="31" t="s">
        <v>680</v>
      </c>
      <c r="H251" s="31">
        <v>1</v>
      </c>
      <c r="O251" s="42">
        <f>C251*Prislapp!$C$2+D251*Prislapp!$D$2+E251*Prislapp!$E$2+F251*Prislapp!$F$2+G251*Prislapp!$G$2+H251*Prislapp!$H$2+I251*Prislapp!$I$2+J251*Prislapp!$J$2+K251*Prislapp!$K$2+L251*Prislapp!$L$2+M251*Prislapp!$M$2+N251*Prislapp!$N$2</f>
        <v>19473</v>
      </c>
      <c r="P251" s="42">
        <f>C251*Prislapp!$C$3+D251*Prislapp!$D$3+E251*Prislapp!$E$3+F251*Prislapp!$F$3+G251*Prislapp!$G$3+H251*Prislapp!$H$3+I251*Prislapp!$I$3+J251*Prislapp!$J$3+K251*Prislapp!$K$3+M251*Prislapp!$M$3+N251*Prislapp!$N$3</f>
        <v>34806</v>
      </c>
      <c r="Q251" s="42">
        <f>C251*Prislapp!$C$5+D251*Prislapp!$D$5+E251*Prislapp!$E$5+F251*Prislapp!$F$5+G251*Prislapp!$G$5+H251*Prislapp!$H$5+I251*Prislapp!$I$5+J251*Prislapp!$J$5+K251*Prislapp!$K$5+L251*Prislapp!$L$5+M251*Prislapp!$M$5+N251*Prislapp!$N$5</f>
        <v>21800</v>
      </c>
      <c r="R251" s="9">
        <f>VLOOKUP(A251,'Ansvar kurs'!$A$2:$B$830,2,FALSE)</f>
        <v>2750</v>
      </c>
      <c r="S251" s="159"/>
      <c r="T251" s="159"/>
      <c r="U251" s="159"/>
      <c r="V251" s="159"/>
      <c r="W251" s="159"/>
      <c r="X251" s="159"/>
      <c r="Y251" s="159"/>
      <c r="Z251" s="159"/>
    </row>
    <row r="252" spans="1:26" x14ac:dyDescent="0.25">
      <c r="A252" s="62" t="s">
        <v>872</v>
      </c>
      <c r="B252" s="31" t="s">
        <v>359</v>
      </c>
      <c r="F252" s="31">
        <v>1</v>
      </c>
      <c r="O252" s="42">
        <f>C252*Prislapp!$C$2+D252*Prislapp!$D$2+E252*Prislapp!$E$2+F252*Prislapp!$F$2+G252*Prislapp!$G$2+H252*Prislapp!$H$2+I252*Prislapp!$I$2+J252*Prislapp!$J$2+K252*Prislapp!$K$2+L252*Prislapp!$L$2+M252*Prislapp!$M$2+N252*Prislapp!$N$2</f>
        <v>23641</v>
      </c>
      <c r="P252" s="42">
        <f>C252*Prislapp!$C$3+D252*Prislapp!$D$3+E252*Prislapp!$E$3+F252*Prislapp!$F$3+G252*Prislapp!$G$3+H252*Prislapp!$H$3+I252*Prislapp!$I$3+J252*Prislapp!$J$3+K252*Prislapp!$K$3+M252*Prislapp!$M$3+N252*Prislapp!$N$3</f>
        <v>28786</v>
      </c>
      <c r="Q252" s="42">
        <f>C252*Prislapp!$C$5+D252*Prislapp!$D$5+E252*Prislapp!$E$5+F252*Prislapp!$F$5+G252*Prislapp!$G$5+H252*Prislapp!$H$5+I252*Prislapp!$I$5+J252*Prislapp!$J$5+K252*Prislapp!$K$5+L252*Prislapp!$L$5+M252*Prislapp!$M$5+N252*Prislapp!$N$5</f>
        <v>5800</v>
      </c>
      <c r="R252" s="9">
        <f>VLOOKUP(A252,'Ansvar kurs'!$A$2:$B$830,2,FALSE)</f>
        <v>2750</v>
      </c>
      <c r="S252" s="159"/>
      <c r="T252" s="159"/>
      <c r="U252" s="159"/>
      <c r="V252" s="159"/>
      <c r="W252" s="159"/>
      <c r="X252" s="159"/>
      <c r="Y252" s="159"/>
      <c r="Z252" s="159"/>
    </row>
    <row r="253" spans="1:26" x14ac:dyDescent="0.25">
      <c r="A253" s="31" t="s">
        <v>498</v>
      </c>
      <c r="B253" s="31" t="s">
        <v>681</v>
      </c>
      <c r="H253" s="31">
        <v>1</v>
      </c>
      <c r="O253" s="42">
        <f>C253*Prislapp!$C$2+D253*Prislapp!$D$2+E253*Prislapp!$E$2+F253*Prislapp!$F$2+G253*Prislapp!$G$2+H253*Prislapp!$H$2+I253*Prislapp!$I$2+J253*Prislapp!$J$2+K253*Prislapp!$K$2+L253*Prislapp!$L$2+M253*Prislapp!$M$2+N253*Prislapp!$N$2</f>
        <v>19473</v>
      </c>
      <c r="P253" s="42">
        <f>C253*Prislapp!$C$3+D253*Prislapp!$D$3+E253*Prislapp!$E$3+F253*Prislapp!$F$3+G253*Prislapp!$G$3+H253*Prislapp!$H$3+I253*Prislapp!$I$3+J253*Prislapp!$J$3+K253*Prislapp!$K$3+M253*Prislapp!$M$3+N253*Prislapp!$N$3</f>
        <v>34806</v>
      </c>
      <c r="Q253" s="42">
        <f>C253*Prislapp!$C$5+D253*Prislapp!$D$5+E253*Prislapp!$E$5+F253*Prislapp!$F$5+G253*Prislapp!$G$5+H253*Prislapp!$H$5+I253*Prislapp!$I$5+J253*Prislapp!$J$5+K253*Prislapp!$K$5+L253*Prislapp!$L$5+M253*Prislapp!$M$5+N253*Prislapp!$N$5</f>
        <v>21800</v>
      </c>
      <c r="R253" s="9">
        <f>VLOOKUP(A253,'Ansvar kurs'!$A$2:$B$830,2,FALSE)</f>
        <v>2750</v>
      </c>
      <c r="S253" s="159"/>
      <c r="T253" s="159"/>
      <c r="U253" s="159"/>
      <c r="V253" s="159"/>
      <c r="W253" s="159"/>
      <c r="X253" s="159"/>
      <c r="Y253" s="159"/>
      <c r="Z253" s="159"/>
    </row>
    <row r="254" spans="1:26" x14ac:dyDescent="0.25">
      <c r="A254" s="31" t="s">
        <v>529</v>
      </c>
      <c r="B254" s="31" t="s">
        <v>548</v>
      </c>
      <c r="H254" s="31">
        <v>1</v>
      </c>
      <c r="O254" s="42">
        <f>C254*Prislapp!$C$2+D254*Prislapp!$D$2+E254*Prislapp!$E$2+F254*Prislapp!$F$2+G254*Prislapp!$G$2+H254*Prislapp!$H$2+I254*Prislapp!$I$2+J254*Prislapp!$J$2+K254*Prislapp!$K$2+L254*Prislapp!$L$2+M254*Prislapp!$M$2+N254*Prislapp!$N$2</f>
        <v>19473</v>
      </c>
      <c r="P254" s="42">
        <f>C254*Prislapp!$C$3+D254*Prislapp!$D$3+E254*Prislapp!$E$3+F254*Prislapp!$F$3+G254*Prislapp!$G$3+H254*Prislapp!$H$3+I254*Prislapp!$I$3+J254*Prislapp!$J$3+K254*Prislapp!$K$3+M254*Prislapp!$M$3+N254*Prislapp!$N$3</f>
        <v>34806</v>
      </c>
      <c r="Q254" s="42">
        <f>C254*Prislapp!$C$5+D254*Prislapp!$D$5+E254*Prislapp!$E$5+F254*Prislapp!$F$5+G254*Prislapp!$G$5+H254*Prislapp!$H$5+I254*Prislapp!$I$5+J254*Prislapp!$J$5+K254*Prislapp!$K$5+L254*Prislapp!$L$5+M254*Prislapp!$M$5+N254*Prislapp!$N$5</f>
        <v>21800</v>
      </c>
      <c r="R254" s="9">
        <f>VLOOKUP(A254,'Ansvar kurs'!$A$2:$B$830,2,FALSE)</f>
        <v>2750</v>
      </c>
      <c r="S254" s="159"/>
      <c r="T254" s="159"/>
      <c r="U254" s="159"/>
      <c r="V254" s="159"/>
      <c r="W254" s="159"/>
      <c r="X254" s="159"/>
      <c r="Y254" s="159"/>
      <c r="Z254" s="159"/>
    </row>
    <row r="255" spans="1:26" x14ac:dyDescent="0.25">
      <c r="A255" s="31" t="s">
        <v>652</v>
      </c>
      <c r="B255" s="31" t="s">
        <v>683</v>
      </c>
      <c r="H255" s="31">
        <v>1</v>
      </c>
      <c r="O255" s="42">
        <f>C255*Prislapp!$C$2+D255*Prislapp!$D$2+E255*Prislapp!$E$2+F255*Prislapp!$F$2+G255*Prislapp!$G$2+H255*Prislapp!$H$2+I255*Prislapp!$I$2+J255*Prislapp!$J$2+K255*Prislapp!$K$2+L255*Prislapp!$L$2+M255*Prislapp!$M$2+N255*Prislapp!$N$2</f>
        <v>19473</v>
      </c>
      <c r="P255" s="42">
        <f>C255*Prislapp!$C$3+D255*Prislapp!$D$3+E255*Prislapp!$E$3+F255*Prislapp!$F$3+G255*Prislapp!$G$3+H255*Prislapp!$H$3+I255*Prislapp!$I$3+J255*Prislapp!$J$3+K255*Prislapp!$K$3+M255*Prislapp!$M$3+N255*Prislapp!$N$3</f>
        <v>34806</v>
      </c>
      <c r="Q255" s="42">
        <f>C255*Prislapp!$C$5+D255*Prislapp!$D$5+E255*Prislapp!$E$5+F255*Prislapp!$F$5+G255*Prislapp!$G$5+H255*Prislapp!$H$5+I255*Prislapp!$I$5+J255*Prislapp!$J$5+K255*Prislapp!$K$5+L255*Prislapp!$L$5+M255*Prislapp!$M$5+N255*Prislapp!$N$5</f>
        <v>21800</v>
      </c>
      <c r="R255" s="9">
        <f>VLOOKUP(A255,'Ansvar kurs'!$A$2:$B$830,2,FALSE)</f>
        <v>2750</v>
      </c>
      <c r="S255" s="159"/>
      <c r="T255" s="159"/>
      <c r="U255" s="159"/>
      <c r="V255" s="159"/>
      <c r="W255" s="159"/>
      <c r="X255" s="159"/>
      <c r="Y255" s="159"/>
      <c r="Z255" s="159"/>
    </row>
    <row r="256" spans="1:26" x14ac:dyDescent="0.25">
      <c r="A256" s="62" t="s">
        <v>838</v>
      </c>
      <c r="B256" s="31" t="s">
        <v>841</v>
      </c>
      <c r="H256" s="31">
        <v>1</v>
      </c>
      <c r="O256" s="42">
        <f>C256*Prislapp!$C$2+D256*Prislapp!$D$2+E256*Prislapp!$E$2+F256*Prislapp!$F$2+G256*Prislapp!$G$2+H256*Prislapp!$H$2+I256*Prislapp!$I$2+J256*Prislapp!$J$2+K256*Prislapp!$K$2+L256*Prislapp!$L$2+M256*Prislapp!$M$2+N256*Prislapp!$N$2</f>
        <v>19473</v>
      </c>
      <c r="P256" s="42">
        <f>C256*Prislapp!$C$3+D256*Prislapp!$D$3+E256*Prislapp!$E$3+F256*Prislapp!$F$3+G256*Prislapp!$G$3+H256*Prislapp!$H$3+I256*Prislapp!$I$3+J256*Prislapp!$J$3+K256*Prislapp!$K$3+M256*Prislapp!$M$3+N256*Prislapp!$N$3</f>
        <v>34806</v>
      </c>
      <c r="Q256" s="42">
        <f>C256*Prislapp!$C$5+D256*Prislapp!$D$5+E256*Prislapp!$E$5+F256*Prislapp!$F$5+G256*Prislapp!$G$5+H256*Prislapp!$H$5+I256*Prislapp!$I$5+J256*Prislapp!$J$5+K256*Prislapp!$K$5+L256*Prislapp!$L$5+M256*Prislapp!$M$5+N256*Prislapp!$N$5</f>
        <v>21800</v>
      </c>
      <c r="R256" s="9">
        <f>VLOOKUP(A256,'Ansvar kurs'!$A$2:$B$830,2,FALSE)</f>
        <v>2750</v>
      </c>
      <c r="S256" s="159"/>
      <c r="T256" s="159"/>
      <c r="U256" s="159"/>
      <c r="V256" s="159"/>
      <c r="W256" s="159"/>
      <c r="X256" s="159"/>
      <c r="Y256" s="159"/>
      <c r="Z256" s="159"/>
    </row>
    <row r="257" spans="1:26" x14ac:dyDescent="0.25">
      <c r="A257" s="266" t="s">
        <v>830</v>
      </c>
      <c r="B257" s="31" t="s">
        <v>1179</v>
      </c>
      <c r="K257" s="31">
        <v>1</v>
      </c>
      <c r="O257" s="42">
        <f>C257*Prislapp!$C$2+D257*Prislapp!$D$2+E257*Prislapp!$E$2+F257*Prislapp!$F$2+G257*Prislapp!$G$2+H257*Prislapp!$H$2+I257*Prislapp!$I$2+J257*Prislapp!$J$2+K257*Prislapp!$K$2+L257*Prislapp!$L$2+M257*Prislapp!$M$2+N257*Prislapp!$N$2</f>
        <v>21634</v>
      </c>
      <c r="P257" s="42">
        <f>C257*Prislapp!$C$3+D257*Prislapp!$D$3+E257*Prislapp!$E$3+F257*Prislapp!$F$3+G257*Prislapp!$G$3+H257*Prislapp!$H$3+I257*Prislapp!$I$3+J257*Prislapp!$J$3+K257*Prislapp!$K$3+M257*Prislapp!$M$3+N257*Prislapp!$N$3</f>
        <v>26986</v>
      </c>
      <c r="Q257" s="42">
        <f>C257*Prislapp!$C$5+D257*Prislapp!$D$5+E257*Prislapp!$E$5+F257*Prislapp!$F$5+G257*Prislapp!$G$5+H257*Prislapp!$H$5+I257*Prislapp!$I$5+J257*Prislapp!$J$5+K257*Prislapp!$K$5+L257*Prislapp!$L$5+M257*Prislapp!$M$5+N257*Prislapp!$N$5</f>
        <v>3400</v>
      </c>
      <c r="R257" s="9">
        <f>VLOOKUP(A257,'Ansvar kurs'!$A$2:$B$830,2,FALSE)</f>
        <v>2750</v>
      </c>
      <c r="S257" s="159"/>
      <c r="T257" s="159"/>
      <c r="U257" s="159"/>
      <c r="V257" s="159"/>
      <c r="W257" s="159"/>
      <c r="X257" s="159"/>
      <c r="Y257" s="159"/>
      <c r="Z257" s="159"/>
    </row>
    <row r="258" spans="1:26" x14ac:dyDescent="0.25">
      <c r="A258" s="266" t="s">
        <v>1098</v>
      </c>
      <c r="B258" s="31" t="s">
        <v>1101</v>
      </c>
      <c r="I258" s="31">
        <v>1</v>
      </c>
      <c r="O258" s="42">
        <f>C258*Prislapp!$C$2+D258*Prislapp!$D$2+E258*Prislapp!$E$2+F258*Prislapp!$F$2+G258*Prislapp!$G$2+H258*Prislapp!$H$2+I258*Prislapp!$I$2+J258*Prislapp!$J$2+K258*Prislapp!$K$2+L258*Prislapp!$L$2+M258*Prislapp!$M$2+N258*Prislapp!$N$2</f>
        <v>18405</v>
      </c>
      <c r="P258" s="42">
        <f>C258*Prislapp!$C$3+D258*Prislapp!$D$3+E258*Prislapp!$E$3+F258*Prislapp!$F$3+G258*Prislapp!$G$3+H258*Prislapp!$H$3+I258*Prislapp!$I$3+J258*Prislapp!$J$3+K258*Prislapp!$K$3+M258*Prislapp!$M$3+N258*Prislapp!$N$3</f>
        <v>15773</v>
      </c>
      <c r="Q258" s="42">
        <f>C258*Prislapp!$C$5+D258*Prislapp!$D$5+E258*Prislapp!$E$5+F258*Prislapp!$F$5+G258*Prislapp!$G$5+H258*Prislapp!$H$5+I258*Prislapp!$I$5+J258*Prislapp!$J$5+K258*Prislapp!$K$5+L258*Prislapp!$L$5+M258*Prislapp!$M$5+N258*Prislapp!$N$5</f>
        <v>5800</v>
      </c>
      <c r="R258" s="9">
        <f>VLOOKUP(A258,'Ansvar kurs'!$A$2:$B$830,2,FALSE)</f>
        <v>2750</v>
      </c>
      <c r="S258" s="159"/>
      <c r="T258" s="159"/>
      <c r="U258" s="159"/>
      <c r="V258" s="159"/>
      <c r="W258" s="159"/>
      <c r="X258" s="159"/>
      <c r="Y258" s="159"/>
      <c r="Z258" s="159"/>
    </row>
    <row r="259" spans="1:26" x14ac:dyDescent="0.25">
      <c r="A259" s="266" t="s">
        <v>1097</v>
      </c>
      <c r="B259" s="31" t="s">
        <v>1102</v>
      </c>
      <c r="H259" s="31">
        <v>1</v>
      </c>
      <c r="O259" s="42">
        <f>C259*Prislapp!$C$2+D259*Prislapp!$D$2+E259*Prislapp!$E$2+F259*Prislapp!$F$2+G259*Prislapp!$G$2+H259*Prislapp!$H$2+I259*Prislapp!$I$2+J259*Prislapp!$J$2+K259*Prislapp!$K$2+L259*Prislapp!$L$2+M259*Prislapp!$M$2+N259*Prislapp!$N$2</f>
        <v>19473</v>
      </c>
      <c r="P259" s="42">
        <f>C259*Prislapp!$C$3+D259*Prislapp!$D$3+E259*Prislapp!$E$3+F259*Prislapp!$F$3+G259*Prislapp!$G$3+H259*Prislapp!$H$3+I259*Prislapp!$I$3+J259*Prislapp!$J$3+K259*Prislapp!$K$3+M259*Prislapp!$M$3+N259*Prislapp!$N$3</f>
        <v>34806</v>
      </c>
      <c r="Q259" s="42">
        <f>C259*Prislapp!$C$5+D259*Prislapp!$D$5+E259*Prislapp!$E$5+F259*Prislapp!$F$5+G259*Prislapp!$G$5+H259*Prislapp!$H$5+I259*Prislapp!$I$5+J259*Prislapp!$J$5+K259*Prislapp!$K$5+L259*Prislapp!$L$5+M259*Prislapp!$M$5+N259*Prislapp!$N$5</f>
        <v>21800</v>
      </c>
      <c r="R259" s="9">
        <f>VLOOKUP(A259,'Ansvar kurs'!$A$2:$B$830,2,FALSE)</f>
        <v>2750</v>
      </c>
      <c r="S259" s="159"/>
      <c r="T259" s="159"/>
      <c r="U259" s="159"/>
      <c r="V259" s="159"/>
      <c r="W259" s="159"/>
      <c r="X259" s="159"/>
      <c r="Y259" s="159"/>
      <c r="Z259" s="159"/>
    </row>
    <row r="260" spans="1:26" x14ac:dyDescent="0.25">
      <c r="A260" s="266" t="s">
        <v>1319</v>
      </c>
      <c r="B260" s="62" t="s">
        <v>1346</v>
      </c>
      <c r="I260" s="31">
        <v>1</v>
      </c>
      <c r="O260" s="42">
        <f>C260*Prislapp!$C$2+D260*Prislapp!$D$2+E260*Prislapp!$E$2+F260*Prislapp!$F$2+G260*Prislapp!$G$2+H260*Prislapp!$H$2+I260*Prislapp!$I$2+J260*Prislapp!$J$2+K260*Prislapp!$K$2+L260*Prislapp!$L$2+M260*Prislapp!$M$2+N260*Prislapp!$N$2</f>
        <v>18405</v>
      </c>
      <c r="P260" s="42">
        <f>C260*Prislapp!$C$3+D260*Prislapp!$D$3+E260*Prislapp!$E$3+F260*Prislapp!$F$3+G260*Prislapp!$G$3+H260*Prislapp!$H$3+I260*Prislapp!$I$3+J260*Prislapp!$J$3+K260*Prislapp!$K$3+M260*Prislapp!$M$3+N260*Prislapp!$N$3</f>
        <v>15773</v>
      </c>
      <c r="Q260" s="42">
        <f>C260*Prislapp!$C$5+D260*Prislapp!$D$5+E260*Prislapp!$E$5+F260*Prislapp!$F$5+G260*Prislapp!$G$5+H260*Prislapp!$H$5+I260*Prislapp!$I$5+J260*Prislapp!$J$5+K260*Prislapp!$K$5+L260*Prislapp!$L$5+M260*Prislapp!$M$5+N260*Prislapp!$N$5</f>
        <v>5800</v>
      </c>
      <c r="R260" s="9">
        <f>VLOOKUP(A260,'Ansvar kurs'!$A$2:$B$830,2,FALSE)</f>
        <v>2750</v>
      </c>
      <c r="S260" s="159"/>
      <c r="T260" s="159"/>
      <c r="U260" s="159"/>
      <c r="V260" s="159"/>
      <c r="W260" s="159"/>
      <c r="X260" s="159"/>
      <c r="Y260" s="159"/>
      <c r="Z260" s="159"/>
    </row>
    <row r="261" spans="1:26" x14ac:dyDescent="0.25">
      <c r="A261" s="265" t="s">
        <v>1365</v>
      </c>
      <c r="B261" s="31" t="s">
        <v>1070</v>
      </c>
      <c r="K261" s="31">
        <v>1</v>
      </c>
      <c r="O261" s="42">
        <f>C261*Prislapp!$C$2+D261*Prislapp!$D$2+E261*Prislapp!$E$2+F261*Prislapp!$F$2+G261*Prislapp!$G$2+H261*Prislapp!$H$2+I261*Prislapp!$I$2+J261*Prislapp!$J$2+K261*Prislapp!$K$2+L261*Prislapp!$L$2+M261*Prislapp!$M$2+N261*Prislapp!$N$2</f>
        <v>21634</v>
      </c>
      <c r="P261" s="42">
        <f>C261*Prislapp!$C$3+D261*Prislapp!$D$3+E261*Prislapp!$E$3+F261*Prislapp!$F$3+G261*Prislapp!$G$3+H261*Prislapp!$H$3+I261*Prislapp!$I$3+J261*Prislapp!$J$3+K261*Prislapp!$K$3+M261*Prislapp!$M$3+N261*Prislapp!$N$3</f>
        <v>26986</v>
      </c>
      <c r="Q261" s="42">
        <f>C261*Prislapp!$C$5+D261*Prislapp!$D$5+E261*Prislapp!$E$5+F261*Prislapp!$F$5+G261*Prislapp!$G$5+H261*Prislapp!$H$5+I261*Prislapp!$I$5+J261*Prislapp!$J$5+K261*Prislapp!$K$5+L261*Prislapp!$L$5+M261*Prislapp!$M$5+N261*Prislapp!$N$5</f>
        <v>3400</v>
      </c>
      <c r="R261" s="9">
        <f>VLOOKUP(A261,'Ansvar kurs'!$A$2:$B$830,2,FALSE)</f>
        <v>2750</v>
      </c>
      <c r="S261" s="159"/>
      <c r="T261" s="159"/>
      <c r="U261" s="159"/>
      <c r="V261" s="159"/>
      <c r="W261" s="159"/>
      <c r="X261" s="159"/>
      <c r="Y261" s="159"/>
      <c r="Z261" s="159"/>
    </row>
    <row r="262" spans="1:26" x14ac:dyDescent="0.25">
      <c r="A262" s="265" t="s">
        <v>1451</v>
      </c>
      <c r="B262" s="31" t="s">
        <v>1452</v>
      </c>
      <c r="I262" s="31">
        <v>1</v>
      </c>
      <c r="O262" s="42">
        <f>C262*Prislapp!$C$2+D262*Prislapp!$D$2+E262*Prislapp!$E$2+F262*Prislapp!$F$2+G262*Prislapp!$G$2+H262*Prislapp!$H$2+I262*Prislapp!$I$2+J262*Prislapp!$J$2+K262*Prislapp!$K$2+L262*Prislapp!$L$2+M262*Prislapp!$M$2+N262*Prislapp!$N$2</f>
        <v>18405</v>
      </c>
      <c r="P262" s="42">
        <f>C262*Prislapp!$C$3+D262*Prislapp!$D$3+E262*Prislapp!$E$3+F262*Prislapp!$F$3+G262*Prislapp!$G$3+H262*Prislapp!$H$3+I262*Prislapp!$I$3+J262*Prislapp!$J$3+K262*Prislapp!$K$3+M262*Prislapp!$M$3+N262*Prislapp!$N$3</f>
        <v>15773</v>
      </c>
      <c r="Q262" s="42">
        <f>C262*Prislapp!$C$5+D262*Prislapp!$D$5+E262*Prislapp!$E$5+F262*Prislapp!$F$5+G262*Prislapp!$G$5+H262*Prislapp!$H$5+I262*Prislapp!$I$5+J262*Prislapp!$J$5+K262*Prislapp!$K$5+L262*Prislapp!$L$5+M262*Prislapp!$M$5+N262*Prislapp!$N$5</f>
        <v>5800</v>
      </c>
      <c r="R262" s="9">
        <f>VLOOKUP(A262,'Ansvar kurs'!$A$2:$B$830,2,FALSE)</f>
        <v>2750</v>
      </c>
      <c r="S262" s="186" t="s">
        <v>1441</v>
      </c>
      <c r="T262" s="159" t="s">
        <v>1453</v>
      </c>
      <c r="U262" s="159"/>
      <c r="V262" s="159"/>
      <c r="W262" s="159"/>
      <c r="X262" s="159"/>
      <c r="Y262" s="159"/>
      <c r="Z262" s="159"/>
    </row>
    <row r="263" spans="1:26" x14ac:dyDescent="0.25">
      <c r="A263" s="31" t="s">
        <v>2145</v>
      </c>
      <c r="B263" s="31" t="s">
        <v>682</v>
      </c>
      <c r="H263" s="31">
        <v>1</v>
      </c>
      <c r="O263" s="42">
        <f>C263*Prislapp!$C$2+D263*Prislapp!$D$2+E263*Prislapp!$E$2+F263*Prislapp!$F$2+G263*Prislapp!$G$2+H263*Prislapp!$H$2+I263*Prislapp!$I$2+J263*Prislapp!$J$2+K263*Prislapp!$K$2+L263*Prislapp!$L$2+M263*Prislapp!$M$2+N263*Prislapp!$N$2</f>
        <v>19473</v>
      </c>
      <c r="P263" s="42">
        <f>C263*Prislapp!$C$3+D263*Prislapp!$D$3+E263*Prislapp!$E$3+F263*Prislapp!$F$3+G263*Prislapp!$G$3+H263*Prislapp!$H$3+I263*Prislapp!$I$3+J263*Prislapp!$J$3+K263*Prislapp!$K$3+M263*Prislapp!$M$3+N263*Prislapp!$N$3</f>
        <v>34806</v>
      </c>
      <c r="Q263" s="42">
        <f>C263*Prislapp!$C$5+D263*Prislapp!$D$5+E263*Prislapp!$E$5+F263*Prislapp!$F$5+G263*Prislapp!$G$5+H263*Prislapp!$H$5+I263*Prislapp!$I$5+J263*Prislapp!$J$5+K263*Prislapp!$K$5+L263*Prislapp!$L$5+M263*Prislapp!$M$5+N263*Prislapp!$N$5</f>
        <v>21800</v>
      </c>
      <c r="R263" s="9">
        <f>VLOOKUP(A263,'Ansvar kurs'!$A$2:$B$830,2,FALSE)</f>
        <v>2750</v>
      </c>
      <c r="S263" s="159"/>
      <c r="T263" s="159"/>
      <c r="U263" s="159"/>
      <c r="V263" s="159"/>
      <c r="W263" s="159"/>
      <c r="X263" s="159"/>
      <c r="Y263" s="159"/>
      <c r="Z263" s="159"/>
    </row>
    <row r="264" spans="1:26" x14ac:dyDescent="0.25">
      <c r="A264" s="265" t="s">
        <v>1320</v>
      </c>
      <c r="B264" t="s">
        <v>1347</v>
      </c>
      <c r="D264" s="31">
        <v>1</v>
      </c>
      <c r="O264" s="42">
        <f>C264*Prislapp!$C$2+D264*Prislapp!$D$2+E264*Prislapp!$E$2+F264*Prislapp!$F$2+G264*Prislapp!$G$2+H264*Prislapp!$H$2+I264*Prislapp!$I$2+J264*Prislapp!$J$2+K264*Prislapp!$K$2+L264*Prislapp!$L$2+M264*Prislapp!$M$2+N264*Prislapp!$N$2</f>
        <v>18405</v>
      </c>
      <c r="P264" s="42">
        <f>C264*Prislapp!$C$3+D264*Prislapp!$D$3+E264*Prislapp!$E$3+F264*Prislapp!$F$3+G264*Prislapp!$G$3+H264*Prislapp!$H$3+I264*Prislapp!$I$3+J264*Prislapp!$J$3+K264*Prislapp!$K$3+M264*Prislapp!$M$3+N264*Prislapp!$N$3</f>
        <v>15773</v>
      </c>
      <c r="Q264" s="42">
        <f>C264*Prislapp!$C$5+D264*Prislapp!$D$5+E264*Prislapp!$E$5+F264*Prislapp!$F$5+G264*Prislapp!$G$5+H264*Prislapp!$H$5+I264*Prislapp!$I$5+J264*Prislapp!$J$5+K264*Prislapp!$K$5+L264*Prislapp!$L$5+M264*Prislapp!$M$5+N264*Prislapp!$N$5</f>
        <v>5800</v>
      </c>
      <c r="R264" s="9">
        <f>VLOOKUP(A264,'Ansvar kurs'!$A$2:$B$830,2,FALSE)</f>
        <v>1640</v>
      </c>
      <c r="S264" s="159"/>
      <c r="T264" s="159"/>
      <c r="U264" s="159"/>
      <c r="V264" s="159"/>
      <c r="W264" s="159"/>
      <c r="X264" s="159"/>
      <c r="Y264" s="159"/>
      <c r="Z264" s="159"/>
    </row>
    <row r="265" spans="1:26" x14ac:dyDescent="0.25">
      <c r="A265" s="31" t="s">
        <v>780</v>
      </c>
      <c r="B265" s="31" t="s">
        <v>1180</v>
      </c>
      <c r="D265" s="31">
        <v>1</v>
      </c>
      <c r="O265" s="42">
        <f>C265*Prislapp!$C$2+D265*Prislapp!$D$2+E265*Prislapp!$E$2+F265*Prislapp!$F$2+G265*Prislapp!$G$2+H265*Prislapp!$H$2+I265*Prislapp!$I$2+J265*Prislapp!$J$2+K265*Prislapp!$K$2+L265*Prislapp!$L$2+M265*Prislapp!$M$2+N265*Prislapp!$N$2</f>
        <v>18405</v>
      </c>
      <c r="P265" s="42">
        <f>C265*Prislapp!$C$3+D265*Prislapp!$D$3+E265*Prislapp!$E$3+F265*Prislapp!$F$3+G265*Prislapp!$G$3+H265*Prislapp!$H$3+I265*Prislapp!$I$3+J265*Prislapp!$J$3+K265*Prislapp!$K$3+M265*Prislapp!$M$3+N265*Prislapp!$N$3</f>
        <v>15773</v>
      </c>
      <c r="Q265" s="42">
        <f>C265*Prislapp!$C$5+D265*Prislapp!$D$5+E265*Prislapp!$E$5+F265*Prislapp!$F$5+G265*Prislapp!$G$5+H265*Prislapp!$H$5+I265*Prislapp!$I$5+J265*Prislapp!$J$5+K265*Prislapp!$K$5+L265*Prislapp!$L$5+M265*Prislapp!$M$5+N265*Prislapp!$N$5</f>
        <v>5800</v>
      </c>
      <c r="R265" s="9">
        <f>VLOOKUP(A265,'Ansvar kurs'!$A$2:$B$830,2,FALSE)</f>
        <v>1620</v>
      </c>
      <c r="S265" s="159" t="s">
        <v>1312</v>
      </c>
      <c r="T265" s="159"/>
      <c r="U265" s="159"/>
      <c r="V265" s="159"/>
      <c r="W265" s="159"/>
      <c r="X265" s="159"/>
      <c r="Y265" s="159"/>
      <c r="Z265" s="159"/>
    </row>
    <row r="266" spans="1:26" x14ac:dyDescent="0.25">
      <c r="A266" s="31" t="s">
        <v>1085</v>
      </c>
      <c r="B266" s="31" t="s">
        <v>716</v>
      </c>
      <c r="D266" s="31">
        <v>1</v>
      </c>
      <c r="O266" s="42">
        <f>C266*Prislapp!$C$2+D266*Prislapp!$D$2+E266*Prislapp!$E$2+F266*Prislapp!$F$2+G266*Prislapp!$G$2+H266*Prislapp!$H$2+I266*Prislapp!$I$2+J266*Prislapp!$J$2+K266*Prislapp!$K$2+L266*Prislapp!$L$2+M266*Prislapp!$M$2+N266*Prislapp!$N$2</f>
        <v>18405</v>
      </c>
      <c r="P266" s="42">
        <f>C266*Prislapp!$C$3+D266*Prislapp!$D$3+E266*Prislapp!$E$3+F266*Prislapp!$F$3+G266*Prislapp!$G$3+H266*Prislapp!$H$3+I266*Prislapp!$I$3+J266*Prislapp!$J$3+K266*Prislapp!$K$3+M266*Prislapp!$M$3+N266*Prislapp!$N$3</f>
        <v>15773</v>
      </c>
      <c r="Q266" s="42">
        <f>C266*Prislapp!$C$5+D266*Prislapp!$D$5+E266*Prislapp!$E$5+F266*Prislapp!$F$5+G266*Prislapp!$G$5+H266*Prislapp!$H$5+I266*Prislapp!$I$5+J266*Prislapp!$J$5+K266*Prislapp!$K$5+L266*Prislapp!$L$5+M266*Prislapp!$M$5+N266*Prislapp!$N$5</f>
        <v>5800</v>
      </c>
      <c r="R266" s="9">
        <f>VLOOKUP(A266,'Ansvar kurs'!$A$2:$B$830,2,FALSE)</f>
        <v>1620</v>
      </c>
      <c r="S266" s="159"/>
      <c r="T266" s="159"/>
      <c r="U266" s="159"/>
      <c r="V266" s="159"/>
      <c r="W266" s="159"/>
      <c r="X266" s="159"/>
      <c r="Y266" s="159"/>
      <c r="Z266" s="159"/>
    </row>
    <row r="267" spans="1:26" x14ac:dyDescent="0.25">
      <c r="A267" s="31" t="s">
        <v>1479</v>
      </c>
      <c r="B267" s="31" t="s">
        <v>1478</v>
      </c>
      <c r="D267" s="31">
        <v>1</v>
      </c>
      <c r="O267" s="42">
        <f>C267*Prislapp!$C$2+D267*Prislapp!$D$2+E267*Prislapp!$E$2+F267*Prislapp!$F$2+G267*Prislapp!$G$2+H267*Prislapp!$H$2+I267*Prislapp!$I$2+J267*Prislapp!$J$2+K267*Prislapp!$K$2+L267*Prislapp!$L$2+M267*Prislapp!$M$2+N267*Prislapp!$N$2</f>
        <v>18405</v>
      </c>
      <c r="P267" s="42">
        <f>C267*Prislapp!$C$3+D267*Prislapp!$D$3+E267*Prislapp!$E$3+F267*Prislapp!$F$3+G267*Prislapp!$G$3+H267*Prislapp!$H$3+I267*Prislapp!$I$3+J267*Prislapp!$J$3+K267*Prislapp!$K$3+M267*Prislapp!$M$3+N267*Prislapp!$N$3</f>
        <v>15773</v>
      </c>
      <c r="Q267" s="42">
        <f>C267*Prislapp!$C$5+D267*Prislapp!$D$5+E267*Prislapp!$E$5+F267*Prislapp!$F$5+G267*Prislapp!$G$5+H267*Prislapp!$H$5+I267*Prislapp!$I$5+J267*Prislapp!$J$5+K267*Prislapp!$K$5+L267*Prislapp!$L$5+M267*Prislapp!$M$5+N267*Prislapp!$N$5</f>
        <v>5800</v>
      </c>
      <c r="R267" s="9">
        <f>VLOOKUP(A267,'Ansvar kurs'!$A$2:$B$830,2,FALSE)</f>
        <v>1620</v>
      </c>
      <c r="S267" s="159"/>
      <c r="T267" s="159"/>
      <c r="U267" s="159"/>
      <c r="V267" s="159"/>
      <c r="W267" s="159"/>
      <c r="X267" s="159"/>
      <c r="Y267" s="159"/>
      <c r="Z267" s="159"/>
    </row>
    <row r="268" spans="1:26" x14ac:dyDescent="0.25">
      <c r="A268" s="266" t="s">
        <v>1711</v>
      </c>
      <c r="B268" t="s">
        <v>1661</v>
      </c>
      <c r="D268" s="31">
        <v>1</v>
      </c>
      <c r="O268" s="42">
        <f>C268*Prislapp!$C$2+D268*Prislapp!$D$2+E268*Prislapp!$E$2+F268*Prislapp!$F$2+G268*Prislapp!$G$2+H268*Prislapp!$H$2+I268*Prislapp!$I$2+J268*Prislapp!$J$2+K268*Prislapp!$K$2+L268*Prislapp!$L$2+M268*Prislapp!$M$2+N268*Prislapp!$N$2</f>
        <v>18405</v>
      </c>
      <c r="P268" s="42">
        <f>C268*Prislapp!$C$3+D268*Prislapp!$D$3+E268*Prislapp!$E$3+F268*Prislapp!$F$3+G268*Prislapp!$G$3+H268*Prislapp!$H$3+I268*Prislapp!$I$3+J268*Prislapp!$J$3+K268*Prislapp!$K$3+M268*Prislapp!$M$3+N268*Prislapp!$N$3</f>
        <v>15773</v>
      </c>
      <c r="Q268" s="42">
        <f>C268*Prislapp!$C$5+D268*Prislapp!$D$5+E268*Prislapp!$E$5+F268*Prislapp!$F$5+G268*Prislapp!$G$5+H268*Prislapp!$H$5+I268*Prislapp!$I$5+J268*Prislapp!$J$5+K268*Prislapp!$K$5+L268*Prislapp!$L$5+M268*Prislapp!$M$5+N268*Prislapp!$N$5</f>
        <v>5800</v>
      </c>
      <c r="R268" s="9">
        <f>VLOOKUP(A268,'Ansvar kurs'!$A$2:$B$830,2,FALSE)</f>
        <v>1620</v>
      </c>
      <c r="S268" s="159"/>
      <c r="T268" s="159"/>
      <c r="U268" s="233"/>
      <c r="V268" s="233"/>
      <c r="W268" s="233"/>
      <c r="X268" s="233"/>
      <c r="Y268" s="233"/>
      <c r="Z268" s="208"/>
    </row>
    <row r="269" spans="1:26" x14ac:dyDescent="0.25">
      <c r="A269" s="266" t="s">
        <v>1829</v>
      </c>
      <c r="B269" t="s">
        <v>1850</v>
      </c>
      <c r="D269" s="31">
        <v>1</v>
      </c>
      <c r="O269" s="42">
        <f>C269*Prislapp!$C$2+D269*Prislapp!$D$2+E269*Prislapp!$E$2+F269*Prislapp!$F$2+G269*Prislapp!$G$2+H269*Prislapp!$H$2+I269*Prislapp!$I$2+J269*Prislapp!$J$2+K269*Prislapp!$K$2+L269*Prislapp!$L$2+M269*Prislapp!$M$2+N269*Prislapp!$N$2</f>
        <v>18405</v>
      </c>
      <c r="P269" s="42">
        <f>C269*Prislapp!$C$3+D269*Prislapp!$D$3+E269*Prislapp!$E$3+F269*Prislapp!$F$3+G269*Prislapp!$G$3+H269*Prislapp!$H$3+I269*Prislapp!$I$3+J269*Prislapp!$J$3+K269*Prislapp!$K$3+M269*Prislapp!$M$3+N269*Prislapp!$N$3</f>
        <v>15773</v>
      </c>
      <c r="Q269" s="42">
        <f>C269*Prislapp!$C$5+D269*Prislapp!$D$5+E269*Prislapp!$E$5+F269*Prislapp!$F$5+G269*Prislapp!$G$5+H269*Prislapp!$H$5+I269*Prislapp!$I$5+J269*Prislapp!$J$5+K269*Prislapp!$K$5+L269*Prislapp!$L$5+M269*Prislapp!$M$5+N269*Prislapp!$N$5</f>
        <v>5800</v>
      </c>
      <c r="R269" s="9">
        <f>VLOOKUP(A269,'Ansvar kurs'!$A$2:$B$830,2,FALSE)</f>
        <v>1620</v>
      </c>
      <c r="S269" s="159"/>
      <c r="T269" s="159"/>
      <c r="U269" s="233"/>
      <c r="V269" s="233"/>
      <c r="W269" s="233"/>
      <c r="X269" s="233"/>
      <c r="Y269" s="233"/>
      <c r="Z269" s="208"/>
    </row>
    <row r="270" spans="1:26" x14ac:dyDescent="0.25">
      <c r="A270" s="266" t="s">
        <v>1830</v>
      </c>
      <c r="B270" t="s">
        <v>1851</v>
      </c>
      <c r="D270" s="31">
        <v>1</v>
      </c>
      <c r="O270" s="42">
        <f>C270*Prislapp!$C$2+D270*Prislapp!$D$2+E270*Prislapp!$E$2+F270*Prislapp!$F$2+G270*Prislapp!$G$2+H270*Prislapp!$H$2+I270*Prislapp!$I$2+J270*Prislapp!$J$2+K270*Prislapp!$K$2+L270*Prislapp!$L$2+M270*Prislapp!$M$2+N270*Prislapp!$N$2</f>
        <v>18405</v>
      </c>
      <c r="P270" s="42">
        <f>C270*Prislapp!$C$3+D270*Prislapp!$D$3+E270*Prislapp!$E$3+F270*Prislapp!$F$3+G270*Prislapp!$G$3+H270*Prislapp!$H$3+I270*Prislapp!$I$3+J270*Prislapp!$J$3+K270*Prislapp!$K$3+M270*Prislapp!$M$3+N270*Prislapp!$N$3</f>
        <v>15773</v>
      </c>
      <c r="Q270" s="42">
        <f>C270*Prislapp!$C$5+D270*Prislapp!$D$5+E270*Prislapp!$E$5+F270*Prislapp!$F$5+G270*Prislapp!$G$5+H270*Prislapp!$H$5+I270*Prislapp!$I$5+J270*Prislapp!$J$5+K270*Prislapp!$K$5+L270*Prislapp!$L$5+M270*Prislapp!$M$5+N270*Prislapp!$N$5</f>
        <v>5800</v>
      </c>
      <c r="R270" s="9">
        <f>VLOOKUP(A270,'Ansvar kurs'!$A$2:$B$830,2,FALSE)</f>
        <v>1620</v>
      </c>
      <c r="S270" s="159"/>
      <c r="T270" s="159"/>
      <c r="U270" s="233"/>
      <c r="V270" s="233"/>
      <c r="W270" s="233"/>
      <c r="X270" s="233"/>
      <c r="Y270" s="233"/>
      <c r="Z270" s="208"/>
    </row>
    <row r="271" spans="1:26" x14ac:dyDescent="0.25">
      <c r="A271" s="266" t="s">
        <v>1720</v>
      </c>
      <c r="B271" t="s">
        <v>1719</v>
      </c>
      <c r="D271" s="31">
        <v>1</v>
      </c>
      <c r="O271" s="42">
        <f>C271*Prislapp!$C$2+D271*Prislapp!$D$2+E271*Prislapp!$E$2+F271*Prislapp!$F$2+G271*Prislapp!$G$2+H271*Prislapp!$H$2+I271*Prislapp!$I$2+J271*Prislapp!$J$2+K271*Prislapp!$K$2+L271*Prislapp!$L$2+M271*Prislapp!$M$2+N271*Prislapp!$N$2</f>
        <v>18405</v>
      </c>
      <c r="P271" s="42">
        <f>C271*Prislapp!$C$3+D271*Prislapp!$D$3+E271*Prislapp!$E$3+F271*Prislapp!$F$3+G271*Prislapp!$G$3+H271*Prislapp!$H$3+I271*Prislapp!$I$3+J271*Prislapp!$J$3+K271*Prislapp!$K$3+M271*Prislapp!$M$3+N271*Prislapp!$N$3</f>
        <v>15773</v>
      </c>
      <c r="Q271" s="42">
        <f>C271*Prislapp!$C$5+D271*Prislapp!$D$5+E271*Prislapp!$E$5+F271*Prislapp!$F$5+G271*Prislapp!$G$5+H271*Prislapp!$H$5+I271*Prislapp!$I$5+J271*Prislapp!$J$5+K271*Prislapp!$K$5+L271*Prislapp!$L$5+M271*Prislapp!$M$5+N271*Prislapp!$N$5</f>
        <v>5800</v>
      </c>
      <c r="R271" s="9">
        <f>VLOOKUP(A271,'Ansvar kurs'!$A$2:$B$830,2,FALSE)</f>
        <v>1620</v>
      </c>
      <c r="S271" s="159" t="s">
        <v>1718</v>
      </c>
      <c r="T271" s="159"/>
      <c r="U271" s="159"/>
      <c r="V271" s="159"/>
      <c r="W271" s="159"/>
      <c r="X271" s="159"/>
      <c r="Y271" s="159"/>
      <c r="Z271" s="159"/>
    </row>
    <row r="272" spans="1:26" x14ac:dyDescent="0.25">
      <c r="A272" s="266" t="s">
        <v>1972</v>
      </c>
      <c r="B272" t="s">
        <v>1180</v>
      </c>
      <c r="D272" s="31">
        <v>1</v>
      </c>
      <c r="O272" s="42">
        <f>C272*Prislapp!$C$2+D272*Prislapp!$D$2+E272*Prislapp!$E$2+F272*Prislapp!$F$2+G272*Prislapp!$G$2+H272*Prislapp!$H$2+I272*Prislapp!$I$2+J272*Prislapp!$J$2+K272*Prislapp!$K$2+L272*Prislapp!$L$2+M272*Prislapp!$M$2+N272*Prislapp!$N$2</f>
        <v>18405</v>
      </c>
      <c r="P272" s="42">
        <f>C272*Prislapp!$C$3+D272*Prislapp!$D$3+E272*Prislapp!$E$3+F272*Prislapp!$F$3+G272*Prislapp!$G$3+H272*Prislapp!$H$3+I272*Prislapp!$I$3+J272*Prislapp!$J$3+K272*Prislapp!$K$3+M272*Prislapp!$M$3+N272*Prislapp!$N$3</f>
        <v>15773</v>
      </c>
      <c r="Q272" s="42">
        <f>C272*Prislapp!$C$5+D272*Prislapp!$D$5+E272*Prislapp!$E$5+F272*Prislapp!$F$5+G272*Prislapp!$G$5+H272*Prislapp!$H$5+I272*Prislapp!$I$5+J272*Prislapp!$J$5+K272*Prislapp!$K$5+L272*Prislapp!$L$5+M272*Prislapp!$M$5+N272*Prislapp!$N$5</f>
        <v>5800</v>
      </c>
      <c r="R272" s="9">
        <f>VLOOKUP(A272,'Ansvar kurs'!$A$2:$B$830,2,FALSE)</f>
        <v>1620</v>
      </c>
      <c r="S272" s="159"/>
      <c r="T272" s="159"/>
      <c r="U272" s="159"/>
      <c r="V272" s="159"/>
      <c r="W272" s="159"/>
      <c r="X272" s="159"/>
      <c r="Y272" s="159"/>
      <c r="Z272" s="159"/>
    </row>
    <row r="273" spans="1:26" x14ac:dyDescent="0.25">
      <c r="A273" s="265" t="s">
        <v>470</v>
      </c>
      <c r="B273" s="31" t="s">
        <v>473</v>
      </c>
      <c r="F273" s="31">
        <v>1</v>
      </c>
      <c r="O273" s="42">
        <f>C273*Prislapp!$C$2+D273*Prislapp!$D$2+E273*Prislapp!$E$2+F273*Prislapp!$F$2+G273*Prislapp!$G$2+H273*Prislapp!$H$2+I273*Prislapp!$I$2+J273*Prislapp!$J$2+K273*Prislapp!$K$2+L273*Prislapp!$L$2+M273*Prislapp!$M$2+N273*Prislapp!$N$2</f>
        <v>23641</v>
      </c>
      <c r="P273" s="42">
        <f>C273*Prislapp!$C$3+D273*Prislapp!$D$3+E273*Prislapp!$E$3+F273*Prislapp!$F$3+G273*Prislapp!$G$3+H273*Prislapp!$H$3+I273*Prislapp!$I$3+J273*Prislapp!$J$3+K273*Prislapp!$K$3+M273*Prislapp!$M$3+N273*Prislapp!$N$3</f>
        <v>28786</v>
      </c>
      <c r="Q273" s="42">
        <f>C273*Prislapp!$C$5+D273*Prislapp!$D$5+E273*Prislapp!$E$5+F273*Prislapp!$F$5+G273*Prislapp!$G$5+H273*Prislapp!$H$5+I273*Prislapp!$I$5+J273*Prislapp!$J$5+K273*Prislapp!$K$5+L273*Prislapp!$L$5+M273*Prislapp!$M$5+N273*Prislapp!$N$5</f>
        <v>5800</v>
      </c>
      <c r="R273" s="9">
        <f>VLOOKUP(A273,'Ansvar kurs'!$A$2:$B$830,2,FALSE)</f>
        <v>1630</v>
      </c>
      <c r="S273" s="159"/>
      <c r="T273" s="159"/>
      <c r="U273" s="159"/>
      <c r="V273" s="159"/>
      <c r="W273" s="159"/>
      <c r="X273" s="159"/>
      <c r="Y273" s="159"/>
      <c r="Z273" s="159"/>
    </row>
    <row r="274" spans="1:26" x14ac:dyDescent="0.25">
      <c r="A274" s="31" t="s">
        <v>471</v>
      </c>
      <c r="B274" s="31" t="s">
        <v>474</v>
      </c>
      <c r="F274" s="31">
        <v>1</v>
      </c>
      <c r="O274" s="42">
        <f>C274*Prislapp!$C$2+D274*Prislapp!$D$2+E274*Prislapp!$E$2+F274*Prislapp!$F$2+G274*Prislapp!$G$2+H274*Prislapp!$H$2+I274*Prislapp!$I$2+J274*Prislapp!$J$2+K274*Prislapp!$K$2+L274*Prislapp!$L$2+M274*Prislapp!$M$2+N274*Prislapp!$N$2</f>
        <v>23641</v>
      </c>
      <c r="P274" s="42">
        <f>C274*Prislapp!$C$3+D274*Prislapp!$D$3+E274*Prislapp!$E$3+F274*Prislapp!$F$3+G274*Prislapp!$G$3+H274*Prislapp!$H$3+I274*Prislapp!$I$3+J274*Prislapp!$J$3+K274*Prislapp!$K$3+M274*Prislapp!$M$3+N274*Prislapp!$N$3</f>
        <v>28786</v>
      </c>
      <c r="Q274" s="42">
        <f>C274*Prislapp!$C$5+D274*Prislapp!$D$5+E274*Prislapp!$E$5+F274*Prislapp!$F$5+G274*Prislapp!$G$5+H274*Prislapp!$H$5+I274*Prislapp!$I$5+J274*Prislapp!$J$5+K274*Prislapp!$K$5+L274*Prislapp!$L$5+M274*Prislapp!$M$5+N274*Prislapp!$N$5</f>
        <v>5800</v>
      </c>
      <c r="R274" s="9">
        <f>VLOOKUP(A274,'Ansvar kurs'!$A$2:$B$830,2,FALSE)</f>
        <v>1630</v>
      </c>
      <c r="S274" s="159"/>
      <c r="T274" s="159"/>
      <c r="U274" s="159"/>
      <c r="W274" s="159"/>
      <c r="X274" s="159"/>
      <c r="Y274" s="159"/>
      <c r="Z274" s="159"/>
    </row>
    <row r="275" spans="1:26" x14ac:dyDescent="0.25">
      <c r="A275" s="62" t="s">
        <v>873</v>
      </c>
      <c r="B275" s="31" t="s">
        <v>1181</v>
      </c>
      <c r="D275" s="31">
        <v>1</v>
      </c>
      <c r="O275" s="42">
        <f>C275*Prislapp!$C$2+D275*Prislapp!$D$2+E275*Prislapp!$E$2+F275*Prislapp!$F$2+G275*Prislapp!$G$2+H275*Prislapp!$H$2+I275*Prislapp!$I$2+J275*Prislapp!$J$2+K275*Prislapp!$K$2+L275*Prislapp!$L$2+M275*Prislapp!$M$2+N275*Prislapp!$N$2</f>
        <v>18405</v>
      </c>
      <c r="P275" s="42">
        <f>C275*Prislapp!$C$3+D275*Prislapp!$D$3+E275*Prislapp!$E$3+F275*Prislapp!$F$3+G275*Prislapp!$G$3+H275*Prislapp!$H$3+I275*Prislapp!$I$3+J275*Prislapp!$J$3+K275*Prislapp!$K$3+M275*Prislapp!$M$3+N275*Prislapp!$N$3</f>
        <v>15773</v>
      </c>
      <c r="Q275" s="42">
        <f>C275*Prislapp!$C$5+D275*Prislapp!$D$5+E275*Prislapp!$E$5+F275*Prislapp!$F$5+G275*Prislapp!$G$5+H275*Prislapp!$H$5+I275*Prislapp!$I$5+J275*Prislapp!$J$5+K275*Prislapp!$K$5+L275*Prislapp!$L$5+M275*Prislapp!$M$5+N275*Prislapp!$N$5</f>
        <v>5800</v>
      </c>
      <c r="R275" s="9">
        <f>VLOOKUP(A275,'Ansvar kurs'!$A$2:$B$830,2,FALSE)</f>
        <v>1630</v>
      </c>
      <c r="S275" s="159" t="s">
        <v>1312</v>
      </c>
      <c r="T275" s="159"/>
      <c r="U275" s="159"/>
      <c r="V275" s="159"/>
      <c r="W275" s="159"/>
      <c r="X275" s="159"/>
      <c r="Y275" s="159"/>
      <c r="Z275" s="159"/>
    </row>
    <row r="276" spans="1:26" x14ac:dyDescent="0.25">
      <c r="A276" s="62" t="s">
        <v>1152</v>
      </c>
      <c r="B276" s="62" t="s">
        <v>1138</v>
      </c>
      <c r="F276" s="31">
        <v>1</v>
      </c>
      <c r="O276" s="42">
        <f>C276*Prislapp!$C$2+D276*Prislapp!$D$2+E276*Prislapp!$E$2+F276*Prislapp!$F$2+G276*Prislapp!$G$2+H276*Prislapp!$H$2+I276*Prislapp!$I$2+J276*Prislapp!$J$2+K276*Prislapp!$K$2+L276*Prislapp!$L$2+M276*Prislapp!$M$2+N276*Prislapp!$N$2</f>
        <v>23641</v>
      </c>
      <c r="P276" s="42">
        <f>C276*Prislapp!$C$3+D276*Prislapp!$D$3+E276*Prislapp!$E$3+F276*Prislapp!$F$3+G276*Prislapp!$G$3+H276*Prislapp!$H$3+I276*Prislapp!$I$3+J276*Prislapp!$J$3+K276*Prislapp!$K$3+M276*Prislapp!$M$3+N276*Prislapp!$N$3</f>
        <v>28786</v>
      </c>
      <c r="Q276" s="42">
        <f>C276*Prislapp!$C$5+D276*Prislapp!$D$5+E276*Prislapp!$E$5+F276*Prislapp!$F$5+G276*Prislapp!$G$5+H276*Prislapp!$H$5+I276*Prislapp!$I$5+J276*Prislapp!$J$5+K276*Prislapp!$K$5+L276*Prislapp!$L$5+M276*Prislapp!$M$5+N276*Prislapp!$N$5</f>
        <v>5800</v>
      </c>
      <c r="R276" s="9">
        <f>VLOOKUP(A276,'Ansvar kurs'!$A$2:$B$830,2,FALSE)</f>
        <v>1630</v>
      </c>
      <c r="S276" s="31" t="s">
        <v>1295</v>
      </c>
      <c r="T276" s="31" t="s">
        <v>1136</v>
      </c>
    </row>
    <row r="277" spans="1:26" x14ac:dyDescent="0.25">
      <c r="A277" s="62" t="s">
        <v>1154</v>
      </c>
      <c r="B277" s="62" t="s">
        <v>1139</v>
      </c>
      <c r="F277" s="31">
        <v>1</v>
      </c>
      <c r="O277" s="42">
        <f>C277*Prislapp!$C$2+D277*Prislapp!$D$2+E277*Prislapp!$E$2+F277*Prislapp!$F$2+G277*Prislapp!$G$2+H277*Prislapp!$H$2+I277*Prislapp!$I$2+J277*Prislapp!$J$2+K277*Prislapp!$K$2+L277*Prislapp!$L$2+M277*Prislapp!$M$2+N277*Prislapp!$N$2</f>
        <v>23641</v>
      </c>
      <c r="P277" s="42">
        <f>C277*Prislapp!$C$3+D277*Prislapp!$D$3+E277*Prislapp!$E$3+F277*Prislapp!$F$3+G277*Prislapp!$G$3+H277*Prislapp!$H$3+I277*Prislapp!$I$3+J277*Prislapp!$J$3+K277*Prislapp!$K$3+M277*Prislapp!$M$3+N277*Prislapp!$N$3</f>
        <v>28786</v>
      </c>
      <c r="Q277" s="42">
        <f>C277*Prislapp!$C$5+D277*Prislapp!$D$5+E277*Prislapp!$E$5+F277*Prislapp!$F$5+G277*Prislapp!$G$5+H277*Prislapp!$H$5+I277*Prislapp!$I$5+J277*Prislapp!$J$5+K277*Prislapp!$K$5+L277*Prislapp!$L$5+M277*Prislapp!$M$5+N277*Prislapp!$N$5</f>
        <v>5800</v>
      </c>
      <c r="R277" s="9">
        <f>VLOOKUP(A277,'Ansvar kurs'!$A$2:$B$830,2,FALSE)</f>
        <v>1630</v>
      </c>
      <c r="S277" s="31" t="s">
        <v>1295</v>
      </c>
      <c r="T277" s="31" t="s">
        <v>1136</v>
      </c>
    </row>
    <row r="278" spans="1:26" x14ac:dyDescent="0.25">
      <c r="A278" s="31" t="s">
        <v>368</v>
      </c>
      <c r="B278" s="31" t="s">
        <v>359</v>
      </c>
      <c r="F278" s="31">
        <v>1</v>
      </c>
      <c r="O278" s="42">
        <f>C278*Prislapp!$C$2+D278*Prislapp!$D$2+E278*Prislapp!$E$2+F278*Prislapp!$F$2+G278*Prislapp!$G$2+H278*Prislapp!$H$2+I278*Prislapp!$I$2+J278*Prislapp!$J$2+K278*Prislapp!$K$2+L278*Prislapp!$L$2+M278*Prislapp!$M$2+N278*Prislapp!$N$2</f>
        <v>23641</v>
      </c>
      <c r="P278" s="42">
        <f>C278*Prislapp!$C$3+D278*Prislapp!$D$3+E278*Prislapp!$E$3+F278*Prislapp!$F$3+G278*Prislapp!$G$3+H278*Prislapp!$H$3+I278*Prislapp!$I$3+J278*Prislapp!$J$3+K278*Prislapp!$K$3+M278*Prislapp!$M$3+N278*Prislapp!$N$3</f>
        <v>28786</v>
      </c>
      <c r="Q278" s="42">
        <f>C278*Prislapp!$C$5+D278*Prislapp!$D$5+E278*Prislapp!$E$5+F278*Prislapp!$F$5+G278*Prislapp!$G$5+H278*Prislapp!$H$5+I278*Prislapp!$I$5+J278*Prislapp!$J$5+K278*Prislapp!$K$5+L278*Prislapp!$L$5+M278*Prislapp!$M$5+N278*Prislapp!$N$5</f>
        <v>5800</v>
      </c>
      <c r="R278" s="9">
        <f>VLOOKUP(A278,'Ansvar kurs'!$A$2:$B$830,2,FALSE)</f>
        <v>1640</v>
      </c>
      <c r="S278" s="159"/>
      <c r="T278" s="159"/>
      <c r="U278" s="159"/>
      <c r="V278" s="159"/>
      <c r="W278" s="159"/>
      <c r="X278" s="159"/>
      <c r="Y278" s="159"/>
      <c r="Z278" s="159"/>
    </row>
    <row r="279" spans="1:26" x14ac:dyDescent="0.25">
      <c r="A279" s="31" t="s">
        <v>1125</v>
      </c>
      <c r="B279" s="31" t="s">
        <v>1182</v>
      </c>
      <c r="D279" s="31">
        <v>1</v>
      </c>
      <c r="O279" s="42">
        <f>C279*Prislapp!$C$2+D279*Prislapp!$D$2+E279*Prislapp!$E$2+F279*Prislapp!$F$2+G279*Prislapp!$G$2+H279*Prislapp!$H$2+I279*Prislapp!$I$2+J279*Prislapp!$J$2+K279*Prislapp!$K$2+L279*Prislapp!$L$2+M279*Prislapp!$M$2+N279*Prislapp!$N$2</f>
        <v>18405</v>
      </c>
      <c r="P279" s="42">
        <f>C279*Prislapp!$C$3+D279*Prislapp!$D$3+E279*Prislapp!$E$3+F279*Prislapp!$F$3+G279*Prislapp!$G$3+H279*Prislapp!$H$3+I279*Prislapp!$I$3+J279*Prislapp!$J$3+K279*Prislapp!$K$3+M279*Prislapp!$M$3+N279*Prislapp!$N$3</f>
        <v>15773</v>
      </c>
      <c r="Q279" s="42">
        <f>C279*Prislapp!$C$5+D279*Prislapp!$D$5+E279*Prislapp!$E$5+F279*Prislapp!$F$5+G279*Prislapp!$G$5+H279*Prislapp!$H$5+I279*Prislapp!$I$5+J279*Prislapp!$J$5+K279*Prislapp!$K$5+L279*Prislapp!$L$5+M279*Prislapp!$M$5+N279*Prislapp!$N$5</f>
        <v>5800</v>
      </c>
      <c r="R279" s="9">
        <f>VLOOKUP(A279,'Ansvar kurs'!$A$2:$B$830,2,FALSE)</f>
        <v>1640</v>
      </c>
      <c r="S279" s="31" t="s">
        <v>1295</v>
      </c>
      <c r="U279" s="159"/>
      <c r="V279" s="159"/>
      <c r="W279" s="159"/>
      <c r="X279" s="159"/>
      <c r="Y279" s="159"/>
      <c r="Z279" s="159"/>
    </row>
    <row r="280" spans="1:26" x14ac:dyDescent="0.25">
      <c r="A280" s="31" t="s">
        <v>1321</v>
      </c>
      <c r="B280" t="s">
        <v>1348</v>
      </c>
      <c r="D280" s="31">
        <v>1</v>
      </c>
      <c r="O280" s="42">
        <f>C280*Prislapp!$C$2+D280*Prislapp!$D$2+E280*Prislapp!$E$2+F280*Prislapp!$F$2+G280*Prislapp!$G$2+H280*Prislapp!$H$2+I280*Prislapp!$I$2+J280*Prislapp!$J$2+K280*Prislapp!$K$2+L280*Prislapp!$L$2+M280*Prislapp!$M$2+N280*Prislapp!$N$2</f>
        <v>18405</v>
      </c>
      <c r="P280" s="42">
        <f>C280*Prislapp!$C$3+D280*Prislapp!$D$3+E280*Prislapp!$E$3+F280*Prislapp!$F$3+G280*Prislapp!$G$3+H280*Prislapp!$H$3+I280*Prislapp!$I$3+J280*Prislapp!$J$3+K280*Prislapp!$K$3+M280*Prislapp!$M$3+N280*Prislapp!$N$3</f>
        <v>15773</v>
      </c>
      <c r="Q280" s="42">
        <f>C280*Prislapp!$C$5+D280*Prislapp!$D$5+E280*Prislapp!$E$5+F280*Prislapp!$F$5+G280*Prislapp!$G$5+H280*Prislapp!$H$5+I280*Prislapp!$I$5+J280*Prislapp!$J$5+K280*Prislapp!$K$5+L280*Prislapp!$L$5+M280*Prislapp!$M$5+N280*Prislapp!$N$5</f>
        <v>5800</v>
      </c>
      <c r="R280" s="9">
        <f>VLOOKUP(A280,'Ansvar kurs'!$A$2:$B$830,2,FALSE)</f>
        <v>1640</v>
      </c>
      <c r="U280" s="159"/>
      <c r="V280" s="159"/>
      <c r="W280" s="159"/>
      <c r="X280" s="159"/>
      <c r="Y280" s="159"/>
      <c r="Z280" s="159"/>
    </row>
    <row r="281" spans="1:26" x14ac:dyDescent="0.25">
      <c r="A281" s="31" t="s">
        <v>1322</v>
      </c>
      <c r="B281" t="s">
        <v>1323</v>
      </c>
      <c r="D281" s="31">
        <v>1</v>
      </c>
      <c r="O281" s="42">
        <f>C281*Prislapp!$C$2+D281*Prislapp!$D$2+E281*Prislapp!$E$2+F281*Prislapp!$F$2+G281*Prislapp!$G$2+H281*Prislapp!$H$2+I281*Prislapp!$I$2+J281*Prislapp!$J$2+K281*Prislapp!$K$2+L281*Prislapp!$L$2+M281*Prislapp!$M$2+N281*Prislapp!$N$2</f>
        <v>18405</v>
      </c>
      <c r="P281" s="42">
        <f>C281*Prislapp!$C$3+D281*Prislapp!$D$3+E281*Prislapp!$E$3+F281*Prislapp!$F$3+G281*Prislapp!$G$3+H281*Prislapp!$H$3+I281*Prislapp!$I$3+J281*Prislapp!$J$3+K281*Prislapp!$K$3+M281*Prislapp!$M$3+N281*Prislapp!$N$3</f>
        <v>15773</v>
      </c>
      <c r="Q281" s="42">
        <f>C281*Prislapp!$C$5+D281*Prislapp!$D$5+E281*Prislapp!$E$5+F281*Prislapp!$F$5+G281*Prislapp!$G$5+H281*Prislapp!$H$5+I281*Prislapp!$I$5+J281*Prislapp!$J$5+K281*Prislapp!$K$5+L281*Prislapp!$L$5+M281*Prislapp!$M$5+N281*Prislapp!$N$5</f>
        <v>5800</v>
      </c>
      <c r="R281" s="9">
        <f>VLOOKUP(A281,'Ansvar kurs'!$A$2:$B$830,2,FALSE)</f>
        <v>1640</v>
      </c>
      <c r="U281" s="159"/>
      <c r="V281" s="159"/>
      <c r="W281" s="159"/>
      <c r="X281" s="159"/>
      <c r="Y281" s="159"/>
      <c r="Z281" s="159"/>
    </row>
    <row r="282" spans="1:26" x14ac:dyDescent="0.25">
      <c r="A282" s="31" t="s">
        <v>143</v>
      </c>
      <c r="B282" s="31" t="s">
        <v>686</v>
      </c>
      <c r="D282" s="31">
        <v>0.5</v>
      </c>
      <c r="K282" s="31">
        <v>0.5</v>
      </c>
      <c r="O282" s="42">
        <f>C282*Prislapp!$C$2+D282*Prislapp!$D$2+E282*Prislapp!$E$2+F282*Prislapp!$F$2+G282*Prislapp!$G$2+H282*Prislapp!$H$2+I282*Prislapp!$I$2+J282*Prislapp!$J$2+K282*Prislapp!$K$2+L282*Prislapp!$L$2+M282*Prislapp!$M$2+N282*Prislapp!$N$2</f>
        <v>20019.5</v>
      </c>
      <c r="P282" s="42">
        <f>C282*Prislapp!$C$3+D282*Prislapp!$D$3+E282*Prislapp!$E$3+F282*Prislapp!$F$3+G282*Prislapp!$G$3+H282*Prislapp!$H$3+I282*Prislapp!$I$3+J282*Prislapp!$J$3+K282*Prislapp!$K$3+M282*Prislapp!$M$3+N282*Prislapp!$N$3</f>
        <v>21379.5</v>
      </c>
      <c r="Q282" s="42">
        <f>C282*Prislapp!$C$5+D282*Prislapp!$D$5+E282*Prislapp!$E$5+F282*Prislapp!$F$5+G282*Prislapp!$G$5+H282*Prislapp!$H$5+I282*Prislapp!$I$5+J282*Prislapp!$J$5+K282*Prislapp!$K$5+L282*Prislapp!$L$5+M282*Prislapp!$M$5+N282*Prislapp!$N$5</f>
        <v>4600</v>
      </c>
      <c r="R282" s="9">
        <f>VLOOKUP(A282,'Ansvar kurs'!$A$2:$B$830,2,FALSE)</f>
        <v>1620</v>
      </c>
      <c r="S282" s="159"/>
      <c r="T282" s="159"/>
      <c r="U282" s="159"/>
      <c r="V282" s="159"/>
      <c r="W282" s="159"/>
      <c r="X282" s="159"/>
      <c r="Y282" s="159"/>
      <c r="Z282" s="159"/>
    </row>
    <row r="283" spans="1:26" x14ac:dyDescent="0.25">
      <c r="A283" s="31" t="s">
        <v>93</v>
      </c>
      <c r="B283" s="31" t="s">
        <v>687</v>
      </c>
      <c r="I283" s="31">
        <v>1</v>
      </c>
      <c r="O283" s="42">
        <f>C283*Prislapp!$C$2+D283*Prislapp!$D$2+E283*Prislapp!$E$2+F283*Prislapp!$F$2+G283*Prislapp!$G$2+H283*Prislapp!$H$2+I283*Prislapp!$I$2+J283*Prislapp!$J$2+K283*Prislapp!$K$2+L283*Prislapp!$L$2+M283*Prislapp!$M$2+N283*Prislapp!$N$2</f>
        <v>18405</v>
      </c>
      <c r="P283" s="42">
        <f>C283*Prislapp!$C$3+D283*Prislapp!$D$3+E283*Prislapp!$E$3+F283*Prislapp!$F$3+G283*Prislapp!$G$3+H283*Prislapp!$H$3+I283*Prislapp!$I$3+J283*Prislapp!$J$3+K283*Prislapp!$K$3+M283*Prislapp!$M$3+N283*Prislapp!$N$3</f>
        <v>15773</v>
      </c>
      <c r="Q283" s="42">
        <f>C283*Prislapp!$C$5+D283*Prislapp!$D$5+E283*Prislapp!$E$5+F283*Prislapp!$F$5+G283*Prislapp!$G$5+H283*Prislapp!$H$5+I283*Prislapp!$I$5+J283*Prislapp!$J$5+K283*Prislapp!$K$5+L283*Prislapp!$L$5+M283*Prislapp!$M$5+N283*Prislapp!$N$5</f>
        <v>5800</v>
      </c>
      <c r="R283" s="9">
        <f>VLOOKUP(A283,'Ansvar kurs'!$A$2:$B$830,2,FALSE)</f>
        <v>2193</v>
      </c>
      <c r="S283" s="159"/>
      <c r="T283" s="159"/>
      <c r="U283" s="159"/>
      <c r="V283" s="159"/>
      <c r="W283" s="159"/>
      <c r="X283" s="159"/>
      <c r="Y283" s="159"/>
      <c r="Z283" s="159"/>
    </row>
    <row r="284" spans="1:26" x14ac:dyDescent="0.25">
      <c r="A284" s="31" t="s">
        <v>94</v>
      </c>
      <c r="B284" s="31" t="s">
        <v>688</v>
      </c>
      <c r="F284" s="31">
        <v>0.5</v>
      </c>
      <c r="K284" s="31">
        <v>0.5</v>
      </c>
      <c r="O284" s="42">
        <f>C284*Prislapp!$C$2+D284*Prislapp!$D$2+E284*Prislapp!$E$2+F284*Prislapp!$F$2+G284*Prislapp!$G$2+H284*Prislapp!$H$2+I284*Prislapp!$I$2+J284*Prislapp!$J$2+K284*Prislapp!$K$2+L284*Prislapp!$L$2+M284*Prislapp!$M$2+N284*Prislapp!$N$2</f>
        <v>22637.5</v>
      </c>
      <c r="P284" s="42">
        <f>C284*Prislapp!$C$3+D284*Prislapp!$D$3+E284*Prislapp!$E$3+F284*Prislapp!$F$3+G284*Prislapp!$G$3+H284*Prislapp!$H$3+I284*Prislapp!$I$3+J284*Prislapp!$J$3+K284*Prislapp!$K$3+M284*Prislapp!$M$3+N284*Prislapp!$N$3</f>
        <v>27886</v>
      </c>
      <c r="Q284" s="42">
        <f>C284*Prislapp!$C$5+D284*Prislapp!$D$5+E284*Prislapp!$E$5+F284*Prislapp!$F$5+G284*Prislapp!$G$5+H284*Prislapp!$H$5+I284*Prislapp!$I$5+J284*Prislapp!$J$5+K284*Prislapp!$K$5+L284*Prislapp!$L$5+M284*Prislapp!$M$5+N284*Prislapp!$N$5</f>
        <v>4600</v>
      </c>
      <c r="R284" s="9">
        <f>VLOOKUP(A284,'Ansvar kurs'!$A$2:$B$830,2,FALSE)</f>
        <v>2193</v>
      </c>
      <c r="S284" s="159" t="s">
        <v>941</v>
      </c>
      <c r="U284" s="159"/>
      <c r="W284" s="159"/>
      <c r="X284" s="159"/>
      <c r="Y284" s="159"/>
      <c r="Z284" s="159"/>
    </row>
    <row r="285" spans="1:26" x14ac:dyDescent="0.25">
      <c r="A285" s="31" t="s">
        <v>392</v>
      </c>
      <c r="B285" s="31" t="s">
        <v>689</v>
      </c>
      <c r="F285" s="31">
        <v>1</v>
      </c>
      <c r="O285" s="42">
        <f>C285*Prislapp!$C$2+D285*Prislapp!$D$2+E285*Prislapp!$E$2+F285*Prislapp!$F$2+G285*Prislapp!$G$2+H285*Prislapp!$H$2+I285*Prislapp!$I$2+J285*Prislapp!$J$2+K285*Prislapp!$K$2+L285*Prislapp!$L$2+M285*Prislapp!$M$2+N285*Prislapp!$N$2</f>
        <v>23641</v>
      </c>
      <c r="P285" s="42">
        <f>C285*Prislapp!$C$3+D285*Prislapp!$D$3+E285*Prislapp!$E$3+F285*Prislapp!$F$3+G285*Prislapp!$G$3+H285*Prislapp!$H$3+I285*Prislapp!$I$3+J285*Prislapp!$J$3+K285*Prislapp!$K$3+M285*Prislapp!$M$3+N285*Prislapp!$N$3</f>
        <v>28786</v>
      </c>
      <c r="Q285" s="42">
        <f>C285*Prislapp!$C$5+D285*Prislapp!$D$5+E285*Prislapp!$E$5+F285*Prislapp!$F$5+G285*Prislapp!$G$5+H285*Prislapp!$H$5+I285*Prislapp!$I$5+J285*Prislapp!$J$5+K285*Prislapp!$K$5+L285*Prislapp!$L$5+M285*Prislapp!$M$5+N285*Prislapp!$N$5</f>
        <v>5800</v>
      </c>
      <c r="R285" s="9">
        <f>VLOOKUP(A285,'Ansvar kurs'!$A$2:$B$830,2,FALSE)</f>
        <v>2193</v>
      </c>
      <c r="S285" s="159"/>
      <c r="T285" s="159"/>
      <c r="U285" s="159"/>
      <c r="V285" s="159"/>
      <c r="W285" s="159"/>
      <c r="X285" s="159"/>
      <c r="Y285" s="159"/>
      <c r="Z285" s="159"/>
    </row>
    <row r="286" spans="1:26" x14ac:dyDescent="0.25">
      <c r="A286" s="62" t="s">
        <v>833</v>
      </c>
      <c r="B286" s="31" t="s">
        <v>619</v>
      </c>
      <c r="F286" s="31">
        <v>1</v>
      </c>
      <c r="O286" s="42">
        <f>C286*Prislapp!$C$2+D286*Prislapp!$D$2+E286*Prislapp!$E$2+F286*Prislapp!$F$2+G286*Prislapp!$G$2+H286*Prislapp!$H$2+I286*Prislapp!$I$2+J286*Prislapp!$J$2+K286*Prislapp!$K$2+L286*Prislapp!$L$2+M286*Prislapp!$M$2+N286*Prislapp!$N$2</f>
        <v>23641</v>
      </c>
      <c r="P286" s="42">
        <f>C286*Prislapp!$C$3+D286*Prislapp!$D$3+E286*Prislapp!$E$3+F286*Prislapp!$F$3+G286*Prislapp!$G$3+H286*Prislapp!$H$3+I286*Prislapp!$I$3+J286*Prislapp!$J$3+K286*Prislapp!$K$3+M286*Prislapp!$M$3+N286*Prislapp!$N$3</f>
        <v>28786</v>
      </c>
      <c r="Q286" s="42">
        <f>C286*Prislapp!$C$5+D286*Prislapp!$D$5+E286*Prislapp!$E$5+F286*Prislapp!$F$5+G286*Prislapp!$G$5+H286*Prislapp!$H$5+I286*Prislapp!$I$5+J286*Prislapp!$J$5+K286*Prislapp!$K$5+L286*Prislapp!$L$5+M286*Prislapp!$M$5+N286*Prislapp!$N$5</f>
        <v>5800</v>
      </c>
      <c r="R286" s="9">
        <f>VLOOKUP(A286,'Ansvar kurs'!$A$2:$B$830,2,FALSE)</f>
        <v>1620</v>
      </c>
      <c r="S286" s="159"/>
      <c r="T286" s="159"/>
      <c r="U286" s="159"/>
      <c r="V286" s="159"/>
      <c r="W286" s="159"/>
      <c r="X286" s="159"/>
      <c r="Y286" s="159"/>
      <c r="Z286" s="159"/>
    </row>
    <row r="287" spans="1:26" x14ac:dyDescent="0.25">
      <c r="A287" s="265" t="s">
        <v>828</v>
      </c>
      <c r="B287" s="31" t="s">
        <v>621</v>
      </c>
      <c r="K287" s="31">
        <v>1</v>
      </c>
      <c r="O287" s="42">
        <f>C287*Prislapp!$C$2+D287*Prislapp!$D$2+E287*Prislapp!$E$2+F287*Prislapp!$F$2+G287*Prislapp!$G$2+H287*Prislapp!$H$2+I287*Prislapp!$I$2+J287*Prislapp!$J$2+K287*Prislapp!$K$2+L287*Prislapp!$L$2+M287*Prislapp!$M$2+N287*Prislapp!$N$2</f>
        <v>21634</v>
      </c>
      <c r="P287" s="42">
        <f>C287*Prislapp!$C$3+D287*Prislapp!$D$3+E287*Prislapp!$E$3+F287*Prislapp!$F$3+G287*Prislapp!$G$3+H287*Prislapp!$H$3+I287*Prislapp!$I$3+J287*Prislapp!$J$3+K287*Prislapp!$K$3+M287*Prislapp!$M$3+N287*Prislapp!$N$3</f>
        <v>26986</v>
      </c>
      <c r="Q287" s="42">
        <f>C287*Prislapp!$C$5+D287*Prislapp!$D$5+E287*Prislapp!$E$5+F287*Prislapp!$F$5+G287*Prislapp!$G$5+H287*Prislapp!$H$5+I287*Prislapp!$I$5+J287*Prislapp!$J$5+K287*Prislapp!$K$5+L287*Prislapp!$L$5+M287*Prislapp!$M$5+N287*Prislapp!$N$5</f>
        <v>3400</v>
      </c>
      <c r="R287" s="9">
        <f>VLOOKUP(A287,'Ansvar kurs'!$A$2:$B$830,2,FALSE)</f>
        <v>1620</v>
      </c>
      <c r="U287" s="159"/>
      <c r="V287" s="159"/>
      <c r="W287" s="159"/>
      <c r="X287" s="159"/>
      <c r="Y287" s="159"/>
      <c r="Z287" s="159"/>
    </row>
    <row r="288" spans="1:26" x14ac:dyDescent="0.25">
      <c r="A288" s="266" t="s">
        <v>834</v>
      </c>
      <c r="B288" s="31" t="s">
        <v>1183</v>
      </c>
      <c r="F288" s="31">
        <v>1</v>
      </c>
      <c r="O288" s="42">
        <f>C288*Prislapp!$C$2+D288*Prislapp!$D$2+E288*Prislapp!$E$2+F288*Prislapp!$F$2+G288*Prislapp!$G$2+H288*Prislapp!$H$2+I288*Prislapp!$I$2+J288*Prislapp!$J$2+K288*Prislapp!$K$2+L288*Prislapp!$L$2+M288*Prislapp!$M$2+N288*Prislapp!$N$2</f>
        <v>23641</v>
      </c>
      <c r="P288" s="42">
        <f>C288*Prislapp!$C$3+D288*Prislapp!$D$3+E288*Prislapp!$E$3+F288*Prislapp!$F$3+G288*Prislapp!$G$3+H288*Prislapp!$H$3+I288*Prislapp!$I$3+J288*Prislapp!$J$3+K288*Prislapp!$K$3+M288*Prislapp!$M$3+N288*Prislapp!$N$3</f>
        <v>28786</v>
      </c>
      <c r="Q288" s="42">
        <f>C288*Prislapp!$C$5+D288*Prislapp!$D$5+E288*Prislapp!$E$5+F288*Prislapp!$F$5+G288*Prislapp!$G$5+H288*Prislapp!$H$5+I288*Prislapp!$I$5+J288*Prislapp!$J$5+K288*Prislapp!$K$5+L288*Prislapp!$L$5+M288*Prislapp!$M$5+N288*Prislapp!$N$5</f>
        <v>5800</v>
      </c>
      <c r="R288" s="9">
        <f>VLOOKUP(A288,'Ansvar kurs'!$A$2:$B$830,2,FALSE)</f>
        <v>1620</v>
      </c>
      <c r="U288" s="159"/>
      <c r="V288" s="159"/>
      <c r="W288" s="159"/>
      <c r="X288" s="159"/>
      <c r="Y288" s="159"/>
      <c r="Z288" s="159"/>
    </row>
    <row r="289" spans="1:26" x14ac:dyDescent="0.25">
      <c r="A289" s="265" t="s">
        <v>827</v>
      </c>
      <c r="B289" s="31" t="s">
        <v>620</v>
      </c>
      <c r="K289" s="31">
        <v>1</v>
      </c>
      <c r="O289" s="42">
        <f>C289*Prislapp!$C$2+D289*Prislapp!$D$2+E289*Prislapp!$E$2+F289*Prislapp!$F$2+G289*Prislapp!$G$2+H289*Prislapp!$H$2+I289*Prislapp!$I$2+J289*Prislapp!$J$2+K289*Prislapp!$K$2+L289*Prislapp!$L$2+M289*Prislapp!$M$2+N289*Prislapp!$N$2</f>
        <v>21634</v>
      </c>
      <c r="P289" s="42">
        <f>C289*Prislapp!$C$3+D289*Prislapp!$D$3+E289*Prislapp!$E$3+F289*Prislapp!$F$3+G289*Prislapp!$G$3+H289*Prislapp!$H$3+I289*Prislapp!$I$3+J289*Prislapp!$J$3+K289*Prislapp!$K$3+M289*Prislapp!$M$3+N289*Prislapp!$N$3</f>
        <v>26986</v>
      </c>
      <c r="Q289" s="42">
        <f>C289*Prislapp!$C$5+D289*Prislapp!$D$5+E289*Prislapp!$E$5+F289*Prislapp!$F$5+G289*Prislapp!$G$5+H289*Prislapp!$H$5+I289*Prislapp!$I$5+J289*Prislapp!$J$5+K289*Prislapp!$K$5+L289*Prislapp!$L$5+M289*Prislapp!$M$5+N289*Prislapp!$N$5</f>
        <v>3400</v>
      </c>
      <c r="R289" s="9">
        <f>VLOOKUP(A289,'Ansvar kurs'!$A$2:$B$830,2,FALSE)</f>
        <v>1620</v>
      </c>
      <c r="U289" s="159"/>
      <c r="V289" s="159"/>
      <c r="W289" s="159"/>
      <c r="X289" s="159"/>
      <c r="Y289" s="159"/>
      <c r="Z289" s="159"/>
    </row>
    <row r="290" spans="1:26" x14ac:dyDescent="0.25">
      <c r="A290" s="266" t="s">
        <v>989</v>
      </c>
      <c r="B290" s="31" t="s">
        <v>1184</v>
      </c>
      <c r="D290" s="31">
        <v>1</v>
      </c>
      <c r="O290" s="42">
        <f>C290*Prislapp!$C$2+D290*Prislapp!$D$2+E290*Prislapp!$E$2+F290*Prislapp!$F$2+G290*Prislapp!$G$2+H290*Prislapp!$H$2+I290*Prislapp!$I$2+J290*Prislapp!$J$2+K290*Prislapp!$K$2+L290*Prislapp!$L$2+M290*Prislapp!$M$2+N290*Prislapp!$N$2</f>
        <v>18405</v>
      </c>
      <c r="P290" s="42">
        <f>C290*Prislapp!$C$3+D290*Prislapp!$D$3+E290*Prislapp!$E$3+F290*Prislapp!$F$3+G290*Prislapp!$G$3+H290*Prislapp!$H$3+I290*Prislapp!$I$3+J290*Prislapp!$J$3+K290*Prislapp!$K$3+M290*Prislapp!$M$3+N290*Prislapp!$N$3</f>
        <v>15773</v>
      </c>
      <c r="Q290" s="42">
        <f>C290*Prislapp!$C$5+D290*Prislapp!$D$5+E290*Prislapp!$E$5+F290*Prislapp!$F$5+G290*Prislapp!$G$5+H290*Prislapp!$H$5+I290*Prislapp!$I$5+J290*Prislapp!$J$5+K290*Prislapp!$K$5+L290*Prislapp!$L$5+M290*Prislapp!$M$5+N290*Prislapp!$N$5</f>
        <v>5800</v>
      </c>
      <c r="R290" s="9">
        <f>VLOOKUP(A290,'Ansvar kurs'!$A$2:$B$830,2,FALSE)</f>
        <v>1620</v>
      </c>
      <c r="S290" s="59" t="s">
        <v>991</v>
      </c>
      <c r="U290" s="159"/>
      <c r="V290" s="159"/>
      <c r="W290" s="159"/>
      <c r="X290" s="159"/>
      <c r="Y290" s="159"/>
      <c r="Z290" s="159"/>
    </row>
    <row r="291" spans="1:26" x14ac:dyDescent="0.25">
      <c r="A291" s="266" t="s">
        <v>990</v>
      </c>
      <c r="B291" s="31" t="s">
        <v>1185</v>
      </c>
      <c r="D291" s="31">
        <v>1</v>
      </c>
      <c r="O291" s="42">
        <f>C291*Prislapp!$C$2+D291*Prislapp!$D$2+E291*Prislapp!$E$2+F291*Prislapp!$F$2+G291*Prislapp!$G$2+H291*Prislapp!$H$2+I291*Prislapp!$I$2+J291*Prislapp!$J$2+K291*Prislapp!$K$2+L291*Prislapp!$L$2+M291*Prislapp!$M$2+N291*Prislapp!$N$2</f>
        <v>18405</v>
      </c>
      <c r="P291" s="42">
        <f>C291*Prislapp!$C$3+D291*Prislapp!$D$3+E291*Prislapp!$E$3+F291*Prislapp!$F$3+G291*Prislapp!$G$3+H291*Prislapp!$H$3+I291*Prislapp!$I$3+J291*Prislapp!$J$3+K291*Prislapp!$K$3+M291*Prislapp!$M$3+N291*Prislapp!$N$3</f>
        <v>15773</v>
      </c>
      <c r="Q291" s="42">
        <f>C291*Prislapp!$C$5+D291*Prislapp!$D$5+E291*Prislapp!$E$5+F291*Prislapp!$F$5+G291*Prislapp!$G$5+H291*Prislapp!$H$5+I291*Prislapp!$I$5+J291*Prislapp!$J$5+K291*Prislapp!$K$5+L291*Prislapp!$L$5+M291*Prislapp!$M$5+N291*Prislapp!$N$5</f>
        <v>5800</v>
      </c>
      <c r="R291" s="9">
        <f>VLOOKUP(A291,'Ansvar kurs'!$A$2:$B$830,2,FALSE)</f>
        <v>1620</v>
      </c>
      <c r="S291" s="59" t="s">
        <v>992</v>
      </c>
      <c r="U291" s="159"/>
      <c r="V291" s="159"/>
      <c r="W291" s="159"/>
      <c r="X291" s="159"/>
      <c r="Y291" s="159"/>
      <c r="Z291" s="159"/>
    </row>
    <row r="292" spans="1:26" x14ac:dyDescent="0.25">
      <c r="A292" s="266" t="s">
        <v>1113</v>
      </c>
      <c r="B292" s="31" t="s">
        <v>1186</v>
      </c>
      <c r="D292" s="31">
        <v>1</v>
      </c>
      <c r="O292" s="42">
        <f>C292*Prislapp!$C$2+D292*Prislapp!$D$2+E292*Prislapp!$E$2+F292*Prislapp!$F$2+G292*Prislapp!$G$2+H292*Prislapp!$H$2+I292*Prislapp!$I$2+J292*Prislapp!$J$2+K292*Prislapp!$K$2+L292*Prislapp!$L$2+M292*Prislapp!$M$2+N292*Prislapp!$N$2</f>
        <v>18405</v>
      </c>
      <c r="P292" s="42">
        <f>C292*Prislapp!$C$3+D292*Prislapp!$D$3+E292*Prislapp!$E$3+F292*Prislapp!$F$3+G292*Prislapp!$G$3+H292*Prislapp!$H$3+I292*Prislapp!$I$3+J292*Prislapp!$J$3+K292*Prislapp!$K$3+M292*Prislapp!$M$3+N292*Prislapp!$N$3</f>
        <v>15773</v>
      </c>
      <c r="Q292" s="42">
        <f>C292*Prislapp!$C$5+D292*Prislapp!$D$5+E292*Prislapp!$E$5+F292*Prislapp!$F$5+G292*Prislapp!$G$5+H292*Prislapp!$H$5+I292*Prislapp!$I$5+J292*Prislapp!$J$5+K292*Prislapp!$K$5+L292*Prislapp!$L$5+M292*Prislapp!$M$5+N292*Prislapp!$N$5</f>
        <v>5800</v>
      </c>
      <c r="R292" s="9">
        <f>VLOOKUP(A292,'Ansvar kurs'!$A$2:$B$830,2,FALSE)</f>
        <v>1620</v>
      </c>
      <c r="S292" s="59" t="s">
        <v>1116</v>
      </c>
      <c r="U292" s="159"/>
      <c r="V292" s="159"/>
      <c r="W292" s="159"/>
      <c r="X292" s="159"/>
      <c r="Y292" s="159"/>
      <c r="Z292" s="159"/>
    </row>
    <row r="293" spans="1:26" x14ac:dyDescent="0.25">
      <c r="A293" s="31" t="s">
        <v>1308</v>
      </c>
      <c r="B293" s="31" t="s">
        <v>1310</v>
      </c>
      <c r="K293" s="31">
        <v>1</v>
      </c>
      <c r="O293" s="42">
        <f>C293*Prislapp!$C$2+D293*Prislapp!$D$2+E293*Prislapp!$E$2+F293*Prislapp!$F$2+G293*Prislapp!$G$2+H293*Prislapp!$H$2+I293*Prislapp!$I$2+J293*Prislapp!$J$2+K293*Prislapp!$K$2+L293*Prislapp!$L$2+M293*Prislapp!$M$2+N293*Prislapp!$N$2</f>
        <v>21634</v>
      </c>
      <c r="P293" s="42">
        <f>C293*Prislapp!$C$3+D293*Prislapp!$D$3+E293*Prislapp!$E$3+F293*Prislapp!$F$3+G293*Prislapp!$G$3+H293*Prislapp!$H$3+I293*Prislapp!$I$3+J293*Prislapp!$J$3+K293*Prislapp!$K$3+M293*Prislapp!$M$3+N293*Prislapp!$N$3</f>
        <v>26986</v>
      </c>
      <c r="Q293" s="42">
        <f>C293*Prislapp!$C$5+D293*Prislapp!$D$5+E293*Prislapp!$E$5+F293*Prislapp!$F$5+G293*Prislapp!$G$5+H293*Prislapp!$H$5+I293*Prislapp!$I$5+J293*Prislapp!$J$5+K293*Prislapp!$K$5+L293*Prislapp!$L$5+M293*Prislapp!$M$5+N293*Prislapp!$N$5</f>
        <v>3400</v>
      </c>
      <c r="R293" s="9">
        <f>VLOOKUP(A293,'Ansvar kurs'!$A$2:$B$830,2,FALSE)</f>
        <v>1620</v>
      </c>
      <c r="S293" s="159" t="s">
        <v>1116</v>
      </c>
      <c r="T293" s="159"/>
      <c r="U293" s="159"/>
      <c r="V293" s="159"/>
      <c r="W293" s="159"/>
      <c r="X293" s="159"/>
      <c r="Y293" s="159"/>
      <c r="Z293" s="159"/>
    </row>
    <row r="294" spans="1:26" x14ac:dyDescent="0.25">
      <c r="A294" s="266" t="s">
        <v>1309</v>
      </c>
      <c r="B294" s="31" t="s">
        <v>1311</v>
      </c>
      <c r="K294" s="31">
        <v>1</v>
      </c>
      <c r="O294" s="42">
        <f>C294*Prislapp!$C$2+D294*Prislapp!$D$2+E294*Prislapp!$E$2+F294*Prislapp!$F$2+G294*Prislapp!$G$2+H294*Prislapp!$H$2+I294*Prislapp!$I$2+J294*Prislapp!$J$2+K294*Prislapp!$K$2+L294*Prislapp!$L$2+M294*Prislapp!$M$2+N294*Prislapp!$N$2</f>
        <v>21634</v>
      </c>
      <c r="P294" s="42">
        <f>C294*Prislapp!$C$3+D294*Prislapp!$D$3+E294*Prislapp!$E$3+F294*Prislapp!$F$3+G294*Prislapp!$G$3+H294*Prislapp!$H$3+I294*Prislapp!$I$3+J294*Prislapp!$J$3+K294*Prislapp!$K$3+M294*Prislapp!$M$3+N294*Prislapp!$N$3</f>
        <v>26986</v>
      </c>
      <c r="Q294" s="42">
        <f>C294*Prislapp!$C$5+D294*Prislapp!$D$5+E294*Prislapp!$E$5+F294*Prislapp!$F$5+G294*Prislapp!$G$5+H294*Prislapp!$H$5+I294*Prislapp!$I$5+J294*Prislapp!$J$5+K294*Prislapp!$K$5+L294*Prislapp!$L$5+M294*Prislapp!$M$5+N294*Prislapp!$N$5</f>
        <v>3400</v>
      </c>
      <c r="R294" s="9">
        <f>VLOOKUP(A294,'Ansvar kurs'!$A$2:$B$830,2,FALSE)</f>
        <v>1620</v>
      </c>
      <c r="S294" s="159" t="s">
        <v>1116</v>
      </c>
      <c r="T294" s="159" t="s">
        <v>1087</v>
      </c>
    </row>
    <row r="295" spans="1:26" x14ac:dyDescent="0.25">
      <c r="A295" s="59" t="s">
        <v>1565</v>
      </c>
      <c r="B295" s="59" t="s">
        <v>1599</v>
      </c>
      <c r="D295" s="31">
        <v>1</v>
      </c>
      <c r="O295" s="42">
        <f>C295*Prislapp!$C$2+D295*Prislapp!$D$2+E295*Prislapp!$E$2+F295*Prislapp!$F$2+G295*Prislapp!$G$2+H295*Prislapp!$H$2+I295*Prislapp!$I$2+J295*Prislapp!$J$2+K295*Prislapp!$K$2+L295*Prislapp!$L$2+M295*Prislapp!$M$2+N295*Prislapp!$N$2</f>
        <v>18405</v>
      </c>
      <c r="P295" s="42">
        <f>C295*Prislapp!$C$3+D295*Prislapp!$D$3+E295*Prislapp!$E$3+F295*Prislapp!$F$3+G295*Prislapp!$G$3+H295*Prislapp!$H$3+I295*Prislapp!$I$3+J295*Prislapp!$J$3+K295*Prislapp!$K$3+M295*Prislapp!$M$3+N295*Prislapp!$N$3</f>
        <v>15773</v>
      </c>
      <c r="Q295" s="42">
        <f>C295*Prislapp!$C$5+D295*Prislapp!$D$5+E295*Prislapp!$E$5+F295*Prislapp!$F$5+G295*Prislapp!$G$5+H295*Prislapp!$H$5+I295*Prislapp!$I$5+J295*Prislapp!$J$5+K295*Prislapp!$K$5+L295*Prislapp!$L$5+M295*Prislapp!$M$5+N295*Prislapp!$N$5</f>
        <v>5800</v>
      </c>
      <c r="R295" s="9">
        <f>VLOOKUP(A295,'Ansvar kurs'!$A$2:$B$830,2,FALSE)</f>
        <v>1620</v>
      </c>
    </row>
    <row r="296" spans="1:26" x14ac:dyDescent="0.25">
      <c r="A296" s="62" t="s">
        <v>1681</v>
      </c>
      <c r="B296" s="31" t="s">
        <v>1682</v>
      </c>
      <c r="D296" s="31">
        <v>1</v>
      </c>
      <c r="O296" s="42">
        <f>C296*Prislapp!$C$2+D296*Prislapp!$D$2+E296*Prislapp!$E$2+F296*Prislapp!$F$2+G296*Prislapp!$G$2+H296*Prislapp!$H$2+I296*Prislapp!$I$2+J296*Prislapp!$J$2+K296*Prislapp!$K$2+L296*Prislapp!$L$2+M296*Prislapp!$M$2+N296*Prislapp!$N$2</f>
        <v>18405</v>
      </c>
      <c r="P296" s="42">
        <f>C296*Prislapp!$C$3+D296*Prislapp!$D$3+E296*Prislapp!$E$3+F296*Prislapp!$F$3+G296*Prislapp!$G$3+H296*Prislapp!$H$3+I296*Prislapp!$I$3+J296*Prislapp!$J$3+K296*Prislapp!$K$3+M296*Prislapp!$M$3+N296*Prislapp!$N$3</f>
        <v>15773</v>
      </c>
      <c r="Q296" s="42">
        <f>C296*Prislapp!$C$5+D296*Prislapp!$D$5+E296*Prislapp!$E$5+F296*Prislapp!$F$5+G296*Prislapp!$G$5+H296*Prislapp!$H$5+I296*Prislapp!$I$5+J296*Prislapp!$J$5+K296*Prislapp!$K$5+L296*Prislapp!$L$5+M296*Prislapp!$M$5+N296*Prislapp!$N$5</f>
        <v>5800</v>
      </c>
      <c r="R296" s="9">
        <f>VLOOKUP(A296,'Ansvar kurs'!$A$2:$B$830,2,FALSE)</f>
        <v>1620</v>
      </c>
    </row>
    <row r="297" spans="1:26" x14ac:dyDescent="0.25">
      <c r="A297" s="31" t="s">
        <v>90</v>
      </c>
      <c r="B297" s="31" t="s">
        <v>690</v>
      </c>
      <c r="F297" s="31">
        <v>1</v>
      </c>
      <c r="O297" s="42">
        <f>C297*Prislapp!$C$2+D297*Prislapp!$D$2+E297*Prislapp!$E$2+F297*Prislapp!$F$2+G297*Prislapp!$G$2+H297*Prislapp!$H$2+I297*Prislapp!$I$2+J297*Prislapp!$J$2+K297*Prislapp!$K$2+L297*Prislapp!$L$2+M297*Prislapp!$M$2+N297*Prislapp!$N$2</f>
        <v>23641</v>
      </c>
      <c r="P297" s="42">
        <f>C297*Prislapp!$C$3+D297*Prislapp!$D$3+E297*Prislapp!$E$3+F297*Prislapp!$F$3+G297*Prislapp!$G$3+H297*Prislapp!$H$3+I297*Prislapp!$I$3+J297*Prislapp!$J$3+K297*Prislapp!$K$3+M297*Prislapp!$M$3+N297*Prislapp!$N$3</f>
        <v>28786</v>
      </c>
      <c r="Q297" s="42">
        <f>C297*Prislapp!$C$5+D297*Prislapp!$D$5+E297*Prislapp!$E$5+F297*Prislapp!$F$5+G297*Prislapp!$G$5+H297*Prislapp!$H$5+I297*Prislapp!$I$5+J297*Prislapp!$J$5+K297*Prislapp!$K$5+L297*Prislapp!$L$5+M297*Prislapp!$M$5+N297*Prislapp!$N$5</f>
        <v>5800</v>
      </c>
      <c r="R297" s="9">
        <f>VLOOKUP(A297,'Ansvar kurs'!$A$2:$B$830,2,FALSE)</f>
        <v>5730</v>
      </c>
      <c r="S297" s="159"/>
      <c r="T297" s="159"/>
      <c r="U297" s="159"/>
      <c r="V297" s="159"/>
      <c r="W297" s="159"/>
      <c r="X297" s="159"/>
      <c r="Y297" s="159"/>
      <c r="Z297" s="159"/>
    </row>
    <row r="298" spans="1:26" x14ac:dyDescent="0.25">
      <c r="A298" s="31" t="s">
        <v>571</v>
      </c>
      <c r="B298" s="31" t="s">
        <v>691</v>
      </c>
      <c r="H298" s="31">
        <v>1</v>
      </c>
      <c r="O298" s="42">
        <f>C298*Prislapp!$C$2+D298*Prislapp!$D$2+E298*Prislapp!$E$2+F298*Prislapp!$F$2+G298*Prislapp!$G$2+H298*Prislapp!$H$2+I298*Prislapp!$I$2+J298*Prislapp!$J$2+K298*Prislapp!$K$2+L298*Prislapp!$L$2+M298*Prislapp!$M$2+N298*Prislapp!$N$2</f>
        <v>19473</v>
      </c>
      <c r="P298" s="42">
        <f>C298*Prislapp!$C$3+D298*Prislapp!$D$3+E298*Prislapp!$E$3+F298*Prislapp!$F$3+G298*Prislapp!$G$3+H298*Prislapp!$H$3+I298*Prislapp!$I$3+J298*Prislapp!$J$3+K298*Prislapp!$K$3+M298*Prislapp!$M$3+N298*Prislapp!$N$3</f>
        <v>34806</v>
      </c>
      <c r="Q298" s="42">
        <f>C298*Prislapp!$C$5+D298*Prislapp!$D$5+E298*Prislapp!$E$5+F298*Prislapp!$F$5+G298*Prislapp!$G$5+H298*Prislapp!$H$5+I298*Prislapp!$I$5+J298*Prislapp!$J$5+K298*Prislapp!$K$5+L298*Prislapp!$L$5+M298*Prislapp!$M$5+N298*Prislapp!$N$5</f>
        <v>21800</v>
      </c>
      <c r="R298" s="9">
        <f>VLOOKUP(A298,'Ansvar kurs'!$A$2:$B$830,2,FALSE)</f>
        <v>5730</v>
      </c>
      <c r="S298" s="159"/>
      <c r="T298" s="159"/>
      <c r="U298" s="159"/>
      <c r="V298" s="159"/>
      <c r="W298" s="159"/>
      <c r="X298" s="159"/>
      <c r="Y298" s="159"/>
      <c r="Z298" s="159"/>
    </row>
    <row r="299" spans="1:26" x14ac:dyDescent="0.25">
      <c r="A299" s="31" t="s">
        <v>355</v>
      </c>
      <c r="B299" s="31" t="s">
        <v>359</v>
      </c>
      <c r="F299" s="31">
        <v>1</v>
      </c>
      <c r="O299" s="42">
        <f>C299*Prislapp!$C$2+D299*Prislapp!$D$2+E299*Prislapp!$E$2+F299*Prislapp!$F$2+G299*Prislapp!$G$2+H299*Prislapp!$H$2+I299*Prislapp!$I$2+J299*Prislapp!$J$2+K299*Prislapp!$K$2+L299*Prislapp!$L$2+M299*Prislapp!$M$2+N299*Prislapp!$N$2</f>
        <v>23641</v>
      </c>
      <c r="P299" s="42">
        <f>C299*Prislapp!$C$3+D299*Prislapp!$D$3+E299*Prislapp!$E$3+F299*Prislapp!$F$3+G299*Prislapp!$G$3+H299*Prislapp!$H$3+I299*Prislapp!$I$3+J299*Prislapp!$J$3+K299*Prislapp!$K$3+M299*Prislapp!$M$3+N299*Prislapp!$N$3</f>
        <v>28786</v>
      </c>
      <c r="Q299" s="42">
        <f>C299*Prislapp!$C$5+D299*Prislapp!$D$5+E299*Prislapp!$E$5+F299*Prislapp!$F$5+G299*Prislapp!$G$5+H299*Prislapp!$H$5+I299*Prislapp!$I$5+J299*Prislapp!$J$5+K299*Prislapp!$K$5+L299*Prislapp!$L$5+M299*Prislapp!$M$5+N299*Prislapp!$N$5</f>
        <v>5800</v>
      </c>
      <c r="R299" s="9">
        <f>VLOOKUP(A299,'Ansvar kurs'!$A$2:$B$830,2,FALSE)</f>
        <v>5730</v>
      </c>
      <c r="S299" s="159"/>
      <c r="T299" s="159"/>
    </row>
    <row r="300" spans="1:26" x14ac:dyDescent="0.25">
      <c r="A300" s="31" t="s">
        <v>338</v>
      </c>
      <c r="B300" s="31" t="s">
        <v>692</v>
      </c>
      <c r="H300" s="31">
        <v>1</v>
      </c>
      <c r="O300" s="42">
        <f>C300*Prislapp!$C$2+D300*Prislapp!$D$2+E300*Prislapp!$E$2+F300*Prislapp!$F$2+G300*Prislapp!$G$2+H300*Prislapp!$H$2+I300*Prislapp!$I$2+J300*Prislapp!$J$2+K300*Prislapp!$K$2+L300*Prislapp!$L$2+M300*Prislapp!$M$2+N300*Prislapp!$N$2</f>
        <v>19473</v>
      </c>
      <c r="P300" s="42">
        <f>C300*Prislapp!$C$3+D300*Prislapp!$D$3+E300*Prislapp!$E$3+F300*Prislapp!$F$3+G300*Prislapp!$G$3+H300*Prislapp!$H$3+I300*Prislapp!$I$3+J300*Prislapp!$J$3+K300*Prislapp!$K$3+M300*Prislapp!$M$3+N300*Prislapp!$N$3</f>
        <v>34806</v>
      </c>
      <c r="Q300" s="42">
        <f>C300*Prislapp!$C$5+D300*Prislapp!$D$5+E300*Prislapp!$E$5+F300*Prislapp!$F$5+G300*Prislapp!$G$5+H300*Prislapp!$H$5+I300*Prislapp!$I$5+J300*Prislapp!$J$5+K300*Prislapp!$K$5+L300*Prislapp!$L$5+M300*Prislapp!$M$5+N300*Prislapp!$N$5</f>
        <v>21800</v>
      </c>
      <c r="R300" s="9">
        <f>VLOOKUP(A300,'Ansvar kurs'!$A$2:$B$830,2,FALSE)</f>
        <v>5730</v>
      </c>
      <c r="S300" s="159"/>
      <c r="T300" s="159"/>
    </row>
    <row r="301" spans="1:26" x14ac:dyDescent="0.25">
      <c r="A301" s="31" t="s">
        <v>570</v>
      </c>
      <c r="B301" s="31" t="s">
        <v>695</v>
      </c>
      <c r="H301" s="31">
        <v>1</v>
      </c>
      <c r="O301" s="42">
        <f>C301*Prislapp!$C$2+D301*Prislapp!$D$2+E301*Prislapp!$E$2+F301*Prislapp!$F$2+G301*Prislapp!$G$2+H301*Prislapp!$H$2+I301*Prislapp!$I$2+J301*Prislapp!$J$2+K301*Prislapp!$K$2+L301*Prislapp!$L$2+M301*Prislapp!$M$2+N301*Prislapp!$N$2</f>
        <v>19473</v>
      </c>
      <c r="P301" s="42">
        <f>C301*Prislapp!$C$3+D301*Prislapp!$D$3+E301*Prislapp!$E$3+F301*Prislapp!$F$3+G301*Prislapp!$G$3+H301*Prislapp!$H$3+I301*Prislapp!$I$3+J301*Prislapp!$J$3+K301*Prislapp!$K$3+M301*Prislapp!$M$3+N301*Prislapp!$N$3</f>
        <v>34806</v>
      </c>
      <c r="Q301" s="42">
        <f>C301*Prislapp!$C$5+D301*Prislapp!$D$5+E301*Prislapp!$E$5+F301*Prislapp!$F$5+G301*Prislapp!$G$5+H301*Prislapp!$H$5+I301*Prislapp!$I$5+J301*Prislapp!$J$5+K301*Prislapp!$K$5+L301*Prislapp!$L$5+M301*Prislapp!$M$5+N301*Prislapp!$N$5</f>
        <v>21800</v>
      </c>
      <c r="R301" s="9">
        <f>VLOOKUP(A301,'Ansvar kurs'!$A$2:$B$830,2,FALSE)</f>
        <v>5730</v>
      </c>
      <c r="S301" s="159"/>
      <c r="T301" s="159"/>
      <c r="U301" s="159"/>
      <c r="V301" s="159"/>
      <c r="W301" s="159"/>
      <c r="X301" s="159"/>
      <c r="Y301" s="159"/>
      <c r="Z301" s="159"/>
    </row>
    <row r="302" spans="1:26" x14ac:dyDescent="0.25">
      <c r="A302" s="31" t="s">
        <v>572</v>
      </c>
      <c r="B302" s="313" t="s">
        <v>696</v>
      </c>
      <c r="H302" s="31">
        <v>1</v>
      </c>
      <c r="O302" s="42">
        <f>C302*Prislapp!$C$2+D302*Prislapp!$D$2+E302*Prislapp!$E$2+F302*Prislapp!$F$2+G302*Prislapp!$G$2+H302*Prislapp!$H$2+I302*Prislapp!$I$2+J302*Prislapp!$J$2+K302*Prislapp!$K$2+L302*Prislapp!$L$2+M302*Prislapp!$M$2+N302*Prislapp!$N$2</f>
        <v>19473</v>
      </c>
      <c r="P302" s="42">
        <f>C302*Prislapp!$C$3+D302*Prislapp!$D$3+E302*Prislapp!$E$3+F302*Prislapp!$F$3+G302*Prislapp!$G$3+H302*Prislapp!$H$3+I302*Prislapp!$I$3+J302*Prislapp!$J$3+K302*Prislapp!$K$3+M302*Prislapp!$M$3+N302*Prislapp!$N$3</f>
        <v>34806</v>
      </c>
      <c r="Q302" s="42">
        <f>C302*Prislapp!$C$5+D302*Prislapp!$D$5+E302*Prislapp!$E$5+F302*Prislapp!$F$5+G302*Prislapp!$G$5+H302*Prislapp!$H$5+I302*Prislapp!$I$5+J302*Prislapp!$J$5+K302*Prislapp!$K$5+L302*Prislapp!$L$5+M302*Prislapp!$M$5+N302*Prislapp!$N$5</f>
        <v>21800</v>
      </c>
      <c r="R302" s="9">
        <f>VLOOKUP(A302,'Ansvar kurs'!$A$2:$B$830,2,FALSE)</f>
        <v>5730</v>
      </c>
      <c r="S302" s="159"/>
      <c r="T302" s="159"/>
      <c r="U302" s="159"/>
      <c r="V302" s="159"/>
      <c r="W302" s="159"/>
      <c r="X302" s="159"/>
      <c r="Y302" s="159"/>
      <c r="Z302" s="159"/>
    </row>
    <row r="303" spans="1:26" x14ac:dyDescent="0.25">
      <c r="A303" s="31" t="s">
        <v>573</v>
      </c>
      <c r="B303" s="31" t="s">
        <v>551</v>
      </c>
      <c r="H303" s="31">
        <v>1</v>
      </c>
      <c r="O303" s="42">
        <f>C303*Prislapp!$C$2+D303*Prislapp!$D$2+E303*Prislapp!$E$2+F303*Prislapp!$F$2+G303*Prislapp!$G$2+H303*Prislapp!$H$2+I303*Prislapp!$I$2+J303*Prislapp!$J$2+K303*Prislapp!$K$2+L303*Prislapp!$L$2+M303*Prislapp!$M$2+N303*Prislapp!$N$2</f>
        <v>19473</v>
      </c>
      <c r="P303" s="42">
        <f>C303*Prislapp!$C$3+D303*Prislapp!$D$3+E303*Prislapp!$E$3+F303*Prislapp!$F$3+G303*Prislapp!$G$3+H303*Prislapp!$H$3+I303*Prislapp!$I$3+J303*Prislapp!$J$3+K303*Prislapp!$K$3+M303*Prislapp!$M$3+N303*Prislapp!$N$3</f>
        <v>34806</v>
      </c>
      <c r="Q303" s="42">
        <f>C303*Prislapp!$C$5+D303*Prislapp!$D$5+E303*Prislapp!$E$5+F303*Prislapp!$F$5+G303*Prislapp!$G$5+H303*Prislapp!$H$5+I303*Prislapp!$I$5+J303*Prislapp!$J$5+K303*Prislapp!$K$5+L303*Prislapp!$L$5+M303*Prislapp!$M$5+N303*Prislapp!$N$5</f>
        <v>21800</v>
      </c>
      <c r="R303" s="9">
        <f>VLOOKUP(A303,'Ansvar kurs'!$A$2:$B$830,2,FALSE)</f>
        <v>5730</v>
      </c>
      <c r="S303" s="159"/>
      <c r="T303" s="159"/>
      <c r="U303" s="159"/>
      <c r="V303" s="159"/>
      <c r="W303" s="159"/>
      <c r="X303" s="159"/>
      <c r="Y303" s="159"/>
      <c r="Z303" s="159"/>
    </row>
    <row r="304" spans="1:26" x14ac:dyDescent="0.25">
      <c r="A304" s="31" t="s">
        <v>588</v>
      </c>
      <c r="B304" s="31" t="s">
        <v>612</v>
      </c>
      <c r="H304" s="31">
        <v>1</v>
      </c>
      <c r="O304" s="42">
        <f>C304*Prislapp!$C$2+D304*Prislapp!$D$2+E304*Prislapp!$E$2+F304*Prislapp!$F$2+G304*Prislapp!$G$2+H304*Prislapp!$H$2+I304*Prislapp!$I$2+J304*Prislapp!$J$2+K304*Prislapp!$K$2+L304*Prislapp!$L$2+M304*Prislapp!$M$2+N304*Prislapp!$N$2</f>
        <v>19473</v>
      </c>
      <c r="P304" s="42">
        <f>C304*Prislapp!$C$3+D304*Prislapp!$D$3+E304*Prislapp!$E$3+F304*Prislapp!$F$3+G304*Prislapp!$G$3+H304*Prislapp!$H$3+I304*Prislapp!$I$3+J304*Prislapp!$J$3+K304*Prislapp!$K$3+M304*Prislapp!$M$3+N304*Prislapp!$N$3</f>
        <v>34806</v>
      </c>
      <c r="Q304" s="42">
        <f>C304*Prislapp!$C$5+D304*Prislapp!$D$5+E304*Prislapp!$E$5+F304*Prislapp!$F$5+G304*Prislapp!$G$5+H304*Prislapp!$H$5+I304*Prislapp!$I$5+J304*Prislapp!$J$5+K304*Prislapp!$K$5+L304*Prislapp!$L$5+M304*Prislapp!$M$5+N304*Prislapp!$N$5</f>
        <v>21800</v>
      </c>
      <c r="R304" s="9">
        <f>VLOOKUP(A304,'Ansvar kurs'!$A$2:$B$830,2,FALSE)</f>
        <v>5730</v>
      </c>
      <c r="S304" s="159"/>
      <c r="T304" s="159"/>
      <c r="U304" s="159"/>
      <c r="V304" s="159"/>
      <c r="W304" s="159"/>
      <c r="X304" s="159"/>
      <c r="Y304" s="159"/>
      <c r="Z304" s="159"/>
    </row>
    <row r="305" spans="1:16372" x14ac:dyDescent="0.25">
      <c r="A305" s="31" t="s">
        <v>589</v>
      </c>
      <c r="B305" s="31" t="s">
        <v>625</v>
      </c>
      <c r="H305" s="31">
        <v>1</v>
      </c>
      <c r="O305" s="42">
        <f>C305*Prislapp!$C$2+D305*Prislapp!$D$2+E305*Prislapp!$E$2+F305*Prislapp!$F$2+G305*Prislapp!$G$2+H305*Prislapp!$H$2+I305*Prislapp!$I$2+J305*Prislapp!$J$2+K305*Prislapp!$K$2+L305*Prislapp!$L$2+M305*Prislapp!$M$2+N305*Prislapp!$N$2</f>
        <v>19473</v>
      </c>
      <c r="P305" s="42">
        <f>C305*Prislapp!$C$3+D305*Prislapp!$D$3+E305*Prislapp!$E$3+F305*Prislapp!$F$3+G305*Prislapp!$G$3+H305*Prislapp!$H$3+I305*Prislapp!$I$3+J305*Prislapp!$J$3+K305*Prislapp!$K$3+M305*Prislapp!$M$3+N305*Prislapp!$N$3</f>
        <v>34806</v>
      </c>
      <c r="Q305" s="42">
        <f>C305*Prislapp!$C$5+D305*Prislapp!$D$5+E305*Prislapp!$E$5+F305*Prislapp!$F$5+G305*Prislapp!$G$5+H305*Prislapp!$H$5+I305*Prislapp!$I$5+J305*Prislapp!$J$5+K305*Prislapp!$K$5+L305*Prislapp!$L$5+M305*Prislapp!$M$5+N305*Prislapp!$N$5</f>
        <v>21800</v>
      </c>
      <c r="R305" s="9">
        <f>VLOOKUP(A305,'Ansvar kurs'!$A$2:$B$830,2,FALSE)</f>
        <v>5730</v>
      </c>
      <c r="S305" s="159"/>
      <c r="T305" s="159"/>
      <c r="U305" s="159"/>
      <c r="V305" s="159"/>
      <c r="W305" s="159"/>
      <c r="X305" s="159"/>
      <c r="Y305" s="159"/>
      <c r="Z305" s="159"/>
    </row>
    <row r="306" spans="1:16372" x14ac:dyDescent="0.25">
      <c r="A306" s="31" t="s">
        <v>590</v>
      </c>
      <c r="B306" s="31" t="s">
        <v>626</v>
      </c>
      <c r="H306" s="31">
        <v>1</v>
      </c>
      <c r="O306" s="42">
        <f>C306*Prislapp!$C$2+D306*Prislapp!$D$2+E306*Prislapp!$E$2+F306*Prislapp!$F$2+G306*Prislapp!$G$2+H306*Prislapp!$H$2+I306*Prislapp!$I$2+J306*Prislapp!$J$2+K306*Prislapp!$K$2+L306*Prislapp!$L$2+M306*Prislapp!$M$2+N306*Prislapp!$N$2</f>
        <v>19473</v>
      </c>
      <c r="P306" s="42">
        <f>C306*Prislapp!$C$3+D306*Prislapp!$D$3+E306*Prislapp!$E$3+F306*Prislapp!$F$3+G306*Prislapp!$G$3+H306*Prislapp!$H$3+I306*Prislapp!$I$3+J306*Prislapp!$J$3+K306*Prislapp!$K$3+M306*Prislapp!$M$3+N306*Prislapp!$N$3</f>
        <v>34806</v>
      </c>
      <c r="Q306" s="42">
        <f>C306*Prislapp!$C$5+D306*Prislapp!$D$5+E306*Prislapp!$E$5+F306*Prislapp!$F$5+G306*Prislapp!$G$5+H306*Prislapp!$H$5+I306*Prislapp!$I$5+J306*Prislapp!$J$5+K306*Prislapp!$K$5+L306*Prislapp!$L$5+M306*Prislapp!$M$5+N306*Prislapp!$N$5</f>
        <v>21800</v>
      </c>
      <c r="R306" s="9">
        <f>VLOOKUP(A306,'Ansvar kurs'!$A$2:$B$830,2,FALSE)</f>
        <v>5730</v>
      </c>
      <c r="S306" s="159"/>
      <c r="T306" s="159"/>
      <c r="U306" s="159"/>
      <c r="V306" s="159"/>
      <c r="W306" s="159"/>
      <c r="X306" s="159"/>
      <c r="Y306" s="159"/>
      <c r="Z306" s="159"/>
    </row>
    <row r="307" spans="1:16372" x14ac:dyDescent="0.25">
      <c r="A307" s="31" t="s">
        <v>644</v>
      </c>
      <c r="B307" s="31" t="s">
        <v>431</v>
      </c>
      <c r="H307" s="31">
        <v>1</v>
      </c>
      <c r="O307" s="42">
        <f>C307*Prislapp!$C$2+D307*Prislapp!$D$2+E307*Prislapp!$E$2+F307*Prislapp!$F$2+G307*Prislapp!$G$2+H307*Prislapp!$H$2+I307*Prislapp!$I$2+J307*Prislapp!$J$2+K307*Prislapp!$K$2+L307*Prislapp!$L$2+M307*Prislapp!$M$2+N307*Prislapp!$N$2</f>
        <v>19473</v>
      </c>
      <c r="P307" s="42">
        <f>C307*Prislapp!$C$3+D307*Prislapp!$D$3+E307*Prislapp!$E$3+F307*Prislapp!$F$3+G307*Prislapp!$G$3+H307*Prislapp!$H$3+I307*Prislapp!$I$3+J307*Prislapp!$J$3+K307*Prislapp!$K$3+M307*Prislapp!$M$3+N307*Prislapp!$N$3</f>
        <v>34806</v>
      </c>
      <c r="Q307" s="42">
        <f>C307*Prislapp!$C$5+D307*Prislapp!$D$5+E307*Prislapp!$E$5+F307*Prislapp!$F$5+G307*Prislapp!$G$5+H307*Prislapp!$H$5+I307*Prislapp!$I$5+J307*Prislapp!$J$5+K307*Prislapp!$K$5+L307*Prislapp!$L$5+M307*Prislapp!$M$5+N307*Prislapp!$N$5</f>
        <v>21800</v>
      </c>
      <c r="R307" s="9">
        <f>VLOOKUP(A307,'Ansvar kurs'!$A$2:$B$830,2,FALSE)</f>
        <v>5730</v>
      </c>
      <c r="S307" s="159"/>
      <c r="T307" s="159"/>
      <c r="U307" s="159"/>
      <c r="V307" s="159"/>
      <c r="W307" s="159"/>
      <c r="X307" s="159"/>
      <c r="Y307" s="159"/>
      <c r="Z307" s="159"/>
      <c r="AA307" s="104"/>
      <c r="AB307" s="104"/>
      <c r="AC307" s="104"/>
      <c r="AD307" s="104"/>
      <c r="AE307" s="104"/>
      <c r="AF307" s="104"/>
      <c r="AG307" s="104"/>
      <c r="AH307" s="104"/>
      <c r="AI307" s="104"/>
      <c r="AJ307" s="104"/>
      <c r="AK307" s="104"/>
      <c r="AL307" s="104"/>
      <c r="AM307" s="104"/>
      <c r="AN307" s="104"/>
      <c r="AO307" s="104"/>
      <c r="AP307" s="104"/>
      <c r="AQ307" s="104"/>
      <c r="AR307" s="104"/>
      <c r="AS307" s="104"/>
      <c r="AT307" s="104"/>
      <c r="AU307" s="104"/>
      <c r="AV307" s="104"/>
      <c r="AW307" s="104"/>
      <c r="AX307" s="104"/>
      <c r="AY307" s="104"/>
      <c r="AZ307" s="104"/>
      <c r="BA307" s="104"/>
      <c r="BB307" s="104"/>
      <c r="BC307" s="104"/>
      <c r="BD307" s="104"/>
      <c r="BE307" s="104"/>
      <c r="BF307" s="104"/>
      <c r="BG307" s="104"/>
      <c r="BH307" s="104"/>
      <c r="BI307" s="104"/>
      <c r="BJ307" s="104"/>
      <c r="BK307" s="104"/>
      <c r="BL307" s="104"/>
      <c r="BM307" s="104"/>
      <c r="BN307" s="104"/>
      <c r="BO307" s="104"/>
      <c r="BP307" s="104"/>
      <c r="BQ307" s="104"/>
      <c r="BR307" s="104"/>
      <c r="BS307" s="104"/>
      <c r="BT307" s="104"/>
      <c r="BU307" s="104"/>
      <c r="BV307" s="104"/>
      <c r="BW307" s="104"/>
      <c r="BX307" s="104"/>
      <c r="BY307" s="104"/>
      <c r="BZ307" s="104"/>
      <c r="CA307" s="104"/>
      <c r="CB307" s="104"/>
      <c r="CC307" s="104"/>
      <c r="CD307" s="104"/>
      <c r="CE307" s="104"/>
      <c r="CF307" s="104"/>
      <c r="CG307" s="104"/>
      <c r="CH307" s="104"/>
      <c r="CI307" s="104"/>
      <c r="CJ307" s="104"/>
      <c r="CK307" s="104"/>
      <c r="CL307" s="104"/>
      <c r="CM307" s="104"/>
      <c r="CN307" s="104"/>
      <c r="CO307" s="104"/>
      <c r="CP307" s="104"/>
      <c r="CQ307" s="104"/>
      <c r="CR307" s="104"/>
      <c r="CS307" s="104"/>
      <c r="CT307" s="104"/>
      <c r="CU307" s="104"/>
      <c r="CV307" s="104"/>
      <c r="CW307" s="104"/>
      <c r="CX307" s="104"/>
      <c r="CY307" s="104"/>
      <c r="CZ307" s="104"/>
      <c r="DA307" s="104"/>
      <c r="DB307" s="104"/>
      <c r="DC307" s="104"/>
      <c r="DD307" s="104"/>
      <c r="DE307" s="104"/>
      <c r="DF307" s="104"/>
      <c r="DG307" s="104"/>
      <c r="DH307" s="104"/>
      <c r="DI307" s="104"/>
      <c r="DJ307" s="104"/>
      <c r="DK307" s="104"/>
      <c r="DL307" s="104"/>
      <c r="DM307" s="104"/>
      <c r="DN307" s="104"/>
      <c r="DO307" s="104"/>
      <c r="DP307" s="104"/>
      <c r="DQ307" s="104"/>
      <c r="DR307" s="104"/>
      <c r="DS307" s="104"/>
      <c r="DT307" s="104"/>
      <c r="DU307" s="104"/>
      <c r="DV307" s="104"/>
      <c r="DW307" s="104"/>
      <c r="DX307" s="104"/>
      <c r="DY307" s="104"/>
      <c r="DZ307" s="104"/>
      <c r="EA307" s="104"/>
      <c r="EB307" s="104"/>
      <c r="EC307" s="104"/>
      <c r="ED307" s="104"/>
      <c r="EE307" s="104"/>
      <c r="EF307" s="104"/>
      <c r="EG307" s="104"/>
      <c r="EH307" s="104"/>
      <c r="EI307" s="104"/>
      <c r="EJ307" s="104"/>
      <c r="EK307" s="104"/>
      <c r="EL307" s="104"/>
      <c r="EM307" s="104"/>
      <c r="EN307" s="104"/>
      <c r="EO307" s="104"/>
      <c r="EP307" s="104"/>
      <c r="EQ307" s="104"/>
      <c r="ER307" s="104"/>
      <c r="ES307" s="104"/>
      <c r="ET307" s="104"/>
      <c r="EU307" s="104"/>
      <c r="EV307" s="104"/>
      <c r="EW307" s="104"/>
      <c r="EX307" s="104"/>
      <c r="EY307" s="104"/>
      <c r="EZ307" s="104"/>
      <c r="FA307" s="104"/>
      <c r="FB307" s="104"/>
      <c r="FC307" s="104"/>
      <c r="FD307" s="104"/>
      <c r="FE307" s="104"/>
      <c r="FF307" s="104"/>
      <c r="FG307" s="104"/>
      <c r="FH307" s="104"/>
      <c r="FI307" s="104"/>
      <c r="FJ307" s="104"/>
      <c r="FK307" s="104"/>
      <c r="FL307" s="104"/>
      <c r="FM307" s="104"/>
      <c r="FN307" s="104"/>
      <c r="FO307" s="104"/>
      <c r="FP307" s="104"/>
      <c r="FQ307" s="104"/>
      <c r="FR307" s="104"/>
      <c r="FS307" s="104"/>
      <c r="FT307" s="104"/>
      <c r="FU307" s="104"/>
      <c r="FV307" s="104"/>
      <c r="FW307" s="104"/>
      <c r="FX307" s="104"/>
      <c r="FY307" s="104"/>
      <c r="FZ307" s="104"/>
      <c r="GA307" s="104"/>
      <c r="GB307" s="104"/>
      <c r="GC307" s="104"/>
      <c r="GD307" s="104"/>
      <c r="GE307" s="104"/>
      <c r="GF307" s="104"/>
      <c r="GG307" s="104"/>
      <c r="GH307" s="104"/>
      <c r="GI307" s="104"/>
      <c r="GJ307" s="104"/>
      <c r="GK307" s="104"/>
      <c r="GL307" s="104"/>
      <c r="GM307" s="104"/>
      <c r="GN307" s="104"/>
      <c r="GO307" s="104"/>
      <c r="GP307" s="104"/>
      <c r="GQ307" s="104"/>
      <c r="GR307" s="104"/>
      <c r="GS307" s="104"/>
      <c r="GT307" s="104"/>
      <c r="GU307" s="104"/>
      <c r="GV307" s="104"/>
      <c r="GW307" s="104"/>
      <c r="GX307" s="104"/>
      <c r="GY307" s="104"/>
      <c r="GZ307" s="104"/>
      <c r="HA307" s="104"/>
      <c r="HB307" s="104"/>
      <c r="HC307" s="104"/>
      <c r="HD307" s="104"/>
      <c r="HE307" s="104"/>
      <c r="HF307" s="104"/>
      <c r="HG307" s="104"/>
      <c r="HH307" s="104"/>
      <c r="HI307" s="104"/>
      <c r="HJ307" s="104"/>
      <c r="HK307" s="104"/>
      <c r="HL307" s="104"/>
      <c r="HM307" s="104"/>
      <c r="HN307" s="104"/>
      <c r="HO307" s="104"/>
      <c r="HP307" s="104"/>
      <c r="HQ307" s="104"/>
      <c r="HR307" s="104"/>
      <c r="HS307" s="104"/>
      <c r="HT307" s="104"/>
      <c r="HU307" s="104"/>
      <c r="HV307" s="104"/>
      <c r="HW307" s="104"/>
      <c r="HX307" s="104"/>
      <c r="HY307" s="104"/>
      <c r="HZ307" s="104"/>
      <c r="IA307" s="104"/>
      <c r="IB307" s="104"/>
      <c r="IC307" s="104"/>
      <c r="ID307" s="104"/>
      <c r="IE307" s="104"/>
      <c r="IF307" s="104"/>
      <c r="IG307" s="104"/>
      <c r="IH307" s="104"/>
      <c r="II307" s="104"/>
      <c r="IJ307" s="104"/>
      <c r="IK307" s="104"/>
      <c r="IL307" s="104"/>
      <c r="IM307" s="104"/>
      <c r="IN307" s="104"/>
      <c r="IO307" s="104"/>
      <c r="IP307" s="104"/>
      <c r="IQ307" s="104"/>
      <c r="IR307" s="104"/>
      <c r="IS307" s="104"/>
      <c r="IT307" s="104"/>
      <c r="IU307" s="104"/>
      <c r="IV307" s="104"/>
      <c r="IW307" s="104"/>
      <c r="IX307" s="104"/>
      <c r="IY307" s="104"/>
      <c r="IZ307" s="104"/>
      <c r="JA307" s="104"/>
      <c r="JB307" s="104"/>
      <c r="JC307" s="104"/>
      <c r="JD307" s="104"/>
      <c r="JE307" s="104"/>
      <c r="JF307" s="104"/>
      <c r="JG307" s="104"/>
      <c r="JH307" s="104"/>
      <c r="JI307" s="104"/>
      <c r="JJ307" s="104"/>
      <c r="JK307" s="104"/>
      <c r="JL307" s="104"/>
      <c r="JM307" s="104"/>
      <c r="JN307" s="104"/>
      <c r="JO307" s="104"/>
      <c r="JP307" s="104"/>
      <c r="JQ307" s="104"/>
      <c r="JR307" s="104"/>
      <c r="JS307" s="104"/>
      <c r="JT307" s="104"/>
      <c r="JU307" s="104"/>
      <c r="JV307" s="104"/>
      <c r="JW307" s="104"/>
      <c r="JX307" s="104"/>
      <c r="JY307" s="104"/>
      <c r="JZ307" s="104"/>
      <c r="KA307" s="104"/>
      <c r="KB307" s="104"/>
      <c r="KC307" s="104"/>
      <c r="KD307" s="104"/>
      <c r="KE307" s="104"/>
      <c r="KF307" s="104"/>
      <c r="KG307" s="104"/>
      <c r="KH307" s="104"/>
      <c r="KI307" s="104"/>
      <c r="KJ307" s="104"/>
      <c r="KK307" s="104"/>
      <c r="KL307" s="104"/>
      <c r="KM307" s="104"/>
      <c r="KN307" s="104"/>
      <c r="KO307" s="104"/>
      <c r="KP307" s="104"/>
      <c r="KQ307" s="104"/>
      <c r="KR307" s="104"/>
      <c r="KS307" s="104"/>
      <c r="KT307" s="104"/>
      <c r="KU307" s="104"/>
      <c r="KV307" s="104"/>
      <c r="KW307" s="104"/>
      <c r="KX307" s="104"/>
      <c r="KY307" s="104"/>
      <c r="KZ307" s="104"/>
      <c r="LA307" s="104"/>
      <c r="LB307" s="104"/>
      <c r="LC307" s="104"/>
      <c r="LD307" s="104"/>
      <c r="LE307" s="104"/>
      <c r="LF307" s="104"/>
      <c r="LG307" s="104"/>
      <c r="LH307" s="104"/>
      <c r="LI307" s="104"/>
      <c r="LJ307" s="104"/>
      <c r="LK307" s="104"/>
      <c r="LL307" s="104"/>
      <c r="LM307" s="104"/>
      <c r="LN307" s="104"/>
      <c r="LO307" s="104"/>
      <c r="LP307" s="104"/>
      <c r="LQ307" s="104"/>
      <c r="LR307" s="104"/>
      <c r="LS307" s="104"/>
      <c r="LT307" s="104"/>
      <c r="LU307" s="104"/>
      <c r="LV307" s="104"/>
      <c r="LW307" s="104"/>
      <c r="LX307" s="104"/>
      <c r="LY307" s="104"/>
      <c r="LZ307" s="104"/>
      <c r="MA307" s="104"/>
      <c r="MB307" s="104"/>
      <c r="MC307" s="104"/>
      <c r="MD307" s="104"/>
      <c r="ME307" s="104"/>
      <c r="MF307" s="104"/>
      <c r="MG307" s="104"/>
      <c r="MH307" s="104"/>
      <c r="MI307" s="104"/>
      <c r="MJ307" s="104"/>
      <c r="MK307" s="104"/>
      <c r="ML307" s="104"/>
      <c r="MM307" s="104"/>
      <c r="MN307" s="104"/>
      <c r="MO307" s="104"/>
      <c r="MP307" s="104"/>
      <c r="MQ307" s="104"/>
      <c r="MR307" s="104"/>
      <c r="MS307" s="104"/>
      <c r="MT307" s="104"/>
      <c r="MU307" s="104"/>
      <c r="MV307" s="104"/>
      <c r="MW307" s="104"/>
      <c r="MX307" s="104"/>
      <c r="MY307" s="104"/>
      <c r="MZ307" s="104"/>
      <c r="NA307" s="104"/>
      <c r="NB307" s="104"/>
      <c r="NC307" s="104"/>
      <c r="ND307" s="104"/>
      <c r="NE307" s="104"/>
      <c r="NF307" s="104"/>
      <c r="NG307" s="104"/>
      <c r="NH307" s="104"/>
      <c r="NI307" s="104"/>
      <c r="NJ307" s="104"/>
      <c r="NK307" s="104"/>
      <c r="NL307" s="104"/>
      <c r="NM307" s="104"/>
      <c r="NN307" s="104"/>
      <c r="NO307" s="104"/>
      <c r="NP307" s="104"/>
      <c r="NQ307" s="104"/>
      <c r="NR307" s="104"/>
      <c r="NS307" s="104"/>
      <c r="NT307" s="104"/>
      <c r="NU307" s="104"/>
      <c r="NV307" s="104"/>
      <c r="NW307" s="104"/>
      <c r="NX307" s="104"/>
      <c r="NY307" s="104"/>
      <c r="NZ307" s="104"/>
      <c r="OA307" s="104"/>
      <c r="OB307" s="104"/>
      <c r="OC307" s="104"/>
      <c r="OD307" s="104"/>
      <c r="OE307" s="104"/>
      <c r="OF307" s="104"/>
      <c r="OG307" s="104"/>
      <c r="OH307" s="104"/>
      <c r="OI307" s="104"/>
      <c r="OJ307" s="104"/>
      <c r="OK307" s="104"/>
      <c r="OL307" s="104"/>
      <c r="OM307" s="104"/>
      <c r="ON307" s="104"/>
      <c r="OO307" s="104"/>
      <c r="OP307" s="104"/>
      <c r="OQ307" s="104"/>
      <c r="OR307" s="104"/>
      <c r="OS307" s="104"/>
      <c r="OT307" s="104"/>
      <c r="OU307" s="104"/>
      <c r="OV307" s="104"/>
      <c r="OW307" s="104"/>
      <c r="OX307" s="104"/>
      <c r="OY307" s="104"/>
      <c r="OZ307" s="104"/>
      <c r="PA307" s="104"/>
      <c r="PB307" s="104"/>
      <c r="PC307" s="104"/>
      <c r="PD307" s="104"/>
      <c r="PE307" s="104"/>
      <c r="PF307" s="104"/>
      <c r="PG307" s="104"/>
      <c r="PH307" s="104"/>
      <c r="PI307" s="104"/>
      <c r="PJ307" s="104"/>
      <c r="PK307" s="104"/>
      <c r="PL307" s="104"/>
      <c r="PM307" s="104"/>
      <c r="PN307" s="104"/>
      <c r="PO307" s="104"/>
      <c r="PP307" s="104"/>
      <c r="PQ307" s="104"/>
      <c r="PR307" s="104"/>
      <c r="PS307" s="104"/>
      <c r="PT307" s="104"/>
      <c r="PU307" s="104"/>
      <c r="PV307" s="104"/>
      <c r="PW307" s="104"/>
      <c r="PX307" s="104"/>
      <c r="PY307" s="104"/>
      <c r="PZ307" s="104"/>
      <c r="QA307" s="104"/>
      <c r="QB307" s="104"/>
      <c r="QC307" s="104"/>
      <c r="QD307" s="104"/>
      <c r="QE307" s="104"/>
      <c r="QF307" s="104"/>
      <c r="QG307" s="104"/>
      <c r="QH307" s="104"/>
      <c r="QI307" s="104"/>
      <c r="QJ307" s="104"/>
      <c r="QK307" s="104"/>
      <c r="QL307" s="104"/>
      <c r="QM307" s="104"/>
      <c r="QN307" s="104"/>
      <c r="QO307" s="104"/>
      <c r="QP307" s="104"/>
      <c r="QQ307" s="104"/>
      <c r="QR307" s="104"/>
      <c r="QS307" s="104"/>
      <c r="QT307" s="104"/>
      <c r="QU307" s="104"/>
      <c r="QV307" s="104"/>
      <c r="QW307" s="104"/>
      <c r="QX307" s="104"/>
      <c r="QY307" s="104"/>
      <c r="QZ307" s="104"/>
      <c r="RA307" s="104"/>
      <c r="RB307" s="104"/>
      <c r="RC307" s="104"/>
      <c r="RD307" s="104"/>
      <c r="RE307" s="104"/>
      <c r="RF307" s="104"/>
      <c r="RG307" s="104"/>
      <c r="RH307" s="104"/>
      <c r="RI307" s="104"/>
      <c r="RJ307" s="104"/>
      <c r="RK307" s="104"/>
      <c r="RL307" s="104"/>
      <c r="RM307" s="104"/>
      <c r="RN307" s="104"/>
      <c r="RO307" s="104"/>
      <c r="RP307" s="104"/>
      <c r="RQ307" s="104"/>
      <c r="RR307" s="104"/>
      <c r="RS307" s="104"/>
      <c r="RT307" s="104"/>
      <c r="RU307" s="104"/>
      <c r="RV307" s="104"/>
      <c r="RW307" s="104"/>
      <c r="RX307" s="104"/>
      <c r="RY307" s="104"/>
      <c r="RZ307" s="104"/>
      <c r="SA307" s="104"/>
      <c r="SB307" s="104"/>
      <c r="SC307" s="104"/>
      <c r="SD307" s="104"/>
      <c r="SE307" s="104"/>
      <c r="SF307" s="104"/>
      <c r="SG307" s="104"/>
      <c r="SH307" s="104"/>
      <c r="SI307" s="104"/>
      <c r="SJ307" s="104"/>
      <c r="SK307" s="104"/>
      <c r="SL307" s="104"/>
      <c r="SM307" s="104"/>
      <c r="SN307" s="104"/>
      <c r="SO307" s="104"/>
      <c r="SP307" s="104"/>
      <c r="SQ307" s="104"/>
      <c r="SR307" s="104"/>
      <c r="SS307" s="104"/>
      <c r="ST307" s="104"/>
      <c r="SU307" s="104"/>
      <c r="SV307" s="104"/>
      <c r="SW307" s="104"/>
      <c r="SX307" s="104"/>
      <c r="SY307" s="104"/>
      <c r="SZ307" s="104"/>
      <c r="TA307" s="104"/>
      <c r="TB307" s="104"/>
      <c r="TC307" s="104"/>
      <c r="TD307" s="104"/>
      <c r="TE307" s="104"/>
      <c r="TF307" s="104"/>
      <c r="TG307" s="104"/>
      <c r="TH307" s="104"/>
      <c r="TI307" s="104"/>
      <c r="TJ307" s="104"/>
      <c r="TK307" s="104"/>
      <c r="TL307" s="104"/>
      <c r="TM307" s="104"/>
      <c r="TN307" s="104"/>
      <c r="TO307" s="104"/>
      <c r="TP307" s="104"/>
      <c r="TQ307" s="104"/>
      <c r="TR307" s="104"/>
      <c r="TS307" s="104"/>
      <c r="TT307" s="104"/>
      <c r="TU307" s="104"/>
      <c r="TV307" s="104"/>
      <c r="TW307" s="104"/>
      <c r="TX307" s="104"/>
      <c r="TY307" s="104"/>
      <c r="TZ307" s="104"/>
      <c r="UA307" s="104"/>
      <c r="UB307" s="104"/>
      <c r="UC307" s="104"/>
      <c r="UD307" s="104"/>
      <c r="UE307" s="104"/>
      <c r="UF307" s="104"/>
      <c r="UG307" s="104"/>
      <c r="UH307" s="104"/>
      <c r="UI307" s="104"/>
      <c r="UJ307" s="104"/>
      <c r="UK307" s="104"/>
      <c r="UL307" s="104"/>
      <c r="UM307" s="104"/>
      <c r="UN307" s="104"/>
      <c r="UO307" s="104"/>
      <c r="UP307" s="104"/>
      <c r="UQ307" s="104"/>
      <c r="UR307" s="104"/>
      <c r="US307" s="104"/>
      <c r="UT307" s="104"/>
      <c r="UU307" s="104"/>
      <c r="UV307" s="104"/>
      <c r="UW307" s="104"/>
      <c r="UX307" s="104"/>
      <c r="UY307" s="104"/>
      <c r="UZ307" s="104"/>
      <c r="VA307" s="104"/>
      <c r="VB307" s="104"/>
      <c r="VC307" s="104"/>
      <c r="VD307" s="104"/>
      <c r="VE307" s="104"/>
      <c r="VF307" s="104"/>
      <c r="VG307" s="104"/>
      <c r="VH307" s="104"/>
      <c r="VI307" s="104"/>
      <c r="VJ307" s="104"/>
      <c r="VK307" s="104"/>
      <c r="VL307" s="104"/>
      <c r="VM307" s="104"/>
      <c r="VN307" s="104"/>
      <c r="VO307" s="104"/>
      <c r="VP307" s="104"/>
      <c r="VQ307" s="104"/>
      <c r="VR307" s="104"/>
      <c r="VS307" s="104"/>
      <c r="VT307" s="104"/>
      <c r="VU307" s="104"/>
      <c r="VV307" s="104"/>
      <c r="VW307" s="104"/>
      <c r="VX307" s="104"/>
      <c r="VY307" s="104"/>
      <c r="VZ307" s="104"/>
      <c r="WA307" s="104"/>
      <c r="WB307" s="104"/>
      <c r="WC307" s="104"/>
      <c r="WD307" s="104"/>
      <c r="WE307" s="104"/>
      <c r="WF307" s="104"/>
      <c r="WG307" s="104"/>
      <c r="WH307" s="104"/>
      <c r="WI307" s="104"/>
      <c r="WJ307" s="104"/>
      <c r="WK307" s="104"/>
      <c r="WL307" s="104"/>
      <c r="WM307" s="104"/>
      <c r="WN307" s="104"/>
      <c r="WO307" s="104"/>
      <c r="WP307" s="104"/>
      <c r="WQ307" s="104"/>
      <c r="WR307" s="104"/>
      <c r="WS307" s="104"/>
      <c r="WT307" s="104"/>
      <c r="WU307" s="104"/>
      <c r="WV307" s="104"/>
      <c r="WW307" s="104"/>
      <c r="WX307" s="104"/>
      <c r="WY307" s="104"/>
      <c r="WZ307" s="104"/>
      <c r="XA307" s="104"/>
      <c r="XB307" s="104"/>
      <c r="XC307" s="104"/>
      <c r="XD307" s="104"/>
      <c r="XE307" s="104"/>
      <c r="XF307" s="104"/>
      <c r="XG307" s="104"/>
      <c r="XH307" s="104"/>
      <c r="XI307" s="104"/>
      <c r="XJ307" s="104"/>
      <c r="XK307" s="104"/>
      <c r="XL307" s="104"/>
      <c r="XM307" s="104"/>
      <c r="XN307" s="104"/>
      <c r="XO307" s="104"/>
      <c r="XP307" s="104"/>
      <c r="XQ307" s="104"/>
      <c r="XR307" s="104"/>
      <c r="XS307" s="104"/>
      <c r="XT307" s="104"/>
      <c r="XU307" s="104"/>
      <c r="XV307" s="104"/>
      <c r="XW307" s="104"/>
      <c r="XX307" s="104"/>
      <c r="XY307" s="104"/>
      <c r="XZ307" s="104"/>
      <c r="YA307" s="104"/>
      <c r="YB307" s="104"/>
      <c r="YC307" s="104"/>
      <c r="YD307" s="104"/>
      <c r="YE307" s="104"/>
      <c r="YF307" s="104"/>
      <c r="YG307" s="104"/>
      <c r="YH307" s="104"/>
      <c r="YI307" s="104"/>
      <c r="YJ307" s="104"/>
      <c r="YK307" s="104"/>
      <c r="YL307" s="104"/>
      <c r="YM307" s="104"/>
      <c r="YN307" s="104"/>
      <c r="YO307" s="104"/>
      <c r="YP307" s="104"/>
      <c r="YQ307" s="104"/>
      <c r="YR307" s="104"/>
      <c r="YS307" s="104"/>
      <c r="YT307" s="104"/>
      <c r="YU307" s="104"/>
      <c r="YV307" s="104"/>
      <c r="YW307" s="104"/>
      <c r="YX307" s="104"/>
      <c r="YY307" s="104"/>
      <c r="YZ307" s="104"/>
      <c r="ZA307" s="104"/>
      <c r="ZB307" s="104"/>
      <c r="ZC307" s="104"/>
      <c r="ZD307" s="104"/>
      <c r="ZE307" s="104"/>
      <c r="ZF307" s="104"/>
      <c r="ZG307" s="104"/>
      <c r="ZH307" s="104"/>
      <c r="ZI307" s="104"/>
      <c r="ZJ307" s="104"/>
      <c r="ZK307" s="104"/>
      <c r="ZL307" s="104"/>
      <c r="ZM307" s="104"/>
      <c r="ZN307" s="104"/>
      <c r="ZO307" s="104"/>
      <c r="ZP307" s="104"/>
      <c r="ZQ307" s="104"/>
      <c r="ZR307" s="104"/>
      <c r="ZS307" s="104"/>
      <c r="ZT307" s="104"/>
      <c r="ZU307" s="104"/>
      <c r="ZV307" s="104"/>
      <c r="ZW307" s="104"/>
      <c r="ZX307" s="104"/>
      <c r="ZY307" s="104"/>
      <c r="ZZ307" s="104"/>
      <c r="AAA307" s="104"/>
      <c r="AAB307" s="104"/>
      <c r="AAC307" s="104"/>
      <c r="AAD307" s="104"/>
      <c r="AAE307" s="104"/>
      <c r="AAF307" s="104"/>
      <c r="AAG307" s="104"/>
      <c r="AAH307" s="104"/>
      <c r="AAI307" s="104"/>
      <c r="AAJ307" s="104"/>
      <c r="AAK307" s="104"/>
      <c r="AAL307" s="104"/>
      <c r="AAM307" s="104"/>
      <c r="AAN307" s="104"/>
      <c r="AAO307" s="104"/>
      <c r="AAP307" s="104"/>
      <c r="AAQ307" s="104"/>
      <c r="AAR307" s="104"/>
      <c r="AAS307" s="104"/>
      <c r="AAT307" s="104"/>
      <c r="AAU307" s="104"/>
      <c r="AAV307" s="104"/>
      <c r="AAW307" s="104"/>
      <c r="AAX307" s="104"/>
      <c r="AAY307" s="104"/>
      <c r="AAZ307" s="104"/>
      <c r="ABA307" s="104"/>
      <c r="ABB307" s="104"/>
      <c r="ABC307" s="104"/>
      <c r="ABD307" s="104"/>
      <c r="ABE307" s="104"/>
      <c r="ABF307" s="104"/>
      <c r="ABG307" s="104"/>
      <c r="ABH307" s="104"/>
      <c r="ABI307" s="104"/>
      <c r="ABJ307" s="104"/>
      <c r="ABK307" s="104"/>
      <c r="ABL307" s="104"/>
      <c r="ABM307" s="104"/>
      <c r="ABN307" s="104"/>
      <c r="ABO307" s="104"/>
      <c r="ABP307" s="104"/>
      <c r="ABQ307" s="104"/>
      <c r="ABR307" s="104"/>
      <c r="ABS307" s="104"/>
      <c r="ABT307" s="104"/>
      <c r="ABU307" s="104"/>
      <c r="ABV307" s="104"/>
      <c r="ABW307" s="104"/>
      <c r="ABX307" s="104"/>
      <c r="ABY307" s="104"/>
      <c r="ABZ307" s="104"/>
      <c r="ACA307" s="104"/>
      <c r="ACB307" s="104"/>
      <c r="ACC307" s="104"/>
      <c r="ACD307" s="104"/>
      <c r="ACE307" s="104"/>
      <c r="ACF307" s="104"/>
      <c r="ACG307" s="104"/>
      <c r="ACH307" s="104"/>
      <c r="ACI307" s="104"/>
      <c r="ACJ307" s="104"/>
      <c r="ACK307" s="104"/>
      <c r="ACL307" s="104"/>
      <c r="ACM307" s="104"/>
      <c r="ACN307" s="104"/>
      <c r="ACO307" s="104"/>
      <c r="ACP307" s="104"/>
      <c r="ACQ307" s="104"/>
      <c r="ACR307" s="104"/>
      <c r="ACS307" s="104"/>
      <c r="ACT307" s="104"/>
      <c r="ACU307" s="104"/>
      <c r="ACV307" s="104"/>
      <c r="ACW307" s="104"/>
      <c r="ACX307" s="104"/>
      <c r="ACY307" s="104"/>
      <c r="ACZ307" s="104"/>
      <c r="ADA307" s="104"/>
      <c r="ADB307" s="104"/>
      <c r="ADC307" s="104"/>
      <c r="ADD307" s="104"/>
      <c r="ADE307" s="104"/>
      <c r="ADF307" s="104"/>
      <c r="ADG307" s="104"/>
      <c r="ADH307" s="104"/>
      <c r="ADI307" s="104"/>
      <c r="ADJ307" s="104"/>
      <c r="ADK307" s="104"/>
      <c r="ADL307" s="104"/>
      <c r="ADM307" s="104"/>
      <c r="ADN307" s="104"/>
      <c r="ADO307" s="104"/>
      <c r="ADP307" s="104"/>
      <c r="ADQ307" s="104"/>
      <c r="ADR307" s="104"/>
      <c r="ADS307" s="104"/>
      <c r="ADT307" s="104"/>
      <c r="ADU307" s="104"/>
      <c r="ADV307" s="104"/>
      <c r="ADW307" s="104"/>
      <c r="ADX307" s="104"/>
      <c r="ADY307" s="104"/>
      <c r="ADZ307" s="104"/>
      <c r="AEA307" s="104"/>
      <c r="AEB307" s="104"/>
      <c r="AEC307" s="104"/>
      <c r="AED307" s="104"/>
      <c r="AEE307" s="104"/>
      <c r="AEF307" s="104"/>
      <c r="AEG307" s="104"/>
      <c r="AEH307" s="104"/>
      <c r="AEI307" s="104"/>
      <c r="AEJ307" s="104"/>
      <c r="AEK307" s="104"/>
      <c r="AEL307" s="104"/>
      <c r="AEM307" s="104"/>
      <c r="AEN307" s="104"/>
      <c r="AEO307" s="104"/>
      <c r="AEP307" s="104"/>
      <c r="AEQ307" s="104"/>
      <c r="AER307" s="104"/>
      <c r="AES307" s="104"/>
      <c r="AET307" s="104"/>
      <c r="AEU307" s="104"/>
      <c r="AEV307" s="104"/>
      <c r="AEW307" s="104"/>
      <c r="AEX307" s="104"/>
      <c r="AEY307" s="104"/>
      <c r="AEZ307" s="104"/>
      <c r="AFA307" s="104"/>
      <c r="AFB307" s="104"/>
      <c r="AFC307" s="104"/>
      <c r="AFD307" s="104"/>
      <c r="AFE307" s="104"/>
      <c r="AFF307" s="104"/>
      <c r="AFG307" s="104"/>
      <c r="AFH307" s="104"/>
      <c r="AFI307" s="104"/>
      <c r="AFJ307" s="104"/>
      <c r="AFK307" s="104"/>
      <c r="AFL307" s="104"/>
      <c r="AFM307" s="104"/>
      <c r="AFN307" s="104"/>
      <c r="AFO307" s="104"/>
      <c r="AFP307" s="104"/>
      <c r="AFQ307" s="104"/>
      <c r="AFR307" s="104"/>
      <c r="AFS307" s="104"/>
      <c r="AFT307" s="104"/>
      <c r="AFU307" s="104"/>
      <c r="AFV307" s="104"/>
      <c r="AFW307" s="104"/>
      <c r="AFX307" s="104"/>
      <c r="AFY307" s="104"/>
      <c r="AFZ307" s="104"/>
      <c r="AGA307" s="104"/>
      <c r="AGB307" s="104"/>
      <c r="AGC307" s="104"/>
      <c r="AGD307" s="104"/>
      <c r="AGE307" s="104"/>
      <c r="AGF307" s="104"/>
      <c r="AGG307" s="104"/>
      <c r="AGH307" s="104"/>
      <c r="AGI307" s="104"/>
      <c r="AGJ307" s="104"/>
      <c r="AGK307" s="104"/>
      <c r="AGL307" s="104"/>
      <c r="AGM307" s="104"/>
      <c r="AGN307" s="104"/>
      <c r="AGO307" s="104"/>
      <c r="AGP307" s="104"/>
      <c r="AGQ307" s="104"/>
      <c r="AGR307" s="104"/>
      <c r="AGS307" s="104"/>
      <c r="AGT307" s="104"/>
      <c r="AGU307" s="104"/>
      <c r="AGV307" s="104"/>
      <c r="AGW307" s="104"/>
      <c r="AGX307" s="104"/>
      <c r="AGY307" s="104"/>
      <c r="AGZ307" s="104"/>
      <c r="AHA307" s="104"/>
      <c r="AHB307" s="104"/>
      <c r="AHC307" s="104"/>
      <c r="AHD307" s="104"/>
      <c r="AHE307" s="104"/>
      <c r="AHF307" s="104"/>
      <c r="AHG307" s="104"/>
      <c r="AHH307" s="104"/>
      <c r="AHI307" s="104"/>
      <c r="AHJ307" s="104"/>
      <c r="AHK307" s="104"/>
      <c r="AHL307" s="104"/>
      <c r="AHM307" s="104"/>
      <c r="AHN307" s="104"/>
      <c r="AHO307" s="104"/>
      <c r="AHP307" s="104"/>
      <c r="AHQ307" s="104"/>
      <c r="AHR307" s="104"/>
      <c r="AHS307" s="104"/>
      <c r="AHT307" s="104"/>
      <c r="AHU307" s="104"/>
      <c r="AHV307" s="104"/>
      <c r="AHW307" s="104"/>
      <c r="AHX307" s="104"/>
      <c r="AHY307" s="104"/>
      <c r="AHZ307" s="104"/>
      <c r="AIA307" s="104"/>
      <c r="AIB307" s="104"/>
      <c r="AIC307" s="104"/>
      <c r="AID307" s="104"/>
      <c r="AIE307" s="104"/>
      <c r="AIF307" s="104"/>
      <c r="AIG307" s="104"/>
      <c r="AIH307" s="104"/>
      <c r="AII307" s="104"/>
      <c r="AIJ307" s="104"/>
      <c r="AIK307" s="104"/>
      <c r="AIL307" s="104"/>
      <c r="AIM307" s="104"/>
      <c r="AIN307" s="104"/>
      <c r="AIO307" s="104"/>
      <c r="AIP307" s="104"/>
      <c r="AIQ307" s="104"/>
      <c r="AIR307" s="104"/>
      <c r="AIS307" s="104"/>
      <c r="AIT307" s="104"/>
      <c r="AIU307" s="104"/>
      <c r="AIV307" s="104"/>
      <c r="AIW307" s="104"/>
      <c r="AIX307" s="104"/>
      <c r="AIY307" s="104"/>
      <c r="AIZ307" s="104"/>
      <c r="AJA307" s="104"/>
      <c r="AJB307" s="104"/>
      <c r="AJC307" s="104"/>
      <c r="AJD307" s="104"/>
      <c r="AJE307" s="104"/>
      <c r="AJF307" s="104"/>
      <c r="AJG307" s="104"/>
      <c r="AJH307" s="104"/>
      <c r="AJI307" s="104"/>
      <c r="AJJ307" s="104"/>
      <c r="AJK307" s="104"/>
      <c r="AJL307" s="104"/>
      <c r="AJM307" s="104"/>
      <c r="AJN307" s="104"/>
      <c r="AJO307" s="104"/>
      <c r="AJP307" s="104"/>
      <c r="AJQ307" s="104"/>
      <c r="AJR307" s="104"/>
      <c r="AJS307" s="104"/>
      <c r="AJT307" s="104"/>
      <c r="AJU307" s="104"/>
      <c r="AJV307" s="104"/>
      <c r="AJW307" s="104"/>
      <c r="AJX307" s="104"/>
      <c r="AJY307" s="104"/>
      <c r="AJZ307" s="104"/>
      <c r="AKA307" s="104"/>
      <c r="AKB307" s="104"/>
      <c r="AKC307" s="104"/>
      <c r="AKD307" s="104"/>
      <c r="AKE307" s="104"/>
      <c r="AKF307" s="104"/>
      <c r="AKG307" s="104"/>
      <c r="AKH307" s="104"/>
      <c r="AKI307" s="104"/>
      <c r="AKJ307" s="104"/>
      <c r="AKK307" s="104"/>
      <c r="AKL307" s="104"/>
      <c r="AKM307" s="104"/>
      <c r="AKN307" s="104"/>
      <c r="AKO307" s="104"/>
      <c r="AKP307" s="104"/>
      <c r="AKQ307" s="104"/>
      <c r="AKR307" s="104"/>
      <c r="AKS307" s="104"/>
      <c r="AKT307" s="104"/>
      <c r="AKU307" s="104"/>
      <c r="AKV307" s="104"/>
      <c r="AKW307" s="104"/>
      <c r="AKX307" s="104"/>
      <c r="AKY307" s="104"/>
      <c r="AKZ307" s="104"/>
      <c r="ALA307" s="104"/>
      <c r="ALB307" s="104"/>
      <c r="ALC307" s="104"/>
      <c r="ALD307" s="104"/>
      <c r="ALE307" s="104"/>
      <c r="ALF307" s="104"/>
      <c r="ALG307" s="104"/>
      <c r="ALH307" s="104"/>
      <c r="ALI307" s="104"/>
      <c r="ALJ307" s="104"/>
      <c r="ALK307" s="104"/>
      <c r="ALL307" s="104"/>
      <c r="ALM307" s="104"/>
      <c r="ALN307" s="104"/>
      <c r="ALO307" s="104"/>
      <c r="ALP307" s="104"/>
      <c r="ALQ307" s="104"/>
      <c r="ALR307" s="104"/>
      <c r="ALS307" s="104"/>
      <c r="ALT307" s="104"/>
      <c r="ALU307" s="104"/>
      <c r="ALV307" s="104"/>
      <c r="ALW307" s="104"/>
      <c r="ALX307" s="104"/>
      <c r="ALY307" s="104"/>
      <c r="ALZ307" s="104"/>
      <c r="AMA307" s="104"/>
      <c r="AMB307" s="104"/>
      <c r="AMC307" s="104"/>
      <c r="AMD307" s="104"/>
      <c r="AME307" s="104"/>
      <c r="AMF307" s="104"/>
      <c r="AMG307" s="104"/>
      <c r="AMH307" s="104"/>
      <c r="AMI307" s="104"/>
      <c r="AMJ307" s="104"/>
      <c r="AMK307" s="104"/>
      <c r="AML307" s="104"/>
      <c r="AMM307" s="104"/>
      <c r="AMN307" s="104"/>
      <c r="AMO307" s="104"/>
      <c r="AMP307" s="104"/>
      <c r="AMQ307" s="104"/>
      <c r="AMR307" s="104"/>
      <c r="AMS307" s="104"/>
      <c r="AMT307" s="104"/>
      <c r="AMU307" s="104"/>
      <c r="AMV307" s="104"/>
      <c r="AMW307" s="104"/>
      <c r="AMX307" s="104"/>
      <c r="AMY307" s="104"/>
      <c r="AMZ307" s="104"/>
      <c r="ANA307" s="104"/>
      <c r="ANB307" s="104"/>
      <c r="ANC307" s="104"/>
      <c r="AND307" s="104"/>
      <c r="ANE307" s="104"/>
      <c r="ANF307" s="104"/>
      <c r="ANG307" s="104"/>
      <c r="ANH307" s="104"/>
      <c r="ANI307" s="104"/>
      <c r="ANJ307" s="104"/>
      <c r="ANK307" s="104"/>
      <c r="ANL307" s="104"/>
      <c r="ANM307" s="104"/>
      <c r="ANN307" s="104"/>
      <c r="ANO307" s="104"/>
      <c r="ANP307" s="104"/>
      <c r="ANQ307" s="104"/>
      <c r="ANR307" s="104"/>
      <c r="ANS307" s="104"/>
      <c r="ANT307" s="104"/>
      <c r="ANU307" s="104"/>
      <c r="ANV307" s="104"/>
      <c r="ANW307" s="104"/>
      <c r="ANX307" s="104"/>
      <c r="ANY307" s="104"/>
      <c r="ANZ307" s="104"/>
      <c r="AOA307" s="104"/>
      <c r="AOB307" s="104"/>
      <c r="AOC307" s="104"/>
      <c r="AOD307" s="104"/>
      <c r="AOE307" s="104"/>
      <c r="AOF307" s="104"/>
      <c r="AOG307" s="104"/>
      <c r="AOH307" s="104"/>
      <c r="AOI307" s="104"/>
      <c r="AOJ307" s="104"/>
      <c r="AOK307" s="104"/>
      <c r="AOL307" s="104"/>
      <c r="AOM307" s="104"/>
      <c r="AON307" s="104"/>
      <c r="AOO307" s="104"/>
      <c r="AOP307" s="104"/>
      <c r="AOQ307" s="104"/>
      <c r="AOR307" s="104"/>
      <c r="AOS307" s="104"/>
      <c r="AOT307" s="104"/>
      <c r="AOU307" s="104"/>
      <c r="AOV307" s="104"/>
      <c r="AOW307" s="104"/>
      <c r="AOX307" s="104"/>
      <c r="AOY307" s="104"/>
      <c r="AOZ307" s="104"/>
      <c r="APA307" s="104"/>
      <c r="APB307" s="104"/>
      <c r="APC307" s="104"/>
      <c r="APD307" s="104"/>
      <c r="APE307" s="104"/>
      <c r="APF307" s="104"/>
      <c r="APG307" s="104"/>
      <c r="APH307" s="104"/>
      <c r="API307" s="104"/>
      <c r="APJ307" s="104"/>
      <c r="APK307" s="104"/>
      <c r="APL307" s="104"/>
      <c r="APM307" s="104"/>
      <c r="APN307" s="104"/>
      <c r="APO307" s="104"/>
      <c r="APP307" s="104"/>
      <c r="APQ307" s="104"/>
      <c r="APR307" s="104"/>
      <c r="APS307" s="104"/>
      <c r="APT307" s="104"/>
      <c r="APU307" s="104"/>
      <c r="APV307" s="104"/>
      <c r="APW307" s="104"/>
      <c r="APX307" s="104"/>
      <c r="APY307" s="104"/>
      <c r="APZ307" s="104"/>
      <c r="AQA307" s="104"/>
      <c r="AQB307" s="104"/>
      <c r="AQC307" s="104"/>
      <c r="AQD307" s="104"/>
      <c r="AQE307" s="104"/>
      <c r="AQF307" s="104"/>
      <c r="AQG307" s="104"/>
      <c r="AQH307" s="104"/>
      <c r="AQI307" s="104"/>
      <c r="AQJ307" s="104"/>
      <c r="AQK307" s="104"/>
      <c r="AQL307" s="104"/>
      <c r="AQM307" s="104"/>
      <c r="AQN307" s="104"/>
      <c r="AQO307" s="104"/>
      <c r="AQP307" s="104"/>
      <c r="AQQ307" s="104"/>
      <c r="AQR307" s="104"/>
      <c r="AQS307" s="104"/>
      <c r="AQT307" s="104"/>
      <c r="AQU307" s="104"/>
      <c r="AQV307" s="104"/>
      <c r="AQW307" s="104"/>
      <c r="AQX307" s="104"/>
      <c r="AQY307" s="104"/>
      <c r="AQZ307" s="104"/>
      <c r="ARA307" s="104"/>
      <c r="ARB307" s="104"/>
      <c r="ARC307" s="104"/>
      <c r="ARD307" s="104"/>
      <c r="ARE307" s="104"/>
      <c r="ARF307" s="104"/>
      <c r="ARG307" s="104"/>
      <c r="ARH307" s="104"/>
      <c r="ARI307" s="104"/>
      <c r="ARJ307" s="104"/>
      <c r="ARK307" s="104"/>
      <c r="ARL307" s="104"/>
      <c r="ARM307" s="104"/>
      <c r="ARN307" s="104"/>
      <c r="ARO307" s="104"/>
      <c r="ARP307" s="104"/>
      <c r="ARQ307" s="104"/>
      <c r="ARR307" s="104"/>
      <c r="ARS307" s="104"/>
      <c r="ART307" s="104"/>
      <c r="ARU307" s="104"/>
      <c r="ARV307" s="104"/>
      <c r="ARW307" s="104"/>
      <c r="ARX307" s="104"/>
      <c r="ARY307" s="104"/>
      <c r="ARZ307" s="104"/>
      <c r="ASA307" s="104"/>
      <c r="ASB307" s="104"/>
      <c r="ASC307" s="104"/>
      <c r="ASD307" s="104"/>
      <c r="ASE307" s="104"/>
      <c r="ASF307" s="104"/>
      <c r="ASG307" s="104"/>
      <c r="ASH307" s="104"/>
      <c r="ASI307" s="104"/>
      <c r="ASJ307" s="104"/>
      <c r="ASK307" s="104"/>
      <c r="ASL307" s="104"/>
      <c r="ASM307" s="104"/>
      <c r="ASN307" s="104"/>
      <c r="ASO307" s="104"/>
      <c r="ASP307" s="104"/>
      <c r="ASQ307" s="104"/>
      <c r="ASR307" s="104"/>
      <c r="ASS307" s="104"/>
      <c r="AST307" s="104"/>
      <c r="ASU307" s="104"/>
      <c r="ASV307" s="104"/>
      <c r="ASW307" s="104"/>
      <c r="ASX307" s="104"/>
      <c r="ASY307" s="104"/>
      <c r="ASZ307" s="104"/>
      <c r="ATA307" s="104"/>
      <c r="ATB307" s="104"/>
      <c r="ATC307" s="104"/>
      <c r="ATD307" s="104"/>
      <c r="ATE307" s="104"/>
      <c r="ATF307" s="104"/>
      <c r="ATG307" s="104"/>
      <c r="ATH307" s="104"/>
      <c r="ATI307" s="104"/>
      <c r="ATJ307" s="104"/>
      <c r="ATK307" s="104"/>
      <c r="ATL307" s="104"/>
      <c r="ATM307" s="104"/>
      <c r="ATN307" s="104"/>
      <c r="ATO307" s="104"/>
      <c r="ATP307" s="104"/>
      <c r="ATQ307" s="104"/>
      <c r="ATR307" s="104"/>
      <c r="ATS307" s="104"/>
      <c r="ATT307" s="104"/>
      <c r="ATU307" s="104"/>
      <c r="ATV307" s="104"/>
      <c r="ATW307" s="104"/>
      <c r="ATX307" s="104"/>
      <c r="ATY307" s="104"/>
      <c r="ATZ307" s="104"/>
      <c r="AUA307" s="104"/>
      <c r="AUB307" s="104"/>
      <c r="AUC307" s="104"/>
      <c r="AUD307" s="104"/>
      <c r="AUE307" s="104"/>
      <c r="AUF307" s="104"/>
      <c r="AUG307" s="104"/>
      <c r="AUH307" s="104"/>
      <c r="AUI307" s="104"/>
      <c r="AUJ307" s="104"/>
      <c r="AUK307" s="104"/>
      <c r="AUL307" s="104"/>
      <c r="AUM307" s="104"/>
      <c r="AUN307" s="104"/>
      <c r="AUO307" s="104"/>
      <c r="AUP307" s="104"/>
      <c r="AUQ307" s="104"/>
      <c r="AUR307" s="104"/>
      <c r="AUS307" s="104"/>
      <c r="AUT307" s="104"/>
      <c r="AUU307" s="104"/>
      <c r="AUV307" s="104"/>
      <c r="AUW307" s="104"/>
      <c r="AUX307" s="104"/>
      <c r="AUY307" s="104"/>
      <c r="AUZ307" s="104"/>
      <c r="AVA307" s="104"/>
      <c r="AVB307" s="104"/>
      <c r="AVC307" s="104"/>
      <c r="AVD307" s="104"/>
      <c r="AVE307" s="104"/>
      <c r="AVF307" s="104"/>
      <c r="AVG307" s="104"/>
      <c r="AVH307" s="104"/>
      <c r="AVI307" s="104"/>
      <c r="AVJ307" s="104"/>
      <c r="AVK307" s="104"/>
      <c r="AVL307" s="104"/>
      <c r="AVM307" s="104"/>
      <c r="AVN307" s="104"/>
      <c r="AVO307" s="104"/>
      <c r="AVP307" s="104"/>
      <c r="AVQ307" s="104"/>
      <c r="AVR307" s="104"/>
      <c r="AVS307" s="104"/>
      <c r="AVT307" s="104"/>
      <c r="AVU307" s="104"/>
      <c r="AVV307" s="104"/>
      <c r="AVW307" s="104"/>
      <c r="AVX307" s="104"/>
      <c r="AVY307" s="104"/>
      <c r="AVZ307" s="104"/>
      <c r="AWA307" s="104"/>
      <c r="AWB307" s="104"/>
      <c r="AWC307" s="104"/>
      <c r="AWD307" s="104"/>
      <c r="AWE307" s="104"/>
      <c r="AWF307" s="104"/>
      <c r="AWG307" s="104"/>
      <c r="AWH307" s="104"/>
      <c r="AWI307" s="104"/>
      <c r="AWJ307" s="104"/>
      <c r="AWK307" s="104"/>
      <c r="AWL307" s="104"/>
      <c r="AWM307" s="104"/>
      <c r="AWN307" s="104"/>
      <c r="AWO307" s="104"/>
      <c r="AWP307" s="104"/>
      <c r="AWQ307" s="104"/>
      <c r="AWR307" s="104"/>
      <c r="AWS307" s="104"/>
      <c r="AWT307" s="104"/>
      <c r="AWU307" s="104"/>
      <c r="AWV307" s="104"/>
      <c r="AWW307" s="104"/>
      <c r="AWX307" s="104"/>
      <c r="AWY307" s="104"/>
      <c r="AWZ307" s="104"/>
      <c r="AXA307" s="104"/>
      <c r="AXB307" s="104"/>
      <c r="AXC307" s="104"/>
      <c r="AXD307" s="104"/>
      <c r="AXE307" s="104"/>
      <c r="AXF307" s="104"/>
      <c r="AXG307" s="104"/>
      <c r="AXH307" s="104"/>
      <c r="AXI307" s="104"/>
      <c r="AXJ307" s="104"/>
      <c r="AXK307" s="104"/>
      <c r="AXL307" s="104"/>
      <c r="AXM307" s="104"/>
      <c r="AXN307" s="104"/>
      <c r="AXO307" s="104"/>
      <c r="AXP307" s="104"/>
      <c r="AXQ307" s="104"/>
      <c r="AXR307" s="104"/>
      <c r="AXS307" s="104"/>
      <c r="AXT307" s="104"/>
      <c r="AXU307" s="104"/>
      <c r="AXV307" s="104"/>
      <c r="AXW307" s="104"/>
      <c r="AXX307" s="104"/>
      <c r="AXY307" s="104"/>
      <c r="AXZ307" s="104"/>
      <c r="AYA307" s="104"/>
      <c r="AYB307" s="104"/>
      <c r="AYC307" s="104"/>
      <c r="AYD307" s="104"/>
      <c r="AYE307" s="104"/>
      <c r="AYF307" s="104"/>
      <c r="AYG307" s="104"/>
      <c r="AYH307" s="104"/>
      <c r="AYI307" s="104"/>
      <c r="AYJ307" s="104"/>
      <c r="AYK307" s="104"/>
      <c r="AYL307" s="104"/>
      <c r="AYM307" s="104"/>
      <c r="AYN307" s="104"/>
      <c r="AYO307" s="104"/>
      <c r="AYP307" s="104"/>
      <c r="AYQ307" s="104"/>
      <c r="AYR307" s="104"/>
      <c r="AYS307" s="104"/>
      <c r="AYT307" s="104"/>
      <c r="AYU307" s="104"/>
      <c r="AYV307" s="104"/>
      <c r="AYW307" s="104"/>
      <c r="AYX307" s="104"/>
      <c r="AYY307" s="104"/>
      <c r="AYZ307" s="104"/>
      <c r="AZA307" s="104"/>
      <c r="AZB307" s="104"/>
      <c r="AZC307" s="104"/>
      <c r="AZD307" s="104"/>
      <c r="AZE307" s="104"/>
      <c r="AZF307" s="104"/>
      <c r="AZG307" s="104"/>
      <c r="AZH307" s="104"/>
      <c r="AZI307" s="104"/>
      <c r="AZJ307" s="104"/>
      <c r="AZK307" s="104"/>
      <c r="AZL307" s="104"/>
      <c r="AZM307" s="104"/>
      <c r="AZN307" s="104"/>
      <c r="AZO307" s="104"/>
      <c r="AZP307" s="104"/>
      <c r="AZQ307" s="104"/>
      <c r="AZR307" s="104"/>
      <c r="AZS307" s="104"/>
      <c r="AZT307" s="104"/>
      <c r="AZU307" s="104"/>
      <c r="AZV307" s="104"/>
      <c r="AZW307" s="104"/>
      <c r="AZX307" s="104"/>
      <c r="AZY307" s="104"/>
      <c r="AZZ307" s="104"/>
      <c r="BAA307" s="104"/>
      <c r="BAB307" s="104"/>
      <c r="BAC307" s="104"/>
      <c r="BAD307" s="104"/>
      <c r="BAE307" s="104"/>
      <c r="BAF307" s="104"/>
      <c r="BAG307" s="104"/>
      <c r="BAH307" s="104"/>
      <c r="BAI307" s="104"/>
      <c r="BAJ307" s="104"/>
      <c r="BAK307" s="104"/>
      <c r="BAL307" s="104"/>
      <c r="BAM307" s="104"/>
      <c r="BAN307" s="104"/>
      <c r="BAO307" s="104"/>
      <c r="BAP307" s="104"/>
      <c r="BAQ307" s="104"/>
      <c r="BAR307" s="104"/>
      <c r="BAS307" s="104"/>
      <c r="BAT307" s="104"/>
      <c r="BAU307" s="104"/>
      <c r="BAV307" s="104"/>
      <c r="BAW307" s="104"/>
      <c r="BAX307" s="104"/>
      <c r="BAY307" s="104"/>
      <c r="BAZ307" s="104"/>
      <c r="BBA307" s="104"/>
      <c r="BBB307" s="104"/>
      <c r="BBC307" s="104"/>
      <c r="BBD307" s="104"/>
      <c r="BBE307" s="104"/>
      <c r="BBF307" s="104"/>
      <c r="BBG307" s="104"/>
      <c r="BBH307" s="104"/>
      <c r="BBI307" s="104"/>
      <c r="BBJ307" s="104"/>
      <c r="BBK307" s="104"/>
      <c r="BBL307" s="104"/>
      <c r="BBM307" s="104"/>
      <c r="BBN307" s="104"/>
      <c r="BBO307" s="104"/>
      <c r="BBP307" s="104"/>
      <c r="BBQ307" s="104"/>
      <c r="BBR307" s="104"/>
      <c r="BBS307" s="104"/>
      <c r="BBT307" s="104"/>
      <c r="BBU307" s="104"/>
      <c r="BBV307" s="104"/>
      <c r="BBW307" s="104"/>
      <c r="BBX307" s="104"/>
      <c r="BBY307" s="104"/>
      <c r="BBZ307" s="104"/>
      <c r="BCA307" s="104"/>
      <c r="BCB307" s="104"/>
      <c r="BCC307" s="104"/>
      <c r="BCD307" s="104"/>
      <c r="BCE307" s="104"/>
      <c r="BCF307" s="104"/>
      <c r="BCG307" s="104"/>
      <c r="BCH307" s="104"/>
      <c r="BCI307" s="104"/>
      <c r="BCJ307" s="104"/>
      <c r="BCK307" s="104"/>
      <c r="BCL307" s="104"/>
      <c r="BCM307" s="104"/>
      <c r="BCN307" s="104"/>
      <c r="BCO307" s="104"/>
      <c r="BCP307" s="104"/>
      <c r="BCQ307" s="104"/>
      <c r="BCR307" s="104"/>
      <c r="BCS307" s="104"/>
      <c r="BCT307" s="104"/>
      <c r="BCU307" s="104"/>
      <c r="BCV307" s="104"/>
      <c r="BCW307" s="104"/>
      <c r="BCX307" s="104"/>
      <c r="BCY307" s="104"/>
      <c r="BCZ307" s="104"/>
      <c r="BDA307" s="104"/>
      <c r="BDB307" s="104"/>
      <c r="BDC307" s="104"/>
      <c r="BDD307" s="104"/>
      <c r="BDE307" s="104"/>
      <c r="BDF307" s="104"/>
      <c r="BDG307" s="104"/>
      <c r="BDH307" s="104"/>
      <c r="BDI307" s="104"/>
      <c r="BDJ307" s="104"/>
      <c r="BDK307" s="104"/>
      <c r="BDL307" s="104"/>
      <c r="BDM307" s="104"/>
      <c r="BDN307" s="104"/>
      <c r="BDO307" s="104"/>
      <c r="BDP307" s="104"/>
      <c r="BDQ307" s="104"/>
      <c r="BDR307" s="104"/>
      <c r="BDS307" s="104"/>
      <c r="BDT307" s="104"/>
      <c r="BDU307" s="104"/>
      <c r="BDV307" s="104"/>
      <c r="BDW307" s="104"/>
      <c r="BDX307" s="104"/>
      <c r="BDY307" s="104"/>
      <c r="BDZ307" s="104"/>
      <c r="BEA307" s="104"/>
      <c r="BEB307" s="104"/>
      <c r="BEC307" s="104"/>
      <c r="BED307" s="104"/>
      <c r="BEE307" s="104"/>
      <c r="BEF307" s="104"/>
      <c r="BEG307" s="104"/>
      <c r="BEH307" s="104"/>
      <c r="BEI307" s="104"/>
      <c r="BEJ307" s="104"/>
      <c r="BEK307" s="104"/>
      <c r="BEL307" s="104"/>
      <c r="BEM307" s="104"/>
      <c r="BEN307" s="104"/>
      <c r="BEO307" s="104"/>
      <c r="BEP307" s="104"/>
      <c r="BEQ307" s="104"/>
      <c r="BER307" s="104"/>
      <c r="BES307" s="104"/>
      <c r="BET307" s="104"/>
      <c r="BEU307" s="104"/>
      <c r="BEV307" s="104"/>
      <c r="BEW307" s="104"/>
      <c r="BEX307" s="104"/>
      <c r="BEY307" s="104"/>
      <c r="BEZ307" s="104"/>
      <c r="BFA307" s="104"/>
      <c r="BFB307" s="104"/>
      <c r="BFC307" s="104"/>
      <c r="BFD307" s="104"/>
      <c r="BFE307" s="104"/>
      <c r="BFF307" s="104"/>
      <c r="BFG307" s="104"/>
      <c r="BFH307" s="104"/>
      <c r="BFI307" s="104"/>
      <c r="BFJ307" s="104"/>
      <c r="BFK307" s="104"/>
      <c r="BFL307" s="104"/>
      <c r="BFM307" s="104"/>
      <c r="BFN307" s="104"/>
      <c r="BFO307" s="104"/>
      <c r="BFP307" s="104"/>
      <c r="BFQ307" s="104"/>
      <c r="BFR307" s="104"/>
      <c r="BFS307" s="104"/>
      <c r="BFT307" s="104"/>
      <c r="BFU307" s="104"/>
      <c r="BFV307" s="104"/>
      <c r="BFW307" s="104"/>
      <c r="BFX307" s="104"/>
      <c r="BFY307" s="104"/>
      <c r="BFZ307" s="104"/>
      <c r="BGA307" s="104"/>
      <c r="BGB307" s="104"/>
      <c r="BGC307" s="104"/>
      <c r="BGD307" s="104"/>
      <c r="BGE307" s="104"/>
      <c r="BGF307" s="104"/>
      <c r="BGG307" s="104"/>
      <c r="BGH307" s="104"/>
      <c r="BGI307" s="104"/>
      <c r="BGJ307" s="104"/>
      <c r="BGK307" s="104"/>
      <c r="BGL307" s="104"/>
      <c r="BGM307" s="104"/>
      <c r="BGN307" s="104"/>
      <c r="BGO307" s="104"/>
      <c r="BGP307" s="104"/>
      <c r="BGQ307" s="104"/>
      <c r="BGR307" s="104"/>
      <c r="BGS307" s="104"/>
      <c r="BGT307" s="104"/>
      <c r="BGU307" s="104"/>
      <c r="BGV307" s="104"/>
      <c r="BGW307" s="104"/>
      <c r="BGX307" s="104"/>
      <c r="BGY307" s="104"/>
      <c r="BGZ307" s="104"/>
      <c r="BHA307" s="104"/>
      <c r="BHB307" s="104"/>
      <c r="BHC307" s="104"/>
      <c r="BHD307" s="104"/>
      <c r="BHE307" s="104"/>
      <c r="BHF307" s="104"/>
      <c r="BHG307" s="104"/>
      <c r="BHH307" s="104"/>
      <c r="BHI307" s="104"/>
      <c r="BHJ307" s="104"/>
      <c r="BHK307" s="104"/>
      <c r="BHL307" s="104"/>
      <c r="BHM307" s="104"/>
      <c r="BHN307" s="104"/>
      <c r="BHO307" s="104"/>
      <c r="BHP307" s="104"/>
      <c r="BHQ307" s="104"/>
      <c r="BHR307" s="104"/>
      <c r="BHS307" s="104"/>
      <c r="BHT307" s="104"/>
      <c r="BHU307" s="104"/>
      <c r="BHV307" s="104"/>
      <c r="BHW307" s="104"/>
      <c r="BHX307" s="104"/>
      <c r="BHY307" s="104"/>
      <c r="BHZ307" s="104"/>
      <c r="BIA307" s="104"/>
      <c r="BIB307" s="104"/>
      <c r="BIC307" s="104"/>
      <c r="BID307" s="104"/>
      <c r="BIE307" s="104"/>
      <c r="BIF307" s="104"/>
      <c r="BIG307" s="104"/>
      <c r="BIH307" s="104"/>
      <c r="BII307" s="104"/>
      <c r="BIJ307" s="104"/>
      <c r="BIK307" s="104"/>
      <c r="BIL307" s="104"/>
      <c r="BIM307" s="104"/>
      <c r="BIN307" s="104"/>
      <c r="BIO307" s="104"/>
      <c r="BIP307" s="104"/>
      <c r="BIQ307" s="104"/>
      <c r="BIR307" s="104"/>
      <c r="BIS307" s="104"/>
      <c r="BIT307" s="104"/>
      <c r="BIU307" s="104"/>
      <c r="BIV307" s="104"/>
      <c r="BIW307" s="104"/>
      <c r="BIX307" s="104"/>
      <c r="BIY307" s="104"/>
      <c r="BIZ307" s="104"/>
      <c r="BJA307" s="104"/>
      <c r="BJB307" s="104"/>
      <c r="BJC307" s="104"/>
      <c r="BJD307" s="104"/>
      <c r="BJE307" s="104"/>
      <c r="BJF307" s="104"/>
      <c r="BJG307" s="104"/>
      <c r="BJH307" s="104"/>
      <c r="BJI307" s="104"/>
      <c r="BJJ307" s="104"/>
      <c r="BJK307" s="104"/>
      <c r="BJL307" s="104"/>
      <c r="BJM307" s="104"/>
      <c r="BJN307" s="104"/>
      <c r="BJO307" s="104"/>
      <c r="BJP307" s="104"/>
      <c r="BJQ307" s="104"/>
      <c r="BJR307" s="104"/>
      <c r="BJS307" s="104"/>
      <c r="BJT307" s="104"/>
      <c r="BJU307" s="104"/>
      <c r="BJV307" s="104"/>
      <c r="BJW307" s="104"/>
      <c r="BJX307" s="104"/>
      <c r="BJY307" s="104"/>
      <c r="BJZ307" s="104"/>
      <c r="BKA307" s="104"/>
      <c r="BKB307" s="104"/>
      <c r="BKC307" s="104"/>
      <c r="BKD307" s="104"/>
      <c r="BKE307" s="104"/>
      <c r="BKF307" s="104"/>
      <c r="BKG307" s="104"/>
      <c r="BKH307" s="104"/>
      <c r="BKI307" s="104"/>
      <c r="BKJ307" s="104"/>
      <c r="BKK307" s="104"/>
      <c r="BKL307" s="104"/>
      <c r="BKM307" s="104"/>
      <c r="BKN307" s="104"/>
      <c r="BKO307" s="104"/>
      <c r="BKP307" s="104"/>
      <c r="BKQ307" s="104"/>
      <c r="BKR307" s="104"/>
      <c r="BKS307" s="104"/>
      <c r="BKT307" s="104"/>
      <c r="BKU307" s="104"/>
      <c r="BKV307" s="104"/>
      <c r="BKW307" s="104"/>
      <c r="BKX307" s="104"/>
      <c r="BKY307" s="104"/>
      <c r="BKZ307" s="104"/>
      <c r="BLA307" s="104"/>
      <c r="BLB307" s="104"/>
      <c r="BLC307" s="104"/>
      <c r="BLD307" s="104"/>
      <c r="BLE307" s="104"/>
      <c r="BLF307" s="104"/>
      <c r="BLG307" s="104"/>
      <c r="BLH307" s="104"/>
      <c r="BLI307" s="104"/>
      <c r="BLJ307" s="104"/>
      <c r="BLK307" s="104"/>
      <c r="BLL307" s="104"/>
      <c r="BLM307" s="104"/>
      <c r="BLN307" s="104"/>
      <c r="BLO307" s="104"/>
      <c r="BLP307" s="104"/>
      <c r="BLQ307" s="104"/>
      <c r="BLR307" s="104"/>
      <c r="BLS307" s="104"/>
      <c r="BLT307" s="104"/>
      <c r="BLU307" s="104"/>
      <c r="BLV307" s="104"/>
      <c r="BLW307" s="104"/>
      <c r="BLX307" s="104"/>
      <c r="BLY307" s="104"/>
      <c r="BLZ307" s="104"/>
      <c r="BMA307" s="104"/>
      <c r="BMB307" s="104"/>
      <c r="BMC307" s="104"/>
      <c r="BMD307" s="104"/>
      <c r="BME307" s="104"/>
      <c r="BMF307" s="104"/>
      <c r="BMG307" s="104"/>
      <c r="BMH307" s="104"/>
      <c r="BMI307" s="104"/>
      <c r="BMJ307" s="104"/>
      <c r="BMK307" s="104"/>
      <c r="BML307" s="104"/>
      <c r="BMM307" s="104"/>
      <c r="BMN307" s="104"/>
      <c r="BMO307" s="104"/>
      <c r="BMP307" s="104"/>
      <c r="BMQ307" s="104"/>
      <c r="BMR307" s="104"/>
      <c r="BMS307" s="104"/>
      <c r="BMT307" s="104"/>
      <c r="BMU307" s="104"/>
      <c r="BMV307" s="104"/>
      <c r="BMW307" s="104"/>
      <c r="BMX307" s="104"/>
      <c r="BMY307" s="104"/>
      <c r="BMZ307" s="104"/>
      <c r="BNA307" s="104"/>
      <c r="BNB307" s="104"/>
      <c r="BNC307" s="104"/>
      <c r="BND307" s="104"/>
      <c r="BNE307" s="104"/>
      <c r="BNF307" s="104"/>
      <c r="BNG307" s="104"/>
      <c r="BNH307" s="104"/>
      <c r="BNI307" s="104"/>
      <c r="BNJ307" s="104"/>
      <c r="BNK307" s="104"/>
      <c r="BNL307" s="104"/>
      <c r="BNM307" s="104"/>
      <c r="BNN307" s="104"/>
      <c r="BNO307" s="104"/>
      <c r="BNP307" s="104"/>
      <c r="BNQ307" s="104"/>
      <c r="BNR307" s="104"/>
      <c r="BNS307" s="104"/>
      <c r="BNT307" s="104"/>
      <c r="BNU307" s="104"/>
      <c r="BNV307" s="104"/>
      <c r="BNW307" s="104"/>
      <c r="BNX307" s="104"/>
      <c r="BNY307" s="104"/>
      <c r="BNZ307" s="104"/>
      <c r="BOA307" s="104"/>
      <c r="BOB307" s="104"/>
      <c r="BOC307" s="104"/>
      <c r="BOD307" s="104"/>
      <c r="BOE307" s="104"/>
      <c r="BOF307" s="104"/>
      <c r="BOG307" s="104"/>
      <c r="BOH307" s="104"/>
      <c r="BOI307" s="104"/>
      <c r="BOJ307" s="104"/>
      <c r="BOK307" s="104"/>
      <c r="BOL307" s="104"/>
      <c r="BOM307" s="104"/>
      <c r="BON307" s="104"/>
      <c r="BOO307" s="104"/>
      <c r="BOP307" s="104"/>
      <c r="BOQ307" s="104"/>
      <c r="BOR307" s="104"/>
      <c r="BOS307" s="104"/>
      <c r="BOT307" s="104"/>
      <c r="BOU307" s="104"/>
      <c r="BOV307" s="104"/>
      <c r="BOW307" s="104"/>
      <c r="BOX307" s="104"/>
      <c r="BOY307" s="104"/>
      <c r="BOZ307" s="104"/>
      <c r="BPA307" s="104"/>
      <c r="BPB307" s="104"/>
      <c r="BPC307" s="104"/>
      <c r="BPD307" s="104"/>
      <c r="BPE307" s="104"/>
      <c r="BPF307" s="104"/>
      <c r="BPG307" s="104"/>
      <c r="BPH307" s="104"/>
      <c r="BPI307" s="104"/>
      <c r="BPJ307" s="104"/>
      <c r="BPK307" s="104"/>
      <c r="BPL307" s="104"/>
      <c r="BPM307" s="104"/>
      <c r="BPN307" s="104"/>
      <c r="BPO307" s="104"/>
      <c r="BPP307" s="104"/>
      <c r="BPQ307" s="104"/>
      <c r="BPR307" s="104"/>
      <c r="BPS307" s="104"/>
      <c r="BPT307" s="104"/>
      <c r="BPU307" s="104"/>
      <c r="BPV307" s="104"/>
      <c r="BPW307" s="104"/>
      <c r="BPX307" s="104"/>
      <c r="BPY307" s="104"/>
      <c r="BPZ307" s="104"/>
      <c r="BQA307" s="104"/>
      <c r="BQB307" s="104"/>
      <c r="BQC307" s="104"/>
      <c r="BQD307" s="104"/>
      <c r="BQE307" s="104"/>
      <c r="BQF307" s="104"/>
      <c r="BQG307" s="104"/>
      <c r="BQH307" s="104"/>
      <c r="BQI307" s="104"/>
      <c r="BQJ307" s="104"/>
      <c r="BQK307" s="104"/>
      <c r="BQL307" s="104"/>
      <c r="BQM307" s="104"/>
      <c r="BQN307" s="104"/>
      <c r="BQO307" s="104"/>
      <c r="BQP307" s="104"/>
      <c r="BQQ307" s="104"/>
      <c r="BQR307" s="104"/>
      <c r="BQS307" s="104"/>
      <c r="BQT307" s="104"/>
      <c r="BQU307" s="104"/>
      <c r="BQV307" s="104"/>
      <c r="BQW307" s="104"/>
      <c r="BQX307" s="104"/>
      <c r="BQY307" s="104"/>
      <c r="BQZ307" s="104"/>
      <c r="BRA307" s="104"/>
      <c r="BRB307" s="104"/>
      <c r="BRC307" s="104"/>
      <c r="BRD307" s="104"/>
      <c r="BRE307" s="104"/>
      <c r="BRF307" s="104"/>
      <c r="BRG307" s="104"/>
      <c r="BRH307" s="104"/>
      <c r="BRI307" s="104"/>
      <c r="BRJ307" s="104"/>
      <c r="BRK307" s="104"/>
      <c r="BRL307" s="104"/>
      <c r="BRM307" s="104"/>
      <c r="BRN307" s="104"/>
      <c r="BRO307" s="104"/>
      <c r="BRP307" s="104"/>
      <c r="BRQ307" s="104"/>
      <c r="BRR307" s="104"/>
      <c r="BRS307" s="104"/>
      <c r="BRT307" s="104"/>
      <c r="BRU307" s="104"/>
      <c r="BRV307" s="104"/>
      <c r="BRW307" s="104"/>
      <c r="BRX307" s="104"/>
      <c r="BRY307" s="104"/>
      <c r="BRZ307" s="104"/>
      <c r="BSA307" s="104"/>
      <c r="BSB307" s="104"/>
      <c r="BSC307" s="104"/>
      <c r="BSD307" s="104"/>
      <c r="BSE307" s="104"/>
      <c r="BSF307" s="104"/>
      <c r="BSG307" s="104"/>
      <c r="BSH307" s="104"/>
      <c r="BSI307" s="104"/>
      <c r="BSJ307" s="104"/>
      <c r="BSK307" s="104"/>
      <c r="BSL307" s="104"/>
      <c r="BSM307" s="104"/>
      <c r="BSN307" s="104"/>
      <c r="BSO307" s="104"/>
      <c r="BSP307" s="104"/>
      <c r="BSQ307" s="104"/>
      <c r="BSR307" s="104"/>
      <c r="BSS307" s="104"/>
      <c r="BST307" s="104"/>
      <c r="BSU307" s="104"/>
      <c r="BSV307" s="104"/>
      <c r="BSW307" s="104"/>
      <c r="BSX307" s="104"/>
      <c r="BSY307" s="104"/>
      <c r="BSZ307" s="104"/>
      <c r="BTA307" s="104"/>
      <c r="BTB307" s="104"/>
      <c r="BTC307" s="104"/>
      <c r="BTD307" s="104"/>
      <c r="BTE307" s="104"/>
      <c r="BTF307" s="104"/>
      <c r="BTG307" s="104"/>
      <c r="BTH307" s="104"/>
      <c r="BTI307" s="104"/>
      <c r="BTJ307" s="104"/>
      <c r="BTK307" s="104"/>
      <c r="BTL307" s="104"/>
      <c r="BTM307" s="104"/>
      <c r="BTN307" s="104"/>
      <c r="BTO307" s="104"/>
      <c r="BTP307" s="104"/>
      <c r="BTQ307" s="104"/>
      <c r="BTR307" s="104"/>
      <c r="BTS307" s="104"/>
      <c r="BTT307" s="104"/>
      <c r="BTU307" s="104"/>
      <c r="BTV307" s="104"/>
      <c r="BTW307" s="104"/>
      <c r="BTX307" s="104"/>
      <c r="BTY307" s="104"/>
      <c r="BTZ307" s="104"/>
      <c r="BUA307" s="104"/>
      <c r="BUB307" s="104"/>
      <c r="BUC307" s="104"/>
      <c r="BUD307" s="104"/>
      <c r="BUE307" s="104"/>
      <c r="BUF307" s="104"/>
      <c r="BUG307" s="104"/>
      <c r="BUH307" s="104"/>
      <c r="BUI307" s="104"/>
      <c r="BUJ307" s="104"/>
      <c r="BUK307" s="104"/>
      <c r="BUL307" s="104"/>
      <c r="BUM307" s="104"/>
      <c r="BUN307" s="104"/>
      <c r="BUO307" s="104"/>
      <c r="BUP307" s="104"/>
      <c r="BUQ307" s="104"/>
      <c r="BUR307" s="104"/>
      <c r="BUS307" s="104"/>
      <c r="BUT307" s="104"/>
      <c r="BUU307" s="104"/>
      <c r="BUV307" s="104"/>
      <c r="BUW307" s="104"/>
      <c r="BUX307" s="104"/>
      <c r="BUY307" s="104"/>
      <c r="BUZ307" s="104"/>
      <c r="BVA307" s="104"/>
      <c r="BVB307" s="104"/>
      <c r="BVC307" s="104"/>
      <c r="BVD307" s="104"/>
      <c r="BVE307" s="104"/>
      <c r="BVF307" s="104"/>
      <c r="BVG307" s="104"/>
      <c r="BVH307" s="104"/>
      <c r="BVI307" s="104"/>
      <c r="BVJ307" s="104"/>
      <c r="BVK307" s="104"/>
      <c r="BVL307" s="104"/>
      <c r="BVM307" s="104"/>
      <c r="BVN307" s="104"/>
      <c r="BVO307" s="104"/>
      <c r="BVP307" s="104"/>
      <c r="BVQ307" s="104"/>
      <c r="BVR307" s="104"/>
      <c r="BVS307" s="104"/>
      <c r="BVT307" s="104"/>
      <c r="BVU307" s="104"/>
      <c r="BVV307" s="104"/>
      <c r="BVW307" s="104"/>
      <c r="BVX307" s="104"/>
      <c r="BVY307" s="104"/>
      <c r="BVZ307" s="104"/>
      <c r="BWA307" s="104"/>
      <c r="BWB307" s="104"/>
      <c r="BWC307" s="104"/>
      <c r="BWD307" s="104"/>
      <c r="BWE307" s="104"/>
      <c r="BWF307" s="104"/>
      <c r="BWG307" s="104"/>
      <c r="BWH307" s="104"/>
      <c r="BWI307" s="104"/>
      <c r="BWJ307" s="104"/>
      <c r="BWK307" s="104"/>
      <c r="BWL307" s="104"/>
      <c r="BWM307" s="104"/>
      <c r="BWN307" s="104"/>
      <c r="BWO307" s="104"/>
      <c r="BWP307" s="104"/>
      <c r="BWQ307" s="104"/>
      <c r="BWR307" s="104"/>
      <c r="BWS307" s="104"/>
      <c r="BWT307" s="104"/>
      <c r="BWU307" s="104"/>
      <c r="BWV307" s="104"/>
      <c r="BWW307" s="104"/>
      <c r="BWX307" s="104"/>
      <c r="BWY307" s="104"/>
      <c r="BWZ307" s="104"/>
      <c r="BXA307" s="104"/>
      <c r="BXB307" s="104"/>
      <c r="BXC307" s="104"/>
      <c r="BXD307" s="104"/>
      <c r="BXE307" s="104"/>
      <c r="BXF307" s="104"/>
      <c r="BXG307" s="104"/>
      <c r="BXH307" s="104"/>
      <c r="BXI307" s="104"/>
      <c r="BXJ307" s="104"/>
      <c r="BXK307" s="104"/>
      <c r="BXL307" s="104"/>
      <c r="BXM307" s="104"/>
      <c r="BXN307" s="104"/>
      <c r="BXO307" s="104"/>
      <c r="BXP307" s="104"/>
      <c r="BXQ307" s="104"/>
      <c r="BXR307" s="104"/>
      <c r="BXS307" s="104"/>
      <c r="BXT307" s="104"/>
      <c r="BXU307" s="104"/>
      <c r="BXV307" s="104"/>
      <c r="BXW307" s="104"/>
      <c r="BXX307" s="104"/>
      <c r="BXY307" s="104"/>
      <c r="BXZ307" s="104"/>
      <c r="BYA307" s="104"/>
      <c r="BYB307" s="104"/>
      <c r="BYC307" s="104"/>
      <c r="BYD307" s="104"/>
      <c r="BYE307" s="104"/>
      <c r="BYF307" s="104"/>
      <c r="BYG307" s="104"/>
      <c r="BYH307" s="104"/>
      <c r="BYI307" s="104"/>
      <c r="BYJ307" s="104"/>
      <c r="BYK307" s="104"/>
      <c r="BYL307" s="104"/>
      <c r="BYM307" s="104"/>
      <c r="BYN307" s="104"/>
      <c r="BYO307" s="104"/>
      <c r="BYP307" s="104"/>
      <c r="BYQ307" s="104"/>
      <c r="BYR307" s="104"/>
      <c r="BYS307" s="104"/>
      <c r="BYT307" s="104"/>
      <c r="BYU307" s="104"/>
      <c r="BYV307" s="104"/>
      <c r="BYW307" s="104"/>
      <c r="BYX307" s="104"/>
      <c r="BYY307" s="104"/>
      <c r="BYZ307" s="104"/>
      <c r="BZA307" s="104"/>
      <c r="BZB307" s="104"/>
      <c r="BZC307" s="104"/>
      <c r="BZD307" s="104"/>
      <c r="BZE307" s="104"/>
      <c r="BZF307" s="104"/>
      <c r="BZG307" s="104"/>
      <c r="BZH307" s="104"/>
      <c r="BZI307" s="104"/>
      <c r="BZJ307" s="104"/>
      <c r="BZK307" s="104"/>
      <c r="BZL307" s="104"/>
      <c r="BZM307" s="104"/>
      <c r="BZN307" s="104"/>
      <c r="BZO307" s="104"/>
      <c r="BZP307" s="104"/>
      <c r="BZQ307" s="104"/>
      <c r="BZR307" s="104"/>
      <c r="BZS307" s="104"/>
      <c r="BZT307" s="104"/>
      <c r="BZU307" s="104"/>
      <c r="BZV307" s="104"/>
      <c r="BZW307" s="104"/>
      <c r="BZX307" s="104"/>
      <c r="BZY307" s="104"/>
      <c r="BZZ307" s="104"/>
      <c r="CAA307" s="104"/>
      <c r="CAB307" s="104"/>
      <c r="CAC307" s="104"/>
      <c r="CAD307" s="104"/>
      <c r="CAE307" s="104"/>
      <c r="CAF307" s="104"/>
      <c r="CAG307" s="104"/>
      <c r="CAH307" s="104"/>
      <c r="CAI307" s="104"/>
      <c r="CAJ307" s="104"/>
      <c r="CAK307" s="104"/>
      <c r="CAL307" s="104"/>
      <c r="CAM307" s="104"/>
      <c r="CAN307" s="104"/>
      <c r="CAO307" s="104"/>
      <c r="CAP307" s="104"/>
      <c r="CAQ307" s="104"/>
      <c r="CAR307" s="104"/>
      <c r="CAS307" s="104"/>
      <c r="CAT307" s="104"/>
      <c r="CAU307" s="104"/>
      <c r="CAV307" s="104"/>
      <c r="CAW307" s="104"/>
      <c r="CAX307" s="104"/>
      <c r="CAY307" s="104"/>
      <c r="CAZ307" s="104"/>
      <c r="CBA307" s="104"/>
      <c r="CBB307" s="104"/>
      <c r="CBC307" s="104"/>
      <c r="CBD307" s="104"/>
      <c r="CBE307" s="104"/>
      <c r="CBF307" s="104"/>
      <c r="CBG307" s="104"/>
      <c r="CBH307" s="104"/>
      <c r="CBI307" s="104"/>
      <c r="CBJ307" s="104"/>
      <c r="CBK307" s="104"/>
      <c r="CBL307" s="104"/>
      <c r="CBM307" s="104"/>
      <c r="CBN307" s="104"/>
      <c r="CBO307" s="104"/>
      <c r="CBP307" s="104"/>
      <c r="CBQ307" s="104"/>
      <c r="CBR307" s="104"/>
      <c r="CBS307" s="104"/>
      <c r="CBT307" s="104"/>
      <c r="CBU307" s="104"/>
      <c r="CBV307" s="104"/>
      <c r="CBW307" s="104"/>
      <c r="CBX307" s="104"/>
      <c r="CBY307" s="104"/>
      <c r="CBZ307" s="104"/>
      <c r="CCA307" s="104"/>
      <c r="CCB307" s="104"/>
      <c r="CCC307" s="104"/>
      <c r="CCD307" s="104"/>
      <c r="CCE307" s="104"/>
      <c r="CCF307" s="104"/>
      <c r="CCG307" s="104"/>
      <c r="CCH307" s="104"/>
      <c r="CCI307" s="104"/>
      <c r="CCJ307" s="104"/>
      <c r="CCK307" s="104"/>
      <c r="CCL307" s="104"/>
      <c r="CCM307" s="104"/>
      <c r="CCN307" s="104"/>
      <c r="CCO307" s="104"/>
      <c r="CCP307" s="104"/>
      <c r="CCQ307" s="104"/>
      <c r="CCR307" s="104"/>
      <c r="CCS307" s="104"/>
      <c r="CCT307" s="104"/>
      <c r="CCU307" s="104"/>
      <c r="CCV307" s="104"/>
      <c r="CCW307" s="104"/>
      <c r="CCX307" s="104"/>
      <c r="CCY307" s="104"/>
      <c r="CCZ307" s="104"/>
      <c r="CDA307" s="104"/>
      <c r="CDB307" s="104"/>
      <c r="CDC307" s="104"/>
      <c r="CDD307" s="104"/>
      <c r="CDE307" s="104"/>
      <c r="CDF307" s="104"/>
      <c r="CDG307" s="104"/>
      <c r="CDH307" s="104"/>
      <c r="CDI307" s="104"/>
      <c r="CDJ307" s="104"/>
      <c r="CDK307" s="104"/>
      <c r="CDL307" s="104"/>
      <c r="CDM307" s="104"/>
      <c r="CDN307" s="104"/>
      <c r="CDO307" s="104"/>
      <c r="CDP307" s="104"/>
      <c r="CDQ307" s="104"/>
      <c r="CDR307" s="104"/>
      <c r="CDS307" s="104"/>
      <c r="CDT307" s="104"/>
      <c r="CDU307" s="104"/>
      <c r="CDV307" s="104"/>
      <c r="CDW307" s="104"/>
      <c r="CDX307" s="104"/>
      <c r="CDY307" s="104"/>
      <c r="CDZ307" s="104"/>
      <c r="CEA307" s="104"/>
      <c r="CEB307" s="104"/>
      <c r="CEC307" s="104"/>
      <c r="CED307" s="104"/>
      <c r="CEE307" s="104"/>
      <c r="CEF307" s="104"/>
      <c r="CEG307" s="104"/>
      <c r="CEH307" s="104"/>
      <c r="CEI307" s="104"/>
      <c r="CEJ307" s="104"/>
      <c r="CEK307" s="104"/>
      <c r="CEL307" s="104"/>
      <c r="CEM307" s="104"/>
      <c r="CEN307" s="104"/>
      <c r="CEO307" s="104"/>
      <c r="CEP307" s="104"/>
      <c r="CEQ307" s="104"/>
      <c r="CER307" s="104"/>
      <c r="CES307" s="104"/>
      <c r="CET307" s="104"/>
      <c r="CEU307" s="104"/>
      <c r="CEV307" s="104"/>
      <c r="CEW307" s="104"/>
      <c r="CEX307" s="104"/>
      <c r="CEY307" s="104"/>
      <c r="CEZ307" s="104"/>
      <c r="CFA307" s="104"/>
      <c r="CFB307" s="104"/>
      <c r="CFC307" s="104"/>
      <c r="CFD307" s="104"/>
      <c r="CFE307" s="104"/>
      <c r="CFF307" s="104"/>
      <c r="CFG307" s="104"/>
      <c r="CFH307" s="104"/>
      <c r="CFI307" s="104"/>
      <c r="CFJ307" s="104"/>
      <c r="CFK307" s="104"/>
      <c r="CFL307" s="104"/>
      <c r="CFM307" s="104"/>
      <c r="CFN307" s="104"/>
      <c r="CFO307" s="104"/>
      <c r="CFP307" s="104"/>
      <c r="CFQ307" s="104"/>
      <c r="CFR307" s="104"/>
      <c r="CFS307" s="104"/>
      <c r="CFT307" s="104"/>
      <c r="CFU307" s="104"/>
      <c r="CFV307" s="104"/>
      <c r="CFW307" s="104"/>
      <c r="CFX307" s="104"/>
      <c r="CFY307" s="104"/>
      <c r="CFZ307" s="104"/>
      <c r="CGA307" s="104"/>
      <c r="CGB307" s="104"/>
      <c r="CGC307" s="104"/>
      <c r="CGD307" s="104"/>
      <c r="CGE307" s="104"/>
      <c r="CGF307" s="104"/>
      <c r="CGG307" s="104"/>
      <c r="CGH307" s="104"/>
      <c r="CGI307" s="104"/>
      <c r="CGJ307" s="104"/>
      <c r="CGK307" s="104"/>
      <c r="CGL307" s="104"/>
      <c r="CGM307" s="104"/>
      <c r="CGN307" s="104"/>
      <c r="CGO307" s="104"/>
      <c r="CGP307" s="104"/>
      <c r="CGQ307" s="104"/>
      <c r="CGR307" s="104"/>
      <c r="CGS307" s="104"/>
      <c r="CGT307" s="104"/>
      <c r="CGU307" s="104"/>
      <c r="CGV307" s="104"/>
      <c r="CGW307" s="104"/>
      <c r="CGX307" s="104"/>
      <c r="CGY307" s="104"/>
      <c r="CGZ307" s="104"/>
      <c r="CHA307" s="104"/>
      <c r="CHB307" s="104"/>
      <c r="CHC307" s="104"/>
      <c r="CHD307" s="104"/>
      <c r="CHE307" s="104"/>
      <c r="CHF307" s="104"/>
      <c r="CHG307" s="104"/>
      <c r="CHH307" s="104"/>
      <c r="CHI307" s="104"/>
      <c r="CHJ307" s="104"/>
      <c r="CHK307" s="104"/>
      <c r="CHL307" s="104"/>
      <c r="CHM307" s="104"/>
      <c r="CHN307" s="104"/>
      <c r="CHO307" s="104"/>
      <c r="CHP307" s="104"/>
      <c r="CHQ307" s="104"/>
      <c r="CHR307" s="104"/>
      <c r="CHS307" s="104"/>
      <c r="CHT307" s="104"/>
      <c r="CHU307" s="104"/>
      <c r="CHV307" s="104"/>
      <c r="CHW307" s="104"/>
      <c r="CHX307" s="104"/>
      <c r="CHY307" s="104"/>
      <c r="CHZ307" s="104"/>
      <c r="CIA307" s="104"/>
      <c r="CIB307" s="104"/>
      <c r="CIC307" s="104"/>
      <c r="CID307" s="104"/>
      <c r="CIE307" s="104"/>
      <c r="CIF307" s="104"/>
      <c r="CIG307" s="104"/>
      <c r="CIH307" s="104"/>
      <c r="CII307" s="104"/>
      <c r="CIJ307" s="104"/>
      <c r="CIK307" s="104"/>
      <c r="CIL307" s="104"/>
      <c r="CIM307" s="104"/>
      <c r="CIN307" s="104"/>
      <c r="CIO307" s="104"/>
      <c r="CIP307" s="104"/>
      <c r="CIQ307" s="104"/>
      <c r="CIR307" s="104"/>
      <c r="CIS307" s="104"/>
      <c r="CIT307" s="104"/>
      <c r="CIU307" s="104"/>
      <c r="CIV307" s="104"/>
      <c r="CIW307" s="104"/>
      <c r="CIX307" s="104"/>
      <c r="CIY307" s="104"/>
      <c r="CIZ307" s="104"/>
      <c r="CJA307" s="104"/>
      <c r="CJB307" s="104"/>
      <c r="CJC307" s="104"/>
      <c r="CJD307" s="104"/>
      <c r="CJE307" s="104"/>
      <c r="CJF307" s="104"/>
      <c r="CJG307" s="104"/>
      <c r="CJH307" s="104"/>
      <c r="CJI307" s="104"/>
      <c r="CJJ307" s="104"/>
      <c r="CJK307" s="104"/>
      <c r="CJL307" s="104"/>
      <c r="CJM307" s="104"/>
      <c r="CJN307" s="104"/>
      <c r="CJO307" s="104"/>
      <c r="CJP307" s="104"/>
      <c r="CJQ307" s="104"/>
      <c r="CJR307" s="104"/>
      <c r="CJS307" s="104"/>
      <c r="CJT307" s="104"/>
      <c r="CJU307" s="104"/>
      <c r="CJV307" s="104"/>
      <c r="CJW307" s="104"/>
      <c r="CJX307" s="104"/>
      <c r="CJY307" s="104"/>
      <c r="CJZ307" s="104"/>
      <c r="CKA307" s="104"/>
      <c r="CKB307" s="104"/>
      <c r="CKC307" s="104"/>
      <c r="CKD307" s="104"/>
      <c r="CKE307" s="104"/>
      <c r="CKF307" s="104"/>
      <c r="CKG307" s="104"/>
      <c r="CKH307" s="104"/>
      <c r="CKI307" s="104"/>
      <c r="CKJ307" s="104"/>
      <c r="CKK307" s="104"/>
      <c r="CKL307" s="104"/>
      <c r="CKM307" s="104"/>
      <c r="CKN307" s="104"/>
      <c r="CKO307" s="104"/>
      <c r="CKP307" s="104"/>
      <c r="CKQ307" s="104"/>
      <c r="CKR307" s="104"/>
      <c r="CKS307" s="104"/>
      <c r="CKT307" s="104"/>
      <c r="CKU307" s="104"/>
      <c r="CKV307" s="104"/>
      <c r="CKW307" s="104"/>
      <c r="CKX307" s="104"/>
      <c r="CKY307" s="104"/>
      <c r="CKZ307" s="104"/>
      <c r="CLA307" s="104"/>
      <c r="CLB307" s="104"/>
      <c r="CLC307" s="104"/>
      <c r="CLD307" s="104"/>
      <c r="CLE307" s="104"/>
      <c r="CLF307" s="104"/>
      <c r="CLG307" s="104"/>
      <c r="CLH307" s="104"/>
      <c r="CLI307" s="104"/>
      <c r="CLJ307" s="104"/>
      <c r="CLK307" s="104"/>
      <c r="CLL307" s="104"/>
      <c r="CLM307" s="104"/>
      <c r="CLN307" s="104"/>
      <c r="CLO307" s="104"/>
      <c r="CLP307" s="104"/>
      <c r="CLQ307" s="104"/>
      <c r="CLR307" s="104"/>
      <c r="CLS307" s="104"/>
      <c r="CLT307" s="104"/>
      <c r="CLU307" s="104"/>
      <c r="CLV307" s="104"/>
      <c r="CLW307" s="104"/>
      <c r="CLX307" s="104"/>
      <c r="CLY307" s="104"/>
      <c r="CLZ307" s="104"/>
      <c r="CMA307" s="104"/>
      <c r="CMB307" s="104"/>
      <c r="CMC307" s="104"/>
      <c r="CMD307" s="104"/>
      <c r="CME307" s="104"/>
      <c r="CMF307" s="104"/>
      <c r="CMG307" s="104"/>
      <c r="CMH307" s="104"/>
      <c r="CMI307" s="104"/>
      <c r="CMJ307" s="104"/>
      <c r="CMK307" s="104"/>
      <c r="CML307" s="104"/>
      <c r="CMM307" s="104"/>
      <c r="CMN307" s="104"/>
      <c r="CMO307" s="104"/>
      <c r="CMP307" s="104"/>
      <c r="CMQ307" s="104"/>
      <c r="CMR307" s="104"/>
      <c r="CMS307" s="104"/>
      <c r="CMT307" s="104"/>
      <c r="CMU307" s="104"/>
      <c r="CMV307" s="104"/>
      <c r="CMW307" s="104"/>
      <c r="CMX307" s="104"/>
      <c r="CMY307" s="104"/>
      <c r="CMZ307" s="104"/>
      <c r="CNA307" s="104"/>
      <c r="CNB307" s="104"/>
      <c r="CNC307" s="104"/>
      <c r="CND307" s="104"/>
      <c r="CNE307" s="104"/>
      <c r="CNF307" s="104"/>
      <c r="CNG307" s="104"/>
      <c r="CNH307" s="104"/>
      <c r="CNI307" s="104"/>
      <c r="CNJ307" s="104"/>
      <c r="CNK307" s="104"/>
      <c r="CNL307" s="104"/>
      <c r="CNM307" s="104"/>
      <c r="CNN307" s="104"/>
      <c r="CNO307" s="104"/>
      <c r="CNP307" s="104"/>
      <c r="CNQ307" s="104"/>
      <c r="CNR307" s="104"/>
      <c r="CNS307" s="104"/>
      <c r="CNT307" s="104"/>
      <c r="CNU307" s="104"/>
      <c r="CNV307" s="104"/>
      <c r="CNW307" s="104"/>
      <c r="CNX307" s="104"/>
      <c r="CNY307" s="104"/>
      <c r="CNZ307" s="104"/>
      <c r="COA307" s="104"/>
      <c r="COB307" s="104"/>
      <c r="COC307" s="104"/>
      <c r="COD307" s="104"/>
      <c r="COE307" s="104"/>
      <c r="COF307" s="104"/>
      <c r="COG307" s="104"/>
      <c r="COH307" s="104"/>
      <c r="COI307" s="104"/>
      <c r="COJ307" s="104"/>
      <c r="COK307" s="104"/>
      <c r="COL307" s="104"/>
      <c r="COM307" s="104"/>
      <c r="CON307" s="104"/>
      <c r="COO307" s="104"/>
      <c r="COP307" s="104"/>
      <c r="COQ307" s="104"/>
      <c r="COR307" s="104"/>
      <c r="COS307" s="104"/>
      <c r="COT307" s="104"/>
      <c r="COU307" s="104"/>
      <c r="COV307" s="104"/>
      <c r="COW307" s="104"/>
      <c r="COX307" s="104"/>
      <c r="COY307" s="104"/>
      <c r="COZ307" s="104"/>
      <c r="CPA307" s="104"/>
      <c r="CPB307" s="104"/>
      <c r="CPC307" s="104"/>
      <c r="CPD307" s="104"/>
      <c r="CPE307" s="104"/>
      <c r="CPF307" s="104"/>
      <c r="CPG307" s="104"/>
      <c r="CPH307" s="104"/>
      <c r="CPI307" s="104"/>
      <c r="CPJ307" s="104"/>
      <c r="CPK307" s="104"/>
      <c r="CPL307" s="104"/>
      <c r="CPM307" s="104"/>
      <c r="CPN307" s="104"/>
      <c r="CPO307" s="104"/>
      <c r="CPP307" s="104"/>
      <c r="CPQ307" s="104"/>
      <c r="CPR307" s="104"/>
      <c r="CPS307" s="104"/>
      <c r="CPT307" s="104"/>
      <c r="CPU307" s="104"/>
      <c r="CPV307" s="104"/>
      <c r="CPW307" s="104"/>
      <c r="CPX307" s="104"/>
      <c r="CPY307" s="104"/>
      <c r="CPZ307" s="104"/>
      <c r="CQA307" s="104"/>
      <c r="CQB307" s="104"/>
      <c r="CQC307" s="104"/>
      <c r="CQD307" s="104"/>
      <c r="CQE307" s="104"/>
      <c r="CQF307" s="104"/>
      <c r="CQG307" s="104"/>
      <c r="CQH307" s="104"/>
      <c r="CQI307" s="104"/>
      <c r="CQJ307" s="104"/>
      <c r="CQK307" s="104"/>
      <c r="CQL307" s="104"/>
      <c r="CQM307" s="104"/>
      <c r="CQN307" s="104"/>
      <c r="CQO307" s="104"/>
      <c r="CQP307" s="104"/>
      <c r="CQQ307" s="104"/>
      <c r="CQR307" s="104"/>
      <c r="CQS307" s="104"/>
      <c r="CQT307" s="104"/>
      <c r="CQU307" s="104"/>
      <c r="CQV307" s="104"/>
      <c r="CQW307" s="104"/>
      <c r="CQX307" s="104"/>
      <c r="CQY307" s="104"/>
      <c r="CQZ307" s="104"/>
      <c r="CRA307" s="104"/>
      <c r="CRB307" s="104"/>
      <c r="CRC307" s="104"/>
      <c r="CRD307" s="104"/>
      <c r="CRE307" s="104"/>
      <c r="CRF307" s="104"/>
      <c r="CRG307" s="104"/>
      <c r="CRH307" s="104"/>
      <c r="CRI307" s="104"/>
      <c r="CRJ307" s="104"/>
      <c r="CRK307" s="104"/>
      <c r="CRL307" s="104"/>
      <c r="CRM307" s="104"/>
      <c r="CRN307" s="104"/>
      <c r="CRO307" s="104"/>
      <c r="CRP307" s="104"/>
      <c r="CRQ307" s="104"/>
      <c r="CRR307" s="104"/>
      <c r="CRS307" s="104"/>
      <c r="CRT307" s="104"/>
      <c r="CRU307" s="104"/>
      <c r="CRV307" s="104"/>
      <c r="CRW307" s="104"/>
      <c r="CRX307" s="104"/>
      <c r="CRY307" s="104"/>
      <c r="CRZ307" s="104"/>
      <c r="CSA307" s="104"/>
      <c r="CSB307" s="104"/>
      <c r="CSC307" s="104"/>
      <c r="CSD307" s="104"/>
      <c r="CSE307" s="104"/>
      <c r="CSF307" s="104"/>
      <c r="CSG307" s="104"/>
      <c r="CSH307" s="104"/>
      <c r="CSI307" s="104"/>
      <c r="CSJ307" s="104"/>
      <c r="CSK307" s="104"/>
      <c r="CSL307" s="104"/>
      <c r="CSM307" s="104"/>
      <c r="CSN307" s="104"/>
      <c r="CSO307" s="104"/>
      <c r="CSP307" s="104"/>
      <c r="CSQ307" s="104"/>
      <c r="CSR307" s="104"/>
      <c r="CSS307" s="104"/>
      <c r="CST307" s="104"/>
      <c r="CSU307" s="104"/>
      <c r="CSV307" s="104"/>
      <c r="CSW307" s="104"/>
      <c r="CSX307" s="104"/>
      <c r="CSY307" s="104"/>
      <c r="CSZ307" s="104"/>
      <c r="CTA307" s="104"/>
      <c r="CTB307" s="104"/>
      <c r="CTC307" s="104"/>
      <c r="CTD307" s="104"/>
      <c r="CTE307" s="104"/>
      <c r="CTF307" s="104"/>
      <c r="CTG307" s="104"/>
      <c r="CTH307" s="104"/>
      <c r="CTI307" s="104"/>
      <c r="CTJ307" s="104"/>
      <c r="CTK307" s="104"/>
      <c r="CTL307" s="104"/>
      <c r="CTM307" s="104"/>
      <c r="CTN307" s="104"/>
      <c r="CTO307" s="104"/>
      <c r="CTP307" s="104"/>
      <c r="CTQ307" s="104"/>
      <c r="CTR307" s="104"/>
      <c r="CTS307" s="104"/>
      <c r="CTT307" s="104"/>
      <c r="CTU307" s="104"/>
      <c r="CTV307" s="104"/>
      <c r="CTW307" s="104"/>
      <c r="CTX307" s="104"/>
      <c r="CTY307" s="104"/>
      <c r="CTZ307" s="104"/>
      <c r="CUA307" s="104"/>
      <c r="CUB307" s="104"/>
      <c r="CUC307" s="104"/>
      <c r="CUD307" s="104"/>
      <c r="CUE307" s="104"/>
      <c r="CUF307" s="104"/>
      <c r="CUG307" s="104"/>
      <c r="CUH307" s="104"/>
      <c r="CUI307" s="104"/>
      <c r="CUJ307" s="104"/>
      <c r="CUK307" s="104"/>
      <c r="CUL307" s="104"/>
      <c r="CUM307" s="104"/>
      <c r="CUN307" s="104"/>
      <c r="CUO307" s="104"/>
      <c r="CUP307" s="104"/>
      <c r="CUQ307" s="104"/>
      <c r="CUR307" s="104"/>
      <c r="CUS307" s="104"/>
      <c r="CUT307" s="104"/>
      <c r="CUU307" s="104"/>
      <c r="CUV307" s="104"/>
      <c r="CUW307" s="104"/>
      <c r="CUX307" s="104"/>
      <c r="CUY307" s="104"/>
      <c r="CUZ307" s="104"/>
      <c r="CVA307" s="104"/>
      <c r="CVB307" s="104"/>
      <c r="CVC307" s="104"/>
      <c r="CVD307" s="104"/>
      <c r="CVE307" s="104"/>
      <c r="CVF307" s="104"/>
      <c r="CVG307" s="104"/>
      <c r="CVH307" s="104"/>
      <c r="CVI307" s="104"/>
      <c r="CVJ307" s="104"/>
      <c r="CVK307" s="104"/>
      <c r="CVL307" s="104"/>
      <c r="CVM307" s="104"/>
      <c r="CVN307" s="104"/>
      <c r="CVO307" s="104"/>
      <c r="CVP307" s="104"/>
      <c r="CVQ307" s="104"/>
      <c r="CVR307" s="104"/>
      <c r="CVS307" s="104"/>
      <c r="CVT307" s="104"/>
      <c r="CVU307" s="104"/>
      <c r="CVV307" s="104"/>
      <c r="CVW307" s="104"/>
      <c r="CVX307" s="104"/>
      <c r="CVY307" s="104"/>
      <c r="CVZ307" s="104"/>
      <c r="CWA307" s="104"/>
      <c r="CWB307" s="104"/>
      <c r="CWC307" s="104"/>
      <c r="CWD307" s="104"/>
      <c r="CWE307" s="104"/>
      <c r="CWF307" s="104"/>
      <c r="CWG307" s="104"/>
      <c r="CWH307" s="104"/>
      <c r="CWI307" s="104"/>
      <c r="CWJ307" s="104"/>
      <c r="CWK307" s="104"/>
      <c r="CWL307" s="104"/>
      <c r="CWM307" s="104"/>
      <c r="CWN307" s="104"/>
      <c r="CWO307" s="104"/>
      <c r="CWP307" s="104"/>
      <c r="CWQ307" s="104"/>
      <c r="CWR307" s="104"/>
      <c r="CWS307" s="104"/>
      <c r="CWT307" s="104"/>
      <c r="CWU307" s="104"/>
      <c r="CWV307" s="104"/>
      <c r="CWW307" s="104"/>
      <c r="CWX307" s="104"/>
      <c r="CWY307" s="104"/>
      <c r="CWZ307" s="104"/>
      <c r="CXA307" s="104"/>
      <c r="CXB307" s="104"/>
      <c r="CXC307" s="104"/>
      <c r="CXD307" s="104"/>
      <c r="CXE307" s="104"/>
      <c r="CXF307" s="104"/>
      <c r="CXG307" s="104"/>
      <c r="CXH307" s="104"/>
      <c r="CXI307" s="104"/>
      <c r="CXJ307" s="104"/>
      <c r="CXK307" s="104"/>
      <c r="CXL307" s="104"/>
      <c r="CXM307" s="104"/>
      <c r="CXN307" s="104"/>
      <c r="CXO307" s="104"/>
      <c r="CXP307" s="104"/>
      <c r="CXQ307" s="104"/>
      <c r="CXR307" s="104"/>
      <c r="CXS307" s="104"/>
      <c r="CXT307" s="104"/>
      <c r="CXU307" s="104"/>
      <c r="CXV307" s="104"/>
      <c r="CXW307" s="104"/>
      <c r="CXX307" s="104"/>
      <c r="CXY307" s="104"/>
      <c r="CXZ307" s="104"/>
      <c r="CYA307" s="104"/>
      <c r="CYB307" s="104"/>
      <c r="CYC307" s="104"/>
      <c r="CYD307" s="104"/>
      <c r="CYE307" s="104"/>
      <c r="CYF307" s="104"/>
      <c r="CYG307" s="104"/>
      <c r="CYH307" s="104"/>
      <c r="CYI307" s="104"/>
      <c r="CYJ307" s="104"/>
      <c r="CYK307" s="104"/>
      <c r="CYL307" s="104"/>
      <c r="CYM307" s="104"/>
      <c r="CYN307" s="104"/>
      <c r="CYO307" s="104"/>
      <c r="CYP307" s="104"/>
      <c r="CYQ307" s="104"/>
      <c r="CYR307" s="104"/>
      <c r="CYS307" s="104"/>
      <c r="CYT307" s="104"/>
      <c r="CYU307" s="104"/>
      <c r="CYV307" s="104"/>
      <c r="CYW307" s="104"/>
      <c r="CYX307" s="104"/>
      <c r="CYY307" s="104"/>
      <c r="CYZ307" s="104"/>
      <c r="CZA307" s="104"/>
      <c r="CZB307" s="104"/>
      <c r="CZC307" s="104"/>
      <c r="CZD307" s="104"/>
      <c r="CZE307" s="104"/>
      <c r="CZF307" s="104"/>
      <c r="CZG307" s="104"/>
      <c r="CZH307" s="104"/>
      <c r="CZI307" s="104"/>
      <c r="CZJ307" s="104"/>
      <c r="CZK307" s="104"/>
      <c r="CZL307" s="104"/>
      <c r="CZM307" s="104"/>
      <c r="CZN307" s="104"/>
      <c r="CZO307" s="104"/>
      <c r="CZP307" s="104"/>
      <c r="CZQ307" s="104"/>
      <c r="CZR307" s="104"/>
      <c r="CZS307" s="104"/>
      <c r="CZT307" s="104"/>
      <c r="CZU307" s="104"/>
      <c r="CZV307" s="104"/>
      <c r="CZW307" s="104"/>
      <c r="CZX307" s="104"/>
      <c r="CZY307" s="104"/>
      <c r="CZZ307" s="104"/>
      <c r="DAA307" s="104"/>
      <c r="DAB307" s="104"/>
      <c r="DAC307" s="104"/>
      <c r="DAD307" s="104"/>
      <c r="DAE307" s="104"/>
      <c r="DAF307" s="104"/>
      <c r="DAG307" s="104"/>
      <c r="DAH307" s="104"/>
      <c r="DAI307" s="104"/>
      <c r="DAJ307" s="104"/>
      <c r="DAK307" s="104"/>
      <c r="DAL307" s="104"/>
      <c r="DAM307" s="104"/>
      <c r="DAN307" s="104"/>
      <c r="DAO307" s="104"/>
      <c r="DAP307" s="104"/>
      <c r="DAQ307" s="104"/>
      <c r="DAR307" s="104"/>
      <c r="DAS307" s="104"/>
      <c r="DAT307" s="104"/>
      <c r="DAU307" s="104"/>
      <c r="DAV307" s="104"/>
      <c r="DAW307" s="104"/>
      <c r="DAX307" s="104"/>
      <c r="DAY307" s="104"/>
      <c r="DAZ307" s="104"/>
      <c r="DBA307" s="104"/>
      <c r="DBB307" s="104"/>
      <c r="DBC307" s="104"/>
      <c r="DBD307" s="104"/>
      <c r="DBE307" s="104"/>
      <c r="DBF307" s="104"/>
      <c r="DBG307" s="104"/>
      <c r="DBH307" s="104"/>
      <c r="DBI307" s="104"/>
      <c r="DBJ307" s="104"/>
      <c r="DBK307" s="104"/>
      <c r="DBL307" s="104"/>
      <c r="DBM307" s="104"/>
      <c r="DBN307" s="104"/>
      <c r="DBO307" s="104"/>
      <c r="DBP307" s="104"/>
      <c r="DBQ307" s="104"/>
      <c r="DBR307" s="104"/>
      <c r="DBS307" s="104"/>
      <c r="DBT307" s="104"/>
      <c r="DBU307" s="104"/>
      <c r="DBV307" s="104"/>
      <c r="DBW307" s="104"/>
      <c r="DBX307" s="104"/>
      <c r="DBY307" s="104"/>
      <c r="DBZ307" s="104"/>
      <c r="DCA307" s="104"/>
      <c r="DCB307" s="104"/>
      <c r="DCC307" s="104"/>
      <c r="DCD307" s="104"/>
      <c r="DCE307" s="104"/>
      <c r="DCF307" s="104"/>
      <c r="DCG307" s="104"/>
      <c r="DCH307" s="104"/>
      <c r="DCI307" s="104"/>
      <c r="DCJ307" s="104"/>
      <c r="DCK307" s="104"/>
      <c r="DCL307" s="104"/>
      <c r="DCM307" s="104"/>
      <c r="DCN307" s="104"/>
      <c r="DCO307" s="104"/>
      <c r="DCP307" s="104"/>
      <c r="DCQ307" s="104"/>
      <c r="DCR307" s="104"/>
      <c r="DCS307" s="104"/>
      <c r="DCT307" s="104"/>
      <c r="DCU307" s="104"/>
      <c r="DCV307" s="104"/>
      <c r="DCW307" s="104"/>
      <c r="DCX307" s="104"/>
      <c r="DCY307" s="104"/>
      <c r="DCZ307" s="104"/>
      <c r="DDA307" s="104"/>
      <c r="DDB307" s="104"/>
      <c r="DDC307" s="104"/>
      <c r="DDD307" s="104"/>
      <c r="DDE307" s="104"/>
      <c r="DDF307" s="104"/>
      <c r="DDG307" s="104"/>
      <c r="DDH307" s="104"/>
      <c r="DDI307" s="104"/>
      <c r="DDJ307" s="104"/>
      <c r="DDK307" s="104"/>
      <c r="DDL307" s="104"/>
      <c r="DDM307" s="104"/>
      <c r="DDN307" s="104"/>
      <c r="DDO307" s="104"/>
      <c r="DDP307" s="104"/>
      <c r="DDQ307" s="104"/>
      <c r="DDR307" s="104"/>
      <c r="DDS307" s="104"/>
      <c r="DDT307" s="104"/>
      <c r="DDU307" s="104"/>
      <c r="DDV307" s="104"/>
      <c r="DDW307" s="104"/>
      <c r="DDX307" s="104"/>
      <c r="DDY307" s="104"/>
      <c r="DDZ307" s="104"/>
      <c r="DEA307" s="104"/>
      <c r="DEB307" s="104"/>
      <c r="DEC307" s="104"/>
      <c r="DED307" s="104"/>
      <c r="DEE307" s="104"/>
      <c r="DEF307" s="104"/>
      <c r="DEG307" s="104"/>
      <c r="DEH307" s="104"/>
      <c r="DEI307" s="104"/>
      <c r="DEJ307" s="104"/>
      <c r="DEK307" s="104"/>
      <c r="DEL307" s="104"/>
      <c r="DEM307" s="104"/>
      <c r="DEN307" s="104"/>
      <c r="DEO307" s="104"/>
      <c r="DEP307" s="104"/>
      <c r="DEQ307" s="104"/>
      <c r="DER307" s="104"/>
      <c r="DES307" s="104"/>
      <c r="DET307" s="104"/>
      <c r="DEU307" s="104"/>
      <c r="DEV307" s="104"/>
      <c r="DEW307" s="104"/>
      <c r="DEX307" s="104"/>
      <c r="DEY307" s="104"/>
      <c r="DEZ307" s="104"/>
      <c r="DFA307" s="104"/>
      <c r="DFB307" s="104"/>
      <c r="DFC307" s="104"/>
      <c r="DFD307" s="104"/>
      <c r="DFE307" s="104"/>
      <c r="DFF307" s="104"/>
      <c r="DFG307" s="104"/>
      <c r="DFH307" s="104"/>
      <c r="DFI307" s="104"/>
      <c r="DFJ307" s="104"/>
      <c r="DFK307" s="104"/>
      <c r="DFL307" s="104"/>
      <c r="DFM307" s="104"/>
      <c r="DFN307" s="104"/>
      <c r="DFO307" s="104"/>
      <c r="DFP307" s="104"/>
      <c r="DFQ307" s="104"/>
      <c r="DFR307" s="104"/>
      <c r="DFS307" s="104"/>
      <c r="DFT307" s="104"/>
      <c r="DFU307" s="104"/>
      <c r="DFV307" s="104"/>
      <c r="DFW307" s="104"/>
      <c r="DFX307" s="104"/>
      <c r="DFY307" s="104"/>
      <c r="DFZ307" s="104"/>
      <c r="DGA307" s="104"/>
      <c r="DGB307" s="104"/>
      <c r="DGC307" s="104"/>
      <c r="DGD307" s="104"/>
      <c r="DGE307" s="104"/>
      <c r="DGF307" s="104"/>
      <c r="DGG307" s="104"/>
      <c r="DGH307" s="104"/>
      <c r="DGI307" s="104"/>
      <c r="DGJ307" s="104"/>
      <c r="DGK307" s="104"/>
      <c r="DGL307" s="104"/>
      <c r="DGM307" s="104"/>
      <c r="DGN307" s="104"/>
      <c r="DGO307" s="104"/>
      <c r="DGP307" s="104"/>
      <c r="DGQ307" s="104"/>
      <c r="DGR307" s="104"/>
      <c r="DGS307" s="104"/>
      <c r="DGT307" s="104"/>
      <c r="DGU307" s="104"/>
      <c r="DGV307" s="104"/>
      <c r="DGW307" s="104"/>
      <c r="DGX307" s="104"/>
      <c r="DGY307" s="104"/>
      <c r="DGZ307" s="104"/>
      <c r="DHA307" s="104"/>
      <c r="DHB307" s="104"/>
      <c r="DHC307" s="104"/>
      <c r="DHD307" s="104"/>
      <c r="DHE307" s="104"/>
      <c r="DHF307" s="104"/>
      <c r="DHG307" s="104"/>
      <c r="DHH307" s="104"/>
      <c r="DHI307" s="104"/>
      <c r="DHJ307" s="104"/>
      <c r="DHK307" s="104"/>
      <c r="DHL307" s="104"/>
      <c r="DHM307" s="104"/>
      <c r="DHN307" s="104"/>
      <c r="DHO307" s="104"/>
      <c r="DHP307" s="104"/>
      <c r="DHQ307" s="104"/>
      <c r="DHR307" s="104"/>
      <c r="DHS307" s="104"/>
      <c r="DHT307" s="104"/>
      <c r="DHU307" s="104"/>
      <c r="DHV307" s="104"/>
      <c r="DHW307" s="104"/>
      <c r="DHX307" s="104"/>
      <c r="DHY307" s="104"/>
      <c r="DHZ307" s="104"/>
      <c r="DIA307" s="104"/>
      <c r="DIB307" s="104"/>
      <c r="DIC307" s="104"/>
      <c r="DID307" s="104"/>
      <c r="DIE307" s="104"/>
      <c r="DIF307" s="104"/>
      <c r="DIG307" s="104"/>
      <c r="DIH307" s="104"/>
      <c r="DII307" s="104"/>
      <c r="DIJ307" s="104"/>
      <c r="DIK307" s="104"/>
      <c r="DIL307" s="104"/>
      <c r="DIM307" s="104"/>
      <c r="DIN307" s="104"/>
      <c r="DIO307" s="104"/>
      <c r="DIP307" s="104"/>
      <c r="DIQ307" s="104"/>
      <c r="DIR307" s="104"/>
      <c r="DIS307" s="104"/>
      <c r="DIT307" s="104"/>
      <c r="DIU307" s="104"/>
      <c r="DIV307" s="104"/>
      <c r="DIW307" s="104"/>
      <c r="DIX307" s="104"/>
      <c r="DIY307" s="104"/>
      <c r="DIZ307" s="104"/>
      <c r="DJA307" s="104"/>
      <c r="DJB307" s="104"/>
      <c r="DJC307" s="104"/>
      <c r="DJD307" s="104"/>
      <c r="DJE307" s="104"/>
      <c r="DJF307" s="104"/>
      <c r="DJG307" s="104"/>
      <c r="DJH307" s="104"/>
      <c r="DJI307" s="104"/>
      <c r="DJJ307" s="104"/>
      <c r="DJK307" s="104"/>
      <c r="DJL307" s="104"/>
      <c r="DJM307" s="104"/>
      <c r="DJN307" s="104"/>
      <c r="DJO307" s="104"/>
      <c r="DJP307" s="104"/>
      <c r="DJQ307" s="104"/>
      <c r="DJR307" s="104"/>
      <c r="DJS307" s="104"/>
      <c r="DJT307" s="104"/>
      <c r="DJU307" s="104"/>
      <c r="DJV307" s="104"/>
      <c r="DJW307" s="104"/>
      <c r="DJX307" s="104"/>
      <c r="DJY307" s="104"/>
      <c r="DJZ307" s="104"/>
      <c r="DKA307" s="104"/>
      <c r="DKB307" s="104"/>
      <c r="DKC307" s="104"/>
      <c r="DKD307" s="104"/>
      <c r="DKE307" s="104"/>
      <c r="DKF307" s="104"/>
      <c r="DKG307" s="104"/>
      <c r="DKH307" s="104"/>
      <c r="DKI307" s="104"/>
      <c r="DKJ307" s="104"/>
      <c r="DKK307" s="104"/>
      <c r="DKL307" s="104"/>
      <c r="DKM307" s="104"/>
      <c r="DKN307" s="104"/>
      <c r="DKO307" s="104"/>
      <c r="DKP307" s="104"/>
      <c r="DKQ307" s="104"/>
      <c r="DKR307" s="104"/>
      <c r="DKS307" s="104"/>
      <c r="DKT307" s="104"/>
      <c r="DKU307" s="104"/>
      <c r="DKV307" s="104"/>
      <c r="DKW307" s="104"/>
      <c r="DKX307" s="104"/>
      <c r="DKY307" s="104"/>
      <c r="DKZ307" s="104"/>
      <c r="DLA307" s="104"/>
      <c r="DLB307" s="104"/>
      <c r="DLC307" s="104"/>
      <c r="DLD307" s="104"/>
      <c r="DLE307" s="104"/>
      <c r="DLF307" s="104"/>
      <c r="DLG307" s="104"/>
      <c r="DLH307" s="104"/>
      <c r="DLI307" s="104"/>
      <c r="DLJ307" s="104"/>
      <c r="DLK307" s="104"/>
      <c r="DLL307" s="104"/>
      <c r="DLM307" s="104"/>
      <c r="DLN307" s="104"/>
      <c r="DLO307" s="104"/>
      <c r="DLP307" s="104"/>
      <c r="DLQ307" s="104"/>
      <c r="DLR307" s="104"/>
      <c r="DLS307" s="104"/>
      <c r="DLT307" s="104"/>
      <c r="DLU307" s="104"/>
      <c r="DLV307" s="104"/>
      <c r="DLW307" s="104"/>
      <c r="DLX307" s="104"/>
      <c r="DLY307" s="104"/>
      <c r="DLZ307" s="104"/>
      <c r="DMA307" s="104"/>
      <c r="DMB307" s="104"/>
      <c r="DMC307" s="104"/>
      <c r="DMD307" s="104"/>
      <c r="DME307" s="104"/>
      <c r="DMF307" s="104"/>
      <c r="DMG307" s="104"/>
      <c r="DMH307" s="104"/>
      <c r="DMI307" s="104"/>
      <c r="DMJ307" s="104"/>
      <c r="DMK307" s="104"/>
      <c r="DML307" s="104"/>
      <c r="DMM307" s="104"/>
      <c r="DMN307" s="104"/>
      <c r="DMO307" s="104"/>
      <c r="DMP307" s="104"/>
      <c r="DMQ307" s="104"/>
      <c r="DMR307" s="104"/>
      <c r="DMS307" s="104"/>
      <c r="DMT307" s="104"/>
      <c r="DMU307" s="104"/>
      <c r="DMV307" s="104"/>
      <c r="DMW307" s="104"/>
      <c r="DMX307" s="104"/>
      <c r="DMY307" s="104"/>
      <c r="DMZ307" s="104"/>
      <c r="DNA307" s="104"/>
      <c r="DNB307" s="104"/>
      <c r="DNC307" s="104"/>
      <c r="DND307" s="104"/>
      <c r="DNE307" s="104"/>
      <c r="DNF307" s="104"/>
      <c r="DNG307" s="104"/>
      <c r="DNH307" s="104"/>
      <c r="DNI307" s="104"/>
      <c r="DNJ307" s="104"/>
      <c r="DNK307" s="104"/>
      <c r="DNL307" s="104"/>
      <c r="DNM307" s="104"/>
      <c r="DNN307" s="104"/>
      <c r="DNO307" s="104"/>
      <c r="DNP307" s="104"/>
      <c r="DNQ307" s="104"/>
      <c r="DNR307" s="104"/>
      <c r="DNS307" s="104"/>
      <c r="DNT307" s="104"/>
      <c r="DNU307" s="104"/>
      <c r="DNV307" s="104"/>
      <c r="DNW307" s="104"/>
      <c r="DNX307" s="104"/>
      <c r="DNY307" s="104"/>
      <c r="DNZ307" s="104"/>
      <c r="DOA307" s="104"/>
      <c r="DOB307" s="104"/>
      <c r="DOC307" s="104"/>
      <c r="DOD307" s="104"/>
      <c r="DOE307" s="104"/>
      <c r="DOF307" s="104"/>
      <c r="DOG307" s="104"/>
      <c r="DOH307" s="104"/>
      <c r="DOI307" s="104"/>
      <c r="DOJ307" s="104"/>
      <c r="DOK307" s="104"/>
      <c r="DOL307" s="104"/>
      <c r="DOM307" s="104"/>
      <c r="DON307" s="104"/>
      <c r="DOO307" s="104"/>
      <c r="DOP307" s="104"/>
      <c r="DOQ307" s="104"/>
      <c r="DOR307" s="104"/>
      <c r="DOS307" s="104"/>
      <c r="DOT307" s="104"/>
      <c r="DOU307" s="104"/>
      <c r="DOV307" s="104"/>
      <c r="DOW307" s="104"/>
      <c r="DOX307" s="104"/>
      <c r="DOY307" s="104"/>
      <c r="DOZ307" s="104"/>
      <c r="DPA307" s="104"/>
      <c r="DPB307" s="104"/>
      <c r="DPC307" s="104"/>
      <c r="DPD307" s="104"/>
      <c r="DPE307" s="104"/>
      <c r="DPF307" s="104"/>
      <c r="DPG307" s="104"/>
      <c r="DPH307" s="104"/>
      <c r="DPI307" s="104"/>
      <c r="DPJ307" s="104"/>
      <c r="DPK307" s="104"/>
      <c r="DPL307" s="104"/>
      <c r="DPM307" s="104"/>
      <c r="DPN307" s="104"/>
      <c r="DPO307" s="104"/>
      <c r="DPP307" s="104"/>
      <c r="DPQ307" s="104"/>
      <c r="DPR307" s="104"/>
      <c r="DPS307" s="104"/>
      <c r="DPT307" s="104"/>
      <c r="DPU307" s="104"/>
      <c r="DPV307" s="104"/>
      <c r="DPW307" s="104"/>
      <c r="DPX307" s="104"/>
      <c r="DPY307" s="104"/>
      <c r="DPZ307" s="104"/>
      <c r="DQA307" s="104"/>
      <c r="DQB307" s="104"/>
      <c r="DQC307" s="104"/>
      <c r="DQD307" s="104"/>
      <c r="DQE307" s="104"/>
      <c r="DQF307" s="104"/>
      <c r="DQG307" s="104"/>
      <c r="DQH307" s="104"/>
      <c r="DQI307" s="104"/>
      <c r="DQJ307" s="104"/>
      <c r="DQK307" s="104"/>
      <c r="DQL307" s="104"/>
      <c r="DQM307" s="104"/>
      <c r="DQN307" s="104"/>
      <c r="DQO307" s="104"/>
      <c r="DQP307" s="104"/>
      <c r="DQQ307" s="104"/>
      <c r="DQR307" s="104"/>
      <c r="DQS307" s="104"/>
      <c r="DQT307" s="104"/>
      <c r="DQU307" s="104"/>
      <c r="DQV307" s="104"/>
      <c r="DQW307" s="104"/>
      <c r="DQX307" s="104"/>
      <c r="DQY307" s="104"/>
      <c r="DQZ307" s="104"/>
      <c r="DRA307" s="104"/>
      <c r="DRB307" s="104"/>
      <c r="DRC307" s="104"/>
      <c r="DRD307" s="104"/>
      <c r="DRE307" s="104"/>
      <c r="DRF307" s="104"/>
      <c r="DRG307" s="104"/>
      <c r="DRH307" s="104"/>
      <c r="DRI307" s="104"/>
      <c r="DRJ307" s="104"/>
      <c r="DRK307" s="104"/>
      <c r="DRL307" s="104"/>
      <c r="DRM307" s="104"/>
      <c r="DRN307" s="104"/>
      <c r="DRO307" s="104"/>
      <c r="DRP307" s="104"/>
      <c r="DRQ307" s="104"/>
      <c r="DRR307" s="104"/>
      <c r="DRS307" s="104"/>
      <c r="DRT307" s="104"/>
      <c r="DRU307" s="104"/>
      <c r="DRV307" s="104"/>
      <c r="DRW307" s="104"/>
      <c r="DRX307" s="104"/>
      <c r="DRY307" s="104"/>
      <c r="DRZ307" s="104"/>
      <c r="DSA307" s="104"/>
      <c r="DSB307" s="104"/>
      <c r="DSC307" s="104"/>
      <c r="DSD307" s="104"/>
      <c r="DSE307" s="104"/>
      <c r="DSF307" s="104"/>
      <c r="DSG307" s="104"/>
      <c r="DSH307" s="104"/>
      <c r="DSI307" s="104"/>
      <c r="DSJ307" s="104"/>
      <c r="DSK307" s="104"/>
      <c r="DSL307" s="104"/>
      <c r="DSM307" s="104"/>
      <c r="DSN307" s="104"/>
      <c r="DSO307" s="104"/>
      <c r="DSP307" s="104"/>
      <c r="DSQ307" s="104"/>
      <c r="DSR307" s="104"/>
      <c r="DSS307" s="104"/>
      <c r="DST307" s="104"/>
      <c r="DSU307" s="104"/>
      <c r="DSV307" s="104"/>
      <c r="DSW307" s="104"/>
      <c r="DSX307" s="104"/>
      <c r="DSY307" s="104"/>
      <c r="DSZ307" s="104"/>
      <c r="DTA307" s="104"/>
      <c r="DTB307" s="104"/>
      <c r="DTC307" s="104"/>
      <c r="DTD307" s="104"/>
      <c r="DTE307" s="104"/>
      <c r="DTF307" s="104"/>
      <c r="DTG307" s="104"/>
      <c r="DTH307" s="104"/>
      <c r="DTI307" s="104"/>
      <c r="DTJ307" s="104"/>
      <c r="DTK307" s="104"/>
      <c r="DTL307" s="104"/>
      <c r="DTM307" s="104"/>
      <c r="DTN307" s="104"/>
      <c r="DTO307" s="104"/>
      <c r="DTP307" s="104"/>
      <c r="DTQ307" s="104"/>
      <c r="DTR307" s="104"/>
      <c r="DTS307" s="104"/>
      <c r="DTT307" s="104"/>
      <c r="DTU307" s="104"/>
      <c r="DTV307" s="104"/>
      <c r="DTW307" s="104"/>
      <c r="DTX307" s="104"/>
      <c r="DTY307" s="104"/>
      <c r="DTZ307" s="104"/>
      <c r="DUA307" s="104"/>
      <c r="DUB307" s="104"/>
      <c r="DUC307" s="104"/>
      <c r="DUD307" s="104"/>
      <c r="DUE307" s="104"/>
      <c r="DUF307" s="104"/>
      <c r="DUG307" s="104"/>
      <c r="DUH307" s="104"/>
      <c r="DUI307" s="104"/>
      <c r="DUJ307" s="104"/>
      <c r="DUK307" s="104"/>
      <c r="DUL307" s="104"/>
      <c r="DUM307" s="104"/>
      <c r="DUN307" s="104"/>
      <c r="DUO307" s="104"/>
      <c r="DUP307" s="104"/>
      <c r="DUQ307" s="104"/>
      <c r="DUR307" s="104"/>
      <c r="DUS307" s="104"/>
      <c r="DUT307" s="104"/>
      <c r="DUU307" s="104"/>
      <c r="DUV307" s="104"/>
      <c r="DUW307" s="104"/>
      <c r="DUX307" s="104"/>
      <c r="DUY307" s="104"/>
      <c r="DUZ307" s="104"/>
      <c r="DVA307" s="104"/>
      <c r="DVB307" s="104"/>
      <c r="DVC307" s="104"/>
      <c r="DVD307" s="104"/>
      <c r="DVE307" s="104"/>
      <c r="DVF307" s="104"/>
      <c r="DVG307" s="104"/>
      <c r="DVH307" s="104"/>
      <c r="DVI307" s="104"/>
      <c r="DVJ307" s="104"/>
      <c r="DVK307" s="104"/>
      <c r="DVL307" s="104"/>
      <c r="DVM307" s="104"/>
      <c r="DVN307" s="104"/>
      <c r="DVO307" s="104"/>
      <c r="DVP307" s="104"/>
      <c r="DVQ307" s="104"/>
      <c r="DVR307" s="104"/>
      <c r="DVS307" s="104"/>
      <c r="DVT307" s="104"/>
      <c r="DVU307" s="104"/>
      <c r="DVV307" s="104"/>
      <c r="DVW307" s="104"/>
      <c r="DVX307" s="104"/>
      <c r="DVY307" s="104"/>
      <c r="DVZ307" s="104"/>
      <c r="DWA307" s="104"/>
      <c r="DWB307" s="104"/>
      <c r="DWC307" s="104"/>
      <c r="DWD307" s="104"/>
      <c r="DWE307" s="104"/>
      <c r="DWF307" s="104"/>
      <c r="DWG307" s="104"/>
      <c r="DWH307" s="104"/>
      <c r="DWI307" s="104"/>
      <c r="DWJ307" s="104"/>
      <c r="DWK307" s="104"/>
      <c r="DWL307" s="104"/>
      <c r="DWM307" s="104"/>
      <c r="DWN307" s="104"/>
      <c r="DWO307" s="104"/>
      <c r="DWP307" s="104"/>
      <c r="DWQ307" s="104"/>
      <c r="DWR307" s="104"/>
      <c r="DWS307" s="104"/>
      <c r="DWT307" s="104"/>
      <c r="DWU307" s="104"/>
      <c r="DWV307" s="104"/>
      <c r="DWW307" s="104"/>
      <c r="DWX307" s="104"/>
      <c r="DWY307" s="104"/>
      <c r="DWZ307" s="104"/>
      <c r="DXA307" s="104"/>
      <c r="DXB307" s="104"/>
      <c r="DXC307" s="104"/>
      <c r="DXD307" s="104"/>
      <c r="DXE307" s="104"/>
      <c r="DXF307" s="104"/>
      <c r="DXG307" s="104"/>
      <c r="DXH307" s="104"/>
      <c r="DXI307" s="104"/>
      <c r="DXJ307" s="104"/>
      <c r="DXK307" s="104"/>
      <c r="DXL307" s="104"/>
      <c r="DXM307" s="104"/>
      <c r="DXN307" s="104"/>
      <c r="DXO307" s="104"/>
      <c r="DXP307" s="104"/>
      <c r="DXQ307" s="104"/>
      <c r="DXR307" s="104"/>
      <c r="DXS307" s="104"/>
      <c r="DXT307" s="104"/>
      <c r="DXU307" s="104"/>
      <c r="DXV307" s="104"/>
      <c r="DXW307" s="104"/>
      <c r="DXX307" s="104"/>
      <c r="DXY307" s="104"/>
      <c r="DXZ307" s="104"/>
      <c r="DYA307" s="104"/>
      <c r="DYB307" s="104"/>
      <c r="DYC307" s="104"/>
      <c r="DYD307" s="104"/>
      <c r="DYE307" s="104"/>
      <c r="DYF307" s="104"/>
      <c r="DYG307" s="104"/>
      <c r="DYH307" s="104"/>
      <c r="DYI307" s="104"/>
      <c r="DYJ307" s="104"/>
      <c r="DYK307" s="104"/>
      <c r="DYL307" s="104"/>
      <c r="DYM307" s="104"/>
      <c r="DYN307" s="104"/>
      <c r="DYO307" s="104"/>
      <c r="DYP307" s="104"/>
      <c r="DYQ307" s="104"/>
      <c r="DYR307" s="104"/>
      <c r="DYS307" s="104"/>
      <c r="DYT307" s="104"/>
      <c r="DYU307" s="104"/>
      <c r="DYV307" s="104"/>
      <c r="DYW307" s="104"/>
      <c r="DYX307" s="104"/>
      <c r="DYY307" s="104"/>
      <c r="DYZ307" s="104"/>
      <c r="DZA307" s="104"/>
      <c r="DZB307" s="104"/>
      <c r="DZC307" s="104"/>
      <c r="DZD307" s="104"/>
      <c r="DZE307" s="104"/>
      <c r="DZF307" s="104"/>
      <c r="DZG307" s="104"/>
      <c r="DZH307" s="104"/>
      <c r="DZI307" s="104"/>
      <c r="DZJ307" s="104"/>
      <c r="DZK307" s="104"/>
      <c r="DZL307" s="104"/>
      <c r="DZM307" s="104"/>
      <c r="DZN307" s="104"/>
      <c r="DZO307" s="104"/>
      <c r="DZP307" s="104"/>
      <c r="DZQ307" s="104"/>
      <c r="DZR307" s="104"/>
      <c r="DZS307" s="104"/>
      <c r="DZT307" s="104"/>
      <c r="DZU307" s="104"/>
      <c r="DZV307" s="104"/>
      <c r="DZW307" s="104"/>
      <c r="DZX307" s="104"/>
      <c r="DZY307" s="104"/>
      <c r="DZZ307" s="104"/>
      <c r="EAA307" s="104"/>
      <c r="EAB307" s="104"/>
      <c r="EAC307" s="104"/>
      <c r="EAD307" s="104"/>
      <c r="EAE307" s="104"/>
      <c r="EAF307" s="104"/>
      <c r="EAG307" s="104"/>
      <c r="EAH307" s="104"/>
      <c r="EAI307" s="104"/>
      <c r="EAJ307" s="104"/>
      <c r="EAK307" s="104"/>
      <c r="EAL307" s="104"/>
      <c r="EAM307" s="104"/>
      <c r="EAN307" s="104"/>
      <c r="EAO307" s="104"/>
      <c r="EAP307" s="104"/>
      <c r="EAQ307" s="104"/>
      <c r="EAR307" s="104"/>
      <c r="EAS307" s="104"/>
      <c r="EAT307" s="104"/>
      <c r="EAU307" s="104"/>
      <c r="EAV307" s="104"/>
      <c r="EAW307" s="104"/>
      <c r="EAX307" s="104"/>
      <c r="EAY307" s="104"/>
      <c r="EAZ307" s="104"/>
      <c r="EBA307" s="104"/>
      <c r="EBB307" s="104"/>
      <c r="EBC307" s="104"/>
      <c r="EBD307" s="104"/>
      <c r="EBE307" s="104"/>
      <c r="EBF307" s="104"/>
      <c r="EBG307" s="104"/>
      <c r="EBH307" s="104"/>
      <c r="EBI307" s="104"/>
      <c r="EBJ307" s="104"/>
      <c r="EBK307" s="104"/>
      <c r="EBL307" s="104"/>
      <c r="EBM307" s="104"/>
      <c r="EBN307" s="104"/>
      <c r="EBO307" s="104"/>
      <c r="EBP307" s="104"/>
      <c r="EBQ307" s="104"/>
      <c r="EBR307" s="104"/>
      <c r="EBS307" s="104"/>
      <c r="EBT307" s="104"/>
      <c r="EBU307" s="104"/>
      <c r="EBV307" s="104"/>
      <c r="EBW307" s="104"/>
      <c r="EBX307" s="104"/>
      <c r="EBY307" s="104"/>
      <c r="EBZ307" s="104"/>
      <c r="ECA307" s="104"/>
      <c r="ECB307" s="104"/>
      <c r="ECC307" s="104"/>
      <c r="ECD307" s="104"/>
      <c r="ECE307" s="104"/>
      <c r="ECF307" s="104"/>
      <c r="ECG307" s="104"/>
      <c r="ECH307" s="104"/>
      <c r="ECI307" s="104"/>
      <c r="ECJ307" s="104"/>
      <c r="ECK307" s="104"/>
      <c r="ECL307" s="104"/>
      <c r="ECM307" s="104"/>
      <c r="ECN307" s="104"/>
      <c r="ECO307" s="104"/>
      <c r="ECP307" s="104"/>
      <c r="ECQ307" s="104"/>
      <c r="ECR307" s="104"/>
      <c r="ECS307" s="104"/>
      <c r="ECT307" s="104"/>
      <c r="ECU307" s="104"/>
      <c r="ECV307" s="104"/>
      <c r="ECW307" s="104"/>
      <c r="ECX307" s="104"/>
      <c r="ECY307" s="104"/>
      <c r="ECZ307" s="104"/>
      <c r="EDA307" s="104"/>
      <c r="EDB307" s="104"/>
      <c r="EDC307" s="104"/>
      <c r="EDD307" s="104"/>
      <c r="EDE307" s="104"/>
      <c r="EDF307" s="104"/>
      <c r="EDG307" s="104"/>
      <c r="EDH307" s="104"/>
      <c r="EDI307" s="104"/>
      <c r="EDJ307" s="104"/>
      <c r="EDK307" s="104"/>
      <c r="EDL307" s="104"/>
      <c r="EDM307" s="104"/>
      <c r="EDN307" s="104"/>
      <c r="EDO307" s="104"/>
      <c r="EDP307" s="104"/>
      <c r="EDQ307" s="104"/>
      <c r="EDR307" s="104"/>
      <c r="EDS307" s="104"/>
      <c r="EDT307" s="104"/>
      <c r="EDU307" s="104"/>
      <c r="EDV307" s="104"/>
      <c r="EDW307" s="104"/>
      <c r="EDX307" s="104"/>
      <c r="EDY307" s="104"/>
      <c r="EDZ307" s="104"/>
      <c r="EEA307" s="104"/>
      <c r="EEB307" s="104"/>
      <c r="EEC307" s="104"/>
      <c r="EED307" s="104"/>
      <c r="EEE307" s="104"/>
      <c r="EEF307" s="104"/>
      <c r="EEG307" s="104"/>
      <c r="EEH307" s="104"/>
      <c r="EEI307" s="104"/>
      <c r="EEJ307" s="104"/>
      <c r="EEK307" s="104"/>
      <c r="EEL307" s="104"/>
      <c r="EEM307" s="104"/>
      <c r="EEN307" s="104"/>
      <c r="EEO307" s="104"/>
      <c r="EEP307" s="104"/>
      <c r="EEQ307" s="104"/>
      <c r="EER307" s="104"/>
      <c r="EES307" s="104"/>
      <c r="EET307" s="104"/>
      <c r="EEU307" s="104"/>
      <c r="EEV307" s="104"/>
      <c r="EEW307" s="104"/>
      <c r="EEX307" s="104"/>
      <c r="EEY307" s="104"/>
      <c r="EEZ307" s="104"/>
      <c r="EFA307" s="104"/>
      <c r="EFB307" s="104"/>
      <c r="EFC307" s="104"/>
      <c r="EFD307" s="104"/>
      <c r="EFE307" s="104"/>
      <c r="EFF307" s="104"/>
      <c r="EFG307" s="104"/>
      <c r="EFH307" s="104"/>
      <c r="EFI307" s="104"/>
      <c r="EFJ307" s="104"/>
      <c r="EFK307" s="104"/>
      <c r="EFL307" s="104"/>
      <c r="EFM307" s="104"/>
      <c r="EFN307" s="104"/>
      <c r="EFO307" s="104"/>
      <c r="EFP307" s="104"/>
      <c r="EFQ307" s="104"/>
      <c r="EFR307" s="104"/>
      <c r="EFS307" s="104"/>
      <c r="EFT307" s="104"/>
      <c r="EFU307" s="104"/>
      <c r="EFV307" s="104"/>
      <c r="EFW307" s="104"/>
      <c r="EFX307" s="104"/>
      <c r="EFY307" s="104"/>
      <c r="EFZ307" s="104"/>
      <c r="EGA307" s="104"/>
      <c r="EGB307" s="104"/>
      <c r="EGC307" s="104"/>
      <c r="EGD307" s="104"/>
      <c r="EGE307" s="104"/>
      <c r="EGF307" s="104"/>
      <c r="EGG307" s="104"/>
      <c r="EGH307" s="104"/>
      <c r="EGI307" s="104"/>
      <c r="EGJ307" s="104"/>
      <c r="EGK307" s="104"/>
      <c r="EGL307" s="104"/>
      <c r="EGM307" s="104"/>
      <c r="EGN307" s="104"/>
      <c r="EGO307" s="104"/>
      <c r="EGP307" s="104"/>
      <c r="EGQ307" s="104"/>
      <c r="EGR307" s="104"/>
      <c r="EGS307" s="104"/>
      <c r="EGT307" s="104"/>
      <c r="EGU307" s="104"/>
      <c r="EGV307" s="104"/>
      <c r="EGW307" s="104"/>
      <c r="EGX307" s="104"/>
      <c r="EGY307" s="104"/>
      <c r="EGZ307" s="104"/>
      <c r="EHA307" s="104"/>
      <c r="EHB307" s="104"/>
      <c r="EHC307" s="104"/>
      <c r="EHD307" s="104"/>
      <c r="EHE307" s="104"/>
      <c r="EHF307" s="104"/>
      <c r="EHG307" s="104"/>
      <c r="EHH307" s="104"/>
      <c r="EHI307" s="104"/>
      <c r="EHJ307" s="104"/>
      <c r="EHK307" s="104"/>
      <c r="EHL307" s="104"/>
      <c r="EHM307" s="104"/>
      <c r="EHN307" s="104"/>
      <c r="EHO307" s="104"/>
      <c r="EHP307" s="104"/>
      <c r="EHQ307" s="104"/>
      <c r="EHR307" s="104"/>
      <c r="EHS307" s="104"/>
      <c r="EHT307" s="104"/>
      <c r="EHU307" s="104"/>
      <c r="EHV307" s="104"/>
      <c r="EHW307" s="104"/>
      <c r="EHX307" s="104"/>
      <c r="EHY307" s="104"/>
      <c r="EHZ307" s="104"/>
      <c r="EIA307" s="104"/>
      <c r="EIB307" s="104"/>
      <c r="EIC307" s="104"/>
      <c r="EID307" s="104"/>
      <c r="EIE307" s="104"/>
      <c r="EIF307" s="104"/>
      <c r="EIG307" s="104"/>
      <c r="EIH307" s="104"/>
      <c r="EII307" s="104"/>
      <c r="EIJ307" s="104"/>
      <c r="EIK307" s="104"/>
      <c r="EIL307" s="104"/>
      <c r="EIM307" s="104"/>
      <c r="EIN307" s="104"/>
      <c r="EIO307" s="104"/>
      <c r="EIP307" s="104"/>
      <c r="EIQ307" s="104"/>
      <c r="EIR307" s="104"/>
      <c r="EIS307" s="104"/>
      <c r="EIT307" s="104"/>
      <c r="EIU307" s="104"/>
      <c r="EIV307" s="104"/>
      <c r="EIW307" s="104"/>
      <c r="EIX307" s="104"/>
      <c r="EIY307" s="104"/>
      <c r="EIZ307" s="104"/>
      <c r="EJA307" s="104"/>
      <c r="EJB307" s="104"/>
      <c r="EJC307" s="104"/>
      <c r="EJD307" s="104"/>
      <c r="EJE307" s="104"/>
      <c r="EJF307" s="104"/>
      <c r="EJG307" s="104"/>
      <c r="EJH307" s="104"/>
      <c r="EJI307" s="104"/>
      <c r="EJJ307" s="104"/>
      <c r="EJK307" s="104"/>
      <c r="EJL307" s="104"/>
      <c r="EJM307" s="104"/>
      <c r="EJN307" s="104"/>
      <c r="EJO307" s="104"/>
      <c r="EJP307" s="104"/>
      <c r="EJQ307" s="104"/>
      <c r="EJR307" s="104"/>
      <c r="EJS307" s="104"/>
      <c r="EJT307" s="104"/>
      <c r="EJU307" s="104"/>
      <c r="EJV307" s="104"/>
      <c r="EJW307" s="104"/>
      <c r="EJX307" s="104"/>
      <c r="EJY307" s="104"/>
      <c r="EJZ307" s="104"/>
      <c r="EKA307" s="104"/>
      <c r="EKB307" s="104"/>
      <c r="EKC307" s="104"/>
      <c r="EKD307" s="104"/>
      <c r="EKE307" s="104"/>
      <c r="EKF307" s="104"/>
      <c r="EKG307" s="104"/>
      <c r="EKH307" s="104"/>
      <c r="EKI307" s="104"/>
      <c r="EKJ307" s="104"/>
      <c r="EKK307" s="104"/>
      <c r="EKL307" s="104"/>
      <c r="EKM307" s="104"/>
      <c r="EKN307" s="104"/>
      <c r="EKO307" s="104"/>
      <c r="EKP307" s="104"/>
      <c r="EKQ307" s="104"/>
      <c r="EKR307" s="104"/>
      <c r="EKS307" s="104"/>
      <c r="EKT307" s="104"/>
      <c r="EKU307" s="104"/>
      <c r="EKV307" s="104"/>
      <c r="EKW307" s="104"/>
      <c r="EKX307" s="104"/>
      <c r="EKY307" s="104"/>
      <c r="EKZ307" s="104"/>
      <c r="ELA307" s="104"/>
      <c r="ELB307" s="104"/>
      <c r="ELC307" s="104"/>
      <c r="ELD307" s="104"/>
      <c r="ELE307" s="104"/>
      <c r="ELF307" s="104"/>
      <c r="ELG307" s="104"/>
      <c r="ELH307" s="104"/>
      <c r="ELI307" s="104"/>
      <c r="ELJ307" s="104"/>
      <c r="ELK307" s="104"/>
      <c r="ELL307" s="104"/>
      <c r="ELM307" s="104"/>
      <c r="ELN307" s="104"/>
      <c r="ELO307" s="104"/>
      <c r="ELP307" s="104"/>
      <c r="ELQ307" s="104"/>
      <c r="ELR307" s="104"/>
      <c r="ELS307" s="104"/>
      <c r="ELT307" s="104"/>
      <c r="ELU307" s="104"/>
      <c r="ELV307" s="104"/>
      <c r="ELW307" s="104"/>
      <c r="ELX307" s="104"/>
      <c r="ELY307" s="104"/>
      <c r="ELZ307" s="104"/>
      <c r="EMA307" s="104"/>
      <c r="EMB307" s="104"/>
      <c r="EMC307" s="104"/>
      <c r="EMD307" s="104"/>
      <c r="EME307" s="104"/>
      <c r="EMF307" s="104"/>
      <c r="EMG307" s="104"/>
      <c r="EMH307" s="104"/>
      <c r="EMI307" s="104"/>
      <c r="EMJ307" s="104"/>
      <c r="EMK307" s="104"/>
      <c r="EML307" s="104"/>
      <c r="EMM307" s="104"/>
      <c r="EMN307" s="104"/>
      <c r="EMO307" s="104"/>
      <c r="EMP307" s="104"/>
      <c r="EMQ307" s="104"/>
      <c r="EMR307" s="104"/>
      <c r="EMS307" s="104"/>
      <c r="EMT307" s="104"/>
      <c r="EMU307" s="104"/>
      <c r="EMV307" s="104"/>
      <c r="EMW307" s="104"/>
      <c r="EMX307" s="104"/>
      <c r="EMY307" s="104"/>
      <c r="EMZ307" s="104"/>
      <c r="ENA307" s="104"/>
      <c r="ENB307" s="104"/>
      <c r="ENC307" s="104"/>
      <c r="END307" s="104"/>
      <c r="ENE307" s="104"/>
      <c r="ENF307" s="104"/>
      <c r="ENG307" s="104"/>
      <c r="ENH307" s="104"/>
      <c r="ENI307" s="104"/>
      <c r="ENJ307" s="104"/>
      <c r="ENK307" s="104"/>
      <c r="ENL307" s="104"/>
      <c r="ENM307" s="104"/>
      <c r="ENN307" s="104"/>
      <c r="ENO307" s="104"/>
      <c r="ENP307" s="104"/>
      <c r="ENQ307" s="104"/>
      <c r="ENR307" s="104"/>
      <c r="ENS307" s="104"/>
      <c r="ENT307" s="104"/>
      <c r="ENU307" s="104"/>
      <c r="ENV307" s="104"/>
      <c r="ENW307" s="104"/>
      <c r="ENX307" s="104"/>
      <c r="ENY307" s="104"/>
      <c r="ENZ307" s="104"/>
      <c r="EOA307" s="104"/>
      <c r="EOB307" s="104"/>
      <c r="EOC307" s="104"/>
      <c r="EOD307" s="104"/>
      <c r="EOE307" s="104"/>
      <c r="EOF307" s="104"/>
      <c r="EOG307" s="104"/>
      <c r="EOH307" s="104"/>
      <c r="EOI307" s="104"/>
      <c r="EOJ307" s="104"/>
      <c r="EOK307" s="104"/>
      <c r="EOL307" s="104"/>
      <c r="EOM307" s="104"/>
      <c r="EON307" s="104"/>
      <c r="EOO307" s="104"/>
      <c r="EOP307" s="104"/>
      <c r="EOQ307" s="104"/>
      <c r="EOR307" s="104"/>
      <c r="EOS307" s="104"/>
      <c r="EOT307" s="104"/>
      <c r="EOU307" s="104"/>
      <c r="EOV307" s="104"/>
      <c r="EOW307" s="104"/>
      <c r="EOX307" s="104"/>
      <c r="EOY307" s="104"/>
      <c r="EOZ307" s="104"/>
      <c r="EPA307" s="104"/>
      <c r="EPB307" s="104"/>
      <c r="EPC307" s="104"/>
      <c r="EPD307" s="104"/>
      <c r="EPE307" s="104"/>
      <c r="EPF307" s="104"/>
      <c r="EPG307" s="104"/>
      <c r="EPH307" s="104"/>
      <c r="EPI307" s="104"/>
      <c r="EPJ307" s="104"/>
      <c r="EPK307" s="104"/>
      <c r="EPL307" s="104"/>
      <c r="EPM307" s="104"/>
      <c r="EPN307" s="104"/>
      <c r="EPO307" s="104"/>
      <c r="EPP307" s="104"/>
      <c r="EPQ307" s="104"/>
      <c r="EPR307" s="104"/>
      <c r="EPS307" s="104"/>
      <c r="EPT307" s="104"/>
      <c r="EPU307" s="104"/>
      <c r="EPV307" s="104"/>
      <c r="EPW307" s="104"/>
      <c r="EPX307" s="104"/>
      <c r="EPY307" s="104"/>
      <c r="EPZ307" s="104"/>
      <c r="EQA307" s="104"/>
      <c r="EQB307" s="104"/>
      <c r="EQC307" s="104"/>
      <c r="EQD307" s="104"/>
      <c r="EQE307" s="104"/>
      <c r="EQF307" s="104"/>
      <c r="EQG307" s="104"/>
      <c r="EQH307" s="104"/>
      <c r="EQI307" s="104"/>
      <c r="EQJ307" s="104"/>
      <c r="EQK307" s="104"/>
      <c r="EQL307" s="104"/>
      <c r="EQM307" s="104"/>
      <c r="EQN307" s="104"/>
      <c r="EQO307" s="104"/>
      <c r="EQP307" s="104"/>
      <c r="EQQ307" s="104"/>
      <c r="EQR307" s="104"/>
      <c r="EQS307" s="104"/>
      <c r="EQT307" s="104"/>
      <c r="EQU307" s="104"/>
      <c r="EQV307" s="104"/>
      <c r="EQW307" s="104"/>
      <c r="EQX307" s="104"/>
      <c r="EQY307" s="104"/>
      <c r="EQZ307" s="104"/>
      <c r="ERA307" s="104"/>
      <c r="ERB307" s="104"/>
      <c r="ERC307" s="104"/>
      <c r="ERD307" s="104"/>
      <c r="ERE307" s="104"/>
      <c r="ERF307" s="104"/>
      <c r="ERG307" s="104"/>
      <c r="ERH307" s="104"/>
      <c r="ERI307" s="104"/>
      <c r="ERJ307" s="104"/>
      <c r="ERK307" s="104"/>
      <c r="ERL307" s="104"/>
      <c r="ERM307" s="104"/>
      <c r="ERN307" s="104"/>
      <c r="ERO307" s="104"/>
      <c r="ERP307" s="104"/>
      <c r="ERQ307" s="104"/>
      <c r="ERR307" s="104"/>
      <c r="ERS307" s="104"/>
      <c r="ERT307" s="104"/>
      <c r="ERU307" s="104"/>
      <c r="ERV307" s="104"/>
      <c r="ERW307" s="104"/>
      <c r="ERX307" s="104"/>
      <c r="ERY307" s="104"/>
      <c r="ERZ307" s="104"/>
      <c r="ESA307" s="104"/>
      <c r="ESB307" s="104"/>
      <c r="ESC307" s="104"/>
      <c r="ESD307" s="104"/>
      <c r="ESE307" s="104"/>
      <c r="ESF307" s="104"/>
      <c r="ESG307" s="104"/>
      <c r="ESH307" s="104"/>
      <c r="ESI307" s="104"/>
      <c r="ESJ307" s="104"/>
      <c r="ESK307" s="104"/>
      <c r="ESL307" s="104"/>
      <c r="ESM307" s="104"/>
      <c r="ESN307" s="104"/>
      <c r="ESO307" s="104"/>
      <c r="ESP307" s="104"/>
      <c r="ESQ307" s="104"/>
      <c r="ESR307" s="104"/>
      <c r="ESS307" s="104"/>
      <c r="EST307" s="104"/>
      <c r="ESU307" s="104"/>
      <c r="ESV307" s="104"/>
      <c r="ESW307" s="104"/>
      <c r="ESX307" s="104"/>
      <c r="ESY307" s="104"/>
      <c r="ESZ307" s="104"/>
      <c r="ETA307" s="104"/>
      <c r="ETB307" s="104"/>
      <c r="ETC307" s="104"/>
      <c r="ETD307" s="104"/>
      <c r="ETE307" s="104"/>
      <c r="ETF307" s="104"/>
      <c r="ETG307" s="104"/>
      <c r="ETH307" s="104"/>
      <c r="ETI307" s="104"/>
      <c r="ETJ307" s="104"/>
      <c r="ETK307" s="104"/>
      <c r="ETL307" s="104"/>
      <c r="ETM307" s="104"/>
      <c r="ETN307" s="104"/>
      <c r="ETO307" s="104"/>
      <c r="ETP307" s="104"/>
      <c r="ETQ307" s="104"/>
      <c r="ETR307" s="104"/>
      <c r="ETS307" s="104"/>
      <c r="ETT307" s="104"/>
      <c r="ETU307" s="104"/>
      <c r="ETV307" s="104"/>
      <c r="ETW307" s="104"/>
      <c r="ETX307" s="104"/>
      <c r="ETY307" s="104"/>
      <c r="ETZ307" s="104"/>
      <c r="EUA307" s="104"/>
      <c r="EUB307" s="104"/>
      <c r="EUC307" s="104"/>
      <c r="EUD307" s="104"/>
      <c r="EUE307" s="104"/>
      <c r="EUF307" s="104"/>
      <c r="EUG307" s="104"/>
      <c r="EUH307" s="104"/>
      <c r="EUI307" s="104"/>
      <c r="EUJ307" s="104"/>
      <c r="EUK307" s="104"/>
      <c r="EUL307" s="104"/>
      <c r="EUM307" s="104"/>
      <c r="EUN307" s="104"/>
      <c r="EUO307" s="104"/>
      <c r="EUP307" s="104"/>
      <c r="EUQ307" s="104"/>
      <c r="EUR307" s="104"/>
      <c r="EUS307" s="104"/>
      <c r="EUT307" s="104"/>
      <c r="EUU307" s="104"/>
      <c r="EUV307" s="104"/>
      <c r="EUW307" s="104"/>
      <c r="EUX307" s="104"/>
      <c r="EUY307" s="104"/>
      <c r="EUZ307" s="104"/>
      <c r="EVA307" s="104"/>
      <c r="EVB307" s="104"/>
      <c r="EVC307" s="104"/>
      <c r="EVD307" s="104"/>
      <c r="EVE307" s="104"/>
      <c r="EVF307" s="104"/>
      <c r="EVG307" s="104"/>
      <c r="EVH307" s="104"/>
      <c r="EVI307" s="104"/>
      <c r="EVJ307" s="104"/>
      <c r="EVK307" s="104"/>
      <c r="EVL307" s="104"/>
      <c r="EVM307" s="104"/>
      <c r="EVN307" s="104"/>
      <c r="EVO307" s="104"/>
      <c r="EVP307" s="104"/>
      <c r="EVQ307" s="104"/>
      <c r="EVR307" s="104"/>
      <c r="EVS307" s="104"/>
      <c r="EVT307" s="104"/>
      <c r="EVU307" s="104"/>
      <c r="EVV307" s="104"/>
      <c r="EVW307" s="104"/>
      <c r="EVX307" s="104"/>
      <c r="EVY307" s="104"/>
      <c r="EVZ307" s="104"/>
      <c r="EWA307" s="104"/>
      <c r="EWB307" s="104"/>
      <c r="EWC307" s="104"/>
      <c r="EWD307" s="104"/>
      <c r="EWE307" s="104"/>
      <c r="EWF307" s="104"/>
      <c r="EWG307" s="104"/>
      <c r="EWH307" s="104"/>
      <c r="EWI307" s="104"/>
      <c r="EWJ307" s="104"/>
      <c r="EWK307" s="104"/>
      <c r="EWL307" s="104"/>
      <c r="EWM307" s="104"/>
      <c r="EWN307" s="104"/>
      <c r="EWO307" s="104"/>
      <c r="EWP307" s="104"/>
      <c r="EWQ307" s="104"/>
      <c r="EWR307" s="104"/>
      <c r="EWS307" s="104"/>
      <c r="EWT307" s="104"/>
      <c r="EWU307" s="104"/>
      <c r="EWV307" s="104"/>
      <c r="EWW307" s="104"/>
      <c r="EWX307" s="104"/>
      <c r="EWY307" s="104"/>
      <c r="EWZ307" s="104"/>
      <c r="EXA307" s="104"/>
      <c r="EXB307" s="104"/>
      <c r="EXC307" s="104"/>
      <c r="EXD307" s="104"/>
      <c r="EXE307" s="104"/>
      <c r="EXF307" s="104"/>
      <c r="EXG307" s="104"/>
      <c r="EXH307" s="104"/>
      <c r="EXI307" s="104"/>
      <c r="EXJ307" s="104"/>
      <c r="EXK307" s="104"/>
      <c r="EXL307" s="104"/>
      <c r="EXM307" s="104"/>
      <c r="EXN307" s="104"/>
      <c r="EXO307" s="104"/>
      <c r="EXP307" s="104"/>
      <c r="EXQ307" s="104"/>
      <c r="EXR307" s="104"/>
      <c r="EXS307" s="104"/>
      <c r="EXT307" s="104"/>
      <c r="EXU307" s="104"/>
      <c r="EXV307" s="104"/>
      <c r="EXW307" s="104"/>
      <c r="EXX307" s="104"/>
      <c r="EXY307" s="104"/>
      <c r="EXZ307" s="104"/>
      <c r="EYA307" s="104"/>
      <c r="EYB307" s="104"/>
      <c r="EYC307" s="104"/>
      <c r="EYD307" s="104"/>
      <c r="EYE307" s="104"/>
      <c r="EYF307" s="104"/>
      <c r="EYG307" s="104"/>
      <c r="EYH307" s="104"/>
      <c r="EYI307" s="104"/>
      <c r="EYJ307" s="104"/>
      <c r="EYK307" s="104"/>
      <c r="EYL307" s="104"/>
      <c r="EYM307" s="104"/>
      <c r="EYN307" s="104"/>
      <c r="EYO307" s="104"/>
      <c r="EYP307" s="104"/>
      <c r="EYQ307" s="104"/>
      <c r="EYR307" s="104"/>
      <c r="EYS307" s="104"/>
      <c r="EYT307" s="104"/>
      <c r="EYU307" s="104"/>
      <c r="EYV307" s="104"/>
      <c r="EYW307" s="104"/>
      <c r="EYX307" s="104"/>
      <c r="EYY307" s="104"/>
      <c r="EYZ307" s="104"/>
      <c r="EZA307" s="104"/>
      <c r="EZB307" s="104"/>
      <c r="EZC307" s="104"/>
      <c r="EZD307" s="104"/>
      <c r="EZE307" s="104"/>
      <c r="EZF307" s="104"/>
      <c r="EZG307" s="104"/>
      <c r="EZH307" s="104"/>
      <c r="EZI307" s="104"/>
      <c r="EZJ307" s="104"/>
      <c r="EZK307" s="104"/>
      <c r="EZL307" s="104"/>
      <c r="EZM307" s="104"/>
      <c r="EZN307" s="104"/>
      <c r="EZO307" s="104"/>
      <c r="EZP307" s="104"/>
      <c r="EZQ307" s="104"/>
      <c r="EZR307" s="104"/>
      <c r="EZS307" s="104"/>
      <c r="EZT307" s="104"/>
      <c r="EZU307" s="104"/>
      <c r="EZV307" s="104"/>
      <c r="EZW307" s="104"/>
      <c r="EZX307" s="104"/>
      <c r="EZY307" s="104"/>
      <c r="EZZ307" s="104"/>
      <c r="FAA307" s="104"/>
      <c r="FAB307" s="104"/>
      <c r="FAC307" s="104"/>
      <c r="FAD307" s="104"/>
      <c r="FAE307" s="104"/>
      <c r="FAF307" s="104"/>
      <c r="FAG307" s="104"/>
      <c r="FAH307" s="104"/>
      <c r="FAI307" s="104"/>
      <c r="FAJ307" s="104"/>
      <c r="FAK307" s="104"/>
      <c r="FAL307" s="104"/>
      <c r="FAM307" s="104"/>
      <c r="FAN307" s="104"/>
      <c r="FAO307" s="104"/>
      <c r="FAP307" s="104"/>
      <c r="FAQ307" s="104"/>
      <c r="FAR307" s="104"/>
      <c r="FAS307" s="104"/>
      <c r="FAT307" s="104"/>
      <c r="FAU307" s="104"/>
      <c r="FAV307" s="104"/>
      <c r="FAW307" s="104"/>
      <c r="FAX307" s="104"/>
      <c r="FAY307" s="104"/>
      <c r="FAZ307" s="104"/>
      <c r="FBA307" s="104"/>
      <c r="FBB307" s="104"/>
      <c r="FBC307" s="104"/>
      <c r="FBD307" s="104"/>
      <c r="FBE307" s="104"/>
      <c r="FBF307" s="104"/>
      <c r="FBG307" s="104"/>
      <c r="FBH307" s="104"/>
      <c r="FBI307" s="104"/>
      <c r="FBJ307" s="104"/>
      <c r="FBK307" s="104"/>
      <c r="FBL307" s="104"/>
      <c r="FBM307" s="104"/>
      <c r="FBN307" s="104"/>
      <c r="FBO307" s="104"/>
      <c r="FBP307" s="104"/>
      <c r="FBQ307" s="104"/>
      <c r="FBR307" s="104"/>
      <c r="FBS307" s="104"/>
      <c r="FBT307" s="104"/>
      <c r="FBU307" s="104"/>
      <c r="FBV307" s="104"/>
      <c r="FBW307" s="104"/>
      <c r="FBX307" s="104"/>
      <c r="FBY307" s="104"/>
      <c r="FBZ307" s="104"/>
      <c r="FCA307" s="104"/>
      <c r="FCB307" s="104"/>
      <c r="FCC307" s="104"/>
      <c r="FCD307" s="104"/>
      <c r="FCE307" s="104"/>
      <c r="FCF307" s="104"/>
      <c r="FCG307" s="104"/>
      <c r="FCH307" s="104"/>
      <c r="FCI307" s="104"/>
      <c r="FCJ307" s="104"/>
      <c r="FCK307" s="104"/>
      <c r="FCL307" s="104"/>
      <c r="FCM307" s="104"/>
      <c r="FCN307" s="104"/>
      <c r="FCO307" s="104"/>
      <c r="FCP307" s="104"/>
      <c r="FCQ307" s="104"/>
      <c r="FCR307" s="104"/>
      <c r="FCS307" s="104"/>
      <c r="FCT307" s="104"/>
      <c r="FCU307" s="104"/>
      <c r="FCV307" s="104"/>
      <c r="FCW307" s="104"/>
      <c r="FCX307" s="104"/>
      <c r="FCY307" s="104"/>
      <c r="FCZ307" s="104"/>
      <c r="FDA307" s="104"/>
      <c r="FDB307" s="104"/>
      <c r="FDC307" s="104"/>
      <c r="FDD307" s="104"/>
      <c r="FDE307" s="104"/>
      <c r="FDF307" s="104"/>
      <c r="FDG307" s="104"/>
      <c r="FDH307" s="104"/>
      <c r="FDI307" s="104"/>
      <c r="FDJ307" s="104"/>
      <c r="FDK307" s="104"/>
      <c r="FDL307" s="104"/>
      <c r="FDM307" s="104"/>
      <c r="FDN307" s="104"/>
      <c r="FDO307" s="104"/>
      <c r="FDP307" s="104"/>
      <c r="FDQ307" s="104"/>
      <c r="FDR307" s="104"/>
      <c r="FDS307" s="104"/>
      <c r="FDT307" s="104"/>
      <c r="FDU307" s="104"/>
      <c r="FDV307" s="104"/>
      <c r="FDW307" s="104"/>
      <c r="FDX307" s="104"/>
      <c r="FDY307" s="104"/>
      <c r="FDZ307" s="104"/>
      <c r="FEA307" s="104"/>
      <c r="FEB307" s="104"/>
      <c r="FEC307" s="104"/>
      <c r="FED307" s="104"/>
      <c r="FEE307" s="104"/>
      <c r="FEF307" s="104"/>
      <c r="FEG307" s="104"/>
      <c r="FEH307" s="104"/>
      <c r="FEI307" s="104"/>
      <c r="FEJ307" s="104"/>
      <c r="FEK307" s="104"/>
      <c r="FEL307" s="104"/>
      <c r="FEM307" s="104"/>
      <c r="FEN307" s="104"/>
      <c r="FEO307" s="104"/>
      <c r="FEP307" s="104"/>
      <c r="FEQ307" s="104"/>
      <c r="FER307" s="104"/>
      <c r="FES307" s="104"/>
      <c r="FET307" s="104"/>
      <c r="FEU307" s="104"/>
      <c r="FEV307" s="104"/>
      <c r="FEW307" s="104"/>
      <c r="FEX307" s="104"/>
      <c r="FEY307" s="104"/>
      <c r="FEZ307" s="104"/>
      <c r="FFA307" s="104"/>
      <c r="FFB307" s="104"/>
      <c r="FFC307" s="104"/>
      <c r="FFD307" s="104"/>
      <c r="FFE307" s="104"/>
      <c r="FFF307" s="104"/>
      <c r="FFG307" s="104"/>
      <c r="FFH307" s="104"/>
      <c r="FFI307" s="104"/>
      <c r="FFJ307" s="104"/>
      <c r="FFK307" s="104"/>
      <c r="FFL307" s="104"/>
      <c r="FFM307" s="104"/>
      <c r="FFN307" s="104"/>
      <c r="FFO307" s="104"/>
      <c r="FFP307" s="104"/>
      <c r="FFQ307" s="104"/>
      <c r="FFR307" s="104"/>
      <c r="FFS307" s="104"/>
      <c r="FFT307" s="104"/>
      <c r="FFU307" s="104"/>
      <c r="FFV307" s="104"/>
      <c r="FFW307" s="104"/>
      <c r="FFX307" s="104"/>
      <c r="FFY307" s="104"/>
      <c r="FFZ307" s="104"/>
      <c r="FGA307" s="104"/>
      <c r="FGB307" s="104"/>
      <c r="FGC307" s="104"/>
      <c r="FGD307" s="104"/>
      <c r="FGE307" s="104"/>
      <c r="FGF307" s="104"/>
      <c r="FGG307" s="104"/>
      <c r="FGH307" s="104"/>
      <c r="FGI307" s="104"/>
      <c r="FGJ307" s="104"/>
      <c r="FGK307" s="104"/>
      <c r="FGL307" s="104"/>
      <c r="FGM307" s="104"/>
      <c r="FGN307" s="104"/>
      <c r="FGO307" s="104"/>
      <c r="FGP307" s="104"/>
      <c r="FGQ307" s="104"/>
      <c r="FGR307" s="104"/>
      <c r="FGS307" s="104"/>
      <c r="FGT307" s="104"/>
      <c r="FGU307" s="104"/>
      <c r="FGV307" s="104"/>
      <c r="FGW307" s="104"/>
      <c r="FGX307" s="104"/>
      <c r="FGY307" s="104"/>
      <c r="FGZ307" s="104"/>
      <c r="FHA307" s="104"/>
      <c r="FHB307" s="104"/>
      <c r="FHC307" s="104"/>
      <c r="FHD307" s="104"/>
      <c r="FHE307" s="104"/>
      <c r="FHF307" s="104"/>
      <c r="FHG307" s="104"/>
      <c r="FHH307" s="104"/>
      <c r="FHI307" s="104"/>
      <c r="FHJ307" s="104"/>
      <c r="FHK307" s="104"/>
      <c r="FHL307" s="104"/>
      <c r="FHM307" s="104"/>
      <c r="FHN307" s="104"/>
      <c r="FHO307" s="104"/>
      <c r="FHP307" s="104"/>
      <c r="FHQ307" s="104"/>
      <c r="FHR307" s="104"/>
      <c r="FHS307" s="104"/>
      <c r="FHT307" s="104"/>
      <c r="FHU307" s="104"/>
      <c r="FHV307" s="104"/>
      <c r="FHW307" s="104"/>
      <c r="FHX307" s="104"/>
      <c r="FHY307" s="104"/>
      <c r="FHZ307" s="104"/>
      <c r="FIA307" s="104"/>
      <c r="FIB307" s="104"/>
      <c r="FIC307" s="104"/>
      <c r="FID307" s="104"/>
      <c r="FIE307" s="104"/>
      <c r="FIF307" s="104"/>
      <c r="FIG307" s="104"/>
      <c r="FIH307" s="104"/>
      <c r="FII307" s="104"/>
      <c r="FIJ307" s="104"/>
      <c r="FIK307" s="104"/>
      <c r="FIL307" s="104"/>
      <c r="FIM307" s="104"/>
      <c r="FIN307" s="104"/>
      <c r="FIO307" s="104"/>
      <c r="FIP307" s="104"/>
      <c r="FIQ307" s="104"/>
      <c r="FIR307" s="104"/>
      <c r="FIS307" s="104"/>
      <c r="FIT307" s="104"/>
      <c r="FIU307" s="104"/>
      <c r="FIV307" s="104"/>
      <c r="FIW307" s="104"/>
      <c r="FIX307" s="104"/>
      <c r="FIY307" s="104"/>
      <c r="FIZ307" s="104"/>
      <c r="FJA307" s="104"/>
      <c r="FJB307" s="104"/>
      <c r="FJC307" s="104"/>
      <c r="FJD307" s="104"/>
      <c r="FJE307" s="104"/>
      <c r="FJF307" s="104"/>
      <c r="FJG307" s="104"/>
      <c r="FJH307" s="104"/>
      <c r="FJI307" s="104"/>
      <c r="FJJ307" s="104"/>
      <c r="FJK307" s="104"/>
      <c r="FJL307" s="104"/>
      <c r="FJM307" s="104"/>
      <c r="FJN307" s="104"/>
      <c r="FJO307" s="104"/>
      <c r="FJP307" s="104"/>
      <c r="FJQ307" s="104"/>
      <c r="FJR307" s="104"/>
      <c r="FJS307" s="104"/>
      <c r="FJT307" s="104"/>
      <c r="FJU307" s="104"/>
      <c r="FJV307" s="104"/>
      <c r="FJW307" s="104"/>
      <c r="FJX307" s="104"/>
      <c r="FJY307" s="104"/>
      <c r="FJZ307" s="104"/>
      <c r="FKA307" s="104"/>
      <c r="FKB307" s="104"/>
      <c r="FKC307" s="104"/>
      <c r="FKD307" s="104"/>
      <c r="FKE307" s="104"/>
      <c r="FKF307" s="104"/>
      <c r="FKG307" s="104"/>
      <c r="FKH307" s="104"/>
      <c r="FKI307" s="104"/>
      <c r="FKJ307" s="104"/>
      <c r="FKK307" s="104"/>
      <c r="FKL307" s="104"/>
      <c r="FKM307" s="104"/>
      <c r="FKN307" s="104"/>
      <c r="FKO307" s="104"/>
      <c r="FKP307" s="104"/>
      <c r="FKQ307" s="104"/>
      <c r="FKR307" s="104"/>
      <c r="FKS307" s="104"/>
      <c r="FKT307" s="104"/>
      <c r="FKU307" s="104"/>
      <c r="FKV307" s="104"/>
      <c r="FKW307" s="104"/>
      <c r="FKX307" s="104"/>
      <c r="FKY307" s="104"/>
      <c r="FKZ307" s="104"/>
      <c r="FLA307" s="104"/>
      <c r="FLB307" s="104"/>
      <c r="FLC307" s="104"/>
      <c r="FLD307" s="104"/>
      <c r="FLE307" s="104"/>
      <c r="FLF307" s="104"/>
      <c r="FLG307" s="104"/>
      <c r="FLH307" s="104"/>
      <c r="FLI307" s="104"/>
      <c r="FLJ307" s="104"/>
      <c r="FLK307" s="104"/>
      <c r="FLL307" s="104"/>
      <c r="FLM307" s="104"/>
      <c r="FLN307" s="104"/>
      <c r="FLO307" s="104"/>
      <c r="FLP307" s="104"/>
      <c r="FLQ307" s="104"/>
      <c r="FLR307" s="104"/>
      <c r="FLS307" s="104"/>
      <c r="FLT307" s="104"/>
      <c r="FLU307" s="104"/>
      <c r="FLV307" s="104"/>
      <c r="FLW307" s="104"/>
      <c r="FLX307" s="104"/>
      <c r="FLY307" s="104"/>
      <c r="FLZ307" s="104"/>
      <c r="FMA307" s="104"/>
      <c r="FMB307" s="104"/>
      <c r="FMC307" s="104"/>
      <c r="FMD307" s="104"/>
      <c r="FME307" s="104"/>
      <c r="FMF307" s="104"/>
      <c r="FMG307" s="104"/>
      <c r="FMH307" s="104"/>
      <c r="FMI307" s="104"/>
      <c r="FMJ307" s="104"/>
      <c r="FMK307" s="104"/>
      <c r="FML307" s="104"/>
      <c r="FMM307" s="104"/>
      <c r="FMN307" s="104"/>
      <c r="FMO307" s="104"/>
      <c r="FMP307" s="104"/>
      <c r="FMQ307" s="104"/>
      <c r="FMR307" s="104"/>
      <c r="FMS307" s="104"/>
      <c r="FMT307" s="104"/>
      <c r="FMU307" s="104"/>
      <c r="FMV307" s="104"/>
      <c r="FMW307" s="104"/>
      <c r="FMX307" s="104"/>
      <c r="FMY307" s="104"/>
      <c r="FMZ307" s="104"/>
      <c r="FNA307" s="104"/>
      <c r="FNB307" s="104"/>
      <c r="FNC307" s="104"/>
      <c r="FND307" s="104"/>
      <c r="FNE307" s="104"/>
      <c r="FNF307" s="104"/>
      <c r="FNG307" s="104"/>
      <c r="FNH307" s="104"/>
      <c r="FNI307" s="104"/>
      <c r="FNJ307" s="104"/>
      <c r="FNK307" s="104"/>
      <c r="FNL307" s="104"/>
      <c r="FNM307" s="104"/>
      <c r="FNN307" s="104"/>
      <c r="FNO307" s="104"/>
      <c r="FNP307" s="104"/>
      <c r="FNQ307" s="104"/>
      <c r="FNR307" s="104"/>
      <c r="FNS307" s="104"/>
      <c r="FNT307" s="104"/>
      <c r="FNU307" s="104"/>
      <c r="FNV307" s="104"/>
      <c r="FNW307" s="104"/>
      <c r="FNX307" s="104"/>
      <c r="FNY307" s="104"/>
      <c r="FNZ307" s="104"/>
      <c r="FOA307" s="104"/>
      <c r="FOB307" s="104"/>
      <c r="FOC307" s="104"/>
      <c r="FOD307" s="104"/>
      <c r="FOE307" s="104"/>
      <c r="FOF307" s="104"/>
      <c r="FOG307" s="104"/>
      <c r="FOH307" s="104"/>
      <c r="FOI307" s="104"/>
      <c r="FOJ307" s="104"/>
      <c r="FOK307" s="104"/>
      <c r="FOL307" s="104"/>
      <c r="FOM307" s="104"/>
      <c r="FON307" s="104"/>
      <c r="FOO307" s="104"/>
      <c r="FOP307" s="104"/>
      <c r="FOQ307" s="104"/>
      <c r="FOR307" s="104"/>
      <c r="FOS307" s="104"/>
      <c r="FOT307" s="104"/>
      <c r="FOU307" s="104"/>
      <c r="FOV307" s="104"/>
      <c r="FOW307" s="104"/>
      <c r="FOX307" s="104"/>
      <c r="FOY307" s="104"/>
      <c r="FOZ307" s="104"/>
      <c r="FPA307" s="104"/>
      <c r="FPB307" s="104"/>
      <c r="FPC307" s="104"/>
      <c r="FPD307" s="104"/>
      <c r="FPE307" s="104"/>
      <c r="FPF307" s="104"/>
      <c r="FPG307" s="104"/>
      <c r="FPH307" s="104"/>
      <c r="FPI307" s="104"/>
      <c r="FPJ307" s="104"/>
      <c r="FPK307" s="104"/>
      <c r="FPL307" s="104"/>
      <c r="FPM307" s="104"/>
      <c r="FPN307" s="104"/>
      <c r="FPO307" s="104"/>
      <c r="FPP307" s="104"/>
      <c r="FPQ307" s="104"/>
      <c r="FPR307" s="104"/>
      <c r="FPS307" s="104"/>
      <c r="FPT307" s="104"/>
      <c r="FPU307" s="104"/>
      <c r="FPV307" s="104"/>
      <c r="FPW307" s="104"/>
      <c r="FPX307" s="104"/>
      <c r="FPY307" s="104"/>
      <c r="FPZ307" s="104"/>
      <c r="FQA307" s="104"/>
      <c r="FQB307" s="104"/>
      <c r="FQC307" s="104"/>
      <c r="FQD307" s="104"/>
      <c r="FQE307" s="104"/>
      <c r="FQF307" s="104"/>
      <c r="FQG307" s="104"/>
      <c r="FQH307" s="104"/>
      <c r="FQI307" s="104"/>
      <c r="FQJ307" s="104"/>
      <c r="FQK307" s="104"/>
      <c r="FQL307" s="104"/>
      <c r="FQM307" s="104"/>
      <c r="FQN307" s="104"/>
      <c r="FQO307" s="104"/>
      <c r="FQP307" s="104"/>
      <c r="FQQ307" s="104"/>
      <c r="FQR307" s="104"/>
      <c r="FQS307" s="104"/>
      <c r="FQT307" s="104"/>
      <c r="FQU307" s="104"/>
      <c r="FQV307" s="104"/>
      <c r="FQW307" s="104"/>
      <c r="FQX307" s="104"/>
      <c r="FQY307" s="104"/>
      <c r="FQZ307" s="104"/>
      <c r="FRA307" s="104"/>
      <c r="FRB307" s="104"/>
      <c r="FRC307" s="104"/>
      <c r="FRD307" s="104"/>
      <c r="FRE307" s="104"/>
      <c r="FRF307" s="104"/>
      <c r="FRG307" s="104"/>
      <c r="FRH307" s="104"/>
      <c r="FRI307" s="104"/>
      <c r="FRJ307" s="104"/>
      <c r="FRK307" s="104"/>
      <c r="FRL307" s="104"/>
      <c r="FRM307" s="104"/>
      <c r="FRN307" s="104"/>
      <c r="FRO307" s="104"/>
      <c r="FRP307" s="104"/>
      <c r="FRQ307" s="104"/>
      <c r="FRR307" s="104"/>
      <c r="FRS307" s="104"/>
      <c r="FRT307" s="104"/>
      <c r="FRU307" s="104"/>
      <c r="FRV307" s="104"/>
      <c r="FRW307" s="104"/>
      <c r="FRX307" s="104"/>
      <c r="FRY307" s="104"/>
      <c r="FRZ307" s="104"/>
      <c r="FSA307" s="104"/>
      <c r="FSB307" s="104"/>
      <c r="FSC307" s="104"/>
      <c r="FSD307" s="104"/>
      <c r="FSE307" s="104"/>
      <c r="FSF307" s="104"/>
      <c r="FSG307" s="104"/>
      <c r="FSH307" s="104"/>
      <c r="FSI307" s="104"/>
      <c r="FSJ307" s="104"/>
      <c r="FSK307" s="104"/>
      <c r="FSL307" s="104"/>
      <c r="FSM307" s="104"/>
      <c r="FSN307" s="104"/>
      <c r="FSO307" s="104"/>
      <c r="FSP307" s="104"/>
      <c r="FSQ307" s="104"/>
      <c r="FSR307" s="104"/>
      <c r="FSS307" s="104"/>
      <c r="FST307" s="104"/>
      <c r="FSU307" s="104"/>
      <c r="FSV307" s="104"/>
      <c r="FSW307" s="104"/>
      <c r="FSX307" s="104"/>
      <c r="FSY307" s="104"/>
      <c r="FSZ307" s="104"/>
      <c r="FTA307" s="104"/>
      <c r="FTB307" s="104"/>
      <c r="FTC307" s="104"/>
      <c r="FTD307" s="104"/>
      <c r="FTE307" s="104"/>
      <c r="FTF307" s="104"/>
      <c r="FTG307" s="104"/>
      <c r="FTH307" s="104"/>
      <c r="FTI307" s="104"/>
      <c r="FTJ307" s="104"/>
      <c r="FTK307" s="104"/>
      <c r="FTL307" s="104"/>
      <c r="FTM307" s="104"/>
      <c r="FTN307" s="104"/>
      <c r="FTO307" s="104"/>
      <c r="FTP307" s="104"/>
      <c r="FTQ307" s="104"/>
      <c r="FTR307" s="104"/>
      <c r="FTS307" s="104"/>
      <c r="FTT307" s="104"/>
      <c r="FTU307" s="104"/>
      <c r="FTV307" s="104"/>
      <c r="FTW307" s="104"/>
      <c r="FTX307" s="104"/>
      <c r="FTY307" s="104"/>
      <c r="FTZ307" s="104"/>
      <c r="FUA307" s="104"/>
      <c r="FUB307" s="104"/>
      <c r="FUC307" s="104"/>
      <c r="FUD307" s="104"/>
      <c r="FUE307" s="104"/>
      <c r="FUF307" s="104"/>
      <c r="FUG307" s="104"/>
      <c r="FUH307" s="104"/>
      <c r="FUI307" s="104"/>
      <c r="FUJ307" s="104"/>
      <c r="FUK307" s="104"/>
      <c r="FUL307" s="104"/>
      <c r="FUM307" s="104"/>
      <c r="FUN307" s="104"/>
      <c r="FUO307" s="104"/>
      <c r="FUP307" s="104"/>
      <c r="FUQ307" s="104"/>
      <c r="FUR307" s="104"/>
      <c r="FUS307" s="104"/>
      <c r="FUT307" s="104"/>
      <c r="FUU307" s="104"/>
      <c r="FUV307" s="104"/>
      <c r="FUW307" s="104"/>
      <c r="FUX307" s="104"/>
      <c r="FUY307" s="104"/>
      <c r="FUZ307" s="104"/>
      <c r="FVA307" s="104"/>
      <c r="FVB307" s="104"/>
      <c r="FVC307" s="104"/>
      <c r="FVD307" s="104"/>
      <c r="FVE307" s="104"/>
      <c r="FVF307" s="104"/>
      <c r="FVG307" s="104"/>
      <c r="FVH307" s="104"/>
      <c r="FVI307" s="104"/>
      <c r="FVJ307" s="104"/>
      <c r="FVK307" s="104"/>
      <c r="FVL307" s="104"/>
      <c r="FVM307" s="104"/>
      <c r="FVN307" s="104"/>
      <c r="FVO307" s="104"/>
      <c r="FVP307" s="104"/>
      <c r="FVQ307" s="104"/>
      <c r="FVR307" s="104"/>
      <c r="FVS307" s="104"/>
      <c r="FVT307" s="104"/>
      <c r="FVU307" s="104"/>
      <c r="FVV307" s="104"/>
      <c r="FVW307" s="104"/>
      <c r="FVX307" s="104"/>
      <c r="FVY307" s="104"/>
      <c r="FVZ307" s="104"/>
      <c r="FWA307" s="104"/>
      <c r="FWB307" s="104"/>
      <c r="FWC307" s="104"/>
      <c r="FWD307" s="104"/>
      <c r="FWE307" s="104"/>
      <c r="FWF307" s="104"/>
      <c r="FWG307" s="104"/>
      <c r="FWH307" s="104"/>
      <c r="FWI307" s="104"/>
      <c r="FWJ307" s="104"/>
      <c r="FWK307" s="104"/>
      <c r="FWL307" s="104"/>
      <c r="FWM307" s="104"/>
      <c r="FWN307" s="104"/>
      <c r="FWO307" s="104"/>
      <c r="FWP307" s="104"/>
      <c r="FWQ307" s="104"/>
      <c r="FWR307" s="104"/>
      <c r="FWS307" s="104"/>
      <c r="FWT307" s="104"/>
      <c r="FWU307" s="104"/>
      <c r="FWV307" s="104"/>
      <c r="FWW307" s="104"/>
      <c r="FWX307" s="104"/>
      <c r="FWY307" s="104"/>
      <c r="FWZ307" s="104"/>
      <c r="FXA307" s="104"/>
      <c r="FXB307" s="104"/>
      <c r="FXC307" s="104"/>
      <c r="FXD307" s="104"/>
      <c r="FXE307" s="104"/>
      <c r="FXF307" s="104"/>
      <c r="FXG307" s="104"/>
      <c r="FXH307" s="104"/>
      <c r="FXI307" s="104"/>
      <c r="FXJ307" s="104"/>
      <c r="FXK307" s="104"/>
      <c r="FXL307" s="104"/>
      <c r="FXM307" s="104"/>
      <c r="FXN307" s="104"/>
      <c r="FXO307" s="104"/>
      <c r="FXP307" s="104"/>
      <c r="FXQ307" s="104"/>
      <c r="FXR307" s="104"/>
      <c r="FXS307" s="104"/>
      <c r="FXT307" s="104"/>
      <c r="FXU307" s="104"/>
      <c r="FXV307" s="104"/>
      <c r="FXW307" s="104"/>
      <c r="FXX307" s="104"/>
      <c r="FXY307" s="104"/>
      <c r="FXZ307" s="104"/>
      <c r="FYA307" s="104"/>
      <c r="FYB307" s="104"/>
      <c r="FYC307" s="104"/>
      <c r="FYD307" s="104"/>
      <c r="FYE307" s="104"/>
      <c r="FYF307" s="104"/>
      <c r="FYG307" s="104"/>
      <c r="FYH307" s="104"/>
      <c r="FYI307" s="104"/>
      <c r="FYJ307" s="104"/>
      <c r="FYK307" s="104"/>
      <c r="FYL307" s="104"/>
      <c r="FYM307" s="104"/>
      <c r="FYN307" s="104"/>
      <c r="FYO307" s="104"/>
      <c r="FYP307" s="104"/>
      <c r="FYQ307" s="104"/>
      <c r="FYR307" s="104"/>
      <c r="FYS307" s="104"/>
      <c r="FYT307" s="104"/>
      <c r="FYU307" s="104"/>
      <c r="FYV307" s="104"/>
      <c r="FYW307" s="104"/>
      <c r="FYX307" s="104"/>
      <c r="FYY307" s="104"/>
      <c r="FYZ307" s="104"/>
      <c r="FZA307" s="104"/>
      <c r="FZB307" s="104"/>
      <c r="FZC307" s="104"/>
      <c r="FZD307" s="104"/>
      <c r="FZE307" s="104"/>
      <c r="FZF307" s="104"/>
      <c r="FZG307" s="104"/>
      <c r="FZH307" s="104"/>
      <c r="FZI307" s="104"/>
      <c r="FZJ307" s="104"/>
      <c r="FZK307" s="104"/>
      <c r="FZL307" s="104"/>
      <c r="FZM307" s="104"/>
      <c r="FZN307" s="104"/>
      <c r="FZO307" s="104"/>
      <c r="FZP307" s="104"/>
      <c r="FZQ307" s="104"/>
      <c r="FZR307" s="104"/>
      <c r="FZS307" s="104"/>
      <c r="FZT307" s="104"/>
      <c r="FZU307" s="104"/>
      <c r="FZV307" s="104"/>
      <c r="FZW307" s="104"/>
      <c r="FZX307" s="104"/>
      <c r="FZY307" s="104"/>
      <c r="FZZ307" s="104"/>
      <c r="GAA307" s="104"/>
      <c r="GAB307" s="104"/>
      <c r="GAC307" s="104"/>
      <c r="GAD307" s="104"/>
      <c r="GAE307" s="104"/>
      <c r="GAF307" s="104"/>
      <c r="GAG307" s="104"/>
      <c r="GAH307" s="104"/>
      <c r="GAI307" s="104"/>
      <c r="GAJ307" s="104"/>
      <c r="GAK307" s="104"/>
      <c r="GAL307" s="104"/>
      <c r="GAM307" s="104"/>
      <c r="GAN307" s="104"/>
      <c r="GAO307" s="104"/>
      <c r="GAP307" s="104"/>
      <c r="GAQ307" s="104"/>
      <c r="GAR307" s="104"/>
      <c r="GAS307" s="104"/>
      <c r="GAT307" s="104"/>
      <c r="GAU307" s="104"/>
      <c r="GAV307" s="104"/>
      <c r="GAW307" s="104"/>
      <c r="GAX307" s="104"/>
      <c r="GAY307" s="104"/>
      <c r="GAZ307" s="104"/>
      <c r="GBA307" s="104"/>
      <c r="GBB307" s="104"/>
      <c r="GBC307" s="104"/>
      <c r="GBD307" s="104"/>
      <c r="GBE307" s="104"/>
      <c r="GBF307" s="104"/>
      <c r="GBG307" s="104"/>
      <c r="GBH307" s="104"/>
      <c r="GBI307" s="104"/>
      <c r="GBJ307" s="104"/>
      <c r="GBK307" s="104"/>
      <c r="GBL307" s="104"/>
      <c r="GBM307" s="104"/>
      <c r="GBN307" s="104"/>
      <c r="GBO307" s="104"/>
      <c r="GBP307" s="104"/>
      <c r="GBQ307" s="104"/>
      <c r="GBR307" s="104"/>
      <c r="GBS307" s="104"/>
      <c r="GBT307" s="104"/>
      <c r="GBU307" s="104"/>
      <c r="GBV307" s="104"/>
      <c r="GBW307" s="104"/>
      <c r="GBX307" s="104"/>
      <c r="GBY307" s="104"/>
      <c r="GBZ307" s="104"/>
      <c r="GCA307" s="104"/>
      <c r="GCB307" s="104"/>
      <c r="GCC307" s="104"/>
      <c r="GCD307" s="104"/>
      <c r="GCE307" s="104"/>
      <c r="GCF307" s="104"/>
      <c r="GCG307" s="104"/>
      <c r="GCH307" s="104"/>
      <c r="GCI307" s="104"/>
      <c r="GCJ307" s="104"/>
      <c r="GCK307" s="104"/>
      <c r="GCL307" s="104"/>
      <c r="GCM307" s="104"/>
      <c r="GCN307" s="104"/>
      <c r="GCO307" s="104"/>
      <c r="GCP307" s="104"/>
      <c r="GCQ307" s="104"/>
      <c r="GCR307" s="104"/>
      <c r="GCS307" s="104"/>
      <c r="GCT307" s="104"/>
      <c r="GCU307" s="104"/>
      <c r="GCV307" s="104"/>
      <c r="GCW307" s="104"/>
      <c r="GCX307" s="104"/>
      <c r="GCY307" s="104"/>
      <c r="GCZ307" s="104"/>
      <c r="GDA307" s="104"/>
      <c r="GDB307" s="104"/>
      <c r="GDC307" s="104"/>
      <c r="GDD307" s="104"/>
      <c r="GDE307" s="104"/>
      <c r="GDF307" s="104"/>
      <c r="GDG307" s="104"/>
      <c r="GDH307" s="104"/>
      <c r="GDI307" s="104"/>
      <c r="GDJ307" s="104"/>
      <c r="GDK307" s="104"/>
      <c r="GDL307" s="104"/>
      <c r="GDM307" s="104"/>
      <c r="GDN307" s="104"/>
      <c r="GDO307" s="104"/>
      <c r="GDP307" s="104"/>
      <c r="GDQ307" s="104"/>
      <c r="GDR307" s="104"/>
      <c r="GDS307" s="104"/>
      <c r="GDT307" s="104"/>
      <c r="GDU307" s="104"/>
      <c r="GDV307" s="104"/>
      <c r="GDW307" s="104"/>
      <c r="GDX307" s="104"/>
      <c r="GDY307" s="104"/>
      <c r="GDZ307" s="104"/>
      <c r="GEA307" s="104"/>
      <c r="GEB307" s="104"/>
      <c r="GEC307" s="104"/>
      <c r="GED307" s="104"/>
      <c r="GEE307" s="104"/>
      <c r="GEF307" s="104"/>
      <c r="GEG307" s="104"/>
      <c r="GEH307" s="104"/>
      <c r="GEI307" s="104"/>
      <c r="GEJ307" s="104"/>
      <c r="GEK307" s="104"/>
      <c r="GEL307" s="104"/>
      <c r="GEM307" s="104"/>
      <c r="GEN307" s="104"/>
      <c r="GEO307" s="104"/>
      <c r="GEP307" s="104"/>
      <c r="GEQ307" s="104"/>
      <c r="GER307" s="104"/>
      <c r="GES307" s="104"/>
      <c r="GET307" s="104"/>
      <c r="GEU307" s="104"/>
      <c r="GEV307" s="104"/>
      <c r="GEW307" s="104"/>
      <c r="GEX307" s="104"/>
      <c r="GEY307" s="104"/>
      <c r="GEZ307" s="104"/>
      <c r="GFA307" s="104"/>
      <c r="GFB307" s="104"/>
      <c r="GFC307" s="104"/>
      <c r="GFD307" s="104"/>
      <c r="GFE307" s="104"/>
      <c r="GFF307" s="104"/>
      <c r="GFG307" s="104"/>
      <c r="GFH307" s="104"/>
      <c r="GFI307" s="104"/>
      <c r="GFJ307" s="104"/>
      <c r="GFK307" s="104"/>
      <c r="GFL307" s="104"/>
      <c r="GFM307" s="104"/>
      <c r="GFN307" s="104"/>
      <c r="GFO307" s="104"/>
      <c r="GFP307" s="104"/>
      <c r="GFQ307" s="104"/>
      <c r="GFR307" s="104"/>
      <c r="GFS307" s="104"/>
      <c r="GFT307" s="104"/>
      <c r="GFU307" s="104"/>
      <c r="GFV307" s="104"/>
      <c r="GFW307" s="104"/>
      <c r="GFX307" s="104"/>
      <c r="GFY307" s="104"/>
      <c r="GFZ307" s="104"/>
      <c r="GGA307" s="104"/>
      <c r="GGB307" s="104"/>
      <c r="GGC307" s="104"/>
      <c r="GGD307" s="104"/>
      <c r="GGE307" s="104"/>
      <c r="GGF307" s="104"/>
      <c r="GGG307" s="104"/>
      <c r="GGH307" s="104"/>
      <c r="GGI307" s="104"/>
      <c r="GGJ307" s="104"/>
      <c r="GGK307" s="104"/>
      <c r="GGL307" s="104"/>
      <c r="GGM307" s="104"/>
      <c r="GGN307" s="104"/>
      <c r="GGO307" s="104"/>
      <c r="GGP307" s="104"/>
      <c r="GGQ307" s="104"/>
      <c r="GGR307" s="104"/>
      <c r="GGS307" s="104"/>
      <c r="GGT307" s="104"/>
      <c r="GGU307" s="104"/>
      <c r="GGV307" s="104"/>
      <c r="GGW307" s="104"/>
      <c r="GGX307" s="104"/>
      <c r="GGY307" s="104"/>
      <c r="GGZ307" s="104"/>
      <c r="GHA307" s="104"/>
      <c r="GHB307" s="104"/>
      <c r="GHC307" s="104"/>
      <c r="GHD307" s="104"/>
      <c r="GHE307" s="104"/>
      <c r="GHF307" s="104"/>
      <c r="GHG307" s="104"/>
      <c r="GHH307" s="104"/>
      <c r="GHI307" s="104"/>
      <c r="GHJ307" s="104"/>
      <c r="GHK307" s="104"/>
      <c r="GHL307" s="104"/>
      <c r="GHM307" s="104"/>
      <c r="GHN307" s="104"/>
      <c r="GHO307" s="104"/>
      <c r="GHP307" s="104"/>
      <c r="GHQ307" s="104"/>
      <c r="GHR307" s="104"/>
      <c r="GHS307" s="104"/>
      <c r="GHT307" s="104"/>
      <c r="GHU307" s="104"/>
      <c r="GHV307" s="104"/>
      <c r="GHW307" s="104"/>
      <c r="GHX307" s="104"/>
      <c r="GHY307" s="104"/>
      <c r="GHZ307" s="104"/>
      <c r="GIA307" s="104"/>
      <c r="GIB307" s="104"/>
      <c r="GIC307" s="104"/>
      <c r="GID307" s="104"/>
      <c r="GIE307" s="104"/>
      <c r="GIF307" s="104"/>
      <c r="GIG307" s="104"/>
      <c r="GIH307" s="104"/>
      <c r="GII307" s="104"/>
      <c r="GIJ307" s="104"/>
      <c r="GIK307" s="104"/>
      <c r="GIL307" s="104"/>
      <c r="GIM307" s="104"/>
      <c r="GIN307" s="104"/>
      <c r="GIO307" s="104"/>
      <c r="GIP307" s="104"/>
      <c r="GIQ307" s="104"/>
      <c r="GIR307" s="104"/>
      <c r="GIS307" s="104"/>
      <c r="GIT307" s="104"/>
      <c r="GIU307" s="104"/>
      <c r="GIV307" s="104"/>
      <c r="GIW307" s="104"/>
      <c r="GIX307" s="104"/>
      <c r="GIY307" s="104"/>
      <c r="GIZ307" s="104"/>
      <c r="GJA307" s="104"/>
      <c r="GJB307" s="104"/>
      <c r="GJC307" s="104"/>
      <c r="GJD307" s="104"/>
      <c r="GJE307" s="104"/>
      <c r="GJF307" s="104"/>
      <c r="GJG307" s="104"/>
      <c r="GJH307" s="104"/>
      <c r="GJI307" s="104"/>
      <c r="GJJ307" s="104"/>
      <c r="GJK307" s="104"/>
      <c r="GJL307" s="104"/>
      <c r="GJM307" s="104"/>
      <c r="GJN307" s="104"/>
      <c r="GJO307" s="104"/>
      <c r="GJP307" s="104"/>
      <c r="GJQ307" s="104"/>
      <c r="GJR307" s="104"/>
      <c r="GJS307" s="104"/>
      <c r="GJT307" s="104"/>
      <c r="GJU307" s="104"/>
      <c r="GJV307" s="104"/>
      <c r="GJW307" s="104"/>
      <c r="GJX307" s="104"/>
      <c r="GJY307" s="104"/>
      <c r="GJZ307" s="104"/>
      <c r="GKA307" s="104"/>
      <c r="GKB307" s="104"/>
      <c r="GKC307" s="104"/>
      <c r="GKD307" s="104"/>
      <c r="GKE307" s="104"/>
      <c r="GKF307" s="104"/>
      <c r="GKG307" s="104"/>
      <c r="GKH307" s="104"/>
      <c r="GKI307" s="104"/>
      <c r="GKJ307" s="104"/>
      <c r="GKK307" s="104"/>
      <c r="GKL307" s="104"/>
      <c r="GKM307" s="104"/>
      <c r="GKN307" s="104"/>
      <c r="GKO307" s="104"/>
      <c r="GKP307" s="104"/>
      <c r="GKQ307" s="104"/>
      <c r="GKR307" s="104"/>
      <c r="GKS307" s="104"/>
      <c r="GKT307" s="104"/>
      <c r="GKU307" s="104"/>
      <c r="GKV307" s="104"/>
      <c r="GKW307" s="104"/>
      <c r="GKX307" s="104"/>
      <c r="GKY307" s="104"/>
      <c r="GKZ307" s="104"/>
      <c r="GLA307" s="104"/>
      <c r="GLB307" s="104"/>
      <c r="GLC307" s="104"/>
      <c r="GLD307" s="104"/>
      <c r="GLE307" s="104"/>
      <c r="GLF307" s="104"/>
      <c r="GLG307" s="104"/>
      <c r="GLH307" s="104"/>
      <c r="GLI307" s="104"/>
      <c r="GLJ307" s="104"/>
      <c r="GLK307" s="104"/>
      <c r="GLL307" s="104"/>
      <c r="GLM307" s="104"/>
      <c r="GLN307" s="104"/>
      <c r="GLO307" s="104"/>
      <c r="GLP307" s="104"/>
      <c r="GLQ307" s="104"/>
      <c r="GLR307" s="104"/>
      <c r="GLS307" s="104"/>
      <c r="GLT307" s="104"/>
      <c r="GLU307" s="104"/>
      <c r="GLV307" s="104"/>
      <c r="GLW307" s="104"/>
      <c r="GLX307" s="104"/>
      <c r="GLY307" s="104"/>
      <c r="GLZ307" s="104"/>
      <c r="GMA307" s="104"/>
      <c r="GMB307" s="104"/>
      <c r="GMC307" s="104"/>
      <c r="GMD307" s="104"/>
      <c r="GME307" s="104"/>
      <c r="GMF307" s="104"/>
      <c r="GMG307" s="104"/>
      <c r="GMH307" s="104"/>
      <c r="GMI307" s="104"/>
      <c r="GMJ307" s="104"/>
      <c r="GMK307" s="104"/>
      <c r="GML307" s="104"/>
      <c r="GMM307" s="104"/>
      <c r="GMN307" s="104"/>
      <c r="GMO307" s="104"/>
      <c r="GMP307" s="104"/>
      <c r="GMQ307" s="104"/>
      <c r="GMR307" s="104"/>
      <c r="GMS307" s="104"/>
      <c r="GMT307" s="104"/>
      <c r="GMU307" s="104"/>
      <c r="GMV307" s="104"/>
      <c r="GMW307" s="104"/>
      <c r="GMX307" s="104"/>
      <c r="GMY307" s="104"/>
      <c r="GMZ307" s="104"/>
      <c r="GNA307" s="104"/>
      <c r="GNB307" s="104"/>
      <c r="GNC307" s="104"/>
      <c r="GND307" s="104"/>
      <c r="GNE307" s="104"/>
      <c r="GNF307" s="104"/>
      <c r="GNG307" s="104"/>
      <c r="GNH307" s="104"/>
      <c r="GNI307" s="104"/>
      <c r="GNJ307" s="104"/>
      <c r="GNK307" s="104"/>
      <c r="GNL307" s="104"/>
      <c r="GNM307" s="104"/>
      <c r="GNN307" s="104"/>
      <c r="GNO307" s="104"/>
      <c r="GNP307" s="104"/>
      <c r="GNQ307" s="104"/>
      <c r="GNR307" s="104"/>
      <c r="GNS307" s="104"/>
      <c r="GNT307" s="104"/>
      <c r="GNU307" s="104"/>
      <c r="GNV307" s="104"/>
      <c r="GNW307" s="104"/>
      <c r="GNX307" s="104"/>
      <c r="GNY307" s="104"/>
      <c r="GNZ307" s="104"/>
      <c r="GOA307" s="104"/>
      <c r="GOB307" s="104"/>
      <c r="GOC307" s="104"/>
      <c r="GOD307" s="104"/>
      <c r="GOE307" s="104"/>
      <c r="GOF307" s="104"/>
      <c r="GOG307" s="104"/>
      <c r="GOH307" s="104"/>
      <c r="GOI307" s="104"/>
      <c r="GOJ307" s="104"/>
      <c r="GOK307" s="104"/>
      <c r="GOL307" s="104"/>
      <c r="GOM307" s="104"/>
      <c r="GON307" s="104"/>
      <c r="GOO307" s="104"/>
      <c r="GOP307" s="104"/>
      <c r="GOQ307" s="104"/>
      <c r="GOR307" s="104"/>
      <c r="GOS307" s="104"/>
      <c r="GOT307" s="104"/>
      <c r="GOU307" s="104"/>
      <c r="GOV307" s="104"/>
      <c r="GOW307" s="104"/>
      <c r="GOX307" s="104"/>
      <c r="GOY307" s="104"/>
      <c r="GOZ307" s="104"/>
      <c r="GPA307" s="104"/>
      <c r="GPB307" s="104"/>
      <c r="GPC307" s="104"/>
      <c r="GPD307" s="104"/>
      <c r="GPE307" s="104"/>
      <c r="GPF307" s="104"/>
      <c r="GPG307" s="104"/>
      <c r="GPH307" s="104"/>
      <c r="GPI307" s="104"/>
      <c r="GPJ307" s="104"/>
      <c r="GPK307" s="104"/>
      <c r="GPL307" s="104"/>
      <c r="GPM307" s="104"/>
      <c r="GPN307" s="104"/>
      <c r="GPO307" s="104"/>
      <c r="GPP307" s="104"/>
      <c r="GPQ307" s="104"/>
      <c r="GPR307" s="104"/>
      <c r="GPS307" s="104"/>
      <c r="GPT307" s="104"/>
      <c r="GPU307" s="104"/>
      <c r="GPV307" s="104"/>
      <c r="GPW307" s="104"/>
      <c r="GPX307" s="104"/>
      <c r="GPY307" s="104"/>
      <c r="GPZ307" s="104"/>
      <c r="GQA307" s="104"/>
      <c r="GQB307" s="104"/>
      <c r="GQC307" s="104"/>
      <c r="GQD307" s="104"/>
      <c r="GQE307" s="104"/>
      <c r="GQF307" s="104"/>
      <c r="GQG307" s="104"/>
      <c r="GQH307" s="104"/>
      <c r="GQI307" s="104"/>
      <c r="GQJ307" s="104"/>
      <c r="GQK307" s="104"/>
      <c r="GQL307" s="104"/>
      <c r="GQM307" s="104"/>
      <c r="GQN307" s="104"/>
      <c r="GQO307" s="104"/>
      <c r="GQP307" s="104"/>
      <c r="GQQ307" s="104"/>
      <c r="GQR307" s="104"/>
      <c r="GQS307" s="104"/>
      <c r="GQT307" s="104"/>
      <c r="GQU307" s="104"/>
      <c r="GQV307" s="104"/>
      <c r="GQW307" s="104"/>
      <c r="GQX307" s="104"/>
      <c r="GQY307" s="104"/>
      <c r="GQZ307" s="104"/>
      <c r="GRA307" s="104"/>
      <c r="GRB307" s="104"/>
      <c r="GRC307" s="104"/>
      <c r="GRD307" s="104"/>
      <c r="GRE307" s="104"/>
      <c r="GRF307" s="104"/>
      <c r="GRG307" s="104"/>
      <c r="GRH307" s="104"/>
      <c r="GRI307" s="104"/>
      <c r="GRJ307" s="104"/>
      <c r="GRK307" s="104"/>
      <c r="GRL307" s="104"/>
      <c r="GRM307" s="104"/>
      <c r="GRN307" s="104"/>
      <c r="GRO307" s="104"/>
      <c r="GRP307" s="104"/>
      <c r="GRQ307" s="104"/>
      <c r="GRR307" s="104"/>
      <c r="GRS307" s="104"/>
      <c r="GRT307" s="104"/>
      <c r="GRU307" s="104"/>
      <c r="GRV307" s="104"/>
      <c r="GRW307" s="104"/>
      <c r="GRX307" s="104"/>
      <c r="GRY307" s="104"/>
      <c r="GRZ307" s="104"/>
      <c r="GSA307" s="104"/>
      <c r="GSB307" s="104"/>
      <c r="GSC307" s="104"/>
      <c r="GSD307" s="104"/>
      <c r="GSE307" s="104"/>
      <c r="GSF307" s="104"/>
      <c r="GSG307" s="104"/>
      <c r="GSH307" s="104"/>
      <c r="GSI307" s="104"/>
      <c r="GSJ307" s="104"/>
      <c r="GSK307" s="104"/>
      <c r="GSL307" s="104"/>
      <c r="GSM307" s="104"/>
      <c r="GSN307" s="104"/>
      <c r="GSO307" s="104"/>
      <c r="GSP307" s="104"/>
      <c r="GSQ307" s="104"/>
      <c r="GSR307" s="104"/>
      <c r="GSS307" s="104"/>
      <c r="GST307" s="104"/>
      <c r="GSU307" s="104"/>
      <c r="GSV307" s="104"/>
      <c r="GSW307" s="104"/>
      <c r="GSX307" s="104"/>
      <c r="GSY307" s="104"/>
      <c r="GSZ307" s="104"/>
      <c r="GTA307" s="104"/>
      <c r="GTB307" s="104"/>
      <c r="GTC307" s="104"/>
      <c r="GTD307" s="104"/>
      <c r="GTE307" s="104"/>
      <c r="GTF307" s="104"/>
      <c r="GTG307" s="104"/>
      <c r="GTH307" s="104"/>
      <c r="GTI307" s="104"/>
      <c r="GTJ307" s="104"/>
      <c r="GTK307" s="104"/>
      <c r="GTL307" s="104"/>
      <c r="GTM307" s="104"/>
      <c r="GTN307" s="104"/>
      <c r="GTO307" s="104"/>
      <c r="GTP307" s="104"/>
      <c r="GTQ307" s="104"/>
      <c r="GTR307" s="104"/>
      <c r="GTS307" s="104"/>
      <c r="GTT307" s="104"/>
      <c r="GTU307" s="104"/>
      <c r="GTV307" s="104"/>
      <c r="GTW307" s="104"/>
      <c r="GTX307" s="104"/>
      <c r="GTY307" s="104"/>
      <c r="GTZ307" s="104"/>
      <c r="GUA307" s="104"/>
      <c r="GUB307" s="104"/>
      <c r="GUC307" s="104"/>
      <c r="GUD307" s="104"/>
      <c r="GUE307" s="104"/>
      <c r="GUF307" s="104"/>
      <c r="GUG307" s="104"/>
      <c r="GUH307" s="104"/>
      <c r="GUI307" s="104"/>
      <c r="GUJ307" s="104"/>
      <c r="GUK307" s="104"/>
      <c r="GUL307" s="104"/>
      <c r="GUM307" s="104"/>
      <c r="GUN307" s="104"/>
      <c r="GUO307" s="104"/>
      <c r="GUP307" s="104"/>
      <c r="GUQ307" s="104"/>
      <c r="GUR307" s="104"/>
      <c r="GUS307" s="104"/>
      <c r="GUT307" s="104"/>
      <c r="GUU307" s="104"/>
      <c r="GUV307" s="104"/>
      <c r="GUW307" s="104"/>
      <c r="GUX307" s="104"/>
      <c r="GUY307" s="104"/>
      <c r="GUZ307" s="104"/>
      <c r="GVA307" s="104"/>
      <c r="GVB307" s="104"/>
      <c r="GVC307" s="104"/>
      <c r="GVD307" s="104"/>
      <c r="GVE307" s="104"/>
      <c r="GVF307" s="104"/>
      <c r="GVG307" s="104"/>
      <c r="GVH307" s="104"/>
      <c r="GVI307" s="104"/>
      <c r="GVJ307" s="104"/>
      <c r="GVK307" s="104"/>
      <c r="GVL307" s="104"/>
      <c r="GVM307" s="104"/>
      <c r="GVN307" s="104"/>
      <c r="GVO307" s="104"/>
      <c r="GVP307" s="104"/>
      <c r="GVQ307" s="104"/>
      <c r="GVR307" s="104"/>
      <c r="GVS307" s="104"/>
      <c r="GVT307" s="104"/>
      <c r="GVU307" s="104"/>
      <c r="GVV307" s="104"/>
      <c r="GVW307" s="104"/>
      <c r="GVX307" s="104"/>
      <c r="GVY307" s="104"/>
      <c r="GVZ307" s="104"/>
      <c r="GWA307" s="104"/>
      <c r="GWB307" s="104"/>
      <c r="GWC307" s="104"/>
      <c r="GWD307" s="104"/>
      <c r="GWE307" s="104"/>
      <c r="GWF307" s="104"/>
      <c r="GWG307" s="104"/>
      <c r="GWH307" s="104"/>
      <c r="GWI307" s="104"/>
      <c r="GWJ307" s="104"/>
      <c r="GWK307" s="104"/>
      <c r="GWL307" s="104"/>
      <c r="GWM307" s="104"/>
      <c r="GWN307" s="104"/>
      <c r="GWO307" s="104"/>
      <c r="GWP307" s="104"/>
      <c r="GWQ307" s="104"/>
      <c r="GWR307" s="104"/>
      <c r="GWS307" s="104"/>
      <c r="GWT307" s="104"/>
      <c r="GWU307" s="104"/>
      <c r="GWV307" s="104"/>
      <c r="GWW307" s="104"/>
      <c r="GWX307" s="104"/>
      <c r="GWY307" s="104"/>
      <c r="GWZ307" s="104"/>
      <c r="GXA307" s="104"/>
      <c r="GXB307" s="104"/>
      <c r="GXC307" s="104"/>
      <c r="GXD307" s="104"/>
      <c r="GXE307" s="104"/>
      <c r="GXF307" s="104"/>
      <c r="GXG307" s="104"/>
      <c r="GXH307" s="104"/>
      <c r="GXI307" s="104"/>
      <c r="GXJ307" s="104"/>
      <c r="GXK307" s="104"/>
      <c r="GXL307" s="104"/>
      <c r="GXM307" s="104"/>
      <c r="GXN307" s="104"/>
      <c r="GXO307" s="104"/>
      <c r="GXP307" s="104"/>
      <c r="GXQ307" s="104"/>
      <c r="GXR307" s="104"/>
      <c r="GXS307" s="104"/>
      <c r="GXT307" s="104"/>
      <c r="GXU307" s="104"/>
      <c r="GXV307" s="104"/>
      <c r="GXW307" s="104"/>
      <c r="GXX307" s="104"/>
      <c r="GXY307" s="104"/>
      <c r="GXZ307" s="104"/>
      <c r="GYA307" s="104"/>
      <c r="GYB307" s="104"/>
      <c r="GYC307" s="104"/>
      <c r="GYD307" s="104"/>
      <c r="GYE307" s="104"/>
      <c r="GYF307" s="104"/>
      <c r="GYG307" s="104"/>
      <c r="GYH307" s="104"/>
      <c r="GYI307" s="104"/>
      <c r="GYJ307" s="104"/>
      <c r="GYK307" s="104"/>
      <c r="GYL307" s="104"/>
      <c r="GYM307" s="104"/>
      <c r="GYN307" s="104"/>
      <c r="GYO307" s="104"/>
      <c r="GYP307" s="104"/>
      <c r="GYQ307" s="104"/>
      <c r="GYR307" s="104"/>
      <c r="GYS307" s="104"/>
      <c r="GYT307" s="104"/>
      <c r="GYU307" s="104"/>
      <c r="GYV307" s="104"/>
      <c r="GYW307" s="104"/>
      <c r="GYX307" s="104"/>
      <c r="GYY307" s="104"/>
      <c r="GYZ307" s="104"/>
      <c r="GZA307" s="104"/>
      <c r="GZB307" s="104"/>
      <c r="GZC307" s="104"/>
      <c r="GZD307" s="104"/>
      <c r="GZE307" s="104"/>
      <c r="GZF307" s="104"/>
      <c r="GZG307" s="104"/>
      <c r="GZH307" s="104"/>
      <c r="GZI307" s="104"/>
      <c r="GZJ307" s="104"/>
      <c r="GZK307" s="104"/>
      <c r="GZL307" s="104"/>
      <c r="GZM307" s="104"/>
      <c r="GZN307" s="104"/>
      <c r="GZO307" s="104"/>
      <c r="GZP307" s="104"/>
      <c r="GZQ307" s="104"/>
      <c r="GZR307" s="104"/>
      <c r="GZS307" s="104"/>
      <c r="GZT307" s="104"/>
      <c r="GZU307" s="104"/>
      <c r="GZV307" s="104"/>
      <c r="GZW307" s="104"/>
      <c r="GZX307" s="104"/>
      <c r="GZY307" s="104"/>
      <c r="GZZ307" s="104"/>
      <c r="HAA307" s="104"/>
      <c r="HAB307" s="104"/>
      <c r="HAC307" s="104"/>
      <c r="HAD307" s="104"/>
      <c r="HAE307" s="104"/>
      <c r="HAF307" s="104"/>
      <c r="HAG307" s="104"/>
      <c r="HAH307" s="104"/>
      <c r="HAI307" s="104"/>
      <c r="HAJ307" s="104"/>
      <c r="HAK307" s="104"/>
      <c r="HAL307" s="104"/>
      <c r="HAM307" s="104"/>
      <c r="HAN307" s="104"/>
      <c r="HAO307" s="104"/>
      <c r="HAP307" s="104"/>
      <c r="HAQ307" s="104"/>
      <c r="HAR307" s="104"/>
      <c r="HAS307" s="104"/>
      <c r="HAT307" s="104"/>
      <c r="HAU307" s="104"/>
      <c r="HAV307" s="104"/>
      <c r="HAW307" s="104"/>
      <c r="HAX307" s="104"/>
      <c r="HAY307" s="104"/>
      <c r="HAZ307" s="104"/>
      <c r="HBA307" s="104"/>
      <c r="HBB307" s="104"/>
      <c r="HBC307" s="104"/>
      <c r="HBD307" s="104"/>
      <c r="HBE307" s="104"/>
      <c r="HBF307" s="104"/>
      <c r="HBG307" s="104"/>
      <c r="HBH307" s="104"/>
      <c r="HBI307" s="104"/>
      <c r="HBJ307" s="104"/>
      <c r="HBK307" s="104"/>
      <c r="HBL307" s="104"/>
      <c r="HBM307" s="104"/>
      <c r="HBN307" s="104"/>
      <c r="HBO307" s="104"/>
      <c r="HBP307" s="104"/>
      <c r="HBQ307" s="104"/>
      <c r="HBR307" s="104"/>
      <c r="HBS307" s="104"/>
      <c r="HBT307" s="104"/>
      <c r="HBU307" s="104"/>
      <c r="HBV307" s="104"/>
      <c r="HBW307" s="104"/>
      <c r="HBX307" s="104"/>
      <c r="HBY307" s="104"/>
      <c r="HBZ307" s="104"/>
      <c r="HCA307" s="104"/>
      <c r="HCB307" s="104"/>
      <c r="HCC307" s="104"/>
      <c r="HCD307" s="104"/>
      <c r="HCE307" s="104"/>
      <c r="HCF307" s="104"/>
      <c r="HCG307" s="104"/>
      <c r="HCH307" s="104"/>
      <c r="HCI307" s="104"/>
      <c r="HCJ307" s="104"/>
      <c r="HCK307" s="104"/>
      <c r="HCL307" s="104"/>
      <c r="HCM307" s="104"/>
      <c r="HCN307" s="104"/>
      <c r="HCO307" s="104"/>
      <c r="HCP307" s="104"/>
      <c r="HCQ307" s="104"/>
      <c r="HCR307" s="104"/>
      <c r="HCS307" s="104"/>
      <c r="HCT307" s="104"/>
      <c r="HCU307" s="104"/>
      <c r="HCV307" s="104"/>
      <c r="HCW307" s="104"/>
      <c r="HCX307" s="104"/>
      <c r="HCY307" s="104"/>
      <c r="HCZ307" s="104"/>
      <c r="HDA307" s="104"/>
      <c r="HDB307" s="104"/>
      <c r="HDC307" s="104"/>
      <c r="HDD307" s="104"/>
      <c r="HDE307" s="104"/>
      <c r="HDF307" s="104"/>
      <c r="HDG307" s="104"/>
      <c r="HDH307" s="104"/>
      <c r="HDI307" s="104"/>
      <c r="HDJ307" s="104"/>
      <c r="HDK307" s="104"/>
      <c r="HDL307" s="104"/>
      <c r="HDM307" s="104"/>
      <c r="HDN307" s="104"/>
      <c r="HDO307" s="104"/>
      <c r="HDP307" s="104"/>
      <c r="HDQ307" s="104"/>
      <c r="HDR307" s="104"/>
      <c r="HDS307" s="104"/>
      <c r="HDT307" s="104"/>
      <c r="HDU307" s="104"/>
      <c r="HDV307" s="104"/>
      <c r="HDW307" s="104"/>
      <c r="HDX307" s="104"/>
      <c r="HDY307" s="104"/>
      <c r="HDZ307" s="104"/>
      <c r="HEA307" s="104"/>
      <c r="HEB307" s="104"/>
      <c r="HEC307" s="104"/>
      <c r="HED307" s="104"/>
      <c r="HEE307" s="104"/>
      <c r="HEF307" s="104"/>
      <c r="HEG307" s="104"/>
      <c r="HEH307" s="104"/>
      <c r="HEI307" s="104"/>
      <c r="HEJ307" s="104"/>
      <c r="HEK307" s="104"/>
      <c r="HEL307" s="104"/>
      <c r="HEM307" s="104"/>
      <c r="HEN307" s="104"/>
      <c r="HEO307" s="104"/>
      <c r="HEP307" s="104"/>
      <c r="HEQ307" s="104"/>
      <c r="HER307" s="104"/>
      <c r="HES307" s="104"/>
      <c r="HET307" s="104"/>
      <c r="HEU307" s="104"/>
      <c r="HEV307" s="104"/>
      <c r="HEW307" s="104"/>
      <c r="HEX307" s="104"/>
      <c r="HEY307" s="104"/>
      <c r="HEZ307" s="104"/>
      <c r="HFA307" s="104"/>
      <c r="HFB307" s="104"/>
      <c r="HFC307" s="104"/>
      <c r="HFD307" s="104"/>
      <c r="HFE307" s="104"/>
      <c r="HFF307" s="104"/>
      <c r="HFG307" s="104"/>
      <c r="HFH307" s="104"/>
      <c r="HFI307" s="104"/>
      <c r="HFJ307" s="104"/>
      <c r="HFK307" s="104"/>
      <c r="HFL307" s="104"/>
      <c r="HFM307" s="104"/>
      <c r="HFN307" s="104"/>
      <c r="HFO307" s="104"/>
      <c r="HFP307" s="104"/>
      <c r="HFQ307" s="104"/>
      <c r="HFR307" s="104"/>
      <c r="HFS307" s="104"/>
      <c r="HFT307" s="104"/>
      <c r="HFU307" s="104"/>
      <c r="HFV307" s="104"/>
      <c r="HFW307" s="104"/>
      <c r="HFX307" s="104"/>
      <c r="HFY307" s="104"/>
      <c r="HFZ307" s="104"/>
      <c r="HGA307" s="104"/>
      <c r="HGB307" s="104"/>
      <c r="HGC307" s="104"/>
      <c r="HGD307" s="104"/>
      <c r="HGE307" s="104"/>
      <c r="HGF307" s="104"/>
      <c r="HGG307" s="104"/>
      <c r="HGH307" s="104"/>
      <c r="HGI307" s="104"/>
      <c r="HGJ307" s="104"/>
      <c r="HGK307" s="104"/>
      <c r="HGL307" s="104"/>
      <c r="HGM307" s="104"/>
      <c r="HGN307" s="104"/>
      <c r="HGO307" s="104"/>
      <c r="HGP307" s="104"/>
      <c r="HGQ307" s="104"/>
      <c r="HGR307" s="104"/>
      <c r="HGS307" s="104"/>
      <c r="HGT307" s="104"/>
      <c r="HGU307" s="104"/>
      <c r="HGV307" s="104"/>
      <c r="HGW307" s="104"/>
      <c r="HGX307" s="104"/>
      <c r="HGY307" s="104"/>
      <c r="HGZ307" s="104"/>
      <c r="HHA307" s="104"/>
      <c r="HHB307" s="104"/>
      <c r="HHC307" s="104"/>
      <c r="HHD307" s="104"/>
      <c r="HHE307" s="104"/>
      <c r="HHF307" s="104"/>
      <c r="HHG307" s="104"/>
      <c r="HHH307" s="104"/>
      <c r="HHI307" s="104"/>
      <c r="HHJ307" s="104"/>
      <c r="HHK307" s="104"/>
      <c r="HHL307" s="104"/>
      <c r="HHM307" s="104"/>
      <c r="HHN307" s="104"/>
      <c r="HHO307" s="104"/>
      <c r="HHP307" s="104"/>
      <c r="HHQ307" s="104"/>
      <c r="HHR307" s="104"/>
      <c r="HHS307" s="104"/>
      <c r="HHT307" s="104"/>
      <c r="HHU307" s="104"/>
      <c r="HHV307" s="104"/>
      <c r="HHW307" s="104"/>
      <c r="HHX307" s="104"/>
      <c r="HHY307" s="104"/>
      <c r="HHZ307" s="104"/>
      <c r="HIA307" s="104"/>
      <c r="HIB307" s="104"/>
      <c r="HIC307" s="104"/>
      <c r="HID307" s="104"/>
      <c r="HIE307" s="104"/>
      <c r="HIF307" s="104"/>
      <c r="HIG307" s="104"/>
      <c r="HIH307" s="104"/>
      <c r="HII307" s="104"/>
      <c r="HIJ307" s="104"/>
      <c r="HIK307" s="104"/>
      <c r="HIL307" s="104"/>
      <c r="HIM307" s="104"/>
      <c r="HIN307" s="104"/>
      <c r="HIO307" s="104"/>
      <c r="HIP307" s="104"/>
      <c r="HIQ307" s="104"/>
      <c r="HIR307" s="104"/>
      <c r="HIS307" s="104"/>
      <c r="HIT307" s="104"/>
      <c r="HIU307" s="104"/>
      <c r="HIV307" s="104"/>
      <c r="HIW307" s="104"/>
      <c r="HIX307" s="104"/>
      <c r="HIY307" s="104"/>
      <c r="HIZ307" s="104"/>
      <c r="HJA307" s="104"/>
      <c r="HJB307" s="104"/>
      <c r="HJC307" s="104"/>
      <c r="HJD307" s="104"/>
      <c r="HJE307" s="104"/>
      <c r="HJF307" s="104"/>
      <c r="HJG307" s="104"/>
      <c r="HJH307" s="104"/>
      <c r="HJI307" s="104"/>
      <c r="HJJ307" s="104"/>
      <c r="HJK307" s="104"/>
      <c r="HJL307" s="104"/>
      <c r="HJM307" s="104"/>
      <c r="HJN307" s="104"/>
      <c r="HJO307" s="104"/>
      <c r="HJP307" s="104"/>
      <c r="HJQ307" s="104"/>
      <c r="HJR307" s="104"/>
      <c r="HJS307" s="104"/>
      <c r="HJT307" s="104"/>
      <c r="HJU307" s="104"/>
      <c r="HJV307" s="104"/>
      <c r="HJW307" s="104"/>
      <c r="HJX307" s="104"/>
      <c r="HJY307" s="104"/>
      <c r="HJZ307" s="104"/>
      <c r="HKA307" s="104"/>
      <c r="HKB307" s="104"/>
      <c r="HKC307" s="104"/>
      <c r="HKD307" s="104"/>
      <c r="HKE307" s="104"/>
      <c r="HKF307" s="104"/>
      <c r="HKG307" s="104"/>
      <c r="HKH307" s="104"/>
      <c r="HKI307" s="104"/>
      <c r="HKJ307" s="104"/>
      <c r="HKK307" s="104"/>
      <c r="HKL307" s="104"/>
      <c r="HKM307" s="104"/>
      <c r="HKN307" s="104"/>
      <c r="HKO307" s="104"/>
      <c r="HKP307" s="104"/>
      <c r="HKQ307" s="104"/>
      <c r="HKR307" s="104"/>
      <c r="HKS307" s="104"/>
      <c r="HKT307" s="104"/>
      <c r="HKU307" s="104"/>
      <c r="HKV307" s="104"/>
      <c r="HKW307" s="104"/>
      <c r="HKX307" s="104"/>
      <c r="HKY307" s="104"/>
      <c r="HKZ307" s="104"/>
      <c r="HLA307" s="104"/>
      <c r="HLB307" s="104"/>
      <c r="HLC307" s="104"/>
      <c r="HLD307" s="104"/>
      <c r="HLE307" s="104"/>
      <c r="HLF307" s="104"/>
      <c r="HLG307" s="104"/>
      <c r="HLH307" s="104"/>
      <c r="HLI307" s="104"/>
      <c r="HLJ307" s="104"/>
      <c r="HLK307" s="104"/>
      <c r="HLL307" s="104"/>
      <c r="HLM307" s="104"/>
      <c r="HLN307" s="104"/>
      <c r="HLO307" s="104"/>
      <c r="HLP307" s="104"/>
      <c r="HLQ307" s="104"/>
      <c r="HLR307" s="104"/>
      <c r="HLS307" s="104"/>
      <c r="HLT307" s="104"/>
      <c r="HLU307" s="104"/>
      <c r="HLV307" s="104"/>
      <c r="HLW307" s="104"/>
      <c r="HLX307" s="104"/>
      <c r="HLY307" s="104"/>
      <c r="HLZ307" s="104"/>
      <c r="HMA307" s="104"/>
      <c r="HMB307" s="104"/>
      <c r="HMC307" s="104"/>
      <c r="HMD307" s="104"/>
      <c r="HME307" s="104"/>
      <c r="HMF307" s="104"/>
      <c r="HMG307" s="104"/>
      <c r="HMH307" s="104"/>
      <c r="HMI307" s="104"/>
      <c r="HMJ307" s="104"/>
      <c r="HMK307" s="104"/>
      <c r="HML307" s="104"/>
      <c r="HMM307" s="104"/>
      <c r="HMN307" s="104"/>
      <c r="HMO307" s="104"/>
      <c r="HMP307" s="104"/>
      <c r="HMQ307" s="104"/>
      <c r="HMR307" s="104"/>
      <c r="HMS307" s="104"/>
      <c r="HMT307" s="104"/>
      <c r="HMU307" s="104"/>
      <c r="HMV307" s="104"/>
      <c r="HMW307" s="104"/>
      <c r="HMX307" s="104"/>
      <c r="HMY307" s="104"/>
      <c r="HMZ307" s="104"/>
      <c r="HNA307" s="104"/>
      <c r="HNB307" s="104"/>
      <c r="HNC307" s="104"/>
      <c r="HND307" s="104"/>
      <c r="HNE307" s="104"/>
      <c r="HNF307" s="104"/>
      <c r="HNG307" s="104"/>
      <c r="HNH307" s="104"/>
      <c r="HNI307" s="104"/>
      <c r="HNJ307" s="104"/>
      <c r="HNK307" s="104"/>
      <c r="HNL307" s="104"/>
      <c r="HNM307" s="104"/>
      <c r="HNN307" s="104"/>
      <c r="HNO307" s="104"/>
      <c r="HNP307" s="104"/>
      <c r="HNQ307" s="104"/>
      <c r="HNR307" s="104"/>
      <c r="HNS307" s="104"/>
      <c r="HNT307" s="104"/>
      <c r="HNU307" s="104"/>
      <c r="HNV307" s="104"/>
      <c r="HNW307" s="104"/>
      <c r="HNX307" s="104"/>
      <c r="HNY307" s="104"/>
      <c r="HNZ307" s="104"/>
      <c r="HOA307" s="104"/>
      <c r="HOB307" s="104"/>
      <c r="HOC307" s="104"/>
      <c r="HOD307" s="104"/>
      <c r="HOE307" s="104"/>
      <c r="HOF307" s="104"/>
      <c r="HOG307" s="104"/>
      <c r="HOH307" s="104"/>
      <c r="HOI307" s="104"/>
      <c r="HOJ307" s="104"/>
      <c r="HOK307" s="104"/>
      <c r="HOL307" s="104"/>
      <c r="HOM307" s="104"/>
      <c r="HON307" s="104"/>
      <c r="HOO307" s="104"/>
      <c r="HOP307" s="104"/>
      <c r="HOQ307" s="104"/>
      <c r="HOR307" s="104"/>
      <c r="HOS307" s="104"/>
      <c r="HOT307" s="104"/>
      <c r="HOU307" s="104"/>
      <c r="HOV307" s="104"/>
      <c r="HOW307" s="104"/>
      <c r="HOX307" s="104"/>
      <c r="HOY307" s="104"/>
      <c r="HOZ307" s="104"/>
      <c r="HPA307" s="104"/>
      <c r="HPB307" s="104"/>
      <c r="HPC307" s="104"/>
      <c r="HPD307" s="104"/>
      <c r="HPE307" s="104"/>
      <c r="HPF307" s="104"/>
      <c r="HPG307" s="104"/>
      <c r="HPH307" s="104"/>
      <c r="HPI307" s="104"/>
      <c r="HPJ307" s="104"/>
      <c r="HPK307" s="104"/>
      <c r="HPL307" s="104"/>
      <c r="HPM307" s="104"/>
      <c r="HPN307" s="104"/>
      <c r="HPO307" s="104"/>
      <c r="HPP307" s="104"/>
      <c r="HPQ307" s="104"/>
      <c r="HPR307" s="104"/>
      <c r="HPS307" s="104"/>
      <c r="HPT307" s="104"/>
      <c r="HPU307" s="104"/>
      <c r="HPV307" s="104"/>
      <c r="HPW307" s="104"/>
      <c r="HPX307" s="104"/>
      <c r="HPY307" s="104"/>
      <c r="HPZ307" s="104"/>
      <c r="HQA307" s="104"/>
      <c r="HQB307" s="104"/>
      <c r="HQC307" s="104"/>
      <c r="HQD307" s="104"/>
      <c r="HQE307" s="104"/>
      <c r="HQF307" s="104"/>
      <c r="HQG307" s="104"/>
      <c r="HQH307" s="104"/>
      <c r="HQI307" s="104"/>
      <c r="HQJ307" s="104"/>
      <c r="HQK307" s="104"/>
      <c r="HQL307" s="104"/>
      <c r="HQM307" s="104"/>
      <c r="HQN307" s="104"/>
      <c r="HQO307" s="104"/>
      <c r="HQP307" s="104"/>
      <c r="HQQ307" s="104"/>
      <c r="HQR307" s="104"/>
      <c r="HQS307" s="104"/>
      <c r="HQT307" s="104"/>
      <c r="HQU307" s="104"/>
      <c r="HQV307" s="104"/>
      <c r="HQW307" s="104"/>
      <c r="HQX307" s="104"/>
      <c r="HQY307" s="104"/>
      <c r="HQZ307" s="104"/>
      <c r="HRA307" s="104"/>
      <c r="HRB307" s="104"/>
      <c r="HRC307" s="104"/>
      <c r="HRD307" s="104"/>
      <c r="HRE307" s="104"/>
      <c r="HRF307" s="104"/>
      <c r="HRG307" s="104"/>
      <c r="HRH307" s="104"/>
      <c r="HRI307" s="104"/>
      <c r="HRJ307" s="104"/>
      <c r="HRK307" s="104"/>
      <c r="HRL307" s="104"/>
      <c r="HRM307" s="104"/>
      <c r="HRN307" s="104"/>
      <c r="HRO307" s="104"/>
      <c r="HRP307" s="104"/>
      <c r="HRQ307" s="104"/>
      <c r="HRR307" s="104"/>
      <c r="HRS307" s="104"/>
      <c r="HRT307" s="104"/>
      <c r="HRU307" s="104"/>
      <c r="HRV307" s="104"/>
      <c r="HRW307" s="104"/>
      <c r="HRX307" s="104"/>
      <c r="HRY307" s="104"/>
      <c r="HRZ307" s="104"/>
      <c r="HSA307" s="104"/>
      <c r="HSB307" s="104"/>
      <c r="HSC307" s="104"/>
      <c r="HSD307" s="104"/>
      <c r="HSE307" s="104"/>
      <c r="HSF307" s="104"/>
      <c r="HSG307" s="104"/>
      <c r="HSH307" s="104"/>
      <c r="HSI307" s="104"/>
      <c r="HSJ307" s="104"/>
      <c r="HSK307" s="104"/>
      <c r="HSL307" s="104"/>
      <c r="HSM307" s="104"/>
      <c r="HSN307" s="104"/>
      <c r="HSO307" s="104"/>
      <c r="HSP307" s="104"/>
      <c r="HSQ307" s="104"/>
      <c r="HSR307" s="104"/>
      <c r="HSS307" s="104"/>
      <c r="HST307" s="104"/>
      <c r="HSU307" s="104"/>
      <c r="HSV307" s="104"/>
      <c r="HSW307" s="104"/>
      <c r="HSX307" s="104"/>
      <c r="HSY307" s="104"/>
      <c r="HSZ307" s="104"/>
      <c r="HTA307" s="104"/>
      <c r="HTB307" s="104"/>
      <c r="HTC307" s="104"/>
      <c r="HTD307" s="104"/>
      <c r="HTE307" s="104"/>
      <c r="HTF307" s="104"/>
      <c r="HTG307" s="104"/>
      <c r="HTH307" s="104"/>
      <c r="HTI307" s="104"/>
      <c r="HTJ307" s="104"/>
      <c r="HTK307" s="104"/>
      <c r="HTL307" s="104"/>
      <c r="HTM307" s="104"/>
      <c r="HTN307" s="104"/>
      <c r="HTO307" s="104"/>
      <c r="HTP307" s="104"/>
      <c r="HTQ307" s="104"/>
      <c r="HTR307" s="104"/>
      <c r="HTS307" s="104"/>
      <c r="HTT307" s="104"/>
      <c r="HTU307" s="104"/>
      <c r="HTV307" s="104"/>
      <c r="HTW307" s="104"/>
      <c r="HTX307" s="104"/>
      <c r="HTY307" s="104"/>
      <c r="HTZ307" s="104"/>
      <c r="HUA307" s="104"/>
      <c r="HUB307" s="104"/>
      <c r="HUC307" s="104"/>
      <c r="HUD307" s="104"/>
      <c r="HUE307" s="104"/>
      <c r="HUF307" s="104"/>
      <c r="HUG307" s="104"/>
      <c r="HUH307" s="104"/>
      <c r="HUI307" s="104"/>
      <c r="HUJ307" s="104"/>
      <c r="HUK307" s="104"/>
      <c r="HUL307" s="104"/>
      <c r="HUM307" s="104"/>
      <c r="HUN307" s="104"/>
      <c r="HUO307" s="104"/>
      <c r="HUP307" s="104"/>
      <c r="HUQ307" s="104"/>
      <c r="HUR307" s="104"/>
      <c r="HUS307" s="104"/>
      <c r="HUT307" s="104"/>
      <c r="HUU307" s="104"/>
      <c r="HUV307" s="104"/>
      <c r="HUW307" s="104"/>
      <c r="HUX307" s="104"/>
      <c r="HUY307" s="104"/>
      <c r="HUZ307" s="104"/>
      <c r="HVA307" s="104"/>
      <c r="HVB307" s="104"/>
      <c r="HVC307" s="104"/>
      <c r="HVD307" s="104"/>
      <c r="HVE307" s="104"/>
      <c r="HVF307" s="104"/>
      <c r="HVG307" s="104"/>
      <c r="HVH307" s="104"/>
      <c r="HVI307" s="104"/>
      <c r="HVJ307" s="104"/>
      <c r="HVK307" s="104"/>
      <c r="HVL307" s="104"/>
      <c r="HVM307" s="104"/>
      <c r="HVN307" s="104"/>
      <c r="HVO307" s="104"/>
      <c r="HVP307" s="104"/>
      <c r="HVQ307" s="104"/>
      <c r="HVR307" s="104"/>
      <c r="HVS307" s="104"/>
      <c r="HVT307" s="104"/>
      <c r="HVU307" s="104"/>
      <c r="HVV307" s="104"/>
      <c r="HVW307" s="104"/>
      <c r="HVX307" s="104"/>
      <c r="HVY307" s="104"/>
      <c r="HVZ307" s="104"/>
      <c r="HWA307" s="104"/>
      <c r="HWB307" s="104"/>
      <c r="HWC307" s="104"/>
      <c r="HWD307" s="104"/>
      <c r="HWE307" s="104"/>
      <c r="HWF307" s="104"/>
      <c r="HWG307" s="104"/>
      <c r="HWH307" s="104"/>
      <c r="HWI307" s="104"/>
      <c r="HWJ307" s="104"/>
      <c r="HWK307" s="104"/>
      <c r="HWL307" s="104"/>
      <c r="HWM307" s="104"/>
      <c r="HWN307" s="104"/>
      <c r="HWO307" s="104"/>
      <c r="HWP307" s="104"/>
      <c r="HWQ307" s="104"/>
      <c r="HWR307" s="104"/>
      <c r="HWS307" s="104"/>
      <c r="HWT307" s="104"/>
      <c r="HWU307" s="104"/>
      <c r="HWV307" s="104"/>
      <c r="HWW307" s="104"/>
      <c r="HWX307" s="104"/>
      <c r="HWY307" s="104"/>
      <c r="HWZ307" s="104"/>
      <c r="HXA307" s="104"/>
      <c r="HXB307" s="104"/>
      <c r="HXC307" s="104"/>
      <c r="HXD307" s="104"/>
      <c r="HXE307" s="104"/>
      <c r="HXF307" s="104"/>
      <c r="HXG307" s="104"/>
      <c r="HXH307" s="104"/>
      <c r="HXI307" s="104"/>
      <c r="HXJ307" s="104"/>
      <c r="HXK307" s="104"/>
      <c r="HXL307" s="104"/>
      <c r="HXM307" s="104"/>
      <c r="HXN307" s="104"/>
      <c r="HXO307" s="104"/>
      <c r="HXP307" s="104"/>
      <c r="HXQ307" s="104"/>
      <c r="HXR307" s="104"/>
      <c r="HXS307" s="104"/>
      <c r="HXT307" s="104"/>
      <c r="HXU307" s="104"/>
      <c r="HXV307" s="104"/>
      <c r="HXW307" s="104"/>
      <c r="HXX307" s="104"/>
      <c r="HXY307" s="104"/>
      <c r="HXZ307" s="104"/>
      <c r="HYA307" s="104"/>
      <c r="HYB307" s="104"/>
      <c r="HYC307" s="104"/>
      <c r="HYD307" s="104"/>
      <c r="HYE307" s="104"/>
      <c r="HYF307" s="104"/>
      <c r="HYG307" s="104"/>
      <c r="HYH307" s="104"/>
      <c r="HYI307" s="104"/>
      <c r="HYJ307" s="104"/>
      <c r="HYK307" s="104"/>
      <c r="HYL307" s="104"/>
      <c r="HYM307" s="104"/>
      <c r="HYN307" s="104"/>
      <c r="HYO307" s="104"/>
      <c r="HYP307" s="104"/>
      <c r="HYQ307" s="104"/>
      <c r="HYR307" s="104"/>
      <c r="HYS307" s="104"/>
      <c r="HYT307" s="104"/>
      <c r="HYU307" s="104"/>
      <c r="HYV307" s="104"/>
      <c r="HYW307" s="104"/>
      <c r="HYX307" s="104"/>
      <c r="HYY307" s="104"/>
      <c r="HYZ307" s="104"/>
      <c r="HZA307" s="104"/>
      <c r="HZB307" s="104"/>
      <c r="HZC307" s="104"/>
      <c r="HZD307" s="104"/>
      <c r="HZE307" s="104"/>
      <c r="HZF307" s="104"/>
      <c r="HZG307" s="104"/>
      <c r="HZH307" s="104"/>
      <c r="HZI307" s="104"/>
      <c r="HZJ307" s="104"/>
      <c r="HZK307" s="104"/>
      <c r="HZL307" s="104"/>
      <c r="HZM307" s="104"/>
      <c r="HZN307" s="104"/>
      <c r="HZO307" s="104"/>
      <c r="HZP307" s="104"/>
      <c r="HZQ307" s="104"/>
      <c r="HZR307" s="104"/>
      <c r="HZS307" s="104"/>
      <c r="HZT307" s="104"/>
      <c r="HZU307" s="104"/>
      <c r="HZV307" s="104"/>
      <c r="HZW307" s="104"/>
      <c r="HZX307" s="104"/>
      <c r="HZY307" s="104"/>
      <c r="HZZ307" s="104"/>
      <c r="IAA307" s="104"/>
      <c r="IAB307" s="104"/>
      <c r="IAC307" s="104"/>
      <c r="IAD307" s="104"/>
      <c r="IAE307" s="104"/>
      <c r="IAF307" s="104"/>
      <c r="IAG307" s="104"/>
      <c r="IAH307" s="104"/>
      <c r="IAI307" s="104"/>
      <c r="IAJ307" s="104"/>
      <c r="IAK307" s="104"/>
      <c r="IAL307" s="104"/>
      <c r="IAM307" s="104"/>
      <c r="IAN307" s="104"/>
      <c r="IAO307" s="104"/>
      <c r="IAP307" s="104"/>
      <c r="IAQ307" s="104"/>
      <c r="IAR307" s="104"/>
      <c r="IAS307" s="104"/>
      <c r="IAT307" s="104"/>
      <c r="IAU307" s="104"/>
      <c r="IAV307" s="104"/>
      <c r="IAW307" s="104"/>
      <c r="IAX307" s="104"/>
      <c r="IAY307" s="104"/>
      <c r="IAZ307" s="104"/>
      <c r="IBA307" s="104"/>
      <c r="IBB307" s="104"/>
      <c r="IBC307" s="104"/>
      <c r="IBD307" s="104"/>
      <c r="IBE307" s="104"/>
      <c r="IBF307" s="104"/>
      <c r="IBG307" s="104"/>
      <c r="IBH307" s="104"/>
      <c r="IBI307" s="104"/>
      <c r="IBJ307" s="104"/>
      <c r="IBK307" s="104"/>
      <c r="IBL307" s="104"/>
      <c r="IBM307" s="104"/>
      <c r="IBN307" s="104"/>
      <c r="IBO307" s="104"/>
      <c r="IBP307" s="104"/>
      <c r="IBQ307" s="104"/>
      <c r="IBR307" s="104"/>
      <c r="IBS307" s="104"/>
      <c r="IBT307" s="104"/>
      <c r="IBU307" s="104"/>
      <c r="IBV307" s="104"/>
      <c r="IBW307" s="104"/>
      <c r="IBX307" s="104"/>
      <c r="IBY307" s="104"/>
      <c r="IBZ307" s="104"/>
      <c r="ICA307" s="104"/>
      <c r="ICB307" s="104"/>
      <c r="ICC307" s="104"/>
      <c r="ICD307" s="104"/>
      <c r="ICE307" s="104"/>
      <c r="ICF307" s="104"/>
      <c r="ICG307" s="104"/>
      <c r="ICH307" s="104"/>
      <c r="ICI307" s="104"/>
      <c r="ICJ307" s="104"/>
      <c r="ICK307" s="104"/>
      <c r="ICL307" s="104"/>
      <c r="ICM307" s="104"/>
      <c r="ICN307" s="104"/>
      <c r="ICO307" s="104"/>
      <c r="ICP307" s="104"/>
      <c r="ICQ307" s="104"/>
      <c r="ICR307" s="104"/>
      <c r="ICS307" s="104"/>
      <c r="ICT307" s="104"/>
      <c r="ICU307" s="104"/>
      <c r="ICV307" s="104"/>
      <c r="ICW307" s="104"/>
      <c r="ICX307" s="104"/>
      <c r="ICY307" s="104"/>
      <c r="ICZ307" s="104"/>
      <c r="IDA307" s="104"/>
      <c r="IDB307" s="104"/>
      <c r="IDC307" s="104"/>
      <c r="IDD307" s="104"/>
      <c r="IDE307" s="104"/>
      <c r="IDF307" s="104"/>
      <c r="IDG307" s="104"/>
      <c r="IDH307" s="104"/>
      <c r="IDI307" s="104"/>
      <c r="IDJ307" s="104"/>
      <c r="IDK307" s="104"/>
      <c r="IDL307" s="104"/>
      <c r="IDM307" s="104"/>
      <c r="IDN307" s="104"/>
      <c r="IDO307" s="104"/>
      <c r="IDP307" s="104"/>
      <c r="IDQ307" s="104"/>
      <c r="IDR307" s="104"/>
      <c r="IDS307" s="104"/>
      <c r="IDT307" s="104"/>
      <c r="IDU307" s="104"/>
      <c r="IDV307" s="104"/>
      <c r="IDW307" s="104"/>
      <c r="IDX307" s="104"/>
      <c r="IDY307" s="104"/>
      <c r="IDZ307" s="104"/>
      <c r="IEA307" s="104"/>
      <c r="IEB307" s="104"/>
      <c r="IEC307" s="104"/>
      <c r="IED307" s="104"/>
      <c r="IEE307" s="104"/>
      <c r="IEF307" s="104"/>
      <c r="IEG307" s="104"/>
      <c r="IEH307" s="104"/>
      <c r="IEI307" s="104"/>
      <c r="IEJ307" s="104"/>
      <c r="IEK307" s="104"/>
      <c r="IEL307" s="104"/>
      <c r="IEM307" s="104"/>
      <c r="IEN307" s="104"/>
      <c r="IEO307" s="104"/>
      <c r="IEP307" s="104"/>
      <c r="IEQ307" s="104"/>
      <c r="IER307" s="104"/>
      <c r="IES307" s="104"/>
      <c r="IET307" s="104"/>
      <c r="IEU307" s="104"/>
      <c r="IEV307" s="104"/>
      <c r="IEW307" s="104"/>
      <c r="IEX307" s="104"/>
      <c r="IEY307" s="104"/>
      <c r="IEZ307" s="104"/>
      <c r="IFA307" s="104"/>
      <c r="IFB307" s="104"/>
      <c r="IFC307" s="104"/>
      <c r="IFD307" s="104"/>
      <c r="IFE307" s="104"/>
      <c r="IFF307" s="104"/>
      <c r="IFG307" s="104"/>
      <c r="IFH307" s="104"/>
      <c r="IFI307" s="104"/>
      <c r="IFJ307" s="104"/>
      <c r="IFK307" s="104"/>
      <c r="IFL307" s="104"/>
      <c r="IFM307" s="104"/>
      <c r="IFN307" s="104"/>
      <c r="IFO307" s="104"/>
      <c r="IFP307" s="104"/>
      <c r="IFQ307" s="104"/>
      <c r="IFR307" s="104"/>
      <c r="IFS307" s="104"/>
      <c r="IFT307" s="104"/>
      <c r="IFU307" s="104"/>
      <c r="IFV307" s="104"/>
      <c r="IFW307" s="104"/>
      <c r="IFX307" s="104"/>
      <c r="IFY307" s="104"/>
      <c r="IFZ307" s="104"/>
      <c r="IGA307" s="104"/>
      <c r="IGB307" s="104"/>
      <c r="IGC307" s="104"/>
      <c r="IGD307" s="104"/>
      <c r="IGE307" s="104"/>
      <c r="IGF307" s="104"/>
      <c r="IGG307" s="104"/>
      <c r="IGH307" s="104"/>
      <c r="IGI307" s="104"/>
      <c r="IGJ307" s="104"/>
      <c r="IGK307" s="104"/>
      <c r="IGL307" s="104"/>
      <c r="IGM307" s="104"/>
      <c r="IGN307" s="104"/>
      <c r="IGO307" s="104"/>
      <c r="IGP307" s="104"/>
      <c r="IGQ307" s="104"/>
      <c r="IGR307" s="104"/>
      <c r="IGS307" s="104"/>
      <c r="IGT307" s="104"/>
      <c r="IGU307" s="104"/>
      <c r="IGV307" s="104"/>
      <c r="IGW307" s="104"/>
      <c r="IGX307" s="104"/>
      <c r="IGY307" s="104"/>
      <c r="IGZ307" s="104"/>
      <c r="IHA307" s="104"/>
      <c r="IHB307" s="104"/>
      <c r="IHC307" s="104"/>
      <c r="IHD307" s="104"/>
      <c r="IHE307" s="104"/>
      <c r="IHF307" s="104"/>
      <c r="IHG307" s="104"/>
      <c r="IHH307" s="104"/>
      <c r="IHI307" s="104"/>
      <c r="IHJ307" s="104"/>
      <c r="IHK307" s="104"/>
      <c r="IHL307" s="104"/>
      <c r="IHM307" s="104"/>
      <c r="IHN307" s="104"/>
      <c r="IHO307" s="104"/>
      <c r="IHP307" s="104"/>
      <c r="IHQ307" s="104"/>
      <c r="IHR307" s="104"/>
      <c r="IHS307" s="104"/>
      <c r="IHT307" s="104"/>
      <c r="IHU307" s="104"/>
      <c r="IHV307" s="104"/>
      <c r="IHW307" s="104"/>
      <c r="IHX307" s="104"/>
      <c r="IHY307" s="104"/>
      <c r="IHZ307" s="104"/>
      <c r="IIA307" s="104"/>
      <c r="IIB307" s="104"/>
      <c r="IIC307" s="104"/>
      <c r="IID307" s="104"/>
      <c r="IIE307" s="104"/>
      <c r="IIF307" s="104"/>
      <c r="IIG307" s="104"/>
      <c r="IIH307" s="104"/>
      <c r="III307" s="104"/>
      <c r="IIJ307" s="104"/>
      <c r="IIK307" s="104"/>
      <c r="IIL307" s="104"/>
      <c r="IIM307" s="104"/>
      <c r="IIN307" s="104"/>
      <c r="IIO307" s="104"/>
      <c r="IIP307" s="104"/>
      <c r="IIQ307" s="104"/>
      <c r="IIR307" s="104"/>
      <c r="IIS307" s="104"/>
      <c r="IIT307" s="104"/>
      <c r="IIU307" s="104"/>
      <c r="IIV307" s="104"/>
      <c r="IIW307" s="104"/>
      <c r="IIX307" s="104"/>
      <c r="IIY307" s="104"/>
      <c r="IIZ307" s="104"/>
      <c r="IJA307" s="104"/>
      <c r="IJB307" s="104"/>
      <c r="IJC307" s="104"/>
      <c r="IJD307" s="104"/>
      <c r="IJE307" s="104"/>
      <c r="IJF307" s="104"/>
      <c r="IJG307" s="104"/>
      <c r="IJH307" s="104"/>
      <c r="IJI307" s="104"/>
      <c r="IJJ307" s="104"/>
      <c r="IJK307" s="104"/>
      <c r="IJL307" s="104"/>
      <c r="IJM307" s="104"/>
      <c r="IJN307" s="104"/>
      <c r="IJO307" s="104"/>
      <c r="IJP307" s="104"/>
      <c r="IJQ307" s="104"/>
      <c r="IJR307" s="104"/>
      <c r="IJS307" s="104"/>
      <c r="IJT307" s="104"/>
      <c r="IJU307" s="104"/>
      <c r="IJV307" s="104"/>
      <c r="IJW307" s="104"/>
      <c r="IJX307" s="104"/>
      <c r="IJY307" s="104"/>
      <c r="IJZ307" s="104"/>
      <c r="IKA307" s="104"/>
      <c r="IKB307" s="104"/>
      <c r="IKC307" s="104"/>
      <c r="IKD307" s="104"/>
      <c r="IKE307" s="104"/>
      <c r="IKF307" s="104"/>
      <c r="IKG307" s="104"/>
      <c r="IKH307" s="104"/>
      <c r="IKI307" s="104"/>
      <c r="IKJ307" s="104"/>
      <c r="IKK307" s="104"/>
      <c r="IKL307" s="104"/>
      <c r="IKM307" s="104"/>
      <c r="IKN307" s="104"/>
      <c r="IKO307" s="104"/>
      <c r="IKP307" s="104"/>
      <c r="IKQ307" s="104"/>
      <c r="IKR307" s="104"/>
      <c r="IKS307" s="104"/>
      <c r="IKT307" s="104"/>
      <c r="IKU307" s="104"/>
      <c r="IKV307" s="104"/>
      <c r="IKW307" s="104"/>
      <c r="IKX307" s="104"/>
      <c r="IKY307" s="104"/>
      <c r="IKZ307" s="104"/>
      <c r="ILA307" s="104"/>
      <c r="ILB307" s="104"/>
      <c r="ILC307" s="104"/>
      <c r="ILD307" s="104"/>
      <c r="ILE307" s="104"/>
      <c r="ILF307" s="104"/>
      <c r="ILG307" s="104"/>
      <c r="ILH307" s="104"/>
      <c r="ILI307" s="104"/>
      <c r="ILJ307" s="104"/>
      <c r="ILK307" s="104"/>
      <c r="ILL307" s="104"/>
      <c r="ILM307" s="104"/>
      <c r="ILN307" s="104"/>
      <c r="ILO307" s="104"/>
      <c r="ILP307" s="104"/>
      <c r="ILQ307" s="104"/>
      <c r="ILR307" s="104"/>
      <c r="ILS307" s="104"/>
      <c r="ILT307" s="104"/>
      <c r="ILU307" s="104"/>
      <c r="ILV307" s="104"/>
      <c r="ILW307" s="104"/>
      <c r="ILX307" s="104"/>
      <c r="ILY307" s="104"/>
      <c r="ILZ307" s="104"/>
      <c r="IMA307" s="104"/>
      <c r="IMB307" s="104"/>
      <c r="IMC307" s="104"/>
      <c r="IMD307" s="104"/>
      <c r="IME307" s="104"/>
      <c r="IMF307" s="104"/>
      <c r="IMG307" s="104"/>
      <c r="IMH307" s="104"/>
      <c r="IMI307" s="104"/>
      <c r="IMJ307" s="104"/>
      <c r="IMK307" s="104"/>
      <c r="IML307" s="104"/>
      <c r="IMM307" s="104"/>
      <c r="IMN307" s="104"/>
      <c r="IMO307" s="104"/>
      <c r="IMP307" s="104"/>
      <c r="IMQ307" s="104"/>
      <c r="IMR307" s="104"/>
      <c r="IMS307" s="104"/>
      <c r="IMT307" s="104"/>
      <c r="IMU307" s="104"/>
      <c r="IMV307" s="104"/>
      <c r="IMW307" s="104"/>
      <c r="IMX307" s="104"/>
      <c r="IMY307" s="104"/>
      <c r="IMZ307" s="104"/>
      <c r="INA307" s="104"/>
      <c r="INB307" s="104"/>
      <c r="INC307" s="104"/>
      <c r="IND307" s="104"/>
      <c r="INE307" s="104"/>
      <c r="INF307" s="104"/>
      <c r="ING307" s="104"/>
      <c r="INH307" s="104"/>
      <c r="INI307" s="104"/>
      <c r="INJ307" s="104"/>
      <c r="INK307" s="104"/>
      <c r="INL307" s="104"/>
      <c r="INM307" s="104"/>
      <c r="INN307" s="104"/>
      <c r="INO307" s="104"/>
      <c r="INP307" s="104"/>
      <c r="INQ307" s="104"/>
      <c r="INR307" s="104"/>
      <c r="INS307" s="104"/>
      <c r="INT307" s="104"/>
      <c r="INU307" s="104"/>
      <c r="INV307" s="104"/>
      <c r="INW307" s="104"/>
      <c r="INX307" s="104"/>
      <c r="INY307" s="104"/>
      <c r="INZ307" s="104"/>
      <c r="IOA307" s="104"/>
      <c r="IOB307" s="104"/>
      <c r="IOC307" s="104"/>
      <c r="IOD307" s="104"/>
      <c r="IOE307" s="104"/>
      <c r="IOF307" s="104"/>
      <c r="IOG307" s="104"/>
      <c r="IOH307" s="104"/>
      <c r="IOI307" s="104"/>
      <c r="IOJ307" s="104"/>
      <c r="IOK307" s="104"/>
      <c r="IOL307" s="104"/>
      <c r="IOM307" s="104"/>
      <c r="ION307" s="104"/>
      <c r="IOO307" s="104"/>
      <c r="IOP307" s="104"/>
      <c r="IOQ307" s="104"/>
      <c r="IOR307" s="104"/>
      <c r="IOS307" s="104"/>
      <c r="IOT307" s="104"/>
      <c r="IOU307" s="104"/>
      <c r="IOV307" s="104"/>
      <c r="IOW307" s="104"/>
      <c r="IOX307" s="104"/>
      <c r="IOY307" s="104"/>
      <c r="IOZ307" s="104"/>
      <c r="IPA307" s="104"/>
      <c r="IPB307" s="104"/>
      <c r="IPC307" s="104"/>
      <c r="IPD307" s="104"/>
      <c r="IPE307" s="104"/>
      <c r="IPF307" s="104"/>
      <c r="IPG307" s="104"/>
      <c r="IPH307" s="104"/>
      <c r="IPI307" s="104"/>
      <c r="IPJ307" s="104"/>
      <c r="IPK307" s="104"/>
      <c r="IPL307" s="104"/>
      <c r="IPM307" s="104"/>
      <c r="IPN307" s="104"/>
      <c r="IPO307" s="104"/>
      <c r="IPP307" s="104"/>
      <c r="IPQ307" s="104"/>
      <c r="IPR307" s="104"/>
      <c r="IPS307" s="104"/>
      <c r="IPT307" s="104"/>
      <c r="IPU307" s="104"/>
      <c r="IPV307" s="104"/>
      <c r="IPW307" s="104"/>
      <c r="IPX307" s="104"/>
      <c r="IPY307" s="104"/>
      <c r="IPZ307" s="104"/>
      <c r="IQA307" s="104"/>
      <c r="IQB307" s="104"/>
      <c r="IQC307" s="104"/>
      <c r="IQD307" s="104"/>
      <c r="IQE307" s="104"/>
      <c r="IQF307" s="104"/>
      <c r="IQG307" s="104"/>
      <c r="IQH307" s="104"/>
      <c r="IQI307" s="104"/>
      <c r="IQJ307" s="104"/>
      <c r="IQK307" s="104"/>
      <c r="IQL307" s="104"/>
      <c r="IQM307" s="104"/>
      <c r="IQN307" s="104"/>
      <c r="IQO307" s="104"/>
      <c r="IQP307" s="104"/>
      <c r="IQQ307" s="104"/>
      <c r="IQR307" s="104"/>
      <c r="IQS307" s="104"/>
      <c r="IQT307" s="104"/>
      <c r="IQU307" s="104"/>
      <c r="IQV307" s="104"/>
      <c r="IQW307" s="104"/>
      <c r="IQX307" s="104"/>
      <c r="IQY307" s="104"/>
      <c r="IQZ307" s="104"/>
      <c r="IRA307" s="104"/>
      <c r="IRB307" s="104"/>
      <c r="IRC307" s="104"/>
      <c r="IRD307" s="104"/>
      <c r="IRE307" s="104"/>
      <c r="IRF307" s="104"/>
      <c r="IRG307" s="104"/>
      <c r="IRH307" s="104"/>
      <c r="IRI307" s="104"/>
      <c r="IRJ307" s="104"/>
      <c r="IRK307" s="104"/>
      <c r="IRL307" s="104"/>
      <c r="IRM307" s="104"/>
      <c r="IRN307" s="104"/>
      <c r="IRO307" s="104"/>
      <c r="IRP307" s="104"/>
      <c r="IRQ307" s="104"/>
      <c r="IRR307" s="104"/>
      <c r="IRS307" s="104"/>
      <c r="IRT307" s="104"/>
      <c r="IRU307" s="104"/>
      <c r="IRV307" s="104"/>
      <c r="IRW307" s="104"/>
      <c r="IRX307" s="104"/>
      <c r="IRY307" s="104"/>
      <c r="IRZ307" s="104"/>
      <c r="ISA307" s="104"/>
      <c r="ISB307" s="104"/>
      <c r="ISC307" s="104"/>
      <c r="ISD307" s="104"/>
      <c r="ISE307" s="104"/>
      <c r="ISF307" s="104"/>
      <c r="ISG307" s="104"/>
      <c r="ISH307" s="104"/>
      <c r="ISI307" s="104"/>
      <c r="ISJ307" s="104"/>
      <c r="ISK307" s="104"/>
      <c r="ISL307" s="104"/>
      <c r="ISM307" s="104"/>
      <c r="ISN307" s="104"/>
      <c r="ISO307" s="104"/>
      <c r="ISP307" s="104"/>
      <c r="ISQ307" s="104"/>
      <c r="ISR307" s="104"/>
      <c r="ISS307" s="104"/>
      <c r="IST307" s="104"/>
      <c r="ISU307" s="104"/>
      <c r="ISV307" s="104"/>
      <c r="ISW307" s="104"/>
      <c r="ISX307" s="104"/>
      <c r="ISY307" s="104"/>
      <c r="ISZ307" s="104"/>
      <c r="ITA307" s="104"/>
      <c r="ITB307" s="104"/>
      <c r="ITC307" s="104"/>
      <c r="ITD307" s="104"/>
      <c r="ITE307" s="104"/>
      <c r="ITF307" s="104"/>
      <c r="ITG307" s="104"/>
      <c r="ITH307" s="104"/>
      <c r="ITI307" s="104"/>
      <c r="ITJ307" s="104"/>
      <c r="ITK307" s="104"/>
      <c r="ITL307" s="104"/>
      <c r="ITM307" s="104"/>
      <c r="ITN307" s="104"/>
      <c r="ITO307" s="104"/>
      <c r="ITP307" s="104"/>
      <c r="ITQ307" s="104"/>
      <c r="ITR307" s="104"/>
      <c r="ITS307" s="104"/>
      <c r="ITT307" s="104"/>
      <c r="ITU307" s="104"/>
      <c r="ITV307" s="104"/>
      <c r="ITW307" s="104"/>
      <c r="ITX307" s="104"/>
      <c r="ITY307" s="104"/>
      <c r="ITZ307" s="104"/>
      <c r="IUA307" s="104"/>
      <c r="IUB307" s="104"/>
      <c r="IUC307" s="104"/>
      <c r="IUD307" s="104"/>
      <c r="IUE307" s="104"/>
      <c r="IUF307" s="104"/>
      <c r="IUG307" s="104"/>
      <c r="IUH307" s="104"/>
      <c r="IUI307" s="104"/>
      <c r="IUJ307" s="104"/>
      <c r="IUK307" s="104"/>
      <c r="IUL307" s="104"/>
      <c r="IUM307" s="104"/>
      <c r="IUN307" s="104"/>
      <c r="IUO307" s="104"/>
      <c r="IUP307" s="104"/>
      <c r="IUQ307" s="104"/>
      <c r="IUR307" s="104"/>
      <c r="IUS307" s="104"/>
      <c r="IUT307" s="104"/>
      <c r="IUU307" s="104"/>
      <c r="IUV307" s="104"/>
      <c r="IUW307" s="104"/>
      <c r="IUX307" s="104"/>
      <c r="IUY307" s="104"/>
      <c r="IUZ307" s="104"/>
      <c r="IVA307" s="104"/>
      <c r="IVB307" s="104"/>
      <c r="IVC307" s="104"/>
      <c r="IVD307" s="104"/>
      <c r="IVE307" s="104"/>
      <c r="IVF307" s="104"/>
      <c r="IVG307" s="104"/>
      <c r="IVH307" s="104"/>
      <c r="IVI307" s="104"/>
      <c r="IVJ307" s="104"/>
      <c r="IVK307" s="104"/>
      <c r="IVL307" s="104"/>
      <c r="IVM307" s="104"/>
      <c r="IVN307" s="104"/>
      <c r="IVO307" s="104"/>
      <c r="IVP307" s="104"/>
      <c r="IVQ307" s="104"/>
      <c r="IVR307" s="104"/>
      <c r="IVS307" s="104"/>
      <c r="IVT307" s="104"/>
      <c r="IVU307" s="104"/>
      <c r="IVV307" s="104"/>
      <c r="IVW307" s="104"/>
      <c r="IVX307" s="104"/>
      <c r="IVY307" s="104"/>
      <c r="IVZ307" s="104"/>
      <c r="IWA307" s="104"/>
      <c r="IWB307" s="104"/>
      <c r="IWC307" s="104"/>
      <c r="IWD307" s="104"/>
      <c r="IWE307" s="104"/>
      <c r="IWF307" s="104"/>
      <c r="IWG307" s="104"/>
      <c r="IWH307" s="104"/>
      <c r="IWI307" s="104"/>
      <c r="IWJ307" s="104"/>
      <c r="IWK307" s="104"/>
      <c r="IWL307" s="104"/>
      <c r="IWM307" s="104"/>
      <c r="IWN307" s="104"/>
      <c r="IWO307" s="104"/>
      <c r="IWP307" s="104"/>
      <c r="IWQ307" s="104"/>
      <c r="IWR307" s="104"/>
      <c r="IWS307" s="104"/>
      <c r="IWT307" s="104"/>
      <c r="IWU307" s="104"/>
      <c r="IWV307" s="104"/>
      <c r="IWW307" s="104"/>
      <c r="IWX307" s="104"/>
      <c r="IWY307" s="104"/>
      <c r="IWZ307" s="104"/>
      <c r="IXA307" s="104"/>
      <c r="IXB307" s="104"/>
      <c r="IXC307" s="104"/>
      <c r="IXD307" s="104"/>
      <c r="IXE307" s="104"/>
      <c r="IXF307" s="104"/>
      <c r="IXG307" s="104"/>
      <c r="IXH307" s="104"/>
      <c r="IXI307" s="104"/>
      <c r="IXJ307" s="104"/>
      <c r="IXK307" s="104"/>
      <c r="IXL307" s="104"/>
      <c r="IXM307" s="104"/>
      <c r="IXN307" s="104"/>
      <c r="IXO307" s="104"/>
      <c r="IXP307" s="104"/>
      <c r="IXQ307" s="104"/>
      <c r="IXR307" s="104"/>
      <c r="IXS307" s="104"/>
      <c r="IXT307" s="104"/>
      <c r="IXU307" s="104"/>
      <c r="IXV307" s="104"/>
      <c r="IXW307" s="104"/>
      <c r="IXX307" s="104"/>
      <c r="IXY307" s="104"/>
      <c r="IXZ307" s="104"/>
      <c r="IYA307" s="104"/>
      <c r="IYB307" s="104"/>
      <c r="IYC307" s="104"/>
      <c r="IYD307" s="104"/>
      <c r="IYE307" s="104"/>
      <c r="IYF307" s="104"/>
      <c r="IYG307" s="104"/>
      <c r="IYH307" s="104"/>
      <c r="IYI307" s="104"/>
      <c r="IYJ307" s="104"/>
      <c r="IYK307" s="104"/>
      <c r="IYL307" s="104"/>
      <c r="IYM307" s="104"/>
      <c r="IYN307" s="104"/>
      <c r="IYO307" s="104"/>
      <c r="IYP307" s="104"/>
      <c r="IYQ307" s="104"/>
      <c r="IYR307" s="104"/>
      <c r="IYS307" s="104"/>
      <c r="IYT307" s="104"/>
      <c r="IYU307" s="104"/>
      <c r="IYV307" s="104"/>
      <c r="IYW307" s="104"/>
      <c r="IYX307" s="104"/>
      <c r="IYY307" s="104"/>
      <c r="IYZ307" s="104"/>
      <c r="IZA307" s="104"/>
      <c r="IZB307" s="104"/>
      <c r="IZC307" s="104"/>
      <c r="IZD307" s="104"/>
      <c r="IZE307" s="104"/>
      <c r="IZF307" s="104"/>
      <c r="IZG307" s="104"/>
      <c r="IZH307" s="104"/>
      <c r="IZI307" s="104"/>
      <c r="IZJ307" s="104"/>
      <c r="IZK307" s="104"/>
      <c r="IZL307" s="104"/>
      <c r="IZM307" s="104"/>
      <c r="IZN307" s="104"/>
      <c r="IZO307" s="104"/>
      <c r="IZP307" s="104"/>
      <c r="IZQ307" s="104"/>
      <c r="IZR307" s="104"/>
      <c r="IZS307" s="104"/>
      <c r="IZT307" s="104"/>
      <c r="IZU307" s="104"/>
      <c r="IZV307" s="104"/>
      <c r="IZW307" s="104"/>
      <c r="IZX307" s="104"/>
      <c r="IZY307" s="104"/>
      <c r="IZZ307" s="104"/>
      <c r="JAA307" s="104"/>
      <c r="JAB307" s="104"/>
      <c r="JAC307" s="104"/>
      <c r="JAD307" s="104"/>
      <c r="JAE307" s="104"/>
      <c r="JAF307" s="104"/>
      <c r="JAG307" s="104"/>
      <c r="JAH307" s="104"/>
      <c r="JAI307" s="104"/>
      <c r="JAJ307" s="104"/>
      <c r="JAK307" s="104"/>
      <c r="JAL307" s="104"/>
      <c r="JAM307" s="104"/>
      <c r="JAN307" s="104"/>
      <c r="JAO307" s="104"/>
      <c r="JAP307" s="104"/>
      <c r="JAQ307" s="104"/>
      <c r="JAR307" s="104"/>
      <c r="JAS307" s="104"/>
      <c r="JAT307" s="104"/>
      <c r="JAU307" s="104"/>
      <c r="JAV307" s="104"/>
      <c r="JAW307" s="104"/>
      <c r="JAX307" s="104"/>
      <c r="JAY307" s="104"/>
      <c r="JAZ307" s="104"/>
      <c r="JBA307" s="104"/>
      <c r="JBB307" s="104"/>
      <c r="JBC307" s="104"/>
      <c r="JBD307" s="104"/>
      <c r="JBE307" s="104"/>
      <c r="JBF307" s="104"/>
      <c r="JBG307" s="104"/>
      <c r="JBH307" s="104"/>
      <c r="JBI307" s="104"/>
      <c r="JBJ307" s="104"/>
      <c r="JBK307" s="104"/>
      <c r="JBL307" s="104"/>
      <c r="JBM307" s="104"/>
      <c r="JBN307" s="104"/>
      <c r="JBO307" s="104"/>
      <c r="JBP307" s="104"/>
      <c r="JBQ307" s="104"/>
      <c r="JBR307" s="104"/>
      <c r="JBS307" s="104"/>
      <c r="JBT307" s="104"/>
      <c r="JBU307" s="104"/>
      <c r="JBV307" s="104"/>
      <c r="JBW307" s="104"/>
      <c r="JBX307" s="104"/>
      <c r="JBY307" s="104"/>
      <c r="JBZ307" s="104"/>
      <c r="JCA307" s="104"/>
      <c r="JCB307" s="104"/>
      <c r="JCC307" s="104"/>
      <c r="JCD307" s="104"/>
      <c r="JCE307" s="104"/>
      <c r="JCF307" s="104"/>
      <c r="JCG307" s="104"/>
      <c r="JCH307" s="104"/>
      <c r="JCI307" s="104"/>
      <c r="JCJ307" s="104"/>
      <c r="JCK307" s="104"/>
      <c r="JCL307" s="104"/>
      <c r="JCM307" s="104"/>
      <c r="JCN307" s="104"/>
      <c r="JCO307" s="104"/>
      <c r="JCP307" s="104"/>
      <c r="JCQ307" s="104"/>
      <c r="JCR307" s="104"/>
      <c r="JCS307" s="104"/>
      <c r="JCT307" s="104"/>
      <c r="JCU307" s="104"/>
      <c r="JCV307" s="104"/>
      <c r="JCW307" s="104"/>
      <c r="JCX307" s="104"/>
      <c r="JCY307" s="104"/>
      <c r="JCZ307" s="104"/>
      <c r="JDA307" s="104"/>
      <c r="JDB307" s="104"/>
      <c r="JDC307" s="104"/>
      <c r="JDD307" s="104"/>
      <c r="JDE307" s="104"/>
      <c r="JDF307" s="104"/>
      <c r="JDG307" s="104"/>
      <c r="JDH307" s="104"/>
      <c r="JDI307" s="104"/>
      <c r="JDJ307" s="104"/>
      <c r="JDK307" s="104"/>
      <c r="JDL307" s="104"/>
      <c r="JDM307" s="104"/>
      <c r="JDN307" s="104"/>
      <c r="JDO307" s="104"/>
      <c r="JDP307" s="104"/>
      <c r="JDQ307" s="104"/>
      <c r="JDR307" s="104"/>
      <c r="JDS307" s="104"/>
      <c r="JDT307" s="104"/>
      <c r="JDU307" s="104"/>
      <c r="JDV307" s="104"/>
      <c r="JDW307" s="104"/>
      <c r="JDX307" s="104"/>
      <c r="JDY307" s="104"/>
      <c r="JDZ307" s="104"/>
      <c r="JEA307" s="104"/>
      <c r="JEB307" s="104"/>
      <c r="JEC307" s="104"/>
      <c r="JED307" s="104"/>
      <c r="JEE307" s="104"/>
      <c r="JEF307" s="104"/>
      <c r="JEG307" s="104"/>
      <c r="JEH307" s="104"/>
      <c r="JEI307" s="104"/>
      <c r="JEJ307" s="104"/>
      <c r="JEK307" s="104"/>
      <c r="JEL307" s="104"/>
      <c r="JEM307" s="104"/>
      <c r="JEN307" s="104"/>
      <c r="JEO307" s="104"/>
      <c r="JEP307" s="104"/>
      <c r="JEQ307" s="104"/>
      <c r="JER307" s="104"/>
      <c r="JES307" s="104"/>
      <c r="JET307" s="104"/>
      <c r="JEU307" s="104"/>
      <c r="JEV307" s="104"/>
      <c r="JEW307" s="104"/>
      <c r="JEX307" s="104"/>
      <c r="JEY307" s="104"/>
      <c r="JEZ307" s="104"/>
      <c r="JFA307" s="104"/>
      <c r="JFB307" s="104"/>
      <c r="JFC307" s="104"/>
      <c r="JFD307" s="104"/>
      <c r="JFE307" s="104"/>
      <c r="JFF307" s="104"/>
      <c r="JFG307" s="104"/>
      <c r="JFH307" s="104"/>
      <c r="JFI307" s="104"/>
      <c r="JFJ307" s="104"/>
      <c r="JFK307" s="104"/>
      <c r="JFL307" s="104"/>
      <c r="JFM307" s="104"/>
      <c r="JFN307" s="104"/>
      <c r="JFO307" s="104"/>
      <c r="JFP307" s="104"/>
      <c r="JFQ307" s="104"/>
      <c r="JFR307" s="104"/>
      <c r="JFS307" s="104"/>
      <c r="JFT307" s="104"/>
      <c r="JFU307" s="104"/>
      <c r="JFV307" s="104"/>
      <c r="JFW307" s="104"/>
      <c r="JFX307" s="104"/>
      <c r="JFY307" s="104"/>
      <c r="JFZ307" s="104"/>
      <c r="JGA307" s="104"/>
      <c r="JGB307" s="104"/>
      <c r="JGC307" s="104"/>
      <c r="JGD307" s="104"/>
      <c r="JGE307" s="104"/>
      <c r="JGF307" s="104"/>
      <c r="JGG307" s="104"/>
      <c r="JGH307" s="104"/>
      <c r="JGI307" s="104"/>
      <c r="JGJ307" s="104"/>
      <c r="JGK307" s="104"/>
      <c r="JGL307" s="104"/>
      <c r="JGM307" s="104"/>
      <c r="JGN307" s="104"/>
      <c r="JGO307" s="104"/>
      <c r="JGP307" s="104"/>
      <c r="JGQ307" s="104"/>
      <c r="JGR307" s="104"/>
      <c r="JGS307" s="104"/>
      <c r="JGT307" s="104"/>
      <c r="JGU307" s="104"/>
      <c r="JGV307" s="104"/>
      <c r="JGW307" s="104"/>
      <c r="JGX307" s="104"/>
      <c r="JGY307" s="104"/>
      <c r="JGZ307" s="104"/>
      <c r="JHA307" s="104"/>
      <c r="JHB307" s="104"/>
      <c r="JHC307" s="104"/>
      <c r="JHD307" s="104"/>
      <c r="JHE307" s="104"/>
      <c r="JHF307" s="104"/>
      <c r="JHG307" s="104"/>
      <c r="JHH307" s="104"/>
      <c r="JHI307" s="104"/>
      <c r="JHJ307" s="104"/>
      <c r="JHK307" s="104"/>
      <c r="JHL307" s="104"/>
      <c r="JHM307" s="104"/>
      <c r="JHN307" s="104"/>
      <c r="JHO307" s="104"/>
      <c r="JHP307" s="104"/>
      <c r="JHQ307" s="104"/>
      <c r="JHR307" s="104"/>
      <c r="JHS307" s="104"/>
      <c r="JHT307" s="104"/>
      <c r="JHU307" s="104"/>
      <c r="JHV307" s="104"/>
      <c r="JHW307" s="104"/>
      <c r="JHX307" s="104"/>
      <c r="JHY307" s="104"/>
      <c r="JHZ307" s="104"/>
      <c r="JIA307" s="104"/>
      <c r="JIB307" s="104"/>
      <c r="JIC307" s="104"/>
      <c r="JID307" s="104"/>
      <c r="JIE307" s="104"/>
      <c r="JIF307" s="104"/>
      <c r="JIG307" s="104"/>
      <c r="JIH307" s="104"/>
      <c r="JII307" s="104"/>
      <c r="JIJ307" s="104"/>
      <c r="JIK307" s="104"/>
      <c r="JIL307" s="104"/>
      <c r="JIM307" s="104"/>
      <c r="JIN307" s="104"/>
      <c r="JIO307" s="104"/>
      <c r="JIP307" s="104"/>
      <c r="JIQ307" s="104"/>
      <c r="JIR307" s="104"/>
      <c r="JIS307" s="104"/>
      <c r="JIT307" s="104"/>
      <c r="JIU307" s="104"/>
      <c r="JIV307" s="104"/>
      <c r="JIW307" s="104"/>
      <c r="JIX307" s="104"/>
      <c r="JIY307" s="104"/>
      <c r="JIZ307" s="104"/>
      <c r="JJA307" s="104"/>
      <c r="JJB307" s="104"/>
      <c r="JJC307" s="104"/>
      <c r="JJD307" s="104"/>
      <c r="JJE307" s="104"/>
      <c r="JJF307" s="104"/>
      <c r="JJG307" s="104"/>
      <c r="JJH307" s="104"/>
      <c r="JJI307" s="104"/>
      <c r="JJJ307" s="104"/>
      <c r="JJK307" s="104"/>
      <c r="JJL307" s="104"/>
      <c r="JJM307" s="104"/>
      <c r="JJN307" s="104"/>
      <c r="JJO307" s="104"/>
      <c r="JJP307" s="104"/>
      <c r="JJQ307" s="104"/>
      <c r="JJR307" s="104"/>
      <c r="JJS307" s="104"/>
      <c r="JJT307" s="104"/>
      <c r="JJU307" s="104"/>
      <c r="JJV307" s="104"/>
      <c r="JJW307" s="104"/>
      <c r="JJX307" s="104"/>
      <c r="JJY307" s="104"/>
      <c r="JJZ307" s="104"/>
      <c r="JKA307" s="104"/>
      <c r="JKB307" s="104"/>
      <c r="JKC307" s="104"/>
      <c r="JKD307" s="104"/>
      <c r="JKE307" s="104"/>
      <c r="JKF307" s="104"/>
      <c r="JKG307" s="104"/>
      <c r="JKH307" s="104"/>
      <c r="JKI307" s="104"/>
      <c r="JKJ307" s="104"/>
      <c r="JKK307" s="104"/>
      <c r="JKL307" s="104"/>
      <c r="JKM307" s="104"/>
      <c r="JKN307" s="104"/>
      <c r="JKO307" s="104"/>
      <c r="JKP307" s="104"/>
      <c r="JKQ307" s="104"/>
      <c r="JKR307" s="104"/>
      <c r="JKS307" s="104"/>
      <c r="JKT307" s="104"/>
      <c r="JKU307" s="104"/>
      <c r="JKV307" s="104"/>
      <c r="JKW307" s="104"/>
      <c r="JKX307" s="104"/>
      <c r="JKY307" s="104"/>
      <c r="JKZ307" s="104"/>
      <c r="JLA307" s="104"/>
      <c r="JLB307" s="104"/>
      <c r="JLC307" s="104"/>
      <c r="JLD307" s="104"/>
      <c r="JLE307" s="104"/>
      <c r="JLF307" s="104"/>
      <c r="JLG307" s="104"/>
      <c r="JLH307" s="104"/>
      <c r="JLI307" s="104"/>
      <c r="JLJ307" s="104"/>
      <c r="JLK307" s="104"/>
      <c r="JLL307" s="104"/>
      <c r="JLM307" s="104"/>
      <c r="JLN307" s="104"/>
      <c r="JLO307" s="104"/>
      <c r="JLP307" s="104"/>
      <c r="JLQ307" s="104"/>
      <c r="JLR307" s="104"/>
      <c r="JLS307" s="104"/>
      <c r="JLT307" s="104"/>
      <c r="JLU307" s="104"/>
      <c r="JLV307" s="104"/>
      <c r="JLW307" s="104"/>
      <c r="JLX307" s="104"/>
      <c r="JLY307" s="104"/>
      <c r="JLZ307" s="104"/>
      <c r="JMA307" s="104"/>
      <c r="JMB307" s="104"/>
      <c r="JMC307" s="104"/>
      <c r="JMD307" s="104"/>
      <c r="JME307" s="104"/>
      <c r="JMF307" s="104"/>
      <c r="JMG307" s="104"/>
      <c r="JMH307" s="104"/>
      <c r="JMI307" s="104"/>
      <c r="JMJ307" s="104"/>
      <c r="JMK307" s="104"/>
      <c r="JML307" s="104"/>
      <c r="JMM307" s="104"/>
      <c r="JMN307" s="104"/>
      <c r="JMO307" s="104"/>
      <c r="JMP307" s="104"/>
      <c r="JMQ307" s="104"/>
      <c r="JMR307" s="104"/>
      <c r="JMS307" s="104"/>
      <c r="JMT307" s="104"/>
      <c r="JMU307" s="104"/>
      <c r="JMV307" s="104"/>
      <c r="JMW307" s="104"/>
      <c r="JMX307" s="104"/>
      <c r="JMY307" s="104"/>
      <c r="JMZ307" s="104"/>
      <c r="JNA307" s="104"/>
      <c r="JNB307" s="104"/>
      <c r="JNC307" s="104"/>
      <c r="JND307" s="104"/>
      <c r="JNE307" s="104"/>
      <c r="JNF307" s="104"/>
      <c r="JNG307" s="104"/>
      <c r="JNH307" s="104"/>
      <c r="JNI307" s="104"/>
      <c r="JNJ307" s="104"/>
      <c r="JNK307" s="104"/>
      <c r="JNL307" s="104"/>
      <c r="JNM307" s="104"/>
      <c r="JNN307" s="104"/>
      <c r="JNO307" s="104"/>
      <c r="JNP307" s="104"/>
      <c r="JNQ307" s="104"/>
      <c r="JNR307" s="104"/>
      <c r="JNS307" s="104"/>
      <c r="JNT307" s="104"/>
      <c r="JNU307" s="104"/>
      <c r="JNV307" s="104"/>
      <c r="JNW307" s="104"/>
      <c r="JNX307" s="104"/>
      <c r="JNY307" s="104"/>
      <c r="JNZ307" s="104"/>
      <c r="JOA307" s="104"/>
      <c r="JOB307" s="104"/>
      <c r="JOC307" s="104"/>
      <c r="JOD307" s="104"/>
      <c r="JOE307" s="104"/>
      <c r="JOF307" s="104"/>
      <c r="JOG307" s="104"/>
      <c r="JOH307" s="104"/>
      <c r="JOI307" s="104"/>
      <c r="JOJ307" s="104"/>
      <c r="JOK307" s="104"/>
      <c r="JOL307" s="104"/>
      <c r="JOM307" s="104"/>
      <c r="JON307" s="104"/>
      <c r="JOO307" s="104"/>
      <c r="JOP307" s="104"/>
      <c r="JOQ307" s="104"/>
      <c r="JOR307" s="104"/>
      <c r="JOS307" s="104"/>
      <c r="JOT307" s="104"/>
      <c r="JOU307" s="104"/>
      <c r="JOV307" s="104"/>
      <c r="JOW307" s="104"/>
      <c r="JOX307" s="104"/>
      <c r="JOY307" s="104"/>
      <c r="JOZ307" s="104"/>
      <c r="JPA307" s="104"/>
      <c r="JPB307" s="104"/>
      <c r="JPC307" s="104"/>
      <c r="JPD307" s="104"/>
      <c r="JPE307" s="104"/>
      <c r="JPF307" s="104"/>
      <c r="JPG307" s="104"/>
      <c r="JPH307" s="104"/>
      <c r="JPI307" s="104"/>
      <c r="JPJ307" s="104"/>
      <c r="JPK307" s="104"/>
      <c r="JPL307" s="104"/>
      <c r="JPM307" s="104"/>
      <c r="JPN307" s="104"/>
      <c r="JPO307" s="104"/>
      <c r="JPP307" s="104"/>
      <c r="JPQ307" s="104"/>
      <c r="JPR307" s="104"/>
      <c r="JPS307" s="104"/>
      <c r="JPT307" s="104"/>
      <c r="JPU307" s="104"/>
      <c r="JPV307" s="104"/>
      <c r="JPW307" s="104"/>
      <c r="JPX307" s="104"/>
      <c r="JPY307" s="104"/>
      <c r="JPZ307" s="104"/>
      <c r="JQA307" s="104"/>
      <c r="JQB307" s="104"/>
      <c r="JQC307" s="104"/>
      <c r="JQD307" s="104"/>
      <c r="JQE307" s="104"/>
      <c r="JQF307" s="104"/>
      <c r="JQG307" s="104"/>
      <c r="JQH307" s="104"/>
      <c r="JQI307" s="104"/>
      <c r="JQJ307" s="104"/>
      <c r="JQK307" s="104"/>
      <c r="JQL307" s="104"/>
      <c r="JQM307" s="104"/>
      <c r="JQN307" s="104"/>
      <c r="JQO307" s="104"/>
      <c r="JQP307" s="104"/>
      <c r="JQQ307" s="104"/>
      <c r="JQR307" s="104"/>
      <c r="JQS307" s="104"/>
      <c r="JQT307" s="104"/>
      <c r="JQU307" s="104"/>
      <c r="JQV307" s="104"/>
      <c r="JQW307" s="104"/>
      <c r="JQX307" s="104"/>
      <c r="JQY307" s="104"/>
      <c r="JQZ307" s="104"/>
      <c r="JRA307" s="104"/>
      <c r="JRB307" s="104"/>
      <c r="JRC307" s="104"/>
      <c r="JRD307" s="104"/>
      <c r="JRE307" s="104"/>
      <c r="JRF307" s="104"/>
      <c r="JRG307" s="104"/>
      <c r="JRH307" s="104"/>
      <c r="JRI307" s="104"/>
      <c r="JRJ307" s="104"/>
      <c r="JRK307" s="104"/>
      <c r="JRL307" s="104"/>
      <c r="JRM307" s="104"/>
      <c r="JRN307" s="104"/>
      <c r="JRO307" s="104"/>
      <c r="JRP307" s="104"/>
      <c r="JRQ307" s="104"/>
      <c r="JRR307" s="104"/>
      <c r="JRS307" s="104"/>
      <c r="JRT307" s="104"/>
      <c r="JRU307" s="104"/>
      <c r="JRV307" s="104"/>
      <c r="JRW307" s="104"/>
      <c r="JRX307" s="104"/>
      <c r="JRY307" s="104"/>
      <c r="JRZ307" s="104"/>
      <c r="JSA307" s="104"/>
      <c r="JSB307" s="104"/>
      <c r="JSC307" s="104"/>
      <c r="JSD307" s="104"/>
      <c r="JSE307" s="104"/>
      <c r="JSF307" s="104"/>
      <c r="JSG307" s="104"/>
      <c r="JSH307" s="104"/>
      <c r="JSI307" s="104"/>
      <c r="JSJ307" s="104"/>
      <c r="JSK307" s="104"/>
      <c r="JSL307" s="104"/>
      <c r="JSM307" s="104"/>
      <c r="JSN307" s="104"/>
      <c r="JSO307" s="104"/>
      <c r="JSP307" s="104"/>
      <c r="JSQ307" s="104"/>
      <c r="JSR307" s="104"/>
      <c r="JSS307" s="104"/>
      <c r="JST307" s="104"/>
      <c r="JSU307" s="104"/>
      <c r="JSV307" s="104"/>
      <c r="JSW307" s="104"/>
      <c r="JSX307" s="104"/>
      <c r="JSY307" s="104"/>
      <c r="JSZ307" s="104"/>
      <c r="JTA307" s="104"/>
      <c r="JTB307" s="104"/>
      <c r="JTC307" s="104"/>
      <c r="JTD307" s="104"/>
      <c r="JTE307" s="104"/>
      <c r="JTF307" s="104"/>
      <c r="JTG307" s="104"/>
      <c r="JTH307" s="104"/>
      <c r="JTI307" s="104"/>
      <c r="JTJ307" s="104"/>
      <c r="JTK307" s="104"/>
      <c r="JTL307" s="104"/>
      <c r="JTM307" s="104"/>
      <c r="JTN307" s="104"/>
      <c r="JTO307" s="104"/>
      <c r="JTP307" s="104"/>
      <c r="JTQ307" s="104"/>
      <c r="JTR307" s="104"/>
      <c r="JTS307" s="104"/>
      <c r="JTT307" s="104"/>
      <c r="JTU307" s="104"/>
      <c r="JTV307" s="104"/>
      <c r="JTW307" s="104"/>
      <c r="JTX307" s="104"/>
      <c r="JTY307" s="104"/>
      <c r="JTZ307" s="104"/>
      <c r="JUA307" s="104"/>
      <c r="JUB307" s="104"/>
      <c r="JUC307" s="104"/>
      <c r="JUD307" s="104"/>
      <c r="JUE307" s="104"/>
      <c r="JUF307" s="104"/>
      <c r="JUG307" s="104"/>
      <c r="JUH307" s="104"/>
      <c r="JUI307" s="104"/>
      <c r="JUJ307" s="104"/>
      <c r="JUK307" s="104"/>
      <c r="JUL307" s="104"/>
      <c r="JUM307" s="104"/>
      <c r="JUN307" s="104"/>
      <c r="JUO307" s="104"/>
      <c r="JUP307" s="104"/>
      <c r="JUQ307" s="104"/>
      <c r="JUR307" s="104"/>
      <c r="JUS307" s="104"/>
      <c r="JUT307" s="104"/>
      <c r="JUU307" s="104"/>
      <c r="JUV307" s="104"/>
      <c r="JUW307" s="104"/>
      <c r="JUX307" s="104"/>
      <c r="JUY307" s="104"/>
      <c r="JUZ307" s="104"/>
      <c r="JVA307" s="104"/>
      <c r="JVB307" s="104"/>
      <c r="JVC307" s="104"/>
      <c r="JVD307" s="104"/>
      <c r="JVE307" s="104"/>
      <c r="JVF307" s="104"/>
      <c r="JVG307" s="104"/>
      <c r="JVH307" s="104"/>
      <c r="JVI307" s="104"/>
      <c r="JVJ307" s="104"/>
      <c r="JVK307" s="104"/>
      <c r="JVL307" s="104"/>
      <c r="JVM307" s="104"/>
      <c r="JVN307" s="104"/>
      <c r="JVO307" s="104"/>
      <c r="JVP307" s="104"/>
      <c r="JVQ307" s="104"/>
      <c r="JVR307" s="104"/>
      <c r="JVS307" s="104"/>
      <c r="JVT307" s="104"/>
      <c r="JVU307" s="104"/>
      <c r="JVV307" s="104"/>
      <c r="JVW307" s="104"/>
      <c r="JVX307" s="104"/>
      <c r="JVY307" s="104"/>
      <c r="JVZ307" s="104"/>
      <c r="JWA307" s="104"/>
      <c r="JWB307" s="104"/>
      <c r="JWC307" s="104"/>
      <c r="JWD307" s="104"/>
      <c r="JWE307" s="104"/>
      <c r="JWF307" s="104"/>
      <c r="JWG307" s="104"/>
      <c r="JWH307" s="104"/>
      <c r="JWI307" s="104"/>
      <c r="JWJ307" s="104"/>
      <c r="JWK307" s="104"/>
      <c r="JWL307" s="104"/>
      <c r="JWM307" s="104"/>
      <c r="JWN307" s="104"/>
      <c r="JWO307" s="104"/>
      <c r="JWP307" s="104"/>
      <c r="JWQ307" s="104"/>
      <c r="JWR307" s="104"/>
      <c r="JWS307" s="104"/>
      <c r="JWT307" s="104"/>
      <c r="JWU307" s="104"/>
      <c r="JWV307" s="104"/>
      <c r="JWW307" s="104"/>
      <c r="JWX307" s="104"/>
      <c r="JWY307" s="104"/>
      <c r="JWZ307" s="104"/>
      <c r="JXA307" s="104"/>
      <c r="JXB307" s="104"/>
      <c r="JXC307" s="104"/>
      <c r="JXD307" s="104"/>
      <c r="JXE307" s="104"/>
      <c r="JXF307" s="104"/>
      <c r="JXG307" s="104"/>
      <c r="JXH307" s="104"/>
      <c r="JXI307" s="104"/>
      <c r="JXJ307" s="104"/>
      <c r="JXK307" s="104"/>
      <c r="JXL307" s="104"/>
      <c r="JXM307" s="104"/>
      <c r="JXN307" s="104"/>
      <c r="JXO307" s="104"/>
      <c r="JXP307" s="104"/>
      <c r="JXQ307" s="104"/>
      <c r="JXR307" s="104"/>
      <c r="JXS307" s="104"/>
      <c r="JXT307" s="104"/>
      <c r="JXU307" s="104"/>
      <c r="JXV307" s="104"/>
      <c r="JXW307" s="104"/>
      <c r="JXX307" s="104"/>
      <c r="JXY307" s="104"/>
      <c r="JXZ307" s="104"/>
      <c r="JYA307" s="104"/>
      <c r="JYB307" s="104"/>
      <c r="JYC307" s="104"/>
      <c r="JYD307" s="104"/>
      <c r="JYE307" s="104"/>
      <c r="JYF307" s="104"/>
      <c r="JYG307" s="104"/>
      <c r="JYH307" s="104"/>
      <c r="JYI307" s="104"/>
      <c r="JYJ307" s="104"/>
      <c r="JYK307" s="104"/>
      <c r="JYL307" s="104"/>
      <c r="JYM307" s="104"/>
      <c r="JYN307" s="104"/>
      <c r="JYO307" s="104"/>
      <c r="JYP307" s="104"/>
      <c r="JYQ307" s="104"/>
      <c r="JYR307" s="104"/>
      <c r="JYS307" s="104"/>
      <c r="JYT307" s="104"/>
      <c r="JYU307" s="104"/>
      <c r="JYV307" s="104"/>
      <c r="JYW307" s="104"/>
      <c r="JYX307" s="104"/>
      <c r="JYY307" s="104"/>
      <c r="JYZ307" s="104"/>
      <c r="JZA307" s="104"/>
      <c r="JZB307" s="104"/>
      <c r="JZC307" s="104"/>
      <c r="JZD307" s="104"/>
      <c r="JZE307" s="104"/>
      <c r="JZF307" s="104"/>
      <c r="JZG307" s="104"/>
      <c r="JZH307" s="104"/>
      <c r="JZI307" s="104"/>
      <c r="JZJ307" s="104"/>
      <c r="JZK307" s="104"/>
      <c r="JZL307" s="104"/>
      <c r="JZM307" s="104"/>
      <c r="JZN307" s="104"/>
      <c r="JZO307" s="104"/>
      <c r="JZP307" s="104"/>
      <c r="JZQ307" s="104"/>
      <c r="JZR307" s="104"/>
      <c r="JZS307" s="104"/>
      <c r="JZT307" s="104"/>
      <c r="JZU307" s="104"/>
      <c r="JZV307" s="104"/>
      <c r="JZW307" s="104"/>
      <c r="JZX307" s="104"/>
      <c r="JZY307" s="104"/>
      <c r="JZZ307" s="104"/>
      <c r="KAA307" s="104"/>
      <c r="KAB307" s="104"/>
      <c r="KAC307" s="104"/>
      <c r="KAD307" s="104"/>
      <c r="KAE307" s="104"/>
      <c r="KAF307" s="104"/>
      <c r="KAG307" s="104"/>
      <c r="KAH307" s="104"/>
      <c r="KAI307" s="104"/>
      <c r="KAJ307" s="104"/>
      <c r="KAK307" s="104"/>
      <c r="KAL307" s="104"/>
      <c r="KAM307" s="104"/>
      <c r="KAN307" s="104"/>
      <c r="KAO307" s="104"/>
      <c r="KAP307" s="104"/>
      <c r="KAQ307" s="104"/>
      <c r="KAR307" s="104"/>
      <c r="KAS307" s="104"/>
      <c r="KAT307" s="104"/>
      <c r="KAU307" s="104"/>
      <c r="KAV307" s="104"/>
      <c r="KAW307" s="104"/>
      <c r="KAX307" s="104"/>
      <c r="KAY307" s="104"/>
      <c r="KAZ307" s="104"/>
      <c r="KBA307" s="104"/>
      <c r="KBB307" s="104"/>
      <c r="KBC307" s="104"/>
      <c r="KBD307" s="104"/>
      <c r="KBE307" s="104"/>
      <c r="KBF307" s="104"/>
      <c r="KBG307" s="104"/>
      <c r="KBH307" s="104"/>
      <c r="KBI307" s="104"/>
      <c r="KBJ307" s="104"/>
      <c r="KBK307" s="104"/>
      <c r="KBL307" s="104"/>
      <c r="KBM307" s="104"/>
      <c r="KBN307" s="104"/>
      <c r="KBO307" s="104"/>
      <c r="KBP307" s="104"/>
      <c r="KBQ307" s="104"/>
      <c r="KBR307" s="104"/>
      <c r="KBS307" s="104"/>
      <c r="KBT307" s="104"/>
      <c r="KBU307" s="104"/>
      <c r="KBV307" s="104"/>
      <c r="KBW307" s="104"/>
      <c r="KBX307" s="104"/>
      <c r="KBY307" s="104"/>
      <c r="KBZ307" s="104"/>
      <c r="KCA307" s="104"/>
      <c r="KCB307" s="104"/>
      <c r="KCC307" s="104"/>
      <c r="KCD307" s="104"/>
      <c r="KCE307" s="104"/>
      <c r="KCF307" s="104"/>
      <c r="KCG307" s="104"/>
      <c r="KCH307" s="104"/>
      <c r="KCI307" s="104"/>
      <c r="KCJ307" s="104"/>
      <c r="KCK307" s="104"/>
      <c r="KCL307" s="104"/>
      <c r="KCM307" s="104"/>
      <c r="KCN307" s="104"/>
      <c r="KCO307" s="104"/>
      <c r="KCP307" s="104"/>
      <c r="KCQ307" s="104"/>
      <c r="KCR307" s="104"/>
      <c r="KCS307" s="104"/>
      <c r="KCT307" s="104"/>
      <c r="KCU307" s="104"/>
      <c r="KCV307" s="104"/>
      <c r="KCW307" s="104"/>
      <c r="KCX307" s="104"/>
      <c r="KCY307" s="104"/>
      <c r="KCZ307" s="104"/>
      <c r="KDA307" s="104"/>
      <c r="KDB307" s="104"/>
      <c r="KDC307" s="104"/>
      <c r="KDD307" s="104"/>
      <c r="KDE307" s="104"/>
      <c r="KDF307" s="104"/>
      <c r="KDG307" s="104"/>
      <c r="KDH307" s="104"/>
      <c r="KDI307" s="104"/>
      <c r="KDJ307" s="104"/>
      <c r="KDK307" s="104"/>
      <c r="KDL307" s="104"/>
      <c r="KDM307" s="104"/>
      <c r="KDN307" s="104"/>
      <c r="KDO307" s="104"/>
      <c r="KDP307" s="104"/>
      <c r="KDQ307" s="104"/>
      <c r="KDR307" s="104"/>
      <c r="KDS307" s="104"/>
      <c r="KDT307" s="104"/>
      <c r="KDU307" s="104"/>
      <c r="KDV307" s="104"/>
      <c r="KDW307" s="104"/>
      <c r="KDX307" s="104"/>
      <c r="KDY307" s="104"/>
      <c r="KDZ307" s="104"/>
      <c r="KEA307" s="104"/>
      <c r="KEB307" s="104"/>
      <c r="KEC307" s="104"/>
      <c r="KED307" s="104"/>
      <c r="KEE307" s="104"/>
      <c r="KEF307" s="104"/>
      <c r="KEG307" s="104"/>
      <c r="KEH307" s="104"/>
      <c r="KEI307" s="104"/>
      <c r="KEJ307" s="104"/>
      <c r="KEK307" s="104"/>
      <c r="KEL307" s="104"/>
      <c r="KEM307" s="104"/>
      <c r="KEN307" s="104"/>
      <c r="KEO307" s="104"/>
      <c r="KEP307" s="104"/>
      <c r="KEQ307" s="104"/>
      <c r="KER307" s="104"/>
      <c r="KES307" s="104"/>
      <c r="KET307" s="104"/>
      <c r="KEU307" s="104"/>
      <c r="KEV307" s="104"/>
      <c r="KEW307" s="104"/>
      <c r="KEX307" s="104"/>
      <c r="KEY307" s="104"/>
      <c r="KEZ307" s="104"/>
      <c r="KFA307" s="104"/>
      <c r="KFB307" s="104"/>
      <c r="KFC307" s="104"/>
      <c r="KFD307" s="104"/>
      <c r="KFE307" s="104"/>
      <c r="KFF307" s="104"/>
      <c r="KFG307" s="104"/>
      <c r="KFH307" s="104"/>
      <c r="KFI307" s="104"/>
      <c r="KFJ307" s="104"/>
      <c r="KFK307" s="104"/>
      <c r="KFL307" s="104"/>
      <c r="KFM307" s="104"/>
      <c r="KFN307" s="104"/>
      <c r="KFO307" s="104"/>
      <c r="KFP307" s="104"/>
      <c r="KFQ307" s="104"/>
      <c r="KFR307" s="104"/>
      <c r="KFS307" s="104"/>
      <c r="KFT307" s="104"/>
      <c r="KFU307" s="104"/>
      <c r="KFV307" s="104"/>
      <c r="KFW307" s="104"/>
      <c r="KFX307" s="104"/>
      <c r="KFY307" s="104"/>
      <c r="KFZ307" s="104"/>
      <c r="KGA307" s="104"/>
      <c r="KGB307" s="104"/>
      <c r="KGC307" s="104"/>
      <c r="KGD307" s="104"/>
      <c r="KGE307" s="104"/>
      <c r="KGF307" s="104"/>
      <c r="KGG307" s="104"/>
      <c r="KGH307" s="104"/>
      <c r="KGI307" s="104"/>
      <c r="KGJ307" s="104"/>
      <c r="KGK307" s="104"/>
      <c r="KGL307" s="104"/>
      <c r="KGM307" s="104"/>
      <c r="KGN307" s="104"/>
      <c r="KGO307" s="104"/>
      <c r="KGP307" s="104"/>
      <c r="KGQ307" s="104"/>
      <c r="KGR307" s="104"/>
      <c r="KGS307" s="104"/>
      <c r="KGT307" s="104"/>
      <c r="KGU307" s="104"/>
      <c r="KGV307" s="104"/>
      <c r="KGW307" s="104"/>
      <c r="KGX307" s="104"/>
      <c r="KGY307" s="104"/>
      <c r="KGZ307" s="104"/>
      <c r="KHA307" s="104"/>
      <c r="KHB307" s="104"/>
      <c r="KHC307" s="104"/>
      <c r="KHD307" s="104"/>
      <c r="KHE307" s="104"/>
      <c r="KHF307" s="104"/>
      <c r="KHG307" s="104"/>
      <c r="KHH307" s="104"/>
      <c r="KHI307" s="104"/>
      <c r="KHJ307" s="104"/>
      <c r="KHK307" s="104"/>
      <c r="KHL307" s="104"/>
      <c r="KHM307" s="104"/>
      <c r="KHN307" s="104"/>
      <c r="KHO307" s="104"/>
      <c r="KHP307" s="104"/>
      <c r="KHQ307" s="104"/>
      <c r="KHR307" s="104"/>
      <c r="KHS307" s="104"/>
      <c r="KHT307" s="104"/>
      <c r="KHU307" s="104"/>
      <c r="KHV307" s="104"/>
      <c r="KHW307" s="104"/>
      <c r="KHX307" s="104"/>
      <c r="KHY307" s="104"/>
      <c r="KHZ307" s="104"/>
      <c r="KIA307" s="104"/>
      <c r="KIB307" s="104"/>
      <c r="KIC307" s="104"/>
      <c r="KID307" s="104"/>
      <c r="KIE307" s="104"/>
      <c r="KIF307" s="104"/>
      <c r="KIG307" s="104"/>
      <c r="KIH307" s="104"/>
      <c r="KII307" s="104"/>
      <c r="KIJ307" s="104"/>
      <c r="KIK307" s="104"/>
      <c r="KIL307" s="104"/>
      <c r="KIM307" s="104"/>
      <c r="KIN307" s="104"/>
      <c r="KIO307" s="104"/>
      <c r="KIP307" s="104"/>
      <c r="KIQ307" s="104"/>
      <c r="KIR307" s="104"/>
      <c r="KIS307" s="104"/>
      <c r="KIT307" s="104"/>
      <c r="KIU307" s="104"/>
      <c r="KIV307" s="104"/>
      <c r="KIW307" s="104"/>
      <c r="KIX307" s="104"/>
      <c r="KIY307" s="104"/>
      <c r="KIZ307" s="104"/>
      <c r="KJA307" s="104"/>
      <c r="KJB307" s="104"/>
      <c r="KJC307" s="104"/>
      <c r="KJD307" s="104"/>
      <c r="KJE307" s="104"/>
      <c r="KJF307" s="104"/>
      <c r="KJG307" s="104"/>
      <c r="KJH307" s="104"/>
      <c r="KJI307" s="104"/>
      <c r="KJJ307" s="104"/>
      <c r="KJK307" s="104"/>
      <c r="KJL307" s="104"/>
      <c r="KJM307" s="104"/>
      <c r="KJN307" s="104"/>
      <c r="KJO307" s="104"/>
      <c r="KJP307" s="104"/>
      <c r="KJQ307" s="104"/>
      <c r="KJR307" s="104"/>
      <c r="KJS307" s="104"/>
      <c r="KJT307" s="104"/>
      <c r="KJU307" s="104"/>
      <c r="KJV307" s="104"/>
      <c r="KJW307" s="104"/>
      <c r="KJX307" s="104"/>
      <c r="KJY307" s="104"/>
      <c r="KJZ307" s="104"/>
      <c r="KKA307" s="104"/>
      <c r="KKB307" s="104"/>
      <c r="KKC307" s="104"/>
      <c r="KKD307" s="104"/>
      <c r="KKE307" s="104"/>
      <c r="KKF307" s="104"/>
      <c r="KKG307" s="104"/>
      <c r="KKH307" s="104"/>
      <c r="KKI307" s="104"/>
      <c r="KKJ307" s="104"/>
      <c r="KKK307" s="104"/>
      <c r="KKL307" s="104"/>
      <c r="KKM307" s="104"/>
      <c r="KKN307" s="104"/>
      <c r="KKO307" s="104"/>
      <c r="KKP307" s="104"/>
      <c r="KKQ307" s="104"/>
      <c r="KKR307" s="104"/>
      <c r="KKS307" s="104"/>
      <c r="KKT307" s="104"/>
      <c r="KKU307" s="104"/>
      <c r="KKV307" s="104"/>
      <c r="KKW307" s="104"/>
      <c r="KKX307" s="104"/>
      <c r="KKY307" s="104"/>
      <c r="KKZ307" s="104"/>
      <c r="KLA307" s="104"/>
      <c r="KLB307" s="104"/>
      <c r="KLC307" s="104"/>
      <c r="KLD307" s="104"/>
      <c r="KLE307" s="104"/>
      <c r="KLF307" s="104"/>
      <c r="KLG307" s="104"/>
      <c r="KLH307" s="104"/>
      <c r="KLI307" s="104"/>
      <c r="KLJ307" s="104"/>
      <c r="KLK307" s="104"/>
      <c r="KLL307" s="104"/>
      <c r="KLM307" s="104"/>
      <c r="KLN307" s="104"/>
      <c r="KLO307" s="104"/>
      <c r="KLP307" s="104"/>
      <c r="KLQ307" s="104"/>
      <c r="KLR307" s="104"/>
      <c r="KLS307" s="104"/>
      <c r="KLT307" s="104"/>
      <c r="KLU307" s="104"/>
      <c r="KLV307" s="104"/>
      <c r="KLW307" s="104"/>
      <c r="KLX307" s="104"/>
      <c r="KLY307" s="104"/>
      <c r="KLZ307" s="104"/>
      <c r="KMA307" s="104"/>
      <c r="KMB307" s="104"/>
      <c r="KMC307" s="104"/>
      <c r="KMD307" s="104"/>
      <c r="KME307" s="104"/>
      <c r="KMF307" s="104"/>
      <c r="KMG307" s="104"/>
      <c r="KMH307" s="104"/>
      <c r="KMI307" s="104"/>
      <c r="KMJ307" s="104"/>
      <c r="KMK307" s="104"/>
      <c r="KML307" s="104"/>
      <c r="KMM307" s="104"/>
      <c r="KMN307" s="104"/>
      <c r="KMO307" s="104"/>
      <c r="KMP307" s="104"/>
      <c r="KMQ307" s="104"/>
      <c r="KMR307" s="104"/>
      <c r="KMS307" s="104"/>
      <c r="KMT307" s="104"/>
      <c r="KMU307" s="104"/>
      <c r="KMV307" s="104"/>
      <c r="KMW307" s="104"/>
      <c r="KMX307" s="104"/>
      <c r="KMY307" s="104"/>
      <c r="KMZ307" s="104"/>
      <c r="KNA307" s="104"/>
      <c r="KNB307" s="104"/>
      <c r="KNC307" s="104"/>
      <c r="KND307" s="104"/>
      <c r="KNE307" s="104"/>
      <c r="KNF307" s="104"/>
      <c r="KNG307" s="104"/>
      <c r="KNH307" s="104"/>
      <c r="KNI307" s="104"/>
      <c r="KNJ307" s="104"/>
      <c r="KNK307" s="104"/>
      <c r="KNL307" s="104"/>
      <c r="KNM307" s="104"/>
      <c r="KNN307" s="104"/>
      <c r="KNO307" s="104"/>
      <c r="KNP307" s="104"/>
      <c r="KNQ307" s="104"/>
      <c r="KNR307" s="104"/>
      <c r="KNS307" s="104"/>
      <c r="KNT307" s="104"/>
      <c r="KNU307" s="104"/>
      <c r="KNV307" s="104"/>
      <c r="KNW307" s="104"/>
      <c r="KNX307" s="104"/>
      <c r="KNY307" s="104"/>
      <c r="KNZ307" s="104"/>
      <c r="KOA307" s="104"/>
      <c r="KOB307" s="104"/>
      <c r="KOC307" s="104"/>
      <c r="KOD307" s="104"/>
      <c r="KOE307" s="104"/>
      <c r="KOF307" s="104"/>
      <c r="KOG307" s="104"/>
      <c r="KOH307" s="104"/>
      <c r="KOI307" s="104"/>
      <c r="KOJ307" s="104"/>
      <c r="KOK307" s="104"/>
      <c r="KOL307" s="104"/>
      <c r="KOM307" s="104"/>
      <c r="KON307" s="104"/>
      <c r="KOO307" s="104"/>
      <c r="KOP307" s="104"/>
      <c r="KOQ307" s="104"/>
      <c r="KOR307" s="104"/>
      <c r="KOS307" s="104"/>
      <c r="KOT307" s="104"/>
      <c r="KOU307" s="104"/>
      <c r="KOV307" s="104"/>
      <c r="KOW307" s="104"/>
      <c r="KOX307" s="104"/>
      <c r="KOY307" s="104"/>
      <c r="KOZ307" s="104"/>
      <c r="KPA307" s="104"/>
      <c r="KPB307" s="104"/>
      <c r="KPC307" s="104"/>
      <c r="KPD307" s="104"/>
      <c r="KPE307" s="104"/>
      <c r="KPF307" s="104"/>
      <c r="KPG307" s="104"/>
      <c r="KPH307" s="104"/>
      <c r="KPI307" s="104"/>
      <c r="KPJ307" s="104"/>
      <c r="KPK307" s="104"/>
      <c r="KPL307" s="104"/>
      <c r="KPM307" s="104"/>
      <c r="KPN307" s="104"/>
      <c r="KPO307" s="104"/>
      <c r="KPP307" s="104"/>
      <c r="KPQ307" s="104"/>
      <c r="KPR307" s="104"/>
      <c r="KPS307" s="104"/>
      <c r="KPT307" s="104"/>
      <c r="KPU307" s="104"/>
      <c r="KPV307" s="104"/>
      <c r="KPW307" s="104"/>
      <c r="KPX307" s="104"/>
      <c r="KPY307" s="104"/>
      <c r="KPZ307" s="104"/>
      <c r="KQA307" s="104"/>
      <c r="KQB307" s="104"/>
      <c r="KQC307" s="104"/>
      <c r="KQD307" s="104"/>
      <c r="KQE307" s="104"/>
      <c r="KQF307" s="104"/>
      <c r="KQG307" s="104"/>
      <c r="KQH307" s="104"/>
      <c r="KQI307" s="104"/>
      <c r="KQJ307" s="104"/>
      <c r="KQK307" s="104"/>
      <c r="KQL307" s="104"/>
      <c r="KQM307" s="104"/>
      <c r="KQN307" s="104"/>
      <c r="KQO307" s="104"/>
      <c r="KQP307" s="104"/>
      <c r="KQQ307" s="104"/>
      <c r="KQR307" s="104"/>
      <c r="KQS307" s="104"/>
      <c r="KQT307" s="104"/>
      <c r="KQU307" s="104"/>
      <c r="KQV307" s="104"/>
      <c r="KQW307" s="104"/>
      <c r="KQX307" s="104"/>
      <c r="KQY307" s="104"/>
      <c r="KQZ307" s="104"/>
      <c r="KRA307" s="104"/>
      <c r="KRB307" s="104"/>
      <c r="KRC307" s="104"/>
      <c r="KRD307" s="104"/>
      <c r="KRE307" s="104"/>
      <c r="KRF307" s="104"/>
      <c r="KRG307" s="104"/>
      <c r="KRH307" s="104"/>
      <c r="KRI307" s="104"/>
      <c r="KRJ307" s="104"/>
      <c r="KRK307" s="104"/>
      <c r="KRL307" s="104"/>
      <c r="KRM307" s="104"/>
      <c r="KRN307" s="104"/>
      <c r="KRO307" s="104"/>
      <c r="KRP307" s="104"/>
      <c r="KRQ307" s="104"/>
      <c r="KRR307" s="104"/>
      <c r="KRS307" s="104"/>
      <c r="KRT307" s="104"/>
      <c r="KRU307" s="104"/>
      <c r="KRV307" s="104"/>
      <c r="KRW307" s="104"/>
      <c r="KRX307" s="104"/>
      <c r="KRY307" s="104"/>
      <c r="KRZ307" s="104"/>
      <c r="KSA307" s="104"/>
      <c r="KSB307" s="104"/>
      <c r="KSC307" s="104"/>
      <c r="KSD307" s="104"/>
      <c r="KSE307" s="104"/>
      <c r="KSF307" s="104"/>
      <c r="KSG307" s="104"/>
      <c r="KSH307" s="104"/>
      <c r="KSI307" s="104"/>
      <c r="KSJ307" s="104"/>
      <c r="KSK307" s="104"/>
      <c r="KSL307" s="104"/>
      <c r="KSM307" s="104"/>
      <c r="KSN307" s="104"/>
      <c r="KSO307" s="104"/>
      <c r="KSP307" s="104"/>
      <c r="KSQ307" s="104"/>
      <c r="KSR307" s="104"/>
      <c r="KSS307" s="104"/>
      <c r="KST307" s="104"/>
      <c r="KSU307" s="104"/>
      <c r="KSV307" s="104"/>
      <c r="KSW307" s="104"/>
      <c r="KSX307" s="104"/>
      <c r="KSY307" s="104"/>
      <c r="KSZ307" s="104"/>
      <c r="KTA307" s="104"/>
      <c r="KTB307" s="104"/>
      <c r="KTC307" s="104"/>
      <c r="KTD307" s="104"/>
      <c r="KTE307" s="104"/>
      <c r="KTF307" s="104"/>
      <c r="KTG307" s="104"/>
      <c r="KTH307" s="104"/>
      <c r="KTI307" s="104"/>
      <c r="KTJ307" s="104"/>
      <c r="KTK307" s="104"/>
      <c r="KTL307" s="104"/>
      <c r="KTM307" s="104"/>
      <c r="KTN307" s="104"/>
      <c r="KTO307" s="104"/>
      <c r="KTP307" s="104"/>
      <c r="KTQ307" s="104"/>
      <c r="KTR307" s="104"/>
      <c r="KTS307" s="104"/>
      <c r="KTT307" s="104"/>
      <c r="KTU307" s="104"/>
      <c r="KTV307" s="104"/>
      <c r="KTW307" s="104"/>
      <c r="KTX307" s="104"/>
      <c r="KTY307" s="104"/>
      <c r="KTZ307" s="104"/>
      <c r="KUA307" s="104"/>
      <c r="KUB307" s="104"/>
      <c r="KUC307" s="104"/>
      <c r="KUD307" s="104"/>
      <c r="KUE307" s="104"/>
      <c r="KUF307" s="104"/>
      <c r="KUG307" s="104"/>
      <c r="KUH307" s="104"/>
      <c r="KUI307" s="104"/>
      <c r="KUJ307" s="104"/>
      <c r="KUK307" s="104"/>
      <c r="KUL307" s="104"/>
      <c r="KUM307" s="104"/>
      <c r="KUN307" s="104"/>
      <c r="KUO307" s="104"/>
      <c r="KUP307" s="104"/>
      <c r="KUQ307" s="104"/>
      <c r="KUR307" s="104"/>
      <c r="KUS307" s="104"/>
      <c r="KUT307" s="104"/>
      <c r="KUU307" s="104"/>
      <c r="KUV307" s="104"/>
      <c r="KUW307" s="104"/>
      <c r="KUX307" s="104"/>
      <c r="KUY307" s="104"/>
      <c r="KUZ307" s="104"/>
      <c r="KVA307" s="104"/>
      <c r="KVB307" s="104"/>
      <c r="KVC307" s="104"/>
      <c r="KVD307" s="104"/>
      <c r="KVE307" s="104"/>
      <c r="KVF307" s="104"/>
      <c r="KVG307" s="104"/>
      <c r="KVH307" s="104"/>
      <c r="KVI307" s="104"/>
      <c r="KVJ307" s="104"/>
      <c r="KVK307" s="104"/>
      <c r="KVL307" s="104"/>
      <c r="KVM307" s="104"/>
      <c r="KVN307" s="104"/>
      <c r="KVO307" s="104"/>
      <c r="KVP307" s="104"/>
      <c r="KVQ307" s="104"/>
      <c r="KVR307" s="104"/>
      <c r="KVS307" s="104"/>
      <c r="KVT307" s="104"/>
      <c r="KVU307" s="104"/>
      <c r="KVV307" s="104"/>
      <c r="KVW307" s="104"/>
      <c r="KVX307" s="104"/>
      <c r="KVY307" s="104"/>
      <c r="KVZ307" s="104"/>
      <c r="KWA307" s="104"/>
      <c r="KWB307" s="104"/>
      <c r="KWC307" s="104"/>
      <c r="KWD307" s="104"/>
      <c r="KWE307" s="104"/>
      <c r="KWF307" s="104"/>
      <c r="KWG307" s="104"/>
      <c r="KWH307" s="104"/>
      <c r="KWI307" s="104"/>
      <c r="KWJ307" s="104"/>
      <c r="KWK307" s="104"/>
      <c r="KWL307" s="104"/>
      <c r="KWM307" s="104"/>
      <c r="KWN307" s="104"/>
      <c r="KWO307" s="104"/>
      <c r="KWP307" s="104"/>
      <c r="KWQ307" s="104"/>
      <c r="KWR307" s="104"/>
      <c r="KWS307" s="104"/>
      <c r="KWT307" s="104"/>
      <c r="KWU307" s="104"/>
      <c r="KWV307" s="104"/>
      <c r="KWW307" s="104"/>
      <c r="KWX307" s="104"/>
      <c r="KWY307" s="104"/>
      <c r="KWZ307" s="104"/>
      <c r="KXA307" s="104"/>
      <c r="KXB307" s="104"/>
      <c r="KXC307" s="104"/>
      <c r="KXD307" s="104"/>
      <c r="KXE307" s="104"/>
      <c r="KXF307" s="104"/>
      <c r="KXG307" s="104"/>
      <c r="KXH307" s="104"/>
      <c r="KXI307" s="104"/>
      <c r="KXJ307" s="104"/>
      <c r="KXK307" s="104"/>
      <c r="KXL307" s="104"/>
      <c r="KXM307" s="104"/>
      <c r="KXN307" s="104"/>
      <c r="KXO307" s="104"/>
      <c r="KXP307" s="104"/>
      <c r="KXQ307" s="104"/>
      <c r="KXR307" s="104"/>
      <c r="KXS307" s="104"/>
      <c r="KXT307" s="104"/>
      <c r="KXU307" s="104"/>
      <c r="KXV307" s="104"/>
      <c r="KXW307" s="104"/>
      <c r="KXX307" s="104"/>
      <c r="KXY307" s="104"/>
      <c r="KXZ307" s="104"/>
      <c r="KYA307" s="104"/>
      <c r="KYB307" s="104"/>
      <c r="KYC307" s="104"/>
      <c r="KYD307" s="104"/>
      <c r="KYE307" s="104"/>
      <c r="KYF307" s="104"/>
      <c r="KYG307" s="104"/>
      <c r="KYH307" s="104"/>
      <c r="KYI307" s="104"/>
      <c r="KYJ307" s="104"/>
      <c r="KYK307" s="104"/>
      <c r="KYL307" s="104"/>
      <c r="KYM307" s="104"/>
      <c r="KYN307" s="104"/>
      <c r="KYO307" s="104"/>
      <c r="KYP307" s="104"/>
      <c r="KYQ307" s="104"/>
      <c r="KYR307" s="104"/>
      <c r="KYS307" s="104"/>
      <c r="KYT307" s="104"/>
      <c r="KYU307" s="104"/>
      <c r="KYV307" s="104"/>
      <c r="KYW307" s="104"/>
      <c r="KYX307" s="104"/>
      <c r="KYY307" s="104"/>
      <c r="KYZ307" s="104"/>
      <c r="KZA307" s="104"/>
      <c r="KZB307" s="104"/>
      <c r="KZC307" s="104"/>
      <c r="KZD307" s="104"/>
      <c r="KZE307" s="104"/>
      <c r="KZF307" s="104"/>
      <c r="KZG307" s="104"/>
      <c r="KZH307" s="104"/>
      <c r="KZI307" s="104"/>
      <c r="KZJ307" s="104"/>
      <c r="KZK307" s="104"/>
      <c r="KZL307" s="104"/>
      <c r="KZM307" s="104"/>
      <c r="KZN307" s="104"/>
      <c r="KZO307" s="104"/>
      <c r="KZP307" s="104"/>
      <c r="KZQ307" s="104"/>
      <c r="KZR307" s="104"/>
      <c r="KZS307" s="104"/>
      <c r="KZT307" s="104"/>
      <c r="KZU307" s="104"/>
      <c r="KZV307" s="104"/>
      <c r="KZW307" s="104"/>
      <c r="KZX307" s="104"/>
      <c r="KZY307" s="104"/>
      <c r="KZZ307" s="104"/>
      <c r="LAA307" s="104"/>
      <c r="LAB307" s="104"/>
      <c r="LAC307" s="104"/>
      <c r="LAD307" s="104"/>
      <c r="LAE307" s="104"/>
      <c r="LAF307" s="104"/>
      <c r="LAG307" s="104"/>
      <c r="LAH307" s="104"/>
      <c r="LAI307" s="104"/>
      <c r="LAJ307" s="104"/>
      <c r="LAK307" s="104"/>
      <c r="LAL307" s="104"/>
      <c r="LAM307" s="104"/>
      <c r="LAN307" s="104"/>
      <c r="LAO307" s="104"/>
      <c r="LAP307" s="104"/>
      <c r="LAQ307" s="104"/>
      <c r="LAR307" s="104"/>
      <c r="LAS307" s="104"/>
      <c r="LAT307" s="104"/>
      <c r="LAU307" s="104"/>
      <c r="LAV307" s="104"/>
      <c r="LAW307" s="104"/>
      <c r="LAX307" s="104"/>
      <c r="LAY307" s="104"/>
      <c r="LAZ307" s="104"/>
      <c r="LBA307" s="104"/>
      <c r="LBB307" s="104"/>
      <c r="LBC307" s="104"/>
      <c r="LBD307" s="104"/>
      <c r="LBE307" s="104"/>
      <c r="LBF307" s="104"/>
      <c r="LBG307" s="104"/>
      <c r="LBH307" s="104"/>
      <c r="LBI307" s="104"/>
      <c r="LBJ307" s="104"/>
      <c r="LBK307" s="104"/>
      <c r="LBL307" s="104"/>
      <c r="LBM307" s="104"/>
      <c r="LBN307" s="104"/>
      <c r="LBO307" s="104"/>
      <c r="LBP307" s="104"/>
      <c r="LBQ307" s="104"/>
      <c r="LBR307" s="104"/>
      <c r="LBS307" s="104"/>
      <c r="LBT307" s="104"/>
      <c r="LBU307" s="104"/>
      <c r="LBV307" s="104"/>
      <c r="LBW307" s="104"/>
      <c r="LBX307" s="104"/>
      <c r="LBY307" s="104"/>
      <c r="LBZ307" s="104"/>
      <c r="LCA307" s="104"/>
      <c r="LCB307" s="104"/>
      <c r="LCC307" s="104"/>
      <c r="LCD307" s="104"/>
      <c r="LCE307" s="104"/>
      <c r="LCF307" s="104"/>
      <c r="LCG307" s="104"/>
      <c r="LCH307" s="104"/>
      <c r="LCI307" s="104"/>
      <c r="LCJ307" s="104"/>
      <c r="LCK307" s="104"/>
      <c r="LCL307" s="104"/>
      <c r="LCM307" s="104"/>
      <c r="LCN307" s="104"/>
      <c r="LCO307" s="104"/>
      <c r="LCP307" s="104"/>
      <c r="LCQ307" s="104"/>
      <c r="LCR307" s="104"/>
      <c r="LCS307" s="104"/>
      <c r="LCT307" s="104"/>
      <c r="LCU307" s="104"/>
      <c r="LCV307" s="104"/>
      <c r="LCW307" s="104"/>
      <c r="LCX307" s="104"/>
      <c r="LCY307" s="104"/>
      <c r="LCZ307" s="104"/>
      <c r="LDA307" s="104"/>
      <c r="LDB307" s="104"/>
      <c r="LDC307" s="104"/>
      <c r="LDD307" s="104"/>
      <c r="LDE307" s="104"/>
      <c r="LDF307" s="104"/>
      <c r="LDG307" s="104"/>
      <c r="LDH307" s="104"/>
      <c r="LDI307" s="104"/>
      <c r="LDJ307" s="104"/>
      <c r="LDK307" s="104"/>
      <c r="LDL307" s="104"/>
      <c r="LDM307" s="104"/>
      <c r="LDN307" s="104"/>
      <c r="LDO307" s="104"/>
      <c r="LDP307" s="104"/>
      <c r="LDQ307" s="104"/>
      <c r="LDR307" s="104"/>
      <c r="LDS307" s="104"/>
      <c r="LDT307" s="104"/>
      <c r="LDU307" s="104"/>
      <c r="LDV307" s="104"/>
      <c r="LDW307" s="104"/>
      <c r="LDX307" s="104"/>
      <c r="LDY307" s="104"/>
      <c r="LDZ307" s="104"/>
      <c r="LEA307" s="104"/>
      <c r="LEB307" s="104"/>
      <c r="LEC307" s="104"/>
      <c r="LED307" s="104"/>
      <c r="LEE307" s="104"/>
      <c r="LEF307" s="104"/>
      <c r="LEG307" s="104"/>
      <c r="LEH307" s="104"/>
      <c r="LEI307" s="104"/>
      <c r="LEJ307" s="104"/>
      <c r="LEK307" s="104"/>
      <c r="LEL307" s="104"/>
      <c r="LEM307" s="104"/>
      <c r="LEN307" s="104"/>
      <c r="LEO307" s="104"/>
      <c r="LEP307" s="104"/>
      <c r="LEQ307" s="104"/>
      <c r="LER307" s="104"/>
      <c r="LES307" s="104"/>
      <c r="LET307" s="104"/>
      <c r="LEU307" s="104"/>
      <c r="LEV307" s="104"/>
      <c r="LEW307" s="104"/>
      <c r="LEX307" s="104"/>
      <c r="LEY307" s="104"/>
      <c r="LEZ307" s="104"/>
      <c r="LFA307" s="104"/>
      <c r="LFB307" s="104"/>
      <c r="LFC307" s="104"/>
      <c r="LFD307" s="104"/>
      <c r="LFE307" s="104"/>
      <c r="LFF307" s="104"/>
      <c r="LFG307" s="104"/>
      <c r="LFH307" s="104"/>
      <c r="LFI307" s="104"/>
      <c r="LFJ307" s="104"/>
      <c r="LFK307" s="104"/>
      <c r="LFL307" s="104"/>
      <c r="LFM307" s="104"/>
      <c r="LFN307" s="104"/>
      <c r="LFO307" s="104"/>
      <c r="LFP307" s="104"/>
      <c r="LFQ307" s="104"/>
      <c r="LFR307" s="104"/>
      <c r="LFS307" s="104"/>
      <c r="LFT307" s="104"/>
      <c r="LFU307" s="104"/>
      <c r="LFV307" s="104"/>
      <c r="LFW307" s="104"/>
      <c r="LFX307" s="104"/>
      <c r="LFY307" s="104"/>
      <c r="LFZ307" s="104"/>
      <c r="LGA307" s="104"/>
      <c r="LGB307" s="104"/>
      <c r="LGC307" s="104"/>
      <c r="LGD307" s="104"/>
      <c r="LGE307" s="104"/>
      <c r="LGF307" s="104"/>
      <c r="LGG307" s="104"/>
      <c r="LGH307" s="104"/>
      <c r="LGI307" s="104"/>
      <c r="LGJ307" s="104"/>
      <c r="LGK307" s="104"/>
      <c r="LGL307" s="104"/>
      <c r="LGM307" s="104"/>
      <c r="LGN307" s="104"/>
      <c r="LGO307" s="104"/>
      <c r="LGP307" s="104"/>
      <c r="LGQ307" s="104"/>
      <c r="LGR307" s="104"/>
      <c r="LGS307" s="104"/>
      <c r="LGT307" s="104"/>
      <c r="LGU307" s="104"/>
      <c r="LGV307" s="104"/>
      <c r="LGW307" s="104"/>
      <c r="LGX307" s="104"/>
      <c r="LGY307" s="104"/>
      <c r="LGZ307" s="104"/>
      <c r="LHA307" s="104"/>
      <c r="LHB307" s="104"/>
      <c r="LHC307" s="104"/>
      <c r="LHD307" s="104"/>
      <c r="LHE307" s="104"/>
      <c r="LHF307" s="104"/>
      <c r="LHG307" s="104"/>
      <c r="LHH307" s="104"/>
      <c r="LHI307" s="104"/>
      <c r="LHJ307" s="104"/>
      <c r="LHK307" s="104"/>
      <c r="LHL307" s="104"/>
      <c r="LHM307" s="104"/>
      <c r="LHN307" s="104"/>
      <c r="LHO307" s="104"/>
      <c r="LHP307" s="104"/>
      <c r="LHQ307" s="104"/>
      <c r="LHR307" s="104"/>
      <c r="LHS307" s="104"/>
      <c r="LHT307" s="104"/>
      <c r="LHU307" s="104"/>
      <c r="LHV307" s="104"/>
      <c r="LHW307" s="104"/>
      <c r="LHX307" s="104"/>
      <c r="LHY307" s="104"/>
      <c r="LHZ307" s="104"/>
      <c r="LIA307" s="104"/>
      <c r="LIB307" s="104"/>
      <c r="LIC307" s="104"/>
      <c r="LID307" s="104"/>
      <c r="LIE307" s="104"/>
      <c r="LIF307" s="104"/>
      <c r="LIG307" s="104"/>
      <c r="LIH307" s="104"/>
      <c r="LII307" s="104"/>
      <c r="LIJ307" s="104"/>
      <c r="LIK307" s="104"/>
      <c r="LIL307" s="104"/>
      <c r="LIM307" s="104"/>
      <c r="LIN307" s="104"/>
      <c r="LIO307" s="104"/>
      <c r="LIP307" s="104"/>
      <c r="LIQ307" s="104"/>
      <c r="LIR307" s="104"/>
      <c r="LIS307" s="104"/>
      <c r="LIT307" s="104"/>
      <c r="LIU307" s="104"/>
      <c r="LIV307" s="104"/>
      <c r="LIW307" s="104"/>
      <c r="LIX307" s="104"/>
      <c r="LIY307" s="104"/>
      <c r="LIZ307" s="104"/>
      <c r="LJA307" s="104"/>
      <c r="LJB307" s="104"/>
      <c r="LJC307" s="104"/>
      <c r="LJD307" s="104"/>
      <c r="LJE307" s="104"/>
      <c r="LJF307" s="104"/>
      <c r="LJG307" s="104"/>
      <c r="LJH307" s="104"/>
      <c r="LJI307" s="104"/>
      <c r="LJJ307" s="104"/>
      <c r="LJK307" s="104"/>
      <c r="LJL307" s="104"/>
      <c r="LJM307" s="104"/>
      <c r="LJN307" s="104"/>
      <c r="LJO307" s="104"/>
      <c r="LJP307" s="104"/>
      <c r="LJQ307" s="104"/>
      <c r="LJR307" s="104"/>
      <c r="LJS307" s="104"/>
      <c r="LJT307" s="104"/>
      <c r="LJU307" s="104"/>
      <c r="LJV307" s="104"/>
      <c r="LJW307" s="104"/>
      <c r="LJX307" s="104"/>
      <c r="LJY307" s="104"/>
      <c r="LJZ307" s="104"/>
      <c r="LKA307" s="104"/>
      <c r="LKB307" s="104"/>
      <c r="LKC307" s="104"/>
      <c r="LKD307" s="104"/>
      <c r="LKE307" s="104"/>
      <c r="LKF307" s="104"/>
      <c r="LKG307" s="104"/>
      <c r="LKH307" s="104"/>
      <c r="LKI307" s="104"/>
      <c r="LKJ307" s="104"/>
      <c r="LKK307" s="104"/>
      <c r="LKL307" s="104"/>
      <c r="LKM307" s="104"/>
      <c r="LKN307" s="104"/>
      <c r="LKO307" s="104"/>
      <c r="LKP307" s="104"/>
      <c r="LKQ307" s="104"/>
      <c r="LKR307" s="104"/>
      <c r="LKS307" s="104"/>
      <c r="LKT307" s="104"/>
      <c r="LKU307" s="104"/>
      <c r="LKV307" s="104"/>
      <c r="LKW307" s="104"/>
      <c r="LKX307" s="104"/>
      <c r="LKY307" s="104"/>
      <c r="LKZ307" s="104"/>
      <c r="LLA307" s="104"/>
      <c r="LLB307" s="104"/>
      <c r="LLC307" s="104"/>
      <c r="LLD307" s="104"/>
      <c r="LLE307" s="104"/>
      <c r="LLF307" s="104"/>
      <c r="LLG307" s="104"/>
      <c r="LLH307" s="104"/>
      <c r="LLI307" s="104"/>
      <c r="LLJ307" s="104"/>
      <c r="LLK307" s="104"/>
      <c r="LLL307" s="104"/>
      <c r="LLM307" s="104"/>
      <c r="LLN307" s="104"/>
      <c r="LLO307" s="104"/>
      <c r="LLP307" s="104"/>
      <c r="LLQ307" s="104"/>
      <c r="LLR307" s="104"/>
      <c r="LLS307" s="104"/>
      <c r="LLT307" s="104"/>
      <c r="LLU307" s="104"/>
      <c r="LLV307" s="104"/>
      <c r="LLW307" s="104"/>
      <c r="LLX307" s="104"/>
      <c r="LLY307" s="104"/>
      <c r="LLZ307" s="104"/>
      <c r="LMA307" s="104"/>
      <c r="LMB307" s="104"/>
      <c r="LMC307" s="104"/>
      <c r="LMD307" s="104"/>
      <c r="LME307" s="104"/>
      <c r="LMF307" s="104"/>
      <c r="LMG307" s="104"/>
      <c r="LMH307" s="104"/>
      <c r="LMI307" s="104"/>
      <c r="LMJ307" s="104"/>
      <c r="LMK307" s="104"/>
      <c r="LML307" s="104"/>
      <c r="LMM307" s="104"/>
      <c r="LMN307" s="104"/>
      <c r="LMO307" s="104"/>
      <c r="LMP307" s="104"/>
      <c r="LMQ307" s="104"/>
      <c r="LMR307" s="104"/>
      <c r="LMS307" s="104"/>
      <c r="LMT307" s="104"/>
      <c r="LMU307" s="104"/>
      <c r="LMV307" s="104"/>
      <c r="LMW307" s="104"/>
      <c r="LMX307" s="104"/>
      <c r="LMY307" s="104"/>
      <c r="LMZ307" s="104"/>
      <c r="LNA307" s="104"/>
      <c r="LNB307" s="104"/>
      <c r="LNC307" s="104"/>
      <c r="LND307" s="104"/>
      <c r="LNE307" s="104"/>
      <c r="LNF307" s="104"/>
      <c r="LNG307" s="104"/>
      <c r="LNH307" s="104"/>
      <c r="LNI307" s="104"/>
      <c r="LNJ307" s="104"/>
      <c r="LNK307" s="104"/>
      <c r="LNL307" s="104"/>
      <c r="LNM307" s="104"/>
      <c r="LNN307" s="104"/>
      <c r="LNO307" s="104"/>
      <c r="LNP307" s="104"/>
      <c r="LNQ307" s="104"/>
      <c r="LNR307" s="104"/>
      <c r="LNS307" s="104"/>
      <c r="LNT307" s="104"/>
      <c r="LNU307" s="104"/>
      <c r="LNV307" s="104"/>
      <c r="LNW307" s="104"/>
      <c r="LNX307" s="104"/>
      <c r="LNY307" s="104"/>
      <c r="LNZ307" s="104"/>
      <c r="LOA307" s="104"/>
      <c r="LOB307" s="104"/>
      <c r="LOC307" s="104"/>
      <c r="LOD307" s="104"/>
      <c r="LOE307" s="104"/>
      <c r="LOF307" s="104"/>
      <c r="LOG307" s="104"/>
      <c r="LOH307" s="104"/>
      <c r="LOI307" s="104"/>
      <c r="LOJ307" s="104"/>
      <c r="LOK307" s="104"/>
      <c r="LOL307" s="104"/>
      <c r="LOM307" s="104"/>
      <c r="LON307" s="104"/>
      <c r="LOO307" s="104"/>
      <c r="LOP307" s="104"/>
      <c r="LOQ307" s="104"/>
      <c r="LOR307" s="104"/>
      <c r="LOS307" s="104"/>
      <c r="LOT307" s="104"/>
      <c r="LOU307" s="104"/>
      <c r="LOV307" s="104"/>
      <c r="LOW307" s="104"/>
      <c r="LOX307" s="104"/>
      <c r="LOY307" s="104"/>
      <c r="LOZ307" s="104"/>
      <c r="LPA307" s="104"/>
      <c r="LPB307" s="104"/>
      <c r="LPC307" s="104"/>
      <c r="LPD307" s="104"/>
      <c r="LPE307" s="104"/>
      <c r="LPF307" s="104"/>
      <c r="LPG307" s="104"/>
      <c r="LPH307" s="104"/>
      <c r="LPI307" s="104"/>
      <c r="LPJ307" s="104"/>
      <c r="LPK307" s="104"/>
      <c r="LPL307" s="104"/>
      <c r="LPM307" s="104"/>
      <c r="LPN307" s="104"/>
      <c r="LPO307" s="104"/>
      <c r="LPP307" s="104"/>
      <c r="LPQ307" s="104"/>
      <c r="LPR307" s="104"/>
      <c r="LPS307" s="104"/>
      <c r="LPT307" s="104"/>
      <c r="LPU307" s="104"/>
      <c r="LPV307" s="104"/>
      <c r="LPW307" s="104"/>
      <c r="LPX307" s="104"/>
      <c r="LPY307" s="104"/>
      <c r="LPZ307" s="104"/>
      <c r="LQA307" s="104"/>
      <c r="LQB307" s="104"/>
      <c r="LQC307" s="104"/>
      <c r="LQD307" s="104"/>
      <c r="LQE307" s="104"/>
      <c r="LQF307" s="104"/>
      <c r="LQG307" s="104"/>
      <c r="LQH307" s="104"/>
      <c r="LQI307" s="104"/>
      <c r="LQJ307" s="104"/>
      <c r="LQK307" s="104"/>
      <c r="LQL307" s="104"/>
      <c r="LQM307" s="104"/>
      <c r="LQN307" s="104"/>
      <c r="LQO307" s="104"/>
      <c r="LQP307" s="104"/>
      <c r="LQQ307" s="104"/>
      <c r="LQR307" s="104"/>
      <c r="LQS307" s="104"/>
      <c r="LQT307" s="104"/>
      <c r="LQU307" s="104"/>
      <c r="LQV307" s="104"/>
      <c r="LQW307" s="104"/>
      <c r="LQX307" s="104"/>
      <c r="LQY307" s="104"/>
      <c r="LQZ307" s="104"/>
      <c r="LRA307" s="104"/>
      <c r="LRB307" s="104"/>
      <c r="LRC307" s="104"/>
      <c r="LRD307" s="104"/>
      <c r="LRE307" s="104"/>
      <c r="LRF307" s="104"/>
      <c r="LRG307" s="104"/>
      <c r="LRH307" s="104"/>
      <c r="LRI307" s="104"/>
      <c r="LRJ307" s="104"/>
      <c r="LRK307" s="104"/>
      <c r="LRL307" s="104"/>
      <c r="LRM307" s="104"/>
      <c r="LRN307" s="104"/>
      <c r="LRO307" s="104"/>
      <c r="LRP307" s="104"/>
      <c r="LRQ307" s="104"/>
      <c r="LRR307" s="104"/>
      <c r="LRS307" s="104"/>
      <c r="LRT307" s="104"/>
      <c r="LRU307" s="104"/>
      <c r="LRV307" s="104"/>
      <c r="LRW307" s="104"/>
      <c r="LRX307" s="104"/>
      <c r="LRY307" s="104"/>
      <c r="LRZ307" s="104"/>
      <c r="LSA307" s="104"/>
      <c r="LSB307" s="104"/>
      <c r="LSC307" s="104"/>
      <c r="LSD307" s="104"/>
      <c r="LSE307" s="104"/>
      <c r="LSF307" s="104"/>
      <c r="LSG307" s="104"/>
      <c r="LSH307" s="104"/>
      <c r="LSI307" s="104"/>
      <c r="LSJ307" s="104"/>
      <c r="LSK307" s="104"/>
      <c r="LSL307" s="104"/>
      <c r="LSM307" s="104"/>
      <c r="LSN307" s="104"/>
      <c r="LSO307" s="104"/>
      <c r="LSP307" s="104"/>
      <c r="LSQ307" s="104"/>
      <c r="LSR307" s="104"/>
      <c r="LSS307" s="104"/>
      <c r="LST307" s="104"/>
      <c r="LSU307" s="104"/>
      <c r="LSV307" s="104"/>
      <c r="LSW307" s="104"/>
      <c r="LSX307" s="104"/>
      <c r="LSY307" s="104"/>
      <c r="LSZ307" s="104"/>
      <c r="LTA307" s="104"/>
      <c r="LTB307" s="104"/>
      <c r="LTC307" s="104"/>
      <c r="LTD307" s="104"/>
      <c r="LTE307" s="104"/>
      <c r="LTF307" s="104"/>
      <c r="LTG307" s="104"/>
      <c r="LTH307" s="104"/>
      <c r="LTI307" s="104"/>
      <c r="LTJ307" s="104"/>
      <c r="LTK307" s="104"/>
      <c r="LTL307" s="104"/>
      <c r="LTM307" s="104"/>
      <c r="LTN307" s="104"/>
      <c r="LTO307" s="104"/>
      <c r="LTP307" s="104"/>
      <c r="LTQ307" s="104"/>
      <c r="LTR307" s="104"/>
      <c r="LTS307" s="104"/>
      <c r="LTT307" s="104"/>
      <c r="LTU307" s="104"/>
      <c r="LTV307" s="104"/>
      <c r="LTW307" s="104"/>
      <c r="LTX307" s="104"/>
      <c r="LTY307" s="104"/>
      <c r="LTZ307" s="104"/>
      <c r="LUA307" s="104"/>
      <c r="LUB307" s="104"/>
      <c r="LUC307" s="104"/>
      <c r="LUD307" s="104"/>
      <c r="LUE307" s="104"/>
      <c r="LUF307" s="104"/>
      <c r="LUG307" s="104"/>
      <c r="LUH307" s="104"/>
      <c r="LUI307" s="104"/>
      <c r="LUJ307" s="104"/>
      <c r="LUK307" s="104"/>
      <c r="LUL307" s="104"/>
      <c r="LUM307" s="104"/>
      <c r="LUN307" s="104"/>
      <c r="LUO307" s="104"/>
      <c r="LUP307" s="104"/>
      <c r="LUQ307" s="104"/>
      <c r="LUR307" s="104"/>
      <c r="LUS307" s="104"/>
      <c r="LUT307" s="104"/>
      <c r="LUU307" s="104"/>
      <c r="LUV307" s="104"/>
      <c r="LUW307" s="104"/>
      <c r="LUX307" s="104"/>
      <c r="LUY307" s="104"/>
      <c r="LUZ307" s="104"/>
      <c r="LVA307" s="104"/>
      <c r="LVB307" s="104"/>
      <c r="LVC307" s="104"/>
      <c r="LVD307" s="104"/>
      <c r="LVE307" s="104"/>
      <c r="LVF307" s="104"/>
      <c r="LVG307" s="104"/>
      <c r="LVH307" s="104"/>
      <c r="LVI307" s="104"/>
      <c r="LVJ307" s="104"/>
      <c r="LVK307" s="104"/>
      <c r="LVL307" s="104"/>
      <c r="LVM307" s="104"/>
      <c r="LVN307" s="104"/>
      <c r="LVO307" s="104"/>
      <c r="LVP307" s="104"/>
      <c r="LVQ307" s="104"/>
      <c r="LVR307" s="104"/>
      <c r="LVS307" s="104"/>
      <c r="LVT307" s="104"/>
      <c r="LVU307" s="104"/>
      <c r="LVV307" s="104"/>
      <c r="LVW307" s="104"/>
      <c r="LVX307" s="104"/>
      <c r="LVY307" s="104"/>
      <c r="LVZ307" s="104"/>
      <c r="LWA307" s="104"/>
      <c r="LWB307" s="104"/>
      <c r="LWC307" s="104"/>
      <c r="LWD307" s="104"/>
      <c r="LWE307" s="104"/>
      <c r="LWF307" s="104"/>
      <c r="LWG307" s="104"/>
      <c r="LWH307" s="104"/>
      <c r="LWI307" s="104"/>
      <c r="LWJ307" s="104"/>
      <c r="LWK307" s="104"/>
      <c r="LWL307" s="104"/>
      <c r="LWM307" s="104"/>
      <c r="LWN307" s="104"/>
      <c r="LWO307" s="104"/>
      <c r="LWP307" s="104"/>
      <c r="LWQ307" s="104"/>
      <c r="LWR307" s="104"/>
      <c r="LWS307" s="104"/>
      <c r="LWT307" s="104"/>
      <c r="LWU307" s="104"/>
      <c r="LWV307" s="104"/>
      <c r="LWW307" s="104"/>
      <c r="LWX307" s="104"/>
      <c r="LWY307" s="104"/>
      <c r="LWZ307" s="104"/>
      <c r="LXA307" s="104"/>
      <c r="LXB307" s="104"/>
      <c r="LXC307" s="104"/>
      <c r="LXD307" s="104"/>
      <c r="LXE307" s="104"/>
      <c r="LXF307" s="104"/>
      <c r="LXG307" s="104"/>
      <c r="LXH307" s="104"/>
      <c r="LXI307" s="104"/>
      <c r="LXJ307" s="104"/>
      <c r="LXK307" s="104"/>
      <c r="LXL307" s="104"/>
      <c r="LXM307" s="104"/>
      <c r="LXN307" s="104"/>
      <c r="LXO307" s="104"/>
      <c r="LXP307" s="104"/>
      <c r="LXQ307" s="104"/>
      <c r="LXR307" s="104"/>
      <c r="LXS307" s="104"/>
      <c r="LXT307" s="104"/>
      <c r="LXU307" s="104"/>
      <c r="LXV307" s="104"/>
      <c r="LXW307" s="104"/>
      <c r="LXX307" s="104"/>
      <c r="LXY307" s="104"/>
      <c r="LXZ307" s="104"/>
      <c r="LYA307" s="104"/>
      <c r="LYB307" s="104"/>
      <c r="LYC307" s="104"/>
      <c r="LYD307" s="104"/>
      <c r="LYE307" s="104"/>
      <c r="LYF307" s="104"/>
      <c r="LYG307" s="104"/>
      <c r="LYH307" s="104"/>
      <c r="LYI307" s="104"/>
      <c r="LYJ307" s="104"/>
      <c r="LYK307" s="104"/>
      <c r="LYL307" s="104"/>
      <c r="LYM307" s="104"/>
      <c r="LYN307" s="104"/>
      <c r="LYO307" s="104"/>
      <c r="LYP307" s="104"/>
      <c r="LYQ307" s="104"/>
      <c r="LYR307" s="104"/>
      <c r="LYS307" s="104"/>
      <c r="LYT307" s="104"/>
      <c r="LYU307" s="104"/>
      <c r="LYV307" s="104"/>
      <c r="LYW307" s="104"/>
      <c r="LYX307" s="104"/>
      <c r="LYY307" s="104"/>
      <c r="LYZ307" s="104"/>
      <c r="LZA307" s="104"/>
      <c r="LZB307" s="104"/>
      <c r="LZC307" s="104"/>
      <c r="LZD307" s="104"/>
      <c r="LZE307" s="104"/>
      <c r="LZF307" s="104"/>
      <c r="LZG307" s="104"/>
      <c r="LZH307" s="104"/>
      <c r="LZI307" s="104"/>
      <c r="LZJ307" s="104"/>
      <c r="LZK307" s="104"/>
      <c r="LZL307" s="104"/>
      <c r="LZM307" s="104"/>
      <c r="LZN307" s="104"/>
      <c r="LZO307" s="104"/>
      <c r="LZP307" s="104"/>
      <c r="LZQ307" s="104"/>
      <c r="LZR307" s="104"/>
      <c r="LZS307" s="104"/>
      <c r="LZT307" s="104"/>
      <c r="LZU307" s="104"/>
      <c r="LZV307" s="104"/>
      <c r="LZW307" s="104"/>
      <c r="LZX307" s="104"/>
      <c r="LZY307" s="104"/>
      <c r="LZZ307" s="104"/>
      <c r="MAA307" s="104"/>
      <c r="MAB307" s="104"/>
      <c r="MAC307" s="104"/>
      <c r="MAD307" s="104"/>
      <c r="MAE307" s="104"/>
      <c r="MAF307" s="104"/>
      <c r="MAG307" s="104"/>
      <c r="MAH307" s="104"/>
      <c r="MAI307" s="104"/>
      <c r="MAJ307" s="104"/>
      <c r="MAK307" s="104"/>
      <c r="MAL307" s="104"/>
      <c r="MAM307" s="104"/>
      <c r="MAN307" s="104"/>
      <c r="MAO307" s="104"/>
      <c r="MAP307" s="104"/>
      <c r="MAQ307" s="104"/>
      <c r="MAR307" s="104"/>
      <c r="MAS307" s="104"/>
      <c r="MAT307" s="104"/>
      <c r="MAU307" s="104"/>
      <c r="MAV307" s="104"/>
      <c r="MAW307" s="104"/>
      <c r="MAX307" s="104"/>
      <c r="MAY307" s="104"/>
      <c r="MAZ307" s="104"/>
      <c r="MBA307" s="104"/>
      <c r="MBB307" s="104"/>
      <c r="MBC307" s="104"/>
      <c r="MBD307" s="104"/>
      <c r="MBE307" s="104"/>
      <c r="MBF307" s="104"/>
      <c r="MBG307" s="104"/>
      <c r="MBH307" s="104"/>
      <c r="MBI307" s="104"/>
      <c r="MBJ307" s="104"/>
      <c r="MBK307" s="104"/>
      <c r="MBL307" s="104"/>
      <c r="MBM307" s="104"/>
      <c r="MBN307" s="104"/>
      <c r="MBO307" s="104"/>
      <c r="MBP307" s="104"/>
      <c r="MBQ307" s="104"/>
      <c r="MBR307" s="104"/>
      <c r="MBS307" s="104"/>
      <c r="MBT307" s="104"/>
      <c r="MBU307" s="104"/>
      <c r="MBV307" s="104"/>
      <c r="MBW307" s="104"/>
      <c r="MBX307" s="104"/>
      <c r="MBY307" s="104"/>
      <c r="MBZ307" s="104"/>
      <c r="MCA307" s="104"/>
      <c r="MCB307" s="104"/>
      <c r="MCC307" s="104"/>
      <c r="MCD307" s="104"/>
      <c r="MCE307" s="104"/>
      <c r="MCF307" s="104"/>
      <c r="MCG307" s="104"/>
      <c r="MCH307" s="104"/>
      <c r="MCI307" s="104"/>
      <c r="MCJ307" s="104"/>
      <c r="MCK307" s="104"/>
      <c r="MCL307" s="104"/>
      <c r="MCM307" s="104"/>
      <c r="MCN307" s="104"/>
      <c r="MCO307" s="104"/>
      <c r="MCP307" s="104"/>
      <c r="MCQ307" s="104"/>
      <c r="MCR307" s="104"/>
      <c r="MCS307" s="104"/>
      <c r="MCT307" s="104"/>
      <c r="MCU307" s="104"/>
      <c r="MCV307" s="104"/>
      <c r="MCW307" s="104"/>
      <c r="MCX307" s="104"/>
      <c r="MCY307" s="104"/>
      <c r="MCZ307" s="104"/>
      <c r="MDA307" s="104"/>
      <c r="MDB307" s="104"/>
      <c r="MDC307" s="104"/>
      <c r="MDD307" s="104"/>
      <c r="MDE307" s="104"/>
      <c r="MDF307" s="104"/>
      <c r="MDG307" s="104"/>
      <c r="MDH307" s="104"/>
      <c r="MDI307" s="104"/>
      <c r="MDJ307" s="104"/>
      <c r="MDK307" s="104"/>
      <c r="MDL307" s="104"/>
      <c r="MDM307" s="104"/>
      <c r="MDN307" s="104"/>
      <c r="MDO307" s="104"/>
      <c r="MDP307" s="104"/>
      <c r="MDQ307" s="104"/>
      <c r="MDR307" s="104"/>
      <c r="MDS307" s="104"/>
      <c r="MDT307" s="104"/>
      <c r="MDU307" s="104"/>
      <c r="MDV307" s="104"/>
      <c r="MDW307" s="104"/>
      <c r="MDX307" s="104"/>
      <c r="MDY307" s="104"/>
      <c r="MDZ307" s="104"/>
      <c r="MEA307" s="104"/>
      <c r="MEB307" s="104"/>
      <c r="MEC307" s="104"/>
      <c r="MED307" s="104"/>
      <c r="MEE307" s="104"/>
      <c r="MEF307" s="104"/>
      <c r="MEG307" s="104"/>
      <c r="MEH307" s="104"/>
      <c r="MEI307" s="104"/>
      <c r="MEJ307" s="104"/>
      <c r="MEK307" s="104"/>
      <c r="MEL307" s="104"/>
      <c r="MEM307" s="104"/>
      <c r="MEN307" s="104"/>
      <c r="MEO307" s="104"/>
      <c r="MEP307" s="104"/>
      <c r="MEQ307" s="104"/>
      <c r="MER307" s="104"/>
      <c r="MES307" s="104"/>
      <c r="MET307" s="104"/>
      <c r="MEU307" s="104"/>
      <c r="MEV307" s="104"/>
      <c r="MEW307" s="104"/>
      <c r="MEX307" s="104"/>
      <c r="MEY307" s="104"/>
      <c r="MEZ307" s="104"/>
      <c r="MFA307" s="104"/>
      <c r="MFB307" s="104"/>
      <c r="MFC307" s="104"/>
      <c r="MFD307" s="104"/>
      <c r="MFE307" s="104"/>
      <c r="MFF307" s="104"/>
      <c r="MFG307" s="104"/>
      <c r="MFH307" s="104"/>
      <c r="MFI307" s="104"/>
      <c r="MFJ307" s="104"/>
      <c r="MFK307" s="104"/>
      <c r="MFL307" s="104"/>
      <c r="MFM307" s="104"/>
      <c r="MFN307" s="104"/>
      <c r="MFO307" s="104"/>
      <c r="MFP307" s="104"/>
      <c r="MFQ307" s="104"/>
      <c r="MFR307" s="104"/>
      <c r="MFS307" s="104"/>
      <c r="MFT307" s="104"/>
      <c r="MFU307" s="104"/>
      <c r="MFV307" s="104"/>
      <c r="MFW307" s="104"/>
      <c r="MFX307" s="104"/>
      <c r="MFY307" s="104"/>
      <c r="MFZ307" s="104"/>
      <c r="MGA307" s="104"/>
      <c r="MGB307" s="104"/>
      <c r="MGC307" s="104"/>
      <c r="MGD307" s="104"/>
      <c r="MGE307" s="104"/>
      <c r="MGF307" s="104"/>
      <c r="MGG307" s="104"/>
      <c r="MGH307" s="104"/>
      <c r="MGI307" s="104"/>
      <c r="MGJ307" s="104"/>
      <c r="MGK307" s="104"/>
      <c r="MGL307" s="104"/>
      <c r="MGM307" s="104"/>
      <c r="MGN307" s="104"/>
      <c r="MGO307" s="104"/>
      <c r="MGP307" s="104"/>
      <c r="MGQ307" s="104"/>
      <c r="MGR307" s="104"/>
      <c r="MGS307" s="104"/>
      <c r="MGT307" s="104"/>
      <c r="MGU307" s="104"/>
      <c r="MGV307" s="104"/>
      <c r="MGW307" s="104"/>
      <c r="MGX307" s="104"/>
      <c r="MGY307" s="104"/>
      <c r="MGZ307" s="104"/>
      <c r="MHA307" s="104"/>
      <c r="MHB307" s="104"/>
      <c r="MHC307" s="104"/>
      <c r="MHD307" s="104"/>
      <c r="MHE307" s="104"/>
      <c r="MHF307" s="104"/>
      <c r="MHG307" s="104"/>
      <c r="MHH307" s="104"/>
      <c r="MHI307" s="104"/>
      <c r="MHJ307" s="104"/>
      <c r="MHK307" s="104"/>
      <c r="MHL307" s="104"/>
      <c r="MHM307" s="104"/>
      <c r="MHN307" s="104"/>
      <c r="MHO307" s="104"/>
      <c r="MHP307" s="104"/>
      <c r="MHQ307" s="104"/>
      <c r="MHR307" s="104"/>
      <c r="MHS307" s="104"/>
      <c r="MHT307" s="104"/>
      <c r="MHU307" s="104"/>
      <c r="MHV307" s="104"/>
      <c r="MHW307" s="104"/>
      <c r="MHX307" s="104"/>
      <c r="MHY307" s="104"/>
      <c r="MHZ307" s="104"/>
      <c r="MIA307" s="104"/>
      <c r="MIB307" s="104"/>
      <c r="MIC307" s="104"/>
      <c r="MID307" s="104"/>
      <c r="MIE307" s="104"/>
      <c r="MIF307" s="104"/>
      <c r="MIG307" s="104"/>
      <c r="MIH307" s="104"/>
      <c r="MII307" s="104"/>
      <c r="MIJ307" s="104"/>
      <c r="MIK307" s="104"/>
      <c r="MIL307" s="104"/>
      <c r="MIM307" s="104"/>
      <c r="MIN307" s="104"/>
      <c r="MIO307" s="104"/>
      <c r="MIP307" s="104"/>
      <c r="MIQ307" s="104"/>
      <c r="MIR307" s="104"/>
      <c r="MIS307" s="104"/>
      <c r="MIT307" s="104"/>
      <c r="MIU307" s="104"/>
      <c r="MIV307" s="104"/>
      <c r="MIW307" s="104"/>
      <c r="MIX307" s="104"/>
      <c r="MIY307" s="104"/>
      <c r="MIZ307" s="104"/>
      <c r="MJA307" s="104"/>
      <c r="MJB307" s="104"/>
      <c r="MJC307" s="104"/>
      <c r="MJD307" s="104"/>
      <c r="MJE307" s="104"/>
      <c r="MJF307" s="104"/>
      <c r="MJG307" s="104"/>
      <c r="MJH307" s="104"/>
      <c r="MJI307" s="104"/>
      <c r="MJJ307" s="104"/>
      <c r="MJK307" s="104"/>
      <c r="MJL307" s="104"/>
      <c r="MJM307" s="104"/>
      <c r="MJN307" s="104"/>
      <c r="MJO307" s="104"/>
      <c r="MJP307" s="104"/>
      <c r="MJQ307" s="104"/>
      <c r="MJR307" s="104"/>
      <c r="MJS307" s="104"/>
      <c r="MJT307" s="104"/>
      <c r="MJU307" s="104"/>
      <c r="MJV307" s="104"/>
      <c r="MJW307" s="104"/>
      <c r="MJX307" s="104"/>
      <c r="MJY307" s="104"/>
      <c r="MJZ307" s="104"/>
      <c r="MKA307" s="104"/>
      <c r="MKB307" s="104"/>
      <c r="MKC307" s="104"/>
      <c r="MKD307" s="104"/>
      <c r="MKE307" s="104"/>
      <c r="MKF307" s="104"/>
      <c r="MKG307" s="104"/>
      <c r="MKH307" s="104"/>
      <c r="MKI307" s="104"/>
      <c r="MKJ307" s="104"/>
      <c r="MKK307" s="104"/>
      <c r="MKL307" s="104"/>
      <c r="MKM307" s="104"/>
      <c r="MKN307" s="104"/>
      <c r="MKO307" s="104"/>
      <c r="MKP307" s="104"/>
      <c r="MKQ307" s="104"/>
      <c r="MKR307" s="104"/>
      <c r="MKS307" s="104"/>
      <c r="MKT307" s="104"/>
      <c r="MKU307" s="104"/>
      <c r="MKV307" s="104"/>
      <c r="MKW307" s="104"/>
      <c r="MKX307" s="104"/>
      <c r="MKY307" s="104"/>
      <c r="MKZ307" s="104"/>
      <c r="MLA307" s="104"/>
      <c r="MLB307" s="104"/>
      <c r="MLC307" s="104"/>
      <c r="MLD307" s="104"/>
      <c r="MLE307" s="104"/>
      <c r="MLF307" s="104"/>
      <c r="MLG307" s="104"/>
      <c r="MLH307" s="104"/>
      <c r="MLI307" s="104"/>
      <c r="MLJ307" s="104"/>
      <c r="MLK307" s="104"/>
      <c r="MLL307" s="104"/>
      <c r="MLM307" s="104"/>
      <c r="MLN307" s="104"/>
      <c r="MLO307" s="104"/>
      <c r="MLP307" s="104"/>
      <c r="MLQ307" s="104"/>
      <c r="MLR307" s="104"/>
      <c r="MLS307" s="104"/>
      <c r="MLT307" s="104"/>
      <c r="MLU307" s="104"/>
      <c r="MLV307" s="104"/>
      <c r="MLW307" s="104"/>
      <c r="MLX307" s="104"/>
      <c r="MLY307" s="104"/>
      <c r="MLZ307" s="104"/>
      <c r="MMA307" s="104"/>
      <c r="MMB307" s="104"/>
      <c r="MMC307" s="104"/>
      <c r="MMD307" s="104"/>
      <c r="MME307" s="104"/>
      <c r="MMF307" s="104"/>
      <c r="MMG307" s="104"/>
      <c r="MMH307" s="104"/>
      <c r="MMI307" s="104"/>
      <c r="MMJ307" s="104"/>
      <c r="MMK307" s="104"/>
      <c r="MML307" s="104"/>
      <c r="MMM307" s="104"/>
      <c r="MMN307" s="104"/>
      <c r="MMO307" s="104"/>
      <c r="MMP307" s="104"/>
      <c r="MMQ307" s="104"/>
      <c r="MMR307" s="104"/>
      <c r="MMS307" s="104"/>
      <c r="MMT307" s="104"/>
      <c r="MMU307" s="104"/>
      <c r="MMV307" s="104"/>
      <c r="MMW307" s="104"/>
      <c r="MMX307" s="104"/>
      <c r="MMY307" s="104"/>
      <c r="MMZ307" s="104"/>
      <c r="MNA307" s="104"/>
      <c r="MNB307" s="104"/>
      <c r="MNC307" s="104"/>
      <c r="MND307" s="104"/>
      <c r="MNE307" s="104"/>
      <c r="MNF307" s="104"/>
      <c r="MNG307" s="104"/>
      <c r="MNH307" s="104"/>
      <c r="MNI307" s="104"/>
      <c r="MNJ307" s="104"/>
      <c r="MNK307" s="104"/>
      <c r="MNL307" s="104"/>
      <c r="MNM307" s="104"/>
      <c r="MNN307" s="104"/>
      <c r="MNO307" s="104"/>
      <c r="MNP307" s="104"/>
      <c r="MNQ307" s="104"/>
      <c r="MNR307" s="104"/>
      <c r="MNS307" s="104"/>
      <c r="MNT307" s="104"/>
      <c r="MNU307" s="104"/>
      <c r="MNV307" s="104"/>
      <c r="MNW307" s="104"/>
      <c r="MNX307" s="104"/>
      <c r="MNY307" s="104"/>
      <c r="MNZ307" s="104"/>
      <c r="MOA307" s="104"/>
      <c r="MOB307" s="104"/>
      <c r="MOC307" s="104"/>
      <c r="MOD307" s="104"/>
      <c r="MOE307" s="104"/>
      <c r="MOF307" s="104"/>
      <c r="MOG307" s="104"/>
      <c r="MOH307" s="104"/>
      <c r="MOI307" s="104"/>
      <c r="MOJ307" s="104"/>
      <c r="MOK307" s="104"/>
      <c r="MOL307" s="104"/>
      <c r="MOM307" s="104"/>
      <c r="MON307" s="104"/>
      <c r="MOO307" s="104"/>
      <c r="MOP307" s="104"/>
      <c r="MOQ307" s="104"/>
      <c r="MOR307" s="104"/>
      <c r="MOS307" s="104"/>
      <c r="MOT307" s="104"/>
      <c r="MOU307" s="104"/>
      <c r="MOV307" s="104"/>
      <c r="MOW307" s="104"/>
      <c r="MOX307" s="104"/>
      <c r="MOY307" s="104"/>
      <c r="MOZ307" s="104"/>
      <c r="MPA307" s="104"/>
      <c r="MPB307" s="104"/>
      <c r="MPC307" s="104"/>
      <c r="MPD307" s="104"/>
      <c r="MPE307" s="104"/>
      <c r="MPF307" s="104"/>
      <c r="MPG307" s="104"/>
      <c r="MPH307" s="104"/>
      <c r="MPI307" s="104"/>
      <c r="MPJ307" s="104"/>
      <c r="MPK307" s="104"/>
      <c r="MPL307" s="104"/>
      <c r="MPM307" s="104"/>
      <c r="MPN307" s="104"/>
      <c r="MPO307" s="104"/>
      <c r="MPP307" s="104"/>
      <c r="MPQ307" s="104"/>
      <c r="MPR307" s="104"/>
      <c r="MPS307" s="104"/>
      <c r="MPT307" s="104"/>
      <c r="MPU307" s="104"/>
      <c r="MPV307" s="104"/>
      <c r="MPW307" s="104"/>
      <c r="MPX307" s="104"/>
      <c r="MPY307" s="104"/>
      <c r="MPZ307" s="104"/>
      <c r="MQA307" s="104"/>
      <c r="MQB307" s="104"/>
      <c r="MQC307" s="104"/>
      <c r="MQD307" s="104"/>
      <c r="MQE307" s="104"/>
      <c r="MQF307" s="104"/>
      <c r="MQG307" s="104"/>
      <c r="MQH307" s="104"/>
      <c r="MQI307" s="104"/>
      <c r="MQJ307" s="104"/>
      <c r="MQK307" s="104"/>
      <c r="MQL307" s="104"/>
      <c r="MQM307" s="104"/>
      <c r="MQN307" s="104"/>
      <c r="MQO307" s="104"/>
      <c r="MQP307" s="104"/>
      <c r="MQQ307" s="104"/>
      <c r="MQR307" s="104"/>
      <c r="MQS307" s="104"/>
      <c r="MQT307" s="104"/>
      <c r="MQU307" s="104"/>
      <c r="MQV307" s="104"/>
      <c r="MQW307" s="104"/>
      <c r="MQX307" s="104"/>
      <c r="MQY307" s="104"/>
      <c r="MQZ307" s="104"/>
      <c r="MRA307" s="104"/>
      <c r="MRB307" s="104"/>
      <c r="MRC307" s="104"/>
      <c r="MRD307" s="104"/>
      <c r="MRE307" s="104"/>
      <c r="MRF307" s="104"/>
      <c r="MRG307" s="104"/>
      <c r="MRH307" s="104"/>
      <c r="MRI307" s="104"/>
      <c r="MRJ307" s="104"/>
      <c r="MRK307" s="104"/>
      <c r="MRL307" s="104"/>
      <c r="MRM307" s="104"/>
      <c r="MRN307" s="104"/>
      <c r="MRO307" s="104"/>
      <c r="MRP307" s="104"/>
      <c r="MRQ307" s="104"/>
      <c r="MRR307" s="104"/>
      <c r="MRS307" s="104"/>
      <c r="MRT307" s="104"/>
      <c r="MRU307" s="104"/>
      <c r="MRV307" s="104"/>
      <c r="MRW307" s="104"/>
      <c r="MRX307" s="104"/>
      <c r="MRY307" s="104"/>
      <c r="MRZ307" s="104"/>
      <c r="MSA307" s="104"/>
      <c r="MSB307" s="104"/>
      <c r="MSC307" s="104"/>
      <c r="MSD307" s="104"/>
      <c r="MSE307" s="104"/>
      <c r="MSF307" s="104"/>
      <c r="MSG307" s="104"/>
      <c r="MSH307" s="104"/>
      <c r="MSI307" s="104"/>
      <c r="MSJ307" s="104"/>
      <c r="MSK307" s="104"/>
      <c r="MSL307" s="104"/>
      <c r="MSM307" s="104"/>
      <c r="MSN307" s="104"/>
      <c r="MSO307" s="104"/>
      <c r="MSP307" s="104"/>
      <c r="MSQ307" s="104"/>
      <c r="MSR307" s="104"/>
      <c r="MSS307" s="104"/>
      <c r="MST307" s="104"/>
      <c r="MSU307" s="104"/>
      <c r="MSV307" s="104"/>
      <c r="MSW307" s="104"/>
      <c r="MSX307" s="104"/>
      <c r="MSY307" s="104"/>
      <c r="MSZ307" s="104"/>
      <c r="MTA307" s="104"/>
      <c r="MTB307" s="104"/>
      <c r="MTC307" s="104"/>
      <c r="MTD307" s="104"/>
      <c r="MTE307" s="104"/>
      <c r="MTF307" s="104"/>
      <c r="MTG307" s="104"/>
      <c r="MTH307" s="104"/>
      <c r="MTI307" s="104"/>
      <c r="MTJ307" s="104"/>
      <c r="MTK307" s="104"/>
      <c r="MTL307" s="104"/>
      <c r="MTM307" s="104"/>
      <c r="MTN307" s="104"/>
      <c r="MTO307" s="104"/>
      <c r="MTP307" s="104"/>
      <c r="MTQ307" s="104"/>
      <c r="MTR307" s="104"/>
      <c r="MTS307" s="104"/>
      <c r="MTT307" s="104"/>
      <c r="MTU307" s="104"/>
      <c r="MTV307" s="104"/>
      <c r="MTW307" s="104"/>
      <c r="MTX307" s="104"/>
      <c r="MTY307" s="104"/>
      <c r="MTZ307" s="104"/>
      <c r="MUA307" s="104"/>
      <c r="MUB307" s="104"/>
      <c r="MUC307" s="104"/>
      <c r="MUD307" s="104"/>
      <c r="MUE307" s="104"/>
      <c r="MUF307" s="104"/>
      <c r="MUG307" s="104"/>
      <c r="MUH307" s="104"/>
      <c r="MUI307" s="104"/>
      <c r="MUJ307" s="104"/>
      <c r="MUK307" s="104"/>
      <c r="MUL307" s="104"/>
      <c r="MUM307" s="104"/>
      <c r="MUN307" s="104"/>
      <c r="MUO307" s="104"/>
      <c r="MUP307" s="104"/>
      <c r="MUQ307" s="104"/>
      <c r="MUR307" s="104"/>
      <c r="MUS307" s="104"/>
      <c r="MUT307" s="104"/>
      <c r="MUU307" s="104"/>
      <c r="MUV307" s="104"/>
      <c r="MUW307" s="104"/>
      <c r="MUX307" s="104"/>
      <c r="MUY307" s="104"/>
      <c r="MUZ307" s="104"/>
      <c r="MVA307" s="104"/>
      <c r="MVB307" s="104"/>
      <c r="MVC307" s="104"/>
      <c r="MVD307" s="104"/>
      <c r="MVE307" s="104"/>
      <c r="MVF307" s="104"/>
      <c r="MVG307" s="104"/>
      <c r="MVH307" s="104"/>
      <c r="MVI307" s="104"/>
      <c r="MVJ307" s="104"/>
      <c r="MVK307" s="104"/>
      <c r="MVL307" s="104"/>
      <c r="MVM307" s="104"/>
      <c r="MVN307" s="104"/>
      <c r="MVO307" s="104"/>
      <c r="MVP307" s="104"/>
      <c r="MVQ307" s="104"/>
      <c r="MVR307" s="104"/>
      <c r="MVS307" s="104"/>
      <c r="MVT307" s="104"/>
      <c r="MVU307" s="104"/>
      <c r="MVV307" s="104"/>
      <c r="MVW307" s="104"/>
      <c r="MVX307" s="104"/>
      <c r="MVY307" s="104"/>
      <c r="MVZ307" s="104"/>
      <c r="MWA307" s="104"/>
      <c r="MWB307" s="104"/>
      <c r="MWC307" s="104"/>
      <c r="MWD307" s="104"/>
      <c r="MWE307" s="104"/>
      <c r="MWF307" s="104"/>
      <c r="MWG307" s="104"/>
      <c r="MWH307" s="104"/>
      <c r="MWI307" s="104"/>
      <c r="MWJ307" s="104"/>
      <c r="MWK307" s="104"/>
      <c r="MWL307" s="104"/>
      <c r="MWM307" s="104"/>
      <c r="MWN307" s="104"/>
      <c r="MWO307" s="104"/>
      <c r="MWP307" s="104"/>
      <c r="MWQ307" s="104"/>
      <c r="MWR307" s="104"/>
      <c r="MWS307" s="104"/>
      <c r="MWT307" s="104"/>
      <c r="MWU307" s="104"/>
      <c r="MWV307" s="104"/>
      <c r="MWW307" s="104"/>
      <c r="MWX307" s="104"/>
      <c r="MWY307" s="104"/>
      <c r="MWZ307" s="104"/>
      <c r="MXA307" s="104"/>
      <c r="MXB307" s="104"/>
      <c r="MXC307" s="104"/>
      <c r="MXD307" s="104"/>
      <c r="MXE307" s="104"/>
      <c r="MXF307" s="104"/>
      <c r="MXG307" s="104"/>
      <c r="MXH307" s="104"/>
      <c r="MXI307" s="104"/>
      <c r="MXJ307" s="104"/>
      <c r="MXK307" s="104"/>
      <c r="MXL307" s="104"/>
      <c r="MXM307" s="104"/>
      <c r="MXN307" s="104"/>
      <c r="MXO307" s="104"/>
      <c r="MXP307" s="104"/>
      <c r="MXQ307" s="104"/>
      <c r="MXR307" s="104"/>
      <c r="MXS307" s="104"/>
      <c r="MXT307" s="104"/>
      <c r="MXU307" s="104"/>
      <c r="MXV307" s="104"/>
      <c r="MXW307" s="104"/>
      <c r="MXX307" s="104"/>
      <c r="MXY307" s="104"/>
      <c r="MXZ307" s="104"/>
      <c r="MYA307" s="104"/>
      <c r="MYB307" s="104"/>
      <c r="MYC307" s="104"/>
      <c r="MYD307" s="104"/>
      <c r="MYE307" s="104"/>
      <c r="MYF307" s="104"/>
      <c r="MYG307" s="104"/>
      <c r="MYH307" s="104"/>
      <c r="MYI307" s="104"/>
      <c r="MYJ307" s="104"/>
      <c r="MYK307" s="104"/>
      <c r="MYL307" s="104"/>
      <c r="MYM307" s="104"/>
      <c r="MYN307" s="104"/>
      <c r="MYO307" s="104"/>
      <c r="MYP307" s="104"/>
      <c r="MYQ307" s="104"/>
      <c r="MYR307" s="104"/>
      <c r="MYS307" s="104"/>
      <c r="MYT307" s="104"/>
      <c r="MYU307" s="104"/>
      <c r="MYV307" s="104"/>
      <c r="MYW307" s="104"/>
      <c r="MYX307" s="104"/>
      <c r="MYY307" s="104"/>
      <c r="MYZ307" s="104"/>
      <c r="MZA307" s="104"/>
      <c r="MZB307" s="104"/>
      <c r="MZC307" s="104"/>
      <c r="MZD307" s="104"/>
      <c r="MZE307" s="104"/>
      <c r="MZF307" s="104"/>
      <c r="MZG307" s="104"/>
      <c r="MZH307" s="104"/>
      <c r="MZI307" s="104"/>
      <c r="MZJ307" s="104"/>
      <c r="MZK307" s="104"/>
      <c r="MZL307" s="104"/>
      <c r="MZM307" s="104"/>
      <c r="MZN307" s="104"/>
      <c r="MZO307" s="104"/>
      <c r="MZP307" s="104"/>
      <c r="MZQ307" s="104"/>
      <c r="MZR307" s="104"/>
      <c r="MZS307" s="104"/>
      <c r="MZT307" s="104"/>
      <c r="MZU307" s="104"/>
      <c r="MZV307" s="104"/>
      <c r="MZW307" s="104"/>
      <c r="MZX307" s="104"/>
      <c r="MZY307" s="104"/>
      <c r="MZZ307" s="104"/>
      <c r="NAA307" s="104"/>
      <c r="NAB307" s="104"/>
      <c r="NAC307" s="104"/>
      <c r="NAD307" s="104"/>
      <c r="NAE307" s="104"/>
      <c r="NAF307" s="104"/>
      <c r="NAG307" s="104"/>
      <c r="NAH307" s="104"/>
      <c r="NAI307" s="104"/>
      <c r="NAJ307" s="104"/>
      <c r="NAK307" s="104"/>
      <c r="NAL307" s="104"/>
      <c r="NAM307" s="104"/>
      <c r="NAN307" s="104"/>
      <c r="NAO307" s="104"/>
      <c r="NAP307" s="104"/>
      <c r="NAQ307" s="104"/>
      <c r="NAR307" s="104"/>
      <c r="NAS307" s="104"/>
      <c r="NAT307" s="104"/>
      <c r="NAU307" s="104"/>
      <c r="NAV307" s="104"/>
      <c r="NAW307" s="104"/>
      <c r="NAX307" s="104"/>
      <c r="NAY307" s="104"/>
      <c r="NAZ307" s="104"/>
      <c r="NBA307" s="104"/>
      <c r="NBB307" s="104"/>
      <c r="NBC307" s="104"/>
      <c r="NBD307" s="104"/>
      <c r="NBE307" s="104"/>
      <c r="NBF307" s="104"/>
      <c r="NBG307" s="104"/>
      <c r="NBH307" s="104"/>
      <c r="NBI307" s="104"/>
      <c r="NBJ307" s="104"/>
      <c r="NBK307" s="104"/>
      <c r="NBL307" s="104"/>
      <c r="NBM307" s="104"/>
      <c r="NBN307" s="104"/>
      <c r="NBO307" s="104"/>
      <c r="NBP307" s="104"/>
      <c r="NBQ307" s="104"/>
      <c r="NBR307" s="104"/>
      <c r="NBS307" s="104"/>
      <c r="NBT307" s="104"/>
      <c r="NBU307" s="104"/>
      <c r="NBV307" s="104"/>
      <c r="NBW307" s="104"/>
      <c r="NBX307" s="104"/>
      <c r="NBY307" s="104"/>
      <c r="NBZ307" s="104"/>
      <c r="NCA307" s="104"/>
      <c r="NCB307" s="104"/>
      <c r="NCC307" s="104"/>
      <c r="NCD307" s="104"/>
      <c r="NCE307" s="104"/>
      <c r="NCF307" s="104"/>
      <c r="NCG307" s="104"/>
      <c r="NCH307" s="104"/>
      <c r="NCI307" s="104"/>
      <c r="NCJ307" s="104"/>
      <c r="NCK307" s="104"/>
      <c r="NCL307" s="104"/>
      <c r="NCM307" s="104"/>
      <c r="NCN307" s="104"/>
      <c r="NCO307" s="104"/>
      <c r="NCP307" s="104"/>
      <c r="NCQ307" s="104"/>
      <c r="NCR307" s="104"/>
      <c r="NCS307" s="104"/>
      <c r="NCT307" s="104"/>
      <c r="NCU307" s="104"/>
      <c r="NCV307" s="104"/>
      <c r="NCW307" s="104"/>
      <c r="NCX307" s="104"/>
      <c r="NCY307" s="104"/>
      <c r="NCZ307" s="104"/>
      <c r="NDA307" s="104"/>
      <c r="NDB307" s="104"/>
      <c r="NDC307" s="104"/>
      <c r="NDD307" s="104"/>
      <c r="NDE307" s="104"/>
      <c r="NDF307" s="104"/>
      <c r="NDG307" s="104"/>
      <c r="NDH307" s="104"/>
      <c r="NDI307" s="104"/>
      <c r="NDJ307" s="104"/>
      <c r="NDK307" s="104"/>
      <c r="NDL307" s="104"/>
      <c r="NDM307" s="104"/>
      <c r="NDN307" s="104"/>
      <c r="NDO307" s="104"/>
      <c r="NDP307" s="104"/>
      <c r="NDQ307" s="104"/>
      <c r="NDR307" s="104"/>
      <c r="NDS307" s="104"/>
      <c r="NDT307" s="104"/>
      <c r="NDU307" s="104"/>
      <c r="NDV307" s="104"/>
      <c r="NDW307" s="104"/>
      <c r="NDX307" s="104"/>
      <c r="NDY307" s="104"/>
      <c r="NDZ307" s="104"/>
      <c r="NEA307" s="104"/>
      <c r="NEB307" s="104"/>
      <c r="NEC307" s="104"/>
      <c r="NED307" s="104"/>
      <c r="NEE307" s="104"/>
      <c r="NEF307" s="104"/>
      <c r="NEG307" s="104"/>
      <c r="NEH307" s="104"/>
      <c r="NEI307" s="104"/>
      <c r="NEJ307" s="104"/>
      <c r="NEK307" s="104"/>
      <c r="NEL307" s="104"/>
      <c r="NEM307" s="104"/>
      <c r="NEN307" s="104"/>
      <c r="NEO307" s="104"/>
      <c r="NEP307" s="104"/>
      <c r="NEQ307" s="104"/>
      <c r="NER307" s="104"/>
      <c r="NES307" s="104"/>
      <c r="NET307" s="104"/>
      <c r="NEU307" s="104"/>
      <c r="NEV307" s="104"/>
      <c r="NEW307" s="104"/>
      <c r="NEX307" s="104"/>
      <c r="NEY307" s="104"/>
      <c r="NEZ307" s="104"/>
      <c r="NFA307" s="104"/>
      <c r="NFB307" s="104"/>
      <c r="NFC307" s="104"/>
      <c r="NFD307" s="104"/>
      <c r="NFE307" s="104"/>
      <c r="NFF307" s="104"/>
      <c r="NFG307" s="104"/>
      <c r="NFH307" s="104"/>
      <c r="NFI307" s="104"/>
      <c r="NFJ307" s="104"/>
      <c r="NFK307" s="104"/>
      <c r="NFL307" s="104"/>
      <c r="NFM307" s="104"/>
      <c r="NFN307" s="104"/>
      <c r="NFO307" s="104"/>
      <c r="NFP307" s="104"/>
      <c r="NFQ307" s="104"/>
      <c r="NFR307" s="104"/>
      <c r="NFS307" s="104"/>
      <c r="NFT307" s="104"/>
      <c r="NFU307" s="104"/>
      <c r="NFV307" s="104"/>
      <c r="NFW307" s="104"/>
      <c r="NFX307" s="104"/>
      <c r="NFY307" s="104"/>
      <c r="NFZ307" s="104"/>
      <c r="NGA307" s="104"/>
      <c r="NGB307" s="104"/>
      <c r="NGC307" s="104"/>
      <c r="NGD307" s="104"/>
      <c r="NGE307" s="104"/>
      <c r="NGF307" s="104"/>
      <c r="NGG307" s="104"/>
      <c r="NGH307" s="104"/>
      <c r="NGI307" s="104"/>
      <c r="NGJ307" s="104"/>
      <c r="NGK307" s="104"/>
      <c r="NGL307" s="104"/>
      <c r="NGM307" s="104"/>
      <c r="NGN307" s="104"/>
      <c r="NGO307" s="104"/>
      <c r="NGP307" s="104"/>
      <c r="NGQ307" s="104"/>
      <c r="NGR307" s="104"/>
      <c r="NGS307" s="104"/>
      <c r="NGT307" s="104"/>
      <c r="NGU307" s="104"/>
      <c r="NGV307" s="104"/>
      <c r="NGW307" s="104"/>
      <c r="NGX307" s="104"/>
      <c r="NGY307" s="104"/>
      <c r="NGZ307" s="104"/>
      <c r="NHA307" s="104"/>
      <c r="NHB307" s="104"/>
      <c r="NHC307" s="104"/>
      <c r="NHD307" s="104"/>
      <c r="NHE307" s="104"/>
      <c r="NHF307" s="104"/>
      <c r="NHG307" s="104"/>
      <c r="NHH307" s="104"/>
      <c r="NHI307" s="104"/>
      <c r="NHJ307" s="104"/>
      <c r="NHK307" s="104"/>
      <c r="NHL307" s="104"/>
      <c r="NHM307" s="104"/>
      <c r="NHN307" s="104"/>
      <c r="NHO307" s="104"/>
      <c r="NHP307" s="104"/>
      <c r="NHQ307" s="104"/>
      <c r="NHR307" s="104"/>
      <c r="NHS307" s="104"/>
      <c r="NHT307" s="104"/>
      <c r="NHU307" s="104"/>
      <c r="NHV307" s="104"/>
      <c r="NHW307" s="104"/>
      <c r="NHX307" s="104"/>
      <c r="NHY307" s="104"/>
      <c r="NHZ307" s="104"/>
      <c r="NIA307" s="104"/>
      <c r="NIB307" s="104"/>
      <c r="NIC307" s="104"/>
      <c r="NID307" s="104"/>
      <c r="NIE307" s="104"/>
      <c r="NIF307" s="104"/>
      <c r="NIG307" s="104"/>
      <c r="NIH307" s="104"/>
      <c r="NII307" s="104"/>
      <c r="NIJ307" s="104"/>
      <c r="NIK307" s="104"/>
      <c r="NIL307" s="104"/>
      <c r="NIM307" s="104"/>
      <c r="NIN307" s="104"/>
      <c r="NIO307" s="104"/>
      <c r="NIP307" s="104"/>
      <c r="NIQ307" s="104"/>
      <c r="NIR307" s="104"/>
      <c r="NIS307" s="104"/>
      <c r="NIT307" s="104"/>
      <c r="NIU307" s="104"/>
      <c r="NIV307" s="104"/>
      <c r="NIW307" s="104"/>
      <c r="NIX307" s="104"/>
      <c r="NIY307" s="104"/>
      <c r="NIZ307" s="104"/>
      <c r="NJA307" s="104"/>
      <c r="NJB307" s="104"/>
      <c r="NJC307" s="104"/>
      <c r="NJD307" s="104"/>
      <c r="NJE307" s="104"/>
      <c r="NJF307" s="104"/>
      <c r="NJG307" s="104"/>
      <c r="NJH307" s="104"/>
      <c r="NJI307" s="104"/>
      <c r="NJJ307" s="104"/>
      <c r="NJK307" s="104"/>
      <c r="NJL307" s="104"/>
      <c r="NJM307" s="104"/>
      <c r="NJN307" s="104"/>
      <c r="NJO307" s="104"/>
      <c r="NJP307" s="104"/>
      <c r="NJQ307" s="104"/>
      <c r="NJR307" s="104"/>
      <c r="NJS307" s="104"/>
      <c r="NJT307" s="104"/>
      <c r="NJU307" s="104"/>
      <c r="NJV307" s="104"/>
      <c r="NJW307" s="104"/>
      <c r="NJX307" s="104"/>
      <c r="NJY307" s="104"/>
      <c r="NJZ307" s="104"/>
      <c r="NKA307" s="104"/>
      <c r="NKB307" s="104"/>
      <c r="NKC307" s="104"/>
      <c r="NKD307" s="104"/>
      <c r="NKE307" s="104"/>
      <c r="NKF307" s="104"/>
      <c r="NKG307" s="104"/>
      <c r="NKH307" s="104"/>
      <c r="NKI307" s="104"/>
      <c r="NKJ307" s="104"/>
      <c r="NKK307" s="104"/>
      <c r="NKL307" s="104"/>
      <c r="NKM307" s="104"/>
      <c r="NKN307" s="104"/>
      <c r="NKO307" s="104"/>
      <c r="NKP307" s="104"/>
      <c r="NKQ307" s="104"/>
      <c r="NKR307" s="104"/>
      <c r="NKS307" s="104"/>
      <c r="NKT307" s="104"/>
      <c r="NKU307" s="104"/>
      <c r="NKV307" s="104"/>
      <c r="NKW307" s="104"/>
      <c r="NKX307" s="104"/>
      <c r="NKY307" s="104"/>
      <c r="NKZ307" s="104"/>
      <c r="NLA307" s="104"/>
      <c r="NLB307" s="104"/>
      <c r="NLC307" s="104"/>
      <c r="NLD307" s="104"/>
      <c r="NLE307" s="104"/>
      <c r="NLF307" s="104"/>
      <c r="NLG307" s="104"/>
      <c r="NLH307" s="104"/>
      <c r="NLI307" s="104"/>
      <c r="NLJ307" s="104"/>
      <c r="NLK307" s="104"/>
      <c r="NLL307" s="104"/>
      <c r="NLM307" s="104"/>
      <c r="NLN307" s="104"/>
      <c r="NLO307" s="104"/>
      <c r="NLP307" s="104"/>
      <c r="NLQ307" s="104"/>
      <c r="NLR307" s="104"/>
      <c r="NLS307" s="104"/>
      <c r="NLT307" s="104"/>
      <c r="NLU307" s="104"/>
      <c r="NLV307" s="104"/>
      <c r="NLW307" s="104"/>
      <c r="NLX307" s="104"/>
      <c r="NLY307" s="104"/>
      <c r="NLZ307" s="104"/>
      <c r="NMA307" s="104"/>
      <c r="NMB307" s="104"/>
      <c r="NMC307" s="104"/>
      <c r="NMD307" s="104"/>
      <c r="NME307" s="104"/>
      <c r="NMF307" s="104"/>
      <c r="NMG307" s="104"/>
      <c r="NMH307" s="104"/>
      <c r="NMI307" s="104"/>
      <c r="NMJ307" s="104"/>
      <c r="NMK307" s="104"/>
      <c r="NML307" s="104"/>
      <c r="NMM307" s="104"/>
      <c r="NMN307" s="104"/>
      <c r="NMO307" s="104"/>
      <c r="NMP307" s="104"/>
      <c r="NMQ307" s="104"/>
      <c r="NMR307" s="104"/>
      <c r="NMS307" s="104"/>
      <c r="NMT307" s="104"/>
      <c r="NMU307" s="104"/>
      <c r="NMV307" s="104"/>
      <c r="NMW307" s="104"/>
      <c r="NMX307" s="104"/>
      <c r="NMY307" s="104"/>
      <c r="NMZ307" s="104"/>
      <c r="NNA307" s="104"/>
      <c r="NNB307" s="104"/>
      <c r="NNC307" s="104"/>
      <c r="NND307" s="104"/>
      <c r="NNE307" s="104"/>
      <c r="NNF307" s="104"/>
      <c r="NNG307" s="104"/>
      <c r="NNH307" s="104"/>
      <c r="NNI307" s="104"/>
      <c r="NNJ307" s="104"/>
      <c r="NNK307" s="104"/>
      <c r="NNL307" s="104"/>
      <c r="NNM307" s="104"/>
      <c r="NNN307" s="104"/>
      <c r="NNO307" s="104"/>
      <c r="NNP307" s="104"/>
      <c r="NNQ307" s="104"/>
      <c r="NNR307" s="104"/>
      <c r="NNS307" s="104"/>
      <c r="NNT307" s="104"/>
      <c r="NNU307" s="104"/>
      <c r="NNV307" s="104"/>
      <c r="NNW307" s="104"/>
      <c r="NNX307" s="104"/>
      <c r="NNY307" s="104"/>
      <c r="NNZ307" s="104"/>
      <c r="NOA307" s="104"/>
      <c r="NOB307" s="104"/>
      <c r="NOC307" s="104"/>
      <c r="NOD307" s="104"/>
      <c r="NOE307" s="104"/>
      <c r="NOF307" s="104"/>
      <c r="NOG307" s="104"/>
      <c r="NOH307" s="104"/>
      <c r="NOI307" s="104"/>
      <c r="NOJ307" s="104"/>
      <c r="NOK307" s="104"/>
      <c r="NOL307" s="104"/>
      <c r="NOM307" s="104"/>
      <c r="NON307" s="104"/>
      <c r="NOO307" s="104"/>
      <c r="NOP307" s="104"/>
      <c r="NOQ307" s="104"/>
      <c r="NOR307" s="104"/>
      <c r="NOS307" s="104"/>
      <c r="NOT307" s="104"/>
      <c r="NOU307" s="104"/>
      <c r="NOV307" s="104"/>
      <c r="NOW307" s="104"/>
      <c r="NOX307" s="104"/>
      <c r="NOY307" s="104"/>
      <c r="NOZ307" s="104"/>
      <c r="NPA307" s="104"/>
      <c r="NPB307" s="104"/>
      <c r="NPC307" s="104"/>
      <c r="NPD307" s="104"/>
      <c r="NPE307" s="104"/>
      <c r="NPF307" s="104"/>
      <c r="NPG307" s="104"/>
      <c r="NPH307" s="104"/>
      <c r="NPI307" s="104"/>
      <c r="NPJ307" s="104"/>
      <c r="NPK307" s="104"/>
      <c r="NPL307" s="104"/>
      <c r="NPM307" s="104"/>
      <c r="NPN307" s="104"/>
      <c r="NPO307" s="104"/>
      <c r="NPP307" s="104"/>
      <c r="NPQ307" s="104"/>
      <c r="NPR307" s="104"/>
      <c r="NPS307" s="104"/>
      <c r="NPT307" s="104"/>
      <c r="NPU307" s="104"/>
      <c r="NPV307" s="104"/>
      <c r="NPW307" s="104"/>
      <c r="NPX307" s="104"/>
      <c r="NPY307" s="104"/>
      <c r="NPZ307" s="104"/>
      <c r="NQA307" s="104"/>
      <c r="NQB307" s="104"/>
      <c r="NQC307" s="104"/>
      <c r="NQD307" s="104"/>
      <c r="NQE307" s="104"/>
      <c r="NQF307" s="104"/>
      <c r="NQG307" s="104"/>
      <c r="NQH307" s="104"/>
      <c r="NQI307" s="104"/>
      <c r="NQJ307" s="104"/>
      <c r="NQK307" s="104"/>
      <c r="NQL307" s="104"/>
      <c r="NQM307" s="104"/>
      <c r="NQN307" s="104"/>
      <c r="NQO307" s="104"/>
      <c r="NQP307" s="104"/>
      <c r="NQQ307" s="104"/>
      <c r="NQR307" s="104"/>
      <c r="NQS307" s="104"/>
      <c r="NQT307" s="104"/>
      <c r="NQU307" s="104"/>
      <c r="NQV307" s="104"/>
      <c r="NQW307" s="104"/>
      <c r="NQX307" s="104"/>
      <c r="NQY307" s="104"/>
      <c r="NQZ307" s="104"/>
      <c r="NRA307" s="104"/>
      <c r="NRB307" s="104"/>
      <c r="NRC307" s="104"/>
      <c r="NRD307" s="104"/>
      <c r="NRE307" s="104"/>
      <c r="NRF307" s="104"/>
      <c r="NRG307" s="104"/>
      <c r="NRH307" s="104"/>
      <c r="NRI307" s="104"/>
      <c r="NRJ307" s="104"/>
      <c r="NRK307" s="104"/>
      <c r="NRL307" s="104"/>
      <c r="NRM307" s="104"/>
      <c r="NRN307" s="104"/>
      <c r="NRO307" s="104"/>
      <c r="NRP307" s="104"/>
      <c r="NRQ307" s="104"/>
      <c r="NRR307" s="104"/>
      <c r="NRS307" s="104"/>
      <c r="NRT307" s="104"/>
      <c r="NRU307" s="104"/>
      <c r="NRV307" s="104"/>
      <c r="NRW307" s="104"/>
      <c r="NRX307" s="104"/>
      <c r="NRY307" s="104"/>
      <c r="NRZ307" s="104"/>
      <c r="NSA307" s="104"/>
      <c r="NSB307" s="104"/>
      <c r="NSC307" s="104"/>
      <c r="NSD307" s="104"/>
      <c r="NSE307" s="104"/>
      <c r="NSF307" s="104"/>
      <c r="NSG307" s="104"/>
      <c r="NSH307" s="104"/>
      <c r="NSI307" s="104"/>
      <c r="NSJ307" s="104"/>
      <c r="NSK307" s="104"/>
      <c r="NSL307" s="104"/>
      <c r="NSM307" s="104"/>
      <c r="NSN307" s="104"/>
      <c r="NSO307" s="104"/>
      <c r="NSP307" s="104"/>
      <c r="NSQ307" s="104"/>
      <c r="NSR307" s="104"/>
      <c r="NSS307" s="104"/>
      <c r="NST307" s="104"/>
      <c r="NSU307" s="104"/>
      <c r="NSV307" s="104"/>
      <c r="NSW307" s="104"/>
      <c r="NSX307" s="104"/>
      <c r="NSY307" s="104"/>
      <c r="NSZ307" s="104"/>
      <c r="NTA307" s="104"/>
      <c r="NTB307" s="104"/>
      <c r="NTC307" s="104"/>
      <c r="NTD307" s="104"/>
      <c r="NTE307" s="104"/>
      <c r="NTF307" s="104"/>
      <c r="NTG307" s="104"/>
      <c r="NTH307" s="104"/>
      <c r="NTI307" s="104"/>
      <c r="NTJ307" s="104"/>
      <c r="NTK307" s="104"/>
      <c r="NTL307" s="104"/>
      <c r="NTM307" s="104"/>
      <c r="NTN307" s="104"/>
      <c r="NTO307" s="104"/>
      <c r="NTP307" s="104"/>
      <c r="NTQ307" s="104"/>
      <c r="NTR307" s="104"/>
      <c r="NTS307" s="104"/>
      <c r="NTT307" s="104"/>
      <c r="NTU307" s="104"/>
      <c r="NTV307" s="104"/>
      <c r="NTW307" s="104"/>
      <c r="NTX307" s="104"/>
      <c r="NTY307" s="104"/>
      <c r="NTZ307" s="104"/>
      <c r="NUA307" s="104"/>
      <c r="NUB307" s="104"/>
      <c r="NUC307" s="104"/>
      <c r="NUD307" s="104"/>
      <c r="NUE307" s="104"/>
      <c r="NUF307" s="104"/>
      <c r="NUG307" s="104"/>
      <c r="NUH307" s="104"/>
      <c r="NUI307" s="104"/>
      <c r="NUJ307" s="104"/>
      <c r="NUK307" s="104"/>
      <c r="NUL307" s="104"/>
      <c r="NUM307" s="104"/>
      <c r="NUN307" s="104"/>
      <c r="NUO307" s="104"/>
      <c r="NUP307" s="104"/>
      <c r="NUQ307" s="104"/>
      <c r="NUR307" s="104"/>
      <c r="NUS307" s="104"/>
      <c r="NUT307" s="104"/>
      <c r="NUU307" s="104"/>
      <c r="NUV307" s="104"/>
      <c r="NUW307" s="104"/>
      <c r="NUX307" s="104"/>
      <c r="NUY307" s="104"/>
      <c r="NUZ307" s="104"/>
      <c r="NVA307" s="104"/>
      <c r="NVB307" s="104"/>
      <c r="NVC307" s="104"/>
      <c r="NVD307" s="104"/>
      <c r="NVE307" s="104"/>
      <c r="NVF307" s="104"/>
      <c r="NVG307" s="104"/>
      <c r="NVH307" s="104"/>
      <c r="NVI307" s="104"/>
      <c r="NVJ307" s="104"/>
      <c r="NVK307" s="104"/>
      <c r="NVL307" s="104"/>
      <c r="NVM307" s="104"/>
      <c r="NVN307" s="104"/>
      <c r="NVO307" s="104"/>
      <c r="NVP307" s="104"/>
      <c r="NVQ307" s="104"/>
      <c r="NVR307" s="104"/>
      <c r="NVS307" s="104"/>
      <c r="NVT307" s="104"/>
      <c r="NVU307" s="104"/>
      <c r="NVV307" s="104"/>
      <c r="NVW307" s="104"/>
      <c r="NVX307" s="104"/>
      <c r="NVY307" s="104"/>
      <c r="NVZ307" s="104"/>
      <c r="NWA307" s="104"/>
      <c r="NWB307" s="104"/>
      <c r="NWC307" s="104"/>
      <c r="NWD307" s="104"/>
      <c r="NWE307" s="104"/>
      <c r="NWF307" s="104"/>
      <c r="NWG307" s="104"/>
      <c r="NWH307" s="104"/>
      <c r="NWI307" s="104"/>
      <c r="NWJ307" s="104"/>
      <c r="NWK307" s="104"/>
      <c r="NWL307" s="104"/>
      <c r="NWM307" s="104"/>
      <c r="NWN307" s="104"/>
      <c r="NWO307" s="104"/>
      <c r="NWP307" s="104"/>
      <c r="NWQ307" s="104"/>
      <c r="NWR307" s="104"/>
      <c r="NWS307" s="104"/>
      <c r="NWT307" s="104"/>
      <c r="NWU307" s="104"/>
      <c r="NWV307" s="104"/>
      <c r="NWW307" s="104"/>
      <c r="NWX307" s="104"/>
      <c r="NWY307" s="104"/>
      <c r="NWZ307" s="104"/>
      <c r="NXA307" s="104"/>
      <c r="NXB307" s="104"/>
      <c r="NXC307" s="104"/>
      <c r="NXD307" s="104"/>
      <c r="NXE307" s="104"/>
      <c r="NXF307" s="104"/>
      <c r="NXG307" s="104"/>
      <c r="NXH307" s="104"/>
      <c r="NXI307" s="104"/>
      <c r="NXJ307" s="104"/>
      <c r="NXK307" s="104"/>
      <c r="NXL307" s="104"/>
      <c r="NXM307" s="104"/>
      <c r="NXN307" s="104"/>
      <c r="NXO307" s="104"/>
      <c r="NXP307" s="104"/>
      <c r="NXQ307" s="104"/>
      <c r="NXR307" s="104"/>
      <c r="NXS307" s="104"/>
      <c r="NXT307" s="104"/>
      <c r="NXU307" s="104"/>
      <c r="NXV307" s="104"/>
      <c r="NXW307" s="104"/>
      <c r="NXX307" s="104"/>
      <c r="NXY307" s="104"/>
      <c r="NXZ307" s="104"/>
      <c r="NYA307" s="104"/>
      <c r="NYB307" s="104"/>
      <c r="NYC307" s="104"/>
      <c r="NYD307" s="104"/>
      <c r="NYE307" s="104"/>
      <c r="NYF307" s="104"/>
      <c r="NYG307" s="104"/>
      <c r="NYH307" s="104"/>
      <c r="NYI307" s="104"/>
      <c r="NYJ307" s="104"/>
      <c r="NYK307" s="104"/>
      <c r="NYL307" s="104"/>
      <c r="NYM307" s="104"/>
      <c r="NYN307" s="104"/>
      <c r="NYO307" s="104"/>
      <c r="NYP307" s="104"/>
      <c r="NYQ307" s="104"/>
      <c r="NYR307" s="104"/>
      <c r="NYS307" s="104"/>
      <c r="NYT307" s="104"/>
      <c r="NYU307" s="104"/>
      <c r="NYV307" s="104"/>
      <c r="NYW307" s="104"/>
      <c r="NYX307" s="104"/>
      <c r="NYY307" s="104"/>
      <c r="NYZ307" s="104"/>
      <c r="NZA307" s="104"/>
      <c r="NZB307" s="104"/>
      <c r="NZC307" s="104"/>
      <c r="NZD307" s="104"/>
      <c r="NZE307" s="104"/>
      <c r="NZF307" s="104"/>
      <c r="NZG307" s="104"/>
      <c r="NZH307" s="104"/>
      <c r="NZI307" s="104"/>
      <c r="NZJ307" s="104"/>
      <c r="NZK307" s="104"/>
      <c r="NZL307" s="104"/>
      <c r="NZM307" s="104"/>
      <c r="NZN307" s="104"/>
      <c r="NZO307" s="104"/>
      <c r="NZP307" s="104"/>
      <c r="NZQ307" s="104"/>
      <c r="NZR307" s="104"/>
      <c r="NZS307" s="104"/>
      <c r="NZT307" s="104"/>
      <c r="NZU307" s="104"/>
      <c r="NZV307" s="104"/>
      <c r="NZW307" s="104"/>
      <c r="NZX307" s="104"/>
      <c r="NZY307" s="104"/>
      <c r="NZZ307" s="104"/>
      <c r="OAA307" s="104"/>
      <c r="OAB307" s="104"/>
      <c r="OAC307" s="104"/>
      <c r="OAD307" s="104"/>
      <c r="OAE307" s="104"/>
      <c r="OAF307" s="104"/>
      <c r="OAG307" s="104"/>
      <c r="OAH307" s="104"/>
      <c r="OAI307" s="104"/>
      <c r="OAJ307" s="104"/>
      <c r="OAK307" s="104"/>
      <c r="OAL307" s="104"/>
      <c r="OAM307" s="104"/>
      <c r="OAN307" s="104"/>
      <c r="OAO307" s="104"/>
      <c r="OAP307" s="104"/>
      <c r="OAQ307" s="104"/>
      <c r="OAR307" s="104"/>
      <c r="OAS307" s="104"/>
      <c r="OAT307" s="104"/>
      <c r="OAU307" s="104"/>
      <c r="OAV307" s="104"/>
      <c r="OAW307" s="104"/>
      <c r="OAX307" s="104"/>
      <c r="OAY307" s="104"/>
      <c r="OAZ307" s="104"/>
      <c r="OBA307" s="104"/>
      <c r="OBB307" s="104"/>
      <c r="OBC307" s="104"/>
      <c r="OBD307" s="104"/>
      <c r="OBE307" s="104"/>
      <c r="OBF307" s="104"/>
      <c r="OBG307" s="104"/>
      <c r="OBH307" s="104"/>
      <c r="OBI307" s="104"/>
      <c r="OBJ307" s="104"/>
      <c r="OBK307" s="104"/>
      <c r="OBL307" s="104"/>
      <c r="OBM307" s="104"/>
      <c r="OBN307" s="104"/>
      <c r="OBO307" s="104"/>
      <c r="OBP307" s="104"/>
      <c r="OBQ307" s="104"/>
      <c r="OBR307" s="104"/>
      <c r="OBS307" s="104"/>
      <c r="OBT307" s="104"/>
      <c r="OBU307" s="104"/>
      <c r="OBV307" s="104"/>
      <c r="OBW307" s="104"/>
      <c r="OBX307" s="104"/>
      <c r="OBY307" s="104"/>
      <c r="OBZ307" s="104"/>
      <c r="OCA307" s="104"/>
      <c r="OCB307" s="104"/>
      <c r="OCC307" s="104"/>
      <c r="OCD307" s="104"/>
      <c r="OCE307" s="104"/>
      <c r="OCF307" s="104"/>
      <c r="OCG307" s="104"/>
      <c r="OCH307" s="104"/>
      <c r="OCI307" s="104"/>
      <c r="OCJ307" s="104"/>
      <c r="OCK307" s="104"/>
      <c r="OCL307" s="104"/>
      <c r="OCM307" s="104"/>
      <c r="OCN307" s="104"/>
      <c r="OCO307" s="104"/>
      <c r="OCP307" s="104"/>
      <c r="OCQ307" s="104"/>
      <c r="OCR307" s="104"/>
      <c r="OCS307" s="104"/>
      <c r="OCT307" s="104"/>
      <c r="OCU307" s="104"/>
      <c r="OCV307" s="104"/>
      <c r="OCW307" s="104"/>
      <c r="OCX307" s="104"/>
      <c r="OCY307" s="104"/>
      <c r="OCZ307" s="104"/>
      <c r="ODA307" s="104"/>
      <c r="ODB307" s="104"/>
      <c r="ODC307" s="104"/>
      <c r="ODD307" s="104"/>
      <c r="ODE307" s="104"/>
      <c r="ODF307" s="104"/>
      <c r="ODG307" s="104"/>
      <c r="ODH307" s="104"/>
      <c r="ODI307" s="104"/>
      <c r="ODJ307" s="104"/>
      <c r="ODK307" s="104"/>
      <c r="ODL307" s="104"/>
      <c r="ODM307" s="104"/>
      <c r="ODN307" s="104"/>
      <c r="ODO307" s="104"/>
      <c r="ODP307" s="104"/>
      <c r="ODQ307" s="104"/>
      <c r="ODR307" s="104"/>
      <c r="ODS307" s="104"/>
      <c r="ODT307" s="104"/>
      <c r="ODU307" s="104"/>
      <c r="ODV307" s="104"/>
      <c r="ODW307" s="104"/>
      <c r="ODX307" s="104"/>
      <c r="ODY307" s="104"/>
      <c r="ODZ307" s="104"/>
      <c r="OEA307" s="104"/>
      <c r="OEB307" s="104"/>
      <c r="OEC307" s="104"/>
      <c r="OED307" s="104"/>
      <c r="OEE307" s="104"/>
      <c r="OEF307" s="104"/>
      <c r="OEG307" s="104"/>
      <c r="OEH307" s="104"/>
      <c r="OEI307" s="104"/>
      <c r="OEJ307" s="104"/>
      <c r="OEK307" s="104"/>
      <c r="OEL307" s="104"/>
      <c r="OEM307" s="104"/>
      <c r="OEN307" s="104"/>
      <c r="OEO307" s="104"/>
      <c r="OEP307" s="104"/>
      <c r="OEQ307" s="104"/>
      <c r="OER307" s="104"/>
      <c r="OES307" s="104"/>
      <c r="OET307" s="104"/>
      <c r="OEU307" s="104"/>
      <c r="OEV307" s="104"/>
      <c r="OEW307" s="104"/>
      <c r="OEX307" s="104"/>
      <c r="OEY307" s="104"/>
      <c r="OEZ307" s="104"/>
      <c r="OFA307" s="104"/>
      <c r="OFB307" s="104"/>
      <c r="OFC307" s="104"/>
      <c r="OFD307" s="104"/>
      <c r="OFE307" s="104"/>
      <c r="OFF307" s="104"/>
      <c r="OFG307" s="104"/>
      <c r="OFH307" s="104"/>
      <c r="OFI307" s="104"/>
      <c r="OFJ307" s="104"/>
      <c r="OFK307" s="104"/>
      <c r="OFL307" s="104"/>
      <c r="OFM307" s="104"/>
      <c r="OFN307" s="104"/>
      <c r="OFO307" s="104"/>
      <c r="OFP307" s="104"/>
      <c r="OFQ307" s="104"/>
      <c r="OFR307" s="104"/>
      <c r="OFS307" s="104"/>
      <c r="OFT307" s="104"/>
      <c r="OFU307" s="104"/>
      <c r="OFV307" s="104"/>
      <c r="OFW307" s="104"/>
      <c r="OFX307" s="104"/>
      <c r="OFY307" s="104"/>
      <c r="OFZ307" s="104"/>
      <c r="OGA307" s="104"/>
      <c r="OGB307" s="104"/>
      <c r="OGC307" s="104"/>
      <c r="OGD307" s="104"/>
      <c r="OGE307" s="104"/>
      <c r="OGF307" s="104"/>
      <c r="OGG307" s="104"/>
      <c r="OGH307" s="104"/>
      <c r="OGI307" s="104"/>
      <c r="OGJ307" s="104"/>
      <c r="OGK307" s="104"/>
      <c r="OGL307" s="104"/>
      <c r="OGM307" s="104"/>
      <c r="OGN307" s="104"/>
      <c r="OGO307" s="104"/>
      <c r="OGP307" s="104"/>
      <c r="OGQ307" s="104"/>
      <c r="OGR307" s="104"/>
      <c r="OGS307" s="104"/>
      <c r="OGT307" s="104"/>
      <c r="OGU307" s="104"/>
      <c r="OGV307" s="104"/>
      <c r="OGW307" s="104"/>
      <c r="OGX307" s="104"/>
      <c r="OGY307" s="104"/>
      <c r="OGZ307" s="104"/>
      <c r="OHA307" s="104"/>
      <c r="OHB307" s="104"/>
      <c r="OHC307" s="104"/>
      <c r="OHD307" s="104"/>
      <c r="OHE307" s="104"/>
      <c r="OHF307" s="104"/>
      <c r="OHG307" s="104"/>
      <c r="OHH307" s="104"/>
      <c r="OHI307" s="104"/>
      <c r="OHJ307" s="104"/>
      <c r="OHK307" s="104"/>
      <c r="OHL307" s="104"/>
      <c r="OHM307" s="104"/>
      <c r="OHN307" s="104"/>
      <c r="OHO307" s="104"/>
      <c r="OHP307" s="104"/>
      <c r="OHQ307" s="104"/>
      <c r="OHR307" s="104"/>
      <c r="OHS307" s="104"/>
      <c r="OHT307" s="104"/>
      <c r="OHU307" s="104"/>
      <c r="OHV307" s="104"/>
      <c r="OHW307" s="104"/>
      <c r="OHX307" s="104"/>
      <c r="OHY307" s="104"/>
      <c r="OHZ307" s="104"/>
      <c r="OIA307" s="104"/>
      <c r="OIB307" s="104"/>
      <c r="OIC307" s="104"/>
      <c r="OID307" s="104"/>
      <c r="OIE307" s="104"/>
      <c r="OIF307" s="104"/>
      <c r="OIG307" s="104"/>
      <c r="OIH307" s="104"/>
      <c r="OII307" s="104"/>
      <c r="OIJ307" s="104"/>
      <c r="OIK307" s="104"/>
      <c r="OIL307" s="104"/>
      <c r="OIM307" s="104"/>
      <c r="OIN307" s="104"/>
      <c r="OIO307" s="104"/>
      <c r="OIP307" s="104"/>
      <c r="OIQ307" s="104"/>
      <c r="OIR307" s="104"/>
      <c r="OIS307" s="104"/>
      <c r="OIT307" s="104"/>
      <c r="OIU307" s="104"/>
      <c r="OIV307" s="104"/>
      <c r="OIW307" s="104"/>
      <c r="OIX307" s="104"/>
      <c r="OIY307" s="104"/>
      <c r="OIZ307" s="104"/>
      <c r="OJA307" s="104"/>
      <c r="OJB307" s="104"/>
      <c r="OJC307" s="104"/>
      <c r="OJD307" s="104"/>
      <c r="OJE307" s="104"/>
      <c r="OJF307" s="104"/>
      <c r="OJG307" s="104"/>
      <c r="OJH307" s="104"/>
      <c r="OJI307" s="104"/>
      <c r="OJJ307" s="104"/>
      <c r="OJK307" s="104"/>
      <c r="OJL307" s="104"/>
      <c r="OJM307" s="104"/>
      <c r="OJN307" s="104"/>
      <c r="OJO307" s="104"/>
      <c r="OJP307" s="104"/>
      <c r="OJQ307" s="104"/>
      <c r="OJR307" s="104"/>
      <c r="OJS307" s="104"/>
      <c r="OJT307" s="104"/>
      <c r="OJU307" s="104"/>
      <c r="OJV307" s="104"/>
      <c r="OJW307" s="104"/>
      <c r="OJX307" s="104"/>
      <c r="OJY307" s="104"/>
      <c r="OJZ307" s="104"/>
      <c r="OKA307" s="104"/>
      <c r="OKB307" s="104"/>
      <c r="OKC307" s="104"/>
      <c r="OKD307" s="104"/>
      <c r="OKE307" s="104"/>
      <c r="OKF307" s="104"/>
      <c r="OKG307" s="104"/>
      <c r="OKH307" s="104"/>
      <c r="OKI307" s="104"/>
      <c r="OKJ307" s="104"/>
      <c r="OKK307" s="104"/>
      <c r="OKL307" s="104"/>
      <c r="OKM307" s="104"/>
      <c r="OKN307" s="104"/>
      <c r="OKO307" s="104"/>
      <c r="OKP307" s="104"/>
      <c r="OKQ307" s="104"/>
      <c r="OKR307" s="104"/>
      <c r="OKS307" s="104"/>
      <c r="OKT307" s="104"/>
      <c r="OKU307" s="104"/>
      <c r="OKV307" s="104"/>
      <c r="OKW307" s="104"/>
      <c r="OKX307" s="104"/>
      <c r="OKY307" s="104"/>
      <c r="OKZ307" s="104"/>
      <c r="OLA307" s="104"/>
      <c r="OLB307" s="104"/>
      <c r="OLC307" s="104"/>
      <c r="OLD307" s="104"/>
      <c r="OLE307" s="104"/>
      <c r="OLF307" s="104"/>
      <c r="OLG307" s="104"/>
      <c r="OLH307" s="104"/>
      <c r="OLI307" s="104"/>
      <c r="OLJ307" s="104"/>
      <c r="OLK307" s="104"/>
      <c r="OLL307" s="104"/>
      <c r="OLM307" s="104"/>
      <c r="OLN307" s="104"/>
      <c r="OLO307" s="104"/>
      <c r="OLP307" s="104"/>
      <c r="OLQ307" s="104"/>
      <c r="OLR307" s="104"/>
      <c r="OLS307" s="104"/>
      <c r="OLT307" s="104"/>
      <c r="OLU307" s="104"/>
      <c r="OLV307" s="104"/>
      <c r="OLW307" s="104"/>
      <c r="OLX307" s="104"/>
      <c r="OLY307" s="104"/>
      <c r="OLZ307" s="104"/>
      <c r="OMA307" s="104"/>
      <c r="OMB307" s="104"/>
      <c r="OMC307" s="104"/>
      <c r="OMD307" s="104"/>
      <c r="OME307" s="104"/>
      <c r="OMF307" s="104"/>
      <c r="OMG307" s="104"/>
      <c r="OMH307" s="104"/>
      <c r="OMI307" s="104"/>
      <c r="OMJ307" s="104"/>
      <c r="OMK307" s="104"/>
      <c r="OML307" s="104"/>
      <c r="OMM307" s="104"/>
      <c r="OMN307" s="104"/>
      <c r="OMO307" s="104"/>
      <c r="OMP307" s="104"/>
      <c r="OMQ307" s="104"/>
      <c r="OMR307" s="104"/>
      <c r="OMS307" s="104"/>
      <c r="OMT307" s="104"/>
      <c r="OMU307" s="104"/>
      <c r="OMV307" s="104"/>
      <c r="OMW307" s="104"/>
      <c r="OMX307" s="104"/>
      <c r="OMY307" s="104"/>
      <c r="OMZ307" s="104"/>
      <c r="ONA307" s="104"/>
      <c r="ONB307" s="104"/>
      <c r="ONC307" s="104"/>
      <c r="OND307" s="104"/>
      <c r="ONE307" s="104"/>
      <c r="ONF307" s="104"/>
      <c r="ONG307" s="104"/>
      <c r="ONH307" s="104"/>
      <c r="ONI307" s="104"/>
      <c r="ONJ307" s="104"/>
      <c r="ONK307" s="104"/>
      <c r="ONL307" s="104"/>
      <c r="ONM307" s="104"/>
      <c r="ONN307" s="104"/>
      <c r="ONO307" s="104"/>
      <c r="ONP307" s="104"/>
      <c r="ONQ307" s="104"/>
      <c r="ONR307" s="104"/>
      <c r="ONS307" s="104"/>
      <c r="ONT307" s="104"/>
      <c r="ONU307" s="104"/>
      <c r="ONV307" s="104"/>
      <c r="ONW307" s="104"/>
      <c r="ONX307" s="104"/>
      <c r="ONY307" s="104"/>
      <c r="ONZ307" s="104"/>
      <c r="OOA307" s="104"/>
      <c r="OOB307" s="104"/>
      <c r="OOC307" s="104"/>
      <c r="OOD307" s="104"/>
      <c r="OOE307" s="104"/>
      <c r="OOF307" s="104"/>
      <c r="OOG307" s="104"/>
      <c r="OOH307" s="104"/>
      <c r="OOI307" s="104"/>
      <c r="OOJ307" s="104"/>
      <c r="OOK307" s="104"/>
      <c r="OOL307" s="104"/>
      <c r="OOM307" s="104"/>
      <c r="OON307" s="104"/>
      <c r="OOO307" s="104"/>
      <c r="OOP307" s="104"/>
      <c r="OOQ307" s="104"/>
      <c r="OOR307" s="104"/>
      <c r="OOS307" s="104"/>
      <c r="OOT307" s="104"/>
      <c r="OOU307" s="104"/>
      <c r="OOV307" s="104"/>
      <c r="OOW307" s="104"/>
      <c r="OOX307" s="104"/>
      <c r="OOY307" s="104"/>
      <c r="OOZ307" s="104"/>
      <c r="OPA307" s="104"/>
      <c r="OPB307" s="104"/>
      <c r="OPC307" s="104"/>
      <c r="OPD307" s="104"/>
      <c r="OPE307" s="104"/>
      <c r="OPF307" s="104"/>
      <c r="OPG307" s="104"/>
      <c r="OPH307" s="104"/>
      <c r="OPI307" s="104"/>
      <c r="OPJ307" s="104"/>
      <c r="OPK307" s="104"/>
      <c r="OPL307" s="104"/>
      <c r="OPM307" s="104"/>
      <c r="OPN307" s="104"/>
      <c r="OPO307" s="104"/>
      <c r="OPP307" s="104"/>
      <c r="OPQ307" s="104"/>
      <c r="OPR307" s="104"/>
      <c r="OPS307" s="104"/>
      <c r="OPT307" s="104"/>
      <c r="OPU307" s="104"/>
      <c r="OPV307" s="104"/>
      <c r="OPW307" s="104"/>
      <c r="OPX307" s="104"/>
      <c r="OPY307" s="104"/>
      <c r="OPZ307" s="104"/>
      <c r="OQA307" s="104"/>
      <c r="OQB307" s="104"/>
      <c r="OQC307" s="104"/>
      <c r="OQD307" s="104"/>
      <c r="OQE307" s="104"/>
      <c r="OQF307" s="104"/>
      <c r="OQG307" s="104"/>
      <c r="OQH307" s="104"/>
      <c r="OQI307" s="104"/>
      <c r="OQJ307" s="104"/>
      <c r="OQK307" s="104"/>
      <c r="OQL307" s="104"/>
      <c r="OQM307" s="104"/>
      <c r="OQN307" s="104"/>
      <c r="OQO307" s="104"/>
      <c r="OQP307" s="104"/>
      <c r="OQQ307" s="104"/>
      <c r="OQR307" s="104"/>
      <c r="OQS307" s="104"/>
      <c r="OQT307" s="104"/>
      <c r="OQU307" s="104"/>
      <c r="OQV307" s="104"/>
      <c r="OQW307" s="104"/>
      <c r="OQX307" s="104"/>
      <c r="OQY307" s="104"/>
      <c r="OQZ307" s="104"/>
      <c r="ORA307" s="104"/>
      <c r="ORB307" s="104"/>
      <c r="ORC307" s="104"/>
      <c r="ORD307" s="104"/>
      <c r="ORE307" s="104"/>
      <c r="ORF307" s="104"/>
      <c r="ORG307" s="104"/>
      <c r="ORH307" s="104"/>
      <c r="ORI307" s="104"/>
      <c r="ORJ307" s="104"/>
      <c r="ORK307" s="104"/>
      <c r="ORL307" s="104"/>
      <c r="ORM307" s="104"/>
      <c r="ORN307" s="104"/>
      <c r="ORO307" s="104"/>
      <c r="ORP307" s="104"/>
      <c r="ORQ307" s="104"/>
      <c r="ORR307" s="104"/>
      <c r="ORS307" s="104"/>
      <c r="ORT307" s="104"/>
      <c r="ORU307" s="104"/>
      <c r="ORV307" s="104"/>
      <c r="ORW307" s="104"/>
      <c r="ORX307" s="104"/>
      <c r="ORY307" s="104"/>
      <c r="ORZ307" s="104"/>
      <c r="OSA307" s="104"/>
      <c r="OSB307" s="104"/>
      <c r="OSC307" s="104"/>
      <c r="OSD307" s="104"/>
      <c r="OSE307" s="104"/>
      <c r="OSF307" s="104"/>
      <c r="OSG307" s="104"/>
      <c r="OSH307" s="104"/>
      <c r="OSI307" s="104"/>
      <c r="OSJ307" s="104"/>
      <c r="OSK307" s="104"/>
      <c r="OSL307" s="104"/>
      <c r="OSM307" s="104"/>
      <c r="OSN307" s="104"/>
      <c r="OSO307" s="104"/>
      <c r="OSP307" s="104"/>
      <c r="OSQ307" s="104"/>
      <c r="OSR307" s="104"/>
      <c r="OSS307" s="104"/>
      <c r="OST307" s="104"/>
      <c r="OSU307" s="104"/>
      <c r="OSV307" s="104"/>
      <c r="OSW307" s="104"/>
      <c r="OSX307" s="104"/>
      <c r="OSY307" s="104"/>
      <c r="OSZ307" s="104"/>
      <c r="OTA307" s="104"/>
      <c r="OTB307" s="104"/>
      <c r="OTC307" s="104"/>
      <c r="OTD307" s="104"/>
      <c r="OTE307" s="104"/>
      <c r="OTF307" s="104"/>
      <c r="OTG307" s="104"/>
      <c r="OTH307" s="104"/>
      <c r="OTI307" s="104"/>
      <c r="OTJ307" s="104"/>
      <c r="OTK307" s="104"/>
      <c r="OTL307" s="104"/>
      <c r="OTM307" s="104"/>
      <c r="OTN307" s="104"/>
      <c r="OTO307" s="104"/>
      <c r="OTP307" s="104"/>
      <c r="OTQ307" s="104"/>
      <c r="OTR307" s="104"/>
      <c r="OTS307" s="104"/>
      <c r="OTT307" s="104"/>
      <c r="OTU307" s="104"/>
      <c r="OTV307" s="104"/>
      <c r="OTW307" s="104"/>
      <c r="OTX307" s="104"/>
      <c r="OTY307" s="104"/>
      <c r="OTZ307" s="104"/>
      <c r="OUA307" s="104"/>
      <c r="OUB307" s="104"/>
      <c r="OUC307" s="104"/>
      <c r="OUD307" s="104"/>
      <c r="OUE307" s="104"/>
      <c r="OUF307" s="104"/>
      <c r="OUG307" s="104"/>
      <c r="OUH307" s="104"/>
      <c r="OUI307" s="104"/>
      <c r="OUJ307" s="104"/>
      <c r="OUK307" s="104"/>
      <c r="OUL307" s="104"/>
      <c r="OUM307" s="104"/>
      <c r="OUN307" s="104"/>
      <c r="OUO307" s="104"/>
      <c r="OUP307" s="104"/>
      <c r="OUQ307" s="104"/>
      <c r="OUR307" s="104"/>
      <c r="OUS307" s="104"/>
      <c r="OUT307" s="104"/>
      <c r="OUU307" s="104"/>
      <c r="OUV307" s="104"/>
      <c r="OUW307" s="104"/>
      <c r="OUX307" s="104"/>
      <c r="OUY307" s="104"/>
      <c r="OUZ307" s="104"/>
      <c r="OVA307" s="104"/>
      <c r="OVB307" s="104"/>
      <c r="OVC307" s="104"/>
      <c r="OVD307" s="104"/>
      <c r="OVE307" s="104"/>
      <c r="OVF307" s="104"/>
      <c r="OVG307" s="104"/>
      <c r="OVH307" s="104"/>
      <c r="OVI307" s="104"/>
      <c r="OVJ307" s="104"/>
      <c r="OVK307" s="104"/>
      <c r="OVL307" s="104"/>
      <c r="OVM307" s="104"/>
      <c r="OVN307" s="104"/>
      <c r="OVO307" s="104"/>
      <c r="OVP307" s="104"/>
      <c r="OVQ307" s="104"/>
      <c r="OVR307" s="104"/>
      <c r="OVS307" s="104"/>
      <c r="OVT307" s="104"/>
      <c r="OVU307" s="104"/>
      <c r="OVV307" s="104"/>
      <c r="OVW307" s="104"/>
      <c r="OVX307" s="104"/>
      <c r="OVY307" s="104"/>
      <c r="OVZ307" s="104"/>
      <c r="OWA307" s="104"/>
      <c r="OWB307" s="104"/>
      <c r="OWC307" s="104"/>
      <c r="OWD307" s="104"/>
      <c r="OWE307" s="104"/>
      <c r="OWF307" s="104"/>
      <c r="OWG307" s="104"/>
      <c r="OWH307" s="104"/>
      <c r="OWI307" s="104"/>
      <c r="OWJ307" s="104"/>
      <c r="OWK307" s="104"/>
      <c r="OWL307" s="104"/>
      <c r="OWM307" s="104"/>
      <c r="OWN307" s="104"/>
      <c r="OWO307" s="104"/>
      <c r="OWP307" s="104"/>
      <c r="OWQ307" s="104"/>
      <c r="OWR307" s="104"/>
      <c r="OWS307" s="104"/>
      <c r="OWT307" s="104"/>
      <c r="OWU307" s="104"/>
      <c r="OWV307" s="104"/>
      <c r="OWW307" s="104"/>
      <c r="OWX307" s="104"/>
      <c r="OWY307" s="104"/>
      <c r="OWZ307" s="104"/>
      <c r="OXA307" s="104"/>
      <c r="OXB307" s="104"/>
      <c r="OXC307" s="104"/>
      <c r="OXD307" s="104"/>
      <c r="OXE307" s="104"/>
      <c r="OXF307" s="104"/>
      <c r="OXG307" s="104"/>
      <c r="OXH307" s="104"/>
      <c r="OXI307" s="104"/>
      <c r="OXJ307" s="104"/>
      <c r="OXK307" s="104"/>
      <c r="OXL307" s="104"/>
      <c r="OXM307" s="104"/>
      <c r="OXN307" s="104"/>
      <c r="OXO307" s="104"/>
      <c r="OXP307" s="104"/>
      <c r="OXQ307" s="104"/>
      <c r="OXR307" s="104"/>
      <c r="OXS307" s="104"/>
      <c r="OXT307" s="104"/>
      <c r="OXU307" s="104"/>
      <c r="OXV307" s="104"/>
      <c r="OXW307" s="104"/>
      <c r="OXX307" s="104"/>
      <c r="OXY307" s="104"/>
      <c r="OXZ307" s="104"/>
      <c r="OYA307" s="104"/>
      <c r="OYB307" s="104"/>
      <c r="OYC307" s="104"/>
      <c r="OYD307" s="104"/>
      <c r="OYE307" s="104"/>
      <c r="OYF307" s="104"/>
      <c r="OYG307" s="104"/>
      <c r="OYH307" s="104"/>
      <c r="OYI307" s="104"/>
      <c r="OYJ307" s="104"/>
      <c r="OYK307" s="104"/>
      <c r="OYL307" s="104"/>
      <c r="OYM307" s="104"/>
      <c r="OYN307" s="104"/>
      <c r="OYO307" s="104"/>
      <c r="OYP307" s="104"/>
      <c r="OYQ307" s="104"/>
      <c r="OYR307" s="104"/>
      <c r="OYS307" s="104"/>
      <c r="OYT307" s="104"/>
      <c r="OYU307" s="104"/>
      <c r="OYV307" s="104"/>
      <c r="OYW307" s="104"/>
      <c r="OYX307" s="104"/>
      <c r="OYY307" s="104"/>
      <c r="OYZ307" s="104"/>
      <c r="OZA307" s="104"/>
      <c r="OZB307" s="104"/>
      <c r="OZC307" s="104"/>
      <c r="OZD307" s="104"/>
      <c r="OZE307" s="104"/>
      <c r="OZF307" s="104"/>
      <c r="OZG307" s="104"/>
      <c r="OZH307" s="104"/>
      <c r="OZI307" s="104"/>
      <c r="OZJ307" s="104"/>
      <c r="OZK307" s="104"/>
      <c r="OZL307" s="104"/>
      <c r="OZM307" s="104"/>
      <c r="OZN307" s="104"/>
      <c r="OZO307" s="104"/>
      <c r="OZP307" s="104"/>
      <c r="OZQ307" s="104"/>
      <c r="OZR307" s="104"/>
      <c r="OZS307" s="104"/>
      <c r="OZT307" s="104"/>
      <c r="OZU307" s="104"/>
      <c r="OZV307" s="104"/>
      <c r="OZW307" s="104"/>
      <c r="OZX307" s="104"/>
      <c r="OZY307" s="104"/>
      <c r="OZZ307" s="104"/>
      <c r="PAA307" s="104"/>
      <c r="PAB307" s="104"/>
      <c r="PAC307" s="104"/>
      <c r="PAD307" s="104"/>
      <c r="PAE307" s="104"/>
      <c r="PAF307" s="104"/>
      <c r="PAG307" s="104"/>
      <c r="PAH307" s="104"/>
      <c r="PAI307" s="104"/>
      <c r="PAJ307" s="104"/>
      <c r="PAK307" s="104"/>
      <c r="PAL307" s="104"/>
      <c r="PAM307" s="104"/>
      <c r="PAN307" s="104"/>
      <c r="PAO307" s="104"/>
      <c r="PAP307" s="104"/>
      <c r="PAQ307" s="104"/>
      <c r="PAR307" s="104"/>
      <c r="PAS307" s="104"/>
      <c r="PAT307" s="104"/>
      <c r="PAU307" s="104"/>
      <c r="PAV307" s="104"/>
      <c r="PAW307" s="104"/>
      <c r="PAX307" s="104"/>
      <c r="PAY307" s="104"/>
      <c r="PAZ307" s="104"/>
      <c r="PBA307" s="104"/>
      <c r="PBB307" s="104"/>
      <c r="PBC307" s="104"/>
      <c r="PBD307" s="104"/>
      <c r="PBE307" s="104"/>
      <c r="PBF307" s="104"/>
      <c r="PBG307" s="104"/>
      <c r="PBH307" s="104"/>
      <c r="PBI307" s="104"/>
      <c r="PBJ307" s="104"/>
      <c r="PBK307" s="104"/>
      <c r="PBL307" s="104"/>
      <c r="PBM307" s="104"/>
      <c r="PBN307" s="104"/>
      <c r="PBO307" s="104"/>
      <c r="PBP307" s="104"/>
      <c r="PBQ307" s="104"/>
      <c r="PBR307" s="104"/>
      <c r="PBS307" s="104"/>
      <c r="PBT307" s="104"/>
      <c r="PBU307" s="104"/>
      <c r="PBV307" s="104"/>
      <c r="PBW307" s="104"/>
      <c r="PBX307" s="104"/>
      <c r="PBY307" s="104"/>
      <c r="PBZ307" s="104"/>
      <c r="PCA307" s="104"/>
      <c r="PCB307" s="104"/>
      <c r="PCC307" s="104"/>
      <c r="PCD307" s="104"/>
      <c r="PCE307" s="104"/>
      <c r="PCF307" s="104"/>
      <c r="PCG307" s="104"/>
      <c r="PCH307" s="104"/>
      <c r="PCI307" s="104"/>
      <c r="PCJ307" s="104"/>
      <c r="PCK307" s="104"/>
      <c r="PCL307" s="104"/>
      <c r="PCM307" s="104"/>
      <c r="PCN307" s="104"/>
      <c r="PCO307" s="104"/>
      <c r="PCP307" s="104"/>
      <c r="PCQ307" s="104"/>
      <c r="PCR307" s="104"/>
      <c r="PCS307" s="104"/>
      <c r="PCT307" s="104"/>
      <c r="PCU307" s="104"/>
      <c r="PCV307" s="104"/>
      <c r="PCW307" s="104"/>
      <c r="PCX307" s="104"/>
      <c r="PCY307" s="104"/>
      <c r="PCZ307" s="104"/>
      <c r="PDA307" s="104"/>
      <c r="PDB307" s="104"/>
      <c r="PDC307" s="104"/>
      <c r="PDD307" s="104"/>
      <c r="PDE307" s="104"/>
      <c r="PDF307" s="104"/>
      <c r="PDG307" s="104"/>
      <c r="PDH307" s="104"/>
      <c r="PDI307" s="104"/>
      <c r="PDJ307" s="104"/>
      <c r="PDK307" s="104"/>
      <c r="PDL307" s="104"/>
      <c r="PDM307" s="104"/>
      <c r="PDN307" s="104"/>
      <c r="PDO307" s="104"/>
      <c r="PDP307" s="104"/>
      <c r="PDQ307" s="104"/>
      <c r="PDR307" s="104"/>
      <c r="PDS307" s="104"/>
      <c r="PDT307" s="104"/>
      <c r="PDU307" s="104"/>
      <c r="PDV307" s="104"/>
      <c r="PDW307" s="104"/>
      <c r="PDX307" s="104"/>
      <c r="PDY307" s="104"/>
      <c r="PDZ307" s="104"/>
      <c r="PEA307" s="104"/>
      <c r="PEB307" s="104"/>
      <c r="PEC307" s="104"/>
      <c r="PED307" s="104"/>
      <c r="PEE307" s="104"/>
      <c r="PEF307" s="104"/>
      <c r="PEG307" s="104"/>
      <c r="PEH307" s="104"/>
      <c r="PEI307" s="104"/>
      <c r="PEJ307" s="104"/>
      <c r="PEK307" s="104"/>
      <c r="PEL307" s="104"/>
      <c r="PEM307" s="104"/>
      <c r="PEN307" s="104"/>
      <c r="PEO307" s="104"/>
      <c r="PEP307" s="104"/>
      <c r="PEQ307" s="104"/>
      <c r="PER307" s="104"/>
      <c r="PES307" s="104"/>
      <c r="PET307" s="104"/>
      <c r="PEU307" s="104"/>
      <c r="PEV307" s="104"/>
      <c r="PEW307" s="104"/>
      <c r="PEX307" s="104"/>
      <c r="PEY307" s="104"/>
      <c r="PEZ307" s="104"/>
      <c r="PFA307" s="104"/>
      <c r="PFB307" s="104"/>
      <c r="PFC307" s="104"/>
      <c r="PFD307" s="104"/>
      <c r="PFE307" s="104"/>
      <c r="PFF307" s="104"/>
      <c r="PFG307" s="104"/>
      <c r="PFH307" s="104"/>
      <c r="PFI307" s="104"/>
      <c r="PFJ307" s="104"/>
      <c r="PFK307" s="104"/>
      <c r="PFL307" s="104"/>
      <c r="PFM307" s="104"/>
      <c r="PFN307" s="104"/>
      <c r="PFO307" s="104"/>
      <c r="PFP307" s="104"/>
      <c r="PFQ307" s="104"/>
      <c r="PFR307" s="104"/>
      <c r="PFS307" s="104"/>
      <c r="PFT307" s="104"/>
      <c r="PFU307" s="104"/>
      <c r="PFV307" s="104"/>
      <c r="PFW307" s="104"/>
      <c r="PFX307" s="104"/>
      <c r="PFY307" s="104"/>
      <c r="PFZ307" s="104"/>
      <c r="PGA307" s="104"/>
      <c r="PGB307" s="104"/>
      <c r="PGC307" s="104"/>
      <c r="PGD307" s="104"/>
      <c r="PGE307" s="104"/>
      <c r="PGF307" s="104"/>
      <c r="PGG307" s="104"/>
      <c r="PGH307" s="104"/>
      <c r="PGI307" s="104"/>
      <c r="PGJ307" s="104"/>
      <c r="PGK307" s="104"/>
      <c r="PGL307" s="104"/>
      <c r="PGM307" s="104"/>
      <c r="PGN307" s="104"/>
      <c r="PGO307" s="104"/>
      <c r="PGP307" s="104"/>
      <c r="PGQ307" s="104"/>
      <c r="PGR307" s="104"/>
      <c r="PGS307" s="104"/>
      <c r="PGT307" s="104"/>
      <c r="PGU307" s="104"/>
      <c r="PGV307" s="104"/>
      <c r="PGW307" s="104"/>
      <c r="PGX307" s="104"/>
      <c r="PGY307" s="104"/>
      <c r="PGZ307" s="104"/>
      <c r="PHA307" s="104"/>
      <c r="PHB307" s="104"/>
      <c r="PHC307" s="104"/>
      <c r="PHD307" s="104"/>
      <c r="PHE307" s="104"/>
      <c r="PHF307" s="104"/>
      <c r="PHG307" s="104"/>
      <c r="PHH307" s="104"/>
      <c r="PHI307" s="104"/>
      <c r="PHJ307" s="104"/>
      <c r="PHK307" s="104"/>
      <c r="PHL307" s="104"/>
      <c r="PHM307" s="104"/>
      <c r="PHN307" s="104"/>
      <c r="PHO307" s="104"/>
      <c r="PHP307" s="104"/>
      <c r="PHQ307" s="104"/>
      <c r="PHR307" s="104"/>
      <c r="PHS307" s="104"/>
      <c r="PHT307" s="104"/>
      <c r="PHU307" s="104"/>
      <c r="PHV307" s="104"/>
      <c r="PHW307" s="104"/>
      <c r="PHX307" s="104"/>
      <c r="PHY307" s="104"/>
      <c r="PHZ307" s="104"/>
      <c r="PIA307" s="104"/>
      <c r="PIB307" s="104"/>
      <c r="PIC307" s="104"/>
      <c r="PID307" s="104"/>
      <c r="PIE307" s="104"/>
      <c r="PIF307" s="104"/>
      <c r="PIG307" s="104"/>
      <c r="PIH307" s="104"/>
      <c r="PII307" s="104"/>
      <c r="PIJ307" s="104"/>
      <c r="PIK307" s="104"/>
      <c r="PIL307" s="104"/>
      <c r="PIM307" s="104"/>
      <c r="PIN307" s="104"/>
      <c r="PIO307" s="104"/>
      <c r="PIP307" s="104"/>
      <c r="PIQ307" s="104"/>
      <c r="PIR307" s="104"/>
      <c r="PIS307" s="104"/>
      <c r="PIT307" s="104"/>
      <c r="PIU307" s="104"/>
      <c r="PIV307" s="104"/>
      <c r="PIW307" s="104"/>
      <c r="PIX307" s="104"/>
      <c r="PIY307" s="104"/>
      <c r="PIZ307" s="104"/>
      <c r="PJA307" s="104"/>
      <c r="PJB307" s="104"/>
      <c r="PJC307" s="104"/>
      <c r="PJD307" s="104"/>
      <c r="PJE307" s="104"/>
      <c r="PJF307" s="104"/>
      <c r="PJG307" s="104"/>
      <c r="PJH307" s="104"/>
      <c r="PJI307" s="104"/>
      <c r="PJJ307" s="104"/>
      <c r="PJK307" s="104"/>
      <c r="PJL307" s="104"/>
      <c r="PJM307" s="104"/>
      <c r="PJN307" s="104"/>
      <c r="PJO307" s="104"/>
      <c r="PJP307" s="104"/>
      <c r="PJQ307" s="104"/>
      <c r="PJR307" s="104"/>
      <c r="PJS307" s="104"/>
      <c r="PJT307" s="104"/>
      <c r="PJU307" s="104"/>
      <c r="PJV307" s="104"/>
      <c r="PJW307" s="104"/>
      <c r="PJX307" s="104"/>
      <c r="PJY307" s="104"/>
      <c r="PJZ307" s="104"/>
      <c r="PKA307" s="104"/>
      <c r="PKB307" s="104"/>
      <c r="PKC307" s="104"/>
      <c r="PKD307" s="104"/>
      <c r="PKE307" s="104"/>
      <c r="PKF307" s="104"/>
      <c r="PKG307" s="104"/>
      <c r="PKH307" s="104"/>
      <c r="PKI307" s="104"/>
      <c r="PKJ307" s="104"/>
      <c r="PKK307" s="104"/>
      <c r="PKL307" s="104"/>
      <c r="PKM307" s="104"/>
      <c r="PKN307" s="104"/>
      <c r="PKO307" s="104"/>
      <c r="PKP307" s="104"/>
      <c r="PKQ307" s="104"/>
      <c r="PKR307" s="104"/>
      <c r="PKS307" s="104"/>
      <c r="PKT307" s="104"/>
      <c r="PKU307" s="104"/>
      <c r="PKV307" s="104"/>
      <c r="PKW307" s="104"/>
      <c r="PKX307" s="104"/>
      <c r="PKY307" s="104"/>
      <c r="PKZ307" s="104"/>
      <c r="PLA307" s="104"/>
      <c r="PLB307" s="104"/>
      <c r="PLC307" s="104"/>
      <c r="PLD307" s="104"/>
      <c r="PLE307" s="104"/>
      <c r="PLF307" s="104"/>
      <c r="PLG307" s="104"/>
      <c r="PLH307" s="104"/>
      <c r="PLI307" s="104"/>
      <c r="PLJ307" s="104"/>
      <c r="PLK307" s="104"/>
      <c r="PLL307" s="104"/>
      <c r="PLM307" s="104"/>
      <c r="PLN307" s="104"/>
      <c r="PLO307" s="104"/>
      <c r="PLP307" s="104"/>
      <c r="PLQ307" s="104"/>
      <c r="PLR307" s="104"/>
      <c r="PLS307" s="104"/>
      <c r="PLT307" s="104"/>
      <c r="PLU307" s="104"/>
      <c r="PLV307" s="104"/>
      <c r="PLW307" s="104"/>
      <c r="PLX307" s="104"/>
      <c r="PLY307" s="104"/>
      <c r="PLZ307" s="104"/>
      <c r="PMA307" s="104"/>
      <c r="PMB307" s="104"/>
      <c r="PMC307" s="104"/>
      <c r="PMD307" s="104"/>
      <c r="PME307" s="104"/>
      <c r="PMF307" s="104"/>
      <c r="PMG307" s="104"/>
      <c r="PMH307" s="104"/>
      <c r="PMI307" s="104"/>
      <c r="PMJ307" s="104"/>
      <c r="PMK307" s="104"/>
      <c r="PML307" s="104"/>
      <c r="PMM307" s="104"/>
      <c r="PMN307" s="104"/>
      <c r="PMO307" s="104"/>
      <c r="PMP307" s="104"/>
      <c r="PMQ307" s="104"/>
      <c r="PMR307" s="104"/>
      <c r="PMS307" s="104"/>
      <c r="PMT307" s="104"/>
      <c r="PMU307" s="104"/>
      <c r="PMV307" s="104"/>
      <c r="PMW307" s="104"/>
      <c r="PMX307" s="104"/>
      <c r="PMY307" s="104"/>
      <c r="PMZ307" s="104"/>
      <c r="PNA307" s="104"/>
      <c r="PNB307" s="104"/>
      <c r="PNC307" s="104"/>
      <c r="PND307" s="104"/>
      <c r="PNE307" s="104"/>
      <c r="PNF307" s="104"/>
      <c r="PNG307" s="104"/>
      <c r="PNH307" s="104"/>
      <c r="PNI307" s="104"/>
      <c r="PNJ307" s="104"/>
      <c r="PNK307" s="104"/>
      <c r="PNL307" s="104"/>
      <c r="PNM307" s="104"/>
      <c r="PNN307" s="104"/>
      <c r="PNO307" s="104"/>
      <c r="PNP307" s="104"/>
      <c r="PNQ307" s="104"/>
      <c r="PNR307" s="104"/>
      <c r="PNS307" s="104"/>
      <c r="PNT307" s="104"/>
      <c r="PNU307" s="104"/>
      <c r="PNV307" s="104"/>
      <c r="PNW307" s="104"/>
      <c r="PNX307" s="104"/>
      <c r="PNY307" s="104"/>
      <c r="PNZ307" s="104"/>
      <c r="POA307" s="104"/>
      <c r="POB307" s="104"/>
      <c r="POC307" s="104"/>
      <c r="POD307" s="104"/>
      <c r="POE307" s="104"/>
      <c r="POF307" s="104"/>
      <c r="POG307" s="104"/>
      <c r="POH307" s="104"/>
      <c r="POI307" s="104"/>
      <c r="POJ307" s="104"/>
      <c r="POK307" s="104"/>
      <c r="POL307" s="104"/>
      <c r="POM307" s="104"/>
      <c r="PON307" s="104"/>
      <c r="POO307" s="104"/>
      <c r="POP307" s="104"/>
      <c r="POQ307" s="104"/>
      <c r="POR307" s="104"/>
      <c r="POS307" s="104"/>
      <c r="POT307" s="104"/>
      <c r="POU307" s="104"/>
      <c r="POV307" s="104"/>
      <c r="POW307" s="104"/>
      <c r="POX307" s="104"/>
      <c r="POY307" s="104"/>
      <c r="POZ307" s="104"/>
      <c r="PPA307" s="104"/>
      <c r="PPB307" s="104"/>
      <c r="PPC307" s="104"/>
      <c r="PPD307" s="104"/>
      <c r="PPE307" s="104"/>
      <c r="PPF307" s="104"/>
      <c r="PPG307" s="104"/>
      <c r="PPH307" s="104"/>
      <c r="PPI307" s="104"/>
      <c r="PPJ307" s="104"/>
      <c r="PPK307" s="104"/>
      <c r="PPL307" s="104"/>
      <c r="PPM307" s="104"/>
      <c r="PPN307" s="104"/>
      <c r="PPO307" s="104"/>
      <c r="PPP307" s="104"/>
      <c r="PPQ307" s="104"/>
      <c r="PPR307" s="104"/>
      <c r="PPS307" s="104"/>
      <c r="PPT307" s="104"/>
      <c r="PPU307" s="104"/>
      <c r="PPV307" s="104"/>
      <c r="PPW307" s="104"/>
      <c r="PPX307" s="104"/>
      <c r="PPY307" s="104"/>
      <c r="PPZ307" s="104"/>
      <c r="PQA307" s="104"/>
      <c r="PQB307" s="104"/>
      <c r="PQC307" s="104"/>
      <c r="PQD307" s="104"/>
      <c r="PQE307" s="104"/>
      <c r="PQF307" s="104"/>
      <c r="PQG307" s="104"/>
      <c r="PQH307" s="104"/>
      <c r="PQI307" s="104"/>
      <c r="PQJ307" s="104"/>
      <c r="PQK307" s="104"/>
      <c r="PQL307" s="104"/>
      <c r="PQM307" s="104"/>
      <c r="PQN307" s="104"/>
      <c r="PQO307" s="104"/>
      <c r="PQP307" s="104"/>
      <c r="PQQ307" s="104"/>
      <c r="PQR307" s="104"/>
      <c r="PQS307" s="104"/>
      <c r="PQT307" s="104"/>
      <c r="PQU307" s="104"/>
      <c r="PQV307" s="104"/>
      <c r="PQW307" s="104"/>
      <c r="PQX307" s="104"/>
      <c r="PQY307" s="104"/>
      <c r="PQZ307" s="104"/>
      <c r="PRA307" s="104"/>
      <c r="PRB307" s="104"/>
      <c r="PRC307" s="104"/>
      <c r="PRD307" s="104"/>
      <c r="PRE307" s="104"/>
      <c r="PRF307" s="104"/>
      <c r="PRG307" s="104"/>
      <c r="PRH307" s="104"/>
      <c r="PRI307" s="104"/>
      <c r="PRJ307" s="104"/>
      <c r="PRK307" s="104"/>
      <c r="PRL307" s="104"/>
      <c r="PRM307" s="104"/>
      <c r="PRN307" s="104"/>
      <c r="PRO307" s="104"/>
      <c r="PRP307" s="104"/>
      <c r="PRQ307" s="104"/>
      <c r="PRR307" s="104"/>
      <c r="PRS307" s="104"/>
      <c r="PRT307" s="104"/>
      <c r="PRU307" s="104"/>
      <c r="PRV307" s="104"/>
      <c r="PRW307" s="104"/>
      <c r="PRX307" s="104"/>
      <c r="PRY307" s="104"/>
      <c r="PRZ307" s="104"/>
      <c r="PSA307" s="104"/>
      <c r="PSB307" s="104"/>
      <c r="PSC307" s="104"/>
      <c r="PSD307" s="104"/>
      <c r="PSE307" s="104"/>
      <c r="PSF307" s="104"/>
      <c r="PSG307" s="104"/>
      <c r="PSH307" s="104"/>
      <c r="PSI307" s="104"/>
      <c r="PSJ307" s="104"/>
      <c r="PSK307" s="104"/>
      <c r="PSL307" s="104"/>
      <c r="PSM307" s="104"/>
      <c r="PSN307" s="104"/>
      <c r="PSO307" s="104"/>
      <c r="PSP307" s="104"/>
      <c r="PSQ307" s="104"/>
      <c r="PSR307" s="104"/>
      <c r="PSS307" s="104"/>
      <c r="PST307" s="104"/>
      <c r="PSU307" s="104"/>
      <c r="PSV307" s="104"/>
      <c r="PSW307" s="104"/>
      <c r="PSX307" s="104"/>
      <c r="PSY307" s="104"/>
      <c r="PSZ307" s="104"/>
      <c r="PTA307" s="104"/>
      <c r="PTB307" s="104"/>
      <c r="PTC307" s="104"/>
      <c r="PTD307" s="104"/>
      <c r="PTE307" s="104"/>
      <c r="PTF307" s="104"/>
      <c r="PTG307" s="104"/>
      <c r="PTH307" s="104"/>
      <c r="PTI307" s="104"/>
      <c r="PTJ307" s="104"/>
      <c r="PTK307" s="104"/>
      <c r="PTL307" s="104"/>
      <c r="PTM307" s="104"/>
      <c r="PTN307" s="104"/>
      <c r="PTO307" s="104"/>
      <c r="PTP307" s="104"/>
      <c r="PTQ307" s="104"/>
      <c r="PTR307" s="104"/>
      <c r="PTS307" s="104"/>
      <c r="PTT307" s="104"/>
      <c r="PTU307" s="104"/>
      <c r="PTV307" s="104"/>
      <c r="PTW307" s="104"/>
      <c r="PTX307" s="104"/>
      <c r="PTY307" s="104"/>
      <c r="PTZ307" s="104"/>
      <c r="PUA307" s="104"/>
      <c r="PUB307" s="104"/>
      <c r="PUC307" s="104"/>
      <c r="PUD307" s="104"/>
      <c r="PUE307" s="104"/>
      <c r="PUF307" s="104"/>
      <c r="PUG307" s="104"/>
      <c r="PUH307" s="104"/>
      <c r="PUI307" s="104"/>
      <c r="PUJ307" s="104"/>
      <c r="PUK307" s="104"/>
      <c r="PUL307" s="104"/>
      <c r="PUM307" s="104"/>
      <c r="PUN307" s="104"/>
      <c r="PUO307" s="104"/>
      <c r="PUP307" s="104"/>
      <c r="PUQ307" s="104"/>
      <c r="PUR307" s="104"/>
      <c r="PUS307" s="104"/>
      <c r="PUT307" s="104"/>
      <c r="PUU307" s="104"/>
      <c r="PUV307" s="104"/>
      <c r="PUW307" s="104"/>
      <c r="PUX307" s="104"/>
      <c r="PUY307" s="104"/>
      <c r="PUZ307" s="104"/>
      <c r="PVA307" s="104"/>
      <c r="PVB307" s="104"/>
      <c r="PVC307" s="104"/>
      <c r="PVD307" s="104"/>
      <c r="PVE307" s="104"/>
      <c r="PVF307" s="104"/>
      <c r="PVG307" s="104"/>
      <c r="PVH307" s="104"/>
      <c r="PVI307" s="104"/>
      <c r="PVJ307" s="104"/>
      <c r="PVK307" s="104"/>
      <c r="PVL307" s="104"/>
      <c r="PVM307" s="104"/>
      <c r="PVN307" s="104"/>
      <c r="PVO307" s="104"/>
      <c r="PVP307" s="104"/>
      <c r="PVQ307" s="104"/>
      <c r="PVR307" s="104"/>
      <c r="PVS307" s="104"/>
      <c r="PVT307" s="104"/>
      <c r="PVU307" s="104"/>
      <c r="PVV307" s="104"/>
      <c r="PVW307" s="104"/>
      <c r="PVX307" s="104"/>
      <c r="PVY307" s="104"/>
      <c r="PVZ307" s="104"/>
      <c r="PWA307" s="104"/>
      <c r="PWB307" s="104"/>
      <c r="PWC307" s="104"/>
      <c r="PWD307" s="104"/>
      <c r="PWE307" s="104"/>
      <c r="PWF307" s="104"/>
      <c r="PWG307" s="104"/>
      <c r="PWH307" s="104"/>
      <c r="PWI307" s="104"/>
      <c r="PWJ307" s="104"/>
      <c r="PWK307" s="104"/>
      <c r="PWL307" s="104"/>
      <c r="PWM307" s="104"/>
      <c r="PWN307" s="104"/>
      <c r="PWO307" s="104"/>
      <c r="PWP307" s="104"/>
      <c r="PWQ307" s="104"/>
      <c r="PWR307" s="104"/>
      <c r="PWS307" s="104"/>
      <c r="PWT307" s="104"/>
      <c r="PWU307" s="104"/>
      <c r="PWV307" s="104"/>
      <c r="PWW307" s="104"/>
      <c r="PWX307" s="104"/>
      <c r="PWY307" s="104"/>
      <c r="PWZ307" s="104"/>
      <c r="PXA307" s="104"/>
      <c r="PXB307" s="104"/>
      <c r="PXC307" s="104"/>
      <c r="PXD307" s="104"/>
      <c r="PXE307" s="104"/>
      <c r="PXF307" s="104"/>
      <c r="PXG307" s="104"/>
      <c r="PXH307" s="104"/>
      <c r="PXI307" s="104"/>
      <c r="PXJ307" s="104"/>
      <c r="PXK307" s="104"/>
      <c r="PXL307" s="104"/>
      <c r="PXM307" s="104"/>
      <c r="PXN307" s="104"/>
      <c r="PXO307" s="104"/>
      <c r="PXP307" s="104"/>
      <c r="PXQ307" s="104"/>
      <c r="PXR307" s="104"/>
      <c r="PXS307" s="104"/>
      <c r="PXT307" s="104"/>
      <c r="PXU307" s="104"/>
      <c r="PXV307" s="104"/>
      <c r="PXW307" s="104"/>
      <c r="PXX307" s="104"/>
      <c r="PXY307" s="104"/>
      <c r="PXZ307" s="104"/>
      <c r="PYA307" s="104"/>
      <c r="PYB307" s="104"/>
      <c r="PYC307" s="104"/>
      <c r="PYD307" s="104"/>
      <c r="PYE307" s="104"/>
      <c r="PYF307" s="104"/>
      <c r="PYG307" s="104"/>
      <c r="PYH307" s="104"/>
      <c r="PYI307" s="104"/>
      <c r="PYJ307" s="104"/>
      <c r="PYK307" s="104"/>
      <c r="PYL307" s="104"/>
      <c r="PYM307" s="104"/>
      <c r="PYN307" s="104"/>
      <c r="PYO307" s="104"/>
      <c r="PYP307" s="104"/>
      <c r="PYQ307" s="104"/>
      <c r="PYR307" s="104"/>
      <c r="PYS307" s="104"/>
      <c r="PYT307" s="104"/>
      <c r="PYU307" s="104"/>
      <c r="PYV307" s="104"/>
      <c r="PYW307" s="104"/>
      <c r="PYX307" s="104"/>
      <c r="PYY307" s="104"/>
      <c r="PYZ307" s="104"/>
      <c r="PZA307" s="104"/>
      <c r="PZB307" s="104"/>
      <c r="PZC307" s="104"/>
      <c r="PZD307" s="104"/>
      <c r="PZE307" s="104"/>
      <c r="PZF307" s="104"/>
      <c r="PZG307" s="104"/>
      <c r="PZH307" s="104"/>
      <c r="PZI307" s="104"/>
      <c r="PZJ307" s="104"/>
      <c r="PZK307" s="104"/>
      <c r="PZL307" s="104"/>
      <c r="PZM307" s="104"/>
      <c r="PZN307" s="104"/>
      <c r="PZO307" s="104"/>
      <c r="PZP307" s="104"/>
      <c r="PZQ307" s="104"/>
      <c r="PZR307" s="104"/>
      <c r="PZS307" s="104"/>
      <c r="PZT307" s="104"/>
      <c r="PZU307" s="104"/>
      <c r="PZV307" s="104"/>
      <c r="PZW307" s="104"/>
      <c r="PZX307" s="104"/>
      <c r="PZY307" s="104"/>
      <c r="PZZ307" s="104"/>
      <c r="QAA307" s="104"/>
      <c r="QAB307" s="104"/>
      <c r="QAC307" s="104"/>
      <c r="QAD307" s="104"/>
      <c r="QAE307" s="104"/>
      <c r="QAF307" s="104"/>
      <c r="QAG307" s="104"/>
      <c r="QAH307" s="104"/>
      <c r="QAI307" s="104"/>
      <c r="QAJ307" s="104"/>
      <c r="QAK307" s="104"/>
      <c r="QAL307" s="104"/>
      <c r="QAM307" s="104"/>
      <c r="QAN307" s="104"/>
      <c r="QAO307" s="104"/>
      <c r="QAP307" s="104"/>
      <c r="QAQ307" s="104"/>
      <c r="QAR307" s="104"/>
      <c r="QAS307" s="104"/>
      <c r="QAT307" s="104"/>
      <c r="QAU307" s="104"/>
      <c r="QAV307" s="104"/>
      <c r="QAW307" s="104"/>
      <c r="QAX307" s="104"/>
      <c r="QAY307" s="104"/>
      <c r="QAZ307" s="104"/>
      <c r="QBA307" s="104"/>
      <c r="QBB307" s="104"/>
      <c r="QBC307" s="104"/>
      <c r="QBD307" s="104"/>
      <c r="QBE307" s="104"/>
      <c r="QBF307" s="104"/>
      <c r="QBG307" s="104"/>
      <c r="QBH307" s="104"/>
      <c r="QBI307" s="104"/>
      <c r="QBJ307" s="104"/>
      <c r="QBK307" s="104"/>
      <c r="QBL307" s="104"/>
      <c r="QBM307" s="104"/>
      <c r="QBN307" s="104"/>
      <c r="QBO307" s="104"/>
      <c r="QBP307" s="104"/>
      <c r="QBQ307" s="104"/>
      <c r="QBR307" s="104"/>
      <c r="QBS307" s="104"/>
      <c r="QBT307" s="104"/>
      <c r="QBU307" s="104"/>
      <c r="QBV307" s="104"/>
      <c r="QBW307" s="104"/>
      <c r="QBX307" s="104"/>
      <c r="QBY307" s="104"/>
      <c r="QBZ307" s="104"/>
      <c r="QCA307" s="104"/>
      <c r="QCB307" s="104"/>
      <c r="QCC307" s="104"/>
      <c r="QCD307" s="104"/>
      <c r="QCE307" s="104"/>
      <c r="QCF307" s="104"/>
      <c r="QCG307" s="104"/>
      <c r="QCH307" s="104"/>
      <c r="QCI307" s="104"/>
      <c r="QCJ307" s="104"/>
      <c r="QCK307" s="104"/>
      <c r="QCL307" s="104"/>
      <c r="QCM307" s="104"/>
      <c r="QCN307" s="104"/>
      <c r="QCO307" s="104"/>
      <c r="QCP307" s="104"/>
      <c r="QCQ307" s="104"/>
      <c r="QCR307" s="104"/>
      <c r="QCS307" s="104"/>
      <c r="QCT307" s="104"/>
      <c r="QCU307" s="104"/>
      <c r="QCV307" s="104"/>
      <c r="QCW307" s="104"/>
      <c r="QCX307" s="104"/>
      <c r="QCY307" s="104"/>
      <c r="QCZ307" s="104"/>
      <c r="QDA307" s="104"/>
      <c r="QDB307" s="104"/>
      <c r="QDC307" s="104"/>
      <c r="QDD307" s="104"/>
      <c r="QDE307" s="104"/>
      <c r="QDF307" s="104"/>
      <c r="QDG307" s="104"/>
      <c r="QDH307" s="104"/>
      <c r="QDI307" s="104"/>
      <c r="QDJ307" s="104"/>
      <c r="QDK307" s="104"/>
      <c r="QDL307" s="104"/>
      <c r="QDM307" s="104"/>
      <c r="QDN307" s="104"/>
      <c r="QDO307" s="104"/>
      <c r="QDP307" s="104"/>
      <c r="QDQ307" s="104"/>
      <c r="QDR307" s="104"/>
      <c r="QDS307" s="104"/>
      <c r="QDT307" s="104"/>
      <c r="QDU307" s="104"/>
      <c r="QDV307" s="104"/>
      <c r="QDW307" s="104"/>
      <c r="QDX307" s="104"/>
      <c r="QDY307" s="104"/>
      <c r="QDZ307" s="104"/>
      <c r="QEA307" s="104"/>
      <c r="QEB307" s="104"/>
      <c r="QEC307" s="104"/>
      <c r="QED307" s="104"/>
      <c r="QEE307" s="104"/>
      <c r="QEF307" s="104"/>
      <c r="QEG307" s="104"/>
      <c r="QEH307" s="104"/>
      <c r="QEI307" s="104"/>
      <c r="QEJ307" s="104"/>
      <c r="QEK307" s="104"/>
      <c r="QEL307" s="104"/>
      <c r="QEM307" s="104"/>
      <c r="QEN307" s="104"/>
      <c r="QEO307" s="104"/>
      <c r="QEP307" s="104"/>
      <c r="QEQ307" s="104"/>
      <c r="QER307" s="104"/>
      <c r="QES307" s="104"/>
      <c r="QET307" s="104"/>
      <c r="QEU307" s="104"/>
      <c r="QEV307" s="104"/>
      <c r="QEW307" s="104"/>
      <c r="QEX307" s="104"/>
      <c r="QEY307" s="104"/>
      <c r="QEZ307" s="104"/>
      <c r="QFA307" s="104"/>
      <c r="QFB307" s="104"/>
      <c r="QFC307" s="104"/>
      <c r="QFD307" s="104"/>
      <c r="QFE307" s="104"/>
      <c r="QFF307" s="104"/>
      <c r="QFG307" s="104"/>
      <c r="QFH307" s="104"/>
      <c r="QFI307" s="104"/>
      <c r="QFJ307" s="104"/>
      <c r="QFK307" s="104"/>
      <c r="QFL307" s="104"/>
      <c r="QFM307" s="104"/>
      <c r="QFN307" s="104"/>
      <c r="QFO307" s="104"/>
      <c r="QFP307" s="104"/>
      <c r="QFQ307" s="104"/>
      <c r="QFR307" s="104"/>
      <c r="QFS307" s="104"/>
      <c r="QFT307" s="104"/>
      <c r="QFU307" s="104"/>
      <c r="QFV307" s="104"/>
      <c r="QFW307" s="104"/>
      <c r="QFX307" s="104"/>
      <c r="QFY307" s="104"/>
      <c r="QFZ307" s="104"/>
      <c r="QGA307" s="104"/>
      <c r="QGB307" s="104"/>
      <c r="QGC307" s="104"/>
      <c r="QGD307" s="104"/>
      <c r="QGE307" s="104"/>
      <c r="QGF307" s="104"/>
      <c r="QGG307" s="104"/>
      <c r="QGH307" s="104"/>
      <c r="QGI307" s="104"/>
      <c r="QGJ307" s="104"/>
      <c r="QGK307" s="104"/>
      <c r="QGL307" s="104"/>
      <c r="QGM307" s="104"/>
      <c r="QGN307" s="104"/>
      <c r="QGO307" s="104"/>
      <c r="QGP307" s="104"/>
      <c r="QGQ307" s="104"/>
      <c r="QGR307" s="104"/>
      <c r="QGS307" s="104"/>
      <c r="QGT307" s="104"/>
      <c r="QGU307" s="104"/>
      <c r="QGV307" s="104"/>
      <c r="QGW307" s="104"/>
      <c r="QGX307" s="104"/>
      <c r="QGY307" s="104"/>
      <c r="QGZ307" s="104"/>
      <c r="QHA307" s="104"/>
      <c r="QHB307" s="104"/>
      <c r="QHC307" s="104"/>
      <c r="QHD307" s="104"/>
      <c r="QHE307" s="104"/>
      <c r="QHF307" s="104"/>
      <c r="QHG307" s="104"/>
      <c r="QHH307" s="104"/>
      <c r="QHI307" s="104"/>
      <c r="QHJ307" s="104"/>
      <c r="QHK307" s="104"/>
      <c r="QHL307" s="104"/>
      <c r="QHM307" s="104"/>
      <c r="QHN307" s="104"/>
      <c r="QHO307" s="104"/>
      <c r="QHP307" s="104"/>
      <c r="QHQ307" s="104"/>
      <c r="QHR307" s="104"/>
      <c r="QHS307" s="104"/>
      <c r="QHT307" s="104"/>
      <c r="QHU307" s="104"/>
      <c r="QHV307" s="104"/>
      <c r="QHW307" s="104"/>
      <c r="QHX307" s="104"/>
      <c r="QHY307" s="104"/>
      <c r="QHZ307" s="104"/>
      <c r="QIA307" s="104"/>
      <c r="QIB307" s="104"/>
      <c r="QIC307" s="104"/>
      <c r="QID307" s="104"/>
      <c r="QIE307" s="104"/>
      <c r="QIF307" s="104"/>
      <c r="QIG307" s="104"/>
      <c r="QIH307" s="104"/>
      <c r="QII307" s="104"/>
      <c r="QIJ307" s="104"/>
      <c r="QIK307" s="104"/>
      <c r="QIL307" s="104"/>
      <c r="QIM307" s="104"/>
      <c r="QIN307" s="104"/>
      <c r="QIO307" s="104"/>
      <c r="QIP307" s="104"/>
      <c r="QIQ307" s="104"/>
      <c r="QIR307" s="104"/>
      <c r="QIS307" s="104"/>
      <c r="QIT307" s="104"/>
      <c r="QIU307" s="104"/>
      <c r="QIV307" s="104"/>
      <c r="QIW307" s="104"/>
      <c r="QIX307" s="104"/>
      <c r="QIY307" s="104"/>
      <c r="QIZ307" s="104"/>
      <c r="QJA307" s="104"/>
      <c r="QJB307" s="104"/>
      <c r="QJC307" s="104"/>
      <c r="QJD307" s="104"/>
      <c r="QJE307" s="104"/>
      <c r="QJF307" s="104"/>
      <c r="QJG307" s="104"/>
      <c r="QJH307" s="104"/>
      <c r="QJI307" s="104"/>
      <c r="QJJ307" s="104"/>
      <c r="QJK307" s="104"/>
      <c r="QJL307" s="104"/>
      <c r="QJM307" s="104"/>
      <c r="QJN307" s="104"/>
      <c r="QJO307" s="104"/>
      <c r="QJP307" s="104"/>
      <c r="QJQ307" s="104"/>
      <c r="QJR307" s="104"/>
      <c r="QJS307" s="104"/>
      <c r="QJT307" s="104"/>
      <c r="QJU307" s="104"/>
      <c r="QJV307" s="104"/>
      <c r="QJW307" s="104"/>
      <c r="QJX307" s="104"/>
      <c r="QJY307" s="104"/>
      <c r="QJZ307" s="104"/>
      <c r="QKA307" s="104"/>
      <c r="QKB307" s="104"/>
      <c r="QKC307" s="104"/>
      <c r="QKD307" s="104"/>
      <c r="QKE307" s="104"/>
      <c r="QKF307" s="104"/>
      <c r="QKG307" s="104"/>
      <c r="QKH307" s="104"/>
      <c r="QKI307" s="104"/>
      <c r="QKJ307" s="104"/>
      <c r="QKK307" s="104"/>
      <c r="QKL307" s="104"/>
      <c r="QKM307" s="104"/>
      <c r="QKN307" s="104"/>
      <c r="QKO307" s="104"/>
      <c r="QKP307" s="104"/>
      <c r="QKQ307" s="104"/>
      <c r="QKR307" s="104"/>
      <c r="QKS307" s="104"/>
      <c r="QKT307" s="104"/>
      <c r="QKU307" s="104"/>
      <c r="QKV307" s="104"/>
      <c r="QKW307" s="104"/>
      <c r="QKX307" s="104"/>
      <c r="QKY307" s="104"/>
      <c r="QKZ307" s="104"/>
      <c r="QLA307" s="104"/>
      <c r="QLB307" s="104"/>
      <c r="QLC307" s="104"/>
      <c r="QLD307" s="104"/>
      <c r="QLE307" s="104"/>
      <c r="QLF307" s="104"/>
      <c r="QLG307" s="104"/>
      <c r="QLH307" s="104"/>
      <c r="QLI307" s="104"/>
      <c r="QLJ307" s="104"/>
      <c r="QLK307" s="104"/>
      <c r="QLL307" s="104"/>
      <c r="QLM307" s="104"/>
      <c r="QLN307" s="104"/>
      <c r="QLO307" s="104"/>
      <c r="QLP307" s="104"/>
      <c r="QLQ307" s="104"/>
      <c r="QLR307" s="104"/>
      <c r="QLS307" s="104"/>
      <c r="QLT307" s="104"/>
      <c r="QLU307" s="104"/>
      <c r="QLV307" s="104"/>
      <c r="QLW307" s="104"/>
      <c r="QLX307" s="104"/>
      <c r="QLY307" s="104"/>
      <c r="QLZ307" s="104"/>
      <c r="QMA307" s="104"/>
      <c r="QMB307" s="104"/>
      <c r="QMC307" s="104"/>
      <c r="QMD307" s="104"/>
      <c r="QME307" s="104"/>
      <c r="QMF307" s="104"/>
      <c r="QMG307" s="104"/>
      <c r="QMH307" s="104"/>
      <c r="QMI307" s="104"/>
      <c r="QMJ307" s="104"/>
      <c r="QMK307" s="104"/>
      <c r="QML307" s="104"/>
      <c r="QMM307" s="104"/>
      <c r="QMN307" s="104"/>
      <c r="QMO307" s="104"/>
      <c r="QMP307" s="104"/>
      <c r="QMQ307" s="104"/>
      <c r="QMR307" s="104"/>
      <c r="QMS307" s="104"/>
      <c r="QMT307" s="104"/>
      <c r="QMU307" s="104"/>
      <c r="QMV307" s="104"/>
      <c r="QMW307" s="104"/>
      <c r="QMX307" s="104"/>
      <c r="QMY307" s="104"/>
      <c r="QMZ307" s="104"/>
      <c r="QNA307" s="104"/>
      <c r="QNB307" s="104"/>
      <c r="QNC307" s="104"/>
      <c r="QND307" s="104"/>
      <c r="QNE307" s="104"/>
      <c r="QNF307" s="104"/>
      <c r="QNG307" s="104"/>
      <c r="QNH307" s="104"/>
      <c r="QNI307" s="104"/>
      <c r="QNJ307" s="104"/>
      <c r="QNK307" s="104"/>
      <c r="QNL307" s="104"/>
      <c r="QNM307" s="104"/>
      <c r="QNN307" s="104"/>
      <c r="QNO307" s="104"/>
      <c r="QNP307" s="104"/>
      <c r="QNQ307" s="104"/>
      <c r="QNR307" s="104"/>
      <c r="QNS307" s="104"/>
      <c r="QNT307" s="104"/>
      <c r="QNU307" s="104"/>
      <c r="QNV307" s="104"/>
      <c r="QNW307" s="104"/>
      <c r="QNX307" s="104"/>
      <c r="QNY307" s="104"/>
      <c r="QNZ307" s="104"/>
      <c r="QOA307" s="104"/>
      <c r="QOB307" s="104"/>
      <c r="QOC307" s="104"/>
      <c r="QOD307" s="104"/>
      <c r="QOE307" s="104"/>
      <c r="QOF307" s="104"/>
      <c r="QOG307" s="104"/>
      <c r="QOH307" s="104"/>
      <c r="QOI307" s="104"/>
      <c r="QOJ307" s="104"/>
      <c r="QOK307" s="104"/>
      <c r="QOL307" s="104"/>
      <c r="QOM307" s="104"/>
      <c r="QON307" s="104"/>
      <c r="QOO307" s="104"/>
      <c r="QOP307" s="104"/>
      <c r="QOQ307" s="104"/>
      <c r="QOR307" s="104"/>
      <c r="QOS307" s="104"/>
      <c r="QOT307" s="104"/>
      <c r="QOU307" s="104"/>
      <c r="QOV307" s="104"/>
      <c r="QOW307" s="104"/>
      <c r="QOX307" s="104"/>
      <c r="QOY307" s="104"/>
      <c r="QOZ307" s="104"/>
      <c r="QPA307" s="104"/>
      <c r="QPB307" s="104"/>
      <c r="QPC307" s="104"/>
      <c r="QPD307" s="104"/>
      <c r="QPE307" s="104"/>
      <c r="QPF307" s="104"/>
      <c r="QPG307" s="104"/>
      <c r="QPH307" s="104"/>
      <c r="QPI307" s="104"/>
      <c r="QPJ307" s="104"/>
      <c r="QPK307" s="104"/>
      <c r="QPL307" s="104"/>
      <c r="QPM307" s="104"/>
      <c r="QPN307" s="104"/>
      <c r="QPO307" s="104"/>
      <c r="QPP307" s="104"/>
      <c r="QPQ307" s="104"/>
      <c r="QPR307" s="104"/>
      <c r="QPS307" s="104"/>
      <c r="QPT307" s="104"/>
      <c r="QPU307" s="104"/>
      <c r="QPV307" s="104"/>
      <c r="QPW307" s="104"/>
      <c r="QPX307" s="104"/>
      <c r="QPY307" s="104"/>
      <c r="QPZ307" s="104"/>
      <c r="QQA307" s="104"/>
      <c r="QQB307" s="104"/>
      <c r="QQC307" s="104"/>
      <c r="QQD307" s="104"/>
      <c r="QQE307" s="104"/>
      <c r="QQF307" s="104"/>
      <c r="QQG307" s="104"/>
      <c r="QQH307" s="104"/>
      <c r="QQI307" s="104"/>
      <c r="QQJ307" s="104"/>
      <c r="QQK307" s="104"/>
      <c r="QQL307" s="104"/>
      <c r="QQM307" s="104"/>
      <c r="QQN307" s="104"/>
      <c r="QQO307" s="104"/>
      <c r="QQP307" s="104"/>
      <c r="QQQ307" s="104"/>
      <c r="QQR307" s="104"/>
      <c r="QQS307" s="104"/>
      <c r="QQT307" s="104"/>
      <c r="QQU307" s="104"/>
      <c r="QQV307" s="104"/>
      <c r="QQW307" s="104"/>
      <c r="QQX307" s="104"/>
      <c r="QQY307" s="104"/>
      <c r="QQZ307" s="104"/>
      <c r="QRA307" s="104"/>
      <c r="QRB307" s="104"/>
      <c r="QRC307" s="104"/>
      <c r="QRD307" s="104"/>
      <c r="QRE307" s="104"/>
      <c r="QRF307" s="104"/>
      <c r="QRG307" s="104"/>
      <c r="QRH307" s="104"/>
      <c r="QRI307" s="104"/>
      <c r="QRJ307" s="104"/>
      <c r="QRK307" s="104"/>
      <c r="QRL307" s="104"/>
      <c r="QRM307" s="104"/>
      <c r="QRN307" s="104"/>
      <c r="QRO307" s="104"/>
      <c r="QRP307" s="104"/>
      <c r="QRQ307" s="104"/>
      <c r="QRR307" s="104"/>
      <c r="QRS307" s="104"/>
      <c r="QRT307" s="104"/>
      <c r="QRU307" s="104"/>
      <c r="QRV307" s="104"/>
      <c r="QRW307" s="104"/>
      <c r="QRX307" s="104"/>
      <c r="QRY307" s="104"/>
      <c r="QRZ307" s="104"/>
      <c r="QSA307" s="104"/>
      <c r="QSB307" s="104"/>
      <c r="QSC307" s="104"/>
      <c r="QSD307" s="104"/>
      <c r="QSE307" s="104"/>
      <c r="QSF307" s="104"/>
      <c r="QSG307" s="104"/>
      <c r="QSH307" s="104"/>
      <c r="QSI307" s="104"/>
      <c r="QSJ307" s="104"/>
      <c r="QSK307" s="104"/>
      <c r="QSL307" s="104"/>
      <c r="QSM307" s="104"/>
      <c r="QSN307" s="104"/>
      <c r="QSO307" s="104"/>
      <c r="QSP307" s="104"/>
      <c r="QSQ307" s="104"/>
      <c r="QSR307" s="104"/>
      <c r="QSS307" s="104"/>
      <c r="QST307" s="104"/>
      <c r="QSU307" s="104"/>
      <c r="QSV307" s="104"/>
      <c r="QSW307" s="104"/>
      <c r="QSX307" s="104"/>
      <c r="QSY307" s="104"/>
      <c r="QSZ307" s="104"/>
      <c r="QTA307" s="104"/>
      <c r="QTB307" s="104"/>
      <c r="QTC307" s="104"/>
      <c r="QTD307" s="104"/>
      <c r="QTE307" s="104"/>
      <c r="QTF307" s="104"/>
      <c r="QTG307" s="104"/>
      <c r="QTH307" s="104"/>
      <c r="QTI307" s="104"/>
      <c r="QTJ307" s="104"/>
      <c r="QTK307" s="104"/>
      <c r="QTL307" s="104"/>
      <c r="QTM307" s="104"/>
      <c r="QTN307" s="104"/>
      <c r="QTO307" s="104"/>
      <c r="QTP307" s="104"/>
      <c r="QTQ307" s="104"/>
      <c r="QTR307" s="104"/>
      <c r="QTS307" s="104"/>
      <c r="QTT307" s="104"/>
      <c r="QTU307" s="104"/>
      <c r="QTV307" s="104"/>
      <c r="QTW307" s="104"/>
      <c r="QTX307" s="104"/>
      <c r="QTY307" s="104"/>
      <c r="QTZ307" s="104"/>
      <c r="QUA307" s="104"/>
      <c r="QUB307" s="104"/>
      <c r="QUC307" s="104"/>
      <c r="QUD307" s="104"/>
      <c r="QUE307" s="104"/>
      <c r="QUF307" s="104"/>
      <c r="QUG307" s="104"/>
      <c r="QUH307" s="104"/>
      <c r="QUI307" s="104"/>
      <c r="QUJ307" s="104"/>
      <c r="QUK307" s="104"/>
      <c r="QUL307" s="104"/>
      <c r="QUM307" s="104"/>
      <c r="QUN307" s="104"/>
      <c r="QUO307" s="104"/>
      <c r="QUP307" s="104"/>
      <c r="QUQ307" s="104"/>
      <c r="QUR307" s="104"/>
      <c r="QUS307" s="104"/>
      <c r="QUT307" s="104"/>
      <c r="QUU307" s="104"/>
      <c r="QUV307" s="104"/>
      <c r="QUW307" s="104"/>
      <c r="QUX307" s="104"/>
      <c r="QUY307" s="104"/>
      <c r="QUZ307" s="104"/>
      <c r="QVA307" s="104"/>
      <c r="QVB307" s="104"/>
      <c r="QVC307" s="104"/>
      <c r="QVD307" s="104"/>
      <c r="QVE307" s="104"/>
      <c r="QVF307" s="104"/>
      <c r="QVG307" s="104"/>
      <c r="QVH307" s="104"/>
      <c r="QVI307" s="104"/>
      <c r="QVJ307" s="104"/>
      <c r="QVK307" s="104"/>
      <c r="QVL307" s="104"/>
      <c r="QVM307" s="104"/>
      <c r="QVN307" s="104"/>
      <c r="QVO307" s="104"/>
      <c r="QVP307" s="104"/>
      <c r="QVQ307" s="104"/>
      <c r="QVR307" s="104"/>
      <c r="QVS307" s="104"/>
      <c r="QVT307" s="104"/>
      <c r="QVU307" s="104"/>
      <c r="QVV307" s="104"/>
      <c r="QVW307" s="104"/>
      <c r="QVX307" s="104"/>
      <c r="QVY307" s="104"/>
      <c r="QVZ307" s="104"/>
      <c r="QWA307" s="104"/>
      <c r="QWB307" s="104"/>
      <c r="QWC307" s="104"/>
      <c r="QWD307" s="104"/>
      <c r="QWE307" s="104"/>
      <c r="QWF307" s="104"/>
      <c r="QWG307" s="104"/>
      <c r="QWH307" s="104"/>
      <c r="QWI307" s="104"/>
      <c r="QWJ307" s="104"/>
      <c r="QWK307" s="104"/>
      <c r="QWL307" s="104"/>
      <c r="QWM307" s="104"/>
      <c r="QWN307" s="104"/>
      <c r="QWO307" s="104"/>
      <c r="QWP307" s="104"/>
      <c r="QWQ307" s="104"/>
      <c r="QWR307" s="104"/>
      <c r="QWS307" s="104"/>
      <c r="QWT307" s="104"/>
      <c r="QWU307" s="104"/>
      <c r="QWV307" s="104"/>
      <c r="QWW307" s="104"/>
      <c r="QWX307" s="104"/>
      <c r="QWY307" s="104"/>
      <c r="QWZ307" s="104"/>
      <c r="QXA307" s="104"/>
      <c r="QXB307" s="104"/>
      <c r="QXC307" s="104"/>
      <c r="QXD307" s="104"/>
      <c r="QXE307" s="104"/>
      <c r="QXF307" s="104"/>
      <c r="QXG307" s="104"/>
      <c r="QXH307" s="104"/>
      <c r="QXI307" s="104"/>
      <c r="QXJ307" s="104"/>
      <c r="QXK307" s="104"/>
      <c r="QXL307" s="104"/>
      <c r="QXM307" s="104"/>
      <c r="QXN307" s="104"/>
      <c r="QXO307" s="104"/>
      <c r="QXP307" s="104"/>
      <c r="QXQ307" s="104"/>
      <c r="QXR307" s="104"/>
      <c r="QXS307" s="104"/>
      <c r="QXT307" s="104"/>
      <c r="QXU307" s="104"/>
      <c r="QXV307" s="104"/>
      <c r="QXW307" s="104"/>
      <c r="QXX307" s="104"/>
      <c r="QXY307" s="104"/>
      <c r="QXZ307" s="104"/>
      <c r="QYA307" s="104"/>
      <c r="QYB307" s="104"/>
      <c r="QYC307" s="104"/>
      <c r="QYD307" s="104"/>
      <c r="QYE307" s="104"/>
      <c r="QYF307" s="104"/>
      <c r="QYG307" s="104"/>
      <c r="QYH307" s="104"/>
      <c r="QYI307" s="104"/>
      <c r="QYJ307" s="104"/>
      <c r="QYK307" s="104"/>
      <c r="QYL307" s="104"/>
      <c r="QYM307" s="104"/>
      <c r="QYN307" s="104"/>
      <c r="QYO307" s="104"/>
      <c r="QYP307" s="104"/>
      <c r="QYQ307" s="104"/>
      <c r="QYR307" s="104"/>
      <c r="QYS307" s="104"/>
      <c r="QYT307" s="104"/>
      <c r="QYU307" s="104"/>
      <c r="QYV307" s="104"/>
      <c r="QYW307" s="104"/>
      <c r="QYX307" s="104"/>
      <c r="QYY307" s="104"/>
      <c r="QYZ307" s="104"/>
      <c r="QZA307" s="104"/>
      <c r="QZB307" s="104"/>
      <c r="QZC307" s="104"/>
      <c r="QZD307" s="104"/>
      <c r="QZE307" s="104"/>
      <c r="QZF307" s="104"/>
      <c r="QZG307" s="104"/>
      <c r="QZH307" s="104"/>
      <c r="QZI307" s="104"/>
      <c r="QZJ307" s="104"/>
      <c r="QZK307" s="104"/>
      <c r="QZL307" s="104"/>
      <c r="QZM307" s="104"/>
      <c r="QZN307" s="104"/>
      <c r="QZO307" s="104"/>
      <c r="QZP307" s="104"/>
      <c r="QZQ307" s="104"/>
      <c r="QZR307" s="104"/>
      <c r="QZS307" s="104"/>
      <c r="QZT307" s="104"/>
      <c r="QZU307" s="104"/>
      <c r="QZV307" s="104"/>
      <c r="QZW307" s="104"/>
      <c r="QZX307" s="104"/>
      <c r="QZY307" s="104"/>
      <c r="QZZ307" s="104"/>
      <c r="RAA307" s="104"/>
      <c r="RAB307" s="104"/>
      <c r="RAC307" s="104"/>
      <c r="RAD307" s="104"/>
      <c r="RAE307" s="104"/>
      <c r="RAF307" s="104"/>
      <c r="RAG307" s="104"/>
      <c r="RAH307" s="104"/>
      <c r="RAI307" s="104"/>
      <c r="RAJ307" s="104"/>
      <c r="RAK307" s="104"/>
      <c r="RAL307" s="104"/>
      <c r="RAM307" s="104"/>
      <c r="RAN307" s="104"/>
      <c r="RAO307" s="104"/>
      <c r="RAP307" s="104"/>
      <c r="RAQ307" s="104"/>
      <c r="RAR307" s="104"/>
      <c r="RAS307" s="104"/>
      <c r="RAT307" s="104"/>
      <c r="RAU307" s="104"/>
      <c r="RAV307" s="104"/>
      <c r="RAW307" s="104"/>
      <c r="RAX307" s="104"/>
      <c r="RAY307" s="104"/>
      <c r="RAZ307" s="104"/>
      <c r="RBA307" s="104"/>
      <c r="RBB307" s="104"/>
      <c r="RBC307" s="104"/>
      <c r="RBD307" s="104"/>
      <c r="RBE307" s="104"/>
      <c r="RBF307" s="104"/>
      <c r="RBG307" s="104"/>
      <c r="RBH307" s="104"/>
      <c r="RBI307" s="104"/>
      <c r="RBJ307" s="104"/>
      <c r="RBK307" s="104"/>
      <c r="RBL307" s="104"/>
      <c r="RBM307" s="104"/>
      <c r="RBN307" s="104"/>
      <c r="RBO307" s="104"/>
      <c r="RBP307" s="104"/>
      <c r="RBQ307" s="104"/>
      <c r="RBR307" s="104"/>
      <c r="RBS307" s="104"/>
      <c r="RBT307" s="104"/>
      <c r="RBU307" s="104"/>
      <c r="RBV307" s="104"/>
      <c r="RBW307" s="104"/>
      <c r="RBX307" s="104"/>
      <c r="RBY307" s="104"/>
      <c r="RBZ307" s="104"/>
      <c r="RCA307" s="104"/>
      <c r="RCB307" s="104"/>
      <c r="RCC307" s="104"/>
      <c r="RCD307" s="104"/>
      <c r="RCE307" s="104"/>
      <c r="RCF307" s="104"/>
      <c r="RCG307" s="104"/>
      <c r="RCH307" s="104"/>
      <c r="RCI307" s="104"/>
      <c r="RCJ307" s="104"/>
      <c r="RCK307" s="104"/>
      <c r="RCL307" s="104"/>
      <c r="RCM307" s="104"/>
      <c r="RCN307" s="104"/>
      <c r="RCO307" s="104"/>
      <c r="RCP307" s="104"/>
      <c r="RCQ307" s="104"/>
      <c r="RCR307" s="104"/>
      <c r="RCS307" s="104"/>
      <c r="RCT307" s="104"/>
      <c r="RCU307" s="104"/>
      <c r="RCV307" s="104"/>
      <c r="RCW307" s="104"/>
      <c r="RCX307" s="104"/>
      <c r="RCY307" s="104"/>
      <c r="RCZ307" s="104"/>
      <c r="RDA307" s="104"/>
      <c r="RDB307" s="104"/>
      <c r="RDC307" s="104"/>
      <c r="RDD307" s="104"/>
      <c r="RDE307" s="104"/>
      <c r="RDF307" s="104"/>
      <c r="RDG307" s="104"/>
      <c r="RDH307" s="104"/>
      <c r="RDI307" s="104"/>
      <c r="RDJ307" s="104"/>
      <c r="RDK307" s="104"/>
      <c r="RDL307" s="104"/>
      <c r="RDM307" s="104"/>
      <c r="RDN307" s="104"/>
      <c r="RDO307" s="104"/>
      <c r="RDP307" s="104"/>
      <c r="RDQ307" s="104"/>
      <c r="RDR307" s="104"/>
      <c r="RDS307" s="104"/>
      <c r="RDT307" s="104"/>
      <c r="RDU307" s="104"/>
      <c r="RDV307" s="104"/>
      <c r="RDW307" s="104"/>
      <c r="RDX307" s="104"/>
      <c r="RDY307" s="104"/>
      <c r="RDZ307" s="104"/>
      <c r="REA307" s="104"/>
      <c r="REB307" s="104"/>
      <c r="REC307" s="104"/>
      <c r="RED307" s="104"/>
      <c r="REE307" s="104"/>
      <c r="REF307" s="104"/>
      <c r="REG307" s="104"/>
      <c r="REH307" s="104"/>
      <c r="REI307" s="104"/>
      <c r="REJ307" s="104"/>
      <c r="REK307" s="104"/>
      <c r="REL307" s="104"/>
      <c r="REM307" s="104"/>
      <c r="REN307" s="104"/>
      <c r="REO307" s="104"/>
      <c r="REP307" s="104"/>
      <c r="REQ307" s="104"/>
      <c r="RER307" s="104"/>
      <c r="RES307" s="104"/>
      <c r="RET307" s="104"/>
      <c r="REU307" s="104"/>
      <c r="REV307" s="104"/>
      <c r="REW307" s="104"/>
      <c r="REX307" s="104"/>
      <c r="REY307" s="104"/>
      <c r="REZ307" s="104"/>
      <c r="RFA307" s="104"/>
      <c r="RFB307" s="104"/>
      <c r="RFC307" s="104"/>
      <c r="RFD307" s="104"/>
      <c r="RFE307" s="104"/>
      <c r="RFF307" s="104"/>
      <c r="RFG307" s="104"/>
      <c r="RFH307" s="104"/>
      <c r="RFI307" s="104"/>
      <c r="RFJ307" s="104"/>
      <c r="RFK307" s="104"/>
      <c r="RFL307" s="104"/>
      <c r="RFM307" s="104"/>
      <c r="RFN307" s="104"/>
      <c r="RFO307" s="104"/>
      <c r="RFP307" s="104"/>
      <c r="RFQ307" s="104"/>
      <c r="RFR307" s="104"/>
      <c r="RFS307" s="104"/>
      <c r="RFT307" s="104"/>
      <c r="RFU307" s="104"/>
      <c r="RFV307" s="104"/>
      <c r="RFW307" s="104"/>
      <c r="RFX307" s="104"/>
      <c r="RFY307" s="104"/>
      <c r="RFZ307" s="104"/>
      <c r="RGA307" s="104"/>
      <c r="RGB307" s="104"/>
      <c r="RGC307" s="104"/>
      <c r="RGD307" s="104"/>
      <c r="RGE307" s="104"/>
      <c r="RGF307" s="104"/>
      <c r="RGG307" s="104"/>
      <c r="RGH307" s="104"/>
      <c r="RGI307" s="104"/>
      <c r="RGJ307" s="104"/>
      <c r="RGK307" s="104"/>
      <c r="RGL307" s="104"/>
      <c r="RGM307" s="104"/>
      <c r="RGN307" s="104"/>
      <c r="RGO307" s="104"/>
      <c r="RGP307" s="104"/>
      <c r="RGQ307" s="104"/>
      <c r="RGR307" s="104"/>
      <c r="RGS307" s="104"/>
      <c r="RGT307" s="104"/>
      <c r="RGU307" s="104"/>
      <c r="RGV307" s="104"/>
      <c r="RGW307" s="104"/>
      <c r="RGX307" s="104"/>
      <c r="RGY307" s="104"/>
      <c r="RGZ307" s="104"/>
      <c r="RHA307" s="104"/>
      <c r="RHB307" s="104"/>
      <c r="RHC307" s="104"/>
      <c r="RHD307" s="104"/>
      <c r="RHE307" s="104"/>
      <c r="RHF307" s="104"/>
      <c r="RHG307" s="104"/>
      <c r="RHH307" s="104"/>
      <c r="RHI307" s="104"/>
      <c r="RHJ307" s="104"/>
      <c r="RHK307" s="104"/>
      <c r="RHL307" s="104"/>
      <c r="RHM307" s="104"/>
      <c r="RHN307" s="104"/>
      <c r="RHO307" s="104"/>
      <c r="RHP307" s="104"/>
      <c r="RHQ307" s="104"/>
      <c r="RHR307" s="104"/>
      <c r="RHS307" s="104"/>
      <c r="RHT307" s="104"/>
      <c r="RHU307" s="104"/>
      <c r="RHV307" s="104"/>
      <c r="RHW307" s="104"/>
      <c r="RHX307" s="104"/>
      <c r="RHY307" s="104"/>
      <c r="RHZ307" s="104"/>
      <c r="RIA307" s="104"/>
      <c r="RIB307" s="104"/>
      <c r="RIC307" s="104"/>
      <c r="RID307" s="104"/>
      <c r="RIE307" s="104"/>
      <c r="RIF307" s="104"/>
      <c r="RIG307" s="104"/>
      <c r="RIH307" s="104"/>
      <c r="RII307" s="104"/>
      <c r="RIJ307" s="104"/>
      <c r="RIK307" s="104"/>
      <c r="RIL307" s="104"/>
      <c r="RIM307" s="104"/>
      <c r="RIN307" s="104"/>
      <c r="RIO307" s="104"/>
      <c r="RIP307" s="104"/>
      <c r="RIQ307" s="104"/>
      <c r="RIR307" s="104"/>
      <c r="RIS307" s="104"/>
      <c r="RIT307" s="104"/>
      <c r="RIU307" s="104"/>
      <c r="RIV307" s="104"/>
      <c r="RIW307" s="104"/>
      <c r="RIX307" s="104"/>
      <c r="RIY307" s="104"/>
      <c r="RIZ307" s="104"/>
      <c r="RJA307" s="104"/>
      <c r="RJB307" s="104"/>
      <c r="RJC307" s="104"/>
      <c r="RJD307" s="104"/>
      <c r="RJE307" s="104"/>
      <c r="RJF307" s="104"/>
      <c r="RJG307" s="104"/>
      <c r="RJH307" s="104"/>
      <c r="RJI307" s="104"/>
      <c r="RJJ307" s="104"/>
      <c r="RJK307" s="104"/>
      <c r="RJL307" s="104"/>
      <c r="RJM307" s="104"/>
      <c r="RJN307" s="104"/>
      <c r="RJO307" s="104"/>
      <c r="RJP307" s="104"/>
      <c r="RJQ307" s="104"/>
      <c r="RJR307" s="104"/>
      <c r="RJS307" s="104"/>
      <c r="RJT307" s="104"/>
      <c r="RJU307" s="104"/>
      <c r="RJV307" s="104"/>
      <c r="RJW307" s="104"/>
      <c r="RJX307" s="104"/>
      <c r="RJY307" s="104"/>
      <c r="RJZ307" s="104"/>
      <c r="RKA307" s="104"/>
      <c r="RKB307" s="104"/>
      <c r="RKC307" s="104"/>
      <c r="RKD307" s="104"/>
      <c r="RKE307" s="104"/>
      <c r="RKF307" s="104"/>
      <c r="RKG307" s="104"/>
      <c r="RKH307" s="104"/>
      <c r="RKI307" s="104"/>
      <c r="RKJ307" s="104"/>
      <c r="RKK307" s="104"/>
      <c r="RKL307" s="104"/>
      <c r="RKM307" s="104"/>
      <c r="RKN307" s="104"/>
      <c r="RKO307" s="104"/>
      <c r="RKP307" s="104"/>
      <c r="RKQ307" s="104"/>
      <c r="RKR307" s="104"/>
      <c r="RKS307" s="104"/>
      <c r="RKT307" s="104"/>
      <c r="RKU307" s="104"/>
      <c r="RKV307" s="104"/>
      <c r="RKW307" s="104"/>
      <c r="RKX307" s="104"/>
      <c r="RKY307" s="104"/>
      <c r="RKZ307" s="104"/>
      <c r="RLA307" s="104"/>
      <c r="RLB307" s="104"/>
      <c r="RLC307" s="104"/>
      <c r="RLD307" s="104"/>
      <c r="RLE307" s="104"/>
      <c r="RLF307" s="104"/>
      <c r="RLG307" s="104"/>
      <c r="RLH307" s="104"/>
      <c r="RLI307" s="104"/>
      <c r="RLJ307" s="104"/>
      <c r="RLK307" s="104"/>
      <c r="RLL307" s="104"/>
      <c r="RLM307" s="104"/>
      <c r="RLN307" s="104"/>
      <c r="RLO307" s="104"/>
      <c r="RLP307" s="104"/>
      <c r="RLQ307" s="104"/>
      <c r="RLR307" s="104"/>
      <c r="RLS307" s="104"/>
      <c r="RLT307" s="104"/>
      <c r="RLU307" s="104"/>
      <c r="RLV307" s="104"/>
      <c r="RLW307" s="104"/>
      <c r="RLX307" s="104"/>
      <c r="RLY307" s="104"/>
      <c r="RLZ307" s="104"/>
      <c r="RMA307" s="104"/>
      <c r="RMB307" s="104"/>
      <c r="RMC307" s="104"/>
      <c r="RMD307" s="104"/>
      <c r="RME307" s="104"/>
      <c r="RMF307" s="104"/>
      <c r="RMG307" s="104"/>
      <c r="RMH307" s="104"/>
      <c r="RMI307" s="104"/>
      <c r="RMJ307" s="104"/>
      <c r="RMK307" s="104"/>
      <c r="RML307" s="104"/>
      <c r="RMM307" s="104"/>
      <c r="RMN307" s="104"/>
      <c r="RMO307" s="104"/>
      <c r="RMP307" s="104"/>
      <c r="RMQ307" s="104"/>
      <c r="RMR307" s="104"/>
      <c r="RMS307" s="104"/>
      <c r="RMT307" s="104"/>
      <c r="RMU307" s="104"/>
      <c r="RMV307" s="104"/>
      <c r="RMW307" s="104"/>
      <c r="RMX307" s="104"/>
      <c r="RMY307" s="104"/>
      <c r="RMZ307" s="104"/>
      <c r="RNA307" s="104"/>
      <c r="RNB307" s="104"/>
      <c r="RNC307" s="104"/>
      <c r="RND307" s="104"/>
      <c r="RNE307" s="104"/>
      <c r="RNF307" s="104"/>
      <c r="RNG307" s="104"/>
      <c r="RNH307" s="104"/>
      <c r="RNI307" s="104"/>
      <c r="RNJ307" s="104"/>
      <c r="RNK307" s="104"/>
      <c r="RNL307" s="104"/>
      <c r="RNM307" s="104"/>
      <c r="RNN307" s="104"/>
      <c r="RNO307" s="104"/>
      <c r="RNP307" s="104"/>
      <c r="RNQ307" s="104"/>
      <c r="RNR307" s="104"/>
      <c r="RNS307" s="104"/>
      <c r="RNT307" s="104"/>
      <c r="RNU307" s="104"/>
      <c r="RNV307" s="104"/>
      <c r="RNW307" s="104"/>
      <c r="RNX307" s="104"/>
      <c r="RNY307" s="104"/>
      <c r="RNZ307" s="104"/>
      <c r="ROA307" s="104"/>
      <c r="ROB307" s="104"/>
      <c r="ROC307" s="104"/>
      <c r="ROD307" s="104"/>
      <c r="ROE307" s="104"/>
      <c r="ROF307" s="104"/>
      <c r="ROG307" s="104"/>
      <c r="ROH307" s="104"/>
      <c r="ROI307" s="104"/>
      <c r="ROJ307" s="104"/>
      <c r="ROK307" s="104"/>
      <c r="ROL307" s="104"/>
      <c r="ROM307" s="104"/>
      <c r="RON307" s="104"/>
      <c r="ROO307" s="104"/>
      <c r="ROP307" s="104"/>
      <c r="ROQ307" s="104"/>
      <c r="ROR307" s="104"/>
      <c r="ROS307" s="104"/>
      <c r="ROT307" s="104"/>
      <c r="ROU307" s="104"/>
      <c r="ROV307" s="104"/>
      <c r="ROW307" s="104"/>
      <c r="ROX307" s="104"/>
      <c r="ROY307" s="104"/>
      <c r="ROZ307" s="104"/>
      <c r="RPA307" s="104"/>
      <c r="RPB307" s="104"/>
      <c r="RPC307" s="104"/>
      <c r="RPD307" s="104"/>
      <c r="RPE307" s="104"/>
      <c r="RPF307" s="104"/>
      <c r="RPG307" s="104"/>
      <c r="RPH307" s="104"/>
      <c r="RPI307" s="104"/>
      <c r="RPJ307" s="104"/>
      <c r="RPK307" s="104"/>
      <c r="RPL307" s="104"/>
      <c r="RPM307" s="104"/>
      <c r="RPN307" s="104"/>
      <c r="RPO307" s="104"/>
      <c r="RPP307" s="104"/>
      <c r="RPQ307" s="104"/>
      <c r="RPR307" s="104"/>
      <c r="RPS307" s="104"/>
      <c r="RPT307" s="104"/>
      <c r="RPU307" s="104"/>
      <c r="RPV307" s="104"/>
      <c r="RPW307" s="104"/>
      <c r="RPX307" s="104"/>
      <c r="RPY307" s="104"/>
      <c r="RPZ307" s="104"/>
      <c r="RQA307" s="104"/>
      <c r="RQB307" s="104"/>
      <c r="RQC307" s="104"/>
      <c r="RQD307" s="104"/>
      <c r="RQE307" s="104"/>
      <c r="RQF307" s="104"/>
      <c r="RQG307" s="104"/>
      <c r="RQH307" s="104"/>
      <c r="RQI307" s="104"/>
      <c r="RQJ307" s="104"/>
      <c r="RQK307" s="104"/>
      <c r="RQL307" s="104"/>
      <c r="RQM307" s="104"/>
      <c r="RQN307" s="104"/>
      <c r="RQO307" s="104"/>
      <c r="RQP307" s="104"/>
      <c r="RQQ307" s="104"/>
      <c r="RQR307" s="104"/>
      <c r="RQS307" s="104"/>
      <c r="RQT307" s="104"/>
      <c r="RQU307" s="104"/>
      <c r="RQV307" s="104"/>
      <c r="RQW307" s="104"/>
      <c r="RQX307" s="104"/>
      <c r="RQY307" s="104"/>
      <c r="RQZ307" s="104"/>
      <c r="RRA307" s="104"/>
      <c r="RRB307" s="104"/>
      <c r="RRC307" s="104"/>
      <c r="RRD307" s="104"/>
      <c r="RRE307" s="104"/>
      <c r="RRF307" s="104"/>
      <c r="RRG307" s="104"/>
      <c r="RRH307" s="104"/>
      <c r="RRI307" s="104"/>
      <c r="RRJ307" s="104"/>
      <c r="RRK307" s="104"/>
      <c r="RRL307" s="104"/>
      <c r="RRM307" s="104"/>
      <c r="RRN307" s="104"/>
      <c r="RRO307" s="104"/>
      <c r="RRP307" s="104"/>
      <c r="RRQ307" s="104"/>
      <c r="RRR307" s="104"/>
      <c r="RRS307" s="104"/>
      <c r="RRT307" s="104"/>
      <c r="RRU307" s="104"/>
      <c r="RRV307" s="104"/>
      <c r="RRW307" s="104"/>
      <c r="RRX307" s="104"/>
      <c r="RRY307" s="104"/>
      <c r="RRZ307" s="104"/>
      <c r="RSA307" s="104"/>
      <c r="RSB307" s="104"/>
      <c r="RSC307" s="104"/>
      <c r="RSD307" s="104"/>
      <c r="RSE307" s="104"/>
      <c r="RSF307" s="104"/>
      <c r="RSG307" s="104"/>
      <c r="RSH307" s="104"/>
      <c r="RSI307" s="104"/>
      <c r="RSJ307" s="104"/>
      <c r="RSK307" s="104"/>
      <c r="RSL307" s="104"/>
      <c r="RSM307" s="104"/>
      <c r="RSN307" s="104"/>
      <c r="RSO307" s="104"/>
      <c r="RSP307" s="104"/>
      <c r="RSQ307" s="104"/>
      <c r="RSR307" s="104"/>
      <c r="RSS307" s="104"/>
      <c r="RST307" s="104"/>
      <c r="RSU307" s="104"/>
      <c r="RSV307" s="104"/>
      <c r="RSW307" s="104"/>
      <c r="RSX307" s="104"/>
      <c r="RSY307" s="104"/>
      <c r="RSZ307" s="104"/>
      <c r="RTA307" s="104"/>
      <c r="RTB307" s="104"/>
      <c r="RTC307" s="104"/>
      <c r="RTD307" s="104"/>
      <c r="RTE307" s="104"/>
      <c r="RTF307" s="104"/>
      <c r="RTG307" s="104"/>
      <c r="RTH307" s="104"/>
      <c r="RTI307" s="104"/>
      <c r="RTJ307" s="104"/>
      <c r="RTK307" s="104"/>
      <c r="RTL307" s="104"/>
      <c r="RTM307" s="104"/>
      <c r="RTN307" s="104"/>
      <c r="RTO307" s="104"/>
      <c r="RTP307" s="104"/>
      <c r="RTQ307" s="104"/>
      <c r="RTR307" s="104"/>
      <c r="RTS307" s="104"/>
      <c r="RTT307" s="104"/>
      <c r="RTU307" s="104"/>
      <c r="RTV307" s="104"/>
      <c r="RTW307" s="104"/>
      <c r="RTX307" s="104"/>
      <c r="RTY307" s="104"/>
      <c r="RTZ307" s="104"/>
      <c r="RUA307" s="104"/>
      <c r="RUB307" s="104"/>
      <c r="RUC307" s="104"/>
      <c r="RUD307" s="104"/>
      <c r="RUE307" s="104"/>
      <c r="RUF307" s="104"/>
      <c r="RUG307" s="104"/>
      <c r="RUH307" s="104"/>
      <c r="RUI307" s="104"/>
      <c r="RUJ307" s="104"/>
      <c r="RUK307" s="104"/>
      <c r="RUL307" s="104"/>
      <c r="RUM307" s="104"/>
      <c r="RUN307" s="104"/>
      <c r="RUO307" s="104"/>
      <c r="RUP307" s="104"/>
      <c r="RUQ307" s="104"/>
      <c r="RUR307" s="104"/>
      <c r="RUS307" s="104"/>
      <c r="RUT307" s="104"/>
      <c r="RUU307" s="104"/>
      <c r="RUV307" s="104"/>
      <c r="RUW307" s="104"/>
      <c r="RUX307" s="104"/>
      <c r="RUY307" s="104"/>
      <c r="RUZ307" s="104"/>
      <c r="RVA307" s="104"/>
      <c r="RVB307" s="104"/>
      <c r="RVC307" s="104"/>
      <c r="RVD307" s="104"/>
      <c r="RVE307" s="104"/>
      <c r="RVF307" s="104"/>
      <c r="RVG307" s="104"/>
      <c r="RVH307" s="104"/>
      <c r="RVI307" s="104"/>
      <c r="RVJ307" s="104"/>
      <c r="RVK307" s="104"/>
      <c r="RVL307" s="104"/>
      <c r="RVM307" s="104"/>
      <c r="RVN307" s="104"/>
      <c r="RVO307" s="104"/>
      <c r="RVP307" s="104"/>
      <c r="RVQ307" s="104"/>
      <c r="RVR307" s="104"/>
      <c r="RVS307" s="104"/>
      <c r="RVT307" s="104"/>
      <c r="RVU307" s="104"/>
      <c r="RVV307" s="104"/>
      <c r="RVW307" s="104"/>
      <c r="RVX307" s="104"/>
      <c r="RVY307" s="104"/>
      <c r="RVZ307" s="104"/>
      <c r="RWA307" s="104"/>
      <c r="RWB307" s="104"/>
      <c r="RWC307" s="104"/>
      <c r="RWD307" s="104"/>
      <c r="RWE307" s="104"/>
      <c r="RWF307" s="104"/>
      <c r="RWG307" s="104"/>
      <c r="RWH307" s="104"/>
      <c r="RWI307" s="104"/>
      <c r="RWJ307" s="104"/>
      <c r="RWK307" s="104"/>
      <c r="RWL307" s="104"/>
      <c r="RWM307" s="104"/>
      <c r="RWN307" s="104"/>
      <c r="RWO307" s="104"/>
      <c r="RWP307" s="104"/>
      <c r="RWQ307" s="104"/>
      <c r="RWR307" s="104"/>
      <c r="RWS307" s="104"/>
      <c r="RWT307" s="104"/>
      <c r="RWU307" s="104"/>
      <c r="RWV307" s="104"/>
      <c r="RWW307" s="104"/>
      <c r="RWX307" s="104"/>
      <c r="RWY307" s="104"/>
      <c r="RWZ307" s="104"/>
      <c r="RXA307" s="104"/>
      <c r="RXB307" s="104"/>
      <c r="RXC307" s="104"/>
      <c r="RXD307" s="104"/>
      <c r="RXE307" s="104"/>
      <c r="RXF307" s="104"/>
      <c r="RXG307" s="104"/>
      <c r="RXH307" s="104"/>
      <c r="RXI307" s="104"/>
      <c r="RXJ307" s="104"/>
      <c r="RXK307" s="104"/>
      <c r="RXL307" s="104"/>
      <c r="RXM307" s="104"/>
      <c r="RXN307" s="104"/>
      <c r="RXO307" s="104"/>
      <c r="RXP307" s="104"/>
      <c r="RXQ307" s="104"/>
      <c r="RXR307" s="104"/>
      <c r="RXS307" s="104"/>
      <c r="RXT307" s="104"/>
      <c r="RXU307" s="104"/>
      <c r="RXV307" s="104"/>
      <c r="RXW307" s="104"/>
      <c r="RXX307" s="104"/>
      <c r="RXY307" s="104"/>
      <c r="RXZ307" s="104"/>
      <c r="RYA307" s="104"/>
      <c r="RYB307" s="104"/>
      <c r="RYC307" s="104"/>
      <c r="RYD307" s="104"/>
      <c r="RYE307" s="104"/>
      <c r="RYF307" s="104"/>
      <c r="RYG307" s="104"/>
      <c r="RYH307" s="104"/>
      <c r="RYI307" s="104"/>
      <c r="RYJ307" s="104"/>
      <c r="RYK307" s="104"/>
      <c r="RYL307" s="104"/>
      <c r="RYM307" s="104"/>
      <c r="RYN307" s="104"/>
      <c r="RYO307" s="104"/>
      <c r="RYP307" s="104"/>
      <c r="RYQ307" s="104"/>
      <c r="RYR307" s="104"/>
      <c r="RYS307" s="104"/>
      <c r="RYT307" s="104"/>
      <c r="RYU307" s="104"/>
      <c r="RYV307" s="104"/>
      <c r="RYW307" s="104"/>
      <c r="RYX307" s="104"/>
      <c r="RYY307" s="104"/>
      <c r="RYZ307" s="104"/>
      <c r="RZA307" s="104"/>
      <c r="RZB307" s="104"/>
      <c r="RZC307" s="104"/>
      <c r="RZD307" s="104"/>
      <c r="RZE307" s="104"/>
      <c r="RZF307" s="104"/>
      <c r="RZG307" s="104"/>
      <c r="RZH307" s="104"/>
      <c r="RZI307" s="104"/>
      <c r="RZJ307" s="104"/>
      <c r="RZK307" s="104"/>
      <c r="RZL307" s="104"/>
      <c r="RZM307" s="104"/>
      <c r="RZN307" s="104"/>
      <c r="RZO307" s="104"/>
      <c r="RZP307" s="104"/>
      <c r="RZQ307" s="104"/>
      <c r="RZR307" s="104"/>
      <c r="RZS307" s="104"/>
      <c r="RZT307" s="104"/>
      <c r="RZU307" s="104"/>
      <c r="RZV307" s="104"/>
      <c r="RZW307" s="104"/>
      <c r="RZX307" s="104"/>
      <c r="RZY307" s="104"/>
      <c r="RZZ307" s="104"/>
      <c r="SAA307" s="104"/>
      <c r="SAB307" s="104"/>
      <c r="SAC307" s="104"/>
      <c r="SAD307" s="104"/>
      <c r="SAE307" s="104"/>
      <c r="SAF307" s="104"/>
      <c r="SAG307" s="104"/>
      <c r="SAH307" s="104"/>
      <c r="SAI307" s="104"/>
      <c r="SAJ307" s="104"/>
      <c r="SAK307" s="104"/>
      <c r="SAL307" s="104"/>
      <c r="SAM307" s="104"/>
      <c r="SAN307" s="104"/>
      <c r="SAO307" s="104"/>
      <c r="SAP307" s="104"/>
      <c r="SAQ307" s="104"/>
      <c r="SAR307" s="104"/>
      <c r="SAS307" s="104"/>
      <c r="SAT307" s="104"/>
      <c r="SAU307" s="104"/>
      <c r="SAV307" s="104"/>
      <c r="SAW307" s="104"/>
      <c r="SAX307" s="104"/>
      <c r="SAY307" s="104"/>
      <c r="SAZ307" s="104"/>
      <c r="SBA307" s="104"/>
      <c r="SBB307" s="104"/>
      <c r="SBC307" s="104"/>
      <c r="SBD307" s="104"/>
      <c r="SBE307" s="104"/>
      <c r="SBF307" s="104"/>
      <c r="SBG307" s="104"/>
      <c r="SBH307" s="104"/>
      <c r="SBI307" s="104"/>
      <c r="SBJ307" s="104"/>
      <c r="SBK307" s="104"/>
      <c r="SBL307" s="104"/>
      <c r="SBM307" s="104"/>
      <c r="SBN307" s="104"/>
      <c r="SBO307" s="104"/>
      <c r="SBP307" s="104"/>
      <c r="SBQ307" s="104"/>
      <c r="SBR307" s="104"/>
      <c r="SBS307" s="104"/>
      <c r="SBT307" s="104"/>
      <c r="SBU307" s="104"/>
      <c r="SBV307" s="104"/>
      <c r="SBW307" s="104"/>
      <c r="SBX307" s="104"/>
      <c r="SBY307" s="104"/>
      <c r="SBZ307" s="104"/>
      <c r="SCA307" s="104"/>
      <c r="SCB307" s="104"/>
      <c r="SCC307" s="104"/>
      <c r="SCD307" s="104"/>
      <c r="SCE307" s="104"/>
      <c r="SCF307" s="104"/>
      <c r="SCG307" s="104"/>
      <c r="SCH307" s="104"/>
      <c r="SCI307" s="104"/>
      <c r="SCJ307" s="104"/>
      <c r="SCK307" s="104"/>
      <c r="SCL307" s="104"/>
      <c r="SCM307" s="104"/>
      <c r="SCN307" s="104"/>
      <c r="SCO307" s="104"/>
      <c r="SCP307" s="104"/>
      <c r="SCQ307" s="104"/>
      <c r="SCR307" s="104"/>
      <c r="SCS307" s="104"/>
      <c r="SCT307" s="104"/>
      <c r="SCU307" s="104"/>
      <c r="SCV307" s="104"/>
      <c r="SCW307" s="104"/>
      <c r="SCX307" s="104"/>
      <c r="SCY307" s="104"/>
      <c r="SCZ307" s="104"/>
      <c r="SDA307" s="104"/>
      <c r="SDB307" s="104"/>
      <c r="SDC307" s="104"/>
      <c r="SDD307" s="104"/>
      <c r="SDE307" s="104"/>
      <c r="SDF307" s="104"/>
      <c r="SDG307" s="104"/>
      <c r="SDH307" s="104"/>
      <c r="SDI307" s="104"/>
      <c r="SDJ307" s="104"/>
      <c r="SDK307" s="104"/>
      <c r="SDL307" s="104"/>
      <c r="SDM307" s="104"/>
      <c r="SDN307" s="104"/>
      <c r="SDO307" s="104"/>
      <c r="SDP307" s="104"/>
      <c r="SDQ307" s="104"/>
      <c r="SDR307" s="104"/>
      <c r="SDS307" s="104"/>
      <c r="SDT307" s="104"/>
      <c r="SDU307" s="104"/>
      <c r="SDV307" s="104"/>
      <c r="SDW307" s="104"/>
      <c r="SDX307" s="104"/>
      <c r="SDY307" s="104"/>
      <c r="SDZ307" s="104"/>
      <c r="SEA307" s="104"/>
      <c r="SEB307" s="104"/>
      <c r="SEC307" s="104"/>
      <c r="SED307" s="104"/>
      <c r="SEE307" s="104"/>
      <c r="SEF307" s="104"/>
      <c r="SEG307" s="104"/>
      <c r="SEH307" s="104"/>
      <c r="SEI307" s="104"/>
      <c r="SEJ307" s="104"/>
      <c r="SEK307" s="104"/>
      <c r="SEL307" s="104"/>
      <c r="SEM307" s="104"/>
      <c r="SEN307" s="104"/>
      <c r="SEO307" s="104"/>
      <c r="SEP307" s="104"/>
      <c r="SEQ307" s="104"/>
      <c r="SER307" s="104"/>
      <c r="SES307" s="104"/>
      <c r="SET307" s="104"/>
      <c r="SEU307" s="104"/>
      <c r="SEV307" s="104"/>
      <c r="SEW307" s="104"/>
      <c r="SEX307" s="104"/>
      <c r="SEY307" s="104"/>
      <c r="SEZ307" s="104"/>
      <c r="SFA307" s="104"/>
      <c r="SFB307" s="104"/>
      <c r="SFC307" s="104"/>
      <c r="SFD307" s="104"/>
      <c r="SFE307" s="104"/>
      <c r="SFF307" s="104"/>
      <c r="SFG307" s="104"/>
      <c r="SFH307" s="104"/>
      <c r="SFI307" s="104"/>
      <c r="SFJ307" s="104"/>
      <c r="SFK307" s="104"/>
      <c r="SFL307" s="104"/>
      <c r="SFM307" s="104"/>
      <c r="SFN307" s="104"/>
      <c r="SFO307" s="104"/>
      <c r="SFP307" s="104"/>
      <c r="SFQ307" s="104"/>
      <c r="SFR307" s="104"/>
      <c r="SFS307" s="104"/>
      <c r="SFT307" s="104"/>
      <c r="SFU307" s="104"/>
      <c r="SFV307" s="104"/>
      <c r="SFW307" s="104"/>
      <c r="SFX307" s="104"/>
      <c r="SFY307" s="104"/>
      <c r="SFZ307" s="104"/>
      <c r="SGA307" s="104"/>
      <c r="SGB307" s="104"/>
      <c r="SGC307" s="104"/>
      <c r="SGD307" s="104"/>
      <c r="SGE307" s="104"/>
      <c r="SGF307" s="104"/>
      <c r="SGG307" s="104"/>
      <c r="SGH307" s="104"/>
      <c r="SGI307" s="104"/>
      <c r="SGJ307" s="104"/>
      <c r="SGK307" s="104"/>
      <c r="SGL307" s="104"/>
      <c r="SGM307" s="104"/>
      <c r="SGN307" s="104"/>
      <c r="SGO307" s="104"/>
      <c r="SGP307" s="104"/>
      <c r="SGQ307" s="104"/>
      <c r="SGR307" s="104"/>
      <c r="SGS307" s="104"/>
      <c r="SGT307" s="104"/>
      <c r="SGU307" s="104"/>
      <c r="SGV307" s="104"/>
      <c r="SGW307" s="104"/>
      <c r="SGX307" s="104"/>
      <c r="SGY307" s="104"/>
      <c r="SGZ307" s="104"/>
      <c r="SHA307" s="104"/>
      <c r="SHB307" s="104"/>
      <c r="SHC307" s="104"/>
      <c r="SHD307" s="104"/>
      <c r="SHE307" s="104"/>
      <c r="SHF307" s="104"/>
      <c r="SHG307" s="104"/>
      <c r="SHH307" s="104"/>
      <c r="SHI307" s="104"/>
      <c r="SHJ307" s="104"/>
      <c r="SHK307" s="104"/>
      <c r="SHL307" s="104"/>
      <c r="SHM307" s="104"/>
      <c r="SHN307" s="104"/>
      <c r="SHO307" s="104"/>
      <c r="SHP307" s="104"/>
      <c r="SHQ307" s="104"/>
      <c r="SHR307" s="104"/>
      <c r="SHS307" s="104"/>
      <c r="SHT307" s="104"/>
      <c r="SHU307" s="104"/>
      <c r="SHV307" s="104"/>
      <c r="SHW307" s="104"/>
      <c r="SHX307" s="104"/>
      <c r="SHY307" s="104"/>
      <c r="SHZ307" s="104"/>
      <c r="SIA307" s="104"/>
      <c r="SIB307" s="104"/>
      <c r="SIC307" s="104"/>
      <c r="SID307" s="104"/>
      <c r="SIE307" s="104"/>
      <c r="SIF307" s="104"/>
      <c r="SIG307" s="104"/>
      <c r="SIH307" s="104"/>
      <c r="SII307" s="104"/>
      <c r="SIJ307" s="104"/>
      <c r="SIK307" s="104"/>
      <c r="SIL307" s="104"/>
      <c r="SIM307" s="104"/>
      <c r="SIN307" s="104"/>
      <c r="SIO307" s="104"/>
      <c r="SIP307" s="104"/>
      <c r="SIQ307" s="104"/>
      <c r="SIR307" s="104"/>
      <c r="SIS307" s="104"/>
      <c r="SIT307" s="104"/>
      <c r="SIU307" s="104"/>
      <c r="SIV307" s="104"/>
      <c r="SIW307" s="104"/>
      <c r="SIX307" s="104"/>
      <c r="SIY307" s="104"/>
      <c r="SIZ307" s="104"/>
      <c r="SJA307" s="104"/>
      <c r="SJB307" s="104"/>
      <c r="SJC307" s="104"/>
      <c r="SJD307" s="104"/>
      <c r="SJE307" s="104"/>
      <c r="SJF307" s="104"/>
      <c r="SJG307" s="104"/>
      <c r="SJH307" s="104"/>
      <c r="SJI307" s="104"/>
      <c r="SJJ307" s="104"/>
      <c r="SJK307" s="104"/>
      <c r="SJL307" s="104"/>
      <c r="SJM307" s="104"/>
      <c r="SJN307" s="104"/>
      <c r="SJO307" s="104"/>
      <c r="SJP307" s="104"/>
      <c r="SJQ307" s="104"/>
      <c r="SJR307" s="104"/>
      <c r="SJS307" s="104"/>
      <c r="SJT307" s="104"/>
      <c r="SJU307" s="104"/>
      <c r="SJV307" s="104"/>
      <c r="SJW307" s="104"/>
      <c r="SJX307" s="104"/>
      <c r="SJY307" s="104"/>
      <c r="SJZ307" s="104"/>
      <c r="SKA307" s="104"/>
      <c r="SKB307" s="104"/>
      <c r="SKC307" s="104"/>
      <c r="SKD307" s="104"/>
      <c r="SKE307" s="104"/>
      <c r="SKF307" s="104"/>
      <c r="SKG307" s="104"/>
      <c r="SKH307" s="104"/>
      <c r="SKI307" s="104"/>
      <c r="SKJ307" s="104"/>
      <c r="SKK307" s="104"/>
      <c r="SKL307" s="104"/>
      <c r="SKM307" s="104"/>
      <c r="SKN307" s="104"/>
      <c r="SKO307" s="104"/>
      <c r="SKP307" s="104"/>
      <c r="SKQ307" s="104"/>
      <c r="SKR307" s="104"/>
      <c r="SKS307" s="104"/>
      <c r="SKT307" s="104"/>
      <c r="SKU307" s="104"/>
      <c r="SKV307" s="104"/>
      <c r="SKW307" s="104"/>
      <c r="SKX307" s="104"/>
      <c r="SKY307" s="104"/>
      <c r="SKZ307" s="104"/>
      <c r="SLA307" s="104"/>
      <c r="SLB307" s="104"/>
      <c r="SLC307" s="104"/>
      <c r="SLD307" s="104"/>
      <c r="SLE307" s="104"/>
      <c r="SLF307" s="104"/>
      <c r="SLG307" s="104"/>
      <c r="SLH307" s="104"/>
      <c r="SLI307" s="104"/>
      <c r="SLJ307" s="104"/>
      <c r="SLK307" s="104"/>
      <c r="SLL307" s="104"/>
      <c r="SLM307" s="104"/>
      <c r="SLN307" s="104"/>
      <c r="SLO307" s="104"/>
      <c r="SLP307" s="104"/>
      <c r="SLQ307" s="104"/>
      <c r="SLR307" s="104"/>
      <c r="SLS307" s="104"/>
      <c r="SLT307" s="104"/>
      <c r="SLU307" s="104"/>
      <c r="SLV307" s="104"/>
      <c r="SLW307" s="104"/>
      <c r="SLX307" s="104"/>
      <c r="SLY307" s="104"/>
      <c r="SLZ307" s="104"/>
      <c r="SMA307" s="104"/>
      <c r="SMB307" s="104"/>
      <c r="SMC307" s="104"/>
      <c r="SMD307" s="104"/>
      <c r="SME307" s="104"/>
      <c r="SMF307" s="104"/>
      <c r="SMG307" s="104"/>
      <c r="SMH307" s="104"/>
      <c r="SMI307" s="104"/>
      <c r="SMJ307" s="104"/>
      <c r="SMK307" s="104"/>
      <c r="SML307" s="104"/>
      <c r="SMM307" s="104"/>
      <c r="SMN307" s="104"/>
      <c r="SMO307" s="104"/>
      <c r="SMP307" s="104"/>
      <c r="SMQ307" s="104"/>
      <c r="SMR307" s="104"/>
      <c r="SMS307" s="104"/>
      <c r="SMT307" s="104"/>
      <c r="SMU307" s="104"/>
      <c r="SMV307" s="104"/>
      <c r="SMW307" s="104"/>
      <c r="SMX307" s="104"/>
      <c r="SMY307" s="104"/>
      <c r="SMZ307" s="104"/>
      <c r="SNA307" s="104"/>
      <c r="SNB307" s="104"/>
      <c r="SNC307" s="104"/>
      <c r="SND307" s="104"/>
      <c r="SNE307" s="104"/>
      <c r="SNF307" s="104"/>
      <c r="SNG307" s="104"/>
      <c r="SNH307" s="104"/>
      <c r="SNI307" s="104"/>
      <c r="SNJ307" s="104"/>
      <c r="SNK307" s="104"/>
      <c r="SNL307" s="104"/>
      <c r="SNM307" s="104"/>
      <c r="SNN307" s="104"/>
      <c r="SNO307" s="104"/>
      <c r="SNP307" s="104"/>
      <c r="SNQ307" s="104"/>
      <c r="SNR307" s="104"/>
      <c r="SNS307" s="104"/>
      <c r="SNT307" s="104"/>
      <c r="SNU307" s="104"/>
      <c r="SNV307" s="104"/>
      <c r="SNW307" s="104"/>
      <c r="SNX307" s="104"/>
      <c r="SNY307" s="104"/>
      <c r="SNZ307" s="104"/>
      <c r="SOA307" s="104"/>
      <c r="SOB307" s="104"/>
      <c r="SOC307" s="104"/>
      <c r="SOD307" s="104"/>
      <c r="SOE307" s="104"/>
      <c r="SOF307" s="104"/>
      <c r="SOG307" s="104"/>
      <c r="SOH307" s="104"/>
      <c r="SOI307" s="104"/>
      <c r="SOJ307" s="104"/>
      <c r="SOK307" s="104"/>
      <c r="SOL307" s="104"/>
      <c r="SOM307" s="104"/>
      <c r="SON307" s="104"/>
      <c r="SOO307" s="104"/>
      <c r="SOP307" s="104"/>
      <c r="SOQ307" s="104"/>
      <c r="SOR307" s="104"/>
      <c r="SOS307" s="104"/>
      <c r="SOT307" s="104"/>
      <c r="SOU307" s="104"/>
      <c r="SOV307" s="104"/>
      <c r="SOW307" s="104"/>
      <c r="SOX307" s="104"/>
      <c r="SOY307" s="104"/>
      <c r="SOZ307" s="104"/>
      <c r="SPA307" s="104"/>
      <c r="SPB307" s="104"/>
      <c r="SPC307" s="104"/>
      <c r="SPD307" s="104"/>
      <c r="SPE307" s="104"/>
      <c r="SPF307" s="104"/>
      <c r="SPG307" s="104"/>
      <c r="SPH307" s="104"/>
      <c r="SPI307" s="104"/>
      <c r="SPJ307" s="104"/>
      <c r="SPK307" s="104"/>
      <c r="SPL307" s="104"/>
      <c r="SPM307" s="104"/>
      <c r="SPN307" s="104"/>
      <c r="SPO307" s="104"/>
      <c r="SPP307" s="104"/>
      <c r="SPQ307" s="104"/>
      <c r="SPR307" s="104"/>
      <c r="SPS307" s="104"/>
      <c r="SPT307" s="104"/>
      <c r="SPU307" s="104"/>
      <c r="SPV307" s="104"/>
      <c r="SPW307" s="104"/>
      <c r="SPX307" s="104"/>
      <c r="SPY307" s="104"/>
      <c r="SPZ307" s="104"/>
      <c r="SQA307" s="104"/>
      <c r="SQB307" s="104"/>
      <c r="SQC307" s="104"/>
      <c r="SQD307" s="104"/>
      <c r="SQE307" s="104"/>
      <c r="SQF307" s="104"/>
      <c r="SQG307" s="104"/>
      <c r="SQH307" s="104"/>
      <c r="SQI307" s="104"/>
      <c r="SQJ307" s="104"/>
      <c r="SQK307" s="104"/>
      <c r="SQL307" s="104"/>
      <c r="SQM307" s="104"/>
      <c r="SQN307" s="104"/>
      <c r="SQO307" s="104"/>
      <c r="SQP307" s="104"/>
      <c r="SQQ307" s="104"/>
      <c r="SQR307" s="104"/>
      <c r="SQS307" s="104"/>
      <c r="SQT307" s="104"/>
      <c r="SQU307" s="104"/>
      <c r="SQV307" s="104"/>
      <c r="SQW307" s="104"/>
      <c r="SQX307" s="104"/>
      <c r="SQY307" s="104"/>
      <c r="SQZ307" s="104"/>
      <c r="SRA307" s="104"/>
      <c r="SRB307" s="104"/>
      <c r="SRC307" s="104"/>
      <c r="SRD307" s="104"/>
      <c r="SRE307" s="104"/>
      <c r="SRF307" s="104"/>
      <c r="SRG307" s="104"/>
      <c r="SRH307" s="104"/>
      <c r="SRI307" s="104"/>
      <c r="SRJ307" s="104"/>
      <c r="SRK307" s="104"/>
      <c r="SRL307" s="104"/>
      <c r="SRM307" s="104"/>
      <c r="SRN307" s="104"/>
      <c r="SRO307" s="104"/>
      <c r="SRP307" s="104"/>
      <c r="SRQ307" s="104"/>
      <c r="SRR307" s="104"/>
      <c r="SRS307" s="104"/>
      <c r="SRT307" s="104"/>
      <c r="SRU307" s="104"/>
      <c r="SRV307" s="104"/>
      <c r="SRW307" s="104"/>
      <c r="SRX307" s="104"/>
      <c r="SRY307" s="104"/>
      <c r="SRZ307" s="104"/>
      <c r="SSA307" s="104"/>
      <c r="SSB307" s="104"/>
      <c r="SSC307" s="104"/>
      <c r="SSD307" s="104"/>
      <c r="SSE307" s="104"/>
      <c r="SSF307" s="104"/>
      <c r="SSG307" s="104"/>
      <c r="SSH307" s="104"/>
      <c r="SSI307" s="104"/>
      <c r="SSJ307" s="104"/>
      <c r="SSK307" s="104"/>
      <c r="SSL307" s="104"/>
      <c r="SSM307" s="104"/>
      <c r="SSN307" s="104"/>
      <c r="SSO307" s="104"/>
      <c r="SSP307" s="104"/>
      <c r="SSQ307" s="104"/>
      <c r="SSR307" s="104"/>
      <c r="SSS307" s="104"/>
      <c r="SST307" s="104"/>
      <c r="SSU307" s="104"/>
      <c r="SSV307" s="104"/>
      <c r="SSW307" s="104"/>
      <c r="SSX307" s="104"/>
      <c r="SSY307" s="104"/>
      <c r="SSZ307" s="104"/>
      <c r="STA307" s="104"/>
      <c r="STB307" s="104"/>
      <c r="STC307" s="104"/>
      <c r="STD307" s="104"/>
      <c r="STE307" s="104"/>
      <c r="STF307" s="104"/>
      <c r="STG307" s="104"/>
      <c r="STH307" s="104"/>
      <c r="STI307" s="104"/>
      <c r="STJ307" s="104"/>
      <c r="STK307" s="104"/>
      <c r="STL307" s="104"/>
      <c r="STM307" s="104"/>
      <c r="STN307" s="104"/>
      <c r="STO307" s="104"/>
      <c r="STP307" s="104"/>
      <c r="STQ307" s="104"/>
      <c r="STR307" s="104"/>
      <c r="STS307" s="104"/>
      <c r="STT307" s="104"/>
      <c r="STU307" s="104"/>
      <c r="STV307" s="104"/>
      <c r="STW307" s="104"/>
      <c r="STX307" s="104"/>
      <c r="STY307" s="104"/>
      <c r="STZ307" s="104"/>
      <c r="SUA307" s="104"/>
      <c r="SUB307" s="104"/>
      <c r="SUC307" s="104"/>
      <c r="SUD307" s="104"/>
      <c r="SUE307" s="104"/>
      <c r="SUF307" s="104"/>
      <c r="SUG307" s="104"/>
      <c r="SUH307" s="104"/>
      <c r="SUI307" s="104"/>
      <c r="SUJ307" s="104"/>
      <c r="SUK307" s="104"/>
      <c r="SUL307" s="104"/>
      <c r="SUM307" s="104"/>
      <c r="SUN307" s="104"/>
      <c r="SUO307" s="104"/>
      <c r="SUP307" s="104"/>
      <c r="SUQ307" s="104"/>
      <c r="SUR307" s="104"/>
      <c r="SUS307" s="104"/>
      <c r="SUT307" s="104"/>
      <c r="SUU307" s="104"/>
      <c r="SUV307" s="104"/>
      <c r="SUW307" s="104"/>
      <c r="SUX307" s="104"/>
      <c r="SUY307" s="104"/>
      <c r="SUZ307" s="104"/>
      <c r="SVA307" s="104"/>
      <c r="SVB307" s="104"/>
      <c r="SVC307" s="104"/>
      <c r="SVD307" s="104"/>
      <c r="SVE307" s="104"/>
      <c r="SVF307" s="104"/>
      <c r="SVG307" s="104"/>
      <c r="SVH307" s="104"/>
      <c r="SVI307" s="104"/>
      <c r="SVJ307" s="104"/>
      <c r="SVK307" s="104"/>
      <c r="SVL307" s="104"/>
      <c r="SVM307" s="104"/>
      <c r="SVN307" s="104"/>
      <c r="SVO307" s="104"/>
      <c r="SVP307" s="104"/>
      <c r="SVQ307" s="104"/>
      <c r="SVR307" s="104"/>
      <c r="SVS307" s="104"/>
      <c r="SVT307" s="104"/>
      <c r="SVU307" s="104"/>
      <c r="SVV307" s="104"/>
      <c r="SVW307" s="104"/>
      <c r="SVX307" s="104"/>
      <c r="SVY307" s="104"/>
      <c r="SVZ307" s="104"/>
      <c r="SWA307" s="104"/>
      <c r="SWB307" s="104"/>
      <c r="SWC307" s="104"/>
      <c r="SWD307" s="104"/>
      <c r="SWE307" s="104"/>
      <c r="SWF307" s="104"/>
      <c r="SWG307" s="104"/>
      <c r="SWH307" s="104"/>
      <c r="SWI307" s="104"/>
      <c r="SWJ307" s="104"/>
      <c r="SWK307" s="104"/>
      <c r="SWL307" s="104"/>
      <c r="SWM307" s="104"/>
      <c r="SWN307" s="104"/>
      <c r="SWO307" s="104"/>
      <c r="SWP307" s="104"/>
      <c r="SWQ307" s="104"/>
      <c r="SWR307" s="104"/>
      <c r="SWS307" s="104"/>
      <c r="SWT307" s="104"/>
      <c r="SWU307" s="104"/>
      <c r="SWV307" s="104"/>
      <c r="SWW307" s="104"/>
      <c r="SWX307" s="104"/>
      <c r="SWY307" s="104"/>
      <c r="SWZ307" s="104"/>
      <c r="SXA307" s="104"/>
      <c r="SXB307" s="104"/>
      <c r="SXC307" s="104"/>
      <c r="SXD307" s="104"/>
      <c r="SXE307" s="104"/>
      <c r="SXF307" s="104"/>
      <c r="SXG307" s="104"/>
      <c r="SXH307" s="104"/>
      <c r="SXI307" s="104"/>
      <c r="SXJ307" s="104"/>
      <c r="SXK307" s="104"/>
      <c r="SXL307" s="104"/>
      <c r="SXM307" s="104"/>
      <c r="SXN307" s="104"/>
      <c r="SXO307" s="104"/>
      <c r="SXP307" s="104"/>
      <c r="SXQ307" s="104"/>
      <c r="SXR307" s="104"/>
      <c r="SXS307" s="104"/>
      <c r="SXT307" s="104"/>
      <c r="SXU307" s="104"/>
      <c r="SXV307" s="104"/>
      <c r="SXW307" s="104"/>
      <c r="SXX307" s="104"/>
      <c r="SXY307" s="104"/>
      <c r="SXZ307" s="104"/>
      <c r="SYA307" s="104"/>
      <c r="SYB307" s="104"/>
      <c r="SYC307" s="104"/>
      <c r="SYD307" s="104"/>
      <c r="SYE307" s="104"/>
      <c r="SYF307" s="104"/>
      <c r="SYG307" s="104"/>
      <c r="SYH307" s="104"/>
      <c r="SYI307" s="104"/>
      <c r="SYJ307" s="104"/>
      <c r="SYK307" s="104"/>
      <c r="SYL307" s="104"/>
      <c r="SYM307" s="104"/>
      <c r="SYN307" s="104"/>
      <c r="SYO307" s="104"/>
      <c r="SYP307" s="104"/>
      <c r="SYQ307" s="104"/>
      <c r="SYR307" s="104"/>
      <c r="SYS307" s="104"/>
      <c r="SYT307" s="104"/>
      <c r="SYU307" s="104"/>
      <c r="SYV307" s="104"/>
      <c r="SYW307" s="104"/>
      <c r="SYX307" s="104"/>
      <c r="SYY307" s="104"/>
      <c r="SYZ307" s="104"/>
      <c r="SZA307" s="104"/>
      <c r="SZB307" s="104"/>
      <c r="SZC307" s="104"/>
      <c r="SZD307" s="104"/>
      <c r="SZE307" s="104"/>
      <c r="SZF307" s="104"/>
      <c r="SZG307" s="104"/>
      <c r="SZH307" s="104"/>
      <c r="SZI307" s="104"/>
      <c r="SZJ307" s="104"/>
      <c r="SZK307" s="104"/>
      <c r="SZL307" s="104"/>
      <c r="SZM307" s="104"/>
      <c r="SZN307" s="104"/>
      <c r="SZO307" s="104"/>
      <c r="SZP307" s="104"/>
      <c r="SZQ307" s="104"/>
      <c r="SZR307" s="104"/>
      <c r="SZS307" s="104"/>
      <c r="SZT307" s="104"/>
      <c r="SZU307" s="104"/>
      <c r="SZV307" s="104"/>
      <c r="SZW307" s="104"/>
      <c r="SZX307" s="104"/>
      <c r="SZY307" s="104"/>
      <c r="SZZ307" s="104"/>
      <c r="TAA307" s="104"/>
      <c r="TAB307" s="104"/>
      <c r="TAC307" s="104"/>
      <c r="TAD307" s="104"/>
      <c r="TAE307" s="104"/>
      <c r="TAF307" s="104"/>
      <c r="TAG307" s="104"/>
      <c r="TAH307" s="104"/>
      <c r="TAI307" s="104"/>
      <c r="TAJ307" s="104"/>
      <c r="TAK307" s="104"/>
      <c r="TAL307" s="104"/>
      <c r="TAM307" s="104"/>
      <c r="TAN307" s="104"/>
      <c r="TAO307" s="104"/>
      <c r="TAP307" s="104"/>
      <c r="TAQ307" s="104"/>
      <c r="TAR307" s="104"/>
      <c r="TAS307" s="104"/>
      <c r="TAT307" s="104"/>
      <c r="TAU307" s="104"/>
      <c r="TAV307" s="104"/>
      <c r="TAW307" s="104"/>
      <c r="TAX307" s="104"/>
      <c r="TAY307" s="104"/>
      <c r="TAZ307" s="104"/>
      <c r="TBA307" s="104"/>
      <c r="TBB307" s="104"/>
      <c r="TBC307" s="104"/>
      <c r="TBD307" s="104"/>
      <c r="TBE307" s="104"/>
      <c r="TBF307" s="104"/>
      <c r="TBG307" s="104"/>
      <c r="TBH307" s="104"/>
      <c r="TBI307" s="104"/>
      <c r="TBJ307" s="104"/>
      <c r="TBK307" s="104"/>
      <c r="TBL307" s="104"/>
      <c r="TBM307" s="104"/>
      <c r="TBN307" s="104"/>
      <c r="TBO307" s="104"/>
      <c r="TBP307" s="104"/>
      <c r="TBQ307" s="104"/>
      <c r="TBR307" s="104"/>
      <c r="TBS307" s="104"/>
      <c r="TBT307" s="104"/>
      <c r="TBU307" s="104"/>
      <c r="TBV307" s="104"/>
      <c r="TBW307" s="104"/>
      <c r="TBX307" s="104"/>
      <c r="TBY307" s="104"/>
      <c r="TBZ307" s="104"/>
      <c r="TCA307" s="104"/>
      <c r="TCB307" s="104"/>
      <c r="TCC307" s="104"/>
      <c r="TCD307" s="104"/>
      <c r="TCE307" s="104"/>
      <c r="TCF307" s="104"/>
      <c r="TCG307" s="104"/>
      <c r="TCH307" s="104"/>
      <c r="TCI307" s="104"/>
      <c r="TCJ307" s="104"/>
      <c r="TCK307" s="104"/>
      <c r="TCL307" s="104"/>
      <c r="TCM307" s="104"/>
      <c r="TCN307" s="104"/>
      <c r="TCO307" s="104"/>
      <c r="TCP307" s="104"/>
      <c r="TCQ307" s="104"/>
      <c r="TCR307" s="104"/>
      <c r="TCS307" s="104"/>
      <c r="TCT307" s="104"/>
      <c r="TCU307" s="104"/>
      <c r="TCV307" s="104"/>
      <c r="TCW307" s="104"/>
      <c r="TCX307" s="104"/>
      <c r="TCY307" s="104"/>
      <c r="TCZ307" s="104"/>
      <c r="TDA307" s="104"/>
      <c r="TDB307" s="104"/>
      <c r="TDC307" s="104"/>
      <c r="TDD307" s="104"/>
      <c r="TDE307" s="104"/>
      <c r="TDF307" s="104"/>
      <c r="TDG307" s="104"/>
      <c r="TDH307" s="104"/>
      <c r="TDI307" s="104"/>
      <c r="TDJ307" s="104"/>
      <c r="TDK307" s="104"/>
      <c r="TDL307" s="104"/>
      <c r="TDM307" s="104"/>
      <c r="TDN307" s="104"/>
      <c r="TDO307" s="104"/>
      <c r="TDP307" s="104"/>
      <c r="TDQ307" s="104"/>
      <c r="TDR307" s="104"/>
      <c r="TDS307" s="104"/>
      <c r="TDT307" s="104"/>
      <c r="TDU307" s="104"/>
      <c r="TDV307" s="104"/>
      <c r="TDW307" s="104"/>
      <c r="TDX307" s="104"/>
      <c r="TDY307" s="104"/>
      <c r="TDZ307" s="104"/>
      <c r="TEA307" s="104"/>
      <c r="TEB307" s="104"/>
      <c r="TEC307" s="104"/>
      <c r="TED307" s="104"/>
      <c r="TEE307" s="104"/>
      <c r="TEF307" s="104"/>
      <c r="TEG307" s="104"/>
      <c r="TEH307" s="104"/>
      <c r="TEI307" s="104"/>
      <c r="TEJ307" s="104"/>
      <c r="TEK307" s="104"/>
      <c r="TEL307" s="104"/>
      <c r="TEM307" s="104"/>
      <c r="TEN307" s="104"/>
      <c r="TEO307" s="104"/>
      <c r="TEP307" s="104"/>
      <c r="TEQ307" s="104"/>
      <c r="TER307" s="104"/>
      <c r="TES307" s="104"/>
      <c r="TET307" s="104"/>
      <c r="TEU307" s="104"/>
      <c r="TEV307" s="104"/>
      <c r="TEW307" s="104"/>
      <c r="TEX307" s="104"/>
      <c r="TEY307" s="104"/>
      <c r="TEZ307" s="104"/>
      <c r="TFA307" s="104"/>
      <c r="TFB307" s="104"/>
      <c r="TFC307" s="104"/>
      <c r="TFD307" s="104"/>
      <c r="TFE307" s="104"/>
      <c r="TFF307" s="104"/>
      <c r="TFG307" s="104"/>
      <c r="TFH307" s="104"/>
      <c r="TFI307" s="104"/>
      <c r="TFJ307" s="104"/>
      <c r="TFK307" s="104"/>
      <c r="TFL307" s="104"/>
      <c r="TFM307" s="104"/>
      <c r="TFN307" s="104"/>
      <c r="TFO307" s="104"/>
      <c r="TFP307" s="104"/>
      <c r="TFQ307" s="104"/>
      <c r="TFR307" s="104"/>
      <c r="TFS307" s="104"/>
      <c r="TFT307" s="104"/>
      <c r="TFU307" s="104"/>
      <c r="TFV307" s="104"/>
      <c r="TFW307" s="104"/>
      <c r="TFX307" s="104"/>
      <c r="TFY307" s="104"/>
      <c r="TFZ307" s="104"/>
      <c r="TGA307" s="104"/>
      <c r="TGB307" s="104"/>
      <c r="TGC307" s="104"/>
      <c r="TGD307" s="104"/>
      <c r="TGE307" s="104"/>
      <c r="TGF307" s="104"/>
      <c r="TGG307" s="104"/>
      <c r="TGH307" s="104"/>
      <c r="TGI307" s="104"/>
      <c r="TGJ307" s="104"/>
      <c r="TGK307" s="104"/>
      <c r="TGL307" s="104"/>
      <c r="TGM307" s="104"/>
      <c r="TGN307" s="104"/>
      <c r="TGO307" s="104"/>
      <c r="TGP307" s="104"/>
      <c r="TGQ307" s="104"/>
      <c r="TGR307" s="104"/>
      <c r="TGS307" s="104"/>
      <c r="TGT307" s="104"/>
      <c r="TGU307" s="104"/>
      <c r="TGV307" s="104"/>
      <c r="TGW307" s="104"/>
      <c r="TGX307" s="104"/>
      <c r="TGY307" s="104"/>
      <c r="TGZ307" s="104"/>
      <c r="THA307" s="104"/>
      <c r="THB307" s="104"/>
      <c r="THC307" s="104"/>
      <c r="THD307" s="104"/>
      <c r="THE307" s="104"/>
      <c r="THF307" s="104"/>
      <c r="THG307" s="104"/>
      <c r="THH307" s="104"/>
      <c r="THI307" s="104"/>
      <c r="THJ307" s="104"/>
      <c r="THK307" s="104"/>
      <c r="THL307" s="104"/>
      <c r="THM307" s="104"/>
      <c r="THN307" s="104"/>
      <c r="THO307" s="104"/>
      <c r="THP307" s="104"/>
      <c r="THQ307" s="104"/>
      <c r="THR307" s="104"/>
      <c r="THS307" s="104"/>
      <c r="THT307" s="104"/>
      <c r="THU307" s="104"/>
      <c r="THV307" s="104"/>
      <c r="THW307" s="104"/>
      <c r="THX307" s="104"/>
      <c r="THY307" s="104"/>
      <c r="THZ307" s="104"/>
      <c r="TIA307" s="104"/>
      <c r="TIB307" s="104"/>
      <c r="TIC307" s="104"/>
      <c r="TID307" s="104"/>
      <c r="TIE307" s="104"/>
      <c r="TIF307" s="104"/>
      <c r="TIG307" s="104"/>
      <c r="TIH307" s="104"/>
      <c r="TII307" s="104"/>
      <c r="TIJ307" s="104"/>
      <c r="TIK307" s="104"/>
      <c r="TIL307" s="104"/>
      <c r="TIM307" s="104"/>
      <c r="TIN307" s="104"/>
      <c r="TIO307" s="104"/>
      <c r="TIP307" s="104"/>
      <c r="TIQ307" s="104"/>
      <c r="TIR307" s="104"/>
      <c r="TIS307" s="104"/>
      <c r="TIT307" s="104"/>
      <c r="TIU307" s="104"/>
      <c r="TIV307" s="104"/>
      <c r="TIW307" s="104"/>
      <c r="TIX307" s="104"/>
      <c r="TIY307" s="104"/>
      <c r="TIZ307" s="104"/>
      <c r="TJA307" s="104"/>
      <c r="TJB307" s="104"/>
      <c r="TJC307" s="104"/>
      <c r="TJD307" s="104"/>
      <c r="TJE307" s="104"/>
      <c r="TJF307" s="104"/>
      <c r="TJG307" s="104"/>
      <c r="TJH307" s="104"/>
      <c r="TJI307" s="104"/>
      <c r="TJJ307" s="104"/>
      <c r="TJK307" s="104"/>
      <c r="TJL307" s="104"/>
      <c r="TJM307" s="104"/>
      <c r="TJN307" s="104"/>
      <c r="TJO307" s="104"/>
      <c r="TJP307" s="104"/>
      <c r="TJQ307" s="104"/>
      <c r="TJR307" s="104"/>
      <c r="TJS307" s="104"/>
      <c r="TJT307" s="104"/>
      <c r="TJU307" s="104"/>
      <c r="TJV307" s="104"/>
      <c r="TJW307" s="104"/>
      <c r="TJX307" s="104"/>
      <c r="TJY307" s="104"/>
      <c r="TJZ307" s="104"/>
      <c r="TKA307" s="104"/>
      <c r="TKB307" s="104"/>
      <c r="TKC307" s="104"/>
      <c r="TKD307" s="104"/>
      <c r="TKE307" s="104"/>
      <c r="TKF307" s="104"/>
      <c r="TKG307" s="104"/>
      <c r="TKH307" s="104"/>
      <c r="TKI307" s="104"/>
      <c r="TKJ307" s="104"/>
      <c r="TKK307" s="104"/>
      <c r="TKL307" s="104"/>
      <c r="TKM307" s="104"/>
      <c r="TKN307" s="104"/>
      <c r="TKO307" s="104"/>
      <c r="TKP307" s="104"/>
      <c r="TKQ307" s="104"/>
      <c r="TKR307" s="104"/>
      <c r="TKS307" s="104"/>
      <c r="TKT307" s="104"/>
      <c r="TKU307" s="104"/>
      <c r="TKV307" s="104"/>
      <c r="TKW307" s="104"/>
      <c r="TKX307" s="104"/>
      <c r="TKY307" s="104"/>
      <c r="TKZ307" s="104"/>
      <c r="TLA307" s="104"/>
      <c r="TLB307" s="104"/>
      <c r="TLC307" s="104"/>
      <c r="TLD307" s="104"/>
      <c r="TLE307" s="104"/>
      <c r="TLF307" s="104"/>
      <c r="TLG307" s="104"/>
      <c r="TLH307" s="104"/>
      <c r="TLI307" s="104"/>
      <c r="TLJ307" s="104"/>
      <c r="TLK307" s="104"/>
      <c r="TLL307" s="104"/>
      <c r="TLM307" s="104"/>
      <c r="TLN307" s="104"/>
      <c r="TLO307" s="104"/>
      <c r="TLP307" s="104"/>
      <c r="TLQ307" s="104"/>
      <c r="TLR307" s="104"/>
      <c r="TLS307" s="104"/>
      <c r="TLT307" s="104"/>
      <c r="TLU307" s="104"/>
      <c r="TLV307" s="104"/>
      <c r="TLW307" s="104"/>
      <c r="TLX307" s="104"/>
      <c r="TLY307" s="104"/>
      <c r="TLZ307" s="104"/>
      <c r="TMA307" s="104"/>
      <c r="TMB307" s="104"/>
      <c r="TMC307" s="104"/>
      <c r="TMD307" s="104"/>
      <c r="TME307" s="104"/>
      <c r="TMF307" s="104"/>
      <c r="TMG307" s="104"/>
      <c r="TMH307" s="104"/>
      <c r="TMI307" s="104"/>
      <c r="TMJ307" s="104"/>
      <c r="TMK307" s="104"/>
      <c r="TML307" s="104"/>
      <c r="TMM307" s="104"/>
      <c r="TMN307" s="104"/>
      <c r="TMO307" s="104"/>
      <c r="TMP307" s="104"/>
      <c r="TMQ307" s="104"/>
      <c r="TMR307" s="104"/>
      <c r="TMS307" s="104"/>
      <c r="TMT307" s="104"/>
      <c r="TMU307" s="104"/>
      <c r="TMV307" s="104"/>
      <c r="TMW307" s="104"/>
      <c r="TMX307" s="104"/>
      <c r="TMY307" s="104"/>
      <c r="TMZ307" s="104"/>
      <c r="TNA307" s="104"/>
      <c r="TNB307" s="104"/>
      <c r="TNC307" s="104"/>
      <c r="TND307" s="104"/>
      <c r="TNE307" s="104"/>
      <c r="TNF307" s="104"/>
      <c r="TNG307" s="104"/>
      <c r="TNH307" s="104"/>
      <c r="TNI307" s="104"/>
      <c r="TNJ307" s="104"/>
      <c r="TNK307" s="104"/>
      <c r="TNL307" s="104"/>
      <c r="TNM307" s="104"/>
      <c r="TNN307" s="104"/>
      <c r="TNO307" s="104"/>
      <c r="TNP307" s="104"/>
      <c r="TNQ307" s="104"/>
      <c r="TNR307" s="104"/>
      <c r="TNS307" s="104"/>
      <c r="TNT307" s="104"/>
      <c r="TNU307" s="104"/>
      <c r="TNV307" s="104"/>
      <c r="TNW307" s="104"/>
      <c r="TNX307" s="104"/>
      <c r="TNY307" s="104"/>
      <c r="TNZ307" s="104"/>
      <c r="TOA307" s="104"/>
      <c r="TOB307" s="104"/>
      <c r="TOC307" s="104"/>
      <c r="TOD307" s="104"/>
      <c r="TOE307" s="104"/>
      <c r="TOF307" s="104"/>
      <c r="TOG307" s="104"/>
      <c r="TOH307" s="104"/>
      <c r="TOI307" s="104"/>
      <c r="TOJ307" s="104"/>
      <c r="TOK307" s="104"/>
      <c r="TOL307" s="104"/>
      <c r="TOM307" s="104"/>
      <c r="TON307" s="104"/>
      <c r="TOO307" s="104"/>
      <c r="TOP307" s="104"/>
      <c r="TOQ307" s="104"/>
      <c r="TOR307" s="104"/>
      <c r="TOS307" s="104"/>
      <c r="TOT307" s="104"/>
      <c r="TOU307" s="104"/>
      <c r="TOV307" s="104"/>
      <c r="TOW307" s="104"/>
      <c r="TOX307" s="104"/>
      <c r="TOY307" s="104"/>
      <c r="TOZ307" s="104"/>
      <c r="TPA307" s="104"/>
      <c r="TPB307" s="104"/>
      <c r="TPC307" s="104"/>
      <c r="TPD307" s="104"/>
      <c r="TPE307" s="104"/>
      <c r="TPF307" s="104"/>
      <c r="TPG307" s="104"/>
      <c r="TPH307" s="104"/>
      <c r="TPI307" s="104"/>
      <c r="TPJ307" s="104"/>
      <c r="TPK307" s="104"/>
      <c r="TPL307" s="104"/>
      <c r="TPM307" s="104"/>
      <c r="TPN307" s="104"/>
      <c r="TPO307" s="104"/>
      <c r="TPP307" s="104"/>
      <c r="TPQ307" s="104"/>
      <c r="TPR307" s="104"/>
      <c r="TPS307" s="104"/>
      <c r="TPT307" s="104"/>
      <c r="TPU307" s="104"/>
      <c r="TPV307" s="104"/>
      <c r="TPW307" s="104"/>
      <c r="TPX307" s="104"/>
      <c r="TPY307" s="104"/>
      <c r="TPZ307" s="104"/>
      <c r="TQA307" s="104"/>
      <c r="TQB307" s="104"/>
      <c r="TQC307" s="104"/>
      <c r="TQD307" s="104"/>
      <c r="TQE307" s="104"/>
      <c r="TQF307" s="104"/>
      <c r="TQG307" s="104"/>
      <c r="TQH307" s="104"/>
      <c r="TQI307" s="104"/>
      <c r="TQJ307" s="104"/>
      <c r="TQK307" s="104"/>
      <c r="TQL307" s="104"/>
      <c r="TQM307" s="104"/>
      <c r="TQN307" s="104"/>
      <c r="TQO307" s="104"/>
      <c r="TQP307" s="104"/>
      <c r="TQQ307" s="104"/>
      <c r="TQR307" s="104"/>
      <c r="TQS307" s="104"/>
      <c r="TQT307" s="104"/>
      <c r="TQU307" s="104"/>
      <c r="TQV307" s="104"/>
      <c r="TQW307" s="104"/>
      <c r="TQX307" s="104"/>
      <c r="TQY307" s="104"/>
      <c r="TQZ307" s="104"/>
      <c r="TRA307" s="104"/>
      <c r="TRB307" s="104"/>
      <c r="TRC307" s="104"/>
      <c r="TRD307" s="104"/>
      <c r="TRE307" s="104"/>
      <c r="TRF307" s="104"/>
      <c r="TRG307" s="104"/>
      <c r="TRH307" s="104"/>
      <c r="TRI307" s="104"/>
      <c r="TRJ307" s="104"/>
      <c r="TRK307" s="104"/>
      <c r="TRL307" s="104"/>
      <c r="TRM307" s="104"/>
      <c r="TRN307" s="104"/>
      <c r="TRO307" s="104"/>
      <c r="TRP307" s="104"/>
      <c r="TRQ307" s="104"/>
      <c r="TRR307" s="104"/>
      <c r="TRS307" s="104"/>
      <c r="TRT307" s="104"/>
      <c r="TRU307" s="104"/>
      <c r="TRV307" s="104"/>
      <c r="TRW307" s="104"/>
      <c r="TRX307" s="104"/>
      <c r="TRY307" s="104"/>
      <c r="TRZ307" s="104"/>
      <c r="TSA307" s="104"/>
      <c r="TSB307" s="104"/>
      <c r="TSC307" s="104"/>
      <c r="TSD307" s="104"/>
      <c r="TSE307" s="104"/>
      <c r="TSF307" s="104"/>
      <c r="TSG307" s="104"/>
      <c r="TSH307" s="104"/>
      <c r="TSI307" s="104"/>
      <c r="TSJ307" s="104"/>
      <c r="TSK307" s="104"/>
      <c r="TSL307" s="104"/>
      <c r="TSM307" s="104"/>
      <c r="TSN307" s="104"/>
      <c r="TSO307" s="104"/>
      <c r="TSP307" s="104"/>
      <c r="TSQ307" s="104"/>
      <c r="TSR307" s="104"/>
      <c r="TSS307" s="104"/>
      <c r="TST307" s="104"/>
      <c r="TSU307" s="104"/>
      <c r="TSV307" s="104"/>
      <c r="TSW307" s="104"/>
      <c r="TSX307" s="104"/>
      <c r="TSY307" s="104"/>
      <c r="TSZ307" s="104"/>
      <c r="TTA307" s="104"/>
      <c r="TTB307" s="104"/>
      <c r="TTC307" s="104"/>
      <c r="TTD307" s="104"/>
      <c r="TTE307" s="104"/>
      <c r="TTF307" s="104"/>
      <c r="TTG307" s="104"/>
      <c r="TTH307" s="104"/>
      <c r="TTI307" s="104"/>
      <c r="TTJ307" s="104"/>
      <c r="TTK307" s="104"/>
      <c r="TTL307" s="104"/>
      <c r="TTM307" s="104"/>
      <c r="TTN307" s="104"/>
      <c r="TTO307" s="104"/>
      <c r="TTP307" s="104"/>
      <c r="TTQ307" s="104"/>
      <c r="TTR307" s="104"/>
      <c r="TTS307" s="104"/>
      <c r="TTT307" s="104"/>
      <c r="TTU307" s="104"/>
      <c r="TTV307" s="104"/>
      <c r="TTW307" s="104"/>
      <c r="TTX307" s="104"/>
      <c r="TTY307" s="104"/>
      <c r="TTZ307" s="104"/>
      <c r="TUA307" s="104"/>
      <c r="TUB307" s="104"/>
      <c r="TUC307" s="104"/>
      <c r="TUD307" s="104"/>
      <c r="TUE307" s="104"/>
      <c r="TUF307" s="104"/>
      <c r="TUG307" s="104"/>
      <c r="TUH307" s="104"/>
      <c r="TUI307" s="104"/>
      <c r="TUJ307" s="104"/>
      <c r="TUK307" s="104"/>
      <c r="TUL307" s="104"/>
      <c r="TUM307" s="104"/>
      <c r="TUN307" s="104"/>
      <c r="TUO307" s="104"/>
      <c r="TUP307" s="104"/>
      <c r="TUQ307" s="104"/>
      <c r="TUR307" s="104"/>
      <c r="TUS307" s="104"/>
      <c r="TUT307" s="104"/>
      <c r="TUU307" s="104"/>
      <c r="TUV307" s="104"/>
      <c r="TUW307" s="104"/>
      <c r="TUX307" s="104"/>
      <c r="TUY307" s="104"/>
      <c r="TUZ307" s="104"/>
      <c r="TVA307" s="104"/>
      <c r="TVB307" s="104"/>
      <c r="TVC307" s="104"/>
      <c r="TVD307" s="104"/>
      <c r="TVE307" s="104"/>
      <c r="TVF307" s="104"/>
      <c r="TVG307" s="104"/>
      <c r="TVH307" s="104"/>
      <c r="TVI307" s="104"/>
      <c r="TVJ307" s="104"/>
      <c r="TVK307" s="104"/>
      <c r="TVL307" s="104"/>
      <c r="TVM307" s="104"/>
      <c r="TVN307" s="104"/>
      <c r="TVO307" s="104"/>
      <c r="TVP307" s="104"/>
      <c r="TVQ307" s="104"/>
      <c r="TVR307" s="104"/>
      <c r="TVS307" s="104"/>
      <c r="TVT307" s="104"/>
      <c r="TVU307" s="104"/>
      <c r="TVV307" s="104"/>
      <c r="TVW307" s="104"/>
      <c r="TVX307" s="104"/>
      <c r="TVY307" s="104"/>
      <c r="TVZ307" s="104"/>
      <c r="TWA307" s="104"/>
      <c r="TWB307" s="104"/>
      <c r="TWC307" s="104"/>
      <c r="TWD307" s="104"/>
      <c r="TWE307" s="104"/>
      <c r="TWF307" s="104"/>
      <c r="TWG307" s="104"/>
      <c r="TWH307" s="104"/>
      <c r="TWI307" s="104"/>
      <c r="TWJ307" s="104"/>
      <c r="TWK307" s="104"/>
      <c r="TWL307" s="104"/>
      <c r="TWM307" s="104"/>
      <c r="TWN307" s="104"/>
      <c r="TWO307" s="104"/>
      <c r="TWP307" s="104"/>
      <c r="TWQ307" s="104"/>
      <c r="TWR307" s="104"/>
      <c r="TWS307" s="104"/>
      <c r="TWT307" s="104"/>
      <c r="TWU307" s="104"/>
      <c r="TWV307" s="104"/>
      <c r="TWW307" s="104"/>
      <c r="TWX307" s="104"/>
      <c r="TWY307" s="104"/>
      <c r="TWZ307" s="104"/>
      <c r="TXA307" s="104"/>
      <c r="TXB307" s="104"/>
      <c r="TXC307" s="104"/>
      <c r="TXD307" s="104"/>
      <c r="TXE307" s="104"/>
      <c r="TXF307" s="104"/>
      <c r="TXG307" s="104"/>
      <c r="TXH307" s="104"/>
      <c r="TXI307" s="104"/>
      <c r="TXJ307" s="104"/>
      <c r="TXK307" s="104"/>
      <c r="TXL307" s="104"/>
      <c r="TXM307" s="104"/>
      <c r="TXN307" s="104"/>
      <c r="TXO307" s="104"/>
      <c r="TXP307" s="104"/>
      <c r="TXQ307" s="104"/>
      <c r="TXR307" s="104"/>
      <c r="TXS307" s="104"/>
      <c r="TXT307" s="104"/>
      <c r="TXU307" s="104"/>
      <c r="TXV307" s="104"/>
      <c r="TXW307" s="104"/>
      <c r="TXX307" s="104"/>
      <c r="TXY307" s="104"/>
      <c r="TXZ307" s="104"/>
      <c r="TYA307" s="104"/>
      <c r="TYB307" s="104"/>
      <c r="TYC307" s="104"/>
      <c r="TYD307" s="104"/>
      <c r="TYE307" s="104"/>
      <c r="TYF307" s="104"/>
      <c r="TYG307" s="104"/>
      <c r="TYH307" s="104"/>
      <c r="TYI307" s="104"/>
      <c r="TYJ307" s="104"/>
      <c r="TYK307" s="104"/>
      <c r="TYL307" s="104"/>
      <c r="TYM307" s="104"/>
      <c r="TYN307" s="104"/>
      <c r="TYO307" s="104"/>
      <c r="TYP307" s="104"/>
      <c r="TYQ307" s="104"/>
      <c r="TYR307" s="104"/>
      <c r="TYS307" s="104"/>
      <c r="TYT307" s="104"/>
      <c r="TYU307" s="104"/>
      <c r="TYV307" s="104"/>
      <c r="TYW307" s="104"/>
      <c r="TYX307" s="104"/>
      <c r="TYY307" s="104"/>
      <c r="TYZ307" s="104"/>
      <c r="TZA307" s="104"/>
      <c r="TZB307" s="104"/>
      <c r="TZC307" s="104"/>
      <c r="TZD307" s="104"/>
      <c r="TZE307" s="104"/>
      <c r="TZF307" s="104"/>
      <c r="TZG307" s="104"/>
      <c r="TZH307" s="104"/>
      <c r="TZI307" s="104"/>
      <c r="TZJ307" s="104"/>
      <c r="TZK307" s="104"/>
      <c r="TZL307" s="104"/>
      <c r="TZM307" s="104"/>
      <c r="TZN307" s="104"/>
      <c r="TZO307" s="104"/>
      <c r="TZP307" s="104"/>
      <c r="TZQ307" s="104"/>
      <c r="TZR307" s="104"/>
      <c r="TZS307" s="104"/>
      <c r="TZT307" s="104"/>
      <c r="TZU307" s="104"/>
      <c r="TZV307" s="104"/>
      <c r="TZW307" s="104"/>
      <c r="TZX307" s="104"/>
      <c r="TZY307" s="104"/>
      <c r="TZZ307" s="104"/>
      <c r="UAA307" s="104"/>
      <c r="UAB307" s="104"/>
      <c r="UAC307" s="104"/>
      <c r="UAD307" s="104"/>
      <c r="UAE307" s="104"/>
      <c r="UAF307" s="104"/>
      <c r="UAG307" s="104"/>
      <c r="UAH307" s="104"/>
      <c r="UAI307" s="104"/>
      <c r="UAJ307" s="104"/>
      <c r="UAK307" s="104"/>
      <c r="UAL307" s="104"/>
      <c r="UAM307" s="104"/>
      <c r="UAN307" s="104"/>
      <c r="UAO307" s="104"/>
      <c r="UAP307" s="104"/>
      <c r="UAQ307" s="104"/>
      <c r="UAR307" s="104"/>
      <c r="UAS307" s="104"/>
      <c r="UAT307" s="104"/>
      <c r="UAU307" s="104"/>
      <c r="UAV307" s="104"/>
      <c r="UAW307" s="104"/>
      <c r="UAX307" s="104"/>
      <c r="UAY307" s="104"/>
      <c r="UAZ307" s="104"/>
      <c r="UBA307" s="104"/>
      <c r="UBB307" s="104"/>
      <c r="UBC307" s="104"/>
      <c r="UBD307" s="104"/>
      <c r="UBE307" s="104"/>
      <c r="UBF307" s="104"/>
      <c r="UBG307" s="104"/>
      <c r="UBH307" s="104"/>
      <c r="UBI307" s="104"/>
      <c r="UBJ307" s="104"/>
      <c r="UBK307" s="104"/>
      <c r="UBL307" s="104"/>
      <c r="UBM307" s="104"/>
      <c r="UBN307" s="104"/>
      <c r="UBO307" s="104"/>
      <c r="UBP307" s="104"/>
      <c r="UBQ307" s="104"/>
      <c r="UBR307" s="104"/>
      <c r="UBS307" s="104"/>
      <c r="UBT307" s="104"/>
      <c r="UBU307" s="104"/>
      <c r="UBV307" s="104"/>
      <c r="UBW307" s="104"/>
      <c r="UBX307" s="104"/>
      <c r="UBY307" s="104"/>
      <c r="UBZ307" s="104"/>
      <c r="UCA307" s="104"/>
      <c r="UCB307" s="104"/>
      <c r="UCC307" s="104"/>
      <c r="UCD307" s="104"/>
      <c r="UCE307" s="104"/>
      <c r="UCF307" s="104"/>
      <c r="UCG307" s="104"/>
      <c r="UCH307" s="104"/>
      <c r="UCI307" s="104"/>
      <c r="UCJ307" s="104"/>
      <c r="UCK307" s="104"/>
      <c r="UCL307" s="104"/>
      <c r="UCM307" s="104"/>
      <c r="UCN307" s="104"/>
      <c r="UCO307" s="104"/>
      <c r="UCP307" s="104"/>
      <c r="UCQ307" s="104"/>
      <c r="UCR307" s="104"/>
      <c r="UCS307" s="104"/>
      <c r="UCT307" s="104"/>
      <c r="UCU307" s="104"/>
      <c r="UCV307" s="104"/>
      <c r="UCW307" s="104"/>
      <c r="UCX307" s="104"/>
      <c r="UCY307" s="104"/>
      <c r="UCZ307" s="104"/>
      <c r="UDA307" s="104"/>
      <c r="UDB307" s="104"/>
      <c r="UDC307" s="104"/>
      <c r="UDD307" s="104"/>
      <c r="UDE307" s="104"/>
      <c r="UDF307" s="104"/>
      <c r="UDG307" s="104"/>
      <c r="UDH307" s="104"/>
      <c r="UDI307" s="104"/>
      <c r="UDJ307" s="104"/>
      <c r="UDK307" s="104"/>
      <c r="UDL307" s="104"/>
      <c r="UDM307" s="104"/>
      <c r="UDN307" s="104"/>
      <c r="UDO307" s="104"/>
      <c r="UDP307" s="104"/>
      <c r="UDQ307" s="104"/>
      <c r="UDR307" s="104"/>
      <c r="UDS307" s="104"/>
      <c r="UDT307" s="104"/>
      <c r="UDU307" s="104"/>
      <c r="UDV307" s="104"/>
      <c r="UDW307" s="104"/>
      <c r="UDX307" s="104"/>
      <c r="UDY307" s="104"/>
      <c r="UDZ307" s="104"/>
      <c r="UEA307" s="104"/>
      <c r="UEB307" s="104"/>
      <c r="UEC307" s="104"/>
      <c r="UED307" s="104"/>
      <c r="UEE307" s="104"/>
      <c r="UEF307" s="104"/>
      <c r="UEG307" s="104"/>
      <c r="UEH307" s="104"/>
      <c r="UEI307" s="104"/>
      <c r="UEJ307" s="104"/>
      <c r="UEK307" s="104"/>
      <c r="UEL307" s="104"/>
      <c r="UEM307" s="104"/>
      <c r="UEN307" s="104"/>
      <c r="UEO307" s="104"/>
      <c r="UEP307" s="104"/>
      <c r="UEQ307" s="104"/>
      <c r="UER307" s="104"/>
      <c r="UES307" s="104"/>
      <c r="UET307" s="104"/>
      <c r="UEU307" s="104"/>
      <c r="UEV307" s="104"/>
      <c r="UEW307" s="104"/>
      <c r="UEX307" s="104"/>
      <c r="UEY307" s="104"/>
      <c r="UEZ307" s="104"/>
      <c r="UFA307" s="104"/>
      <c r="UFB307" s="104"/>
      <c r="UFC307" s="104"/>
      <c r="UFD307" s="104"/>
      <c r="UFE307" s="104"/>
      <c r="UFF307" s="104"/>
      <c r="UFG307" s="104"/>
      <c r="UFH307" s="104"/>
      <c r="UFI307" s="104"/>
      <c r="UFJ307" s="104"/>
      <c r="UFK307" s="104"/>
      <c r="UFL307" s="104"/>
      <c r="UFM307" s="104"/>
      <c r="UFN307" s="104"/>
      <c r="UFO307" s="104"/>
      <c r="UFP307" s="104"/>
      <c r="UFQ307" s="104"/>
      <c r="UFR307" s="104"/>
      <c r="UFS307" s="104"/>
      <c r="UFT307" s="104"/>
      <c r="UFU307" s="104"/>
      <c r="UFV307" s="104"/>
      <c r="UFW307" s="104"/>
      <c r="UFX307" s="104"/>
      <c r="UFY307" s="104"/>
      <c r="UFZ307" s="104"/>
      <c r="UGA307" s="104"/>
      <c r="UGB307" s="104"/>
      <c r="UGC307" s="104"/>
      <c r="UGD307" s="104"/>
      <c r="UGE307" s="104"/>
      <c r="UGF307" s="104"/>
      <c r="UGG307" s="104"/>
      <c r="UGH307" s="104"/>
      <c r="UGI307" s="104"/>
      <c r="UGJ307" s="104"/>
      <c r="UGK307" s="104"/>
      <c r="UGL307" s="104"/>
      <c r="UGM307" s="104"/>
      <c r="UGN307" s="104"/>
      <c r="UGO307" s="104"/>
      <c r="UGP307" s="104"/>
      <c r="UGQ307" s="104"/>
      <c r="UGR307" s="104"/>
      <c r="UGS307" s="104"/>
      <c r="UGT307" s="104"/>
      <c r="UGU307" s="104"/>
      <c r="UGV307" s="104"/>
      <c r="UGW307" s="104"/>
      <c r="UGX307" s="104"/>
      <c r="UGY307" s="104"/>
      <c r="UGZ307" s="104"/>
      <c r="UHA307" s="104"/>
      <c r="UHB307" s="104"/>
      <c r="UHC307" s="104"/>
      <c r="UHD307" s="104"/>
      <c r="UHE307" s="104"/>
      <c r="UHF307" s="104"/>
      <c r="UHG307" s="104"/>
      <c r="UHH307" s="104"/>
      <c r="UHI307" s="104"/>
      <c r="UHJ307" s="104"/>
      <c r="UHK307" s="104"/>
      <c r="UHL307" s="104"/>
      <c r="UHM307" s="104"/>
      <c r="UHN307" s="104"/>
      <c r="UHO307" s="104"/>
      <c r="UHP307" s="104"/>
      <c r="UHQ307" s="104"/>
      <c r="UHR307" s="104"/>
      <c r="UHS307" s="104"/>
      <c r="UHT307" s="104"/>
      <c r="UHU307" s="104"/>
      <c r="UHV307" s="104"/>
      <c r="UHW307" s="104"/>
      <c r="UHX307" s="104"/>
      <c r="UHY307" s="104"/>
      <c r="UHZ307" s="104"/>
      <c r="UIA307" s="104"/>
      <c r="UIB307" s="104"/>
      <c r="UIC307" s="104"/>
      <c r="UID307" s="104"/>
      <c r="UIE307" s="104"/>
      <c r="UIF307" s="104"/>
      <c r="UIG307" s="104"/>
      <c r="UIH307" s="104"/>
      <c r="UII307" s="104"/>
      <c r="UIJ307" s="104"/>
      <c r="UIK307" s="104"/>
      <c r="UIL307" s="104"/>
      <c r="UIM307" s="104"/>
      <c r="UIN307" s="104"/>
      <c r="UIO307" s="104"/>
      <c r="UIP307" s="104"/>
      <c r="UIQ307" s="104"/>
      <c r="UIR307" s="104"/>
      <c r="UIS307" s="104"/>
      <c r="UIT307" s="104"/>
      <c r="UIU307" s="104"/>
      <c r="UIV307" s="104"/>
      <c r="UIW307" s="104"/>
      <c r="UIX307" s="104"/>
      <c r="UIY307" s="104"/>
      <c r="UIZ307" s="104"/>
      <c r="UJA307" s="104"/>
      <c r="UJB307" s="104"/>
      <c r="UJC307" s="104"/>
      <c r="UJD307" s="104"/>
      <c r="UJE307" s="104"/>
      <c r="UJF307" s="104"/>
      <c r="UJG307" s="104"/>
      <c r="UJH307" s="104"/>
      <c r="UJI307" s="104"/>
      <c r="UJJ307" s="104"/>
      <c r="UJK307" s="104"/>
      <c r="UJL307" s="104"/>
      <c r="UJM307" s="104"/>
      <c r="UJN307" s="104"/>
      <c r="UJO307" s="104"/>
      <c r="UJP307" s="104"/>
      <c r="UJQ307" s="104"/>
      <c r="UJR307" s="104"/>
      <c r="UJS307" s="104"/>
      <c r="UJT307" s="104"/>
      <c r="UJU307" s="104"/>
      <c r="UJV307" s="104"/>
      <c r="UJW307" s="104"/>
      <c r="UJX307" s="104"/>
      <c r="UJY307" s="104"/>
      <c r="UJZ307" s="104"/>
      <c r="UKA307" s="104"/>
      <c r="UKB307" s="104"/>
      <c r="UKC307" s="104"/>
      <c r="UKD307" s="104"/>
      <c r="UKE307" s="104"/>
      <c r="UKF307" s="104"/>
      <c r="UKG307" s="104"/>
      <c r="UKH307" s="104"/>
      <c r="UKI307" s="104"/>
      <c r="UKJ307" s="104"/>
      <c r="UKK307" s="104"/>
      <c r="UKL307" s="104"/>
      <c r="UKM307" s="104"/>
      <c r="UKN307" s="104"/>
      <c r="UKO307" s="104"/>
      <c r="UKP307" s="104"/>
      <c r="UKQ307" s="104"/>
      <c r="UKR307" s="104"/>
      <c r="UKS307" s="104"/>
      <c r="UKT307" s="104"/>
      <c r="UKU307" s="104"/>
      <c r="UKV307" s="104"/>
      <c r="UKW307" s="104"/>
      <c r="UKX307" s="104"/>
      <c r="UKY307" s="104"/>
      <c r="UKZ307" s="104"/>
      <c r="ULA307" s="104"/>
      <c r="ULB307" s="104"/>
      <c r="ULC307" s="104"/>
      <c r="ULD307" s="104"/>
      <c r="ULE307" s="104"/>
      <c r="ULF307" s="104"/>
      <c r="ULG307" s="104"/>
      <c r="ULH307" s="104"/>
      <c r="ULI307" s="104"/>
      <c r="ULJ307" s="104"/>
      <c r="ULK307" s="104"/>
      <c r="ULL307" s="104"/>
      <c r="ULM307" s="104"/>
      <c r="ULN307" s="104"/>
      <c r="ULO307" s="104"/>
      <c r="ULP307" s="104"/>
      <c r="ULQ307" s="104"/>
      <c r="ULR307" s="104"/>
      <c r="ULS307" s="104"/>
      <c r="ULT307" s="104"/>
      <c r="ULU307" s="104"/>
      <c r="ULV307" s="104"/>
      <c r="ULW307" s="104"/>
      <c r="ULX307" s="104"/>
      <c r="ULY307" s="104"/>
      <c r="ULZ307" s="104"/>
      <c r="UMA307" s="104"/>
      <c r="UMB307" s="104"/>
      <c r="UMC307" s="104"/>
      <c r="UMD307" s="104"/>
      <c r="UME307" s="104"/>
      <c r="UMF307" s="104"/>
      <c r="UMG307" s="104"/>
      <c r="UMH307" s="104"/>
      <c r="UMI307" s="104"/>
      <c r="UMJ307" s="104"/>
      <c r="UMK307" s="104"/>
      <c r="UML307" s="104"/>
      <c r="UMM307" s="104"/>
      <c r="UMN307" s="104"/>
      <c r="UMO307" s="104"/>
      <c r="UMP307" s="104"/>
      <c r="UMQ307" s="104"/>
      <c r="UMR307" s="104"/>
      <c r="UMS307" s="104"/>
      <c r="UMT307" s="104"/>
      <c r="UMU307" s="104"/>
      <c r="UMV307" s="104"/>
      <c r="UMW307" s="104"/>
      <c r="UMX307" s="104"/>
      <c r="UMY307" s="104"/>
      <c r="UMZ307" s="104"/>
      <c r="UNA307" s="104"/>
      <c r="UNB307" s="104"/>
      <c r="UNC307" s="104"/>
      <c r="UND307" s="104"/>
      <c r="UNE307" s="104"/>
      <c r="UNF307" s="104"/>
      <c r="UNG307" s="104"/>
      <c r="UNH307" s="104"/>
      <c r="UNI307" s="104"/>
      <c r="UNJ307" s="104"/>
      <c r="UNK307" s="104"/>
      <c r="UNL307" s="104"/>
      <c r="UNM307" s="104"/>
      <c r="UNN307" s="104"/>
      <c r="UNO307" s="104"/>
      <c r="UNP307" s="104"/>
      <c r="UNQ307" s="104"/>
      <c r="UNR307" s="104"/>
      <c r="UNS307" s="104"/>
      <c r="UNT307" s="104"/>
      <c r="UNU307" s="104"/>
      <c r="UNV307" s="104"/>
      <c r="UNW307" s="104"/>
      <c r="UNX307" s="104"/>
      <c r="UNY307" s="104"/>
      <c r="UNZ307" s="104"/>
      <c r="UOA307" s="104"/>
      <c r="UOB307" s="104"/>
      <c r="UOC307" s="104"/>
      <c r="UOD307" s="104"/>
      <c r="UOE307" s="104"/>
      <c r="UOF307" s="104"/>
      <c r="UOG307" s="104"/>
      <c r="UOH307" s="104"/>
      <c r="UOI307" s="104"/>
      <c r="UOJ307" s="104"/>
      <c r="UOK307" s="104"/>
      <c r="UOL307" s="104"/>
      <c r="UOM307" s="104"/>
      <c r="UON307" s="104"/>
      <c r="UOO307" s="104"/>
      <c r="UOP307" s="104"/>
      <c r="UOQ307" s="104"/>
      <c r="UOR307" s="104"/>
      <c r="UOS307" s="104"/>
      <c r="UOT307" s="104"/>
      <c r="UOU307" s="104"/>
      <c r="UOV307" s="104"/>
      <c r="UOW307" s="104"/>
      <c r="UOX307" s="104"/>
      <c r="UOY307" s="104"/>
      <c r="UOZ307" s="104"/>
      <c r="UPA307" s="104"/>
      <c r="UPB307" s="104"/>
      <c r="UPC307" s="104"/>
      <c r="UPD307" s="104"/>
      <c r="UPE307" s="104"/>
      <c r="UPF307" s="104"/>
      <c r="UPG307" s="104"/>
      <c r="UPH307" s="104"/>
      <c r="UPI307" s="104"/>
      <c r="UPJ307" s="104"/>
      <c r="UPK307" s="104"/>
      <c r="UPL307" s="104"/>
      <c r="UPM307" s="104"/>
      <c r="UPN307" s="104"/>
      <c r="UPO307" s="104"/>
      <c r="UPP307" s="104"/>
      <c r="UPQ307" s="104"/>
      <c r="UPR307" s="104"/>
      <c r="UPS307" s="104"/>
      <c r="UPT307" s="104"/>
      <c r="UPU307" s="104"/>
      <c r="UPV307" s="104"/>
      <c r="UPW307" s="104"/>
      <c r="UPX307" s="104"/>
      <c r="UPY307" s="104"/>
      <c r="UPZ307" s="104"/>
      <c r="UQA307" s="104"/>
      <c r="UQB307" s="104"/>
      <c r="UQC307" s="104"/>
      <c r="UQD307" s="104"/>
      <c r="UQE307" s="104"/>
      <c r="UQF307" s="104"/>
      <c r="UQG307" s="104"/>
      <c r="UQH307" s="104"/>
      <c r="UQI307" s="104"/>
      <c r="UQJ307" s="104"/>
      <c r="UQK307" s="104"/>
      <c r="UQL307" s="104"/>
      <c r="UQM307" s="104"/>
      <c r="UQN307" s="104"/>
      <c r="UQO307" s="104"/>
      <c r="UQP307" s="104"/>
      <c r="UQQ307" s="104"/>
      <c r="UQR307" s="104"/>
      <c r="UQS307" s="104"/>
      <c r="UQT307" s="104"/>
      <c r="UQU307" s="104"/>
      <c r="UQV307" s="104"/>
      <c r="UQW307" s="104"/>
      <c r="UQX307" s="104"/>
      <c r="UQY307" s="104"/>
      <c r="UQZ307" s="104"/>
      <c r="URA307" s="104"/>
      <c r="URB307" s="104"/>
      <c r="URC307" s="104"/>
      <c r="URD307" s="104"/>
      <c r="URE307" s="104"/>
      <c r="URF307" s="104"/>
      <c r="URG307" s="104"/>
      <c r="URH307" s="104"/>
      <c r="URI307" s="104"/>
      <c r="URJ307" s="104"/>
      <c r="URK307" s="104"/>
      <c r="URL307" s="104"/>
      <c r="URM307" s="104"/>
      <c r="URN307" s="104"/>
      <c r="URO307" s="104"/>
      <c r="URP307" s="104"/>
      <c r="URQ307" s="104"/>
      <c r="URR307" s="104"/>
      <c r="URS307" s="104"/>
      <c r="URT307" s="104"/>
      <c r="URU307" s="104"/>
      <c r="URV307" s="104"/>
      <c r="URW307" s="104"/>
      <c r="URX307" s="104"/>
      <c r="URY307" s="104"/>
      <c r="URZ307" s="104"/>
      <c r="USA307" s="104"/>
      <c r="USB307" s="104"/>
      <c r="USC307" s="104"/>
      <c r="USD307" s="104"/>
      <c r="USE307" s="104"/>
      <c r="USF307" s="104"/>
      <c r="USG307" s="104"/>
      <c r="USH307" s="104"/>
      <c r="USI307" s="104"/>
      <c r="USJ307" s="104"/>
      <c r="USK307" s="104"/>
      <c r="USL307" s="104"/>
      <c r="USM307" s="104"/>
      <c r="USN307" s="104"/>
      <c r="USO307" s="104"/>
      <c r="USP307" s="104"/>
      <c r="USQ307" s="104"/>
      <c r="USR307" s="104"/>
      <c r="USS307" s="104"/>
      <c r="UST307" s="104"/>
      <c r="USU307" s="104"/>
      <c r="USV307" s="104"/>
      <c r="USW307" s="104"/>
      <c r="USX307" s="104"/>
      <c r="USY307" s="104"/>
      <c r="USZ307" s="104"/>
      <c r="UTA307" s="104"/>
      <c r="UTB307" s="104"/>
      <c r="UTC307" s="104"/>
      <c r="UTD307" s="104"/>
      <c r="UTE307" s="104"/>
      <c r="UTF307" s="104"/>
      <c r="UTG307" s="104"/>
      <c r="UTH307" s="104"/>
      <c r="UTI307" s="104"/>
      <c r="UTJ307" s="104"/>
      <c r="UTK307" s="104"/>
      <c r="UTL307" s="104"/>
      <c r="UTM307" s="104"/>
      <c r="UTN307" s="104"/>
      <c r="UTO307" s="104"/>
      <c r="UTP307" s="104"/>
      <c r="UTQ307" s="104"/>
      <c r="UTR307" s="104"/>
      <c r="UTS307" s="104"/>
      <c r="UTT307" s="104"/>
      <c r="UTU307" s="104"/>
      <c r="UTV307" s="104"/>
      <c r="UTW307" s="104"/>
      <c r="UTX307" s="104"/>
      <c r="UTY307" s="104"/>
      <c r="UTZ307" s="104"/>
      <c r="UUA307" s="104"/>
      <c r="UUB307" s="104"/>
      <c r="UUC307" s="104"/>
      <c r="UUD307" s="104"/>
      <c r="UUE307" s="104"/>
      <c r="UUF307" s="104"/>
      <c r="UUG307" s="104"/>
      <c r="UUH307" s="104"/>
      <c r="UUI307" s="104"/>
      <c r="UUJ307" s="104"/>
      <c r="UUK307" s="104"/>
      <c r="UUL307" s="104"/>
      <c r="UUM307" s="104"/>
      <c r="UUN307" s="104"/>
      <c r="UUO307" s="104"/>
      <c r="UUP307" s="104"/>
      <c r="UUQ307" s="104"/>
      <c r="UUR307" s="104"/>
      <c r="UUS307" s="104"/>
      <c r="UUT307" s="104"/>
      <c r="UUU307" s="104"/>
      <c r="UUV307" s="104"/>
      <c r="UUW307" s="104"/>
      <c r="UUX307" s="104"/>
      <c r="UUY307" s="104"/>
      <c r="UUZ307" s="104"/>
      <c r="UVA307" s="104"/>
      <c r="UVB307" s="104"/>
      <c r="UVC307" s="104"/>
      <c r="UVD307" s="104"/>
      <c r="UVE307" s="104"/>
      <c r="UVF307" s="104"/>
      <c r="UVG307" s="104"/>
      <c r="UVH307" s="104"/>
      <c r="UVI307" s="104"/>
      <c r="UVJ307" s="104"/>
      <c r="UVK307" s="104"/>
      <c r="UVL307" s="104"/>
      <c r="UVM307" s="104"/>
      <c r="UVN307" s="104"/>
      <c r="UVO307" s="104"/>
      <c r="UVP307" s="104"/>
      <c r="UVQ307" s="104"/>
      <c r="UVR307" s="104"/>
      <c r="UVS307" s="104"/>
      <c r="UVT307" s="104"/>
      <c r="UVU307" s="104"/>
      <c r="UVV307" s="104"/>
      <c r="UVW307" s="104"/>
      <c r="UVX307" s="104"/>
      <c r="UVY307" s="104"/>
      <c r="UVZ307" s="104"/>
      <c r="UWA307" s="104"/>
      <c r="UWB307" s="104"/>
      <c r="UWC307" s="104"/>
      <c r="UWD307" s="104"/>
      <c r="UWE307" s="104"/>
      <c r="UWF307" s="104"/>
      <c r="UWG307" s="104"/>
      <c r="UWH307" s="104"/>
      <c r="UWI307" s="104"/>
      <c r="UWJ307" s="104"/>
      <c r="UWK307" s="104"/>
      <c r="UWL307" s="104"/>
      <c r="UWM307" s="104"/>
      <c r="UWN307" s="104"/>
      <c r="UWO307" s="104"/>
      <c r="UWP307" s="104"/>
      <c r="UWQ307" s="104"/>
      <c r="UWR307" s="104"/>
      <c r="UWS307" s="104"/>
      <c r="UWT307" s="104"/>
      <c r="UWU307" s="104"/>
      <c r="UWV307" s="104"/>
      <c r="UWW307" s="104"/>
      <c r="UWX307" s="104"/>
      <c r="UWY307" s="104"/>
      <c r="UWZ307" s="104"/>
      <c r="UXA307" s="104"/>
      <c r="UXB307" s="104"/>
      <c r="UXC307" s="104"/>
      <c r="UXD307" s="104"/>
      <c r="UXE307" s="104"/>
      <c r="UXF307" s="104"/>
      <c r="UXG307" s="104"/>
      <c r="UXH307" s="104"/>
      <c r="UXI307" s="104"/>
      <c r="UXJ307" s="104"/>
      <c r="UXK307" s="104"/>
      <c r="UXL307" s="104"/>
      <c r="UXM307" s="104"/>
      <c r="UXN307" s="104"/>
      <c r="UXO307" s="104"/>
      <c r="UXP307" s="104"/>
      <c r="UXQ307" s="104"/>
      <c r="UXR307" s="104"/>
      <c r="UXS307" s="104"/>
      <c r="UXT307" s="104"/>
      <c r="UXU307" s="104"/>
      <c r="UXV307" s="104"/>
      <c r="UXW307" s="104"/>
      <c r="UXX307" s="104"/>
      <c r="UXY307" s="104"/>
      <c r="UXZ307" s="104"/>
      <c r="UYA307" s="104"/>
      <c r="UYB307" s="104"/>
      <c r="UYC307" s="104"/>
      <c r="UYD307" s="104"/>
      <c r="UYE307" s="104"/>
      <c r="UYF307" s="104"/>
      <c r="UYG307" s="104"/>
      <c r="UYH307" s="104"/>
      <c r="UYI307" s="104"/>
      <c r="UYJ307" s="104"/>
      <c r="UYK307" s="104"/>
      <c r="UYL307" s="104"/>
      <c r="UYM307" s="104"/>
      <c r="UYN307" s="104"/>
      <c r="UYO307" s="104"/>
      <c r="UYP307" s="104"/>
      <c r="UYQ307" s="104"/>
      <c r="UYR307" s="104"/>
      <c r="UYS307" s="104"/>
      <c r="UYT307" s="104"/>
      <c r="UYU307" s="104"/>
      <c r="UYV307" s="104"/>
      <c r="UYW307" s="104"/>
      <c r="UYX307" s="104"/>
      <c r="UYY307" s="104"/>
      <c r="UYZ307" s="104"/>
      <c r="UZA307" s="104"/>
      <c r="UZB307" s="104"/>
      <c r="UZC307" s="104"/>
      <c r="UZD307" s="104"/>
      <c r="UZE307" s="104"/>
      <c r="UZF307" s="104"/>
      <c r="UZG307" s="104"/>
      <c r="UZH307" s="104"/>
      <c r="UZI307" s="104"/>
      <c r="UZJ307" s="104"/>
      <c r="UZK307" s="104"/>
      <c r="UZL307" s="104"/>
      <c r="UZM307" s="104"/>
      <c r="UZN307" s="104"/>
      <c r="UZO307" s="104"/>
      <c r="UZP307" s="104"/>
      <c r="UZQ307" s="104"/>
      <c r="UZR307" s="104"/>
      <c r="UZS307" s="104"/>
      <c r="UZT307" s="104"/>
      <c r="UZU307" s="104"/>
      <c r="UZV307" s="104"/>
      <c r="UZW307" s="104"/>
      <c r="UZX307" s="104"/>
      <c r="UZY307" s="104"/>
      <c r="UZZ307" s="104"/>
      <c r="VAA307" s="104"/>
      <c r="VAB307" s="104"/>
      <c r="VAC307" s="104"/>
      <c r="VAD307" s="104"/>
      <c r="VAE307" s="104"/>
      <c r="VAF307" s="104"/>
      <c r="VAG307" s="104"/>
      <c r="VAH307" s="104"/>
      <c r="VAI307" s="104"/>
      <c r="VAJ307" s="104"/>
      <c r="VAK307" s="104"/>
      <c r="VAL307" s="104"/>
      <c r="VAM307" s="104"/>
      <c r="VAN307" s="104"/>
      <c r="VAO307" s="104"/>
      <c r="VAP307" s="104"/>
      <c r="VAQ307" s="104"/>
      <c r="VAR307" s="104"/>
      <c r="VAS307" s="104"/>
      <c r="VAT307" s="104"/>
      <c r="VAU307" s="104"/>
      <c r="VAV307" s="104"/>
      <c r="VAW307" s="104"/>
      <c r="VAX307" s="104"/>
      <c r="VAY307" s="104"/>
      <c r="VAZ307" s="104"/>
      <c r="VBA307" s="104"/>
      <c r="VBB307" s="104"/>
      <c r="VBC307" s="104"/>
      <c r="VBD307" s="104"/>
      <c r="VBE307" s="104"/>
      <c r="VBF307" s="104"/>
      <c r="VBG307" s="104"/>
      <c r="VBH307" s="104"/>
      <c r="VBI307" s="104"/>
      <c r="VBJ307" s="104"/>
      <c r="VBK307" s="104"/>
      <c r="VBL307" s="104"/>
      <c r="VBM307" s="104"/>
      <c r="VBN307" s="104"/>
      <c r="VBO307" s="104"/>
      <c r="VBP307" s="104"/>
      <c r="VBQ307" s="104"/>
      <c r="VBR307" s="104"/>
      <c r="VBS307" s="104"/>
      <c r="VBT307" s="104"/>
      <c r="VBU307" s="104"/>
      <c r="VBV307" s="104"/>
      <c r="VBW307" s="104"/>
      <c r="VBX307" s="104"/>
      <c r="VBY307" s="104"/>
      <c r="VBZ307" s="104"/>
      <c r="VCA307" s="104"/>
      <c r="VCB307" s="104"/>
      <c r="VCC307" s="104"/>
      <c r="VCD307" s="104"/>
      <c r="VCE307" s="104"/>
      <c r="VCF307" s="104"/>
      <c r="VCG307" s="104"/>
      <c r="VCH307" s="104"/>
      <c r="VCI307" s="104"/>
      <c r="VCJ307" s="104"/>
      <c r="VCK307" s="104"/>
      <c r="VCL307" s="104"/>
      <c r="VCM307" s="104"/>
      <c r="VCN307" s="104"/>
      <c r="VCO307" s="104"/>
      <c r="VCP307" s="104"/>
      <c r="VCQ307" s="104"/>
      <c r="VCR307" s="104"/>
      <c r="VCS307" s="104"/>
      <c r="VCT307" s="104"/>
      <c r="VCU307" s="104"/>
      <c r="VCV307" s="104"/>
      <c r="VCW307" s="104"/>
      <c r="VCX307" s="104"/>
      <c r="VCY307" s="104"/>
      <c r="VCZ307" s="104"/>
      <c r="VDA307" s="104"/>
      <c r="VDB307" s="104"/>
      <c r="VDC307" s="104"/>
      <c r="VDD307" s="104"/>
      <c r="VDE307" s="104"/>
      <c r="VDF307" s="104"/>
      <c r="VDG307" s="104"/>
      <c r="VDH307" s="104"/>
      <c r="VDI307" s="104"/>
      <c r="VDJ307" s="104"/>
      <c r="VDK307" s="104"/>
      <c r="VDL307" s="104"/>
      <c r="VDM307" s="104"/>
      <c r="VDN307" s="104"/>
      <c r="VDO307" s="104"/>
      <c r="VDP307" s="104"/>
      <c r="VDQ307" s="104"/>
      <c r="VDR307" s="104"/>
      <c r="VDS307" s="104"/>
      <c r="VDT307" s="104"/>
      <c r="VDU307" s="104"/>
      <c r="VDV307" s="104"/>
      <c r="VDW307" s="104"/>
      <c r="VDX307" s="104"/>
      <c r="VDY307" s="104"/>
      <c r="VDZ307" s="104"/>
      <c r="VEA307" s="104"/>
      <c r="VEB307" s="104"/>
      <c r="VEC307" s="104"/>
      <c r="VED307" s="104"/>
      <c r="VEE307" s="104"/>
      <c r="VEF307" s="104"/>
      <c r="VEG307" s="104"/>
      <c r="VEH307" s="104"/>
      <c r="VEI307" s="104"/>
      <c r="VEJ307" s="104"/>
      <c r="VEK307" s="104"/>
      <c r="VEL307" s="104"/>
      <c r="VEM307" s="104"/>
      <c r="VEN307" s="104"/>
      <c r="VEO307" s="104"/>
      <c r="VEP307" s="104"/>
      <c r="VEQ307" s="104"/>
      <c r="VER307" s="104"/>
      <c r="VES307" s="104"/>
      <c r="VET307" s="104"/>
      <c r="VEU307" s="104"/>
      <c r="VEV307" s="104"/>
      <c r="VEW307" s="104"/>
      <c r="VEX307" s="104"/>
      <c r="VEY307" s="104"/>
      <c r="VEZ307" s="104"/>
      <c r="VFA307" s="104"/>
      <c r="VFB307" s="104"/>
      <c r="VFC307" s="104"/>
      <c r="VFD307" s="104"/>
      <c r="VFE307" s="104"/>
      <c r="VFF307" s="104"/>
      <c r="VFG307" s="104"/>
      <c r="VFH307" s="104"/>
      <c r="VFI307" s="104"/>
      <c r="VFJ307" s="104"/>
      <c r="VFK307" s="104"/>
      <c r="VFL307" s="104"/>
      <c r="VFM307" s="104"/>
      <c r="VFN307" s="104"/>
      <c r="VFO307" s="104"/>
      <c r="VFP307" s="104"/>
      <c r="VFQ307" s="104"/>
      <c r="VFR307" s="104"/>
      <c r="VFS307" s="104"/>
      <c r="VFT307" s="104"/>
      <c r="VFU307" s="104"/>
      <c r="VFV307" s="104"/>
      <c r="VFW307" s="104"/>
      <c r="VFX307" s="104"/>
      <c r="VFY307" s="104"/>
      <c r="VFZ307" s="104"/>
      <c r="VGA307" s="104"/>
      <c r="VGB307" s="104"/>
      <c r="VGC307" s="104"/>
      <c r="VGD307" s="104"/>
      <c r="VGE307" s="104"/>
      <c r="VGF307" s="104"/>
      <c r="VGG307" s="104"/>
      <c r="VGH307" s="104"/>
      <c r="VGI307" s="104"/>
      <c r="VGJ307" s="104"/>
      <c r="VGK307" s="104"/>
      <c r="VGL307" s="104"/>
      <c r="VGM307" s="104"/>
      <c r="VGN307" s="104"/>
      <c r="VGO307" s="104"/>
      <c r="VGP307" s="104"/>
      <c r="VGQ307" s="104"/>
      <c r="VGR307" s="104"/>
      <c r="VGS307" s="104"/>
      <c r="VGT307" s="104"/>
      <c r="VGU307" s="104"/>
      <c r="VGV307" s="104"/>
      <c r="VGW307" s="104"/>
      <c r="VGX307" s="104"/>
      <c r="VGY307" s="104"/>
      <c r="VGZ307" s="104"/>
      <c r="VHA307" s="104"/>
      <c r="VHB307" s="104"/>
      <c r="VHC307" s="104"/>
      <c r="VHD307" s="104"/>
      <c r="VHE307" s="104"/>
      <c r="VHF307" s="104"/>
      <c r="VHG307" s="104"/>
      <c r="VHH307" s="104"/>
      <c r="VHI307" s="104"/>
      <c r="VHJ307" s="104"/>
      <c r="VHK307" s="104"/>
      <c r="VHL307" s="104"/>
      <c r="VHM307" s="104"/>
      <c r="VHN307" s="104"/>
      <c r="VHO307" s="104"/>
      <c r="VHP307" s="104"/>
      <c r="VHQ307" s="104"/>
      <c r="VHR307" s="104"/>
      <c r="VHS307" s="104"/>
      <c r="VHT307" s="104"/>
      <c r="VHU307" s="104"/>
      <c r="VHV307" s="104"/>
      <c r="VHW307" s="104"/>
      <c r="VHX307" s="104"/>
      <c r="VHY307" s="104"/>
      <c r="VHZ307" s="104"/>
      <c r="VIA307" s="104"/>
      <c r="VIB307" s="104"/>
      <c r="VIC307" s="104"/>
      <c r="VID307" s="104"/>
      <c r="VIE307" s="104"/>
      <c r="VIF307" s="104"/>
      <c r="VIG307" s="104"/>
      <c r="VIH307" s="104"/>
      <c r="VII307" s="104"/>
      <c r="VIJ307" s="104"/>
      <c r="VIK307" s="104"/>
      <c r="VIL307" s="104"/>
      <c r="VIM307" s="104"/>
      <c r="VIN307" s="104"/>
      <c r="VIO307" s="104"/>
      <c r="VIP307" s="104"/>
      <c r="VIQ307" s="104"/>
      <c r="VIR307" s="104"/>
      <c r="VIS307" s="104"/>
      <c r="VIT307" s="104"/>
      <c r="VIU307" s="104"/>
      <c r="VIV307" s="104"/>
      <c r="VIW307" s="104"/>
      <c r="VIX307" s="104"/>
      <c r="VIY307" s="104"/>
      <c r="VIZ307" s="104"/>
      <c r="VJA307" s="104"/>
      <c r="VJB307" s="104"/>
      <c r="VJC307" s="104"/>
      <c r="VJD307" s="104"/>
      <c r="VJE307" s="104"/>
      <c r="VJF307" s="104"/>
      <c r="VJG307" s="104"/>
      <c r="VJH307" s="104"/>
      <c r="VJI307" s="104"/>
      <c r="VJJ307" s="104"/>
      <c r="VJK307" s="104"/>
      <c r="VJL307" s="104"/>
      <c r="VJM307" s="104"/>
      <c r="VJN307" s="104"/>
      <c r="VJO307" s="104"/>
      <c r="VJP307" s="104"/>
      <c r="VJQ307" s="104"/>
      <c r="VJR307" s="104"/>
      <c r="VJS307" s="104"/>
      <c r="VJT307" s="104"/>
      <c r="VJU307" s="104"/>
      <c r="VJV307" s="104"/>
      <c r="VJW307" s="104"/>
      <c r="VJX307" s="104"/>
      <c r="VJY307" s="104"/>
      <c r="VJZ307" s="104"/>
      <c r="VKA307" s="104"/>
      <c r="VKB307" s="104"/>
      <c r="VKC307" s="104"/>
      <c r="VKD307" s="104"/>
      <c r="VKE307" s="104"/>
      <c r="VKF307" s="104"/>
      <c r="VKG307" s="104"/>
      <c r="VKH307" s="104"/>
      <c r="VKI307" s="104"/>
      <c r="VKJ307" s="104"/>
      <c r="VKK307" s="104"/>
      <c r="VKL307" s="104"/>
      <c r="VKM307" s="104"/>
      <c r="VKN307" s="104"/>
      <c r="VKO307" s="104"/>
      <c r="VKP307" s="104"/>
      <c r="VKQ307" s="104"/>
      <c r="VKR307" s="104"/>
      <c r="VKS307" s="104"/>
      <c r="VKT307" s="104"/>
      <c r="VKU307" s="104"/>
      <c r="VKV307" s="104"/>
      <c r="VKW307" s="104"/>
      <c r="VKX307" s="104"/>
      <c r="VKY307" s="104"/>
      <c r="VKZ307" s="104"/>
      <c r="VLA307" s="104"/>
      <c r="VLB307" s="104"/>
      <c r="VLC307" s="104"/>
      <c r="VLD307" s="104"/>
      <c r="VLE307" s="104"/>
      <c r="VLF307" s="104"/>
      <c r="VLG307" s="104"/>
      <c r="VLH307" s="104"/>
      <c r="VLI307" s="104"/>
      <c r="VLJ307" s="104"/>
      <c r="VLK307" s="104"/>
      <c r="VLL307" s="104"/>
      <c r="VLM307" s="104"/>
      <c r="VLN307" s="104"/>
      <c r="VLO307" s="104"/>
      <c r="VLP307" s="104"/>
      <c r="VLQ307" s="104"/>
      <c r="VLR307" s="104"/>
      <c r="VLS307" s="104"/>
      <c r="VLT307" s="104"/>
      <c r="VLU307" s="104"/>
      <c r="VLV307" s="104"/>
      <c r="VLW307" s="104"/>
      <c r="VLX307" s="104"/>
      <c r="VLY307" s="104"/>
      <c r="VLZ307" s="104"/>
      <c r="VMA307" s="104"/>
      <c r="VMB307" s="104"/>
      <c r="VMC307" s="104"/>
      <c r="VMD307" s="104"/>
      <c r="VME307" s="104"/>
      <c r="VMF307" s="104"/>
      <c r="VMG307" s="104"/>
      <c r="VMH307" s="104"/>
      <c r="VMI307" s="104"/>
      <c r="VMJ307" s="104"/>
      <c r="VMK307" s="104"/>
      <c r="VML307" s="104"/>
      <c r="VMM307" s="104"/>
      <c r="VMN307" s="104"/>
      <c r="VMO307" s="104"/>
      <c r="VMP307" s="104"/>
      <c r="VMQ307" s="104"/>
      <c r="VMR307" s="104"/>
      <c r="VMS307" s="104"/>
      <c r="VMT307" s="104"/>
      <c r="VMU307" s="104"/>
      <c r="VMV307" s="104"/>
      <c r="VMW307" s="104"/>
      <c r="VMX307" s="104"/>
      <c r="VMY307" s="104"/>
      <c r="VMZ307" s="104"/>
      <c r="VNA307" s="104"/>
      <c r="VNB307" s="104"/>
      <c r="VNC307" s="104"/>
      <c r="VND307" s="104"/>
      <c r="VNE307" s="104"/>
      <c r="VNF307" s="104"/>
      <c r="VNG307" s="104"/>
      <c r="VNH307" s="104"/>
      <c r="VNI307" s="104"/>
      <c r="VNJ307" s="104"/>
      <c r="VNK307" s="104"/>
      <c r="VNL307" s="104"/>
      <c r="VNM307" s="104"/>
      <c r="VNN307" s="104"/>
      <c r="VNO307" s="104"/>
      <c r="VNP307" s="104"/>
      <c r="VNQ307" s="104"/>
      <c r="VNR307" s="104"/>
      <c r="VNS307" s="104"/>
      <c r="VNT307" s="104"/>
      <c r="VNU307" s="104"/>
      <c r="VNV307" s="104"/>
      <c r="VNW307" s="104"/>
      <c r="VNX307" s="104"/>
      <c r="VNY307" s="104"/>
      <c r="VNZ307" s="104"/>
      <c r="VOA307" s="104"/>
      <c r="VOB307" s="104"/>
      <c r="VOC307" s="104"/>
      <c r="VOD307" s="104"/>
      <c r="VOE307" s="104"/>
      <c r="VOF307" s="104"/>
      <c r="VOG307" s="104"/>
      <c r="VOH307" s="104"/>
      <c r="VOI307" s="104"/>
      <c r="VOJ307" s="104"/>
      <c r="VOK307" s="104"/>
      <c r="VOL307" s="104"/>
      <c r="VOM307" s="104"/>
      <c r="VON307" s="104"/>
      <c r="VOO307" s="104"/>
      <c r="VOP307" s="104"/>
      <c r="VOQ307" s="104"/>
      <c r="VOR307" s="104"/>
      <c r="VOS307" s="104"/>
      <c r="VOT307" s="104"/>
      <c r="VOU307" s="104"/>
      <c r="VOV307" s="104"/>
      <c r="VOW307" s="104"/>
      <c r="VOX307" s="104"/>
      <c r="VOY307" s="104"/>
      <c r="VOZ307" s="104"/>
      <c r="VPA307" s="104"/>
      <c r="VPB307" s="104"/>
      <c r="VPC307" s="104"/>
      <c r="VPD307" s="104"/>
      <c r="VPE307" s="104"/>
      <c r="VPF307" s="104"/>
      <c r="VPG307" s="104"/>
      <c r="VPH307" s="104"/>
      <c r="VPI307" s="104"/>
      <c r="VPJ307" s="104"/>
      <c r="VPK307" s="104"/>
      <c r="VPL307" s="104"/>
      <c r="VPM307" s="104"/>
      <c r="VPN307" s="104"/>
      <c r="VPO307" s="104"/>
      <c r="VPP307" s="104"/>
      <c r="VPQ307" s="104"/>
      <c r="VPR307" s="104"/>
      <c r="VPS307" s="104"/>
      <c r="VPT307" s="104"/>
      <c r="VPU307" s="104"/>
      <c r="VPV307" s="104"/>
      <c r="VPW307" s="104"/>
      <c r="VPX307" s="104"/>
      <c r="VPY307" s="104"/>
      <c r="VPZ307" s="104"/>
      <c r="VQA307" s="104"/>
      <c r="VQB307" s="104"/>
      <c r="VQC307" s="104"/>
      <c r="VQD307" s="104"/>
      <c r="VQE307" s="104"/>
      <c r="VQF307" s="104"/>
      <c r="VQG307" s="104"/>
      <c r="VQH307" s="104"/>
      <c r="VQI307" s="104"/>
      <c r="VQJ307" s="104"/>
      <c r="VQK307" s="104"/>
      <c r="VQL307" s="104"/>
      <c r="VQM307" s="104"/>
      <c r="VQN307" s="104"/>
      <c r="VQO307" s="104"/>
      <c r="VQP307" s="104"/>
      <c r="VQQ307" s="104"/>
      <c r="VQR307" s="104"/>
      <c r="VQS307" s="104"/>
      <c r="VQT307" s="104"/>
      <c r="VQU307" s="104"/>
      <c r="VQV307" s="104"/>
      <c r="VQW307" s="104"/>
      <c r="VQX307" s="104"/>
      <c r="VQY307" s="104"/>
      <c r="VQZ307" s="104"/>
      <c r="VRA307" s="104"/>
      <c r="VRB307" s="104"/>
      <c r="VRC307" s="104"/>
      <c r="VRD307" s="104"/>
      <c r="VRE307" s="104"/>
      <c r="VRF307" s="104"/>
      <c r="VRG307" s="104"/>
      <c r="VRH307" s="104"/>
      <c r="VRI307" s="104"/>
      <c r="VRJ307" s="104"/>
      <c r="VRK307" s="104"/>
      <c r="VRL307" s="104"/>
      <c r="VRM307" s="104"/>
      <c r="VRN307" s="104"/>
      <c r="VRO307" s="104"/>
      <c r="VRP307" s="104"/>
      <c r="VRQ307" s="104"/>
      <c r="VRR307" s="104"/>
      <c r="VRS307" s="104"/>
      <c r="VRT307" s="104"/>
      <c r="VRU307" s="104"/>
      <c r="VRV307" s="104"/>
      <c r="VRW307" s="104"/>
      <c r="VRX307" s="104"/>
      <c r="VRY307" s="104"/>
      <c r="VRZ307" s="104"/>
      <c r="VSA307" s="104"/>
      <c r="VSB307" s="104"/>
      <c r="VSC307" s="104"/>
      <c r="VSD307" s="104"/>
      <c r="VSE307" s="104"/>
      <c r="VSF307" s="104"/>
      <c r="VSG307" s="104"/>
      <c r="VSH307" s="104"/>
      <c r="VSI307" s="104"/>
      <c r="VSJ307" s="104"/>
      <c r="VSK307" s="104"/>
      <c r="VSL307" s="104"/>
      <c r="VSM307" s="104"/>
      <c r="VSN307" s="104"/>
      <c r="VSO307" s="104"/>
      <c r="VSP307" s="104"/>
      <c r="VSQ307" s="104"/>
      <c r="VSR307" s="104"/>
      <c r="VSS307" s="104"/>
      <c r="VST307" s="104"/>
      <c r="VSU307" s="104"/>
      <c r="VSV307" s="104"/>
      <c r="VSW307" s="104"/>
      <c r="VSX307" s="104"/>
      <c r="VSY307" s="104"/>
      <c r="VSZ307" s="104"/>
      <c r="VTA307" s="104"/>
      <c r="VTB307" s="104"/>
      <c r="VTC307" s="104"/>
      <c r="VTD307" s="104"/>
      <c r="VTE307" s="104"/>
      <c r="VTF307" s="104"/>
      <c r="VTG307" s="104"/>
      <c r="VTH307" s="104"/>
      <c r="VTI307" s="104"/>
      <c r="VTJ307" s="104"/>
      <c r="VTK307" s="104"/>
      <c r="VTL307" s="104"/>
      <c r="VTM307" s="104"/>
      <c r="VTN307" s="104"/>
      <c r="VTO307" s="104"/>
      <c r="VTP307" s="104"/>
      <c r="VTQ307" s="104"/>
      <c r="VTR307" s="104"/>
      <c r="VTS307" s="104"/>
      <c r="VTT307" s="104"/>
      <c r="VTU307" s="104"/>
      <c r="VTV307" s="104"/>
      <c r="VTW307" s="104"/>
      <c r="VTX307" s="104"/>
      <c r="VTY307" s="104"/>
      <c r="VTZ307" s="104"/>
      <c r="VUA307" s="104"/>
      <c r="VUB307" s="104"/>
      <c r="VUC307" s="104"/>
      <c r="VUD307" s="104"/>
      <c r="VUE307" s="104"/>
      <c r="VUF307" s="104"/>
      <c r="VUG307" s="104"/>
      <c r="VUH307" s="104"/>
      <c r="VUI307" s="104"/>
      <c r="VUJ307" s="104"/>
      <c r="VUK307" s="104"/>
      <c r="VUL307" s="104"/>
      <c r="VUM307" s="104"/>
      <c r="VUN307" s="104"/>
      <c r="VUO307" s="104"/>
      <c r="VUP307" s="104"/>
      <c r="VUQ307" s="104"/>
      <c r="VUR307" s="104"/>
      <c r="VUS307" s="104"/>
      <c r="VUT307" s="104"/>
      <c r="VUU307" s="104"/>
      <c r="VUV307" s="104"/>
      <c r="VUW307" s="104"/>
      <c r="VUX307" s="104"/>
      <c r="VUY307" s="104"/>
      <c r="VUZ307" s="104"/>
      <c r="VVA307" s="104"/>
      <c r="VVB307" s="104"/>
      <c r="VVC307" s="104"/>
      <c r="VVD307" s="104"/>
      <c r="VVE307" s="104"/>
      <c r="VVF307" s="104"/>
      <c r="VVG307" s="104"/>
      <c r="VVH307" s="104"/>
      <c r="VVI307" s="104"/>
      <c r="VVJ307" s="104"/>
      <c r="VVK307" s="104"/>
      <c r="VVL307" s="104"/>
      <c r="VVM307" s="104"/>
      <c r="VVN307" s="104"/>
      <c r="VVO307" s="104"/>
      <c r="VVP307" s="104"/>
      <c r="VVQ307" s="104"/>
      <c r="VVR307" s="104"/>
      <c r="VVS307" s="104"/>
      <c r="VVT307" s="104"/>
      <c r="VVU307" s="104"/>
      <c r="VVV307" s="104"/>
      <c r="VVW307" s="104"/>
      <c r="VVX307" s="104"/>
      <c r="VVY307" s="104"/>
      <c r="VVZ307" s="104"/>
      <c r="VWA307" s="104"/>
      <c r="VWB307" s="104"/>
      <c r="VWC307" s="104"/>
      <c r="VWD307" s="104"/>
      <c r="VWE307" s="104"/>
      <c r="VWF307" s="104"/>
      <c r="VWG307" s="104"/>
      <c r="VWH307" s="104"/>
      <c r="VWI307" s="104"/>
      <c r="VWJ307" s="104"/>
      <c r="VWK307" s="104"/>
      <c r="VWL307" s="104"/>
      <c r="VWM307" s="104"/>
      <c r="VWN307" s="104"/>
      <c r="VWO307" s="104"/>
      <c r="VWP307" s="104"/>
      <c r="VWQ307" s="104"/>
      <c r="VWR307" s="104"/>
      <c r="VWS307" s="104"/>
      <c r="VWT307" s="104"/>
      <c r="VWU307" s="104"/>
      <c r="VWV307" s="104"/>
      <c r="VWW307" s="104"/>
      <c r="VWX307" s="104"/>
      <c r="VWY307" s="104"/>
      <c r="VWZ307" s="104"/>
      <c r="VXA307" s="104"/>
      <c r="VXB307" s="104"/>
      <c r="VXC307" s="104"/>
      <c r="VXD307" s="104"/>
      <c r="VXE307" s="104"/>
      <c r="VXF307" s="104"/>
      <c r="VXG307" s="104"/>
      <c r="VXH307" s="104"/>
      <c r="VXI307" s="104"/>
      <c r="VXJ307" s="104"/>
      <c r="VXK307" s="104"/>
      <c r="VXL307" s="104"/>
      <c r="VXM307" s="104"/>
      <c r="VXN307" s="104"/>
      <c r="VXO307" s="104"/>
      <c r="VXP307" s="104"/>
      <c r="VXQ307" s="104"/>
      <c r="VXR307" s="104"/>
      <c r="VXS307" s="104"/>
      <c r="VXT307" s="104"/>
      <c r="VXU307" s="104"/>
      <c r="VXV307" s="104"/>
      <c r="VXW307" s="104"/>
      <c r="VXX307" s="104"/>
      <c r="VXY307" s="104"/>
      <c r="VXZ307" s="104"/>
      <c r="VYA307" s="104"/>
      <c r="VYB307" s="104"/>
      <c r="VYC307" s="104"/>
      <c r="VYD307" s="104"/>
      <c r="VYE307" s="104"/>
      <c r="VYF307" s="104"/>
      <c r="VYG307" s="104"/>
      <c r="VYH307" s="104"/>
      <c r="VYI307" s="104"/>
      <c r="VYJ307" s="104"/>
      <c r="VYK307" s="104"/>
      <c r="VYL307" s="104"/>
      <c r="VYM307" s="104"/>
      <c r="VYN307" s="104"/>
      <c r="VYO307" s="104"/>
      <c r="VYP307" s="104"/>
      <c r="VYQ307" s="104"/>
      <c r="VYR307" s="104"/>
      <c r="VYS307" s="104"/>
      <c r="VYT307" s="104"/>
      <c r="VYU307" s="104"/>
      <c r="VYV307" s="104"/>
      <c r="VYW307" s="104"/>
      <c r="VYX307" s="104"/>
      <c r="VYY307" s="104"/>
      <c r="VYZ307" s="104"/>
      <c r="VZA307" s="104"/>
      <c r="VZB307" s="104"/>
      <c r="VZC307" s="104"/>
      <c r="VZD307" s="104"/>
      <c r="VZE307" s="104"/>
      <c r="VZF307" s="104"/>
      <c r="VZG307" s="104"/>
      <c r="VZH307" s="104"/>
      <c r="VZI307" s="104"/>
      <c r="VZJ307" s="104"/>
      <c r="VZK307" s="104"/>
      <c r="VZL307" s="104"/>
      <c r="VZM307" s="104"/>
      <c r="VZN307" s="104"/>
      <c r="VZO307" s="104"/>
      <c r="VZP307" s="104"/>
      <c r="VZQ307" s="104"/>
      <c r="VZR307" s="104"/>
      <c r="VZS307" s="104"/>
      <c r="VZT307" s="104"/>
      <c r="VZU307" s="104"/>
      <c r="VZV307" s="104"/>
      <c r="VZW307" s="104"/>
      <c r="VZX307" s="104"/>
      <c r="VZY307" s="104"/>
      <c r="VZZ307" s="104"/>
      <c r="WAA307" s="104"/>
      <c r="WAB307" s="104"/>
      <c r="WAC307" s="104"/>
      <c r="WAD307" s="104"/>
      <c r="WAE307" s="104"/>
      <c r="WAF307" s="104"/>
      <c r="WAG307" s="104"/>
      <c r="WAH307" s="104"/>
      <c r="WAI307" s="104"/>
      <c r="WAJ307" s="104"/>
      <c r="WAK307" s="104"/>
      <c r="WAL307" s="104"/>
      <c r="WAM307" s="104"/>
      <c r="WAN307" s="104"/>
      <c r="WAO307" s="104"/>
      <c r="WAP307" s="104"/>
      <c r="WAQ307" s="104"/>
      <c r="WAR307" s="104"/>
      <c r="WAS307" s="104"/>
      <c r="WAT307" s="104"/>
      <c r="WAU307" s="104"/>
      <c r="WAV307" s="104"/>
      <c r="WAW307" s="104"/>
      <c r="WAX307" s="104"/>
      <c r="WAY307" s="104"/>
      <c r="WAZ307" s="104"/>
      <c r="WBA307" s="104"/>
      <c r="WBB307" s="104"/>
      <c r="WBC307" s="104"/>
      <c r="WBD307" s="104"/>
      <c r="WBE307" s="104"/>
      <c r="WBF307" s="104"/>
      <c r="WBG307" s="104"/>
      <c r="WBH307" s="104"/>
      <c r="WBI307" s="104"/>
      <c r="WBJ307" s="104"/>
      <c r="WBK307" s="104"/>
      <c r="WBL307" s="104"/>
      <c r="WBM307" s="104"/>
      <c r="WBN307" s="104"/>
      <c r="WBO307" s="104"/>
      <c r="WBP307" s="104"/>
      <c r="WBQ307" s="104"/>
      <c r="WBR307" s="104"/>
      <c r="WBS307" s="104"/>
      <c r="WBT307" s="104"/>
      <c r="WBU307" s="104"/>
      <c r="WBV307" s="104"/>
      <c r="WBW307" s="104"/>
      <c r="WBX307" s="104"/>
      <c r="WBY307" s="104"/>
      <c r="WBZ307" s="104"/>
      <c r="WCA307" s="104"/>
      <c r="WCB307" s="104"/>
      <c r="WCC307" s="104"/>
      <c r="WCD307" s="104"/>
      <c r="WCE307" s="104"/>
      <c r="WCF307" s="104"/>
      <c r="WCG307" s="104"/>
      <c r="WCH307" s="104"/>
      <c r="WCI307" s="104"/>
      <c r="WCJ307" s="104"/>
      <c r="WCK307" s="104"/>
      <c r="WCL307" s="104"/>
      <c r="WCM307" s="104"/>
      <c r="WCN307" s="104"/>
      <c r="WCO307" s="104"/>
      <c r="WCP307" s="104"/>
      <c r="WCQ307" s="104"/>
      <c r="WCR307" s="104"/>
      <c r="WCS307" s="104"/>
      <c r="WCT307" s="104"/>
      <c r="WCU307" s="104"/>
      <c r="WCV307" s="104"/>
      <c r="WCW307" s="104"/>
      <c r="WCX307" s="104"/>
      <c r="WCY307" s="104"/>
      <c r="WCZ307" s="104"/>
      <c r="WDA307" s="104"/>
      <c r="WDB307" s="104"/>
      <c r="WDC307" s="104"/>
      <c r="WDD307" s="104"/>
      <c r="WDE307" s="104"/>
      <c r="WDF307" s="104"/>
      <c r="WDG307" s="104"/>
      <c r="WDH307" s="104"/>
      <c r="WDI307" s="104"/>
      <c r="WDJ307" s="104"/>
      <c r="WDK307" s="104"/>
      <c r="WDL307" s="104"/>
      <c r="WDM307" s="104"/>
      <c r="WDN307" s="104"/>
      <c r="WDO307" s="104"/>
      <c r="WDP307" s="104"/>
      <c r="WDQ307" s="104"/>
      <c r="WDR307" s="104"/>
      <c r="WDS307" s="104"/>
      <c r="WDT307" s="104"/>
      <c r="WDU307" s="104"/>
      <c r="WDV307" s="104"/>
      <c r="WDW307" s="104"/>
      <c r="WDX307" s="104"/>
      <c r="WDY307" s="104"/>
      <c r="WDZ307" s="104"/>
      <c r="WEA307" s="104"/>
      <c r="WEB307" s="104"/>
      <c r="WEC307" s="104"/>
      <c r="WED307" s="104"/>
      <c r="WEE307" s="104"/>
      <c r="WEF307" s="104"/>
      <c r="WEG307" s="104"/>
      <c r="WEH307" s="104"/>
      <c r="WEI307" s="104"/>
      <c r="WEJ307" s="104"/>
      <c r="WEK307" s="104"/>
      <c r="WEL307" s="104"/>
      <c r="WEM307" s="104"/>
      <c r="WEN307" s="104"/>
      <c r="WEO307" s="104"/>
      <c r="WEP307" s="104"/>
      <c r="WEQ307" s="104"/>
      <c r="WER307" s="104"/>
      <c r="WES307" s="104"/>
      <c r="WET307" s="104"/>
      <c r="WEU307" s="104"/>
      <c r="WEV307" s="104"/>
      <c r="WEW307" s="104"/>
      <c r="WEX307" s="104"/>
      <c r="WEY307" s="104"/>
      <c r="WEZ307" s="104"/>
      <c r="WFA307" s="104"/>
      <c r="WFB307" s="104"/>
      <c r="WFC307" s="104"/>
      <c r="WFD307" s="104"/>
      <c r="WFE307" s="104"/>
      <c r="WFF307" s="104"/>
      <c r="WFG307" s="104"/>
      <c r="WFH307" s="104"/>
      <c r="WFI307" s="104"/>
      <c r="WFJ307" s="104"/>
      <c r="WFK307" s="104"/>
      <c r="WFL307" s="104"/>
      <c r="WFM307" s="104"/>
      <c r="WFN307" s="104"/>
      <c r="WFO307" s="104"/>
      <c r="WFP307" s="104"/>
      <c r="WFQ307" s="104"/>
      <c r="WFR307" s="104"/>
      <c r="WFS307" s="104"/>
      <c r="WFT307" s="104"/>
      <c r="WFU307" s="104"/>
      <c r="WFV307" s="104"/>
      <c r="WFW307" s="104"/>
      <c r="WFX307" s="104"/>
      <c r="WFY307" s="104"/>
      <c r="WFZ307" s="104"/>
      <c r="WGA307" s="104"/>
      <c r="WGB307" s="104"/>
      <c r="WGC307" s="104"/>
      <c r="WGD307" s="104"/>
      <c r="WGE307" s="104"/>
      <c r="WGF307" s="104"/>
      <c r="WGG307" s="104"/>
      <c r="WGH307" s="104"/>
      <c r="WGI307" s="104"/>
      <c r="WGJ307" s="104"/>
      <c r="WGK307" s="104"/>
      <c r="WGL307" s="104"/>
      <c r="WGM307" s="104"/>
      <c r="WGN307" s="104"/>
      <c r="WGO307" s="104"/>
      <c r="WGP307" s="104"/>
      <c r="WGQ307" s="104"/>
      <c r="WGR307" s="104"/>
      <c r="WGS307" s="104"/>
      <c r="WGT307" s="104"/>
      <c r="WGU307" s="104"/>
      <c r="WGV307" s="104"/>
      <c r="WGW307" s="104"/>
      <c r="WGX307" s="104"/>
      <c r="WGY307" s="104"/>
      <c r="WGZ307" s="104"/>
      <c r="WHA307" s="104"/>
      <c r="WHB307" s="104"/>
      <c r="WHC307" s="104"/>
      <c r="WHD307" s="104"/>
      <c r="WHE307" s="104"/>
      <c r="WHF307" s="104"/>
      <c r="WHG307" s="104"/>
      <c r="WHH307" s="104"/>
      <c r="WHI307" s="104"/>
      <c r="WHJ307" s="104"/>
      <c r="WHK307" s="104"/>
      <c r="WHL307" s="104"/>
      <c r="WHM307" s="104"/>
      <c r="WHN307" s="104"/>
      <c r="WHO307" s="104"/>
      <c r="WHP307" s="104"/>
      <c r="WHQ307" s="104"/>
      <c r="WHR307" s="104"/>
      <c r="WHS307" s="104"/>
      <c r="WHT307" s="104"/>
      <c r="WHU307" s="104"/>
      <c r="WHV307" s="104"/>
      <c r="WHW307" s="104"/>
      <c r="WHX307" s="104"/>
      <c r="WHY307" s="104"/>
      <c r="WHZ307" s="104"/>
      <c r="WIA307" s="104"/>
      <c r="WIB307" s="104"/>
      <c r="WIC307" s="104"/>
      <c r="WID307" s="104"/>
      <c r="WIE307" s="104"/>
      <c r="WIF307" s="104"/>
      <c r="WIG307" s="104"/>
      <c r="WIH307" s="104"/>
      <c r="WII307" s="104"/>
      <c r="WIJ307" s="104"/>
      <c r="WIK307" s="104"/>
      <c r="WIL307" s="104"/>
      <c r="WIM307" s="104"/>
      <c r="WIN307" s="104"/>
      <c r="WIO307" s="104"/>
      <c r="WIP307" s="104"/>
      <c r="WIQ307" s="104"/>
      <c r="WIR307" s="104"/>
      <c r="WIS307" s="104"/>
      <c r="WIT307" s="104"/>
      <c r="WIU307" s="104"/>
      <c r="WIV307" s="104"/>
      <c r="WIW307" s="104"/>
      <c r="WIX307" s="104"/>
      <c r="WIY307" s="104"/>
      <c r="WIZ307" s="104"/>
      <c r="WJA307" s="104"/>
      <c r="WJB307" s="104"/>
      <c r="WJC307" s="104"/>
      <c r="WJD307" s="104"/>
      <c r="WJE307" s="104"/>
      <c r="WJF307" s="104"/>
      <c r="WJG307" s="104"/>
      <c r="WJH307" s="104"/>
      <c r="WJI307" s="104"/>
      <c r="WJJ307" s="104"/>
      <c r="WJK307" s="104"/>
      <c r="WJL307" s="104"/>
      <c r="WJM307" s="104"/>
      <c r="WJN307" s="104"/>
      <c r="WJO307" s="104"/>
      <c r="WJP307" s="104"/>
      <c r="WJQ307" s="104"/>
      <c r="WJR307" s="104"/>
      <c r="WJS307" s="104"/>
      <c r="WJT307" s="104"/>
      <c r="WJU307" s="104"/>
      <c r="WJV307" s="104"/>
      <c r="WJW307" s="104"/>
      <c r="WJX307" s="104"/>
      <c r="WJY307" s="104"/>
      <c r="WJZ307" s="104"/>
      <c r="WKA307" s="104"/>
      <c r="WKB307" s="104"/>
      <c r="WKC307" s="104"/>
      <c r="WKD307" s="104"/>
      <c r="WKE307" s="104"/>
      <c r="WKF307" s="104"/>
      <c r="WKG307" s="104"/>
      <c r="WKH307" s="104"/>
      <c r="WKI307" s="104"/>
      <c r="WKJ307" s="104"/>
      <c r="WKK307" s="104"/>
      <c r="WKL307" s="104"/>
      <c r="WKM307" s="104"/>
      <c r="WKN307" s="104"/>
      <c r="WKO307" s="104"/>
      <c r="WKP307" s="104"/>
      <c r="WKQ307" s="104"/>
      <c r="WKR307" s="104"/>
      <c r="WKS307" s="104"/>
      <c r="WKT307" s="104"/>
      <c r="WKU307" s="104"/>
      <c r="WKV307" s="104"/>
      <c r="WKW307" s="104"/>
      <c r="WKX307" s="104"/>
      <c r="WKY307" s="104"/>
      <c r="WKZ307" s="104"/>
      <c r="WLA307" s="104"/>
      <c r="WLB307" s="104"/>
      <c r="WLC307" s="104"/>
      <c r="WLD307" s="104"/>
      <c r="WLE307" s="104"/>
      <c r="WLF307" s="104"/>
      <c r="WLG307" s="104"/>
      <c r="WLH307" s="104"/>
      <c r="WLI307" s="104"/>
      <c r="WLJ307" s="104"/>
      <c r="WLK307" s="104"/>
      <c r="WLL307" s="104"/>
      <c r="WLM307" s="104"/>
      <c r="WLN307" s="104"/>
      <c r="WLO307" s="104"/>
      <c r="WLP307" s="104"/>
      <c r="WLQ307" s="104"/>
      <c r="WLR307" s="104"/>
      <c r="WLS307" s="104"/>
      <c r="WLT307" s="104"/>
      <c r="WLU307" s="104"/>
      <c r="WLV307" s="104"/>
      <c r="WLW307" s="104"/>
      <c r="WLX307" s="104"/>
      <c r="WLY307" s="104"/>
      <c r="WLZ307" s="104"/>
      <c r="WMA307" s="104"/>
      <c r="WMB307" s="104"/>
      <c r="WMC307" s="104"/>
      <c r="WMD307" s="104"/>
      <c r="WME307" s="104"/>
      <c r="WMF307" s="104"/>
      <c r="WMG307" s="104"/>
      <c r="WMH307" s="104"/>
      <c r="WMI307" s="104"/>
      <c r="WMJ307" s="104"/>
      <c r="WMK307" s="104"/>
      <c r="WML307" s="104"/>
      <c r="WMM307" s="104"/>
      <c r="WMN307" s="104"/>
      <c r="WMO307" s="104"/>
      <c r="WMP307" s="104"/>
      <c r="WMQ307" s="104"/>
      <c r="WMR307" s="104"/>
      <c r="WMS307" s="104"/>
      <c r="WMT307" s="104"/>
      <c r="WMU307" s="104"/>
      <c r="WMV307" s="104"/>
      <c r="WMW307" s="104"/>
      <c r="WMX307" s="104"/>
      <c r="WMY307" s="104"/>
      <c r="WMZ307" s="104"/>
      <c r="WNA307" s="104"/>
      <c r="WNB307" s="104"/>
      <c r="WNC307" s="104"/>
      <c r="WND307" s="104"/>
      <c r="WNE307" s="104"/>
      <c r="WNF307" s="104"/>
      <c r="WNG307" s="104"/>
      <c r="WNH307" s="104"/>
      <c r="WNI307" s="104"/>
      <c r="WNJ307" s="104"/>
      <c r="WNK307" s="104"/>
      <c r="WNL307" s="104"/>
      <c r="WNM307" s="104"/>
      <c r="WNN307" s="104"/>
      <c r="WNO307" s="104"/>
      <c r="WNP307" s="104"/>
      <c r="WNQ307" s="104"/>
      <c r="WNR307" s="104"/>
      <c r="WNS307" s="104"/>
      <c r="WNT307" s="104"/>
      <c r="WNU307" s="104"/>
      <c r="WNV307" s="104"/>
      <c r="WNW307" s="104"/>
      <c r="WNX307" s="104"/>
      <c r="WNY307" s="104"/>
      <c r="WNZ307" s="104"/>
      <c r="WOA307" s="104"/>
      <c r="WOB307" s="104"/>
      <c r="WOC307" s="104"/>
      <c r="WOD307" s="104"/>
      <c r="WOE307" s="104"/>
      <c r="WOF307" s="104"/>
      <c r="WOG307" s="104"/>
      <c r="WOH307" s="104"/>
      <c r="WOI307" s="104"/>
      <c r="WOJ307" s="104"/>
      <c r="WOK307" s="104"/>
      <c r="WOL307" s="104"/>
      <c r="WOM307" s="104"/>
      <c r="WON307" s="104"/>
      <c r="WOO307" s="104"/>
      <c r="WOP307" s="104"/>
      <c r="WOQ307" s="104"/>
      <c r="WOR307" s="104"/>
      <c r="WOS307" s="104"/>
      <c r="WOT307" s="104"/>
      <c r="WOU307" s="104"/>
      <c r="WOV307" s="104"/>
      <c r="WOW307" s="104"/>
      <c r="WOX307" s="104"/>
      <c r="WOY307" s="104"/>
      <c r="WOZ307" s="104"/>
      <c r="WPA307" s="104"/>
      <c r="WPB307" s="104"/>
      <c r="WPC307" s="104"/>
      <c r="WPD307" s="104"/>
      <c r="WPE307" s="104"/>
      <c r="WPF307" s="104"/>
      <c r="WPG307" s="104"/>
      <c r="WPH307" s="104"/>
      <c r="WPI307" s="104"/>
      <c r="WPJ307" s="104"/>
      <c r="WPK307" s="104"/>
      <c r="WPL307" s="104"/>
      <c r="WPM307" s="104"/>
      <c r="WPN307" s="104"/>
      <c r="WPO307" s="104"/>
      <c r="WPP307" s="104"/>
      <c r="WPQ307" s="104"/>
      <c r="WPR307" s="104"/>
      <c r="WPS307" s="104"/>
      <c r="WPT307" s="104"/>
      <c r="WPU307" s="104"/>
      <c r="WPV307" s="104"/>
      <c r="WPW307" s="104"/>
      <c r="WPX307" s="104"/>
      <c r="WPY307" s="104"/>
      <c r="WPZ307" s="104"/>
      <c r="WQA307" s="104"/>
      <c r="WQB307" s="104"/>
      <c r="WQC307" s="104"/>
      <c r="WQD307" s="104"/>
      <c r="WQE307" s="104"/>
      <c r="WQF307" s="104"/>
      <c r="WQG307" s="104"/>
      <c r="WQH307" s="104"/>
      <c r="WQI307" s="104"/>
      <c r="WQJ307" s="104"/>
      <c r="WQK307" s="104"/>
      <c r="WQL307" s="104"/>
      <c r="WQM307" s="104"/>
      <c r="WQN307" s="104"/>
      <c r="WQO307" s="104"/>
      <c r="WQP307" s="104"/>
      <c r="WQQ307" s="104"/>
      <c r="WQR307" s="104"/>
      <c r="WQS307" s="104"/>
      <c r="WQT307" s="104"/>
      <c r="WQU307" s="104"/>
      <c r="WQV307" s="104"/>
      <c r="WQW307" s="104"/>
      <c r="WQX307" s="104"/>
      <c r="WQY307" s="104"/>
      <c r="WQZ307" s="104"/>
      <c r="WRA307" s="104"/>
      <c r="WRB307" s="104"/>
      <c r="WRC307" s="104"/>
      <c r="WRD307" s="104"/>
      <c r="WRE307" s="104"/>
      <c r="WRF307" s="104"/>
      <c r="WRG307" s="104"/>
      <c r="WRH307" s="104"/>
      <c r="WRI307" s="104"/>
      <c r="WRJ307" s="104"/>
      <c r="WRK307" s="104"/>
      <c r="WRL307" s="104"/>
      <c r="WRM307" s="104"/>
      <c r="WRN307" s="104"/>
      <c r="WRO307" s="104"/>
      <c r="WRP307" s="104"/>
      <c r="WRQ307" s="104"/>
      <c r="WRR307" s="104"/>
      <c r="WRS307" s="104"/>
      <c r="WRT307" s="104"/>
      <c r="WRU307" s="104"/>
      <c r="WRV307" s="104"/>
      <c r="WRW307" s="104"/>
      <c r="WRX307" s="104"/>
      <c r="WRY307" s="104"/>
      <c r="WRZ307" s="104"/>
      <c r="WSA307" s="104"/>
      <c r="WSB307" s="104"/>
      <c r="WSC307" s="104"/>
      <c r="WSD307" s="104"/>
      <c r="WSE307" s="104"/>
      <c r="WSF307" s="104"/>
      <c r="WSG307" s="104"/>
      <c r="WSH307" s="104"/>
      <c r="WSI307" s="104"/>
      <c r="WSJ307" s="104"/>
      <c r="WSK307" s="104"/>
      <c r="WSL307" s="104"/>
      <c r="WSM307" s="104"/>
      <c r="WSN307" s="104"/>
      <c r="WSO307" s="104"/>
      <c r="WSP307" s="104"/>
      <c r="WSQ307" s="104"/>
      <c r="WSR307" s="104"/>
      <c r="WSS307" s="104"/>
      <c r="WST307" s="104"/>
      <c r="WSU307" s="104"/>
      <c r="WSV307" s="104"/>
      <c r="WSW307" s="104"/>
      <c r="WSX307" s="104"/>
      <c r="WSY307" s="104"/>
      <c r="WSZ307" s="104"/>
      <c r="WTA307" s="104"/>
      <c r="WTB307" s="104"/>
      <c r="WTC307" s="104"/>
      <c r="WTD307" s="104"/>
      <c r="WTE307" s="104"/>
      <c r="WTF307" s="104"/>
      <c r="WTG307" s="104"/>
      <c r="WTH307" s="104"/>
      <c r="WTI307" s="104"/>
      <c r="WTJ307" s="104"/>
      <c r="WTK307" s="104"/>
      <c r="WTL307" s="104"/>
      <c r="WTM307" s="104"/>
      <c r="WTN307" s="104"/>
      <c r="WTO307" s="104"/>
      <c r="WTP307" s="104"/>
      <c r="WTQ307" s="104"/>
      <c r="WTR307" s="104"/>
      <c r="WTS307" s="104"/>
      <c r="WTT307" s="104"/>
      <c r="WTU307" s="104"/>
      <c r="WTV307" s="104"/>
      <c r="WTW307" s="104"/>
      <c r="WTX307" s="104"/>
      <c r="WTY307" s="104"/>
      <c r="WTZ307" s="104"/>
      <c r="WUA307" s="104"/>
      <c r="WUB307" s="104"/>
      <c r="WUC307" s="104"/>
      <c r="WUD307" s="104"/>
      <c r="WUE307" s="104"/>
      <c r="WUF307" s="104"/>
      <c r="WUG307" s="104"/>
      <c r="WUH307" s="104"/>
      <c r="WUI307" s="104"/>
      <c r="WUJ307" s="104"/>
      <c r="WUK307" s="104"/>
      <c r="WUL307" s="104"/>
      <c r="WUM307" s="104"/>
      <c r="WUN307" s="104"/>
      <c r="WUO307" s="104"/>
      <c r="WUP307" s="104"/>
      <c r="WUQ307" s="104"/>
      <c r="WUR307" s="104"/>
      <c r="WUS307" s="104"/>
      <c r="WUT307" s="104"/>
      <c r="WUU307" s="104"/>
      <c r="WUV307" s="104"/>
      <c r="WUW307" s="104"/>
      <c r="WUX307" s="104"/>
      <c r="WUY307" s="104"/>
      <c r="WUZ307" s="104"/>
      <c r="WVA307" s="104"/>
      <c r="WVB307" s="104"/>
      <c r="WVC307" s="104"/>
      <c r="WVD307" s="104"/>
      <c r="WVE307" s="104"/>
      <c r="WVF307" s="104"/>
      <c r="WVG307" s="104"/>
      <c r="WVH307" s="104"/>
      <c r="WVI307" s="104"/>
      <c r="WVJ307" s="104"/>
      <c r="WVK307" s="104"/>
      <c r="WVL307" s="104"/>
      <c r="WVM307" s="104"/>
      <c r="WVN307" s="104"/>
      <c r="WVO307" s="104"/>
      <c r="WVP307" s="104"/>
      <c r="WVQ307" s="104"/>
      <c r="WVR307" s="104"/>
      <c r="WVS307" s="104"/>
      <c r="WVT307" s="104"/>
      <c r="WVU307" s="104"/>
      <c r="WVV307" s="104"/>
      <c r="WVW307" s="104"/>
      <c r="WVX307" s="104"/>
      <c r="WVY307" s="104"/>
      <c r="WVZ307" s="104"/>
      <c r="WWA307" s="104"/>
      <c r="WWB307" s="104"/>
      <c r="WWC307" s="104"/>
      <c r="WWD307" s="104"/>
      <c r="WWE307" s="104"/>
      <c r="WWF307" s="104"/>
      <c r="WWG307" s="104"/>
      <c r="WWH307" s="104"/>
      <c r="WWI307" s="104"/>
      <c r="WWJ307" s="104"/>
      <c r="WWK307" s="104"/>
      <c r="WWL307" s="104"/>
      <c r="WWM307" s="104"/>
      <c r="WWN307" s="104"/>
      <c r="WWO307" s="104"/>
      <c r="WWP307" s="104"/>
      <c r="WWQ307" s="104"/>
      <c r="WWR307" s="104"/>
      <c r="WWS307" s="104"/>
      <c r="WWT307" s="104"/>
      <c r="WWU307" s="104"/>
      <c r="WWV307" s="104"/>
      <c r="WWW307" s="104"/>
      <c r="WWX307" s="104"/>
      <c r="WWY307" s="104"/>
      <c r="WWZ307" s="104"/>
      <c r="WXA307" s="104"/>
      <c r="WXB307" s="104"/>
      <c r="WXC307" s="104"/>
      <c r="WXD307" s="104"/>
      <c r="WXE307" s="104"/>
      <c r="WXF307" s="104"/>
      <c r="WXG307" s="104"/>
      <c r="WXH307" s="104"/>
      <c r="WXI307" s="104"/>
      <c r="WXJ307" s="104"/>
      <c r="WXK307" s="104"/>
      <c r="WXL307" s="104"/>
      <c r="WXM307" s="104"/>
      <c r="WXN307" s="104"/>
      <c r="WXO307" s="104"/>
      <c r="WXP307" s="104"/>
      <c r="WXQ307" s="104"/>
      <c r="WXR307" s="104"/>
      <c r="WXS307" s="104"/>
      <c r="WXT307" s="104"/>
      <c r="WXU307" s="104"/>
      <c r="WXV307" s="104"/>
      <c r="WXW307" s="104"/>
      <c r="WXX307" s="104"/>
      <c r="WXY307" s="104"/>
      <c r="WXZ307" s="104"/>
      <c r="WYA307" s="104"/>
      <c r="WYB307" s="104"/>
      <c r="WYC307" s="104"/>
      <c r="WYD307" s="104"/>
      <c r="WYE307" s="104"/>
      <c r="WYF307" s="104"/>
      <c r="WYG307" s="104"/>
      <c r="WYH307" s="104"/>
      <c r="WYI307" s="104"/>
      <c r="WYJ307" s="104"/>
      <c r="WYK307" s="104"/>
      <c r="WYL307" s="104"/>
      <c r="WYM307" s="104"/>
      <c r="WYN307" s="104"/>
      <c r="WYO307" s="104"/>
      <c r="WYP307" s="104"/>
      <c r="WYQ307" s="104"/>
      <c r="WYR307" s="104"/>
      <c r="WYS307" s="104"/>
      <c r="WYT307" s="104"/>
      <c r="WYU307" s="104"/>
      <c r="WYV307" s="104"/>
      <c r="WYW307" s="104"/>
      <c r="WYX307" s="104"/>
      <c r="WYY307" s="104"/>
      <c r="WYZ307" s="104"/>
      <c r="WZA307" s="104"/>
      <c r="WZB307" s="104"/>
      <c r="WZC307" s="104"/>
      <c r="WZD307" s="104"/>
      <c r="WZE307" s="104"/>
      <c r="WZF307" s="104"/>
      <c r="WZG307" s="104"/>
      <c r="WZH307" s="104"/>
      <c r="WZI307" s="104"/>
      <c r="WZJ307" s="104"/>
      <c r="WZK307" s="104"/>
      <c r="WZL307" s="104"/>
      <c r="WZM307" s="104"/>
      <c r="WZN307" s="104"/>
      <c r="WZO307" s="104"/>
      <c r="WZP307" s="104"/>
      <c r="WZQ307" s="104"/>
      <c r="WZR307" s="104"/>
      <c r="WZS307" s="104"/>
      <c r="WZT307" s="104"/>
      <c r="WZU307" s="104"/>
      <c r="WZV307" s="104"/>
      <c r="WZW307" s="104"/>
      <c r="WZX307" s="104"/>
      <c r="WZY307" s="104"/>
      <c r="WZZ307" s="104"/>
      <c r="XAA307" s="104"/>
      <c r="XAB307" s="104"/>
      <c r="XAC307" s="104"/>
      <c r="XAD307" s="104"/>
      <c r="XAE307" s="104"/>
      <c r="XAF307" s="104"/>
      <c r="XAG307" s="104"/>
      <c r="XAH307" s="104"/>
      <c r="XAI307" s="104"/>
      <c r="XAJ307" s="104"/>
      <c r="XAK307" s="104"/>
      <c r="XAL307" s="104"/>
      <c r="XAM307" s="104"/>
      <c r="XAN307" s="104"/>
      <c r="XAO307" s="104"/>
      <c r="XAP307" s="104"/>
      <c r="XAQ307" s="104"/>
      <c r="XAR307" s="104"/>
      <c r="XAS307" s="104"/>
      <c r="XAT307" s="104"/>
      <c r="XAU307" s="104"/>
      <c r="XAV307" s="104"/>
      <c r="XAW307" s="104"/>
      <c r="XAX307" s="104"/>
      <c r="XAY307" s="104"/>
      <c r="XAZ307" s="104"/>
      <c r="XBA307" s="104"/>
      <c r="XBB307" s="104"/>
      <c r="XBC307" s="104"/>
      <c r="XBD307" s="104"/>
      <c r="XBE307" s="104"/>
      <c r="XBF307" s="104"/>
      <c r="XBG307" s="104"/>
      <c r="XBH307" s="104"/>
      <c r="XBI307" s="104"/>
      <c r="XBJ307" s="104"/>
      <c r="XBK307" s="104"/>
      <c r="XBL307" s="104"/>
      <c r="XBM307" s="104"/>
      <c r="XBN307" s="104"/>
      <c r="XBO307" s="104"/>
      <c r="XBP307" s="104"/>
      <c r="XBQ307" s="104"/>
      <c r="XBR307" s="104"/>
      <c r="XBS307" s="104"/>
      <c r="XBT307" s="104"/>
      <c r="XBU307" s="104"/>
      <c r="XBV307" s="104"/>
      <c r="XBW307" s="104"/>
      <c r="XBX307" s="104"/>
      <c r="XBY307" s="104"/>
      <c r="XBZ307" s="104"/>
      <c r="XCA307" s="104"/>
      <c r="XCB307" s="104"/>
      <c r="XCC307" s="104"/>
      <c r="XCD307" s="104"/>
      <c r="XCE307" s="104"/>
      <c r="XCF307" s="104"/>
      <c r="XCG307" s="104"/>
      <c r="XCH307" s="104"/>
      <c r="XCI307" s="104"/>
      <c r="XCJ307" s="104"/>
      <c r="XCK307" s="104"/>
      <c r="XCL307" s="104"/>
      <c r="XCM307" s="104"/>
      <c r="XCN307" s="104"/>
      <c r="XCO307" s="104"/>
      <c r="XCP307" s="104"/>
      <c r="XCQ307" s="104"/>
      <c r="XCR307" s="104"/>
      <c r="XCS307" s="104"/>
      <c r="XCT307" s="104"/>
      <c r="XCU307" s="104"/>
      <c r="XCV307" s="104"/>
      <c r="XCW307" s="104"/>
      <c r="XCX307" s="104"/>
      <c r="XCY307" s="104"/>
      <c r="XCZ307" s="104"/>
      <c r="XDA307" s="104"/>
      <c r="XDB307" s="104"/>
      <c r="XDC307" s="104"/>
      <c r="XDD307" s="104"/>
      <c r="XDE307" s="104"/>
      <c r="XDF307" s="104"/>
      <c r="XDG307" s="104"/>
      <c r="XDH307" s="104"/>
      <c r="XDI307" s="104"/>
      <c r="XDJ307" s="104"/>
      <c r="XDK307" s="104"/>
      <c r="XDL307" s="104"/>
      <c r="XDM307" s="104"/>
      <c r="XDN307" s="104"/>
      <c r="XDO307" s="104"/>
      <c r="XDP307" s="104"/>
      <c r="XDQ307" s="104"/>
      <c r="XDR307" s="104"/>
      <c r="XDS307" s="104"/>
      <c r="XDT307" s="104"/>
      <c r="XDU307" s="104"/>
      <c r="XDV307" s="104"/>
      <c r="XDW307" s="104"/>
      <c r="XDX307" s="104"/>
      <c r="XDY307" s="104"/>
      <c r="XDZ307" s="104"/>
      <c r="XEA307" s="104"/>
      <c r="XEB307" s="104"/>
      <c r="XEC307" s="104"/>
      <c r="XED307" s="104"/>
      <c r="XEE307" s="104"/>
      <c r="XEF307" s="104"/>
      <c r="XEG307" s="104"/>
      <c r="XEH307" s="104"/>
      <c r="XEI307" s="104"/>
      <c r="XEJ307" s="104"/>
      <c r="XEK307" s="104"/>
      <c r="XEL307" s="104"/>
      <c r="XEM307" s="104"/>
      <c r="XEN307" s="104"/>
      <c r="XEO307" s="104"/>
      <c r="XEP307" s="104"/>
      <c r="XEQ307" s="104"/>
      <c r="XER307" s="104"/>
    </row>
    <row r="308" spans="1:16372" x14ac:dyDescent="0.25">
      <c r="A308" s="31" t="s">
        <v>645</v>
      </c>
      <c r="B308" s="31" t="s">
        <v>693</v>
      </c>
      <c r="H308" s="31">
        <v>1</v>
      </c>
      <c r="O308" s="42">
        <f>C308*Prislapp!$C$2+D308*Prislapp!$D$2+E308*Prislapp!$E$2+F308*Prislapp!$F$2+G308*Prislapp!$G$2+H308*Prislapp!$H$2+I308*Prislapp!$I$2+J308*Prislapp!$J$2+K308*Prislapp!$K$2+L308*Prislapp!$L$2+M308*Prislapp!$M$2+N308*Prislapp!$N$2</f>
        <v>19473</v>
      </c>
      <c r="P308" s="42">
        <f>C308*Prislapp!$C$3+D308*Prislapp!$D$3+E308*Prislapp!$E$3+F308*Prislapp!$F$3+G308*Prislapp!$G$3+H308*Prislapp!$H$3+I308*Prislapp!$I$3+J308*Prislapp!$J$3+K308*Prislapp!$K$3+M308*Prislapp!$M$3+N308*Prislapp!$N$3</f>
        <v>34806</v>
      </c>
      <c r="Q308" s="42">
        <f>C308*Prislapp!$C$5+D308*Prislapp!$D$5+E308*Prislapp!$E$5+F308*Prislapp!$F$5+G308*Prislapp!$G$5+H308*Prislapp!$H$5+I308*Prislapp!$I$5+J308*Prislapp!$J$5+K308*Prislapp!$K$5+L308*Prislapp!$L$5+M308*Prislapp!$M$5+N308*Prislapp!$N$5</f>
        <v>21800</v>
      </c>
      <c r="R308" s="9">
        <f>VLOOKUP(A308,'Ansvar kurs'!$A$2:$B$830,2,FALSE)</f>
        <v>5730</v>
      </c>
      <c r="S308" s="159"/>
      <c r="T308" s="159"/>
      <c r="U308" s="159"/>
      <c r="V308" s="159"/>
      <c r="W308" s="159"/>
      <c r="X308" s="159"/>
      <c r="Y308" s="159"/>
      <c r="Z308" s="159"/>
    </row>
    <row r="309" spans="1:16372" x14ac:dyDescent="0.25">
      <c r="A309" s="31" t="s">
        <v>640</v>
      </c>
      <c r="B309" s="31" t="s">
        <v>694</v>
      </c>
      <c r="H309" s="31">
        <v>1</v>
      </c>
      <c r="O309" s="42">
        <f>C309*Prislapp!$C$2+D309*Prislapp!$D$2+E309*Prislapp!$E$2+F309*Prislapp!$F$2+G309*Prislapp!$G$2+H309*Prislapp!$H$2+I309*Prislapp!$I$2+J309*Prislapp!$J$2+K309*Prislapp!$K$2+L309*Prislapp!$L$2+M309*Prislapp!$M$2+N309*Prislapp!$N$2</f>
        <v>19473</v>
      </c>
      <c r="P309" s="42">
        <f>C309*Prislapp!$C$3+D309*Prislapp!$D$3+E309*Prislapp!$E$3+F309*Prislapp!$F$3+G309*Prislapp!$G$3+H309*Prislapp!$H$3+I309*Prislapp!$I$3+J309*Prislapp!$J$3+K309*Prislapp!$K$3+M309*Prislapp!$M$3+N309*Prislapp!$N$3</f>
        <v>34806</v>
      </c>
      <c r="Q309" s="42">
        <f>C309*Prislapp!$C$5+D309*Prislapp!$D$5+E309*Prislapp!$E$5+F309*Prislapp!$F$5+G309*Prislapp!$G$5+H309*Prislapp!$H$5+I309*Prislapp!$I$5+J309*Prislapp!$J$5+K309*Prislapp!$K$5+L309*Prislapp!$L$5+M309*Prislapp!$M$5+N309*Prislapp!$N$5</f>
        <v>21800</v>
      </c>
      <c r="R309" s="9">
        <f>VLOOKUP(A309,'Ansvar kurs'!$A$2:$B$830,2,FALSE)</f>
        <v>5730</v>
      </c>
      <c r="S309" s="159"/>
      <c r="T309" s="159"/>
      <c r="U309" s="159"/>
      <c r="V309" s="159"/>
      <c r="W309" s="159"/>
      <c r="X309" s="159"/>
      <c r="Y309" s="159"/>
      <c r="Z309" s="159"/>
    </row>
    <row r="310" spans="1:16372" x14ac:dyDescent="0.25">
      <c r="A310" s="31" t="s">
        <v>646</v>
      </c>
      <c r="B310" s="31" t="s">
        <v>617</v>
      </c>
      <c r="H310" s="31">
        <v>0.5</v>
      </c>
      <c r="J310" s="31">
        <v>0.5</v>
      </c>
      <c r="O310" s="42">
        <f>C310*Prislapp!$C$2+D310*Prislapp!$D$2+E310*Prislapp!$E$2+F310*Prislapp!$F$2+G310*Prislapp!$G$2+H310*Prislapp!$H$2+I310*Prislapp!$I$2+J310*Prislapp!$J$2+K310*Prislapp!$K$2+L310*Prislapp!$L$2+M310*Prislapp!$M$2+N310*Prislapp!$N$2</f>
        <v>19473</v>
      </c>
      <c r="P310" s="42">
        <f>C310*Prislapp!$C$3+D310*Prislapp!$D$3+E310*Prislapp!$E$3+F310*Prislapp!$F$3+G310*Prislapp!$G$3+H310*Prislapp!$H$3+I310*Prislapp!$I$3+J310*Prislapp!$J$3+K310*Prislapp!$K$3+M310*Prislapp!$M$3+N310*Prislapp!$N$3</f>
        <v>34806</v>
      </c>
      <c r="Q310" s="42">
        <f>C310*Prislapp!$C$5+D310*Prislapp!$D$5+E310*Prislapp!$E$5+F310*Prislapp!$F$5+G310*Prislapp!$G$5+H310*Prislapp!$H$5+I310*Prislapp!$I$5+J310*Prislapp!$J$5+K310*Prislapp!$K$5+L310*Prislapp!$L$5+M310*Prislapp!$M$5+N310*Prislapp!$N$5</f>
        <v>21800</v>
      </c>
      <c r="R310" s="9">
        <f>VLOOKUP(A310,'Ansvar kurs'!$A$2:$B$830,2,FALSE)</f>
        <v>5730</v>
      </c>
      <c r="S310" s="159"/>
      <c r="T310" s="159"/>
      <c r="U310" s="159"/>
      <c r="V310" s="159"/>
      <c r="W310" s="159"/>
      <c r="X310" s="159"/>
      <c r="Y310" s="159"/>
      <c r="Z310" s="159"/>
    </row>
    <row r="311" spans="1:16372" x14ac:dyDescent="0.25">
      <c r="A311" s="266" t="s">
        <v>939</v>
      </c>
      <c r="B311" s="31" t="s">
        <v>431</v>
      </c>
      <c r="H311" s="31">
        <v>1</v>
      </c>
      <c r="O311" s="42">
        <f>C311*Prislapp!$C$2+D311*Prislapp!$D$2+E311*Prislapp!$E$2+F311*Prislapp!$F$2+G311*Prislapp!$G$2+H311*Prislapp!$H$2+I311*Prislapp!$I$2+J311*Prislapp!$J$2+K311*Prislapp!$K$2+L311*Prislapp!$L$2+M311*Prislapp!$M$2+N311*Prislapp!$N$2</f>
        <v>19473</v>
      </c>
      <c r="P311" s="42">
        <f>C311*Prislapp!$C$3+D311*Prislapp!$D$3+E311*Prislapp!$E$3+F311*Prislapp!$F$3+G311*Prislapp!$G$3+H311*Prislapp!$H$3+I311*Prislapp!$I$3+J311*Prislapp!$J$3+K311*Prislapp!$K$3+M311*Prislapp!$M$3+N311*Prislapp!$N$3</f>
        <v>34806</v>
      </c>
      <c r="Q311" s="42">
        <f>C311*Prislapp!$C$5+D311*Prislapp!$D$5+E311*Prislapp!$E$5+F311*Prislapp!$F$5+G311*Prislapp!$G$5+H311*Prislapp!$H$5+I311*Prislapp!$I$5+J311*Prislapp!$J$5+K311*Prislapp!$K$5+L311*Prislapp!$L$5+M311*Prislapp!$M$5+N311*Prislapp!$N$5</f>
        <v>21800</v>
      </c>
      <c r="R311" s="9">
        <f>VLOOKUP(A311,'Ansvar kurs'!$A$2:$B$830,2,FALSE)</f>
        <v>5730</v>
      </c>
      <c r="S311" s="159"/>
      <c r="T311" s="159"/>
      <c r="U311" s="159"/>
      <c r="V311" s="159"/>
      <c r="W311" s="159"/>
      <c r="X311" s="159"/>
      <c r="Y311" s="159"/>
      <c r="Z311" s="159"/>
    </row>
    <row r="312" spans="1:16372" x14ac:dyDescent="0.25">
      <c r="A312" s="266" t="s">
        <v>975</v>
      </c>
      <c r="B312" s="31" t="s">
        <v>1162</v>
      </c>
      <c r="F312" s="31">
        <v>1</v>
      </c>
      <c r="O312" s="42">
        <f>C312*Prislapp!$C$2+D312*Prislapp!$D$2+E312*Prislapp!$E$2+F312*Prislapp!$F$2+G312*Prislapp!$G$2+H312*Prislapp!$H$2+I312*Prislapp!$I$2+J312*Prislapp!$J$2+K312*Prislapp!$K$2+L312*Prislapp!$L$2+M312*Prislapp!$M$2+N312*Prislapp!$N$2</f>
        <v>23641</v>
      </c>
      <c r="P312" s="42">
        <f>C312*Prislapp!$C$3+D312*Prislapp!$D$3+E312*Prislapp!$E$3+F312*Prislapp!$F$3+G312*Prislapp!$G$3+H312*Prislapp!$H$3+I312*Prislapp!$I$3+J312*Prislapp!$J$3+K312*Prislapp!$K$3+M312*Prislapp!$M$3+N312*Prislapp!$N$3</f>
        <v>28786</v>
      </c>
      <c r="Q312" s="42">
        <f>C312*Prislapp!$C$5+D312*Prislapp!$D$5+E312*Prislapp!$E$5+F312*Prislapp!$F$5+G312*Prislapp!$G$5+H312*Prislapp!$H$5+I312*Prislapp!$I$5+J312*Prislapp!$J$5+K312*Prislapp!$K$5+L312*Prislapp!$L$5+M312*Prislapp!$M$5+N312*Prislapp!$N$5</f>
        <v>5800</v>
      </c>
      <c r="R312" s="9">
        <f>VLOOKUP(A312,'Ansvar kurs'!$A$2:$B$830,2,FALSE)</f>
        <v>5730</v>
      </c>
      <c r="S312" s="159"/>
      <c r="T312" s="159"/>
      <c r="U312" s="159"/>
      <c r="V312" s="159"/>
      <c r="W312" s="159"/>
      <c r="X312" s="159"/>
      <c r="Y312" s="159"/>
      <c r="Z312" s="159"/>
    </row>
    <row r="313" spans="1:16372" x14ac:dyDescent="0.25">
      <c r="A313" s="266" t="s">
        <v>1103</v>
      </c>
      <c r="B313" s="31" t="s">
        <v>691</v>
      </c>
      <c r="H313" s="31">
        <v>1</v>
      </c>
      <c r="O313" s="42">
        <f>C313*Prislapp!$C$2+D313*Prislapp!$D$2+E313*Prislapp!$E$2+F313*Prislapp!$F$2+G313*Prislapp!$G$2+H313*Prislapp!$H$2+I313*Prislapp!$I$2+J313*Prislapp!$J$2+K313*Prislapp!$K$2+L313*Prislapp!$L$2+M313*Prislapp!$M$2+N313*Prislapp!$N$2</f>
        <v>19473</v>
      </c>
      <c r="P313" s="42">
        <f>C313*Prislapp!$C$3+D313*Prislapp!$D$3+E313*Prislapp!$E$3+F313*Prislapp!$F$3+G313*Prislapp!$G$3+H313*Prislapp!$H$3+I313*Prislapp!$I$3+J313*Prislapp!$J$3+K313*Prislapp!$K$3+M313*Prislapp!$M$3+N313*Prislapp!$N$3</f>
        <v>34806</v>
      </c>
      <c r="Q313" s="42">
        <f>C313*Prislapp!$C$5+D313*Prislapp!$D$5+E313*Prislapp!$E$5+F313*Prislapp!$F$5+G313*Prislapp!$G$5+H313*Prislapp!$H$5+I313*Prislapp!$I$5+J313*Prislapp!$J$5+K313*Prislapp!$K$5+L313*Prislapp!$L$5+M313*Prislapp!$M$5+N313*Prislapp!$N$5</f>
        <v>21800</v>
      </c>
      <c r="R313" s="9">
        <f>VLOOKUP(A313,'Ansvar kurs'!$A$2:$B$830,2,FALSE)</f>
        <v>5730</v>
      </c>
      <c r="S313" s="159" t="s">
        <v>1116</v>
      </c>
      <c r="T313" s="159"/>
      <c r="U313" s="159"/>
      <c r="V313" s="159"/>
      <c r="W313" s="159"/>
      <c r="X313" s="159"/>
      <c r="Y313" s="159"/>
      <c r="Z313" s="159"/>
    </row>
    <row r="314" spans="1:16372" x14ac:dyDescent="0.25">
      <c r="A314" s="266" t="s">
        <v>1117</v>
      </c>
      <c r="B314" s="31" t="s">
        <v>612</v>
      </c>
      <c r="H314" s="31">
        <v>1</v>
      </c>
      <c r="O314" s="42">
        <f>C314*Prislapp!$C$2+D314*Prislapp!$D$2+E314*Prislapp!$E$2+F314*Prislapp!$F$2+G314*Prislapp!$G$2+H314*Prislapp!$H$2+I314*Prislapp!$I$2+J314*Prislapp!$J$2+K314*Prislapp!$K$2+L314*Prislapp!$L$2+M314*Prislapp!$M$2+N314*Prislapp!$N$2</f>
        <v>19473</v>
      </c>
      <c r="P314" s="42">
        <f>C314*Prislapp!$C$3+D314*Prislapp!$D$3+E314*Prislapp!$E$3+F314*Prislapp!$F$3+G314*Prislapp!$G$3+H314*Prislapp!$H$3+I314*Prislapp!$I$3+J314*Prislapp!$J$3+K314*Prislapp!$K$3+M314*Prislapp!$M$3+N314*Prislapp!$N$3</f>
        <v>34806</v>
      </c>
      <c r="Q314" s="42">
        <f>C314*Prislapp!$C$5+D314*Prislapp!$D$5+E314*Prislapp!$E$5+F314*Prislapp!$F$5+G314*Prislapp!$G$5+H314*Prislapp!$H$5+I314*Prislapp!$I$5+J314*Prislapp!$J$5+K314*Prislapp!$K$5+L314*Prislapp!$L$5+M314*Prislapp!$M$5+N314*Prislapp!$N$5</f>
        <v>21800</v>
      </c>
      <c r="R314" s="9">
        <f>VLOOKUP(A314,'Ansvar kurs'!$A$2:$B$830,2,FALSE)</f>
        <v>5730</v>
      </c>
      <c r="S314" s="159" t="s">
        <v>1116</v>
      </c>
      <c r="T314" s="159"/>
      <c r="U314" s="159"/>
      <c r="V314" s="159"/>
      <c r="W314" s="159"/>
      <c r="X314" s="159"/>
      <c r="Y314" s="159"/>
      <c r="Z314" s="159"/>
    </row>
    <row r="315" spans="1:16372" x14ac:dyDescent="0.25">
      <c r="A315" s="265" t="s">
        <v>1352</v>
      </c>
      <c r="B315" s="31" t="s">
        <v>1072</v>
      </c>
      <c r="H315" s="31">
        <v>1</v>
      </c>
      <c r="O315" s="42">
        <f>C315*Prislapp!$C$2+D315*Prislapp!$D$2+E315*Prislapp!$E$2+F315*Prislapp!$F$2+G315*Prislapp!$G$2+H315*Prislapp!$H$2+I315*Prislapp!$I$2+J315*Prislapp!$J$2+K315*Prislapp!$K$2+L315*Prislapp!$L$2+M315*Prislapp!$M$2+N315*Prislapp!$N$2</f>
        <v>19473</v>
      </c>
      <c r="P315" s="42">
        <f>C315*Prislapp!$C$3+D315*Prislapp!$D$3+E315*Prislapp!$E$3+F315*Prislapp!$F$3+G315*Prislapp!$G$3+H315*Prislapp!$H$3+I315*Prislapp!$I$3+J315*Prislapp!$J$3+K315*Prislapp!$K$3+M315*Prislapp!$M$3+N315*Prislapp!$N$3</f>
        <v>34806</v>
      </c>
      <c r="Q315" s="42">
        <f>C315*Prislapp!$C$5+D315*Prislapp!$D$5+E315*Prislapp!$E$5+F315*Prislapp!$F$5+G315*Prislapp!$G$5+H315*Prislapp!$H$5+I315*Prislapp!$I$5+J315*Prislapp!$J$5+K315*Prislapp!$K$5+L315*Prislapp!$L$5+M315*Prislapp!$M$5+N315*Prislapp!$N$5</f>
        <v>21800</v>
      </c>
      <c r="R315" s="9">
        <f>VLOOKUP(A315,'Ansvar kurs'!$A$2:$B$830,2,FALSE)</f>
        <v>5730</v>
      </c>
      <c r="S315" s="159"/>
      <c r="T315" s="159"/>
      <c r="U315" s="159"/>
      <c r="V315" s="159"/>
      <c r="W315" s="159"/>
      <c r="X315" s="159"/>
      <c r="Y315" s="159"/>
      <c r="Z315" s="159"/>
    </row>
    <row r="316" spans="1:16372" x14ac:dyDescent="0.25">
      <c r="A316" s="266" t="s">
        <v>1313</v>
      </c>
      <c r="B316" s="31" t="s">
        <v>1314</v>
      </c>
      <c r="K316" s="31">
        <v>1</v>
      </c>
      <c r="O316" s="42">
        <f>C316*Prislapp!$C$2+D316*Prislapp!$D$2+E316*Prislapp!$E$2+F316*Prislapp!$F$2+G316*Prislapp!$G$2+H316*Prislapp!$H$2+I316*Prislapp!$I$2+J316*Prislapp!$J$2+K316*Prislapp!$K$2+L316*Prislapp!$L$2+M316*Prislapp!$M$2+N316*Prislapp!$N$2</f>
        <v>21634</v>
      </c>
      <c r="P316" s="42">
        <f>C316*Prislapp!$C$3+D316*Prislapp!$D$3+E316*Prislapp!$E$3+F316*Prislapp!$F$3+G316*Prislapp!$G$3+H316*Prislapp!$H$3+I316*Prislapp!$I$3+J316*Prislapp!$J$3+K316*Prislapp!$K$3+M316*Prislapp!$M$3+N316*Prislapp!$N$3</f>
        <v>26986</v>
      </c>
      <c r="Q316" s="42">
        <f>C316*Prislapp!$C$5+D316*Prislapp!$D$5+E316*Prislapp!$E$5+F316*Prislapp!$F$5+G316*Prislapp!$G$5+H316*Prislapp!$H$5+I316*Prislapp!$I$5+J316*Prislapp!$J$5+K316*Prislapp!$K$5+L316*Prislapp!$L$5+M316*Prislapp!$M$5+N316*Prislapp!$N$5</f>
        <v>3400</v>
      </c>
      <c r="R316" s="9">
        <f>VLOOKUP(A316,'Ansvar kurs'!$A$2:$B$830,2,FALSE)</f>
        <v>5730</v>
      </c>
      <c r="S316" s="159"/>
      <c r="T316" s="159"/>
      <c r="U316" s="159"/>
      <c r="V316" s="159"/>
      <c r="W316" s="159"/>
      <c r="X316" s="159"/>
      <c r="Y316" s="159"/>
      <c r="Z316" s="159"/>
    </row>
    <row r="317" spans="1:16372" x14ac:dyDescent="0.25">
      <c r="A317" s="266" t="s">
        <v>1353</v>
      </c>
      <c r="B317" s="31" t="s">
        <v>1187</v>
      </c>
      <c r="K317" s="31">
        <v>1</v>
      </c>
      <c r="O317" s="42">
        <f>C317*Prislapp!$C$2+D317*Prislapp!$D$2+E317*Prislapp!$E$2+F317*Prislapp!$F$2+G317*Prislapp!$G$2+H317*Prislapp!$H$2+I317*Prislapp!$I$2+J317*Prislapp!$J$2+K317*Prislapp!$K$2+L317*Prislapp!$L$2+M317*Prislapp!$M$2+N317*Prislapp!$N$2</f>
        <v>21634</v>
      </c>
      <c r="P317" s="42">
        <f>C317*Prislapp!$C$3+D317*Prislapp!$D$3+E317*Prislapp!$E$3+F317*Prislapp!$F$3+G317*Prislapp!$G$3+H317*Prislapp!$H$3+I317*Prislapp!$I$3+J317*Prislapp!$J$3+K317*Prislapp!$K$3+M317*Prislapp!$M$3+N317*Prislapp!$N$3</f>
        <v>26986</v>
      </c>
      <c r="Q317" s="42">
        <f>C317*Prislapp!$C$5+D317*Prislapp!$D$5+E317*Prislapp!$E$5+F317*Prislapp!$F$5+G317*Prislapp!$G$5+H317*Prislapp!$H$5+I317*Prislapp!$I$5+J317*Prislapp!$J$5+K317*Prislapp!$K$5+L317*Prislapp!$L$5+M317*Prislapp!$M$5+N317*Prislapp!$N$5</f>
        <v>3400</v>
      </c>
      <c r="R317" s="9">
        <f>VLOOKUP(A317,'Ansvar kurs'!$A$2:$B$830,2,FALSE)</f>
        <v>5730</v>
      </c>
      <c r="S317" s="159"/>
      <c r="T317" s="159"/>
      <c r="U317" s="159"/>
      <c r="V317" s="159"/>
      <c r="W317" s="159"/>
      <c r="X317" s="159"/>
      <c r="Y317" s="159"/>
      <c r="Z317" s="159"/>
    </row>
    <row r="318" spans="1:16372" x14ac:dyDescent="0.25">
      <c r="A318" s="31" t="s">
        <v>1297</v>
      </c>
      <c r="B318" s="31" t="s">
        <v>696</v>
      </c>
      <c r="H318" s="31">
        <v>1</v>
      </c>
      <c r="O318" s="42">
        <f>C318*Prislapp!$C$2+D318*Prislapp!$D$2+E318*Prislapp!$E$2+F318*Prislapp!$F$2+G318*Prislapp!$G$2+H318*Prislapp!$H$2+I318*Prislapp!$I$2+J318*Prislapp!$J$2+K318*Prislapp!$K$2+L318*Prislapp!$L$2+M318*Prislapp!$M$2+N318*Prislapp!$N$2</f>
        <v>19473</v>
      </c>
      <c r="P318" s="42">
        <f>C318*Prislapp!$C$3+D318*Prislapp!$D$3+E318*Prislapp!$E$3+F318*Prislapp!$F$3+G318*Prislapp!$G$3+H318*Prislapp!$H$3+I318*Prislapp!$I$3+J318*Prislapp!$J$3+K318*Prislapp!$K$3+M318*Prislapp!$M$3+N318*Prislapp!$N$3</f>
        <v>34806</v>
      </c>
      <c r="Q318" s="42">
        <f>C318*Prislapp!$C$5+D318*Prislapp!$D$5+E318*Prislapp!$E$5+F318*Prislapp!$F$5+G318*Prislapp!$G$5+H318*Prislapp!$H$5+I318*Prislapp!$I$5+J318*Prislapp!$J$5+K318*Prislapp!$K$5+L318*Prislapp!$L$5+M318*Prislapp!$M$5+N318*Prislapp!$N$5</f>
        <v>21800</v>
      </c>
      <c r="R318" s="9">
        <f>VLOOKUP(A318,'Ansvar kurs'!$A$2:$B$830,2,FALSE)</f>
        <v>5730</v>
      </c>
      <c r="S318" s="31" t="s">
        <v>1295</v>
      </c>
      <c r="T318" s="159"/>
      <c r="U318" s="159"/>
      <c r="V318" s="159"/>
      <c r="W318" s="159"/>
      <c r="X318" s="159"/>
      <c r="Y318" s="159"/>
      <c r="Z318" s="159"/>
    </row>
    <row r="319" spans="1:16372" x14ac:dyDescent="0.25">
      <c r="A319" s="266" t="s">
        <v>1455</v>
      </c>
      <c r="B319" s="31" t="s">
        <v>1456</v>
      </c>
      <c r="H319" s="31">
        <v>1</v>
      </c>
      <c r="O319" s="42">
        <f>C319*Prislapp!$C$2+D319*Prislapp!$D$2+E319*Prislapp!$E$2+F319*Prislapp!$F$2+G319*Prislapp!$G$2+H319*Prislapp!$H$2+I319*Prislapp!$I$2+J319*Prislapp!$J$2+K319*Prislapp!$K$2+L319*Prislapp!$L$2+M319*Prislapp!$M$2+N319*Prislapp!$N$2</f>
        <v>19473</v>
      </c>
      <c r="P319" s="42">
        <f>C319*Prislapp!$C$3+D319*Prislapp!$D$3+E319*Prislapp!$E$3+F319*Prislapp!$F$3+G319*Prislapp!$G$3+H319*Prislapp!$H$3+I319*Prislapp!$I$3+J319*Prislapp!$J$3+K319*Prislapp!$K$3+M319*Prislapp!$M$3+N319*Prislapp!$N$3</f>
        <v>34806</v>
      </c>
      <c r="Q319" s="42">
        <f>C319*Prislapp!$C$5+D319*Prislapp!$D$5+E319*Prislapp!$E$5+F319*Prislapp!$F$5+G319*Prislapp!$G$5+H319*Prislapp!$H$5+I319*Prislapp!$I$5+J319*Prislapp!$J$5+K319*Prislapp!$K$5+L319*Prislapp!$L$5+M319*Prislapp!$M$5+N319*Prislapp!$N$5</f>
        <v>21800</v>
      </c>
      <c r="R319" s="9">
        <f>VLOOKUP(A319,'Ansvar kurs'!$A$2:$B$830,2,FALSE)</f>
        <v>5730</v>
      </c>
      <c r="T319" s="159"/>
      <c r="U319" s="159"/>
      <c r="V319" s="159"/>
      <c r="W319" s="159"/>
      <c r="X319" s="159"/>
      <c r="Y319" s="159"/>
      <c r="Z319" s="159"/>
    </row>
    <row r="320" spans="1:16372" x14ac:dyDescent="0.25">
      <c r="A320" s="266" t="s">
        <v>1354</v>
      </c>
      <c r="B320" s="31" t="s">
        <v>1355</v>
      </c>
      <c r="H320" s="31">
        <v>1</v>
      </c>
      <c r="O320" s="42">
        <f>C320*Prislapp!$C$2+D320*Prislapp!$D$2+E320*Prislapp!$E$2+F320*Prislapp!$F$2+G320*Prislapp!$G$2+H320*Prislapp!$H$2+I320*Prislapp!$I$2+J320*Prislapp!$J$2+K320*Prislapp!$K$2+L320*Prislapp!$L$2+M320*Prislapp!$M$2+N320*Prislapp!$N$2</f>
        <v>19473</v>
      </c>
      <c r="P320" s="42">
        <f>C320*Prislapp!$C$3+D320*Prislapp!$D$3+E320*Prislapp!$E$3+F320*Prislapp!$F$3+G320*Prislapp!$G$3+H320*Prislapp!$H$3+I320*Prislapp!$I$3+J320*Prislapp!$J$3+K320*Prislapp!$K$3+M320*Prislapp!$M$3+N320*Prislapp!$N$3</f>
        <v>34806</v>
      </c>
      <c r="Q320" s="42">
        <f>C320*Prislapp!$C$5+D320*Prislapp!$D$5+E320*Prislapp!$E$5+F320*Prislapp!$F$5+G320*Prislapp!$G$5+H320*Prislapp!$H$5+I320*Prislapp!$I$5+J320*Prislapp!$J$5+K320*Prislapp!$K$5+L320*Prislapp!$L$5+M320*Prislapp!$M$5+N320*Prislapp!$N$5</f>
        <v>21800</v>
      </c>
      <c r="R320" s="9">
        <f>VLOOKUP(A320,'Ansvar kurs'!$A$2:$B$830,2,FALSE)</f>
        <v>5730</v>
      </c>
      <c r="T320" s="159"/>
      <c r="U320" s="159"/>
      <c r="V320" s="159"/>
      <c r="W320" s="159"/>
      <c r="X320" s="159"/>
      <c r="Y320" s="159"/>
      <c r="Z320" s="159"/>
    </row>
    <row r="321" spans="1:26" x14ac:dyDescent="0.25">
      <c r="A321" s="266" t="s">
        <v>1579</v>
      </c>
      <c r="B321" s="31" t="s">
        <v>612</v>
      </c>
      <c r="H321" s="31">
        <v>1</v>
      </c>
      <c r="O321" s="42">
        <f>C321*Prislapp!$C$2+D321*Prislapp!$D$2+E321*Prislapp!$E$2+F321*Prislapp!$F$2+G321*Prislapp!$G$2+H321*Prislapp!$H$2+I321*Prislapp!$I$2+J321*Prislapp!$J$2+K321*Prislapp!$K$2+L321*Prislapp!$L$2+M321*Prislapp!$M$2+N321*Prislapp!$N$2</f>
        <v>19473</v>
      </c>
      <c r="P321" s="42">
        <f>C321*Prislapp!$C$3+D321*Prislapp!$D$3+E321*Prislapp!$E$3+F321*Prislapp!$F$3+G321*Prislapp!$G$3+H321*Prislapp!$H$3+I321*Prislapp!$I$3+J321*Prislapp!$J$3+K321*Prislapp!$K$3+M321*Prislapp!$M$3+N321*Prislapp!$N$3</f>
        <v>34806</v>
      </c>
      <c r="Q321" s="42">
        <f>C321*Prislapp!$C$5+D321*Prislapp!$D$5+E321*Prislapp!$E$5+F321*Prislapp!$F$5+G321*Prislapp!$G$5+H321*Prislapp!$H$5+I321*Prislapp!$I$5+J321*Prislapp!$J$5+K321*Prislapp!$K$5+L321*Prislapp!$L$5+M321*Prislapp!$M$5+N321*Prislapp!$N$5</f>
        <v>21800</v>
      </c>
      <c r="R321" s="9">
        <f>VLOOKUP(A321,'Ansvar kurs'!$A$2:$B$830,2,FALSE)</f>
        <v>5730</v>
      </c>
      <c r="T321" s="159"/>
      <c r="U321" s="159"/>
      <c r="V321" s="159"/>
      <c r="W321" s="159"/>
      <c r="X321" s="159"/>
      <c r="Y321" s="159"/>
      <c r="Z321" s="159"/>
    </row>
    <row r="322" spans="1:26" x14ac:dyDescent="0.25">
      <c r="A322" s="266" t="s">
        <v>1861</v>
      </c>
      <c r="B322" s="31" t="s">
        <v>695</v>
      </c>
      <c r="H322" s="31">
        <v>1</v>
      </c>
      <c r="O322" s="42">
        <f>C322*Prislapp!$C$2+D322*Prislapp!$D$2+E322*Prislapp!$E$2+F322*Prislapp!$F$2+G322*Prislapp!$G$2+H322*Prislapp!$H$2+I322*Prislapp!$I$2+J322*Prislapp!$J$2+K322*Prislapp!$K$2+L322*Prislapp!$L$2+M322*Prislapp!$M$2+N322*Prislapp!$N$2</f>
        <v>19473</v>
      </c>
      <c r="P322" s="42">
        <f>C322*Prislapp!$C$3+D322*Prislapp!$D$3+E322*Prislapp!$E$3+F322*Prislapp!$F$3+G322*Prislapp!$G$3+H322*Prislapp!$H$3+I322*Prislapp!$I$3+J322*Prislapp!$J$3+K322*Prislapp!$K$3+M322*Prislapp!$M$3+N322*Prislapp!$N$3</f>
        <v>34806</v>
      </c>
      <c r="Q322" s="42">
        <f>C322*Prislapp!$C$5+D322*Prislapp!$D$5+E322*Prislapp!$E$5+F322*Prislapp!$F$5+G322*Prislapp!$G$5+H322*Prislapp!$H$5+I322*Prislapp!$I$5+J322*Prislapp!$J$5+K322*Prislapp!$K$5+L322*Prislapp!$L$5+M322*Prislapp!$M$5+N322*Prislapp!$N$5</f>
        <v>21800</v>
      </c>
      <c r="R322" s="9">
        <f>VLOOKUP(A322,'Ansvar kurs'!$A$2:$B$830,2,FALSE)</f>
        <v>5730</v>
      </c>
      <c r="S322" s="31" t="s">
        <v>1968</v>
      </c>
      <c r="T322" s="159"/>
      <c r="U322" s="159"/>
      <c r="V322" s="159"/>
      <c r="W322" s="159"/>
      <c r="X322" s="159"/>
      <c r="Y322" s="159"/>
      <c r="Z322" s="159"/>
    </row>
    <row r="323" spans="1:26" x14ac:dyDescent="0.25">
      <c r="A323" s="266" t="s">
        <v>1862</v>
      </c>
      <c r="B323" s="31" t="s">
        <v>1876</v>
      </c>
      <c r="H323" s="31">
        <v>0.5</v>
      </c>
      <c r="J323" s="31">
        <v>0.5</v>
      </c>
      <c r="O323" s="42">
        <f>C323*Prislapp!$C$2+D323*Prislapp!$D$2+E323*Prislapp!$E$2+F323*Prislapp!$F$2+G323*Prislapp!$G$2+H323*Prislapp!$H$2+I323*Prislapp!$I$2+J323*Prislapp!$J$2+K323*Prislapp!$K$2+L323*Prislapp!$L$2+M323*Prislapp!$M$2+N323*Prislapp!$N$2</f>
        <v>19473</v>
      </c>
      <c r="P323" s="42">
        <f>C323*Prislapp!$C$3+D323*Prislapp!$D$3+E323*Prislapp!$E$3+F323*Prislapp!$F$3+G323*Prislapp!$G$3+H323*Prislapp!$H$3+I323*Prislapp!$I$3+J323*Prislapp!$J$3+K323*Prislapp!$K$3+M323*Prislapp!$M$3+N323*Prislapp!$N$3</f>
        <v>34806</v>
      </c>
      <c r="Q323" s="42">
        <f>C323*Prislapp!$C$5+D323*Prislapp!$D$5+E323*Prislapp!$E$5+F323*Prislapp!$F$5+G323*Prislapp!$G$5+H323*Prislapp!$H$5+I323*Prislapp!$I$5+J323*Prislapp!$J$5+K323*Prislapp!$K$5+L323*Prislapp!$L$5+M323*Prislapp!$M$5+N323*Prislapp!$N$5</f>
        <v>21800</v>
      </c>
      <c r="R323" s="9">
        <f>VLOOKUP(A323,'Ansvar kurs'!$A$2:$B$830,2,FALSE)</f>
        <v>5730</v>
      </c>
      <c r="T323" s="159"/>
      <c r="U323" s="159"/>
      <c r="V323" s="159"/>
      <c r="W323" s="159"/>
      <c r="X323" s="159"/>
      <c r="Y323" s="159"/>
      <c r="Z323" s="159"/>
    </row>
    <row r="324" spans="1:26" x14ac:dyDescent="0.25">
      <c r="A324" s="266" t="s">
        <v>1863</v>
      </c>
      <c r="B324" s="31" t="s">
        <v>625</v>
      </c>
      <c r="H324" s="31">
        <v>1</v>
      </c>
      <c r="O324" s="42">
        <f>C324*Prislapp!$C$2+D324*Prislapp!$D$2+E324*Prislapp!$E$2+F324*Prislapp!$F$2+G324*Prislapp!$G$2+H324*Prislapp!$H$2+I324*Prislapp!$I$2+J324*Prislapp!$J$2+K324*Prislapp!$K$2+L324*Prislapp!$L$2+M324*Prislapp!$M$2+N324*Prislapp!$N$2</f>
        <v>19473</v>
      </c>
      <c r="P324" s="42">
        <f>C324*Prislapp!$C$3+D324*Prislapp!$D$3+E324*Prislapp!$E$3+F324*Prislapp!$F$3+G324*Prislapp!$G$3+H324*Prislapp!$H$3+I324*Prislapp!$I$3+J324*Prislapp!$J$3+K324*Prislapp!$K$3+M324*Prislapp!$M$3+N324*Prislapp!$N$3</f>
        <v>34806</v>
      </c>
      <c r="Q324" s="42">
        <f>C324*Prislapp!$C$5+D324*Prislapp!$D$5+E324*Prislapp!$E$5+F324*Prislapp!$F$5+G324*Prislapp!$G$5+H324*Prislapp!$H$5+I324*Prislapp!$I$5+J324*Prislapp!$J$5+K324*Prislapp!$K$5+L324*Prislapp!$L$5+M324*Prislapp!$M$5+N324*Prislapp!$N$5</f>
        <v>21800</v>
      </c>
      <c r="R324" s="9">
        <f>VLOOKUP(A324,'Ansvar kurs'!$A$2:$B$830,2,FALSE)</f>
        <v>5730</v>
      </c>
      <c r="S324" s="31" t="s">
        <v>1968</v>
      </c>
      <c r="T324" s="159"/>
      <c r="U324" s="159"/>
      <c r="V324" s="159"/>
      <c r="W324" s="159"/>
      <c r="X324" s="159"/>
      <c r="Y324" s="159"/>
      <c r="Z324" s="159"/>
    </row>
    <row r="325" spans="1:26" x14ac:dyDescent="0.25">
      <c r="A325" s="266" t="s">
        <v>2007</v>
      </c>
      <c r="B325" s="31" t="s">
        <v>2021</v>
      </c>
      <c r="H325" s="31">
        <v>0.5</v>
      </c>
      <c r="J325" s="31">
        <v>0.5</v>
      </c>
      <c r="O325" s="42">
        <f>C325*Prislapp!$C$2+D325*Prislapp!$D$2+E325*Prislapp!$E$2+F325*Prislapp!$F$2+G325*Prislapp!$G$2+H325*Prislapp!$H$2+I325*Prislapp!$I$2+J325*Prislapp!$J$2+K325*Prislapp!$K$2+L325*Prislapp!$L$2+M325*Prislapp!$M$2+N325*Prislapp!$N$2</f>
        <v>19473</v>
      </c>
      <c r="P325" s="42">
        <f>C325*Prislapp!$C$3+D325*Prislapp!$D$3+E325*Prislapp!$E$3+F325*Prislapp!$F$3+G325*Prislapp!$G$3+H325*Prislapp!$H$3+I325*Prislapp!$I$3+J325*Prislapp!$J$3+K325*Prislapp!$K$3+M325*Prislapp!$M$3+N325*Prislapp!$N$3</f>
        <v>34806</v>
      </c>
      <c r="Q325" s="42">
        <f>C325*Prislapp!$C$5+D325*Prislapp!$D$5+E325*Prislapp!$E$5+F325*Prislapp!$F$5+G325*Prislapp!$G$5+H325*Prislapp!$H$5+I325*Prislapp!$I$5+J325*Prislapp!$J$5+K325*Prislapp!$K$5+L325*Prislapp!$L$5+M325*Prislapp!$M$5+N325*Prislapp!$N$5</f>
        <v>21800</v>
      </c>
      <c r="R325" s="9">
        <f>VLOOKUP(A325,'Ansvar kurs'!$A$2:$B$830,2,FALSE)</f>
        <v>5730</v>
      </c>
      <c r="S325" s="31" t="s">
        <v>2176</v>
      </c>
      <c r="T325" s="159"/>
      <c r="U325" s="159"/>
      <c r="V325" s="159"/>
      <c r="W325" s="159"/>
      <c r="X325" s="159"/>
      <c r="Y325" s="159"/>
      <c r="Z325" s="159"/>
    </row>
    <row r="326" spans="1:26" x14ac:dyDescent="0.25">
      <c r="A326" s="266" t="s">
        <v>2008</v>
      </c>
      <c r="B326" s="31" t="s">
        <v>2022</v>
      </c>
      <c r="H326" s="31">
        <v>0.5</v>
      </c>
      <c r="J326" s="31">
        <v>0.5</v>
      </c>
      <c r="O326" s="42">
        <f>C326*Prislapp!$C$2+D326*Prislapp!$D$2+E326*Prislapp!$E$2+F326*Prislapp!$F$2+G326*Prislapp!$G$2+H326*Prislapp!$H$2+I326*Prislapp!$I$2+J326*Prislapp!$J$2+K326*Prislapp!$K$2+L326*Prislapp!$L$2+M326*Prislapp!$M$2+N326*Prislapp!$N$2</f>
        <v>19473</v>
      </c>
      <c r="P326" s="42">
        <f>C326*Prislapp!$C$3+D326*Prislapp!$D$3+E326*Prislapp!$E$3+F326*Prislapp!$F$3+G326*Prislapp!$G$3+H326*Prislapp!$H$3+I326*Prislapp!$I$3+J326*Prislapp!$J$3+K326*Prislapp!$K$3+M326*Prislapp!$M$3+N326*Prislapp!$N$3</f>
        <v>34806</v>
      </c>
      <c r="Q326" s="42">
        <f>C326*Prislapp!$C$5+D326*Prislapp!$D$5+E326*Prislapp!$E$5+F326*Prislapp!$F$5+G326*Prislapp!$G$5+H326*Prislapp!$H$5+I326*Prislapp!$I$5+J326*Prislapp!$J$5+K326*Prislapp!$K$5+L326*Prislapp!$L$5+M326*Prislapp!$M$5+N326*Prislapp!$N$5</f>
        <v>21800</v>
      </c>
      <c r="R326" s="9">
        <f>VLOOKUP(A326,'Ansvar kurs'!$A$2:$B$830,2,FALSE)</f>
        <v>5730</v>
      </c>
      <c r="S326" s="31" t="s">
        <v>2176</v>
      </c>
      <c r="T326" s="159"/>
      <c r="U326" s="159"/>
      <c r="V326" s="159"/>
      <c r="W326" s="159"/>
      <c r="X326" s="159"/>
      <c r="Y326" s="159"/>
      <c r="Z326" s="159"/>
    </row>
    <row r="327" spans="1:26" x14ac:dyDescent="0.25">
      <c r="A327" s="266" t="s">
        <v>2009</v>
      </c>
      <c r="B327" s="31" t="s">
        <v>617</v>
      </c>
      <c r="H327" s="31">
        <v>0.5</v>
      </c>
      <c r="J327" s="31">
        <v>0.5</v>
      </c>
      <c r="O327" s="42">
        <f>C327*Prislapp!$C$2+D327*Prislapp!$D$2+E327*Prislapp!$E$2+F327*Prislapp!$F$2+G327*Prislapp!$G$2+H327*Prislapp!$H$2+I327*Prislapp!$I$2+J327*Prislapp!$J$2+K327*Prislapp!$K$2+L327*Prislapp!$L$2+M327*Prislapp!$M$2+N327*Prislapp!$N$2</f>
        <v>19473</v>
      </c>
      <c r="P327" s="42">
        <f>C327*Prislapp!$C$3+D327*Prislapp!$D$3+E327*Prislapp!$E$3+F327*Prislapp!$F$3+G327*Prislapp!$G$3+H327*Prislapp!$H$3+I327*Prislapp!$I$3+J327*Prislapp!$J$3+K327*Prislapp!$K$3+M327*Prislapp!$M$3+N327*Prislapp!$N$3</f>
        <v>34806</v>
      </c>
      <c r="Q327" s="42">
        <f>C327*Prislapp!$C$5+D327*Prislapp!$D$5+E327*Prislapp!$E$5+F327*Prislapp!$F$5+G327*Prislapp!$G$5+H327*Prislapp!$H$5+I327*Prislapp!$I$5+J327*Prislapp!$J$5+K327*Prislapp!$K$5+L327*Prislapp!$L$5+M327*Prislapp!$M$5+N327*Prislapp!$N$5</f>
        <v>21800</v>
      </c>
      <c r="R327" s="9">
        <f>VLOOKUP(A327,'Ansvar kurs'!$A$2:$B$830,2,FALSE)</f>
        <v>5730</v>
      </c>
      <c r="S327" s="31" t="s">
        <v>2176</v>
      </c>
      <c r="T327" s="159"/>
      <c r="U327" s="159"/>
      <c r="V327" s="159"/>
      <c r="W327" s="159"/>
      <c r="X327" s="159"/>
      <c r="Y327" s="159"/>
      <c r="Z327" s="159"/>
    </row>
    <row r="328" spans="1:26" x14ac:dyDescent="0.25">
      <c r="A328" s="266" t="s">
        <v>1963</v>
      </c>
      <c r="B328" s="31" t="s">
        <v>1969</v>
      </c>
      <c r="H328" s="31">
        <v>0.5</v>
      </c>
      <c r="J328" s="31">
        <v>0.5</v>
      </c>
      <c r="O328" s="42">
        <f>C328*Prislapp!$C$2+D328*Prislapp!$D$2+E328*Prislapp!$E$2+F328*Prislapp!$F$2+G328*Prislapp!$G$2+H328*Prislapp!$H$2+I328*Prislapp!$I$2+J328*Prislapp!$J$2+K328*Prislapp!$K$2+L328*Prislapp!$L$2+M328*Prislapp!$M$2+N328*Prislapp!$N$2</f>
        <v>19473</v>
      </c>
      <c r="P328" s="42">
        <f>C328*Prislapp!$C$3+D328*Prislapp!$D$3+E328*Prislapp!$E$3+F328*Prislapp!$F$3+G328*Prislapp!$G$3+H328*Prislapp!$H$3+I328*Prislapp!$I$3+J328*Prislapp!$J$3+K328*Prislapp!$K$3+M328*Prislapp!$M$3+N328*Prislapp!$N$3</f>
        <v>34806</v>
      </c>
      <c r="Q328" s="42">
        <f>C328*Prislapp!$C$5+D328*Prislapp!$D$5+E328*Prislapp!$E$5+F328*Prislapp!$F$5+G328*Prislapp!$G$5+H328*Prislapp!$H$5+I328*Prislapp!$I$5+J328*Prislapp!$J$5+K328*Prislapp!$K$5+L328*Prislapp!$L$5+M328*Prislapp!$M$5+N328*Prislapp!$N$5</f>
        <v>21800</v>
      </c>
      <c r="R328" s="9">
        <f>VLOOKUP(A328,'Ansvar kurs'!$A$2:$B$830,2,FALSE)</f>
        <v>5730</v>
      </c>
      <c r="T328" s="159"/>
      <c r="U328" s="159"/>
      <c r="V328" s="159"/>
      <c r="W328" s="159"/>
      <c r="X328" s="159"/>
      <c r="Y328" s="159"/>
      <c r="Z328" s="159"/>
    </row>
    <row r="329" spans="1:26" x14ac:dyDescent="0.25">
      <c r="A329" s="266" t="s">
        <v>2050</v>
      </c>
      <c r="B329" s="62" t="s">
        <v>1542</v>
      </c>
      <c r="H329" s="31">
        <v>0.5</v>
      </c>
      <c r="J329" s="31">
        <v>0.5</v>
      </c>
      <c r="O329" s="42">
        <f>C329*Prislapp!$C$2+D329*Prislapp!$D$2+E329*Prislapp!$E$2+F329*Prislapp!$F$2+G329*Prislapp!$G$2+H329*Prislapp!$H$2+I329*Prislapp!$I$2+J329*Prislapp!$J$2+K329*Prislapp!$K$2+L329*Prislapp!$L$2+M329*Prislapp!$M$2+N329*Prislapp!$N$2</f>
        <v>19473</v>
      </c>
      <c r="P329" s="42">
        <f>C329*Prislapp!$C$3+D329*Prislapp!$D$3+E329*Prislapp!$E$3+F329*Prislapp!$F$3+G329*Prislapp!$G$3+H329*Prislapp!$H$3+I329*Prislapp!$I$3+J329*Prislapp!$J$3+K329*Prislapp!$K$3+M329*Prislapp!$M$3+N329*Prislapp!$N$3</f>
        <v>34806</v>
      </c>
      <c r="Q329" s="42">
        <f>C329*Prislapp!$C$5+D329*Prislapp!$D$5+E329*Prislapp!$E$5+F329*Prislapp!$F$5+G329*Prislapp!$G$5+H329*Prislapp!$H$5+I329*Prislapp!$I$5+J329*Prislapp!$J$5+K329*Prislapp!$K$5+L329*Prislapp!$L$5+M329*Prislapp!$M$5+N329*Prislapp!$N$5</f>
        <v>21800</v>
      </c>
      <c r="R329" s="9">
        <f>VLOOKUP(A329,'Ansvar kurs'!$A$2:$B$830,2,FALSE)</f>
        <v>5730</v>
      </c>
      <c r="S329" s="31" t="s">
        <v>2176</v>
      </c>
      <c r="T329" s="159"/>
      <c r="U329" s="159"/>
      <c r="V329" s="159"/>
      <c r="W329" s="159"/>
      <c r="X329" s="159"/>
      <c r="Y329" s="159"/>
      <c r="Z329" s="159"/>
    </row>
    <row r="330" spans="1:26" x14ac:dyDescent="0.25">
      <c r="A330" s="266" t="s">
        <v>1911</v>
      </c>
      <c r="B330" s="31" t="s">
        <v>1914</v>
      </c>
      <c r="H330" s="31">
        <v>1</v>
      </c>
      <c r="O330" s="42">
        <f>C330*Prislapp!$C$2+D330*Prislapp!$D$2+E330*Prislapp!$E$2+F330*Prislapp!$F$2+G330*Prislapp!$G$2+H330*Prislapp!$H$2+I330*Prislapp!$I$2+J330*Prislapp!$J$2+K330*Prislapp!$K$2+L330*Prislapp!$L$2+M330*Prislapp!$M$2+N330*Prislapp!$N$2</f>
        <v>19473</v>
      </c>
      <c r="P330" s="42">
        <f>C330*Prislapp!$C$3+D330*Prislapp!$D$3+E330*Prislapp!$E$3+F330*Prislapp!$F$3+G330*Prislapp!$G$3+H330*Prislapp!$H$3+I330*Prislapp!$I$3+J330*Prislapp!$J$3+K330*Prislapp!$K$3+M330*Prislapp!$M$3+N330*Prislapp!$N$3</f>
        <v>34806</v>
      </c>
      <c r="Q330" s="42">
        <f>C330*Prislapp!$C$5+D330*Prislapp!$D$5+E330*Prislapp!$E$5+F330*Prislapp!$F$5+G330*Prislapp!$G$5+H330*Prislapp!$H$5+I330*Prislapp!$I$5+J330*Prislapp!$J$5+K330*Prislapp!$K$5+L330*Prislapp!$L$5+M330*Prislapp!$M$5+N330*Prislapp!$N$5</f>
        <v>21800</v>
      </c>
      <c r="R330" s="9">
        <f>VLOOKUP(A330,'Ansvar kurs'!$A$2:$B$830,2,FALSE)</f>
        <v>5730</v>
      </c>
      <c r="T330" s="159"/>
      <c r="U330" s="159"/>
      <c r="V330" s="159"/>
      <c r="W330" s="159"/>
      <c r="X330" s="159"/>
      <c r="Y330" s="159"/>
      <c r="Z330" s="159"/>
    </row>
    <row r="331" spans="1:26" x14ac:dyDescent="0.25">
      <c r="A331" s="266" t="s">
        <v>2010</v>
      </c>
      <c r="B331" s="31" t="s">
        <v>2023</v>
      </c>
      <c r="K331" s="31">
        <v>1</v>
      </c>
      <c r="O331" s="42">
        <f>C331*Prislapp!$C$2+D331*Prislapp!$D$2+E331*Prislapp!$E$2+F331*Prislapp!$F$2+G331*Prislapp!$G$2+H331*Prislapp!$H$2+I331*Prislapp!$I$2+J331*Prislapp!$J$2+K331*Prislapp!$K$2+L331*Prislapp!$L$2+M331*Prislapp!$M$2+N331*Prislapp!$N$2</f>
        <v>21634</v>
      </c>
      <c r="P331" s="42">
        <f>C331*Prislapp!$C$3+D331*Prislapp!$D$3+E331*Prislapp!$E$3+F331*Prislapp!$F$3+G331*Prislapp!$G$3+H331*Prislapp!$H$3+I331*Prislapp!$I$3+J331*Prislapp!$J$3+K331*Prislapp!$K$3+M331*Prislapp!$M$3+N331*Prislapp!$N$3</f>
        <v>26986</v>
      </c>
      <c r="Q331" s="42">
        <f>C331*Prislapp!$C$5+D331*Prislapp!$D$5+E331*Prislapp!$E$5+F331*Prislapp!$F$5+G331*Prislapp!$G$5+H331*Prislapp!$H$5+I331*Prislapp!$I$5+J331*Prislapp!$J$5+K331*Prislapp!$K$5+L331*Prislapp!$L$5+M331*Prislapp!$M$5+N331*Prislapp!$N$5</f>
        <v>3400</v>
      </c>
      <c r="R331" s="9">
        <f>VLOOKUP(A331,'Ansvar kurs'!$A$2:$B$830,2,FALSE)</f>
        <v>5730</v>
      </c>
      <c r="T331" s="159"/>
      <c r="U331" s="159"/>
      <c r="V331" s="159"/>
      <c r="W331" s="159"/>
      <c r="X331" s="159"/>
      <c r="Y331" s="159"/>
      <c r="Z331" s="159"/>
    </row>
    <row r="332" spans="1:26" x14ac:dyDescent="0.25">
      <c r="A332" s="266" t="s">
        <v>2051</v>
      </c>
      <c r="B332" s="413" t="s">
        <v>2077</v>
      </c>
      <c r="H332" s="295">
        <v>0.5</v>
      </c>
      <c r="I332" s="295"/>
      <c r="J332" s="295">
        <v>0.5</v>
      </c>
      <c r="O332" s="42">
        <f>C332*Prislapp!$C$2+D332*Prislapp!$D$2+E332*Prislapp!$E$2+F332*Prislapp!$F$2+G332*Prislapp!$G$2+H332*Prislapp!$H$2+I332*Prislapp!$I$2+J332*Prislapp!$J$2+K332*Prislapp!$K$2+L332*Prislapp!$L$2+M332*Prislapp!$M$2+N332*Prislapp!$N$2</f>
        <v>19473</v>
      </c>
      <c r="P332" s="42">
        <f>C332*Prislapp!$C$3+D332*Prislapp!$D$3+E332*Prislapp!$E$3+F332*Prislapp!$F$3+G332*Prislapp!$G$3+H332*Prislapp!$H$3+I332*Prislapp!$I$3+J332*Prislapp!$J$3+K332*Prislapp!$K$3+M332*Prislapp!$M$3+N332*Prislapp!$N$3</f>
        <v>34806</v>
      </c>
      <c r="Q332" s="42">
        <f>C332*Prislapp!$C$5+D332*Prislapp!$D$5+E332*Prislapp!$E$5+F332*Prislapp!$F$5+G332*Prislapp!$G$5+H332*Prislapp!$H$5+I332*Prislapp!$I$5+J332*Prislapp!$J$5+K332*Prislapp!$K$5+L332*Prislapp!$L$5+M332*Prislapp!$M$5+N332*Prislapp!$N$5</f>
        <v>21800</v>
      </c>
      <c r="R332" s="9">
        <f>VLOOKUP(A332,'Ansvar kurs'!$A$2:$B$830,2,FALSE)</f>
        <v>5730</v>
      </c>
      <c r="S332" s="295" t="s">
        <v>1917</v>
      </c>
      <c r="T332" s="159"/>
      <c r="U332" s="159"/>
      <c r="V332" s="159"/>
      <c r="W332" s="159"/>
      <c r="X332" s="159"/>
      <c r="Y332" s="159"/>
      <c r="Z332" s="159"/>
    </row>
    <row r="333" spans="1:26" x14ac:dyDescent="0.25">
      <c r="A333" s="266" t="s">
        <v>1043</v>
      </c>
      <c r="B333" s="62" t="s">
        <v>1071</v>
      </c>
      <c r="H333" s="31">
        <v>1</v>
      </c>
      <c r="L333" s="31">
        <v>0</v>
      </c>
      <c r="O333" s="42">
        <f>C333*Prislapp!$C$2+D333*Prislapp!$D$2+E333*Prislapp!$E$2+F333*Prislapp!$F$2+G333*Prislapp!$G$2+H333*Prislapp!$H$2+I333*Prislapp!$I$2+J333*Prislapp!$J$2+K333*Prislapp!$K$2+L333*Prislapp!$L$2+M333*Prislapp!$M$2+N333*Prislapp!$N$2</f>
        <v>19473</v>
      </c>
      <c r="P333" s="42">
        <f>C333*Prislapp!$C$3+D333*Prislapp!$D$3+E333*Prislapp!$E$3+F333*Prislapp!$F$3+G333*Prislapp!$G$3+H333*Prislapp!$H$3+I333*Prislapp!$I$3+J333*Prislapp!$J$3+K333*Prislapp!$K$3+M333*Prislapp!$M$3+N333*Prislapp!$N$3</f>
        <v>34806</v>
      </c>
      <c r="Q333" s="42">
        <f>C333*Prislapp!$C$5+D333*Prislapp!$D$5+E333*Prislapp!$E$5+F333*Prislapp!$F$5+G333*Prislapp!$G$5+H333*Prislapp!$H$5+I333*Prislapp!$I$5+J333*Prislapp!$J$5+K333*Prislapp!$K$5+L333*Prislapp!$L$5+M333*Prislapp!$M$5+N333*Prislapp!$N$5</f>
        <v>21800</v>
      </c>
      <c r="R333" s="9">
        <f>VLOOKUP(A333,'Ansvar kurs'!$A$2:$B$830,2,FALSE)</f>
        <v>5730</v>
      </c>
      <c r="S333" s="159"/>
      <c r="T333" s="159"/>
      <c r="U333" s="159"/>
      <c r="V333" s="159"/>
      <c r="W333" s="159"/>
      <c r="X333" s="159"/>
      <c r="Y333" s="159"/>
      <c r="Z333" s="159"/>
    </row>
    <row r="334" spans="1:26" x14ac:dyDescent="0.25">
      <c r="A334" s="266" t="s">
        <v>1270</v>
      </c>
      <c r="B334" s="62" t="s">
        <v>1280</v>
      </c>
      <c r="L334" s="31">
        <v>1</v>
      </c>
      <c r="O334" s="42">
        <f>C334*Prislapp!$C$2+D334*Prislapp!$D$2+E334*Prislapp!$E$2+F334*Prislapp!$F$2+G334*Prislapp!$G$2+H334*Prislapp!$H$2+I334*Prislapp!$I$2+J334*Prislapp!$J$2+K334*Prislapp!$K$2+L334*Prislapp!$L$2+M334*Prislapp!$M$2+N334*Prislapp!$N$2</f>
        <v>18505</v>
      </c>
      <c r="P334" s="42">
        <f>C334*Prislapp!$C$3+D334*Prislapp!$D$3+E334*Prislapp!$E$3+F334*Prislapp!$F$3+G334*Prislapp!$G$3+H334*Prislapp!$H$3+I334*Prislapp!$I$3+J334*Prislapp!$J$3+K334*Prislapp!$K$3+M334*Prislapp!$M$3+N334*Prislapp!$N$3</f>
        <v>0</v>
      </c>
      <c r="Q334" s="42">
        <f>C334*Prislapp!$C$5+D334*Prislapp!$D$5+E334*Prislapp!$E$5+F334*Prislapp!$F$5+G334*Prislapp!$G$5+H334*Prislapp!$H$5+I334*Prislapp!$I$5+J334*Prislapp!$J$5+K334*Prislapp!$K$5+L334*Prislapp!$L$5+M334*Prislapp!$M$5+N334*Prislapp!$N$5</f>
        <v>5700</v>
      </c>
      <c r="R334" s="9">
        <f>VLOOKUP(A334,'Ansvar kurs'!$A$2:$B$830,2,FALSE)</f>
        <v>5730</v>
      </c>
      <c r="S334" s="159"/>
      <c r="T334" s="159"/>
      <c r="U334" s="159"/>
      <c r="V334" s="159"/>
      <c r="W334" s="159"/>
      <c r="X334" s="159"/>
      <c r="Y334" s="159"/>
      <c r="Z334" s="159"/>
    </row>
    <row r="335" spans="1:26" x14ac:dyDescent="0.25">
      <c r="A335" s="31" t="s">
        <v>344</v>
      </c>
      <c r="B335" s="31" t="s">
        <v>697</v>
      </c>
      <c r="F335" s="31">
        <v>0</v>
      </c>
      <c r="H335" s="31">
        <v>1</v>
      </c>
      <c r="O335" s="42">
        <f>C335*Prislapp!$C$2+D335*Prislapp!$D$2+E335*Prislapp!$E$2+F335*Prislapp!$F$2+G335*Prislapp!$G$2+H335*Prislapp!$H$2+I335*Prislapp!$I$2+J335*Prislapp!$J$2+K335*Prislapp!$K$2+L335*Prislapp!$L$2+M335*Prislapp!$M$2+N335*Prislapp!$N$2</f>
        <v>19473</v>
      </c>
      <c r="P335" s="42">
        <f>C335*Prislapp!$C$3+D335*Prislapp!$D$3+E335*Prislapp!$E$3+F335*Prislapp!$F$3+G335*Prislapp!$G$3+H335*Prislapp!$H$3+I335*Prislapp!$I$3+J335*Prislapp!$J$3+K335*Prislapp!$K$3+M335*Prislapp!$M$3+N335*Prislapp!$N$3</f>
        <v>34806</v>
      </c>
      <c r="Q335" s="42">
        <f>C335*Prislapp!$C$5+D335*Prislapp!$D$5+E335*Prislapp!$E$5+F335*Prislapp!$F$5+G335*Prislapp!$G$5+H335*Prislapp!$H$5+I335*Prislapp!$I$5+J335*Prislapp!$J$5+K335*Prislapp!$K$5+L335*Prislapp!$L$5+M335*Prislapp!$M$5+N335*Prislapp!$N$5</f>
        <v>21800</v>
      </c>
      <c r="R335" s="9">
        <f>VLOOKUP(A335,'Ansvar kurs'!$A$2:$B$830,2,FALSE)</f>
        <v>5740</v>
      </c>
      <c r="S335" s="159" t="s">
        <v>1312</v>
      </c>
      <c r="T335" s="159"/>
      <c r="U335" s="159"/>
      <c r="V335" s="159"/>
      <c r="W335" s="159"/>
      <c r="X335" s="159"/>
      <c r="Y335" s="159"/>
      <c r="Z335" s="159"/>
    </row>
    <row r="336" spans="1:26" x14ac:dyDescent="0.25">
      <c r="A336" s="31" t="s">
        <v>345</v>
      </c>
      <c r="B336" s="31" t="s">
        <v>698</v>
      </c>
      <c r="F336" s="31">
        <v>0</v>
      </c>
      <c r="H336" s="31">
        <v>1</v>
      </c>
      <c r="O336" s="42">
        <f>C336*Prislapp!$C$2+D336*Prislapp!$D$2+E336*Prislapp!$E$2+F336*Prislapp!$F$2+G336*Prislapp!$G$2+H336*Prislapp!$H$2+I336*Prislapp!$I$2+J336*Prislapp!$J$2+K336*Prislapp!$K$2+L336*Prislapp!$L$2+M336*Prislapp!$M$2+N336*Prislapp!$N$2</f>
        <v>19473</v>
      </c>
      <c r="P336" s="42">
        <f>C336*Prislapp!$C$3+D336*Prislapp!$D$3+E336*Prislapp!$E$3+F336*Prislapp!$F$3+G336*Prislapp!$G$3+H336*Prislapp!$H$3+I336*Prislapp!$I$3+J336*Prislapp!$J$3+K336*Prislapp!$K$3+M336*Prislapp!$M$3+N336*Prislapp!$N$3</f>
        <v>34806</v>
      </c>
      <c r="Q336" s="42">
        <f>C336*Prislapp!$C$5+D336*Prislapp!$D$5+E336*Prislapp!$E$5+F336*Prislapp!$F$5+G336*Prislapp!$G$5+H336*Prislapp!$H$5+I336*Prislapp!$I$5+J336*Prislapp!$J$5+K336*Prislapp!$K$5+L336*Prislapp!$L$5+M336*Prislapp!$M$5+N336*Prislapp!$N$5</f>
        <v>21800</v>
      </c>
      <c r="R336" s="9">
        <f>VLOOKUP(A336,'Ansvar kurs'!$A$2:$B$830,2,FALSE)</f>
        <v>5740</v>
      </c>
      <c r="S336" s="159" t="s">
        <v>1312</v>
      </c>
      <c r="T336" s="159"/>
      <c r="U336" s="159"/>
      <c r="V336" s="159"/>
      <c r="W336" s="159"/>
      <c r="X336" s="159"/>
      <c r="Y336" s="159"/>
      <c r="Z336" s="159"/>
    </row>
    <row r="337" spans="1:26" x14ac:dyDescent="0.25">
      <c r="A337" s="31" t="s">
        <v>346</v>
      </c>
      <c r="B337" s="31" t="s">
        <v>699</v>
      </c>
      <c r="F337" s="31">
        <v>0</v>
      </c>
      <c r="H337" s="31">
        <v>1</v>
      </c>
      <c r="O337" s="42">
        <f>C337*Prislapp!$C$2+D337*Prislapp!$D$2+E337*Prislapp!$E$2+F337*Prislapp!$F$2+G337*Prislapp!$G$2+H337*Prislapp!$H$2+I337*Prislapp!$I$2+J337*Prislapp!$J$2+K337*Prislapp!$K$2+L337*Prislapp!$L$2+M337*Prislapp!$M$2+N337*Prislapp!$N$2</f>
        <v>19473</v>
      </c>
      <c r="P337" s="42">
        <f>C337*Prislapp!$C$3+D337*Prislapp!$D$3+E337*Prislapp!$E$3+F337*Prislapp!$F$3+G337*Prislapp!$G$3+H337*Prislapp!$H$3+I337*Prislapp!$I$3+J337*Prislapp!$J$3+K337*Prislapp!$K$3+M337*Prislapp!$M$3+N337*Prislapp!$N$3</f>
        <v>34806</v>
      </c>
      <c r="Q337" s="42">
        <f>C337*Prislapp!$C$5+D337*Prislapp!$D$5+E337*Prislapp!$E$5+F337*Prislapp!$F$5+G337*Prislapp!$G$5+H337*Prislapp!$H$5+I337*Prislapp!$I$5+J337*Prislapp!$J$5+K337*Prislapp!$K$5+L337*Prislapp!$L$5+M337*Prislapp!$M$5+N337*Prislapp!$N$5</f>
        <v>21800</v>
      </c>
      <c r="R337" s="9">
        <f>VLOOKUP(A337,'Ansvar kurs'!$A$2:$B$830,2,FALSE)</f>
        <v>5740</v>
      </c>
      <c r="S337" s="159" t="s">
        <v>1312</v>
      </c>
      <c r="T337" s="159"/>
      <c r="U337" s="159"/>
      <c r="V337" s="159"/>
      <c r="W337" s="159"/>
      <c r="X337" s="159"/>
      <c r="Y337" s="159"/>
      <c r="Z337" s="159"/>
    </row>
    <row r="338" spans="1:26" x14ac:dyDescent="0.25">
      <c r="A338" s="31" t="s">
        <v>653</v>
      </c>
      <c r="B338" s="31" t="s">
        <v>700</v>
      </c>
      <c r="H338" s="31">
        <v>1</v>
      </c>
      <c r="O338" s="42">
        <f>C338*Prislapp!$C$2+D338*Prislapp!$D$2+E338*Prislapp!$E$2+F338*Prislapp!$F$2+G338*Prislapp!$G$2+H338*Prislapp!$H$2+I338*Prislapp!$I$2+J338*Prislapp!$J$2+K338*Prislapp!$K$2+L338*Prislapp!$L$2+M338*Prislapp!$M$2+N338*Prislapp!$N$2</f>
        <v>19473</v>
      </c>
      <c r="P338" s="42">
        <f>C338*Prislapp!$C$3+D338*Prislapp!$D$3+E338*Prislapp!$E$3+F338*Prislapp!$F$3+G338*Prislapp!$G$3+H338*Prislapp!$H$3+I338*Prislapp!$I$3+J338*Prislapp!$J$3+K338*Prislapp!$K$3+M338*Prislapp!$M$3+N338*Prislapp!$N$3</f>
        <v>34806</v>
      </c>
      <c r="Q338" s="42">
        <f>C338*Prislapp!$C$5+D338*Prislapp!$D$5+E338*Prislapp!$E$5+F338*Prislapp!$F$5+G338*Prislapp!$G$5+H338*Prislapp!$H$5+I338*Prislapp!$I$5+J338*Prislapp!$J$5+K338*Prislapp!$K$5+L338*Prislapp!$L$5+M338*Prislapp!$M$5+N338*Prislapp!$N$5</f>
        <v>21800</v>
      </c>
      <c r="R338" s="9">
        <f>VLOOKUP(A338,'Ansvar kurs'!$A$2:$B$830,2,FALSE)</f>
        <v>5740</v>
      </c>
      <c r="S338" s="159"/>
      <c r="T338" s="159"/>
      <c r="U338" s="159"/>
      <c r="V338" s="159"/>
      <c r="W338" s="159"/>
      <c r="X338" s="159"/>
      <c r="Y338" s="159"/>
      <c r="Z338" s="159"/>
    </row>
    <row r="339" spans="1:26" x14ac:dyDescent="0.25">
      <c r="A339" s="31" t="s">
        <v>499</v>
      </c>
      <c r="B339" s="31" t="s">
        <v>701</v>
      </c>
      <c r="H339" s="31">
        <v>1</v>
      </c>
      <c r="O339" s="42">
        <f>C339*Prislapp!$C$2+D339*Prislapp!$D$2+E339*Prislapp!$E$2+F339*Prislapp!$F$2+G339*Prislapp!$G$2+H339*Prislapp!$H$2+I339*Prislapp!$I$2+J339*Prislapp!$J$2+K339*Prislapp!$K$2+L339*Prislapp!$L$2+M339*Prislapp!$M$2+N339*Prislapp!$N$2</f>
        <v>19473</v>
      </c>
      <c r="P339" s="42">
        <f>C339*Prislapp!$C$3+D339*Prislapp!$D$3+E339*Prislapp!$E$3+F339*Prislapp!$F$3+G339*Prislapp!$G$3+H339*Prislapp!$H$3+I339*Prislapp!$I$3+J339*Prislapp!$J$3+K339*Prislapp!$K$3+M339*Prislapp!$M$3+N339*Prislapp!$N$3</f>
        <v>34806</v>
      </c>
      <c r="Q339" s="42">
        <f>C339*Prislapp!$C$5+D339*Prislapp!$D$5+E339*Prislapp!$E$5+F339*Prislapp!$F$5+G339*Prislapp!$G$5+H339*Prislapp!$H$5+I339*Prislapp!$I$5+J339*Prislapp!$J$5+K339*Prislapp!$K$5+L339*Prislapp!$L$5+M339*Prislapp!$M$5+N339*Prislapp!$N$5</f>
        <v>21800</v>
      </c>
      <c r="R339" s="9">
        <f>VLOOKUP(A339,'Ansvar kurs'!$A$2:$B$830,2,FALSE)</f>
        <v>5740</v>
      </c>
      <c r="S339" s="159"/>
      <c r="T339" s="159"/>
      <c r="U339" s="159"/>
      <c r="V339" s="159"/>
      <c r="W339" s="159"/>
      <c r="X339" s="159"/>
      <c r="Y339" s="159"/>
      <c r="Z339" s="159"/>
    </row>
    <row r="340" spans="1:26" x14ac:dyDescent="0.25">
      <c r="A340" s="31" t="s">
        <v>500</v>
      </c>
      <c r="B340" s="31" t="s">
        <v>552</v>
      </c>
      <c r="H340" s="31">
        <v>1</v>
      </c>
      <c r="O340" s="42">
        <f>C340*Prislapp!$C$2+D340*Prislapp!$D$2+E340*Prislapp!$E$2+F340*Prislapp!$F$2+G340*Prislapp!$G$2+H340*Prislapp!$H$2+I340*Prislapp!$I$2+J340*Prislapp!$J$2+K340*Prislapp!$K$2+L340*Prislapp!$L$2+M340*Prislapp!$M$2+N340*Prislapp!$N$2</f>
        <v>19473</v>
      </c>
      <c r="P340" s="42">
        <f>C340*Prislapp!$C$3+D340*Prislapp!$D$3+E340*Prislapp!$E$3+F340*Prislapp!$F$3+G340*Prislapp!$G$3+H340*Prislapp!$H$3+I340*Prislapp!$I$3+J340*Prislapp!$J$3+K340*Prislapp!$K$3+M340*Prislapp!$M$3+N340*Prislapp!$N$3</f>
        <v>34806</v>
      </c>
      <c r="Q340" s="42">
        <f>C340*Prislapp!$C$5+D340*Prislapp!$D$5+E340*Prislapp!$E$5+F340*Prislapp!$F$5+G340*Prislapp!$G$5+H340*Prislapp!$H$5+I340*Prislapp!$I$5+J340*Prislapp!$J$5+K340*Prislapp!$K$5+L340*Prislapp!$L$5+M340*Prislapp!$M$5+N340*Prislapp!$N$5</f>
        <v>21800</v>
      </c>
      <c r="R340" s="9">
        <f>VLOOKUP(A340,'Ansvar kurs'!$A$2:$B$830,2,FALSE)</f>
        <v>5740</v>
      </c>
      <c r="S340" s="159"/>
      <c r="T340" s="159"/>
      <c r="U340" s="159"/>
      <c r="V340" s="159"/>
      <c r="W340" s="159"/>
      <c r="X340" s="159"/>
      <c r="Y340" s="159"/>
      <c r="Z340" s="159"/>
    </row>
    <row r="341" spans="1:26" x14ac:dyDescent="0.25">
      <c r="A341" s="31" t="s">
        <v>654</v>
      </c>
      <c r="B341" s="31" t="s">
        <v>702</v>
      </c>
      <c r="H341" s="31">
        <v>1</v>
      </c>
      <c r="O341" s="42">
        <f>C341*Prislapp!$C$2+D341*Prislapp!$D$2+E341*Prislapp!$E$2+F341*Prislapp!$F$2+G341*Prislapp!$G$2+H341*Prislapp!$H$2+I341*Prislapp!$I$2+J341*Prislapp!$J$2+K341*Prislapp!$K$2+L341*Prislapp!$L$2+M341*Prislapp!$M$2+N341*Prislapp!$N$2</f>
        <v>19473</v>
      </c>
      <c r="P341" s="42">
        <f>C341*Prislapp!$C$3+D341*Prislapp!$D$3+E341*Prislapp!$E$3+F341*Prislapp!$F$3+G341*Prislapp!$G$3+H341*Prislapp!$H$3+I341*Prislapp!$I$3+J341*Prislapp!$J$3+K341*Prislapp!$K$3+M341*Prislapp!$M$3+N341*Prislapp!$N$3</f>
        <v>34806</v>
      </c>
      <c r="Q341" s="42">
        <f>C341*Prislapp!$C$5+D341*Prislapp!$D$5+E341*Prislapp!$E$5+F341*Prislapp!$F$5+G341*Prislapp!$G$5+H341*Prislapp!$H$5+I341*Prislapp!$I$5+J341*Prislapp!$J$5+K341*Prislapp!$K$5+L341*Prislapp!$L$5+M341*Prislapp!$M$5+N341*Prislapp!$N$5</f>
        <v>21800</v>
      </c>
      <c r="R341" s="9">
        <f>VLOOKUP(A341,'Ansvar kurs'!$A$2:$B$830,2,FALSE)</f>
        <v>5740</v>
      </c>
      <c r="S341" s="159"/>
      <c r="T341" s="159"/>
      <c r="U341" s="159"/>
      <c r="V341" s="159"/>
      <c r="W341" s="159"/>
      <c r="X341" s="159"/>
      <c r="Y341" s="159"/>
      <c r="Z341" s="159"/>
    </row>
    <row r="342" spans="1:26" x14ac:dyDescent="0.25">
      <c r="A342" s="31" t="s">
        <v>655</v>
      </c>
      <c r="B342" s="31" t="s">
        <v>703</v>
      </c>
      <c r="H342" s="31">
        <v>1</v>
      </c>
      <c r="O342" s="42">
        <f>C342*Prislapp!$C$2+D342*Prislapp!$D$2+E342*Prislapp!$E$2+F342*Prislapp!$F$2+G342*Prislapp!$G$2+H342*Prislapp!$H$2+I342*Prislapp!$I$2+J342*Prislapp!$J$2+K342*Prislapp!$K$2+L342*Prislapp!$L$2+M342*Prislapp!$M$2+N342*Prislapp!$N$2</f>
        <v>19473</v>
      </c>
      <c r="P342" s="42">
        <f>C342*Prislapp!$C$3+D342*Prislapp!$D$3+E342*Prislapp!$E$3+F342*Prislapp!$F$3+G342*Prislapp!$G$3+H342*Prislapp!$H$3+I342*Prislapp!$I$3+J342*Prislapp!$J$3+K342*Prislapp!$K$3+M342*Prislapp!$M$3+N342*Prislapp!$N$3</f>
        <v>34806</v>
      </c>
      <c r="Q342" s="42">
        <f>C342*Prislapp!$C$5+D342*Prislapp!$D$5+E342*Prislapp!$E$5+F342*Prislapp!$F$5+G342*Prislapp!$G$5+H342*Prislapp!$H$5+I342*Prislapp!$I$5+J342*Prislapp!$J$5+K342*Prislapp!$K$5+L342*Prislapp!$L$5+M342*Prislapp!$M$5+N342*Prislapp!$N$5</f>
        <v>21800</v>
      </c>
      <c r="R342" s="9">
        <f>VLOOKUP(A342,'Ansvar kurs'!$A$2:$B$830,2,FALSE)</f>
        <v>5740</v>
      </c>
      <c r="S342" s="159"/>
      <c r="T342" s="159"/>
      <c r="U342" s="159"/>
      <c r="V342" s="159"/>
      <c r="W342" s="159"/>
      <c r="X342" s="159"/>
      <c r="Y342" s="159"/>
      <c r="Z342" s="159"/>
    </row>
    <row r="343" spans="1:26" x14ac:dyDescent="0.25">
      <c r="A343" s="31" t="s">
        <v>576</v>
      </c>
      <c r="B343" s="31" t="s">
        <v>704</v>
      </c>
      <c r="H343" s="31">
        <v>1</v>
      </c>
      <c r="O343" s="42">
        <f>C343*Prislapp!$C$2+D343*Prislapp!$D$2+E343*Prislapp!$E$2+F343*Prislapp!$F$2+G343*Prislapp!$G$2+H343*Prislapp!$H$2+I343*Prislapp!$I$2+J343*Prislapp!$J$2+K343*Prislapp!$K$2+L343*Prislapp!$L$2+M343*Prislapp!$M$2+N343*Prislapp!$N$2</f>
        <v>19473</v>
      </c>
      <c r="P343" s="42">
        <f>C343*Prislapp!$C$3+D343*Prislapp!$D$3+E343*Prislapp!$E$3+F343*Prislapp!$F$3+G343*Prislapp!$G$3+H343*Prislapp!$H$3+I343*Prislapp!$I$3+J343*Prislapp!$J$3+K343*Prislapp!$K$3+M343*Prislapp!$M$3+N343*Prislapp!$N$3</f>
        <v>34806</v>
      </c>
      <c r="Q343" s="42">
        <f>C343*Prislapp!$C$5+D343*Prislapp!$D$5+E343*Prislapp!$E$5+F343*Prislapp!$F$5+G343*Prislapp!$G$5+H343*Prislapp!$H$5+I343*Prislapp!$I$5+J343*Prislapp!$J$5+K343*Prislapp!$K$5+L343*Prislapp!$L$5+M343*Prislapp!$M$5+N343*Prislapp!$N$5</f>
        <v>21800</v>
      </c>
      <c r="R343" s="9">
        <f>VLOOKUP(A343,'Ansvar kurs'!$A$2:$B$830,2,FALSE)</f>
        <v>5740</v>
      </c>
      <c r="S343" s="159"/>
      <c r="T343" s="159"/>
      <c r="U343" s="159"/>
      <c r="V343" s="159"/>
      <c r="W343" s="159"/>
      <c r="X343" s="159"/>
      <c r="Y343" s="159"/>
      <c r="Z343" s="159"/>
    </row>
    <row r="344" spans="1:26" x14ac:dyDescent="0.25">
      <c r="A344" s="31" t="s">
        <v>578</v>
      </c>
      <c r="B344" s="31" t="s">
        <v>705</v>
      </c>
      <c r="H344" s="31">
        <v>1</v>
      </c>
      <c r="O344" s="42">
        <f>C344*Prislapp!$C$2+D344*Prislapp!$D$2+E344*Prislapp!$E$2+F344*Prislapp!$F$2+G344*Prislapp!$G$2+H344*Prislapp!$H$2+I344*Prislapp!$I$2+J344*Prislapp!$J$2+K344*Prislapp!$K$2+L344*Prislapp!$L$2+M344*Prislapp!$M$2+N344*Prislapp!$N$2</f>
        <v>19473</v>
      </c>
      <c r="P344" s="42">
        <f>C344*Prislapp!$C$3+D344*Prislapp!$D$3+E344*Prislapp!$E$3+F344*Prislapp!$F$3+G344*Prislapp!$G$3+H344*Prislapp!$H$3+I344*Prislapp!$I$3+J344*Prislapp!$J$3+K344*Prislapp!$K$3+M344*Prislapp!$M$3+N344*Prislapp!$N$3</f>
        <v>34806</v>
      </c>
      <c r="Q344" s="42">
        <f>C344*Prislapp!$C$5+D344*Prislapp!$D$5+E344*Prislapp!$E$5+F344*Prislapp!$F$5+G344*Prislapp!$G$5+H344*Prislapp!$H$5+I344*Prislapp!$I$5+J344*Prislapp!$J$5+K344*Prislapp!$K$5+L344*Prislapp!$L$5+M344*Prislapp!$M$5+N344*Prislapp!$N$5</f>
        <v>21800</v>
      </c>
      <c r="R344" s="9">
        <f>VLOOKUP(A344,'Ansvar kurs'!$A$2:$B$830,2,FALSE)</f>
        <v>5740</v>
      </c>
      <c r="S344" s="159"/>
      <c r="T344" s="159"/>
      <c r="U344" s="159"/>
      <c r="V344" s="159"/>
      <c r="W344" s="159"/>
      <c r="X344" s="159"/>
      <c r="Y344" s="159"/>
      <c r="Z344" s="159"/>
    </row>
    <row r="345" spans="1:26" x14ac:dyDescent="0.25">
      <c r="A345" s="265" t="s">
        <v>591</v>
      </c>
      <c r="B345" s="31" t="s">
        <v>1188</v>
      </c>
      <c r="H345" s="31">
        <v>1</v>
      </c>
      <c r="O345" s="42">
        <f>C345*Prislapp!$C$2+D345*Prislapp!$D$2+E345*Prislapp!$E$2+F345*Prislapp!$F$2+G345*Prislapp!$G$2+H345*Prislapp!$H$2+I345*Prislapp!$I$2+J345*Prislapp!$J$2+K345*Prislapp!$K$2+L345*Prislapp!$L$2+M345*Prislapp!$M$2+N345*Prislapp!$N$2</f>
        <v>19473</v>
      </c>
      <c r="P345" s="42">
        <f>C345*Prislapp!$C$3+D345*Prislapp!$D$3+E345*Prislapp!$E$3+F345*Prislapp!$F$3+G345*Prislapp!$G$3+H345*Prislapp!$H$3+I345*Prislapp!$I$3+J345*Prislapp!$J$3+K345*Prislapp!$K$3+M345*Prislapp!$M$3+N345*Prislapp!$N$3</f>
        <v>34806</v>
      </c>
      <c r="Q345" s="42">
        <f>C345*Prislapp!$C$5+D345*Prislapp!$D$5+E345*Prislapp!$E$5+F345*Prislapp!$F$5+G345*Prislapp!$G$5+H345*Prislapp!$H$5+I345*Prislapp!$I$5+J345*Prislapp!$J$5+K345*Prislapp!$K$5+L345*Prislapp!$L$5+M345*Prislapp!$M$5+N345*Prislapp!$N$5</f>
        <v>21800</v>
      </c>
      <c r="R345" s="9">
        <f>VLOOKUP(A345,'Ansvar kurs'!$A$2:$B$830,2,FALSE)</f>
        <v>5740</v>
      </c>
      <c r="S345" s="159"/>
      <c r="T345" s="159"/>
      <c r="U345" s="159"/>
      <c r="V345" s="159"/>
      <c r="W345" s="159"/>
      <c r="X345" s="159"/>
      <c r="Y345" s="159"/>
      <c r="Z345" s="159"/>
    </row>
    <row r="346" spans="1:26" x14ac:dyDescent="0.25">
      <c r="A346" s="31" t="s">
        <v>577</v>
      </c>
      <c r="B346" s="31" t="s">
        <v>549</v>
      </c>
      <c r="H346" s="31">
        <v>1</v>
      </c>
      <c r="O346" s="42">
        <f>C346*Prislapp!$C$2+D346*Prislapp!$D$2+E346*Prislapp!$E$2+F346*Prislapp!$F$2+G346*Prislapp!$G$2+H346*Prislapp!$H$2+I346*Prislapp!$I$2+J346*Prislapp!$J$2+K346*Prislapp!$K$2+L346*Prislapp!$L$2+M346*Prislapp!$M$2+N346*Prislapp!$N$2</f>
        <v>19473</v>
      </c>
      <c r="P346" s="42">
        <f>C346*Prislapp!$C$3+D346*Prislapp!$D$3+E346*Prislapp!$E$3+F346*Prislapp!$F$3+G346*Prislapp!$G$3+H346*Prislapp!$H$3+I346*Prislapp!$I$3+J346*Prislapp!$J$3+K346*Prislapp!$K$3+M346*Prislapp!$M$3+N346*Prislapp!$N$3</f>
        <v>34806</v>
      </c>
      <c r="Q346" s="42">
        <f>C346*Prislapp!$C$5+D346*Prislapp!$D$5+E346*Prislapp!$E$5+F346*Prislapp!$F$5+G346*Prislapp!$G$5+H346*Prislapp!$H$5+I346*Prislapp!$I$5+J346*Prislapp!$J$5+K346*Prislapp!$K$5+L346*Prislapp!$L$5+M346*Prislapp!$M$5+N346*Prislapp!$N$5</f>
        <v>21800</v>
      </c>
      <c r="R346" s="9">
        <f>VLOOKUP(A346,'Ansvar kurs'!$A$2:$B$830,2,FALSE)</f>
        <v>5740</v>
      </c>
      <c r="S346" s="159"/>
      <c r="T346" s="159"/>
      <c r="U346" s="159"/>
      <c r="V346" s="159"/>
      <c r="W346" s="159"/>
      <c r="X346" s="159"/>
      <c r="Y346" s="159"/>
      <c r="Z346" s="159"/>
    </row>
    <row r="347" spans="1:26" x14ac:dyDescent="0.25">
      <c r="A347" s="265" t="s">
        <v>579</v>
      </c>
      <c r="B347" s="31" t="s">
        <v>550</v>
      </c>
      <c r="H347" s="31">
        <v>1</v>
      </c>
      <c r="O347" s="42">
        <f>C347*Prislapp!$C$2+D347*Prislapp!$D$2+E347*Prislapp!$E$2+F347*Prislapp!$F$2+G347*Prislapp!$G$2+H347*Prislapp!$H$2+I347*Prislapp!$I$2+J347*Prislapp!$J$2+K347*Prislapp!$K$2+L347*Prislapp!$L$2+M347*Prislapp!$M$2+N347*Prislapp!$N$2</f>
        <v>19473</v>
      </c>
      <c r="P347" s="42">
        <f>C347*Prislapp!$C$3+D347*Prislapp!$D$3+E347*Prislapp!$E$3+F347*Prislapp!$F$3+G347*Prislapp!$G$3+H347*Prislapp!$H$3+I347*Prislapp!$I$3+J347*Prislapp!$J$3+K347*Prislapp!$K$3+M347*Prislapp!$M$3+N347*Prislapp!$N$3</f>
        <v>34806</v>
      </c>
      <c r="Q347" s="42">
        <f>C347*Prislapp!$C$5+D347*Prislapp!$D$5+E347*Prislapp!$E$5+F347*Prislapp!$F$5+G347*Prislapp!$G$5+H347*Prislapp!$H$5+I347*Prislapp!$I$5+J347*Prislapp!$J$5+K347*Prislapp!$K$5+L347*Prislapp!$L$5+M347*Prislapp!$M$5+N347*Prislapp!$N$5</f>
        <v>21800</v>
      </c>
      <c r="R347" s="9">
        <f>VLOOKUP(A347,'Ansvar kurs'!$A$2:$B$830,2,FALSE)</f>
        <v>5740</v>
      </c>
      <c r="S347" s="159"/>
      <c r="T347" s="159"/>
      <c r="U347" s="159"/>
      <c r="V347" s="159"/>
      <c r="W347" s="159"/>
      <c r="X347" s="159"/>
      <c r="Y347" s="159"/>
      <c r="Z347" s="159"/>
    </row>
    <row r="348" spans="1:26" x14ac:dyDescent="0.25">
      <c r="A348" s="265" t="s">
        <v>592</v>
      </c>
      <c r="B348" s="31" t="s">
        <v>613</v>
      </c>
      <c r="H348" s="31">
        <v>1</v>
      </c>
      <c r="O348" s="42">
        <f>C348*Prislapp!$C$2+D348*Prislapp!$D$2+E348*Prislapp!$E$2+F348*Prislapp!$F$2+G348*Prislapp!$G$2+H348*Prislapp!$H$2+I348*Prislapp!$I$2+J348*Prislapp!$J$2+K348*Prislapp!$K$2+L348*Prislapp!$L$2+M348*Prislapp!$M$2+N348*Prislapp!$N$2</f>
        <v>19473</v>
      </c>
      <c r="P348" s="42">
        <f>C348*Prislapp!$C$3+D348*Prislapp!$D$3+E348*Prislapp!$E$3+F348*Prislapp!$F$3+G348*Prislapp!$G$3+H348*Prislapp!$H$3+I348*Prislapp!$I$3+J348*Prislapp!$J$3+K348*Prislapp!$K$3+M348*Prislapp!$M$3+N348*Prislapp!$N$3</f>
        <v>34806</v>
      </c>
      <c r="Q348" s="42">
        <f>C348*Prislapp!$C$5+D348*Prislapp!$D$5+E348*Prislapp!$E$5+F348*Prislapp!$F$5+G348*Prislapp!$G$5+H348*Prislapp!$H$5+I348*Prislapp!$I$5+J348*Prislapp!$J$5+K348*Prislapp!$K$5+L348*Prislapp!$L$5+M348*Prislapp!$M$5+N348*Prislapp!$N$5</f>
        <v>21800</v>
      </c>
      <c r="R348" s="9">
        <f>VLOOKUP(A348,'Ansvar kurs'!$A$2:$B$830,2,FALSE)</f>
        <v>5740</v>
      </c>
      <c r="S348" s="159"/>
      <c r="T348" s="159"/>
      <c r="U348" s="159"/>
      <c r="V348" s="159"/>
      <c r="W348" s="159"/>
      <c r="X348" s="159"/>
      <c r="Y348" s="159"/>
      <c r="Z348" s="159"/>
    </row>
    <row r="349" spans="1:26" x14ac:dyDescent="0.25">
      <c r="A349" s="265" t="s">
        <v>907</v>
      </c>
      <c r="B349" s="31" t="s">
        <v>915</v>
      </c>
      <c r="L349" s="31">
        <v>1</v>
      </c>
      <c r="O349" s="42">
        <f>C349*Prislapp!$C$2+D349*Prislapp!$D$2+E349*Prislapp!$E$2+F349*Prislapp!$F$2+G349*Prislapp!$G$2+H349*Prislapp!$H$2+I349*Prislapp!$I$2+J349*Prislapp!$J$2+K349*Prislapp!$K$2+L349*Prislapp!$L$2+M349*Prislapp!$M$2+N349*Prislapp!$N$2</f>
        <v>18505</v>
      </c>
      <c r="P349" s="42">
        <f>C349*Prislapp!$C$3+D349*Prislapp!$D$3+E349*Prislapp!$E$3+F349*Prislapp!$F$3+G349*Prislapp!$G$3+H349*Prislapp!$H$3+I349*Prislapp!$I$3+J349*Prislapp!$J$3+K349*Prislapp!$K$3+M349*Prislapp!$M$3+N349*Prislapp!$N$3</f>
        <v>0</v>
      </c>
      <c r="Q349" s="42">
        <f>C349*Prislapp!$C$5+D349*Prislapp!$D$5+E349*Prislapp!$E$5+F349*Prislapp!$F$5+G349*Prislapp!$G$5+H349*Prislapp!$H$5+I349*Prislapp!$I$5+J349*Prislapp!$J$5+K349*Prislapp!$K$5+L349*Prislapp!$L$5+M349*Prislapp!$M$5+N349*Prislapp!$N$5</f>
        <v>5700</v>
      </c>
      <c r="R349" s="9">
        <f>VLOOKUP(A349,'Ansvar kurs'!$A$2:$B$830,2,FALSE)</f>
        <v>5740</v>
      </c>
      <c r="S349" s="159"/>
      <c r="T349" s="159"/>
      <c r="U349" s="159"/>
      <c r="V349" s="159"/>
      <c r="W349" s="159"/>
      <c r="X349" s="159"/>
      <c r="Y349" s="159"/>
      <c r="Z349" s="159"/>
    </row>
    <row r="350" spans="1:26" x14ac:dyDescent="0.25">
      <c r="A350" s="265" t="s">
        <v>1118</v>
      </c>
      <c r="B350" s="31" t="s">
        <v>697</v>
      </c>
      <c r="H350" s="31">
        <v>1</v>
      </c>
      <c r="O350" s="42">
        <f>C350*Prislapp!$C$2+D350*Prislapp!$D$2+E350*Prislapp!$E$2+F350*Prislapp!$F$2+G350*Prislapp!$G$2+H350*Prislapp!$H$2+I350*Prislapp!$I$2+J350*Prislapp!$J$2+K350*Prislapp!$K$2+L350*Prislapp!$L$2+M350*Prislapp!$M$2+N350*Prislapp!$N$2</f>
        <v>19473</v>
      </c>
      <c r="P350" s="42">
        <f>C350*Prislapp!$C$3+D350*Prislapp!$D$3+E350*Prislapp!$E$3+F350*Prislapp!$F$3+G350*Prislapp!$G$3+H350*Prislapp!$H$3+I350*Prislapp!$I$3+J350*Prislapp!$J$3+K350*Prislapp!$K$3+M350*Prislapp!$M$3+N350*Prislapp!$N$3</f>
        <v>34806</v>
      </c>
      <c r="Q350" s="42">
        <f>C350*Prislapp!$C$5+D350*Prislapp!$D$5+E350*Prislapp!$E$5+F350*Prislapp!$F$5+G350*Prislapp!$G$5+H350*Prislapp!$H$5+I350*Prislapp!$I$5+J350*Prislapp!$J$5+K350*Prislapp!$K$5+L350*Prislapp!$L$5+M350*Prislapp!$M$5+N350*Prislapp!$N$5</f>
        <v>21800</v>
      </c>
      <c r="R350" s="9">
        <f>VLOOKUP(A350,'Ansvar kurs'!$A$2:$B$830,2,FALSE)</f>
        <v>5740</v>
      </c>
      <c r="S350" s="159" t="s">
        <v>1116</v>
      </c>
      <c r="T350" s="159"/>
      <c r="U350" s="159"/>
      <c r="V350" s="159"/>
      <c r="W350" s="159"/>
      <c r="X350" s="159"/>
      <c r="Y350" s="159"/>
      <c r="Z350" s="159"/>
    </row>
    <row r="351" spans="1:26" x14ac:dyDescent="0.25">
      <c r="A351" s="265" t="s">
        <v>1119</v>
      </c>
      <c r="B351" s="31" t="s">
        <v>698</v>
      </c>
      <c r="H351" s="31">
        <v>1</v>
      </c>
      <c r="O351" s="42">
        <f>C351*Prislapp!$C$2+D351*Prislapp!$D$2+E351*Prislapp!$E$2+F351*Prislapp!$F$2+G351*Prislapp!$G$2+H351*Prislapp!$H$2+I351*Prislapp!$I$2+J351*Prislapp!$J$2+K351*Prislapp!$K$2+L351*Prislapp!$L$2+M351*Prislapp!$M$2+N351*Prislapp!$N$2</f>
        <v>19473</v>
      </c>
      <c r="P351" s="42">
        <f>C351*Prislapp!$C$3+D351*Prislapp!$D$3+E351*Prislapp!$E$3+F351*Prislapp!$F$3+G351*Prislapp!$G$3+H351*Prislapp!$H$3+I351*Prislapp!$I$3+J351*Prislapp!$J$3+K351*Prislapp!$K$3+M351*Prislapp!$M$3+N351*Prislapp!$N$3</f>
        <v>34806</v>
      </c>
      <c r="Q351" s="42">
        <f>C351*Prislapp!$C$5+D351*Prislapp!$D$5+E351*Prislapp!$E$5+F351*Prislapp!$F$5+G351*Prislapp!$G$5+H351*Prislapp!$H$5+I351*Prislapp!$I$5+J351*Prislapp!$J$5+K351*Prislapp!$K$5+L351*Prislapp!$L$5+M351*Prislapp!$M$5+N351*Prislapp!$N$5</f>
        <v>21800</v>
      </c>
      <c r="R351" s="9">
        <f>VLOOKUP(A351,'Ansvar kurs'!$A$2:$B$830,2,FALSE)</f>
        <v>5740</v>
      </c>
      <c r="S351" s="159" t="s">
        <v>1116</v>
      </c>
      <c r="T351" s="159"/>
      <c r="U351" s="159"/>
      <c r="V351" s="159"/>
      <c r="W351" s="159"/>
      <c r="X351" s="159"/>
      <c r="Y351" s="159"/>
      <c r="Z351" s="159"/>
    </row>
    <row r="352" spans="1:26" x14ac:dyDescent="0.25">
      <c r="A352" s="265" t="s">
        <v>1120</v>
      </c>
      <c r="B352" s="31" t="s">
        <v>699</v>
      </c>
      <c r="H352" s="31">
        <v>1</v>
      </c>
      <c r="O352" s="42">
        <f>C352*Prislapp!$C$2+D352*Prislapp!$D$2+E352*Prislapp!$E$2+F352*Prislapp!$F$2+G352*Prislapp!$G$2+H352*Prislapp!$H$2+I352*Prislapp!$I$2+J352*Prislapp!$J$2+K352*Prislapp!$K$2+L352*Prislapp!$L$2+M352*Prislapp!$M$2+N352*Prislapp!$N$2</f>
        <v>19473</v>
      </c>
      <c r="P352" s="42">
        <f>C352*Prislapp!$C$3+D352*Prislapp!$D$3+E352*Prislapp!$E$3+F352*Prislapp!$F$3+G352*Prislapp!$G$3+H352*Prislapp!$H$3+I352*Prislapp!$I$3+J352*Prislapp!$J$3+K352*Prislapp!$K$3+M352*Prislapp!$M$3+N352*Prislapp!$N$3</f>
        <v>34806</v>
      </c>
      <c r="Q352" s="42">
        <f>C352*Prislapp!$C$5+D352*Prislapp!$D$5+E352*Prislapp!$E$5+F352*Prislapp!$F$5+G352*Prislapp!$G$5+H352*Prislapp!$H$5+I352*Prislapp!$I$5+J352*Prislapp!$J$5+K352*Prislapp!$K$5+L352*Prislapp!$L$5+M352*Prislapp!$M$5+N352*Prislapp!$N$5</f>
        <v>21800</v>
      </c>
      <c r="R352" s="9">
        <f>VLOOKUP(A352,'Ansvar kurs'!$A$2:$B$830,2,FALSE)</f>
        <v>5740</v>
      </c>
      <c r="S352" s="159" t="s">
        <v>1116</v>
      </c>
      <c r="T352" s="159"/>
      <c r="U352" s="159"/>
      <c r="V352" s="159"/>
      <c r="W352" s="159"/>
      <c r="X352" s="159"/>
      <c r="Y352" s="159"/>
      <c r="Z352" s="159"/>
    </row>
    <row r="353" spans="1:26" x14ac:dyDescent="0.25">
      <c r="A353" s="265" t="s">
        <v>2012</v>
      </c>
      <c r="B353" s="31" t="s">
        <v>2024</v>
      </c>
      <c r="H353" s="295">
        <v>1</v>
      </c>
      <c r="O353" s="42">
        <f>C353*Prislapp!$C$2+D353*Prislapp!$D$2+E353*Prislapp!$E$2+F353*Prislapp!$F$2+G353*Prislapp!$G$2+H353*Prislapp!$H$2+I353*Prislapp!$I$2+J353*Prislapp!$J$2+K353*Prislapp!$K$2+L353*Prislapp!$L$2+M353*Prislapp!$M$2+N353*Prislapp!$N$2</f>
        <v>19473</v>
      </c>
      <c r="P353" s="42">
        <f>C353*Prislapp!$C$3+D353*Prislapp!$D$3+E353*Prislapp!$E$3+F353*Prislapp!$F$3+G353*Prislapp!$G$3+H353*Prislapp!$H$3+I353*Prislapp!$I$3+J353*Prislapp!$J$3+K353*Prislapp!$K$3+M353*Prislapp!$M$3+N353*Prislapp!$N$3</f>
        <v>34806</v>
      </c>
      <c r="Q353" s="42">
        <f>C353*Prislapp!$C$5+D353*Prislapp!$D$5+E353*Prislapp!$E$5+F353*Prislapp!$F$5+G353*Prislapp!$G$5+H353*Prislapp!$H$5+I353*Prislapp!$I$5+J353*Prislapp!$J$5+K353*Prislapp!$K$5+L353*Prislapp!$L$5+M353*Prislapp!$M$5+N353*Prislapp!$N$5</f>
        <v>21800</v>
      </c>
      <c r="R353" s="9">
        <f>VLOOKUP(A353,'Ansvar kurs'!$A$2:$B$830,2,FALSE)</f>
        <v>5740</v>
      </c>
      <c r="S353" s="295" t="s">
        <v>1916</v>
      </c>
      <c r="T353" s="159"/>
      <c r="U353" s="159"/>
      <c r="V353" s="159"/>
      <c r="W353" s="159"/>
      <c r="X353" s="159"/>
      <c r="Y353" s="159"/>
      <c r="Z353" s="159"/>
    </row>
    <row r="354" spans="1:26" x14ac:dyDescent="0.25">
      <c r="A354" s="265" t="s">
        <v>1357</v>
      </c>
      <c r="B354" s="31" t="s">
        <v>1358</v>
      </c>
      <c r="H354" s="31">
        <v>1</v>
      </c>
      <c r="O354" s="42">
        <f>C354*Prislapp!$C$2+D354*Prislapp!$D$2+E354*Prislapp!$E$2+F354*Prislapp!$F$2+G354*Prislapp!$G$2+H354*Prislapp!$H$2+I354*Prislapp!$I$2+J354*Prislapp!$J$2+K354*Prislapp!$K$2+L354*Prislapp!$L$2+M354*Prislapp!$M$2+N354*Prislapp!$N$2</f>
        <v>19473</v>
      </c>
      <c r="P354" s="42">
        <f>C354*Prislapp!$C$3+D354*Prislapp!$D$3+E354*Prislapp!$E$3+F354*Prislapp!$F$3+G354*Prislapp!$G$3+H354*Prislapp!$H$3+I354*Prislapp!$I$3+J354*Prislapp!$J$3+K354*Prislapp!$K$3+M354*Prislapp!$M$3+N354*Prislapp!$N$3</f>
        <v>34806</v>
      </c>
      <c r="Q354" s="42">
        <f>C354*Prislapp!$C$5+D354*Prislapp!$D$5+E354*Prislapp!$E$5+F354*Prislapp!$F$5+G354*Prislapp!$G$5+H354*Prislapp!$H$5+I354*Prislapp!$I$5+J354*Prislapp!$J$5+K354*Prislapp!$K$5+L354*Prislapp!$L$5+M354*Prislapp!$M$5+N354*Prislapp!$N$5</f>
        <v>21800</v>
      </c>
      <c r="R354" s="9">
        <f>VLOOKUP(A354,'Ansvar kurs'!$A$2:$B$830,2,FALSE)</f>
        <v>5740</v>
      </c>
      <c r="S354" s="159"/>
      <c r="T354" s="159"/>
      <c r="U354" s="159"/>
      <c r="V354" s="159"/>
      <c r="W354" s="159"/>
      <c r="X354" s="159"/>
      <c r="Y354" s="159"/>
      <c r="Z354" s="159"/>
    </row>
    <row r="355" spans="1:26" x14ac:dyDescent="0.25">
      <c r="A355" s="265" t="s">
        <v>1457</v>
      </c>
      <c r="B355" s="31" t="s">
        <v>1458</v>
      </c>
      <c r="H355" s="31">
        <v>1</v>
      </c>
      <c r="O355" s="42">
        <f>C355*Prislapp!$C$2+D355*Prislapp!$D$2+E355*Prislapp!$E$2+F355*Prislapp!$F$2+G355*Prislapp!$G$2+H355*Prislapp!$H$2+I355*Prislapp!$I$2+J355*Prislapp!$J$2+K355*Prislapp!$K$2+L355*Prislapp!$L$2+M355*Prislapp!$M$2+N355*Prislapp!$N$2</f>
        <v>19473</v>
      </c>
      <c r="P355" s="42">
        <f>C355*Prislapp!$C$3+D355*Prislapp!$D$3+E355*Prislapp!$E$3+F355*Prislapp!$F$3+G355*Prislapp!$G$3+H355*Prislapp!$H$3+I355*Prislapp!$I$3+J355*Prislapp!$J$3+K355*Prislapp!$K$3+M355*Prislapp!$M$3+N355*Prislapp!$N$3</f>
        <v>34806</v>
      </c>
      <c r="Q355" s="42">
        <f>C355*Prislapp!$C$5+D355*Prislapp!$D$5+E355*Prislapp!$E$5+F355*Prislapp!$F$5+G355*Prislapp!$G$5+H355*Prislapp!$H$5+I355*Prislapp!$I$5+J355*Prislapp!$J$5+K355*Prislapp!$K$5+L355*Prislapp!$L$5+M355*Prislapp!$M$5+N355*Prislapp!$N$5</f>
        <v>21800</v>
      </c>
      <c r="R355" s="9">
        <f>VLOOKUP(A355,'Ansvar kurs'!$A$2:$B$830,2,FALSE)</f>
        <v>5740</v>
      </c>
      <c r="S355" s="159"/>
      <c r="T355" s="159"/>
      <c r="U355" s="159"/>
      <c r="V355" s="159"/>
      <c r="W355" s="159"/>
      <c r="X355" s="159"/>
      <c r="Y355" s="159"/>
      <c r="Z355" s="159"/>
    </row>
    <row r="356" spans="1:26" x14ac:dyDescent="0.25">
      <c r="A356" s="265" t="s">
        <v>1459</v>
      </c>
      <c r="B356" s="31" t="s">
        <v>1460</v>
      </c>
      <c r="H356" s="31">
        <v>1</v>
      </c>
      <c r="O356" s="42">
        <f>C356*Prislapp!$C$2+D356*Prislapp!$D$2+E356*Prislapp!$E$2+F356*Prislapp!$F$2+G356*Prislapp!$G$2+H356*Prislapp!$H$2+I356*Prislapp!$I$2+J356*Prislapp!$J$2+K356*Prislapp!$K$2+L356*Prislapp!$L$2+M356*Prislapp!$M$2+N356*Prislapp!$N$2</f>
        <v>19473</v>
      </c>
      <c r="P356" s="42">
        <f>C356*Prislapp!$C$3+D356*Prislapp!$D$3+E356*Prislapp!$E$3+F356*Prislapp!$F$3+G356*Prislapp!$G$3+H356*Prislapp!$H$3+I356*Prislapp!$I$3+J356*Prislapp!$J$3+K356*Prislapp!$K$3+M356*Prislapp!$M$3+N356*Prislapp!$N$3</f>
        <v>34806</v>
      </c>
      <c r="Q356" s="42">
        <f>C356*Prislapp!$C$5+D356*Prislapp!$D$5+E356*Prislapp!$E$5+F356*Prislapp!$F$5+G356*Prislapp!$G$5+H356*Prislapp!$H$5+I356*Prislapp!$I$5+J356*Prislapp!$J$5+K356*Prislapp!$K$5+L356*Prislapp!$L$5+M356*Prislapp!$M$5+N356*Prislapp!$N$5</f>
        <v>21800</v>
      </c>
      <c r="R356" s="9">
        <f>VLOOKUP(A356,'Ansvar kurs'!$A$2:$B$830,2,FALSE)</f>
        <v>5740</v>
      </c>
      <c r="S356" s="159"/>
      <c r="T356" s="159"/>
      <c r="U356" s="159"/>
      <c r="V356" s="159"/>
      <c r="W356" s="159"/>
      <c r="X356" s="159"/>
      <c r="Y356" s="159"/>
      <c r="Z356" s="159"/>
    </row>
    <row r="357" spans="1:26" x14ac:dyDescent="0.25">
      <c r="A357" s="265" t="s">
        <v>1461</v>
      </c>
      <c r="B357" s="31" t="s">
        <v>1462</v>
      </c>
      <c r="H357" s="31">
        <v>1</v>
      </c>
      <c r="O357" s="42">
        <f>C357*Prislapp!$C$2+D357*Prislapp!$D$2+E357*Prislapp!$E$2+F357*Prislapp!$F$2+G357*Prislapp!$G$2+H357*Prislapp!$H$2+I357*Prislapp!$I$2+J357*Prislapp!$J$2+K357*Prislapp!$K$2+L357*Prislapp!$L$2+M357*Prislapp!$M$2+N357*Prislapp!$N$2</f>
        <v>19473</v>
      </c>
      <c r="P357" s="42">
        <f>C357*Prislapp!$C$3+D357*Prislapp!$D$3+E357*Prislapp!$E$3+F357*Prislapp!$F$3+G357*Prislapp!$G$3+H357*Prislapp!$H$3+I357*Prislapp!$I$3+J357*Prislapp!$J$3+K357*Prislapp!$K$3+M357*Prislapp!$M$3+N357*Prislapp!$N$3</f>
        <v>34806</v>
      </c>
      <c r="Q357" s="42">
        <f>C357*Prislapp!$C$5+D357*Prislapp!$D$5+E357*Prislapp!$E$5+F357*Prislapp!$F$5+G357*Prislapp!$G$5+H357*Prislapp!$H$5+I357*Prislapp!$I$5+J357*Prislapp!$J$5+K357*Prislapp!$K$5+L357*Prislapp!$L$5+M357*Prislapp!$M$5+N357*Prislapp!$N$5</f>
        <v>21800</v>
      </c>
      <c r="R357" s="9">
        <f>VLOOKUP(A357,'Ansvar kurs'!$A$2:$B$830,2,FALSE)</f>
        <v>5740</v>
      </c>
      <c r="S357" s="159"/>
      <c r="T357" s="159"/>
      <c r="U357" s="159"/>
      <c r="V357" s="159"/>
      <c r="W357" s="159"/>
      <c r="X357" s="159"/>
      <c r="Y357" s="159"/>
      <c r="Z357" s="159"/>
    </row>
    <row r="358" spans="1:26" x14ac:dyDescent="0.25">
      <c r="A358" s="265" t="s">
        <v>1463</v>
      </c>
      <c r="B358" s="31" t="s">
        <v>1464</v>
      </c>
      <c r="H358" s="31">
        <v>1</v>
      </c>
      <c r="O358" s="42">
        <f>C358*Prislapp!$C$2+D358*Prislapp!$D$2+E358*Prislapp!$E$2+F358*Prislapp!$F$2+G358*Prislapp!$G$2+H358*Prislapp!$H$2+I358*Prislapp!$I$2+J358*Prislapp!$J$2+K358*Prislapp!$K$2+L358*Prislapp!$L$2+M358*Prislapp!$M$2+N358*Prislapp!$N$2</f>
        <v>19473</v>
      </c>
      <c r="P358" s="42">
        <f>C358*Prislapp!$C$3+D358*Prislapp!$D$3+E358*Prislapp!$E$3+F358*Prislapp!$F$3+G358*Prislapp!$G$3+H358*Prislapp!$H$3+I358*Prislapp!$I$3+J358*Prislapp!$J$3+K358*Prislapp!$K$3+M358*Prislapp!$M$3+N358*Prislapp!$N$3</f>
        <v>34806</v>
      </c>
      <c r="Q358" s="42">
        <f>C358*Prislapp!$C$5+D358*Prislapp!$D$5+E358*Prislapp!$E$5+F358*Prislapp!$F$5+G358*Prislapp!$G$5+H358*Prislapp!$H$5+I358*Prislapp!$I$5+J358*Prislapp!$J$5+K358*Prislapp!$K$5+L358*Prislapp!$L$5+M358*Prislapp!$M$5+N358*Prislapp!$N$5</f>
        <v>21800</v>
      </c>
      <c r="R358" s="9">
        <f>VLOOKUP(A358,'Ansvar kurs'!$A$2:$B$830,2,FALSE)</f>
        <v>5740</v>
      </c>
      <c r="S358" s="159"/>
      <c r="T358" s="159"/>
      <c r="U358" s="159"/>
      <c r="V358" s="159"/>
      <c r="W358" s="159"/>
      <c r="X358" s="159"/>
      <c r="Y358" s="159"/>
      <c r="Z358" s="159"/>
    </row>
    <row r="359" spans="1:26" x14ac:dyDescent="0.25">
      <c r="A359" s="265" t="s">
        <v>1465</v>
      </c>
      <c r="B359" s="31" t="s">
        <v>1466</v>
      </c>
      <c r="H359" s="31">
        <v>1</v>
      </c>
      <c r="O359" s="42">
        <f>C359*Prislapp!$C$2+D359*Prislapp!$D$2+E359*Prislapp!$E$2+F359*Prislapp!$F$2+G359*Prislapp!$G$2+H359*Prislapp!$H$2+I359*Prislapp!$I$2+J359*Prislapp!$J$2+K359*Prislapp!$K$2+L359*Prislapp!$L$2+M359*Prislapp!$M$2+N359*Prislapp!$N$2</f>
        <v>19473</v>
      </c>
      <c r="P359" s="42">
        <f>C359*Prislapp!$C$3+D359*Prislapp!$D$3+E359*Prislapp!$E$3+F359*Prislapp!$F$3+G359*Prislapp!$G$3+H359*Prislapp!$H$3+I359*Prislapp!$I$3+J359*Prislapp!$J$3+K359*Prislapp!$K$3+M359*Prislapp!$M$3+N359*Prislapp!$N$3</f>
        <v>34806</v>
      </c>
      <c r="Q359" s="42">
        <f>C359*Prislapp!$C$5+D359*Prislapp!$D$5+E359*Prislapp!$E$5+F359*Prislapp!$F$5+G359*Prislapp!$G$5+H359*Prislapp!$H$5+I359*Prislapp!$I$5+J359*Prislapp!$J$5+K359*Prislapp!$K$5+L359*Prislapp!$L$5+M359*Prislapp!$M$5+N359*Prislapp!$N$5</f>
        <v>21800</v>
      </c>
      <c r="R359" s="9">
        <f>VLOOKUP(A359,'Ansvar kurs'!$A$2:$B$830,2,FALSE)</f>
        <v>5740</v>
      </c>
      <c r="S359" s="159"/>
      <c r="T359" s="159"/>
      <c r="U359" s="159"/>
      <c r="V359" s="159"/>
      <c r="W359" s="159"/>
      <c r="X359" s="159"/>
      <c r="Y359" s="159"/>
      <c r="Z359" s="159"/>
    </row>
    <row r="360" spans="1:26" x14ac:dyDescent="0.25">
      <c r="A360" s="59" t="s">
        <v>1566</v>
      </c>
      <c r="B360" s="31" t="s">
        <v>1425</v>
      </c>
      <c r="H360" s="31">
        <v>1</v>
      </c>
      <c r="O360" s="42">
        <f>C360*Prislapp!$C$2+D360*Prislapp!$D$2+E360*Prislapp!$E$2+F360*Prislapp!$F$2+G360*Prislapp!$G$2+H360*Prislapp!$H$2+I360*Prislapp!$I$2+J360*Prislapp!$J$2+K360*Prislapp!$K$2+L360*Prislapp!$L$2+M360*Prislapp!$M$2+N360*Prislapp!$N$2</f>
        <v>19473</v>
      </c>
      <c r="P360" s="42">
        <f>C360*Prislapp!$C$3+D360*Prislapp!$D$3+E360*Prislapp!$E$3+F360*Prislapp!$F$3+G360*Prislapp!$G$3+H360*Prislapp!$H$3+I360*Prislapp!$I$3+J360*Prislapp!$J$3+K360*Prislapp!$K$3+M360*Prislapp!$M$3+N360*Prislapp!$N$3</f>
        <v>34806</v>
      </c>
      <c r="Q360" s="42">
        <f>C360*Prislapp!$C$5+D360*Prislapp!$D$5+E360*Prislapp!$E$5+F360*Prislapp!$F$5+G360*Prislapp!$G$5+H360*Prislapp!$H$5+I360*Prislapp!$I$5+J360*Prislapp!$J$5+K360*Prislapp!$K$5+L360*Prislapp!$L$5+M360*Prislapp!$M$5+N360*Prislapp!$N$5</f>
        <v>21800</v>
      </c>
      <c r="R360" s="9">
        <f>VLOOKUP(A360,'Ansvar kurs'!$A$2:$B$830,2,FALSE)</f>
        <v>5740</v>
      </c>
    </row>
    <row r="361" spans="1:26" x14ac:dyDescent="0.25">
      <c r="A361" s="338" t="s">
        <v>1654</v>
      </c>
      <c r="B361" s="31" t="s">
        <v>1676</v>
      </c>
      <c r="H361" s="31">
        <v>1</v>
      </c>
      <c r="O361" s="42">
        <f>C361*Prislapp!$C$2+D361*Prislapp!$D$2+E361*Prislapp!$E$2+F361*Prislapp!$F$2+G361*Prislapp!$G$2+H361*Prislapp!$H$2+I361*Prislapp!$I$2+J361*Prislapp!$J$2+K361*Prislapp!$K$2+L361*Prislapp!$L$2+M361*Prislapp!$M$2+N361*Prislapp!$N$2</f>
        <v>19473</v>
      </c>
      <c r="P361" s="42">
        <f>C361*Prislapp!$C$3+D361*Prislapp!$D$3+E361*Prislapp!$E$3+F361*Prislapp!$F$3+G361*Prislapp!$G$3+H361*Prislapp!$H$3+I361*Prislapp!$I$3+J361*Prislapp!$J$3+K361*Prislapp!$K$3+M361*Prislapp!$M$3+N361*Prislapp!$N$3</f>
        <v>34806</v>
      </c>
      <c r="Q361" s="42">
        <f>C361*Prislapp!$C$5+D361*Prislapp!$D$5+E361*Prislapp!$E$5+F361*Prislapp!$F$5+G361*Prislapp!$G$5+H361*Prislapp!$H$5+I361*Prislapp!$I$5+J361*Prislapp!$J$5+K361*Prislapp!$K$5+L361*Prislapp!$L$5+M361*Prislapp!$M$5+N361*Prislapp!$N$5</f>
        <v>21800</v>
      </c>
      <c r="R361" s="9">
        <f>VLOOKUP(A361,'Ansvar kurs'!$A$2:$B$830,2,FALSE)</f>
        <v>5740</v>
      </c>
    </row>
    <row r="362" spans="1:26" x14ac:dyDescent="0.25">
      <c r="A362" s="338" t="s">
        <v>1655</v>
      </c>
      <c r="B362" s="31" t="s">
        <v>1677</v>
      </c>
      <c r="H362" s="31">
        <v>1</v>
      </c>
      <c r="O362" s="42">
        <f>C362*Prislapp!$C$2+D362*Prislapp!$D$2+E362*Prislapp!$E$2+F362*Prislapp!$F$2+G362*Prislapp!$G$2+H362*Prislapp!$H$2+I362*Prislapp!$I$2+J362*Prislapp!$J$2+K362*Prislapp!$K$2+L362*Prislapp!$L$2+M362*Prislapp!$M$2+N362*Prislapp!$N$2</f>
        <v>19473</v>
      </c>
      <c r="P362" s="42">
        <f>C362*Prislapp!$C$3+D362*Prislapp!$D$3+E362*Prislapp!$E$3+F362*Prislapp!$F$3+G362*Prislapp!$G$3+H362*Prislapp!$H$3+I362*Prislapp!$I$3+J362*Prislapp!$J$3+K362*Prislapp!$K$3+M362*Prislapp!$M$3+N362*Prislapp!$N$3</f>
        <v>34806</v>
      </c>
      <c r="Q362" s="42">
        <f>C362*Prislapp!$C$5+D362*Prislapp!$D$5+E362*Prislapp!$E$5+F362*Prislapp!$F$5+G362*Prislapp!$G$5+H362*Prislapp!$H$5+I362*Prislapp!$I$5+J362*Prislapp!$J$5+K362*Prislapp!$K$5+L362*Prislapp!$L$5+M362*Prislapp!$M$5+N362*Prislapp!$N$5</f>
        <v>21800</v>
      </c>
      <c r="R362" s="9">
        <f>VLOOKUP(A362,'Ansvar kurs'!$A$2:$B$830,2,FALSE)</f>
        <v>5740</v>
      </c>
    </row>
    <row r="363" spans="1:26" x14ac:dyDescent="0.25">
      <c r="A363" s="59" t="s">
        <v>1652</v>
      </c>
      <c r="B363" s="31" t="s">
        <v>1675</v>
      </c>
      <c r="H363" s="31">
        <v>1</v>
      </c>
      <c r="O363" s="42">
        <f>C363*Prislapp!$C$2+D363*Prislapp!$D$2+E363*Prislapp!$E$2+F363*Prislapp!$F$2+G363*Prislapp!$G$2+H363*Prislapp!$H$2+I363*Prislapp!$I$2+J363*Prislapp!$J$2+K363*Prislapp!$K$2+L363*Prislapp!$L$2+M363*Prislapp!$M$2+N363*Prislapp!$N$2</f>
        <v>19473</v>
      </c>
      <c r="P363" s="42">
        <f>C363*Prislapp!$C$3+D363*Prislapp!$D$3+E363*Prislapp!$E$3+F363*Prislapp!$F$3+G363*Prislapp!$G$3+H363*Prislapp!$H$3+I363*Prislapp!$I$3+J363*Prislapp!$J$3+K363*Prislapp!$K$3+M363*Prislapp!$M$3+N363*Prislapp!$N$3</f>
        <v>34806</v>
      </c>
      <c r="Q363" s="42">
        <f>C363*Prislapp!$C$5+D363*Prislapp!$D$5+E363*Prislapp!$E$5+F363*Prislapp!$F$5+G363*Prislapp!$G$5+H363*Prislapp!$H$5+I363*Prislapp!$I$5+J363*Prislapp!$J$5+K363*Prislapp!$K$5+L363*Prislapp!$L$5+M363*Prislapp!$M$5+N363*Prislapp!$N$5</f>
        <v>21800</v>
      </c>
      <c r="R363" s="9">
        <f>VLOOKUP(A363,'Ansvar kurs'!$A$2:$B$830,2,FALSE)</f>
        <v>5740</v>
      </c>
    </row>
    <row r="364" spans="1:26" x14ac:dyDescent="0.25">
      <c r="A364" s="338" t="s">
        <v>1953</v>
      </c>
      <c r="B364" s="31" t="s">
        <v>1954</v>
      </c>
      <c r="H364" s="31">
        <v>1</v>
      </c>
      <c r="O364" s="42">
        <f>C364*Prislapp!$C$2+D364*Prislapp!$D$2+E364*Prislapp!$E$2+F364*Prislapp!$F$2+G364*Prislapp!$G$2+H364*Prislapp!$H$2+I364*Prislapp!$I$2+J364*Prislapp!$J$2+K364*Prislapp!$K$2+L364*Prislapp!$L$2+M364*Prislapp!$M$2+N364*Prislapp!$N$2</f>
        <v>19473</v>
      </c>
      <c r="P364" s="42">
        <f>C364*Prislapp!$C$3+D364*Prislapp!$D$3+E364*Prislapp!$E$3+F364*Prislapp!$F$3+G364*Prislapp!$G$3+H364*Prislapp!$H$3+I364*Prislapp!$I$3+J364*Prislapp!$J$3+K364*Prislapp!$K$3+M364*Prislapp!$M$3+N364*Prislapp!$N$3</f>
        <v>34806</v>
      </c>
      <c r="Q364" s="42">
        <f>C364*Prislapp!$C$5+D364*Prislapp!$D$5+E364*Prislapp!$E$5+F364*Prislapp!$F$5+G364*Prislapp!$G$5+H364*Prislapp!$H$5+I364*Prislapp!$I$5+J364*Prislapp!$J$5+K364*Prislapp!$K$5+L364*Prislapp!$L$5+M364*Prislapp!$M$5+N364*Prislapp!$N$5</f>
        <v>21800</v>
      </c>
      <c r="R364" s="9">
        <f>VLOOKUP(A364,'Ansvar kurs'!$A$2:$B$830,2,FALSE)</f>
        <v>5740</v>
      </c>
    </row>
    <row r="365" spans="1:26" x14ac:dyDescent="0.25">
      <c r="A365" s="338" t="s">
        <v>1962</v>
      </c>
      <c r="B365" s="31" t="s">
        <v>2106</v>
      </c>
      <c r="H365" s="31">
        <v>1</v>
      </c>
      <c r="O365" s="42">
        <f>C365*Prislapp!$C$2+D365*Prislapp!$D$2+E365*Prislapp!$E$2+F365*Prislapp!$F$2+G365*Prislapp!$G$2+H365*Prislapp!$H$2+I365*Prislapp!$I$2+J365*Prislapp!$J$2+K365*Prislapp!$K$2+L365*Prislapp!$L$2+M365*Prislapp!$M$2+N365*Prislapp!$N$2</f>
        <v>19473</v>
      </c>
      <c r="P365" s="42">
        <f>C365*Prislapp!$C$3+D365*Prislapp!$D$3+E365*Prislapp!$E$3+F365*Prislapp!$F$3+G365*Prislapp!$G$3+H365*Prislapp!$H$3+I365*Prislapp!$I$3+J365*Prislapp!$J$3+K365*Prislapp!$K$3+M365*Prislapp!$M$3+N365*Prislapp!$N$3</f>
        <v>34806</v>
      </c>
      <c r="Q365" s="42">
        <f>C365*Prislapp!$C$5+D365*Prislapp!$D$5+E365*Prislapp!$E$5+F365*Prislapp!$F$5+G365*Prislapp!$G$5+H365*Prislapp!$H$5+I365*Prislapp!$I$5+J365*Prislapp!$J$5+K365*Prislapp!$K$5+L365*Prislapp!$L$5+M365*Prislapp!$M$5+N365*Prislapp!$N$5</f>
        <v>21800</v>
      </c>
      <c r="R365" s="9">
        <f>VLOOKUP(A365,'Ansvar kurs'!$A$2:$B$830,2,FALSE)</f>
        <v>5740</v>
      </c>
    </row>
    <row r="366" spans="1:26" x14ac:dyDescent="0.25">
      <c r="A366" s="31" t="s">
        <v>641</v>
      </c>
      <c r="B366" s="31" t="s">
        <v>145</v>
      </c>
      <c r="H366" s="31">
        <v>1</v>
      </c>
      <c r="O366" s="42">
        <f>C366*Prislapp!$C$2+D366*Prislapp!$D$2+E366*Prislapp!$E$2+F366*Prislapp!$F$2+G366*Prislapp!$G$2+H366*Prislapp!$H$2+I366*Prislapp!$I$2+J366*Prislapp!$J$2+K366*Prislapp!$K$2+L366*Prislapp!$L$2+M366*Prislapp!$M$2+N366*Prislapp!$N$2</f>
        <v>19473</v>
      </c>
      <c r="P366" s="42">
        <f>C366*Prislapp!$C$3+D366*Prislapp!$D$3+E366*Prislapp!$E$3+F366*Prislapp!$F$3+G366*Prislapp!$G$3+H366*Prislapp!$H$3+I366*Prislapp!$I$3+J366*Prislapp!$J$3+K366*Prislapp!$K$3+M366*Prislapp!$M$3+N366*Prislapp!$N$3</f>
        <v>34806</v>
      </c>
      <c r="Q366" s="42">
        <f>C366*Prislapp!$C$5+D366*Prislapp!$D$5+E366*Prislapp!$E$5+F366*Prislapp!$F$5+G366*Prislapp!$G$5+H366*Prislapp!$H$5+I366*Prislapp!$I$5+J366*Prislapp!$J$5+K366*Prislapp!$K$5+L366*Prislapp!$L$5+M366*Prislapp!$M$5+N366*Prislapp!$N$5</f>
        <v>21800</v>
      </c>
      <c r="R366" s="9">
        <f>VLOOKUP(A366,'Ansvar kurs'!$A$2:$B$830,2,FALSE)</f>
        <v>5730</v>
      </c>
      <c r="S366" s="159"/>
      <c r="T366" s="159"/>
      <c r="U366" s="159"/>
      <c r="V366" s="159"/>
      <c r="W366" s="159"/>
      <c r="X366" s="159"/>
      <c r="Y366" s="159"/>
      <c r="Z366" s="159"/>
    </row>
    <row r="367" spans="1:26" x14ac:dyDescent="0.25">
      <c r="A367" s="338" t="s">
        <v>1961</v>
      </c>
      <c r="B367" s="31" t="s">
        <v>145</v>
      </c>
      <c r="H367" s="31">
        <v>1</v>
      </c>
      <c r="O367" s="42">
        <f>C367*Prislapp!$C$2+D367*Prislapp!$D$2+E367*Prislapp!$E$2+F367*Prislapp!$F$2+G367*Prislapp!$G$2+H367*Prislapp!$H$2+I367*Prislapp!$I$2+J367*Prislapp!$J$2+K367*Prislapp!$K$2+L367*Prislapp!$L$2+M367*Prislapp!$M$2+N367*Prislapp!$N$2</f>
        <v>19473</v>
      </c>
      <c r="P367" s="42">
        <f>C367*Prislapp!$C$3+D367*Prislapp!$D$3+E367*Prislapp!$E$3+F367*Prislapp!$F$3+G367*Prislapp!$G$3+H367*Prislapp!$H$3+I367*Prislapp!$I$3+J367*Prislapp!$J$3+K367*Prislapp!$K$3+M367*Prislapp!$M$3+N367*Prislapp!$N$3</f>
        <v>34806</v>
      </c>
      <c r="Q367" s="42">
        <f>C367*Prislapp!$C$5+D367*Prislapp!$D$5+E367*Prislapp!$E$5+F367*Prislapp!$F$5+G367*Prislapp!$G$5+H367*Prislapp!$H$5+I367*Prislapp!$I$5+J367*Prislapp!$J$5+K367*Prislapp!$K$5+L367*Prislapp!$L$5+M367*Prislapp!$M$5+N367*Prislapp!$N$5</f>
        <v>21800</v>
      </c>
      <c r="R367" s="9">
        <f>VLOOKUP(A367,'Ansvar kurs'!$A$2:$B$830,2,FALSE)</f>
        <v>5730</v>
      </c>
      <c r="S367" s="159"/>
      <c r="T367" s="159"/>
      <c r="U367" s="159"/>
      <c r="V367" s="159"/>
      <c r="W367" s="159"/>
      <c r="X367" s="159"/>
      <c r="Y367" s="159"/>
      <c r="Z367" s="159"/>
    </row>
    <row r="368" spans="1:26" x14ac:dyDescent="0.25">
      <c r="A368" s="266" t="s">
        <v>2052</v>
      </c>
      <c r="B368" s="62" t="s">
        <v>2078</v>
      </c>
      <c r="H368" s="437">
        <v>1</v>
      </c>
      <c r="O368" s="42">
        <f>C368*Prislapp!$C$2+D368*Prislapp!$D$2+E368*Prislapp!$E$2+F368*Prislapp!$F$2+G368*Prislapp!$G$2+H368*Prislapp!$H$2+I368*Prislapp!$I$2+J368*Prislapp!$J$2+K368*Prislapp!$K$2+L368*Prislapp!$L$2+M368*Prislapp!$M$2+N368*Prislapp!$N$2</f>
        <v>19473</v>
      </c>
      <c r="P368" s="42">
        <f>C368*Prislapp!$C$3+D368*Prislapp!$D$3+E368*Prislapp!$E$3+F368*Prislapp!$F$3+G368*Prislapp!$G$3+H368*Prislapp!$H$3+I368*Prislapp!$I$3+J368*Prislapp!$J$3+K368*Prislapp!$K$3+M368*Prislapp!$M$3+N368*Prislapp!$N$3</f>
        <v>34806</v>
      </c>
      <c r="Q368" s="42">
        <f>C368*Prislapp!$C$5+D368*Prislapp!$D$5+E368*Prislapp!$E$5+F368*Prislapp!$F$5+G368*Prislapp!$G$5+H368*Prislapp!$H$5+I368*Prislapp!$I$5+J368*Prislapp!$J$5+K368*Prislapp!$K$5+L368*Prislapp!$L$5+M368*Prislapp!$M$5+N368*Prislapp!$N$5</f>
        <v>21800</v>
      </c>
      <c r="R368" s="9">
        <f>VLOOKUP(A368,'Ansvar kurs'!$A$2:$B$830,2,FALSE)</f>
        <v>5730</v>
      </c>
      <c r="S368" s="295" t="s">
        <v>1916</v>
      </c>
      <c r="T368" s="159"/>
      <c r="U368" s="159"/>
      <c r="V368" s="159"/>
      <c r="W368" s="159"/>
      <c r="X368" s="159"/>
      <c r="Y368" s="159"/>
      <c r="Z368" s="159"/>
    </row>
    <row r="369" spans="1:26" x14ac:dyDescent="0.25">
      <c r="A369" s="31" t="s">
        <v>335</v>
      </c>
      <c r="B369" s="31" t="s">
        <v>347</v>
      </c>
      <c r="G369" s="31">
        <v>0.75</v>
      </c>
      <c r="M369" s="31">
        <v>0.25</v>
      </c>
      <c r="O369" s="42">
        <f>C369*Prislapp!$C$2+D369*Prislapp!$D$2+E369*Prislapp!$E$2+F369*Prislapp!$F$2+G369*Prislapp!$G$2+H369*Prislapp!$H$2+I369*Prislapp!$I$2+J369*Prislapp!$J$2+K369*Prislapp!$K$2+L369*Prislapp!$L$2+M369*Prislapp!$M$2+N369*Prislapp!$N$2</f>
        <v>27063</v>
      </c>
      <c r="P369" s="42">
        <f>C369*Prislapp!$C$3+D369*Prislapp!$D$3+E369*Prislapp!$E$3+F369*Prislapp!$F$3+G369*Prislapp!$G$3+H369*Prislapp!$H$3+I369*Prislapp!$I$3+J369*Prislapp!$J$3+K369*Prislapp!$K$3+M369*Prislapp!$M$3+N369*Prislapp!$N$3</f>
        <v>54579.25</v>
      </c>
      <c r="Q369" s="42">
        <f>C369*Prislapp!$C$5+D369*Prislapp!$D$5+E369*Prislapp!$E$5+F369*Prislapp!$F$5+G369*Prislapp!$G$5+H369*Prislapp!$H$5+I369*Prislapp!$I$5+J369*Prislapp!$J$5+K369*Prislapp!$K$5+L369*Prislapp!$L$5+M369*Prislapp!$M$5+N369*Prislapp!$N$5</f>
        <v>56900</v>
      </c>
      <c r="R369" s="9">
        <f>VLOOKUP(A369,'Ansvar kurs'!$A$2:$B$830,2,FALSE)</f>
        <v>1650</v>
      </c>
      <c r="S369" s="159"/>
      <c r="T369" s="159"/>
      <c r="U369" s="159"/>
      <c r="V369" s="159"/>
      <c r="W369" s="159"/>
      <c r="X369" s="159"/>
      <c r="Y369" s="159"/>
      <c r="Z369" s="159"/>
    </row>
    <row r="370" spans="1:26" x14ac:dyDescent="0.25">
      <c r="A370" s="31" t="s">
        <v>151</v>
      </c>
      <c r="B370" s="31" t="s">
        <v>1189</v>
      </c>
      <c r="G370" s="31">
        <v>0.75</v>
      </c>
      <c r="K370" s="31">
        <v>0.25</v>
      </c>
      <c r="O370" s="42">
        <f>C370*Prislapp!$C$2+D370*Prislapp!$D$2+E370*Prislapp!$E$2+F370*Prislapp!$F$2+G370*Prislapp!$G$2+H370*Prislapp!$H$2+I370*Prislapp!$I$2+J370*Prislapp!$J$2+K370*Prislapp!$K$2+L370*Prislapp!$L$2+M370*Prislapp!$M$2+N370*Prislapp!$N$2</f>
        <v>28510</v>
      </c>
      <c r="P370" s="42">
        <f>C370*Prislapp!$C$3+D370*Prislapp!$D$3+E370*Prislapp!$E$3+F370*Prislapp!$F$3+G370*Prislapp!$G$3+H370*Prislapp!$H$3+I370*Prislapp!$I$3+J370*Prislapp!$J$3+K370*Prislapp!$K$3+M370*Prislapp!$M$3+N370*Prislapp!$N$3</f>
        <v>54594.25</v>
      </c>
      <c r="Q370" s="42">
        <f>C370*Prislapp!$C$5+D370*Prislapp!$D$5+E370*Prislapp!$E$5+F370*Prislapp!$F$5+G370*Prislapp!$G$5+H370*Prislapp!$H$5+I370*Prislapp!$I$5+J370*Prislapp!$J$5+K370*Prislapp!$K$5+L370*Prislapp!$L$5+M370*Prislapp!$M$5+N370*Prislapp!$N$5</f>
        <v>53425</v>
      </c>
      <c r="R370" s="9">
        <f>VLOOKUP(A370,'Ansvar kurs'!$A$2:$B$830,2,FALSE)</f>
        <v>1650</v>
      </c>
      <c r="S370" s="159"/>
      <c r="T370" s="159"/>
      <c r="U370" s="159"/>
      <c r="V370" s="159"/>
      <c r="W370" s="159"/>
      <c r="X370" s="159"/>
      <c r="Y370" s="159"/>
      <c r="Z370" s="159"/>
    </row>
    <row r="371" spans="1:26" x14ac:dyDescent="0.25">
      <c r="A371" s="31" t="s">
        <v>414</v>
      </c>
      <c r="B371" s="31" t="s">
        <v>706</v>
      </c>
      <c r="G371" s="31">
        <v>1</v>
      </c>
      <c r="O371" s="42">
        <f>C371*Prislapp!$C$2+D371*Prislapp!$D$2+E371*Prislapp!$E$2+F371*Prislapp!$F$2+G371*Prislapp!$G$2+H371*Prislapp!$H$2+I371*Prislapp!$I$2+J371*Prislapp!$J$2+K371*Prislapp!$K$2+L371*Prislapp!$L$2+M371*Prislapp!$M$2+N371*Prislapp!$N$2</f>
        <v>30802</v>
      </c>
      <c r="P371" s="42">
        <f>C371*Prislapp!$C$3+D371*Prislapp!$D$3+E371*Prislapp!$E$3+F371*Prislapp!$F$3+G371*Prislapp!$G$3+H371*Prislapp!$H$3+I371*Prislapp!$I$3+J371*Prislapp!$J$3+K371*Prislapp!$K$3+M371*Prislapp!$M$3+N371*Prislapp!$N$3</f>
        <v>63797</v>
      </c>
      <c r="Q371" s="42">
        <f>C371*Prislapp!$C$5+D371*Prislapp!$D$5+E371*Prislapp!$E$5+F371*Prislapp!$F$5+G371*Prislapp!$G$5+H371*Prislapp!$H$5+I371*Prislapp!$I$5+J371*Prislapp!$J$5+K371*Prislapp!$K$5+L371*Prislapp!$L$5+M371*Prislapp!$M$5+N371*Prislapp!$N$5</f>
        <v>70100</v>
      </c>
      <c r="R371" s="9">
        <f>VLOOKUP(A371,'Ansvar kurs'!$A$2:$B$830,2,FALSE)</f>
        <v>1650</v>
      </c>
      <c r="S371" s="159" t="s">
        <v>1361</v>
      </c>
      <c r="T371" s="159"/>
      <c r="U371" s="159"/>
      <c r="V371" s="159"/>
      <c r="W371" s="159"/>
      <c r="X371" s="159"/>
      <c r="Y371" s="159"/>
      <c r="Z371" s="159"/>
    </row>
    <row r="372" spans="1:26" x14ac:dyDescent="0.25">
      <c r="A372" s="31" t="s">
        <v>478</v>
      </c>
      <c r="B372" s="31" t="s">
        <v>477</v>
      </c>
      <c r="G372" s="31">
        <v>1</v>
      </c>
      <c r="O372" s="42">
        <f>C372*Prislapp!$C$2+D372*Prislapp!$D$2+E372*Prislapp!$E$2+F372*Prislapp!$F$2+G372*Prislapp!$G$2+H372*Prislapp!$H$2+I372*Prislapp!$I$2+J372*Prislapp!$J$2+K372*Prislapp!$K$2+L372*Prislapp!$L$2+M372*Prislapp!$M$2+N372*Prislapp!$N$2</f>
        <v>30802</v>
      </c>
      <c r="P372" s="42">
        <f>C372*Prislapp!$C$3+D372*Prislapp!$D$3+E372*Prislapp!$E$3+F372*Prislapp!$F$3+G372*Prislapp!$G$3+H372*Prislapp!$H$3+I372*Prislapp!$I$3+J372*Prislapp!$J$3+K372*Prislapp!$K$3+M372*Prislapp!$M$3+N372*Prislapp!$N$3</f>
        <v>63797</v>
      </c>
      <c r="Q372" s="42">
        <f>C372*Prislapp!$C$5+D372*Prislapp!$D$5+E372*Prislapp!$E$5+F372*Prislapp!$F$5+G372*Prislapp!$G$5+H372*Prislapp!$H$5+I372*Prislapp!$I$5+J372*Prislapp!$J$5+K372*Prislapp!$K$5+L372*Prislapp!$L$5+M372*Prislapp!$M$5+N372*Prislapp!$N$5</f>
        <v>70100</v>
      </c>
      <c r="R372" s="9">
        <f>VLOOKUP(A372,'Ansvar kurs'!$A$2:$B$830,2,FALSE)</f>
        <v>1650</v>
      </c>
      <c r="S372" s="159"/>
      <c r="T372" s="159"/>
      <c r="U372" s="159"/>
      <c r="V372" s="159"/>
      <c r="W372" s="159"/>
      <c r="X372" s="159"/>
      <c r="Y372" s="159"/>
      <c r="Z372" s="159"/>
    </row>
    <row r="373" spans="1:26" x14ac:dyDescent="0.25">
      <c r="A373" s="31" t="s">
        <v>526</v>
      </c>
      <c r="B373" s="31" t="s">
        <v>541</v>
      </c>
      <c r="G373" s="31">
        <v>1</v>
      </c>
      <c r="O373" s="42">
        <f>C373*Prislapp!$C$2+D373*Prislapp!$D$2+E373*Prislapp!$E$2+F373*Prislapp!$F$2+G373*Prislapp!$G$2+H373*Prislapp!$H$2+I373*Prislapp!$I$2+J373*Prislapp!$J$2+K373*Prislapp!$K$2+L373*Prislapp!$L$2+M373*Prislapp!$M$2+N373*Prislapp!$N$2</f>
        <v>30802</v>
      </c>
      <c r="P373" s="42">
        <f>C373*Prislapp!$C$3+D373*Prislapp!$D$3+E373*Prislapp!$E$3+F373*Prislapp!$F$3+G373*Prislapp!$G$3+H373*Prislapp!$H$3+I373*Prislapp!$I$3+J373*Prislapp!$J$3+K373*Prislapp!$K$3+M373*Prislapp!$M$3+N373*Prislapp!$N$3</f>
        <v>63797</v>
      </c>
      <c r="Q373" s="42">
        <f>C373*Prislapp!$C$5+D373*Prislapp!$D$5+E373*Prislapp!$E$5+F373*Prislapp!$F$5+G373*Prislapp!$G$5+H373*Prislapp!$H$5+I373*Prislapp!$I$5+J373*Prislapp!$J$5+K373*Prislapp!$K$5+L373*Prislapp!$L$5+M373*Prislapp!$M$5+N373*Prislapp!$N$5</f>
        <v>70100</v>
      </c>
      <c r="R373" s="9">
        <f>VLOOKUP(A373,'Ansvar kurs'!$A$2:$B$830,2,FALSE)</f>
        <v>1650</v>
      </c>
      <c r="S373" s="159"/>
      <c r="T373" s="159"/>
      <c r="U373" s="159"/>
      <c r="V373" s="159"/>
      <c r="W373" s="159"/>
      <c r="X373" s="159"/>
      <c r="Y373" s="159"/>
      <c r="Z373" s="159"/>
    </row>
    <row r="374" spans="1:26" x14ac:dyDescent="0.25">
      <c r="A374" s="31" t="s">
        <v>769</v>
      </c>
      <c r="B374" s="31" t="s">
        <v>765</v>
      </c>
      <c r="G374" s="31">
        <v>1</v>
      </c>
      <c r="O374" s="42">
        <f>C374*Prislapp!$C$2+D374*Prislapp!$D$2+E374*Prislapp!$E$2+F374*Prislapp!$F$2+G374*Prislapp!$G$2+H374*Prislapp!$H$2+I374*Prislapp!$I$2+J374*Prislapp!$J$2+K374*Prislapp!$K$2+L374*Prislapp!$L$2+M374*Prislapp!$M$2+N374*Prislapp!$N$2</f>
        <v>30802</v>
      </c>
      <c r="P374" s="42">
        <f>C374*Prislapp!$C$3+D374*Prislapp!$D$3+E374*Prislapp!$E$3+F374*Prislapp!$F$3+G374*Prislapp!$G$3+H374*Prislapp!$H$3+I374*Prislapp!$I$3+J374*Prislapp!$J$3+K374*Prislapp!$K$3+M374*Prislapp!$M$3+N374*Prislapp!$N$3</f>
        <v>63797</v>
      </c>
      <c r="Q374" s="42">
        <f>C374*Prislapp!$C$5+D374*Prislapp!$D$5+E374*Prislapp!$E$5+F374*Prislapp!$F$5+G374*Prislapp!$G$5+H374*Prislapp!$H$5+I374*Prislapp!$I$5+J374*Prislapp!$J$5+K374*Prislapp!$K$5+L374*Prislapp!$L$5+M374*Prislapp!$M$5+N374*Prislapp!$N$5</f>
        <v>70100</v>
      </c>
      <c r="R374" s="9">
        <f>VLOOKUP(A374,'Ansvar kurs'!$A$2:$B$830,2,FALSE)</f>
        <v>1650</v>
      </c>
      <c r="S374" s="159"/>
      <c r="T374" s="159"/>
      <c r="U374" s="159"/>
      <c r="V374" s="159"/>
      <c r="W374" s="159"/>
      <c r="X374" s="159"/>
      <c r="Y374" s="159"/>
      <c r="Z374" s="159"/>
    </row>
    <row r="375" spans="1:26" x14ac:dyDescent="0.25">
      <c r="A375" s="39" t="s">
        <v>2180</v>
      </c>
      <c r="B375" s="31" t="s">
        <v>766</v>
      </c>
      <c r="G375" s="31">
        <v>1</v>
      </c>
      <c r="O375" s="42">
        <f>C375*Prislapp!$C$2+D375*Prislapp!$D$2+E375*Prislapp!$E$2+F375*Prislapp!$F$2+G375*Prislapp!$G$2+H375*Prislapp!$H$2+I375*Prislapp!$I$2+J375*Prislapp!$J$2+K375*Prislapp!$K$2+L375*Prislapp!$L$2+M375*Prislapp!$M$2+N375*Prislapp!$N$2</f>
        <v>30802</v>
      </c>
      <c r="P375" s="42">
        <f>C375*Prislapp!$C$3+D375*Prislapp!$D$3+E375*Prislapp!$E$3+F375*Prislapp!$F$3+G375*Prislapp!$G$3+H375*Prislapp!$H$3+I375*Prislapp!$I$3+J375*Prislapp!$J$3+K375*Prislapp!$K$3+M375*Prislapp!$M$3+N375*Prislapp!$N$3</f>
        <v>63797</v>
      </c>
      <c r="Q375" s="42">
        <f>C375*Prislapp!$C$5+D375*Prislapp!$D$5+E375*Prislapp!$E$5+F375*Prislapp!$F$5+G375*Prislapp!$G$5+H375*Prislapp!$H$5+I375*Prislapp!$I$5+J375*Prislapp!$J$5+K375*Prislapp!$K$5+L375*Prislapp!$L$5+M375*Prislapp!$M$5+N375*Prislapp!$N$5</f>
        <v>70100</v>
      </c>
      <c r="R375" s="9">
        <f>VLOOKUP(A375,'Ansvar kurs'!$A$2:$B$830,2,FALSE)</f>
        <v>1650</v>
      </c>
      <c r="S375" s="159"/>
      <c r="T375" s="159"/>
      <c r="U375" s="159"/>
      <c r="V375" s="159"/>
      <c r="W375" s="159"/>
      <c r="X375" s="159"/>
      <c r="Y375" s="159"/>
      <c r="Z375" s="159"/>
    </row>
    <row r="376" spans="1:26" x14ac:dyDescent="0.25">
      <c r="A376" s="59" t="s">
        <v>874</v>
      </c>
      <c r="B376" s="31" t="s">
        <v>1190</v>
      </c>
      <c r="G376" s="31">
        <v>1</v>
      </c>
      <c r="O376" s="42">
        <f>C376*Prislapp!$C$2+D376*Prislapp!$D$2+E376*Prislapp!$E$2+F376*Prislapp!$F$2+G376*Prislapp!$G$2+H376*Prislapp!$H$2+I376*Prislapp!$I$2+J376*Prislapp!$J$2+K376*Prislapp!$K$2+L376*Prislapp!$L$2+M376*Prislapp!$M$2+N376*Prislapp!$N$2</f>
        <v>30802</v>
      </c>
      <c r="P376" s="42">
        <f>C376*Prislapp!$C$3+D376*Prislapp!$D$3+E376*Prislapp!$E$3+F376*Prislapp!$F$3+G376*Prislapp!$G$3+H376*Prislapp!$H$3+I376*Prislapp!$I$3+J376*Prislapp!$J$3+K376*Prislapp!$K$3+M376*Prislapp!$M$3+N376*Prislapp!$N$3</f>
        <v>63797</v>
      </c>
      <c r="Q376" s="42">
        <f>C376*Prislapp!$C$5+D376*Prislapp!$D$5+E376*Prislapp!$E$5+F376*Prislapp!$F$5+G376*Prislapp!$G$5+H376*Prislapp!$H$5+I376*Prislapp!$I$5+J376*Prislapp!$J$5+K376*Prislapp!$K$5+L376*Prislapp!$L$5+M376*Prislapp!$M$5+N376*Prislapp!$N$5</f>
        <v>70100</v>
      </c>
      <c r="R376" s="9">
        <f>VLOOKUP(A376,'Ansvar kurs'!$A$2:$B$830,2,FALSE)</f>
        <v>1650</v>
      </c>
      <c r="S376" s="159"/>
      <c r="T376" s="159"/>
      <c r="U376" s="159"/>
      <c r="V376" s="159"/>
      <c r="W376" s="159"/>
      <c r="X376" s="159"/>
      <c r="Y376" s="159"/>
      <c r="Z376" s="159"/>
    </row>
    <row r="377" spans="1:26" x14ac:dyDescent="0.25">
      <c r="A377" s="31" t="s">
        <v>567</v>
      </c>
      <c r="B377" s="31" t="s">
        <v>707</v>
      </c>
      <c r="G377" s="31">
        <v>1</v>
      </c>
      <c r="O377" s="42">
        <f>C377*Prislapp!$C$2+D377*Prislapp!$D$2+E377*Prislapp!$E$2+F377*Prislapp!$F$2+G377*Prislapp!$G$2+H377*Prislapp!$H$2+I377*Prislapp!$I$2+J377*Prislapp!$J$2+K377*Prislapp!$K$2+L377*Prislapp!$L$2+M377*Prislapp!$M$2+N377*Prislapp!$N$2</f>
        <v>30802</v>
      </c>
      <c r="P377" s="42">
        <f>C377*Prislapp!$C$3+D377*Prislapp!$D$3+E377*Prislapp!$E$3+F377*Prislapp!$F$3+G377*Prislapp!$G$3+H377*Prislapp!$H$3+I377*Prislapp!$I$3+J377*Prislapp!$J$3+K377*Prislapp!$K$3+M377*Prislapp!$M$3+N377*Prislapp!$N$3</f>
        <v>63797</v>
      </c>
      <c r="Q377" s="42">
        <f>C377*Prislapp!$C$5+D377*Prislapp!$D$5+E377*Prislapp!$E$5+F377*Prislapp!$F$5+G377*Prislapp!$G$5+H377*Prislapp!$H$5+I377*Prislapp!$I$5+J377*Prislapp!$J$5+K377*Prislapp!$K$5+L377*Prislapp!$L$5+M377*Prislapp!$M$5+N377*Prislapp!$N$5</f>
        <v>70100</v>
      </c>
      <c r="R377" s="9">
        <f>VLOOKUP(A377,'Ansvar kurs'!$A$2:$B$830,2,FALSE)</f>
        <v>1650</v>
      </c>
      <c r="S377" s="159"/>
      <c r="T377" s="159"/>
      <c r="U377" s="159"/>
      <c r="V377" s="159"/>
      <c r="W377" s="159"/>
      <c r="X377" s="159"/>
      <c r="Y377" s="159"/>
      <c r="Z377" s="159"/>
    </row>
    <row r="378" spans="1:26" x14ac:dyDescent="0.25">
      <c r="A378" s="31" t="s">
        <v>647</v>
      </c>
      <c r="B378" s="31" t="s">
        <v>767</v>
      </c>
      <c r="G378" s="31">
        <v>1</v>
      </c>
      <c r="O378" s="42">
        <f>C378*Prislapp!$C$2+D378*Prislapp!$D$2+E378*Prislapp!$E$2+F378*Prislapp!$F$2+G378*Prislapp!$G$2+H378*Prislapp!$H$2+I378*Prislapp!$I$2+J378*Prislapp!$J$2+K378*Prislapp!$K$2+L378*Prislapp!$L$2+M378*Prislapp!$M$2+N378*Prislapp!$N$2</f>
        <v>30802</v>
      </c>
      <c r="P378" s="42">
        <f>C378*Prislapp!$C$3+D378*Prislapp!$D$3+E378*Prislapp!$E$3+F378*Prislapp!$F$3+G378*Prislapp!$G$3+H378*Prislapp!$H$3+I378*Prislapp!$I$3+J378*Prislapp!$J$3+K378*Prislapp!$K$3+M378*Prislapp!$M$3+N378*Prislapp!$N$3</f>
        <v>63797</v>
      </c>
      <c r="Q378" s="42">
        <f>C378*Prislapp!$C$5+D378*Prislapp!$D$5+E378*Prislapp!$E$5+F378*Prislapp!$F$5+G378*Prislapp!$G$5+H378*Prislapp!$H$5+I378*Prislapp!$I$5+J378*Prislapp!$J$5+K378*Prislapp!$K$5+L378*Prislapp!$L$5+M378*Prislapp!$M$5+N378*Prislapp!$N$5</f>
        <v>70100</v>
      </c>
      <c r="R378" s="9">
        <f>VLOOKUP(A378,'Ansvar kurs'!$A$2:$B$830,2,FALSE)</f>
        <v>1650</v>
      </c>
      <c r="S378" s="159"/>
      <c r="T378" s="159"/>
      <c r="U378" s="159"/>
      <c r="V378" s="159"/>
      <c r="W378" s="159"/>
      <c r="X378" s="159"/>
      <c r="Y378" s="159"/>
      <c r="Z378" s="159"/>
    </row>
    <row r="379" spans="1:26" x14ac:dyDescent="0.25">
      <c r="A379" s="31" t="s">
        <v>1135</v>
      </c>
      <c r="B379" s="31" t="s">
        <v>1191</v>
      </c>
      <c r="G379" s="31">
        <v>1</v>
      </c>
      <c r="O379" s="42">
        <f>C379*Prislapp!$C$2+D379*Prislapp!$D$2+E379*Prislapp!$E$2+F379*Prislapp!$F$2+G379*Prislapp!$G$2+H379*Prislapp!$H$2+I379*Prislapp!$I$2+J379*Prislapp!$J$2+K379*Prislapp!$K$2+L379*Prislapp!$L$2+M379*Prislapp!$M$2+N379*Prislapp!$N$2</f>
        <v>30802</v>
      </c>
      <c r="P379" s="42">
        <f>C379*Prislapp!$C$3+D379*Prislapp!$D$3+E379*Prislapp!$E$3+F379*Prislapp!$F$3+G379*Prislapp!$G$3+H379*Prislapp!$H$3+I379*Prislapp!$I$3+J379*Prislapp!$J$3+K379*Prislapp!$K$3+M379*Prislapp!$M$3+N379*Prislapp!$N$3</f>
        <v>63797</v>
      </c>
      <c r="Q379" s="42">
        <f>C379*Prislapp!$C$5+D379*Prislapp!$D$5+E379*Prislapp!$E$5+F379*Prislapp!$F$5+G379*Prislapp!$G$5+H379*Prislapp!$H$5+I379*Prislapp!$I$5+J379*Prislapp!$J$5+K379*Prislapp!$K$5+L379*Prislapp!$L$5+M379*Prislapp!$M$5+N379*Prislapp!$N$5</f>
        <v>70100</v>
      </c>
      <c r="R379" s="9">
        <f>VLOOKUP(A379,'Ansvar kurs'!$A$2:$B$830,2,FALSE)</f>
        <v>1650</v>
      </c>
      <c r="S379" s="31" t="s">
        <v>1361</v>
      </c>
      <c r="U379" s="159"/>
      <c r="V379" s="159"/>
      <c r="W379" s="159"/>
      <c r="X379" s="159"/>
      <c r="Y379" s="159"/>
      <c r="Z379" s="159"/>
    </row>
    <row r="380" spans="1:26" x14ac:dyDescent="0.25">
      <c r="A380" s="31" t="s">
        <v>1324</v>
      </c>
      <c r="B380" t="s">
        <v>1325</v>
      </c>
      <c r="D380" s="31">
        <v>1</v>
      </c>
      <c r="O380" s="42">
        <f>C380*Prislapp!$C$2+D380*Prislapp!$D$2+E380*Prislapp!$E$2+F380*Prislapp!$F$2+G380*Prislapp!$G$2+H380*Prislapp!$H$2+I380*Prislapp!$I$2+J380*Prislapp!$J$2+K380*Prislapp!$K$2+L380*Prislapp!$L$2+M380*Prislapp!$M$2+N380*Prislapp!$N$2</f>
        <v>18405</v>
      </c>
      <c r="P380" s="42">
        <f>C380*Prislapp!$C$3+D380*Prislapp!$D$3+E380*Prislapp!$E$3+F380*Prislapp!$F$3+G380*Prislapp!$G$3+H380*Prislapp!$H$3+I380*Prislapp!$I$3+J380*Prislapp!$J$3+K380*Prislapp!$K$3+M380*Prislapp!$M$3+N380*Prislapp!$N$3</f>
        <v>15773</v>
      </c>
      <c r="Q380" s="42">
        <f>C380*Prislapp!$C$5+D380*Prislapp!$D$5+E380*Prislapp!$E$5+F380*Prislapp!$F$5+G380*Prislapp!$G$5+H380*Prislapp!$H$5+I380*Prislapp!$I$5+J380*Prislapp!$J$5+K380*Prislapp!$K$5+L380*Prislapp!$L$5+M380*Prislapp!$M$5+N380*Prislapp!$N$5</f>
        <v>5800</v>
      </c>
      <c r="R380" s="9">
        <f>VLOOKUP(A380,'Ansvar kurs'!$A$2:$B$830,2,FALSE)</f>
        <v>1650</v>
      </c>
      <c r="U380" s="159"/>
      <c r="V380" s="159"/>
      <c r="W380" s="159"/>
      <c r="X380" s="159"/>
      <c r="Y380" s="159"/>
      <c r="Z380" s="159"/>
    </row>
    <row r="381" spans="1:26" x14ac:dyDescent="0.25">
      <c r="A381" s="31" t="s">
        <v>1326</v>
      </c>
      <c r="B381" t="s">
        <v>1349</v>
      </c>
      <c r="G381" s="31">
        <v>1</v>
      </c>
      <c r="O381" s="42">
        <f>C381*Prislapp!$C$2+D381*Prislapp!$D$2+E381*Prislapp!$E$2+F381*Prislapp!$F$2+G381*Prislapp!$G$2+H381*Prislapp!$H$2+I381*Prislapp!$I$2+J381*Prislapp!$J$2+K381*Prislapp!$K$2+L381*Prislapp!$L$2+M381*Prislapp!$M$2+N381*Prislapp!$N$2</f>
        <v>30802</v>
      </c>
      <c r="P381" s="42">
        <f>C381*Prislapp!$C$3+D381*Prislapp!$D$3+E381*Prislapp!$E$3+F381*Prislapp!$F$3+G381*Prislapp!$G$3+H381*Prislapp!$H$3+I381*Prislapp!$I$3+J381*Prislapp!$J$3+K381*Prislapp!$K$3+M381*Prislapp!$M$3+N381*Prislapp!$N$3</f>
        <v>63797</v>
      </c>
      <c r="Q381" s="42">
        <f>C381*Prislapp!$C$5+D381*Prislapp!$D$5+E381*Prislapp!$E$5+F381*Prislapp!$F$5+G381*Prislapp!$G$5+H381*Prislapp!$H$5+I381*Prislapp!$I$5+J381*Prislapp!$J$5+K381*Prislapp!$K$5+L381*Prislapp!$L$5+M381*Prislapp!$M$5+N381*Prislapp!$N$5</f>
        <v>70100</v>
      </c>
      <c r="R381" s="9">
        <f>VLOOKUP(A381,'Ansvar kurs'!$A$2:$B$830,2,FALSE)</f>
        <v>1650</v>
      </c>
      <c r="S381" s="31" t="s">
        <v>1361</v>
      </c>
      <c r="U381" s="159"/>
      <c r="V381" s="159"/>
      <c r="W381" s="159"/>
      <c r="X381" s="159"/>
      <c r="Y381" s="159"/>
      <c r="Z381" s="159"/>
    </row>
    <row r="382" spans="1:26" x14ac:dyDescent="0.25">
      <c r="A382" s="266" t="s">
        <v>1362</v>
      </c>
      <c r="B382" s="62" t="s">
        <v>1339</v>
      </c>
      <c r="G382" s="31">
        <v>1</v>
      </c>
      <c r="O382" s="42">
        <f>C382*Prislapp!$C$2+D382*Prislapp!$D$2+E382*Prislapp!$E$2+F382*Prislapp!$F$2+G382*Prislapp!$G$2+H382*Prislapp!$H$2+I382*Prislapp!$I$2+J382*Prislapp!$J$2+K382*Prislapp!$K$2+L382*Prislapp!$L$2+M382*Prislapp!$M$2+N382*Prislapp!$N$2</f>
        <v>30802</v>
      </c>
      <c r="P382" s="42">
        <f>C382*Prislapp!$C$3+D382*Prislapp!$D$3+E382*Prislapp!$E$3+F382*Prislapp!$F$3+G382*Prislapp!$G$3+H382*Prislapp!$H$3+I382*Prislapp!$I$3+J382*Prislapp!$J$3+K382*Prislapp!$K$3+M382*Prislapp!$M$3+N382*Prislapp!$N$3</f>
        <v>63797</v>
      </c>
      <c r="Q382" s="42">
        <f>C382*Prislapp!$C$5+D382*Prislapp!$D$5+E382*Prislapp!$E$5+F382*Prislapp!$F$5+G382*Prislapp!$G$5+H382*Prislapp!$H$5+I382*Prislapp!$I$5+J382*Prislapp!$J$5+K382*Prislapp!$K$5+L382*Prislapp!$L$5+M382*Prislapp!$M$5+N382*Prislapp!$N$5</f>
        <v>70100</v>
      </c>
      <c r="R382" s="9">
        <f>VLOOKUP(A382,'Ansvar kurs'!$A$2:$B$830,2,FALSE)</f>
        <v>1650</v>
      </c>
      <c r="S382" s="186" t="s">
        <v>1525</v>
      </c>
      <c r="T382" s="186"/>
      <c r="U382" s="159"/>
      <c r="V382" s="159"/>
      <c r="W382" s="159"/>
      <c r="X382" s="159"/>
      <c r="Y382" s="159"/>
      <c r="Z382" s="159"/>
    </row>
    <row r="383" spans="1:26" x14ac:dyDescent="0.25">
      <c r="A383" s="266" t="s">
        <v>1363</v>
      </c>
      <c r="B383" s="62" t="s">
        <v>1364</v>
      </c>
      <c r="G383" s="31">
        <v>1</v>
      </c>
      <c r="O383" s="42">
        <f>C383*Prislapp!$C$2+D383*Prislapp!$D$2+E383*Prislapp!$E$2+F383*Prislapp!$F$2+G383*Prislapp!$G$2+H383*Prislapp!$H$2+I383*Prislapp!$I$2+J383*Prislapp!$J$2+K383*Prislapp!$K$2+L383*Prislapp!$L$2+M383*Prislapp!$M$2+N383*Prislapp!$N$2</f>
        <v>30802</v>
      </c>
      <c r="P383" s="42">
        <f>C383*Prislapp!$C$3+D383*Prislapp!$D$3+E383*Prislapp!$E$3+F383*Prislapp!$F$3+G383*Prislapp!$G$3+H383*Prislapp!$H$3+I383*Prislapp!$I$3+J383*Prislapp!$J$3+K383*Prislapp!$K$3+M383*Prislapp!$M$3+N383*Prislapp!$N$3</f>
        <v>63797</v>
      </c>
      <c r="Q383" s="42">
        <f>C383*Prislapp!$C$5+D383*Prislapp!$D$5+E383*Prislapp!$E$5+F383*Prislapp!$F$5+G383*Prislapp!$G$5+H383*Prislapp!$H$5+I383*Prislapp!$I$5+J383*Prislapp!$J$5+K383*Prislapp!$K$5+L383*Prislapp!$L$5+M383*Prislapp!$M$5+N383*Prislapp!$N$5</f>
        <v>70100</v>
      </c>
      <c r="R383" s="9">
        <f>VLOOKUP(A383,'Ansvar kurs'!$A$2:$B$830,2,FALSE)</f>
        <v>1650</v>
      </c>
      <c r="S383" s="186" t="s">
        <v>1525</v>
      </c>
      <c r="T383" s="186"/>
      <c r="U383" s="159"/>
      <c r="V383" s="159"/>
      <c r="W383" s="159"/>
      <c r="X383" s="159"/>
      <c r="Y383" s="159"/>
      <c r="Z383" s="159"/>
    </row>
    <row r="384" spans="1:26" x14ac:dyDescent="0.25">
      <c r="A384" s="266" t="s">
        <v>1585</v>
      </c>
      <c r="B384" s="62" t="s">
        <v>1610</v>
      </c>
      <c r="G384" s="31">
        <v>1</v>
      </c>
      <c r="O384" s="42">
        <f>C384*Prislapp!$C$2+D384*Prislapp!$D$2+E384*Prislapp!$E$2+F384*Prislapp!$F$2+G384*Prislapp!$G$2+H384*Prislapp!$H$2+I384*Prislapp!$I$2+J384*Prislapp!$J$2+K384*Prislapp!$K$2+L384*Prislapp!$L$2+M384*Prislapp!$M$2+N384*Prislapp!$N$2</f>
        <v>30802</v>
      </c>
      <c r="P384" s="42">
        <f>C384*Prislapp!$C$3+D384*Prislapp!$D$3+E384*Prislapp!$E$3+F384*Prislapp!$F$3+G384*Prislapp!$G$3+H384*Prislapp!$H$3+I384*Prislapp!$I$3+J384*Prislapp!$J$3+K384*Prislapp!$K$3+M384*Prislapp!$M$3+N384*Prislapp!$N$3</f>
        <v>63797</v>
      </c>
      <c r="Q384" s="42">
        <f>C384*Prislapp!$C$5+D384*Prislapp!$D$5+E384*Prislapp!$E$5+F384*Prislapp!$F$5+G384*Prislapp!$G$5+H384*Prislapp!$H$5+I384*Prislapp!$I$5+J384*Prislapp!$J$5+K384*Prislapp!$K$5+L384*Prislapp!$L$5+M384*Prislapp!$M$5+N384*Prislapp!$N$5</f>
        <v>70100</v>
      </c>
      <c r="R384" s="9">
        <f>VLOOKUP(A384,'Ansvar kurs'!$A$2:$B$830,2,FALSE)</f>
        <v>1650</v>
      </c>
      <c r="S384" s="186"/>
      <c r="T384" s="186"/>
      <c r="U384" s="159"/>
      <c r="V384" s="159"/>
      <c r="W384" s="159"/>
      <c r="X384" s="159"/>
      <c r="Y384" s="159"/>
      <c r="Z384" s="159"/>
    </row>
    <row r="385" spans="1:26" x14ac:dyDescent="0.25">
      <c r="A385" s="266" t="s">
        <v>1587</v>
      </c>
      <c r="B385" s="62" t="s">
        <v>1611</v>
      </c>
      <c r="G385" s="31">
        <v>1</v>
      </c>
      <c r="O385" s="42">
        <f>C385*Prislapp!$C$2+D385*Prislapp!$D$2+E385*Prislapp!$E$2+F385*Prislapp!$F$2+G385*Prislapp!$G$2+H385*Prislapp!$H$2+I385*Prislapp!$I$2+J385*Prislapp!$J$2+K385*Prislapp!$K$2+L385*Prislapp!$L$2+M385*Prislapp!$M$2+N385*Prislapp!$N$2</f>
        <v>30802</v>
      </c>
      <c r="P385" s="42">
        <f>C385*Prislapp!$C$3+D385*Prislapp!$D$3+E385*Prislapp!$E$3+F385*Prislapp!$F$3+G385*Prislapp!$G$3+H385*Prislapp!$H$3+I385*Prislapp!$I$3+J385*Prislapp!$J$3+K385*Prislapp!$K$3+M385*Prislapp!$M$3+N385*Prislapp!$N$3</f>
        <v>63797</v>
      </c>
      <c r="Q385" s="42">
        <f>C385*Prislapp!$C$5+D385*Prislapp!$D$5+E385*Prislapp!$E$5+F385*Prislapp!$F$5+G385*Prislapp!$G$5+H385*Prislapp!$H$5+I385*Prislapp!$I$5+J385*Prislapp!$J$5+K385*Prislapp!$K$5+L385*Prislapp!$L$5+M385*Prislapp!$M$5+N385*Prislapp!$N$5</f>
        <v>70100</v>
      </c>
      <c r="R385" s="9">
        <f>VLOOKUP(A385,'Ansvar kurs'!$A$2:$B$830,2,FALSE)</f>
        <v>1650</v>
      </c>
      <c r="S385" s="186"/>
      <c r="T385" s="186"/>
      <c r="U385" s="159"/>
      <c r="V385" s="159"/>
      <c r="W385" s="159"/>
      <c r="X385" s="159"/>
      <c r="Y385" s="159"/>
      <c r="Z385" s="159"/>
    </row>
    <row r="386" spans="1:26" x14ac:dyDescent="0.25">
      <c r="A386" s="31" t="s">
        <v>1738</v>
      </c>
      <c r="B386" s="31" t="s">
        <v>1643</v>
      </c>
      <c r="M386" s="31">
        <v>1</v>
      </c>
      <c r="O386" s="42">
        <f>C386*Prislapp!$C$2+D386*Prislapp!$D$2+E386*Prislapp!$E$2+F386*Prislapp!$F$2+G386*Prislapp!$G$2+H386*Prislapp!$H$2+I386*Prislapp!$I$2+J386*Prislapp!$J$2+K386*Prislapp!$K$2+L386*Prislapp!$L$2+M386*Prislapp!$M$2+N386*Prislapp!$N$2</f>
        <v>15846</v>
      </c>
      <c r="P386" s="42">
        <f>C386*Prislapp!$C$3+D386*Prislapp!$D$3+E386*Prislapp!$E$3+F386*Prislapp!$F$3+G386*Prislapp!$G$3+H386*Prislapp!$H$3+I386*Prislapp!$I$3+J386*Prislapp!$J$3+K386*Prislapp!$K$3+M386*Prislapp!$M$3+N386*Prislapp!$N$3</f>
        <v>26926</v>
      </c>
      <c r="Q386" s="42">
        <f>C386*Prislapp!$C$5+D386*Prislapp!$D$5+E386*Prislapp!$E$5+F386*Prislapp!$F$5+G386*Prislapp!$G$5+H386*Prislapp!$H$5+I386*Prislapp!$I$5+J386*Prislapp!$J$5+K386*Prislapp!$K$5+L386*Prislapp!$L$5+M386*Prislapp!$M$5+N386*Prislapp!$N$5</f>
        <v>17300</v>
      </c>
      <c r="R386" s="9">
        <f>VLOOKUP(A386,'Ansvar kurs'!$A$2:$B$830,2,FALSE)</f>
        <v>1650</v>
      </c>
      <c r="S386" s="159" t="s">
        <v>1904</v>
      </c>
      <c r="T386" s="159"/>
      <c r="U386" s="159"/>
      <c r="V386" s="159"/>
      <c r="W386" s="159"/>
      <c r="X386" s="159"/>
      <c r="Y386" s="159"/>
      <c r="Z386" s="159"/>
    </row>
    <row r="387" spans="1:26" x14ac:dyDescent="0.25">
      <c r="A387" s="31" t="s">
        <v>1920</v>
      </c>
      <c r="B387" s="31" t="s">
        <v>1921</v>
      </c>
      <c r="G387" s="31">
        <v>1</v>
      </c>
      <c r="O387" s="42">
        <f>C387*Prislapp!$C$2+D387*Prislapp!$D$2+E387*Prislapp!$E$2+F387*Prislapp!$F$2+G387*Prislapp!$G$2+H387*Prislapp!$H$2+I387*Prislapp!$I$2+J387*Prislapp!$J$2+K387*Prislapp!$K$2+L387*Prislapp!$L$2+M387*Prislapp!$M$2+N387*Prislapp!$N$2</f>
        <v>30802</v>
      </c>
      <c r="P387" s="42">
        <f>C387*Prislapp!$C$3+D387*Prislapp!$D$3+E387*Prislapp!$E$3+F387*Prislapp!$F$3+G387*Prislapp!$G$3+H387*Prislapp!$H$3+I387*Prislapp!$I$3+J387*Prislapp!$J$3+K387*Prislapp!$K$3+M387*Prislapp!$M$3+N387*Prislapp!$N$3</f>
        <v>63797</v>
      </c>
      <c r="Q387" s="42">
        <f>C387*Prislapp!$C$5+D387*Prislapp!$D$5+E387*Prislapp!$E$5+F387*Prislapp!$F$5+G387*Prislapp!$G$5+H387*Prislapp!$H$5+I387*Prislapp!$I$5+J387*Prislapp!$J$5+K387*Prislapp!$K$5+L387*Prislapp!$L$5+M387*Prislapp!$M$5+N387*Prislapp!$N$5</f>
        <v>70100</v>
      </c>
      <c r="R387" s="9">
        <f>VLOOKUP(A387,'Ansvar kurs'!$A$2:$B$830,2,FALSE)</f>
        <v>1650</v>
      </c>
      <c r="S387" s="159"/>
      <c r="T387" s="159"/>
      <c r="U387" s="159"/>
      <c r="V387" s="159"/>
      <c r="W387" s="159"/>
      <c r="X387" s="159"/>
      <c r="Y387" s="159"/>
      <c r="Z387" s="159"/>
    </row>
    <row r="388" spans="1:26" x14ac:dyDescent="0.25">
      <c r="A388" s="39" t="s">
        <v>2180</v>
      </c>
      <c r="B388" s="31" t="s">
        <v>766</v>
      </c>
      <c r="G388" s="431">
        <v>1</v>
      </c>
      <c r="O388" s="42">
        <f>C388*Prislapp!$C$2+D388*Prislapp!$D$2+E388*Prislapp!$E$2+F388*Prislapp!$F$2+G388*Prislapp!$G$2+H388*Prislapp!$H$2+I388*Prislapp!$I$2+J388*Prislapp!$J$2+K388*Prislapp!$K$2+L388*Prislapp!$L$2+M388*Prislapp!$M$2+N388*Prislapp!$N$2</f>
        <v>30802</v>
      </c>
      <c r="P388" s="42">
        <f>C388*Prislapp!$C$3+D388*Prislapp!$D$3+E388*Prislapp!$E$3+F388*Prislapp!$F$3+G388*Prislapp!$G$3+H388*Prislapp!$H$3+I388*Prislapp!$I$3+J388*Prislapp!$J$3+K388*Prislapp!$K$3+M388*Prislapp!$M$3+N388*Prislapp!$N$3</f>
        <v>63797</v>
      </c>
      <c r="Q388" s="42">
        <f>C388*Prislapp!$C$5+D388*Prislapp!$D$5+E388*Prislapp!$E$5+F388*Prislapp!$F$5+G388*Prislapp!$G$5+H388*Prislapp!$H$5+I388*Prislapp!$I$5+J388*Prislapp!$J$5+K388*Prislapp!$K$5+L388*Prislapp!$L$5+M388*Prislapp!$M$5+N388*Prislapp!$N$5</f>
        <v>70100</v>
      </c>
      <c r="R388" s="9">
        <f>VLOOKUP(A388,'Ansvar kurs'!$A$2:$B$830,2,FALSE)</f>
        <v>1650</v>
      </c>
      <c r="S388" s="337" t="s">
        <v>1922</v>
      </c>
      <c r="T388" s="159"/>
      <c r="U388" s="159"/>
      <c r="V388" s="159"/>
      <c r="W388" s="159"/>
      <c r="X388" s="159"/>
      <c r="Y388" s="159"/>
      <c r="Z388" s="159"/>
    </row>
    <row r="389" spans="1:26" x14ac:dyDescent="0.25">
      <c r="A389" s="461" t="s">
        <v>2187</v>
      </c>
      <c r="B389" s="62" t="s">
        <v>1597</v>
      </c>
      <c r="G389" s="31">
        <v>1</v>
      </c>
      <c r="O389" s="42">
        <f>C389*Prislapp!$C$2+D389*Prislapp!$D$2+E389*Prislapp!$E$2+F389*Prislapp!$F$2+G389*Prislapp!$G$2+H389*Prislapp!$H$2+I389*Prislapp!$I$2+J389*Prislapp!$J$2+K389*Prislapp!$K$2+L389*Prislapp!$L$2+M389*Prislapp!$M$2+N389*Prislapp!$N$2</f>
        <v>30802</v>
      </c>
      <c r="P389" s="42">
        <f>C389*Prislapp!$C$3+D389*Prislapp!$D$3+E389*Prislapp!$E$3+F389*Prislapp!$F$3+G389*Prislapp!$G$3+H389*Prislapp!$H$3+I389*Prislapp!$I$3+J389*Prislapp!$J$3+K389*Prislapp!$K$3+M389*Prislapp!$M$3+N389*Prislapp!$N$3</f>
        <v>63797</v>
      </c>
      <c r="Q389" s="42">
        <f>C389*Prislapp!$C$5+D389*Prislapp!$D$5+E389*Prislapp!$E$5+F389*Prislapp!$F$5+G389*Prislapp!$G$5+H389*Prislapp!$H$5+I389*Prislapp!$I$5+J389*Prislapp!$J$5+K389*Prislapp!$K$5+L389*Prislapp!$L$5+M389*Prislapp!$M$5+N389*Prislapp!$N$5</f>
        <v>70100</v>
      </c>
      <c r="R389" s="9">
        <f>VLOOKUP(A389,'Ansvar kurs'!$A$2:$B$830,2,FALSE)</f>
        <v>1650</v>
      </c>
      <c r="S389" s="186"/>
      <c r="T389" s="186"/>
      <c r="U389" s="159"/>
      <c r="V389" s="159"/>
      <c r="W389" s="159"/>
      <c r="X389" s="159"/>
      <c r="Y389" s="159"/>
      <c r="Z389" s="159"/>
    </row>
    <row r="390" spans="1:26" x14ac:dyDescent="0.25">
      <c r="A390" s="31" t="s">
        <v>434</v>
      </c>
      <c r="B390" s="31" t="s">
        <v>708</v>
      </c>
      <c r="I390" s="31">
        <v>1</v>
      </c>
      <c r="O390" s="42">
        <f>C390*Prislapp!$C$2+D390*Prislapp!$D$2+E390*Prislapp!$E$2+F390*Prislapp!$F$2+G390*Prislapp!$G$2+H390*Prislapp!$H$2+I390*Prislapp!$I$2+J390*Prislapp!$J$2+K390*Prislapp!$K$2+L390*Prislapp!$L$2+M390*Prislapp!$M$2+N390*Prislapp!$N$2</f>
        <v>18405</v>
      </c>
      <c r="P390" s="42">
        <f>C390*Prislapp!$C$3+D390*Prislapp!$D$3+E390*Prislapp!$E$3+F390*Prislapp!$F$3+G390*Prislapp!$G$3+H390*Prislapp!$H$3+I390*Prislapp!$I$3+J390*Prislapp!$J$3+K390*Prislapp!$K$3+M390*Prislapp!$M$3+N390*Prislapp!$N$3</f>
        <v>15773</v>
      </c>
      <c r="Q390" s="42">
        <f>C390*Prislapp!$C$5+D390*Prislapp!$D$5+E390*Prislapp!$E$5+F390*Prislapp!$F$5+G390*Prislapp!$G$5+H390*Prislapp!$H$5+I390*Prislapp!$I$5+J390*Prislapp!$J$5+K390*Prislapp!$K$5+L390*Prislapp!$L$5+M390*Prislapp!$M$5+N390*Prislapp!$N$5</f>
        <v>5800</v>
      </c>
      <c r="R390" s="9">
        <f>VLOOKUP(A390,'Ansvar kurs'!$A$2:$B$830,2,FALSE)</f>
        <v>2271</v>
      </c>
      <c r="S390" s="159"/>
      <c r="T390" s="159"/>
      <c r="U390" s="159"/>
      <c r="V390" s="159"/>
      <c r="W390" s="159"/>
      <c r="X390" s="159"/>
      <c r="Y390" s="159"/>
      <c r="Z390" s="159"/>
    </row>
    <row r="391" spans="1:26" x14ac:dyDescent="0.25">
      <c r="A391" s="266" t="s">
        <v>1799</v>
      </c>
      <c r="B391" s="31" t="s">
        <v>1808</v>
      </c>
      <c r="K391" s="31">
        <v>1</v>
      </c>
      <c r="O391" s="42">
        <f>C391*Prislapp!$C$2+D391*Prislapp!$D$2+E391*Prislapp!$E$2+F391*Prislapp!$F$2+G391*Prislapp!$G$2+H391*Prislapp!$H$2+I391*Prislapp!$I$2+J391*Prislapp!$J$2+K391*Prislapp!$K$2+L391*Prislapp!$L$2+M391*Prislapp!$M$2+N391*Prislapp!$N$2</f>
        <v>21634</v>
      </c>
      <c r="P391" s="42">
        <f>C391*Prislapp!$C$3+D391*Prislapp!$D$3+E391*Prislapp!$E$3+F391*Prislapp!$F$3+G391*Prislapp!$G$3+H391*Prislapp!$H$3+I391*Prislapp!$I$3+J391*Prislapp!$J$3+K391*Prislapp!$K$3+M391*Prislapp!$M$3+N391*Prislapp!$N$3</f>
        <v>26986</v>
      </c>
      <c r="Q391" s="42">
        <f>C391*Prislapp!$C$5+D391*Prislapp!$D$5+E391*Prislapp!$E$5+F391*Prislapp!$F$5+G391*Prislapp!$G$5+H391*Prislapp!$H$5+I391*Prislapp!$I$5+J391*Prislapp!$J$5+K391*Prislapp!$K$5+L391*Prislapp!$L$5+M391*Prislapp!$M$5+N391*Prislapp!$N$5</f>
        <v>3400</v>
      </c>
      <c r="R391" s="9">
        <f>VLOOKUP(A391,'Ansvar kurs'!$A$2:$B$830,2,FALSE)</f>
        <v>5740</v>
      </c>
      <c r="S391" s="159"/>
      <c r="T391" s="159"/>
      <c r="U391" s="159"/>
      <c r="V391" s="159"/>
      <c r="W391" s="159"/>
      <c r="X391" s="159"/>
      <c r="Y391" s="159"/>
      <c r="Z391" s="159"/>
    </row>
    <row r="392" spans="1:26" x14ac:dyDescent="0.25">
      <c r="A392" s="266" t="s">
        <v>2115</v>
      </c>
      <c r="B392" s="31" t="s">
        <v>2130</v>
      </c>
      <c r="H392" s="31">
        <v>1</v>
      </c>
      <c r="O392" s="42">
        <f>C392*Prislapp!$C$2+D392*Prislapp!$D$2+E392*Prislapp!$E$2+F392*Prislapp!$F$2+G392*Prislapp!$G$2+H392*Prislapp!$H$2+I392*Prislapp!$I$2+J392*Prislapp!$J$2+K392*Prislapp!$K$2+L392*Prislapp!$L$2+M392*Prislapp!$M$2+N392*Prislapp!$N$2</f>
        <v>19473</v>
      </c>
      <c r="P392" s="42">
        <f>C392*Prislapp!$C$3+D392*Prislapp!$D$3+E392*Prislapp!$E$3+F392*Prislapp!$F$3+G392*Prislapp!$G$3+H392*Prislapp!$H$3+I392*Prislapp!$I$3+J392*Prislapp!$J$3+K392*Prislapp!$K$3+M392*Prislapp!$M$3+N392*Prislapp!$N$3</f>
        <v>34806</v>
      </c>
      <c r="Q392" s="42">
        <f>C392*Prislapp!$C$5+D392*Prislapp!$D$5+E392*Prislapp!$E$5+F392*Prislapp!$F$5+G392*Prislapp!$G$5+H392*Prislapp!$H$5+I392*Prislapp!$I$5+J392*Prislapp!$J$5+K392*Prislapp!$K$5+L392*Prislapp!$L$5+M392*Prislapp!$M$5+N392*Prislapp!$N$5</f>
        <v>21800</v>
      </c>
      <c r="R392" s="9">
        <f>VLOOKUP(A392,'Ansvar kurs'!$A$2:$B$830,2,FALSE)</f>
        <v>5740</v>
      </c>
      <c r="S392" s="159"/>
      <c r="T392" s="159"/>
      <c r="U392" s="159"/>
      <c r="V392" s="159"/>
      <c r="W392" s="159"/>
      <c r="X392" s="159"/>
      <c r="Y392" s="159"/>
      <c r="Z392" s="159"/>
    </row>
    <row r="393" spans="1:26" x14ac:dyDescent="0.25">
      <c r="A393" s="266" t="s">
        <v>1800</v>
      </c>
      <c r="B393" s="31" t="s">
        <v>1809</v>
      </c>
      <c r="H393" s="31">
        <v>1</v>
      </c>
      <c r="O393" s="42">
        <f>C393*Prislapp!$C$2+D393*Prislapp!$D$2+E393*Prislapp!$E$2+F393*Prislapp!$F$2+G393*Prislapp!$G$2+H393*Prislapp!$H$2+I393*Prislapp!$I$2+J393*Prislapp!$J$2+K393*Prislapp!$K$2+L393*Prislapp!$L$2+M393*Prislapp!$M$2+N393*Prislapp!$N$2</f>
        <v>19473</v>
      </c>
      <c r="P393" s="42">
        <f>C393*Prislapp!$C$3+D393*Prislapp!$D$3+E393*Prislapp!$E$3+F393*Prislapp!$F$3+G393*Prislapp!$G$3+H393*Prislapp!$H$3+I393*Prislapp!$I$3+J393*Prislapp!$J$3+K393*Prislapp!$K$3+M393*Prislapp!$M$3+N393*Prislapp!$N$3</f>
        <v>34806</v>
      </c>
      <c r="Q393" s="42">
        <f>C393*Prislapp!$C$5+D393*Prislapp!$D$5+E393*Prislapp!$E$5+F393*Prislapp!$F$5+G393*Prislapp!$G$5+H393*Prislapp!$H$5+I393*Prislapp!$I$5+J393*Prislapp!$J$5+K393*Prislapp!$K$5+L393*Prislapp!$L$5+M393*Prislapp!$M$5+N393*Prislapp!$N$5</f>
        <v>21800</v>
      </c>
      <c r="R393" s="9">
        <f>VLOOKUP(A393,'Ansvar kurs'!$A$2:$B$830,2,FALSE)</f>
        <v>5740</v>
      </c>
      <c r="S393" s="159"/>
      <c r="T393" s="159"/>
      <c r="U393" s="159"/>
      <c r="V393" s="159"/>
      <c r="W393" s="159"/>
      <c r="X393" s="159"/>
      <c r="Y393" s="159"/>
      <c r="Z393" s="159"/>
    </row>
    <row r="394" spans="1:26" x14ac:dyDescent="0.25">
      <c r="A394" s="266" t="s">
        <v>1801</v>
      </c>
      <c r="B394" s="31" t="s">
        <v>1810</v>
      </c>
      <c r="H394" s="31">
        <v>1</v>
      </c>
      <c r="O394" s="42">
        <f>C394*Prislapp!$C$2+D394*Prislapp!$D$2+E394*Prislapp!$E$2+F394*Prislapp!$F$2+G394*Prislapp!$G$2+H394*Prislapp!$H$2+I394*Prislapp!$I$2+J394*Prislapp!$J$2+K394*Prislapp!$K$2+L394*Prislapp!$L$2+M394*Prislapp!$M$2+N394*Prislapp!$N$2</f>
        <v>19473</v>
      </c>
      <c r="P394" s="42">
        <f>C394*Prislapp!$C$3+D394*Prislapp!$D$3+E394*Prislapp!$E$3+F394*Prislapp!$F$3+G394*Prislapp!$G$3+H394*Prislapp!$H$3+I394*Prislapp!$I$3+J394*Prislapp!$J$3+K394*Prislapp!$K$3+M394*Prislapp!$M$3+N394*Prislapp!$N$3</f>
        <v>34806</v>
      </c>
      <c r="Q394" s="42">
        <f>C394*Prislapp!$C$5+D394*Prislapp!$D$5+E394*Prislapp!$E$5+F394*Prislapp!$F$5+G394*Prislapp!$G$5+H394*Prislapp!$H$5+I394*Prislapp!$I$5+J394*Prislapp!$J$5+K394*Prislapp!$K$5+L394*Prislapp!$L$5+M394*Prislapp!$M$5+N394*Prislapp!$N$5</f>
        <v>21800</v>
      </c>
      <c r="R394" s="9">
        <f>VLOOKUP(A394,'Ansvar kurs'!$A$2:$B$830,2,FALSE)</f>
        <v>5740</v>
      </c>
      <c r="S394" s="159"/>
      <c r="T394" s="159"/>
      <c r="U394" s="159"/>
      <c r="V394" s="159"/>
      <c r="W394" s="159"/>
      <c r="X394" s="159"/>
      <c r="Y394" s="159"/>
      <c r="Z394" s="159"/>
    </row>
    <row r="395" spans="1:26" x14ac:dyDescent="0.25">
      <c r="A395" s="31" t="s">
        <v>103</v>
      </c>
      <c r="B395" s="31" t="s">
        <v>709</v>
      </c>
      <c r="H395" s="31">
        <v>1</v>
      </c>
      <c r="O395" s="42">
        <f>C395*Prislapp!$C$2+D395*Prislapp!$D$2+E395*Prislapp!$E$2+F395*Prislapp!$F$2+G395*Prislapp!$G$2+H395*Prislapp!$H$2+I395*Prislapp!$I$2+J395*Prislapp!$J$2+K395*Prislapp!$K$2+L395*Prislapp!$L$2+M395*Prislapp!$M$2+N395*Prislapp!$N$2</f>
        <v>19473</v>
      </c>
      <c r="P395" s="42">
        <f>C395*Prislapp!$C$3+D395*Prislapp!$D$3+E395*Prislapp!$E$3+F395*Prislapp!$F$3+G395*Prislapp!$G$3+H395*Prislapp!$H$3+I395*Prislapp!$I$3+J395*Prislapp!$J$3+K395*Prislapp!$K$3+M395*Prislapp!$M$3+N395*Prislapp!$N$3</f>
        <v>34806</v>
      </c>
      <c r="Q395" s="42">
        <f>C395*Prislapp!$C$5+D395*Prislapp!$D$5+E395*Prislapp!$E$5+F395*Prislapp!$F$5+G395*Prislapp!$G$5+H395*Prislapp!$H$5+I395*Prislapp!$I$5+J395*Prislapp!$J$5+K395*Prislapp!$K$5+L395*Prislapp!$L$5+M395*Prislapp!$M$5+N395*Prislapp!$N$5</f>
        <v>21800</v>
      </c>
      <c r="R395" s="9">
        <f>VLOOKUP(A395,'Ansvar kurs'!$A$2:$B$830,2,FALSE)</f>
        <v>5740</v>
      </c>
      <c r="S395" s="159"/>
      <c r="T395" s="159"/>
      <c r="U395" s="159"/>
      <c r="V395" s="159"/>
      <c r="W395" s="159"/>
      <c r="X395" s="159"/>
      <c r="Y395" s="159"/>
      <c r="Z395" s="159"/>
    </row>
    <row r="396" spans="1:26" x14ac:dyDescent="0.25">
      <c r="A396" s="31" t="s">
        <v>656</v>
      </c>
      <c r="B396" s="31" t="s">
        <v>710</v>
      </c>
      <c r="H396" s="31">
        <v>1</v>
      </c>
      <c r="O396" s="42">
        <f>C396*Prislapp!$C$2+D396*Prislapp!$D$2+E396*Prislapp!$E$2+F396*Prislapp!$F$2+G396*Prislapp!$G$2+H396*Prislapp!$H$2+I396*Prislapp!$I$2+J396*Prislapp!$J$2+K396*Prislapp!$K$2+L396*Prislapp!$L$2+M396*Prislapp!$M$2+N396*Prislapp!$N$2</f>
        <v>19473</v>
      </c>
      <c r="P396" s="42">
        <f>C396*Prislapp!$C$3+D396*Prislapp!$D$3+E396*Prislapp!$E$3+F396*Prislapp!$F$3+G396*Prislapp!$G$3+H396*Prislapp!$H$3+I396*Prislapp!$I$3+J396*Prislapp!$J$3+K396*Prislapp!$K$3+M396*Prislapp!$M$3+N396*Prislapp!$N$3</f>
        <v>34806</v>
      </c>
      <c r="Q396" s="42">
        <f>C396*Prislapp!$C$5+D396*Prislapp!$D$5+E396*Prislapp!$E$5+F396*Prislapp!$F$5+G396*Prislapp!$G$5+H396*Prislapp!$H$5+I396*Prislapp!$I$5+J396*Prislapp!$J$5+K396*Prislapp!$K$5+L396*Prislapp!$L$5+M396*Prislapp!$M$5+N396*Prislapp!$N$5</f>
        <v>21800</v>
      </c>
      <c r="R396" s="9">
        <f>VLOOKUP(A396,'Ansvar kurs'!$A$2:$B$830,2,FALSE)</f>
        <v>5740</v>
      </c>
      <c r="S396" s="159"/>
      <c r="T396" s="159"/>
      <c r="U396" s="159"/>
      <c r="V396" s="159"/>
      <c r="W396" s="159"/>
      <c r="X396" s="159"/>
      <c r="Y396" s="159"/>
      <c r="Z396" s="159"/>
    </row>
    <row r="397" spans="1:26" x14ac:dyDescent="0.25">
      <c r="A397" s="31" t="s">
        <v>875</v>
      </c>
      <c r="B397" s="31" t="s">
        <v>1192</v>
      </c>
      <c r="H397" s="31">
        <v>1</v>
      </c>
      <c r="O397" s="42">
        <f>C397*Prislapp!$C$2+D397*Prislapp!$D$2+E397*Prislapp!$E$2+F397*Prislapp!$F$2+G397*Prislapp!$G$2+H397*Prislapp!$H$2+I397*Prislapp!$I$2+J397*Prislapp!$J$2+K397*Prislapp!$K$2+L397*Prislapp!$L$2+M397*Prislapp!$M$2+N397*Prislapp!$N$2</f>
        <v>19473</v>
      </c>
      <c r="P397" s="42">
        <f>C397*Prislapp!$C$3+D397*Prislapp!$D$3+E397*Prislapp!$E$3+F397*Prislapp!$F$3+G397*Prislapp!$G$3+H397*Prislapp!$H$3+I397*Prislapp!$I$3+J397*Prislapp!$J$3+K397*Prislapp!$K$3+M397*Prislapp!$M$3+N397*Prislapp!$N$3</f>
        <v>34806</v>
      </c>
      <c r="Q397" s="42">
        <f>C397*Prislapp!$C$5+D397*Prislapp!$D$5+E397*Prislapp!$E$5+F397*Prislapp!$F$5+G397*Prislapp!$G$5+H397*Prislapp!$H$5+I397*Prislapp!$I$5+J397*Prislapp!$J$5+K397*Prislapp!$K$5+L397*Prislapp!$L$5+M397*Prislapp!$M$5+N397*Prislapp!$N$5</f>
        <v>21800</v>
      </c>
      <c r="R397" s="9">
        <f>VLOOKUP(A397,'Ansvar kurs'!$A$2:$B$830,2,FALSE)</f>
        <v>5740</v>
      </c>
      <c r="S397" s="159"/>
      <c r="T397" s="159"/>
      <c r="U397" s="159"/>
      <c r="V397" s="159"/>
      <c r="W397" s="159"/>
      <c r="X397" s="159"/>
      <c r="Y397" s="159"/>
      <c r="Z397" s="159"/>
    </row>
    <row r="398" spans="1:26" x14ac:dyDescent="0.25">
      <c r="A398" s="59" t="s">
        <v>876</v>
      </c>
      <c r="B398" s="31" t="s">
        <v>1193</v>
      </c>
      <c r="H398" s="31">
        <v>1</v>
      </c>
      <c r="O398" s="42">
        <f>C398*Prislapp!$C$2+D398*Prislapp!$D$2+E398*Prislapp!$E$2+F398*Prislapp!$F$2+G398*Prislapp!$G$2+H398*Prislapp!$H$2+I398*Prislapp!$I$2+J398*Prislapp!$J$2+K398*Prislapp!$K$2+L398*Prislapp!$L$2+M398*Prislapp!$M$2+N398*Prislapp!$N$2</f>
        <v>19473</v>
      </c>
      <c r="P398" s="42">
        <f>C398*Prislapp!$C$3+D398*Prislapp!$D$3+E398*Prislapp!$E$3+F398*Prislapp!$F$3+G398*Prislapp!$G$3+H398*Prislapp!$H$3+I398*Prislapp!$I$3+J398*Prislapp!$J$3+K398*Prislapp!$K$3+M398*Prislapp!$M$3+N398*Prislapp!$N$3</f>
        <v>34806</v>
      </c>
      <c r="Q398" s="42">
        <f>C398*Prislapp!$C$5+D398*Prislapp!$D$5+E398*Prislapp!$E$5+F398*Prislapp!$F$5+G398*Prislapp!$G$5+H398*Prislapp!$H$5+I398*Prislapp!$I$5+J398*Prislapp!$J$5+K398*Prislapp!$K$5+L398*Prislapp!$L$5+M398*Prislapp!$M$5+N398*Prislapp!$N$5</f>
        <v>21800</v>
      </c>
      <c r="R398" s="9">
        <f>VLOOKUP(A398,'Ansvar kurs'!$A$2:$B$830,2,FALSE)</f>
        <v>5740</v>
      </c>
      <c r="S398" s="159"/>
      <c r="T398" s="159"/>
      <c r="U398" s="159"/>
      <c r="V398" s="159"/>
      <c r="W398" s="159"/>
      <c r="X398" s="159"/>
      <c r="Y398" s="159"/>
      <c r="Z398" s="159"/>
    </row>
    <row r="399" spans="1:26" x14ac:dyDescent="0.25">
      <c r="A399" s="31" t="s">
        <v>905</v>
      </c>
      <c r="B399" s="31" t="s">
        <v>1194</v>
      </c>
      <c r="H399" s="31">
        <v>1</v>
      </c>
      <c r="O399" s="42">
        <f>C399*Prislapp!$C$2+D399*Prislapp!$D$2+E399*Prislapp!$E$2+F399*Prislapp!$F$2+G399*Prislapp!$G$2+H399*Prislapp!$H$2+I399*Prislapp!$I$2+J399*Prislapp!$J$2+K399*Prislapp!$K$2+L399*Prislapp!$L$2+M399*Prislapp!$M$2+N399*Prislapp!$N$2</f>
        <v>19473</v>
      </c>
      <c r="P399" s="42">
        <f>C399*Prislapp!$C$3+D399*Prislapp!$D$3+E399*Prislapp!$E$3+F399*Prislapp!$F$3+G399*Prislapp!$G$3+H399*Prislapp!$H$3+I399*Prislapp!$I$3+J399*Prislapp!$J$3+K399*Prislapp!$K$3+M399*Prislapp!$M$3+N399*Prislapp!$N$3</f>
        <v>34806</v>
      </c>
      <c r="Q399" s="42">
        <f>C399*Prislapp!$C$5+D399*Prislapp!$D$5+E399*Prislapp!$E$5+F399*Prislapp!$F$5+G399*Prislapp!$G$5+H399*Prislapp!$H$5+I399*Prislapp!$I$5+J399*Prislapp!$J$5+K399*Prislapp!$K$5+L399*Prislapp!$L$5+M399*Prislapp!$M$5+N399*Prislapp!$N$5</f>
        <v>21800</v>
      </c>
      <c r="R399" s="9">
        <f>VLOOKUP(A399,'Ansvar kurs'!$A$2:$B$830,2,FALSE)</f>
        <v>5740</v>
      </c>
      <c r="S399" s="159"/>
      <c r="T399" s="159"/>
      <c r="U399" s="159"/>
      <c r="V399" s="159"/>
      <c r="W399" s="159"/>
      <c r="X399" s="159"/>
      <c r="Y399" s="159"/>
      <c r="Z399" s="159"/>
    </row>
    <row r="400" spans="1:26" x14ac:dyDescent="0.25">
      <c r="A400" s="31" t="s">
        <v>906</v>
      </c>
      <c r="B400" s="31" t="s">
        <v>914</v>
      </c>
      <c r="H400" s="31">
        <v>1</v>
      </c>
      <c r="O400" s="42">
        <f>C400*Prislapp!$C$2+D400*Prislapp!$D$2+E400*Prislapp!$E$2+F400*Prislapp!$F$2+G400*Prislapp!$G$2+H400*Prislapp!$H$2+I400*Prislapp!$I$2+J400*Prislapp!$J$2+K400*Prislapp!$K$2+L400*Prislapp!$L$2+M400*Prislapp!$M$2+N400*Prislapp!$N$2</f>
        <v>19473</v>
      </c>
      <c r="P400" s="42">
        <f>C400*Prislapp!$C$3+D400*Prislapp!$D$3+E400*Prislapp!$E$3+F400*Prislapp!$F$3+G400*Prislapp!$G$3+H400*Prislapp!$H$3+I400*Prislapp!$I$3+J400*Prislapp!$J$3+K400*Prislapp!$K$3+M400*Prislapp!$M$3+N400*Prislapp!$N$3</f>
        <v>34806</v>
      </c>
      <c r="Q400" s="42">
        <f>C400*Prislapp!$C$5+D400*Prislapp!$D$5+E400*Prislapp!$E$5+F400*Prislapp!$F$5+G400*Prislapp!$G$5+H400*Prislapp!$H$5+I400*Prislapp!$I$5+J400*Prislapp!$J$5+K400*Prislapp!$K$5+L400*Prislapp!$L$5+M400*Prislapp!$M$5+N400*Prislapp!$N$5</f>
        <v>21800</v>
      </c>
      <c r="R400" s="9">
        <f>VLOOKUP(A400,'Ansvar kurs'!$A$2:$B$830,2,FALSE)</f>
        <v>5740</v>
      </c>
      <c r="S400" s="159"/>
      <c r="T400" s="159"/>
      <c r="U400" s="159"/>
      <c r="V400" s="159"/>
      <c r="W400" s="159"/>
      <c r="X400" s="159"/>
      <c r="Y400" s="159"/>
      <c r="Z400" s="159"/>
    </row>
    <row r="401" spans="1:26" x14ac:dyDescent="0.25">
      <c r="A401" s="31" t="s">
        <v>1653</v>
      </c>
      <c r="B401" s="31" t="s">
        <v>1708</v>
      </c>
      <c r="H401" s="31">
        <v>1</v>
      </c>
      <c r="O401" s="42">
        <f>C401*Prislapp!$C$2+D401*Prislapp!$D$2+E401*Prislapp!$E$2+F401*Prislapp!$F$2+G401*Prislapp!$G$2+H401*Prislapp!$H$2+I401*Prislapp!$I$2+J401*Prislapp!$J$2+K401*Prislapp!$K$2+L401*Prislapp!$L$2+M401*Prislapp!$M$2+N401*Prislapp!$N$2</f>
        <v>19473</v>
      </c>
      <c r="P401" s="42">
        <f>C401*Prislapp!$C$3+D401*Prislapp!$D$3+E401*Prislapp!$E$3+F401*Prislapp!$F$3+G401*Prislapp!$G$3+H401*Prislapp!$H$3+I401*Prislapp!$I$3+J401*Prislapp!$J$3+K401*Prislapp!$K$3+M401*Prislapp!$M$3+N401*Prislapp!$N$3</f>
        <v>34806</v>
      </c>
      <c r="Q401" s="42">
        <f>C401*Prislapp!$C$5+D401*Prislapp!$D$5+E401*Prislapp!$E$5+F401*Prislapp!$F$5+G401*Prislapp!$G$5+H401*Prislapp!$H$5+I401*Prislapp!$I$5+J401*Prislapp!$J$5+K401*Prislapp!$K$5+L401*Prislapp!$L$5+M401*Prislapp!$M$5+N401*Prislapp!$N$5</f>
        <v>21800</v>
      </c>
      <c r="R401" s="9">
        <f>VLOOKUP(A401,'Ansvar kurs'!$A$2:$B$830,2,FALSE)</f>
        <v>5740</v>
      </c>
      <c r="S401" s="159"/>
      <c r="T401" s="159"/>
      <c r="U401" s="159"/>
      <c r="V401" s="159"/>
      <c r="W401" s="159"/>
      <c r="X401" s="159"/>
      <c r="Y401" s="159"/>
      <c r="Z401" s="159"/>
    </row>
    <row r="402" spans="1:26" x14ac:dyDescent="0.25">
      <c r="A402" s="31" t="s">
        <v>1573</v>
      </c>
      <c r="B402" s="31" t="s">
        <v>1438</v>
      </c>
      <c r="H402" s="31">
        <v>1</v>
      </c>
      <c r="O402" s="42">
        <f>C402*Prislapp!$C$2+D402*Prislapp!$D$2+E402*Prislapp!$E$2+F402*Prislapp!$F$2+G402*Prislapp!$G$2+H402*Prislapp!$H$2+I402*Prislapp!$I$2+J402*Prislapp!$J$2+K402*Prislapp!$K$2+L402*Prislapp!$L$2+M402*Prislapp!$M$2+N402*Prislapp!$N$2</f>
        <v>19473</v>
      </c>
      <c r="P402" s="42">
        <f>C402*Prislapp!$C$3+D402*Prislapp!$D$3+E402*Prislapp!$E$3+F402*Prislapp!$F$3+G402*Prislapp!$G$3+H402*Prislapp!$H$3+I402*Prislapp!$I$3+J402*Prislapp!$J$3+K402*Prislapp!$K$3+M402*Prislapp!$M$3+N402*Prislapp!$N$3</f>
        <v>34806</v>
      </c>
      <c r="Q402" s="42">
        <f>C402*Prislapp!$C$5+D402*Prislapp!$D$5+E402*Prislapp!$E$5+F402*Prislapp!$F$5+G402*Prislapp!$G$5+H402*Prislapp!$H$5+I402*Prislapp!$I$5+J402*Prislapp!$J$5+K402*Prislapp!$K$5+L402*Prislapp!$L$5+M402*Prislapp!$M$5+N402*Prislapp!$N$5</f>
        <v>21800</v>
      </c>
      <c r="R402" s="9">
        <f>VLOOKUP(A402,'Ansvar kurs'!$A$2:$B$830,2,FALSE)</f>
        <v>5740</v>
      </c>
      <c r="S402" s="159"/>
      <c r="T402" s="159"/>
      <c r="U402" s="159"/>
      <c r="V402" s="159"/>
      <c r="W402" s="159"/>
      <c r="X402" s="159"/>
      <c r="Y402" s="159"/>
      <c r="Z402" s="159"/>
    </row>
    <row r="403" spans="1:26" x14ac:dyDescent="0.25">
      <c r="A403" s="31" t="s">
        <v>1571</v>
      </c>
      <c r="B403" s="31" t="s">
        <v>1612</v>
      </c>
      <c r="H403" s="31">
        <v>1</v>
      </c>
      <c r="O403" s="42">
        <f>C403*Prislapp!$C$2+D403*Prislapp!$D$2+E403*Prislapp!$E$2+F403*Prislapp!$F$2+G403*Prislapp!$G$2+H403*Prislapp!$H$2+I403*Prislapp!$I$2+J403*Prislapp!$J$2+K403*Prislapp!$K$2+L403*Prislapp!$L$2+M403*Prislapp!$M$2+N403*Prislapp!$N$2</f>
        <v>19473</v>
      </c>
      <c r="P403" s="42">
        <f>C403*Prislapp!$C$3+D403*Prislapp!$D$3+E403*Prislapp!$E$3+F403*Prislapp!$F$3+G403*Prislapp!$G$3+H403*Prislapp!$H$3+I403*Prislapp!$I$3+J403*Prislapp!$J$3+K403*Prislapp!$K$3+M403*Prislapp!$M$3+N403*Prislapp!$N$3</f>
        <v>34806</v>
      </c>
      <c r="Q403" s="42">
        <f>C403*Prislapp!$C$5+D403*Prislapp!$D$5+E403*Prislapp!$E$5+F403*Prislapp!$F$5+G403*Prislapp!$G$5+H403*Prislapp!$H$5+I403*Prislapp!$I$5+J403*Prislapp!$J$5+K403*Prislapp!$K$5+L403*Prislapp!$L$5+M403*Prislapp!$M$5+N403*Prislapp!$N$5</f>
        <v>21800</v>
      </c>
      <c r="R403" s="9">
        <f>VLOOKUP(A403,'Ansvar kurs'!$A$2:$B$830,2,FALSE)</f>
        <v>5740</v>
      </c>
      <c r="S403" s="159"/>
      <c r="T403" s="159"/>
      <c r="U403" s="159"/>
      <c r="V403" s="159"/>
      <c r="W403" s="159"/>
      <c r="X403" s="159"/>
      <c r="Y403" s="159"/>
      <c r="Z403" s="159"/>
    </row>
    <row r="404" spans="1:26" x14ac:dyDescent="0.25">
      <c r="A404" s="31" t="s">
        <v>1574</v>
      </c>
      <c r="B404" s="31" t="s">
        <v>1613</v>
      </c>
      <c r="H404" s="31">
        <v>1</v>
      </c>
      <c r="O404" s="42">
        <f>C404*Prislapp!$C$2+D404*Prislapp!$D$2+E404*Prislapp!$E$2+F404*Prislapp!$F$2+G404*Prislapp!$G$2+H404*Prislapp!$H$2+I404*Prislapp!$I$2+J404*Prislapp!$J$2+K404*Prislapp!$K$2+L404*Prislapp!$L$2+M404*Prislapp!$M$2+N404*Prislapp!$N$2</f>
        <v>19473</v>
      </c>
      <c r="P404" s="42">
        <f>C404*Prislapp!$C$3+D404*Prislapp!$D$3+E404*Prislapp!$E$3+F404*Prislapp!$F$3+G404*Prislapp!$G$3+H404*Prislapp!$H$3+I404*Prislapp!$I$3+J404*Prislapp!$J$3+K404*Prislapp!$K$3+M404*Prislapp!$M$3+N404*Prislapp!$N$3</f>
        <v>34806</v>
      </c>
      <c r="Q404" s="42">
        <f>C404*Prislapp!$C$5+D404*Prislapp!$D$5+E404*Prislapp!$E$5+F404*Prislapp!$F$5+G404*Prislapp!$G$5+H404*Prislapp!$H$5+I404*Prislapp!$I$5+J404*Prislapp!$J$5+K404*Prislapp!$K$5+L404*Prislapp!$L$5+M404*Prislapp!$M$5+N404*Prislapp!$N$5</f>
        <v>21800</v>
      </c>
      <c r="R404" s="9">
        <f>VLOOKUP(A404,'Ansvar kurs'!$A$2:$B$830,2,FALSE)</f>
        <v>5740</v>
      </c>
      <c r="S404" s="159"/>
      <c r="T404" s="159"/>
      <c r="U404" s="159"/>
      <c r="V404" s="159"/>
      <c r="W404" s="159"/>
      <c r="X404" s="159"/>
      <c r="Y404" s="159"/>
      <c r="Z404" s="159"/>
    </row>
    <row r="405" spans="1:26" x14ac:dyDescent="0.25">
      <c r="A405" s="31" t="s">
        <v>1828</v>
      </c>
      <c r="B405" s="31" t="s">
        <v>1847</v>
      </c>
      <c r="H405" s="31">
        <v>1</v>
      </c>
      <c r="O405" s="42">
        <f>C405*Prislapp!$C$2+D405*Prislapp!$D$2+E405*Prislapp!$E$2+F405*Prislapp!$F$2+G405*Prislapp!$G$2+H405*Prislapp!$H$2+I405*Prislapp!$I$2+J405*Prislapp!$J$2+K405*Prislapp!$K$2+L405*Prislapp!$L$2+M405*Prislapp!$M$2+N405*Prislapp!$N$2</f>
        <v>19473</v>
      </c>
      <c r="P405" s="42">
        <f>C405*Prislapp!$C$3+D405*Prislapp!$D$3+E405*Prislapp!$E$3+F405*Prislapp!$F$3+G405*Prislapp!$G$3+H405*Prislapp!$H$3+I405*Prislapp!$I$3+J405*Prislapp!$J$3+K405*Prislapp!$K$3+M405*Prislapp!$M$3+N405*Prislapp!$N$3</f>
        <v>34806</v>
      </c>
      <c r="Q405" s="42">
        <f>C405*Prislapp!$C$5+D405*Prislapp!$D$5+E405*Prislapp!$E$5+F405*Prislapp!$F$5+G405*Prislapp!$G$5+H405*Prislapp!$H$5+I405*Prislapp!$I$5+J405*Prislapp!$J$5+K405*Prislapp!$K$5+L405*Prislapp!$L$5+M405*Prislapp!$M$5+N405*Prislapp!$N$5</f>
        <v>21800</v>
      </c>
      <c r="R405" s="9">
        <f>VLOOKUP(A405,'Ansvar kurs'!$A$2:$B$830,2,FALSE)</f>
        <v>5740</v>
      </c>
      <c r="T405" s="159"/>
      <c r="U405" s="159"/>
      <c r="V405" s="159"/>
      <c r="W405" s="159"/>
      <c r="X405" s="159"/>
      <c r="Y405" s="159"/>
      <c r="Z405" s="159"/>
    </row>
    <row r="406" spans="1:26" x14ac:dyDescent="0.25">
      <c r="A406" s="295" t="s">
        <v>1827</v>
      </c>
      <c r="B406" s="295" t="s">
        <v>1843</v>
      </c>
      <c r="C406" s="295"/>
      <c r="D406" s="295"/>
      <c r="E406" s="295"/>
      <c r="F406" s="295"/>
      <c r="G406" s="295"/>
      <c r="H406" s="295">
        <v>1</v>
      </c>
      <c r="I406" s="295"/>
      <c r="J406" s="295"/>
      <c r="K406" s="295"/>
      <c r="L406" s="295"/>
      <c r="M406" s="295"/>
      <c r="N406" s="295"/>
      <c r="O406" s="414">
        <f>C406*Prislapp!$C$2+D406*Prislapp!$D$2+E406*Prislapp!$E$2+F406*Prislapp!$F$2+G406*Prislapp!$G$2+H406*Prislapp!$H$2+I406*Prislapp!$I$2+J406*Prislapp!$J$2+K406*Prislapp!$K$2+L406*Prislapp!$L$2+M406*Prislapp!$M$2+N406*Prislapp!$N$2</f>
        <v>19473</v>
      </c>
      <c r="P406" s="414">
        <f>C406*Prislapp!$C$3+D406*Prislapp!$D$3+E406*Prislapp!$E$3+F406*Prislapp!$F$3+G406*Prislapp!$G$3+H406*Prislapp!$H$3+I406*Prislapp!$I$3+J406*Prislapp!$J$3+K406*Prislapp!$K$3+M406*Prislapp!$M$3+N406*Prislapp!$N$3</f>
        <v>34806</v>
      </c>
      <c r="Q406" s="414">
        <f>C406*Prislapp!$C$5+D406*Prislapp!$D$5+E406*Prislapp!$E$5+F406*Prislapp!$F$5+G406*Prislapp!$G$5+H406*Prislapp!$H$5+I406*Prislapp!$I$5+J406*Prislapp!$J$5+K406*Prislapp!$K$5+L406*Prislapp!$L$5+M406*Prislapp!$M$5+N406*Prislapp!$N$5</f>
        <v>21800</v>
      </c>
      <c r="R406" s="415">
        <f>VLOOKUP(A406,'Ansvar kurs'!$A$2:$B$830,2,FALSE)</f>
        <v>5740</v>
      </c>
      <c r="S406" s="295" t="s">
        <v>1916</v>
      </c>
      <c r="T406" s="159"/>
      <c r="U406" s="159"/>
      <c r="V406" s="159"/>
      <c r="W406" s="159"/>
      <c r="X406" s="159"/>
      <c r="Y406" s="159"/>
      <c r="Z406" s="159"/>
    </row>
    <row r="407" spans="1:26" x14ac:dyDescent="0.25">
      <c r="A407" s="62" t="s">
        <v>1864</v>
      </c>
      <c r="B407" s="31" t="s">
        <v>1877</v>
      </c>
      <c r="H407" s="31">
        <v>1</v>
      </c>
      <c r="O407" s="42">
        <f>C407*Prislapp!$C$2+D407*Prislapp!$D$2+E407*Prislapp!$E$2+F407*Prislapp!$F$2+G407*Prislapp!$G$2+H407*Prislapp!$H$2+I407*Prislapp!$I$2+J407*Prislapp!$J$2+K407*Prislapp!$K$2+L407*Prislapp!$L$2+M407*Prislapp!$M$2+N407*Prislapp!$N$2</f>
        <v>19473</v>
      </c>
      <c r="P407" s="42">
        <f>C407*Prislapp!$C$3+D407*Prislapp!$D$3+E407*Prislapp!$E$3+F407*Prislapp!$F$3+G407*Prislapp!$G$3+H407*Prislapp!$H$3+I407*Prislapp!$I$3+J407*Prislapp!$J$3+K407*Prislapp!$K$3+M407*Prislapp!$M$3+N407*Prislapp!$N$3</f>
        <v>34806</v>
      </c>
      <c r="Q407" s="42">
        <f>C407*Prislapp!$C$5+D407*Prislapp!$D$5+E407*Prislapp!$E$5+F407*Prislapp!$F$5+G407*Prislapp!$G$5+H407*Prislapp!$H$5+I407*Prislapp!$I$5+J407*Prislapp!$J$5+K407*Prislapp!$K$5+L407*Prislapp!$L$5+M407*Prislapp!$M$5+N407*Prislapp!$N$5</f>
        <v>21800</v>
      </c>
      <c r="R407" s="9">
        <f>VLOOKUP(A407,'Ansvar kurs'!$A$2:$B$830,2,FALSE)</f>
        <v>5740</v>
      </c>
    </row>
    <row r="408" spans="1:26" x14ac:dyDescent="0.25">
      <c r="A408" s="62" t="s">
        <v>2248</v>
      </c>
      <c r="B408" s="31" t="s">
        <v>2249</v>
      </c>
      <c r="H408" s="31">
        <v>1</v>
      </c>
      <c r="O408" s="42">
        <f>C408*Prislapp!$C$2+D408*Prislapp!$D$2+E408*Prislapp!$E$2+F408*Prislapp!$F$2+G408*Prislapp!$G$2+H408*Prislapp!$H$2+I408*Prislapp!$I$2+J408*Prislapp!$J$2+K408*Prislapp!$K$2+L408*Prislapp!$L$2+M408*Prislapp!$M$2+N408*Prislapp!$N$2</f>
        <v>19473</v>
      </c>
      <c r="P408" s="42">
        <f>C408*Prislapp!$C$3+D408*Prislapp!$D$3+E408*Prislapp!$E$3+F408*Prislapp!$F$3+G408*Prislapp!$G$3+H408*Prislapp!$H$3+I408*Prislapp!$I$3+J408*Prislapp!$J$3+K408*Prislapp!$K$3+M408*Prislapp!$M$3+N408*Prislapp!$N$3</f>
        <v>34806</v>
      </c>
      <c r="Q408" s="42">
        <f>C408*Prislapp!$C$5+D408*Prislapp!$D$5+E408*Prislapp!$E$5+F408*Prislapp!$F$5+G408*Prislapp!$G$5+H408*Prislapp!$H$5+I408*Prislapp!$I$5+J408*Prislapp!$J$5+K408*Prislapp!$K$5+L408*Prislapp!$L$5+M408*Prislapp!$M$5+N408*Prislapp!$N$5</f>
        <v>21800</v>
      </c>
      <c r="R408" s="9">
        <f>VLOOKUP(A408,'Ansvar kurs'!$A$2:$B$830,2,FALSE)</f>
        <v>5740</v>
      </c>
    </row>
    <row r="409" spans="1:26" x14ac:dyDescent="0.25">
      <c r="A409" s="59" t="s">
        <v>877</v>
      </c>
      <c r="B409" s="31" t="s">
        <v>1195</v>
      </c>
      <c r="F409" s="31">
        <v>1</v>
      </c>
      <c r="O409" s="42">
        <f>C409*Prislapp!$C$2+D409*Prislapp!$D$2+E409*Prislapp!$E$2+F409*Prislapp!$F$2+G409*Prislapp!$G$2+H409*Prislapp!$H$2+I409*Prislapp!$I$2+J409*Prislapp!$J$2+K409*Prislapp!$K$2+L409*Prislapp!$L$2+M409*Prislapp!$M$2+N409*Prislapp!$N$2</f>
        <v>23641</v>
      </c>
      <c r="P409" s="42">
        <f>C409*Prislapp!$C$3+D409*Prislapp!$D$3+E409*Prislapp!$E$3+F409*Prislapp!$F$3+G409*Prislapp!$G$3+H409*Prislapp!$H$3+I409*Prislapp!$I$3+J409*Prislapp!$J$3+K409*Prislapp!$K$3+M409*Prislapp!$M$3+N409*Prislapp!$N$3</f>
        <v>28786</v>
      </c>
      <c r="Q409" s="42">
        <f>C409*Prislapp!$C$5+D409*Prislapp!$D$5+E409*Prislapp!$E$5+F409*Prislapp!$F$5+G409*Prislapp!$G$5+H409*Prislapp!$H$5+I409*Prislapp!$I$5+J409*Prislapp!$J$5+K409*Prislapp!$K$5+L409*Prislapp!$L$5+M409*Prislapp!$M$5+N409*Prislapp!$N$5</f>
        <v>5800</v>
      </c>
      <c r="R409" s="9">
        <f>VLOOKUP(A409,'Ansvar kurs'!$A$2:$B$830,2,FALSE)</f>
        <v>2180</v>
      </c>
      <c r="S409" s="159"/>
      <c r="T409" s="159"/>
      <c r="U409" s="159"/>
      <c r="V409" s="159"/>
      <c r="W409" s="159"/>
      <c r="X409" s="159"/>
      <c r="Y409" s="159"/>
      <c r="Z409" s="159"/>
    </row>
    <row r="410" spans="1:26" x14ac:dyDescent="0.25">
      <c r="A410" s="31" t="s">
        <v>436</v>
      </c>
      <c r="B410" s="31" t="s">
        <v>711</v>
      </c>
      <c r="H410" s="31">
        <v>0.4</v>
      </c>
      <c r="K410" s="31">
        <v>0.6</v>
      </c>
      <c r="O410" s="42">
        <f>C410*Prislapp!$C$2+D410*Prislapp!$D$2+E410*Prislapp!$E$2+F410*Prislapp!$F$2+G410*Prislapp!$G$2+H410*Prislapp!$H$2+I410*Prislapp!$I$2+J410*Prislapp!$J$2+K410*Prislapp!$K$2+L410*Prislapp!$L$2+M410*Prislapp!$M$2+N410*Prislapp!$N$2</f>
        <v>20769.599999999999</v>
      </c>
      <c r="P410" s="42">
        <f>C410*Prislapp!$C$3+D410*Prislapp!$D$3+E410*Prislapp!$E$3+F410*Prislapp!$F$3+G410*Prislapp!$G$3+H410*Prislapp!$H$3+I410*Prislapp!$I$3+J410*Prislapp!$J$3+K410*Prislapp!$K$3+M410*Prislapp!$M$3+N410*Prislapp!$N$3</f>
        <v>30114</v>
      </c>
      <c r="Q410" s="42">
        <f>C410*Prislapp!$C$5+D410*Prislapp!$D$5+E410*Prislapp!$E$5+F410*Prislapp!$F$5+G410*Prislapp!$G$5+H410*Prislapp!$H$5+I410*Prislapp!$I$5+J410*Prislapp!$J$5+K410*Prislapp!$K$5+L410*Prislapp!$L$5+M410*Prislapp!$M$5+N410*Prislapp!$N$5</f>
        <v>10760</v>
      </c>
      <c r="R410" s="9">
        <f>VLOOKUP(A410,'Ansvar kurs'!$A$2:$B$830,2,FALSE)</f>
        <v>5740</v>
      </c>
      <c r="S410" s="159"/>
      <c r="T410" s="159"/>
      <c r="U410" s="159"/>
      <c r="V410" s="159"/>
      <c r="W410" s="159"/>
      <c r="X410" s="159"/>
      <c r="Y410" s="159"/>
      <c r="Z410" s="159"/>
    </row>
    <row r="411" spans="1:26" x14ac:dyDescent="0.25">
      <c r="A411" s="31" t="s">
        <v>1044</v>
      </c>
      <c r="B411" s="31" t="s">
        <v>1073</v>
      </c>
      <c r="F411" s="31">
        <v>0.6</v>
      </c>
      <c r="H411" s="31">
        <v>0.4</v>
      </c>
      <c r="O411" s="42">
        <f>C411*Prislapp!$C$2+D411*Prislapp!$D$2+E411*Prislapp!$E$2+F411*Prislapp!$F$2+G411*Prislapp!$G$2+H411*Prislapp!$H$2+I411*Prislapp!$I$2+J411*Prislapp!$J$2+K411*Prislapp!$K$2+L411*Prislapp!$L$2+M411*Prislapp!$M$2+N411*Prislapp!$N$2</f>
        <v>21973.800000000003</v>
      </c>
      <c r="P411" s="42">
        <f>C411*Prislapp!$C$3+D411*Prislapp!$D$3+E411*Prislapp!$E$3+F411*Prislapp!$F$3+G411*Prislapp!$G$3+H411*Prislapp!$H$3+I411*Prislapp!$I$3+J411*Prislapp!$J$3+K411*Prislapp!$K$3+M411*Prislapp!$M$3+N411*Prislapp!$N$3</f>
        <v>31194</v>
      </c>
      <c r="Q411" s="42">
        <f>C411*Prislapp!$C$5+D411*Prislapp!$D$5+E411*Prislapp!$E$5+F411*Prislapp!$F$5+G411*Prislapp!$G$5+H411*Prislapp!$H$5+I411*Prislapp!$I$5+J411*Prislapp!$J$5+K411*Prislapp!$K$5+L411*Prislapp!$L$5+M411*Prislapp!$M$5+N411*Prislapp!$N$5</f>
        <v>12200</v>
      </c>
      <c r="R411" s="9">
        <f>VLOOKUP(A411,'Ansvar kurs'!$A$2:$B$830,2,FALSE)</f>
        <v>5740</v>
      </c>
      <c r="S411" s="159"/>
      <c r="T411" s="159"/>
      <c r="U411" s="159"/>
      <c r="V411" s="159"/>
      <c r="W411" s="159"/>
      <c r="X411" s="159"/>
      <c r="Y411" s="159"/>
      <c r="Z411" s="159"/>
    </row>
    <row r="412" spans="1:26" x14ac:dyDescent="0.25">
      <c r="A412" s="31" t="s">
        <v>1045</v>
      </c>
      <c r="B412" s="31" t="s">
        <v>323</v>
      </c>
      <c r="F412" s="31">
        <v>1</v>
      </c>
      <c r="O412" s="42">
        <f>C412*Prislapp!$C$2+D412*Prislapp!$D$2+E412*Prislapp!$E$2+F412*Prislapp!$F$2+G412*Prislapp!$G$2+H412*Prislapp!$H$2+I412*Prislapp!$I$2+J412*Prislapp!$J$2+K412*Prislapp!$K$2+L412*Prislapp!$L$2+M412*Prislapp!$M$2+N412*Prislapp!$N$2</f>
        <v>23641</v>
      </c>
      <c r="P412" s="42">
        <f>C412*Prislapp!$C$3+D412*Prislapp!$D$3+E412*Prislapp!$E$3+F412*Prislapp!$F$3+G412*Prislapp!$G$3+H412*Prislapp!$H$3+I412*Prislapp!$I$3+J412*Prislapp!$J$3+K412*Prislapp!$K$3+M412*Prislapp!$M$3+N412*Prislapp!$N$3</f>
        <v>28786</v>
      </c>
      <c r="Q412" s="42">
        <f>C412*Prislapp!$C$5+D412*Prislapp!$D$5+E412*Prislapp!$E$5+F412*Prislapp!$F$5+G412*Prislapp!$G$5+H412*Prislapp!$H$5+I412*Prislapp!$I$5+J412*Prislapp!$J$5+K412*Prislapp!$K$5+L412*Prislapp!$L$5+M412*Prislapp!$M$5+N412*Prislapp!$N$5</f>
        <v>5800</v>
      </c>
      <c r="R412" s="9">
        <f>VLOOKUP(A412,'Ansvar kurs'!$A$2:$B$830,2,FALSE)</f>
        <v>5740</v>
      </c>
      <c r="S412" s="159"/>
      <c r="T412" s="159"/>
      <c r="U412" s="159"/>
      <c r="V412" s="159"/>
      <c r="W412" s="159"/>
      <c r="X412" s="159"/>
      <c r="Y412" s="159"/>
      <c r="Z412" s="159"/>
    </row>
    <row r="413" spans="1:26" x14ac:dyDescent="0.25">
      <c r="A413" s="31" t="s">
        <v>146</v>
      </c>
      <c r="B413" s="31" t="s">
        <v>712</v>
      </c>
      <c r="H413" s="31">
        <v>0.4</v>
      </c>
      <c r="K413" s="31">
        <v>0.6</v>
      </c>
      <c r="O413" s="42">
        <f>C413*Prislapp!$C$2+D413*Prislapp!$D$2+E413*Prislapp!$E$2+F413*Prislapp!$F$2+G413*Prislapp!$G$2+H413*Prislapp!$H$2+I413*Prislapp!$I$2+J413*Prislapp!$J$2+K413*Prislapp!$K$2+L413*Prislapp!$L$2+M413*Prislapp!$M$2+N413*Prislapp!$N$2</f>
        <v>20769.599999999999</v>
      </c>
      <c r="P413" s="42">
        <f>C413*Prislapp!$C$3+D413*Prislapp!$D$3+E413*Prislapp!$E$3+F413*Prislapp!$F$3+G413*Prislapp!$G$3+H413*Prislapp!$H$3+I413*Prislapp!$I$3+J413*Prislapp!$J$3+K413*Prislapp!$K$3+M413*Prislapp!$M$3+N413*Prislapp!$N$3</f>
        <v>30114</v>
      </c>
      <c r="Q413" s="42">
        <f>C413*Prislapp!$C$5+D413*Prislapp!$D$5+E413*Prislapp!$E$5+F413*Prislapp!$F$5+G413*Prislapp!$G$5+H413*Prislapp!$H$5+I413*Prislapp!$I$5+J413*Prislapp!$J$5+K413*Prislapp!$K$5+L413*Prislapp!$L$5+M413*Prislapp!$M$5+N413*Prislapp!$N$5</f>
        <v>10760</v>
      </c>
      <c r="R413" s="9">
        <f>VLOOKUP(A413,'Ansvar kurs'!$A$2:$B$830,2,FALSE)</f>
        <v>5740</v>
      </c>
      <c r="S413" s="159"/>
      <c r="T413" s="159"/>
      <c r="U413" s="159"/>
      <c r="V413" s="159"/>
      <c r="W413" s="159"/>
      <c r="X413" s="159"/>
      <c r="Y413" s="159"/>
      <c r="Z413" s="159"/>
    </row>
    <row r="414" spans="1:26" x14ac:dyDescent="0.25">
      <c r="A414" s="31" t="s">
        <v>147</v>
      </c>
      <c r="B414" s="31" t="s">
        <v>713</v>
      </c>
      <c r="H414" s="31">
        <v>0.4</v>
      </c>
      <c r="K414" s="31">
        <v>0.6</v>
      </c>
      <c r="O414" s="42">
        <f>C414*Prislapp!$C$2+D414*Prislapp!$D$2+E414*Prislapp!$E$2+F414*Prislapp!$F$2+G414*Prislapp!$G$2+H414*Prislapp!$H$2+I414*Prislapp!$I$2+J414*Prislapp!$J$2+K414*Prislapp!$K$2+L414*Prislapp!$L$2+M414*Prislapp!$M$2+N414*Prislapp!$N$2</f>
        <v>20769.599999999999</v>
      </c>
      <c r="P414" s="42">
        <f>C414*Prislapp!$C$3+D414*Prislapp!$D$3+E414*Prislapp!$E$3+F414*Prislapp!$F$3+G414*Prislapp!$G$3+H414*Prislapp!$H$3+I414*Prislapp!$I$3+J414*Prislapp!$J$3+K414*Prislapp!$K$3+M414*Prislapp!$M$3+N414*Prislapp!$N$3</f>
        <v>30114</v>
      </c>
      <c r="Q414" s="42">
        <f>C414*Prislapp!$C$5+D414*Prislapp!$D$5+E414*Prislapp!$E$5+F414*Prislapp!$F$5+G414*Prislapp!$G$5+H414*Prislapp!$H$5+I414*Prislapp!$I$5+J414*Prislapp!$J$5+K414*Prislapp!$K$5+L414*Prislapp!$L$5+M414*Prislapp!$M$5+N414*Prislapp!$N$5</f>
        <v>10760</v>
      </c>
      <c r="R414" s="9">
        <f>VLOOKUP(A414,'Ansvar kurs'!$A$2:$B$830,2,FALSE)</f>
        <v>5740</v>
      </c>
      <c r="S414" s="159"/>
      <c r="T414" s="159"/>
      <c r="U414" s="159"/>
      <c r="V414" s="159"/>
      <c r="W414" s="159"/>
      <c r="X414" s="159"/>
      <c r="Y414" s="159"/>
      <c r="Z414" s="159"/>
    </row>
    <row r="415" spans="1:26" x14ac:dyDescent="0.25">
      <c r="A415" s="31" t="s">
        <v>91</v>
      </c>
      <c r="B415" s="31" t="s">
        <v>714</v>
      </c>
      <c r="F415" s="31">
        <v>1</v>
      </c>
      <c r="O415" s="42">
        <f>C415*Prislapp!$C$2+D415*Prislapp!$D$2+E415*Prislapp!$E$2+F415*Prislapp!$F$2+G415*Prislapp!$G$2+H415*Prislapp!$H$2+I415*Prislapp!$I$2+J415*Prislapp!$J$2+K415*Prislapp!$K$2+L415*Prislapp!$L$2+M415*Prislapp!$M$2+N415*Prislapp!$N$2</f>
        <v>23641</v>
      </c>
      <c r="P415" s="42">
        <f>C415*Prislapp!$C$3+D415*Prislapp!$D$3+E415*Prislapp!$E$3+F415*Prislapp!$F$3+G415*Prislapp!$G$3+H415*Prislapp!$H$3+I415*Prislapp!$I$3+J415*Prislapp!$J$3+K415*Prislapp!$K$3+M415*Prislapp!$M$3+N415*Prislapp!$N$3</f>
        <v>28786</v>
      </c>
      <c r="Q415" s="42">
        <f>C415*Prislapp!$C$5+D415*Prislapp!$D$5+E415*Prislapp!$E$5+F415*Prislapp!$F$5+G415*Prislapp!$G$5+H415*Prislapp!$H$5+I415*Prislapp!$I$5+J415*Prislapp!$J$5+K415*Prislapp!$K$5+L415*Prislapp!$L$5+M415*Prislapp!$M$5+N415*Prislapp!$N$5</f>
        <v>5800</v>
      </c>
      <c r="R415" s="9">
        <f>VLOOKUP(A415,'Ansvar kurs'!$A$2:$B$830,2,FALSE)</f>
        <v>2180</v>
      </c>
      <c r="S415" s="159"/>
      <c r="T415" s="159"/>
      <c r="U415" s="159"/>
      <c r="V415" s="159"/>
      <c r="W415" s="159"/>
      <c r="X415" s="159"/>
      <c r="Y415" s="159"/>
      <c r="Z415" s="159"/>
    </row>
    <row r="416" spans="1:26" x14ac:dyDescent="0.25">
      <c r="A416" s="31" t="s">
        <v>139</v>
      </c>
      <c r="B416" s="31" t="s">
        <v>323</v>
      </c>
      <c r="F416" s="31">
        <v>1</v>
      </c>
      <c r="O416" s="42">
        <f>C416*Prislapp!$C$2+D416*Prislapp!$D$2+E416*Prislapp!$E$2+F416*Prislapp!$F$2+G416*Prislapp!$G$2+H416*Prislapp!$H$2+I416*Prislapp!$I$2+J416*Prislapp!$J$2+K416*Prislapp!$K$2+L416*Prislapp!$L$2+M416*Prislapp!$M$2+N416*Prislapp!$N$2</f>
        <v>23641</v>
      </c>
      <c r="P416" s="42">
        <f>C416*Prislapp!$C$3+D416*Prislapp!$D$3+E416*Prislapp!$E$3+F416*Prislapp!$F$3+G416*Prislapp!$G$3+H416*Prislapp!$H$3+I416*Prislapp!$I$3+J416*Prislapp!$J$3+K416*Prislapp!$K$3+M416*Prislapp!$M$3+N416*Prislapp!$N$3</f>
        <v>28786</v>
      </c>
      <c r="Q416" s="42">
        <f>C416*Prislapp!$C$5+D416*Prislapp!$D$5+E416*Prislapp!$E$5+F416*Prislapp!$F$5+G416*Prislapp!$G$5+H416*Prislapp!$H$5+I416*Prislapp!$I$5+J416*Prislapp!$J$5+K416*Prislapp!$K$5+L416*Prislapp!$L$5+M416*Prislapp!$M$5+N416*Prislapp!$N$5</f>
        <v>5800</v>
      </c>
      <c r="R416" s="9">
        <f>VLOOKUP(A416,'Ansvar kurs'!$A$2:$B$830,2,FALSE)</f>
        <v>2193</v>
      </c>
      <c r="S416" s="159"/>
      <c r="T416" s="159"/>
      <c r="U416" s="159"/>
      <c r="V416" s="159"/>
      <c r="W416" s="159"/>
      <c r="X416" s="159"/>
      <c r="Y416" s="159"/>
      <c r="Z416" s="159"/>
    </row>
    <row r="417" spans="1:26" x14ac:dyDescent="0.25">
      <c r="A417" s="31" t="s">
        <v>140</v>
      </c>
      <c r="B417" s="31" t="s">
        <v>715</v>
      </c>
      <c r="I417" s="31">
        <v>1</v>
      </c>
      <c r="O417" s="42">
        <f>C417*Prislapp!$C$2+D417*Prislapp!$D$2+E417*Prislapp!$E$2+F417*Prislapp!$F$2+G417*Prislapp!$G$2+H417*Prislapp!$H$2+I417*Prislapp!$I$2+J417*Prislapp!$J$2+K417*Prislapp!$K$2+L417*Prislapp!$L$2+M417*Prislapp!$M$2+N417*Prislapp!$N$2</f>
        <v>18405</v>
      </c>
      <c r="P417" s="42">
        <f>C417*Prislapp!$C$3+D417*Prislapp!$D$3+E417*Prislapp!$E$3+F417*Prislapp!$F$3+G417*Prislapp!$G$3+H417*Prislapp!$H$3+I417*Prislapp!$I$3+J417*Prislapp!$J$3+K417*Prislapp!$K$3+M417*Prislapp!$M$3+N417*Prislapp!$N$3</f>
        <v>15773</v>
      </c>
      <c r="Q417" s="42">
        <f>C417*Prislapp!$C$5+D417*Prislapp!$D$5+E417*Prislapp!$E$5+F417*Prislapp!$F$5+G417*Prislapp!$G$5+H417*Prislapp!$H$5+I417*Prislapp!$I$5+J417*Prislapp!$J$5+K417*Prislapp!$K$5+L417*Prislapp!$L$5+M417*Prislapp!$M$5+N417*Prislapp!$N$5</f>
        <v>5800</v>
      </c>
      <c r="R417" s="9">
        <f>VLOOKUP(A417,'Ansvar kurs'!$A$2:$B$830,2,FALSE)</f>
        <v>2193</v>
      </c>
      <c r="S417" s="159" t="s">
        <v>1312</v>
      </c>
      <c r="T417" s="159"/>
      <c r="U417" s="159"/>
      <c r="V417" s="159"/>
      <c r="W417" s="159"/>
      <c r="X417" s="159"/>
      <c r="Y417" s="159"/>
      <c r="Z417" s="159"/>
    </row>
    <row r="418" spans="1:26" x14ac:dyDescent="0.25">
      <c r="A418" s="31" t="s">
        <v>1046</v>
      </c>
      <c r="B418" s="31" t="s">
        <v>1196</v>
      </c>
      <c r="I418" s="31">
        <v>1</v>
      </c>
      <c r="O418" s="42">
        <f>C418*Prislapp!$C$2+D418*Prislapp!$D$2+E418*Prislapp!$E$2+F418*Prislapp!$F$2+G418*Prislapp!$G$2+H418*Prislapp!$H$2+I418*Prislapp!$I$2+J418*Prislapp!$J$2+K418*Prislapp!$K$2+L418*Prislapp!$L$2+M418*Prislapp!$M$2+N418*Prislapp!$N$2</f>
        <v>18405</v>
      </c>
      <c r="P418" s="42">
        <f>C418*Prislapp!$C$3+D418*Prislapp!$D$3+E418*Prislapp!$E$3+F418*Prislapp!$F$3+G418*Prislapp!$G$3+H418*Prislapp!$H$3+I418*Prislapp!$I$3+J418*Prislapp!$J$3+K418*Prislapp!$K$3+M418*Prislapp!$M$3+N418*Prislapp!$N$3</f>
        <v>15773</v>
      </c>
      <c r="Q418" s="42">
        <f>C418*Prislapp!$C$5+D418*Prislapp!$D$5+E418*Prislapp!$E$5+F418*Prislapp!$F$5+G418*Prislapp!$G$5+H418*Prislapp!$H$5+I418*Prislapp!$I$5+J418*Prislapp!$J$5+K418*Prislapp!$K$5+L418*Prislapp!$L$5+M418*Prislapp!$M$5+N418*Prislapp!$N$5</f>
        <v>5800</v>
      </c>
      <c r="R418" s="9">
        <f>VLOOKUP(A418,'Ansvar kurs'!$A$2:$B$830,2,FALSE)</f>
        <v>2180</v>
      </c>
      <c r="S418" s="159"/>
      <c r="T418" s="159"/>
      <c r="U418" s="159"/>
      <c r="V418" s="159"/>
      <c r="W418" s="159"/>
      <c r="X418" s="159"/>
      <c r="Y418" s="159"/>
      <c r="Z418" s="159"/>
    </row>
    <row r="419" spans="1:26" x14ac:dyDescent="0.25">
      <c r="A419" s="31" t="s">
        <v>501</v>
      </c>
      <c r="B419" s="31" t="s">
        <v>716</v>
      </c>
      <c r="F419" s="31">
        <v>1</v>
      </c>
      <c r="O419" s="42">
        <f>C419*Prislapp!$C$2+D419*Prislapp!$D$2+E419*Prislapp!$E$2+F419*Prislapp!$F$2+G419*Prislapp!$G$2+H419*Prislapp!$H$2+I419*Prislapp!$I$2+J419*Prislapp!$J$2+K419*Prislapp!$K$2+L419*Prislapp!$L$2+M419*Prislapp!$M$2+N419*Prislapp!$N$2</f>
        <v>23641</v>
      </c>
      <c r="P419" s="42">
        <f>C419*Prislapp!$C$3+D419*Prislapp!$D$3+E419*Prislapp!$E$3+F419*Prislapp!$F$3+G419*Prislapp!$G$3+H419*Prislapp!$H$3+I419*Prislapp!$I$3+J419*Prislapp!$J$3+K419*Prislapp!$K$3+M419*Prislapp!$M$3+N419*Prislapp!$N$3</f>
        <v>28786</v>
      </c>
      <c r="Q419" s="42">
        <f>C419*Prislapp!$C$5+D419*Prislapp!$D$5+E419*Prislapp!$E$5+F419*Prislapp!$F$5+G419*Prislapp!$G$5+H419*Prislapp!$H$5+I419*Prislapp!$I$5+J419*Prislapp!$J$5+K419*Prislapp!$K$5+L419*Prislapp!$L$5+M419*Prislapp!$M$5+N419*Prislapp!$N$5</f>
        <v>5800</v>
      </c>
      <c r="R419" s="9">
        <f>VLOOKUP(A419,'Ansvar kurs'!$A$2:$B$830,2,FALSE)</f>
        <v>1620</v>
      </c>
      <c r="S419" s="159"/>
      <c r="T419" s="159"/>
      <c r="U419" s="159"/>
      <c r="V419" s="159"/>
      <c r="W419" s="159"/>
      <c r="X419" s="159"/>
      <c r="Y419" s="159"/>
      <c r="Z419" s="159"/>
    </row>
    <row r="420" spans="1:26" x14ac:dyDescent="0.25">
      <c r="A420" s="31" t="s">
        <v>129</v>
      </c>
      <c r="B420" s="31" t="s">
        <v>717</v>
      </c>
      <c r="F420" s="31">
        <v>1</v>
      </c>
      <c r="O420" s="42">
        <f>C420*Prislapp!$C$2+D420*Prislapp!$D$2+E420*Prislapp!$E$2+F420*Prislapp!$F$2+G420*Prislapp!$G$2+H420*Prislapp!$H$2+I420*Prislapp!$I$2+J420*Prislapp!$J$2+K420*Prislapp!$K$2+L420*Prislapp!$L$2+M420*Prislapp!$M$2+N420*Prislapp!$N$2</f>
        <v>23641</v>
      </c>
      <c r="P420" s="42">
        <f>C420*Prislapp!$C$3+D420*Prislapp!$D$3+E420*Prislapp!$E$3+F420*Prislapp!$F$3+G420*Prislapp!$G$3+H420*Prislapp!$H$3+I420*Prislapp!$I$3+J420*Prislapp!$J$3+K420*Prislapp!$K$3+M420*Prislapp!$M$3+N420*Prislapp!$N$3</f>
        <v>28786</v>
      </c>
      <c r="Q420" s="42">
        <f>C420*Prislapp!$C$5+D420*Prislapp!$D$5+E420*Prislapp!$E$5+F420*Prislapp!$F$5+G420*Prislapp!$G$5+H420*Prislapp!$H$5+I420*Prislapp!$I$5+J420*Prislapp!$J$5+K420*Prislapp!$K$5+L420*Prislapp!$L$5+M420*Prislapp!$M$5+N420*Prislapp!$N$5</f>
        <v>5800</v>
      </c>
      <c r="R420" s="9">
        <f>VLOOKUP(A420,'Ansvar kurs'!$A$2:$B$830,2,FALSE)</f>
        <v>2180</v>
      </c>
      <c r="S420" s="159"/>
      <c r="T420" s="159"/>
      <c r="U420" s="159"/>
      <c r="V420" s="159"/>
      <c r="W420" s="159"/>
      <c r="X420" s="159"/>
      <c r="Y420" s="159"/>
      <c r="Z420" s="159"/>
    </row>
    <row r="421" spans="1:26" x14ac:dyDescent="0.25">
      <c r="A421" s="31" t="s">
        <v>334</v>
      </c>
      <c r="B421" s="31" t="s">
        <v>718</v>
      </c>
      <c r="F421" s="31">
        <v>0.25</v>
      </c>
      <c r="K421" s="31">
        <v>0.75</v>
      </c>
      <c r="O421" s="42">
        <f>C421*Prislapp!$C$2+D421*Prislapp!$D$2+E421*Prislapp!$E$2+F421*Prislapp!$F$2+G421*Prislapp!$G$2+H421*Prislapp!$H$2+I421*Prislapp!$I$2+J421*Prislapp!$J$2+K421*Prislapp!$K$2+L421*Prislapp!$L$2+M421*Prislapp!$M$2+N421*Prislapp!$N$2</f>
        <v>22135.75</v>
      </c>
      <c r="P421" s="42">
        <f>C421*Prislapp!$C$3+D421*Prislapp!$D$3+E421*Prislapp!$E$3+F421*Prislapp!$F$3+G421*Prislapp!$G$3+H421*Prislapp!$H$3+I421*Prislapp!$I$3+J421*Prislapp!$J$3+K421*Prislapp!$K$3+M421*Prislapp!$M$3+N421*Prislapp!$N$3</f>
        <v>27436</v>
      </c>
      <c r="Q421" s="42">
        <f>C421*Prislapp!$C$5+D421*Prislapp!$D$5+E421*Prislapp!$E$5+F421*Prislapp!$F$5+G421*Prislapp!$G$5+H421*Prislapp!$H$5+I421*Prislapp!$I$5+J421*Prislapp!$J$5+K421*Prislapp!$K$5+L421*Prislapp!$L$5+M421*Prislapp!$M$5+N421*Prislapp!$N$5</f>
        <v>4000</v>
      </c>
      <c r="R421" s="9">
        <f>VLOOKUP(A421,'Ansvar kurs'!$A$2:$B$830,2,FALSE)</f>
        <v>2180</v>
      </c>
      <c r="S421" s="186" t="s">
        <v>1107</v>
      </c>
      <c r="T421" s="159"/>
      <c r="U421" s="159"/>
      <c r="V421" s="159"/>
      <c r="W421" s="159"/>
      <c r="X421" s="159"/>
      <c r="Y421" s="159"/>
      <c r="Z421" s="159"/>
    </row>
    <row r="422" spans="1:26" x14ac:dyDescent="0.25">
      <c r="A422" s="31" t="s">
        <v>121</v>
      </c>
      <c r="B422" s="31" t="s">
        <v>719</v>
      </c>
      <c r="I422" s="31">
        <v>0.2</v>
      </c>
      <c r="N422" s="31">
        <v>0.8</v>
      </c>
      <c r="O422" s="42">
        <f>C422*Prislapp!$C$2+D422*Prislapp!$D$2+E422*Prislapp!$E$2+F422*Prislapp!$F$2+G422*Prislapp!$G$2+H422*Prislapp!$H$2+I422*Prislapp!$I$2+J422*Prislapp!$J$2+K422*Prislapp!$K$2+L422*Prislapp!$L$2+M422*Prislapp!$M$2+N422*Prislapp!$N$2</f>
        <v>34144.199999999997</v>
      </c>
      <c r="P422" s="42">
        <f>C422*Prislapp!$C$3+D422*Prislapp!$D$3+E422*Prislapp!$E$3+F422*Prislapp!$F$3+G422*Prislapp!$G$3+H422*Prislapp!$H$3+I422*Prislapp!$I$3+J422*Prislapp!$J$3+K422*Prislapp!$K$3+M422*Prislapp!$M$3+N422*Prislapp!$N$3</f>
        <v>33557.800000000003</v>
      </c>
      <c r="Q422" s="42">
        <f>C422*Prislapp!$C$5+D422*Prislapp!$D$5+E422*Prislapp!$E$5+F422*Prislapp!$F$5+G422*Prislapp!$G$5+H422*Prislapp!$H$5+I422*Prislapp!$I$5+J422*Prislapp!$J$5+K422*Prislapp!$K$5+L422*Prislapp!$L$5+M422*Prislapp!$M$5+N422*Prislapp!$N$5</f>
        <v>5800</v>
      </c>
      <c r="R422" s="9">
        <f>VLOOKUP(A422,'Ansvar kurs'!$A$2:$B$830,2,FALSE)</f>
        <v>2193</v>
      </c>
      <c r="S422" s="159" t="s">
        <v>1312</v>
      </c>
      <c r="T422" s="159"/>
      <c r="U422" s="159"/>
      <c r="V422" s="159"/>
      <c r="W422" s="159"/>
      <c r="X422" s="159"/>
      <c r="Y422" s="159"/>
      <c r="Z422" s="159"/>
    </row>
    <row r="423" spans="1:26" x14ac:dyDescent="0.25">
      <c r="A423" s="31" t="s">
        <v>393</v>
      </c>
      <c r="B423" s="31" t="s">
        <v>720</v>
      </c>
      <c r="C423" s="104"/>
      <c r="D423" s="104"/>
      <c r="E423" s="104"/>
      <c r="F423" s="104">
        <v>1</v>
      </c>
      <c r="G423" s="104"/>
      <c r="H423" s="104"/>
      <c r="I423" s="104"/>
      <c r="J423" s="104"/>
      <c r="K423" s="104"/>
      <c r="L423" s="104"/>
      <c r="M423" s="104"/>
      <c r="N423" s="104"/>
      <c r="O423" s="42">
        <f>C423*Prislapp!$C$2+D423*Prislapp!$D$2+E423*Prislapp!$E$2+F423*Prislapp!$F$2+G423*Prislapp!$G$2+H423*Prislapp!$H$2+I423*Prislapp!$I$2+J423*Prislapp!$J$2+K423*Prislapp!$K$2+L423*Prislapp!$L$2+M423*Prislapp!$M$2+N423*Prislapp!$N$2</f>
        <v>23641</v>
      </c>
      <c r="P423" s="42">
        <f>C423*Prislapp!$C$3+D423*Prislapp!$D$3+E423*Prislapp!$E$3+F423*Prislapp!$F$3+G423*Prislapp!$G$3+H423*Prislapp!$H$3+I423*Prislapp!$I$3+J423*Prislapp!$J$3+K423*Prislapp!$K$3+M423*Prislapp!$M$3+N423*Prislapp!$N$3</f>
        <v>28786</v>
      </c>
      <c r="Q423" s="42">
        <f>C423*Prislapp!$C$5+D423*Prislapp!$D$5+E423*Prislapp!$E$5+F423*Prislapp!$F$5+G423*Prislapp!$G$5+H423*Prislapp!$H$5+I423*Prislapp!$I$5+J423*Prislapp!$J$5+K423*Prislapp!$K$5+L423*Prislapp!$L$5+M423*Prislapp!$M$5+N423*Prislapp!$N$5</f>
        <v>5800</v>
      </c>
      <c r="R423" s="9">
        <f>VLOOKUP(A423,'Ansvar kurs'!$A$2:$B$830,2,FALSE)</f>
        <v>5740</v>
      </c>
      <c r="S423" s="159"/>
      <c r="T423" s="159"/>
      <c r="U423" s="159"/>
      <c r="V423" s="159"/>
      <c r="W423" s="159"/>
      <c r="X423" s="159"/>
      <c r="Y423" s="159"/>
      <c r="Z423" s="159"/>
    </row>
    <row r="424" spans="1:26" x14ac:dyDescent="0.25">
      <c r="A424" s="31" t="s">
        <v>369</v>
      </c>
      <c r="B424" s="31" t="s">
        <v>359</v>
      </c>
      <c r="F424" s="31">
        <v>1</v>
      </c>
      <c r="O424" s="42">
        <f>C424*Prislapp!$C$2+D424*Prislapp!$D$2+E424*Prislapp!$E$2+F424*Prislapp!$F$2+G424*Prislapp!$G$2+H424*Prislapp!$H$2+I424*Prislapp!$I$2+J424*Prislapp!$J$2+K424*Prislapp!$K$2+L424*Prislapp!$L$2+M424*Prislapp!$M$2+N424*Prislapp!$N$2</f>
        <v>23641</v>
      </c>
      <c r="P424" s="42">
        <f>C424*Prislapp!$C$3+D424*Prislapp!$D$3+E424*Prislapp!$E$3+F424*Prislapp!$F$3+G424*Prislapp!$G$3+H424*Prislapp!$H$3+I424*Prislapp!$I$3+J424*Prislapp!$J$3+K424*Prislapp!$K$3+M424*Prislapp!$M$3+N424*Prislapp!$N$3</f>
        <v>28786</v>
      </c>
      <c r="Q424" s="42">
        <f>C424*Prislapp!$C$5+D424*Prislapp!$D$5+E424*Prislapp!$E$5+F424*Prislapp!$F$5+G424*Prislapp!$G$5+H424*Prislapp!$H$5+I424*Prislapp!$I$5+J424*Prislapp!$J$5+K424*Prislapp!$K$5+L424*Prislapp!$L$5+M424*Prislapp!$M$5+N424*Prislapp!$N$5</f>
        <v>5800</v>
      </c>
      <c r="R424" s="9">
        <f>VLOOKUP(A424,'Ansvar kurs'!$A$2:$B$830,2,FALSE)</f>
        <v>5740</v>
      </c>
      <c r="S424" s="159"/>
      <c r="T424" s="159"/>
      <c r="U424" s="159"/>
      <c r="V424" s="159"/>
      <c r="W424" s="159"/>
      <c r="X424" s="159"/>
      <c r="Y424" s="159"/>
      <c r="Z424" s="159"/>
    </row>
    <row r="425" spans="1:26" x14ac:dyDescent="0.25">
      <c r="A425" s="31" t="s">
        <v>721</v>
      </c>
      <c r="B425" s="31" t="s">
        <v>359</v>
      </c>
      <c r="F425" s="31">
        <v>1</v>
      </c>
      <c r="O425" s="42">
        <f>C425*Prislapp!$C$2+D425*Prislapp!$D$2+E425*Prislapp!$E$2+F425*Prislapp!$F$2+G425*Prislapp!$G$2+H425*Prislapp!$H$2+I425*Prislapp!$I$2+J425*Prislapp!$J$2+K425*Prislapp!$K$2+L425*Prislapp!$L$2+M425*Prislapp!$M$2+N425*Prislapp!$N$2</f>
        <v>23641</v>
      </c>
      <c r="P425" s="42">
        <f>C425*Prislapp!$C$3+D425*Prislapp!$D$3+E425*Prislapp!$E$3+F425*Prislapp!$F$3+G425*Prislapp!$G$3+H425*Prislapp!$H$3+I425*Prislapp!$I$3+J425*Prislapp!$J$3+K425*Prislapp!$K$3+M425*Prislapp!$M$3+N425*Prislapp!$N$3</f>
        <v>28786</v>
      </c>
      <c r="Q425" s="42">
        <f>C425*Prislapp!$C$5+D425*Prislapp!$D$5+E425*Prislapp!$E$5+F425*Prislapp!$F$5+G425*Prislapp!$G$5+H425*Prislapp!$H$5+I425*Prislapp!$I$5+J425*Prislapp!$J$5+K425*Prislapp!$K$5+L425*Prislapp!$L$5+M425*Prislapp!$M$5+N425*Prislapp!$N$5</f>
        <v>5800</v>
      </c>
      <c r="R425" s="9">
        <f>VLOOKUP(A425,'Ansvar kurs'!$A$2:$B$830,2,FALSE)</f>
        <v>2193</v>
      </c>
      <c r="S425" s="159"/>
      <c r="T425" s="159"/>
      <c r="U425" s="159"/>
      <c r="V425" s="159"/>
      <c r="W425" s="159"/>
      <c r="X425" s="159"/>
      <c r="Y425" s="159"/>
      <c r="Z425" s="159"/>
    </row>
    <row r="426" spans="1:26" x14ac:dyDescent="0.25">
      <c r="A426" s="31" t="s">
        <v>370</v>
      </c>
      <c r="B426" s="31" t="s">
        <v>359</v>
      </c>
      <c r="F426" s="31">
        <v>1</v>
      </c>
      <c r="O426" s="42">
        <f>C426*Prislapp!$C$2+D426*Prislapp!$D$2+E426*Prislapp!$E$2+F426*Prislapp!$F$2+G426*Prislapp!$G$2+H426*Prislapp!$H$2+I426*Prislapp!$I$2+J426*Prislapp!$J$2+K426*Prislapp!$K$2+L426*Prislapp!$L$2+M426*Prislapp!$M$2+N426*Prislapp!$N$2</f>
        <v>23641</v>
      </c>
      <c r="P426" s="42">
        <f>C426*Prislapp!$C$3+D426*Prislapp!$D$3+E426*Prislapp!$E$3+F426*Prislapp!$F$3+G426*Prislapp!$G$3+H426*Prislapp!$H$3+I426*Prislapp!$I$3+J426*Prislapp!$J$3+K426*Prislapp!$K$3+M426*Prislapp!$M$3+N426*Prislapp!$N$3</f>
        <v>28786</v>
      </c>
      <c r="Q426" s="42">
        <f>C426*Prislapp!$C$5+D426*Prislapp!$D$5+E426*Prislapp!$E$5+F426*Prislapp!$F$5+G426*Prislapp!$G$5+H426*Prislapp!$H$5+I426*Prislapp!$I$5+J426*Prislapp!$J$5+K426*Prislapp!$K$5+L426*Prislapp!$L$5+M426*Prislapp!$M$5+N426*Prislapp!$N$5</f>
        <v>5800</v>
      </c>
      <c r="R426" s="9">
        <f>VLOOKUP(A426,'Ansvar kurs'!$A$2:$B$830,2,FALSE)</f>
        <v>2180</v>
      </c>
      <c r="S426" s="159"/>
      <c r="T426" s="159"/>
      <c r="U426" s="159"/>
      <c r="V426" s="159"/>
      <c r="W426" s="159"/>
      <c r="X426" s="159"/>
      <c r="Y426" s="159"/>
      <c r="Z426" s="159"/>
    </row>
    <row r="427" spans="1:26" x14ac:dyDescent="0.25">
      <c r="A427" s="265" t="s">
        <v>593</v>
      </c>
      <c r="B427" s="31" t="s">
        <v>1492</v>
      </c>
      <c r="F427" s="31">
        <v>1</v>
      </c>
      <c r="O427" s="42">
        <f>C427*Prislapp!$C$2+D427*Prislapp!$D$2+E427*Prislapp!$E$2+F427*Prislapp!$F$2+G427*Prislapp!$G$2+H427*Prislapp!$H$2+I427*Prislapp!$I$2+J427*Prislapp!$J$2+K427*Prislapp!$K$2+L427*Prislapp!$L$2+M427*Prislapp!$M$2+N427*Prislapp!$N$2</f>
        <v>23641</v>
      </c>
      <c r="P427" s="42">
        <f>C427*Prislapp!$C$3+D427*Prislapp!$D$3+E427*Prislapp!$E$3+F427*Prislapp!$F$3+G427*Prislapp!$G$3+H427*Prislapp!$H$3+I427*Prislapp!$I$3+J427*Prislapp!$J$3+K427*Prislapp!$K$3+M427*Prislapp!$M$3+N427*Prislapp!$N$3</f>
        <v>28786</v>
      </c>
      <c r="Q427" s="42">
        <f>C427*Prislapp!$C$5+D427*Prislapp!$D$5+E427*Prislapp!$E$5+F427*Prislapp!$F$5+G427*Prislapp!$G$5+H427*Prislapp!$H$5+I427*Prislapp!$I$5+J427*Prislapp!$J$5+K427*Prislapp!$K$5+L427*Prislapp!$L$5+M427*Prislapp!$M$5+N427*Prislapp!$N$5</f>
        <v>5800</v>
      </c>
      <c r="R427" s="9">
        <f>VLOOKUP(A427,'Ansvar kurs'!$A$2:$B$830,2,FALSE)</f>
        <v>2193</v>
      </c>
      <c r="S427" s="159"/>
      <c r="T427" s="159"/>
      <c r="U427" s="159"/>
      <c r="V427" s="159"/>
      <c r="W427" s="159"/>
      <c r="X427" s="159"/>
      <c r="Y427" s="159"/>
      <c r="Z427" s="159"/>
    </row>
    <row r="428" spans="1:26" x14ac:dyDescent="0.25">
      <c r="A428" s="265" t="s">
        <v>481</v>
      </c>
      <c r="B428" s="31" t="s">
        <v>1197</v>
      </c>
      <c r="K428" s="31">
        <v>1</v>
      </c>
      <c r="O428" s="42">
        <f>C428*Prislapp!$C$2+D428*Prislapp!$D$2+E428*Prislapp!$E$2+F428*Prislapp!$F$2+G428*Prislapp!$G$2+H428*Prislapp!$H$2+I428*Prislapp!$I$2+J428*Prislapp!$J$2+K428*Prislapp!$K$2+L428*Prislapp!$L$2+M428*Prislapp!$M$2+N428*Prislapp!$N$2</f>
        <v>21634</v>
      </c>
      <c r="P428" s="42">
        <f>C428*Prislapp!$C$3+D428*Prislapp!$D$3+E428*Prislapp!$E$3+F428*Prislapp!$F$3+G428*Prislapp!$G$3+H428*Prislapp!$H$3+I428*Prislapp!$I$3+J428*Prislapp!$J$3+K428*Prislapp!$K$3+M428*Prislapp!$M$3+N428*Prislapp!$N$3</f>
        <v>26986</v>
      </c>
      <c r="Q428" s="42">
        <f>C428*Prislapp!$C$5+D428*Prislapp!$D$5+E428*Prislapp!$E$5+F428*Prislapp!$F$5+G428*Prislapp!$G$5+H428*Prislapp!$H$5+I428*Prislapp!$I$5+J428*Prislapp!$J$5+K428*Prislapp!$K$5+L428*Prislapp!$L$5+M428*Prislapp!$M$5+N428*Prislapp!$N$5</f>
        <v>3400</v>
      </c>
      <c r="R428" s="9">
        <f>VLOOKUP(A428,'Ansvar kurs'!$A$2:$B$830,2,FALSE)</f>
        <v>2193</v>
      </c>
      <c r="S428" s="159"/>
      <c r="T428" s="159"/>
      <c r="U428" s="159"/>
      <c r="V428" s="159"/>
      <c r="W428" s="159"/>
      <c r="X428" s="159"/>
      <c r="Y428" s="159"/>
      <c r="Z428" s="159"/>
    </row>
    <row r="429" spans="1:26" x14ac:dyDescent="0.25">
      <c r="A429" s="31" t="s">
        <v>502</v>
      </c>
      <c r="B429" s="31" t="s">
        <v>553</v>
      </c>
      <c r="H429" s="31">
        <v>0.12</v>
      </c>
      <c r="I429" s="31">
        <v>0.88</v>
      </c>
      <c r="O429" s="42">
        <f>C429*Prislapp!$C$2+D429*Prislapp!$D$2+E429*Prislapp!$E$2+F429*Prislapp!$F$2+G429*Prislapp!$G$2+H429*Prislapp!$H$2+I429*Prislapp!$I$2+J429*Prislapp!$J$2+K429*Prislapp!$K$2+L429*Prislapp!$L$2+M429*Prislapp!$M$2+N429*Prislapp!$N$2</f>
        <v>18533.16</v>
      </c>
      <c r="P429" s="42">
        <f>C429*Prislapp!$C$3+D429*Prislapp!$D$3+E429*Prislapp!$E$3+F429*Prislapp!$F$3+G429*Prislapp!$G$3+H429*Prislapp!$H$3+I429*Prislapp!$I$3+J429*Prislapp!$J$3+K429*Prislapp!$K$3+M429*Prislapp!$M$3+N429*Prislapp!$N$3</f>
        <v>18056.96</v>
      </c>
      <c r="Q429" s="42">
        <f>C429*Prislapp!$C$5+D429*Prislapp!$D$5+E429*Prislapp!$E$5+F429*Prislapp!$F$5+G429*Prislapp!$G$5+H429*Prislapp!$H$5+I429*Prislapp!$I$5+J429*Prislapp!$J$5+K429*Prislapp!$K$5+L429*Prislapp!$L$5+M429*Prislapp!$M$5+N429*Prislapp!$N$5</f>
        <v>7720</v>
      </c>
      <c r="R429" s="9">
        <f>VLOOKUP(A429,'Ansvar kurs'!$A$2:$B$830,2,FALSE)</f>
        <v>2193</v>
      </c>
      <c r="S429" s="159" t="s">
        <v>1312</v>
      </c>
      <c r="T429" s="159"/>
      <c r="U429" s="159"/>
      <c r="V429" s="159"/>
      <c r="W429" s="159"/>
      <c r="X429" s="159"/>
      <c r="Y429" s="159"/>
      <c r="Z429" s="159"/>
    </row>
    <row r="430" spans="1:26" x14ac:dyDescent="0.25">
      <c r="A430" s="265" t="s">
        <v>594</v>
      </c>
      <c r="B430" s="31" t="s">
        <v>1493</v>
      </c>
      <c r="F430" s="31">
        <v>1</v>
      </c>
      <c r="O430" s="42">
        <f>C430*Prislapp!$C$2+D430*Prislapp!$D$2+E430*Prislapp!$E$2+F430*Prislapp!$F$2+G430*Prislapp!$G$2+H430*Prislapp!$H$2+I430*Prislapp!$I$2+J430*Prislapp!$J$2+K430*Prislapp!$K$2+L430*Prislapp!$L$2+M430*Prislapp!$M$2+N430*Prislapp!$N$2</f>
        <v>23641</v>
      </c>
      <c r="P430" s="42">
        <f>C430*Prislapp!$C$3+D430*Prislapp!$D$3+E430*Prislapp!$E$3+F430*Prislapp!$F$3+G430*Prislapp!$G$3+H430*Prislapp!$H$3+I430*Prislapp!$I$3+J430*Prislapp!$J$3+K430*Prislapp!$K$3+M430*Prislapp!$M$3+N430*Prislapp!$N$3</f>
        <v>28786</v>
      </c>
      <c r="Q430" s="42">
        <f>C430*Prislapp!$C$5+D430*Prislapp!$D$5+E430*Prislapp!$E$5+F430*Prislapp!$F$5+G430*Prislapp!$G$5+H430*Prislapp!$H$5+I430*Prislapp!$I$5+J430*Prislapp!$J$5+K430*Prislapp!$K$5+L430*Prislapp!$L$5+M430*Prislapp!$M$5+N430*Prislapp!$N$5</f>
        <v>5800</v>
      </c>
      <c r="R430" s="9">
        <f>VLOOKUP(A430,'Ansvar kurs'!$A$2:$B$830,2,FALSE)</f>
        <v>2193</v>
      </c>
      <c r="S430" s="159"/>
      <c r="T430" s="159"/>
      <c r="U430" s="159"/>
      <c r="V430" s="159"/>
      <c r="W430" s="159"/>
      <c r="X430" s="159"/>
      <c r="Y430" s="159"/>
      <c r="Z430" s="159"/>
    </row>
    <row r="431" spans="1:26" x14ac:dyDescent="0.25">
      <c r="A431" s="31" t="s">
        <v>503</v>
      </c>
      <c r="B431" s="31" t="s">
        <v>722</v>
      </c>
      <c r="K431" s="31">
        <v>1</v>
      </c>
      <c r="O431" s="42">
        <f>C431*Prislapp!$C$2+D431*Prislapp!$D$2+E431*Prislapp!$E$2+F431*Prislapp!$F$2+G431*Prislapp!$G$2+H431*Prislapp!$H$2+I431*Prislapp!$I$2+J431*Prislapp!$J$2+K431*Prislapp!$K$2+L431*Prislapp!$L$2+M431*Prislapp!$M$2+N431*Prislapp!$N$2</f>
        <v>21634</v>
      </c>
      <c r="P431" s="42">
        <f>C431*Prislapp!$C$3+D431*Prislapp!$D$3+E431*Prislapp!$E$3+F431*Prislapp!$F$3+G431*Prislapp!$G$3+H431*Prislapp!$H$3+I431*Prislapp!$I$3+J431*Prislapp!$J$3+K431*Prislapp!$K$3+M431*Prislapp!$M$3+N431*Prislapp!$N$3</f>
        <v>26986</v>
      </c>
      <c r="Q431" s="42">
        <f>C431*Prislapp!$C$5+D431*Prislapp!$D$5+E431*Prislapp!$E$5+F431*Prislapp!$F$5+G431*Prislapp!$G$5+H431*Prislapp!$H$5+I431*Prislapp!$I$5+J431*Prislapp!$J$5+K431*Prislapp!$K$5+L431*Prislapp!$L$5+M431*Prislapp!$M$5+N431*Prislapp!$N$5</f>
        <v>3400</v>
      </c>
      <c r="R431" s="9">
        <f>VLOOKUP(A431,'Ansvar kurs'!$A$2:$B$830,2,FALSE)</f>
        <v>2193</v>
      </c>
      <c r="S431" s="159"/>
      <c r="T431" s="159"/>
      <c r="U431" s="159"/>
      <c r="V431" s="159"/>
      <c r="W431" s="159"/>
      <c r="X431" s="159"/>
      <c r="Y431" s="159"/>
      <c r="Z431" s="159"/>
    </row>
    <row r="432" spans="1:26" x14ac:dyDescent="0.25">
      <c r="A432" s="265" t="s">
        <v>595</v>
      </c>
      <c r="B432" s="31" t="s">
        <v>1494</v>
      </c>
      <c r="F432" s="31">
        <v>1</v>
      </c>
      <c r="O432" s="42">
        <f>C432*Prislapp!$C$2+D432*Prislapp!$D$2+E432*Prislapp!$E$2+F432*Prislapp!$F$2+G432*Prislapp!$G$2+H432*Prislapp!$H$2+I432*Prislapp!$I$2+J432*Prislapp!$J$2+K432*Prislapp!$K$2+L432*Prislapp!$L$2+M432*Prislapp!$M$2+N432*Prislapp!$N$2</f>
        <v>23641</v>
      </c>
      <c r="P432" s="42">
        <f>C432*Prislapp!$C$3+D432*Prislapp!$D$3+E432*Prislapp!$E$3+F432*Prislapp!$F$3+G432*Prislapp!$G$3+H432*Prislapp!$H$3+I432*Prislapp!$I$3+J432*Prislapp!$J$3+K432*Prislapp!$K$3+M432*Prislapp!$M$3+N432*Prislapp!$N$3</f>
        <v>28786</v>
      </c>
      <c r="Q432" s="42">
        <f>C432*Prislapp!$C$5+D432*Prislapp!$D$5+E432*Prislapp!$E$5+F432*Prislapp!$F$5+G432*Prislapp!$G$5+H432*Prislapp!$H$5+I432*Prislapp!$I$5+J432*Prislapp!$J$5+K432*Prislapp!$K$5+L432*Prislapp!$L$5+M432*Prislapp!$M$5+N432*Prislapp!$N$5</f>
        <v>5800</v>
      </c>
      <c r="R432" s="9">
        <f>VLOOKUP(A432,'Ansvar kurs'!$A$2:$B$830,2,FALSE)</f>
        <v>2193</v>
      </c>
      <c r="S432" s="159"/>
      <c r="T432" s="159"/>
      <c r="U432" s="159"/>
      <c r="V432" s="159"/>
      <c r="W432" s="159"/>
      <c r="X432" s="159"/>
      <c r="Y432" s="159"/>
      <c r="Z432" s="159"/>
    </row>
    <row r="433" spans="1:26" x14ac:dyDescent="0.25">
      <c r="A433" s="265" t="s">
        <v>596</v>
      </c>
      <c r="B433" s="159" t="s">
        <v>1767</v>
      </c>
      <c r="K433" s="31">
        <v>1</v>
      </c>
      <c r="O433" s="42">
        <f>C433*Prislapp!$C$2+D433*Prislapp!$D$2+E433*Prislapp!$E$2+F433*Prislapp!$F$2+G433*Prislapp!$G$2+H433*Prislapp!$H$2+I433*Prislapp!$I$2+J433*Prislapp!$J$2+K433*Prislapp!$K$2+L433*Prislapp!$L$2+M433*Prislapp!$M$2+N433*Prislapp!$N$2</f>
        <v>21634</v>
      </c>
      <c r="P433" s="42">
        <f>C433*Prislapp!$C$3+D433*Prislapp!$D$3+E433*Prislapp!$E$3+F433*Prislapp!$F$3+G433*Prislapp!$G$3+H433*Prislapp!$H$3+I433*Prislapp!$I$3+J433*Prislapp!$J$3+K433*Prislapp!$K$3+M433*Prislapp!$M$3+N433*Prislapp!$N$3</f>
        <v>26986</v>
      </c>
      <c r="Q433" s="42">
        <f>C433*Prislapp!$C$5+D433*Prislapp!$D$5+E433*Prislapp!$E$5+F433*Prislapp!$F$5+G433*Prislapp!$G$5+H433*Prislapp!$H$5+I433*Prislapp!$I$5+J433*Prislapp!$J$5+K433*Prislapp!$K$5+L433*Prislapp!$L$5+M433*Prislapp!$M$5+N433*Prislapp!$N$5</f>
        <v>3400</v>
      </c>
      <c r="R433" s="9">
        <f>VLOOKUP(A433,'Ansvar kurs'!$A$2:$B$830,2,FALSE)</f>
        <v>2193</v>
      </c>
      <c r="S433" s="159"/>
      <c r="T433" s="159"/>
      <c r="U433" s="159"/>
      <c r="V433" s="159"/>
      <c r="W433" s="159"/>
      <c r="X433" s="159"/>
      <c r="Y433" s="159"/>
      <c r="Z433" s="159"/>
    </row>
    <row r="434" spans="1:26" x14ac:dyDescent="0.25">
      <c r="A434" s="265" t="s">
        <v>597</v>
      </c>
      <c r="B434" s="31" t="s">
        <v>614</v>
      </c>
      <c r="H434" s="31">
        <v>0.47</v>
      </c>
      <c r="I434" s="31">
        <v>0.53</v>
      </c>
      <c r="O434" s="42">
        <f>C434*Prislapp!$C$2+D434*Prislapp!$D$2+E434*Prislapp!$E$2+F434*Prislapp!$F$2+G434*Prislapp!$G$2+H434*Prislapp!$H$2+I434*Prislapp!$I$2+J434*Prislapp!$J$2+K434*Prislapp!$K$2+L434*Prislapp!$L$2+M434*Prislapp!$M$2+N434*Prislapp!$N$2</f>
        <v>18906.96</v>
      </c>
      <c r="P434" s="42">
        <f>C434*Prislapp!$C$3+D434*Prislapp!$D$3+E434*Prislapp!$E$3+F434*Prislapp!$F$3+G434*Prislapp!$G$3+H434*Prislapp!$H$3+I434*Prislapp!$I$3+J434*Prislapp!$J$3+K434*Prislapp!$K$3+M434*Prislapp!$M$3+N434*Prislapp!$N$3</f>
        <v>24718.510000000002</v>
      </c>
      <c r="Q434" s="42">
        <f>C434*Prislapp!$C$5+D434*Prislapp!$D$5+E434*Prislapp!$E$5+F434*Prislapp!$F$5+G434*Prislapp!$G$5+H434*Prislapp!$H$5+I434*Prislapp!$I$5+J434*Prislapp!$J$5+K434*Prislapp!$K$5+L434*Prislapp!$L$5+M434*Prislapp!$M$5+N434*Prislapp!$N$5</f>
        <v>13320</v>
      </c>
      <c r="R434" s="9">
        <f>VLOOKUP(A434,'Ansvar kurs'!$A$2:$B$830,2,FALSE)</f>
        <v>2193</v>
      </c>
      <c r="S434" s="159" t="s">
        <v>1312</v>
      </c>
      <c r="T434" s="159"/>
      <c r="U434" s="159"/>
      <c r="V434" s="159"/>
      <c r="W434" s="159"/>
      <c r="X434" s="159"/>
      <c r="Y434" s="159"/>
      <c r="Z434" s="159"/>
    </row>
    <row r="435" spans="1:26" x14ac:dyDescent="0.25">
      <c r="A435" s="266" t="s">
        <v>878</v>
      </c>
      <c r="B435" s="31" t="s">
        <v>895</v>
      </c>
      <c r="D435" s="31">
        <v>1</v>
      </c>
      <c r="O435" s="42">
        <f>C435*Prislapp!$C$2+D435*Prislapp!$D$2+E435*Prislapp!$E$2+F435*Prislapp!$F$2+G435*Prislapp!$G$2+H435*Prislapp!$H$2+I435*Prislapp!$I$2+J435*Prislapp!$J$2+K435*Prislapp!$K$2+L435*Prislapp!$L$2+M435*Prislapp!$M$2+N435*Prislapp!$N$2</f>
        <v>18405</v>
      </c>
      <c r="P435" s="42">
        <f>C435*Prislapp!$C$3+D435*Prislapp!$D$3+E435*Prislapp!$E$3+F435*Prislapp!$F$3+G435*Prislapp!$G$3+H435*Prislapp!$H$3+I435*Prislapp!$I$3+J435*Prislapp!$J$3+K435*Prislapp!$K$3+M435*Prislapp!$M$3+N435*Prislapp!$N$3</f>
        <v>15773</v>
      </c>
      <c r="Q435" s="42">
        <f>C435*Prislapp!$C$5+D435*Prislapp!$D$5+E435*Prislapp!$E$5+F435*Prislapp!$F$5+G435*Prislapp!$G$5+H435*Prislapp!$H$5+I435*Prislapp!$I$5+J435*Prislapp!$J$5+K435*Prislapp!$K$5+L435*Prislapp!$L$5+M435*Prislapp!$M$5+N435*Prislapp!$N$5</f>
        <v>5800</v>
      </c>
      <c r="R435" s="9">
        <f>VLOOKUP(A435,'Ansvar kurs'!$A$2:$B$830,2,FALSE)</f>
        <v>2193</v>
      </c>
      <c r="S435" s="159" t="s">
        <v>1312</v>
      </c>
      <c r="T435" s="159"/>
      <c r="U435" s="159"/>
      <c r="V435" s="159"/>
      <c r="W435" s="159"/>
      <c r="X435" s="159"/>
      <c r="Y435" s="159"/>
      <c r="Z435" s="159"/>
    </row>
    <row r="436" spans="1:26" x14ac:dyDescent="0.25">
      <c r="A436" s="266" t="s">
        <v>879</v>
      </c>
      <c r="B436" s="31" t="s">
        <v>1763</v>
      </c>
      <c r="K436" s="31">
        <v>1</v>
      </c>
      <c r="O436" s="42">
        <f>C436*Prislapp!$C$2+D436*Prislapp!$D$2+E436*Prislapp!$E$2+F436*Prislapp!$F$2+G436*Prislapp!$G$2+H436*Prislapp!$H$2+I436*Prislapp!$I$2+J436*Prislapp!$J$2+K436*Prislapp!$K$2+L436*Prislapp!$L$2+M436*Prislapp!$M$2+N436*Prislapp!$N$2</f>
        <v>21634</v>
      </c>
      <c r="P436" s="42">
        <f>C436*Prislapp!$C$3+D436*Prislapp!$D$3+E436*Prislapp!$E$3+F436*Prislapp!$F$3+G436*Prislapp!$G$3+H436*Prislapp!$H$3+I436*Prislapp!$I$3+J436*Prislapp!$J$3+K436*Prislapp!$K$3+M436*Prislapp!$M$3+N436*Prislapp!$N$3</f>
        <v>26986</v>
      </c>
      <c r="Q436" s="42">
        <f>C436*Prislapp!$C$5+D436*Prislapp!$D$5+E436*Prislapp!$E$5+F436*Prislapp!$F$5+G436*Prislapp!$G$5+H436*Prislapp!$H$5+I436*Prislapp!$I$5+J436*Prislapp!$J$5+K436*Prislapp!$K$5+L436*Prislapp!$L$5+M436*Prislapp!$M$5+N436*Prislapp!$N$5</f>
        <v>3400</v>
      </c>
      <c r="R436" s="9">
        <f>VLOOKUP(A436,'Ansvar kurs'!$A$2:$B$830,2,FALSE)</f>
        <v>2193</v>
      </c>
      <c r="S436" s="159"/>
      <c r="T436" s="159"/>
      <c r="U436" s="159"/>
      <c r="V436" s="159"/>
      <c r="W436" s="159"/>
      <c r="X436" s="159"/>
      <c r="Y436" s="159"/>
      <c r="Z436" s="159"/>
    </row>
    <row r="437" spans="1:26" x14ac:dyDescent="0.25">
      <c r="A437" s="266" t="s">
        <v>880</v>
      </c>
      <c r="B437" s="31" t="s">
        <v>1198</v>
      </c>
      <c r="I437" s="31">
        <v>1</v>
      </c>
      <c r="O437" s="42">
        <f>C437*Prislapp!$C$2+D437*Prislapp!$D$2+E437*Prislapp!$E$2+F437*Prislapp!$F$2+G437*Prislapp!$G$2+H437*Prislapp!$H$2+I437*Prislapp!$I$2+J437*Prislapp!$J$2+K437*Prislapp!$K$2+L437*Prislapp!$L$2+M437*Prislapp!$M$2+N437*Prislapp!$N$2</f>
        <v>18405</v>
      </c>
      <c r="P437" s="42">
        <f>C437*Prislapp!$C$3+D437*Prislapp!$D$3+E437*Prislapp!$E$3+F437*Prislapp!$F$3+G437*Prislapp!$G$3+H437*Prislapp!$H$3+I437*Prislapp!$I$3+J437*Prislapp!$J$3+K437*Prislapp!$K$3+M437*Prislapp!$M$3+N437*Prislapp!$N$3</f>
        <v>15773</v>
      </c>
      <c r="Q437" s="42">
        <f>C437*Prislapp!$C$5+D437*Prislapp!$D$5+E437*Prislapp!$E$5+F437*Prislapp!$F$5+G437*Prislapp!$G$5+H437*Prislapp!$H$5+I437*Prislapp!$I$5+J437*Prislapp!$J$5+K437*Prislapp!$K$5+L437*Prislapp!$L$5+M437*Prislapp!$M$5+N437*Prislapp!$N$5</f>
        <v>5800</v>
      </c>
      <c r="R437" s="9">
        <f>VLOOKUP(A437,'Ansvar kurs'!$A$2:$B$830,2,FALSE)</f>
        <v>2193</v>
      </c>
      <c r="S437" s="159" t="s">
        <v>1312</v>
      </c>
      <c r="T437" s="159"/>
      <c r="U437" s="159"/>
      <c r="V437" s="159"/>
      <c r="W437" s="159"/>
      <c r="X437" s="159"/>
      <c r="Y437" s="159"/>
      <c r="Z437" s="159"/>
    </row>
    <row r="438" spans="1:26" x14ac:dyDescent="0.25">
      <c r="A438" s="266" t="s">
        <v>881</v>
      </c>
      <c r="B438" s="31" t="s">
        <v>1495</v>
      </c>
      <c r="F438" s="31">
        <v>1</v>
      </c>
      <c r="O438" s="42">
        <f>C438*Prislapp!$C$2+D438*Prislapp!$D$2+E438*Prislapp!$E$2+F438*Prislapp!$F$2+G438*Prislapp!$G$2+H438*Prislapp!$H$2+I438*Prislapp!$I$2+J438*Prislapp!$J$2+K438*Prislapp!$K$2+L438*Prislapp!$L$2+M438*Prislapp!$M$2+N438*Prislapp!$N$2</f>
        <v>23641</v>
      </c>
      <c r="P438" s="42">
        <f>C438*Prislapp!$C$3+D438*Prislapp!$D$3+E438*Prislapp!$E$3+F438*Prislapp!$F$3+G438*Prislapp!$G$3+H438*Prislapp!$H$3+I438*Prislapp!$I$3+J438*Prislapp!$J$3+K438*Prislapp!$K$3+M438*Prislapp!$M$3+N438*Prislapp!$N$3</f>
        <v>28786</v>
      </c>
      <c r="Q438" s="42">
        <f>C438*Prislapp!$C$5+D438*Prislapp!$D$5+E438*Prislapp!$E$5+F438*Prislapp!$F$5+G438*Prislapp!$G$5+H438*Prislapp!$H$5+I438*Prislapp!$I$5+J438*Prislapp!$J$5+K438*Prislapp!$K$5+L438*Prislapp!$L$5+M438*Prislapp!$M$5+N438*Prislapp!$N$5</f>
        <v>5800</v>
      </c>
      <c r="R438" s="9">
        <f>VLOOKUP(A438,'Ansvar kurs'!$A$2:$B$830,2,FALSE)</f>
        <v>2193</v>
      </c>
      <c r="S438" s="159"/>
      <c r="T438" s="159"/>
      <c r="U438" s="159"/>
      <c r="V438" s="159"/>
      <c r="W438" s="159"/>
      <c r="X438" s="159"/>
      <c r="Y438" s="159"/>
      <c r="Z438" s="159"/>
    </row>
    <row r="439" spans="1:26" x14ac:dyDescent="0.25">
      <c r="A439" s="266" t="s">
        <v>882</v>
      </c>
      <c r="B439" s="31" t="s">
        <v>896</v>
      </c>
      <c r="F439" s="31">
        <v>1</v>
      </c>
      <c r="O439" s="42">
        <f>C439*Prislapp!$C$2+D439*Prislapp!$D$2+E439*Prislapp!$E$2+F439*Prislapp!$F$2+G439*Prislapp!$G$2+H439*Prislapp!$H$2+I439*Prislapp!$I$2+J439*Prislapp!$J$2+K439*Prislapp!$K$2+L439*Prislapp!$L$2+M439*Prislapp!$M$2+N439*Prislapp!$N$2</f>
        <v>23641</v>
      </c>
      <c r="P439" s="42">
        <f>C439*Prislapp!$C$3+D439*Prislapp!$D$3+E439*Prislapp!$E$3+F439*Prislapp!$F$3+G439*Prislapp!$G$3+H439*Prislapp!$H$3+I439*Prislapp!$I$3+J439*Prislapp!$J$3+K439*Prislapp!$K$3+M439*Prislapp!$M$3+N439*Prislapp!$N$3</f>
        <v>28786</v>
      </c>
      <c r="Q439" s="42">
        <f>C439*Prislapp!$C$5+D439*Prislapp!$D$5+E439*Prislapp!$E$5+F439*Prislapp!$F$5+G439*Prislapp!$G$5+H439*Prislapp!$H$5+I439*Prislapp!$I$5+J439*Prislapp!$J$5+K439*Prislapp!$K$5+L439*Prislapp!$L$5+M439*Prislapp!$M$5+N439*Prislapp!$N$5</f>
        <v>5800</v>
      </c>
      <c r="R439" s="9">
        <f>VLOOKUP(A439,'Ansvar kurs'!$A$2:$B$830,2,FALSE)</f>
        <v>2193</v>
      </c>
      <c r="S439" s="159"/>
      <c r="T439" s="159"/>
      <c r="U439" s="159"/>
      <c r="V439" s="159"/>
      <c r="W439" s="159"/>
      <c r="X439" s="159"/>
      <c r="Y439" s="159"/>
      <c r="Z439" s="159"/>
    </row>
    <row r="440" spans="1:26" x14ac:dyDescent="0.25">
      <c r="A440" s="31" t="s">
        <v>504</v>
      </c>
      <c r="B440" s="31" t="s">
        <v>554</v>
      </c>
      <c r="H440" s="31">
        <v>0.2</v>
      </c>
      <c r="I440" s="31">
        <v>0.8</v>
      </c>
      <c r="O440" s="42">
        <f>C440*Prislapp!$C$2+D440*Prislapp!$D$2+E440*Prislapp!$E$2+F440*Prislapp!$F$2+G440*Prislapp!$G$2+H440*Prislapp!$H$2+I440*Prislapp!$I$2+J440*Prislapp!$J$2+K440*Prislapp!$K$2+L440*Prislapp!$L$2+M440*Prislapp!$M$2+N440*Prislapp!$N$2</f>
        <v>18618.599999999999</v>
      </c>
      <c r="P440" s="42">
        <f>C440*Prislapp!$C$3+D440*Prislapp!$D$3+E440*Prislapp!$E$3+F440*Prislapp!$F$3+G440*Prislapp!$G$3+H440*Prislapp!$H$3+I440*Prislapp!$I$3+J440*Prislapp!$J$3+K440*Prislapp!$K$3+M440*Prislapp!$M$3+N440*Prislapp!$N$3</f>
        <v>19579.600000000002</v>
      </c>
      <c r="Q440" s="42">
        <f>C440*Prislapp!$C$5+D440*Prislapp!$D$5+E440*Prislapp!$E$5+F440*Prislapp!$F$5+G440*Prislapp!$G$5+H440*Prislapp!$H$5+I440*Prislapp!$I$5+J440*Prislapp!$J$5+K440*Prislapp!$K$5+L440*Prislapp!$L$5+M440*Prislapp!$M$5+N440*Prislapp!$N$5</f>
        <v>9000</v>
      </c>
      <c r="R440" s="9">
        <f>VLOOKUP(A440,'Ansvar kurs'!$A$2:$B$830,2,FALSE)</f>
        <v>2193</v>
      </c>
      <c r="S440" s="31" t="s">
        <v>1312</v>
      </c>
      <c r="T440" s="159" t="s">
        <v>1077</v>
      </c>
      <c r="U440" s="159"/>
      <c r="V440" s="159"/>
      <c r="W440" s="159"/>
      <c r="X440" s="159"/>
      <c r="Y440" s="159"/>
      <c r="Z440" s="159"/>
    </row>
    <row r="441" spans="1:26" x14ac:dyDescent="0.25">
      <c r="A441" s="31" t="s">
        <v>505</v>
      </c>
      <c r="B441" s="31" t="s">
        <v>723</v>
      </c>
      <c r="H441" s="31">
        <v>0.33</v>
      </c>
      <c r="I441" s="31">
        <v>0.67</v>
      </c>
      <c r="O441" s="42">
        <f>C441*Prislapp!$C$2+D441*Prislapp!$D$2+E441*Prislapp!$E$2+F441*Prislapp!$F$2+G441*Prislapp!$G$2+H441*Prislapp!$H$2+I441*Prislapp!$I$2+J441*Prislapp!$J$2+K441*Prislapp!$K$2+L441*Prislapp!$L$2+M441*Prislapp!$M$2+N441*Prislapp!$N$2</f>
        <v>18757.440000000002</v>
      </c>
      <c r="P441" s="42">
        <f>C441*Prislapp!$C$3+D441*Prislapp!$D$3+E441*Prislapp!$E$3+F441*Prislapp!$F$3+G441*Prislapp!$G$3+H441*Prislapp!$H$3+I441*Prislapp!$I$3+J441*Prislapp!$J$3+K441*Prislapp!$K$3+M441*Prislapp!$M$3+N441*Prislapp!$N$3</f>
        <v>22053.89</v>
      </c>
      <c r="Q441" s="42">
        <f>C441*Prislapp!$C$5+D441*Prislapp!$D$5+E441*Prislapp!$E$5+F441*Prislapp!$F$5+G441*Prislapp!$G$5+H441*Prislapp!$H$5+I441*Prislapp!$I$5+J441*Prislapp!$J$5+K441*Prislapp!$K$5+L441*Prislapp!$L$5+M441*Prislapp!$M$5+N441*Prislapp!$N$5</f>
        <v>11080</v>
      </c>
      <c r="R441" s="9">
        <f>VLOOKUP(A441,'Ansvar kurs'!$A$2:$B$830,2,FALSE)</f>
        <v>2193</v>
      </c>
      <c r="S441" s="31" t="s">
        <v>1312</v>
      </c>
      <c r="T441" s="159" t="s">
        <v>1077</v>
      </c>
      <c r="U441" s="159"/>
      <c r="V441" s="159"/>
      <c r="W441" s="159"/>
      <c r="X441" s="159"/>
      <c r="Y441" s="159"/>
      <c r="Z441" s="159"/>
    </row>
    <row r="442" spans="1:26" x14ac:dyDescent="0.25">
      <c r="A442" s="31" t="s">
        <v>506</v>
      </c>
      <c r="B442" s="31" t="s">
        <v>555</v>
      </c>
      <c r="I442" s="31">
        <v>1</v>
      </c>
      <c r="O442" s="42">
        <f>C442*Prislapp!$C$2+D442*Prislapp!$D$2+E442*Prislapp!$E$2+F442*Prislapp!$F$2+G442*Prislapp!$G$2+H442*Prislapp!$H$2+I442*Prislapp!$I$2+J442*Prislapp!$J$2+K442*Prislapp!$K$2+L442*Prislapp!$L$2+M442*Prislapp!$M$2+N442*Prislapp!$N$2</f>
        <v>18405</v>
      </c>
      <c r="P442" s="42">
        <f>C442*Prislapp!$C$3+D442*Prislapp!$D$3+E442*Prislapp!$E$3+F442*Prislapp!$F$3+G442*Prislapp!$G$3+H442*Prislapp!$H$3+I442*Prislapp!$I$3+J442*Prislapp!$J$3+K442*Prislapp!$K$3+M442*Prislapp!$M$3+N442*Prislapp!$N$3</f>
        <v>15773</v>
      </c>
      <c r="Q442" s="42">
        <f>C442*Prislapp!$C$5+D442*Prislapp!$D$5+E442*Prislapp!$E$5+F442*Prislapp!$F$5+G442*Prislapp!$G$5+H442*Prislapp!$H$5+I442*Prislapp!$I$5+J442*Prislapp!$J$5+K442*Prislapp!$K$5+L442*Prislapp!$L$5+M442*Prislapp!$M$5+N442*Prislapp!$N$5</f>
        <v>5800</v>
      </c>
      <c r="R442" s="9">
        <f>VLOOKUP(A442,'Ansvar kurs'!$A$2:$B$830,2,FALSE)</f>
        <v>2193</v>
      </c>
      <c r="S442" s="31" t="s">
        <v>1312</v>
      </c>
      <c r="T442" s="159"/>
      <c r="U442" s="159"/>
      <c r="V442" s="159"/>
      <c r="W442" s="159"/>
      <c r="X442" s="159"/>
      <c r="Y442" s="159"/>
      <c r="Z442" s="159"/>
    </row>
    <row r="443" spans="1:26" x14ac:dyDescent="0.25">
      <c r="A443" s="265" t="s">
        <v>507</v>
      </c>
      <c r="B443" s="31" t="s">
        <v>1199</v>
      </c>
      <c r="K443" s="31">
        <v>1</v>
      </c>
      <c r="O443" s="42">
        <f>C443*Prislapp!$C$2+D443*Prislapp!$D$2+E443*Prislapp!$E$2+F443*Prislapp!$F$2+G443*Prislapp!$G$2+H443*Prislapp!$H$2+I443*Prislapp!$I$2+J443*Prislapp!$J$2+K443*Prislapp!$K$2+L443*Prislapp!$L$2+M443*Prislapp!$M$2+N443*Prislapp!$N$2</f>
        <v>21634</v>
      </c>
      <c r="P443" s="42">
        <f>C443*Prislapp!$C$3+D443*Prislapp!$D$3+E443*Prislapp!$E$3+F443*Prislapp!$F$3+G443*Prislapp!$G$3+H443*Prislapp!$H$3+I443*Prislapp!$I$3+J443*Prislapp!$J$3+K443*Prislapp!$K$3+M443*Prislapp!$M$3+N443*Prislapp!$N$3</f>
        <v>26986</v>
      </c>
      <c r="Q443" s="42">
        <f>C443*Prislapp!$C$5+D443*Prislapp!$D$5+E443*Prislapp!$E$5+F443*Prislapp!$F$5+G443*Prislapp!$G$5+H443*Prislapp!$H$5+I443*Prislapp!$I$5+J443*Prislapp!$J$5+K443*Prislapp!$K$5+L443*Prislapp!$L$5+M443*Prislapp!$M$5+N443*Prislapp!$N$5</f>
        <v>3400</v>
      </c>
      <c r="R443" s="9">
        <f>VLOOKUP(A443,'Ansvar kurs'!$A$2:$B$830,2,FALSE)</f>
        <v>2193</v>
      </c>
      <c r="S443" s="159"/>
      <c r="T443" s="159"/>
      <c r="U443" s="159"/>
      <c r="V443" s="159"/>
      <c r="W443" s="159"/>
      <c r="X443" s="159"/>
      <c r="Y443" s="159"/>
      <c r="Z443" s="159"/>
    </row>
    <row r="444" spans="1:26" x14ac:dyDescent="0.25">
      <c r="A444" s="265" t="s">
        <v>508</v>
      </c>
      <c r="B444" s="31" t="s">
        <v>556</v>
      </c>
      <c r="I444" s="31">
        <v>1</v>
      </c>
      <c r="O444" s="42">
        <f>C444*Prislapp!$C$2+D444*Prislapp!$D$2+E444*Prislapp!$E$2+F444*Prislapp!$F$2+G444*Prislapp!$G$2+H444*Prislapp!$H$2+I444*Prislapp!$I$2+J444*Prislapp!$J$2+K444*Prislapp!$K$2+L444*Prislapp!$L$2+M444*Prislapp!$M$2+N444*Prislapp!$N$2</f>
        <v>18405</v>
      </c>
      <c r="P444" s="42">
        <f>C444*Prislapp!$C$3+D444*Prislapp!$D$3+E444*Prislapp!$E$3+F444*Prislapp!$F$3+G444*Prislapp!$G$3+H444*Prislapp!$H$3+I444*Prislapp!$I$3+J444*Prislapp!$J$3+K444*Prislapp!$K$3+M444*Prislapp!$M$3+N444*Prislapp!$N$3</f>
        <v>15773</v>
      </c>
      <c r="Q444" s="42">
        <f>C444*Prislapp!$C$5+D444*Prislapp!$D$5+E444*Prislapp!$E$5+F444*Prislapp!$F$5+G444*Prislapp!$G$5+H444*Prislapp!$H$5+I444*Prislapp!$I$5+J444*Prislapp!$J$5+K444*Prislapp!$K$5+L444*Prislapp!$L$5+M444*Prislapp!$M$5+N444*Prislapp!$N$5</f>
        <v>5800</v>
      </c>
      <c r="R444" s="9">
        <f>VLOOKUP(A444,'Ansvar kurs'!$A$2:$B$830,2,FALSE)</f>
        <v>2193</v>
      </c>
      <c r="S444" s="31" t="s">
        <v>1312</v>
      </c>
      <c r="T444" s="159"/>
      <c r="U444" s="159"/>
      <c r="V444" s="159"/>
      <c r="W444" s="159"/>
      <c r="X444" s="159"/>
      <c r="Y444" s="159"/>
      <c r="Z444" s="159"/>
    </row>
    <row r="445" spans="1:26" x14ac:dyDescent="0.25">
      <c r="A445" s="265" t="s">
        <v>509</v>
      </c>
      <c r="B445" s="31" t="s">
        <v>557</v>
      </c>
      <c r="F445" s="31">
        <v>1</v>
      </c>
      <c r="O445" s="42">
        <f>C445*Prislapp!$C$2+D445*Prislapp!$D$2+E445*Prislapp!$E$2+F445*Prislapp!$F$2+G445*Prislapp!$G$2+H445*Prislapp!$H$2+I445*Prislapp!$I$2+J445*Prislapp!$J$2+K445*Prislapp!$K$2+L445*Prislapp!$L$2+M445*Prislapp!$M$2+N445*Prislapp!$N$2</f>
        <v>23641</v>
      </c>
      <c r="P445" s="42">
        <f>C445*Prislapp!$C$3+D445*Prislapp!$D$3+E445*Prislapp!$E$3+F445*Prislapp!$F$3+G445*Prislapp!$G$3+H445*Prislapp!$H$3+I445*Prislapp!$I$3+J445*Prislapp!$J$3+K445*Prislapp!$K$3+M445*Prislapp!$M$3+N445*Prislapp!$N$3</f>
        <v>28786</v>
      </c>
      <c r="Q445" s="42">
        <f>C445*Prislapp!$C$5+D445*Prislapp!$D$5+E445*Prislapp!$E$5+F445*Prislapp!$F$5+G445*Prislapp!$G$5+H445*Prislapp!$H$5+I445*Prislapp!$I$5+J445*Prislapp!$J$5+K445*Prislapp!$K$5+L445*Prislapp!$L$5+M445*Prislapp!$M$5+N445*Prislapp!$N$5</f>
        <v>5800</v>
      </c>
      <c r="R445" s="9">
        <f>VLOOKUP(A445,'Ansvar kurs'!$A$2:$B$830,2,FALSE)</f>
        <v>2193</v>
      </c>
      <c r="S445" s="159"/>
      <c r="T445" s="159"/>
      <c r="U445" s="159"/>
      <c r="V445" s="159"/>
      <c r="W445" s="159"/>
      <c r="X445" s="159"/>
      <c r="Y445" s="159"/>
      <c r="Z445" s="159"/>
    </row>
    <row r="446" spans="1:26" x14ac:dyDescent="0.25">
      <c r="A446" s="265" t="s">
        <v>598</v>
      </c>
      <c r="B446" s="31" t="s">
        <v>615</v>
      </c>
      <c r="F446" s="31">
        <v>1</v>
      </c>
      <c r="O446" s="42">
        <f>C446*Prislapp!$C$2+D446*Prislapp!$D$2+E446*Prislapp!$E$2+F446*Prislapp!$F$2+G446*Prislapp!$G$2+H446*Prislapp!$H$2+I446*Prislapp!$I$2+J446*Prislapp!$J$2+K446*Prislapp!$K$2+L446*Prislapp!$L$2+M446*Prislapp!$M$2+N446*Prislapp!$N$2</f>
        <v>23641</v>
      </c>
      <c r="P446" s="42">
        <f>C446*Prislapp!$C$3+D446*Prislapp!$D$3+E446*Prislapp!$E$3+F446*Prislapp!$F$3+G446*Prislapp!$G$3+H446*Prislapp!$H$3+I446*Prislapp!$I$3+J446*Prislapp!$J$3+K446*Prislapp!$K$3+M446*Prislapp!$M$3+N446*Prislapp!$N$3</f>
        <v>28786</v>
      </c>
      <c r="Q446" s="42">
        <f>C446*Prislapp!$C$5+D446*Prislapp!$D$5+E446*Prislapp!$E$5+F446*Prislapp!$F$5+G446*Prislapp!$G$5+H446*Prislapp!$H$5+I446*Prislapp!$I$5+J446*Prislapp!$J$5+K446*Prislapp!$K$5+L446*Prislapp!$L$5+M446*Prislapp!$M$5+N446*Prislapp!$N$5</f>
        <v>5800</v>
      </c>
      <c r="R446" s="9">
        <f>VLOOKUP(A446,'Ansvar kurs'!$A$2:$B$830,2,FALSE)</f>
        <v>2193</v>
      </c>
      <c r="S446" s="159"/>
      <c r="T446" s="159"/>
      <c r="U446" s="159"/>
      <c r="V446" s="159"/>
      <c r="W446" s="159"/>
      <c r="X446" s="159"/>
      <c r="Y446" s="159"/>
      <c r="Z446" s="159"/>
    </row>
    <row r="447" spans="1:26" x14ac:dyDescent="0.25">
      <c r="A447" s="265" t="s">
        <v>599</v>
      </c>
      <c r="B447" s="31" t="s">
        <v>616</v>
      </c>
      <c r="K447" s="31">
        <v>1</v>
      </c>
      <c r="O447" s="42">
        <f>C447*Prislapp!$C$2+D447*Prislapp!$D$2+E447*Prislapp!$E$2+F447*Prislapp!$F$2+G447*Prislapp!$G$2+H447*Prislapp!$H$2+I447*Prislapp!$I$2+J447*Prislapp!$J$2+K447*Prislapp!$K$2+L447*Prislapp!$L$2+M447*Prislapp!$M$2+N447*Prislapp!$N$2</f>
        <v>21634</v>
      </c>
      <c r="P447" s="42">
        <f>C447*Prislapp!$C$3+D447*Prislapp!$D$3+E447*Prislapp!$E$3+F447*Prislapp!$F$3+G447*Prislapp!$G$3+H447*Prislapp!$H$3+I447*Prislapp!$I$3+J447*Prislapp!$J$3+K447*Prislapp!$K$3+M447*Prislapp!$M$3+N447*Prislapp!$N$3</f>
        <v>26986</v>
      </c>
      <c r="Q447" s="42">
        <f>C447*Prislapp!$C$5+D447*Prislapp!$D$5+E447*Prislapp!$E$5+F447*Prislapp!$F$5+G447*Prislapp!$G$5+H447*Prislapp!$H$5+I447*Prislapp!$I$5+J447*Prislapp!$J$5+K447*Prislapp!$K$5+L447*Prislapp!$L$5+M447*Prislapp!$M$5+N447*Prislapp!$N$5</f>
        <v>3400</v>
      </c>
      <c r="R447" s="9">
        <f>VLOOKUP(A447,'Ansvar kurs'!$A$2:$B$830,2,FALSE)</f>
        <v>2193</v>
      </c>
      <c r="S447" s="159"/>
      <c r="T447" s="159"/>
      <c r="U447" s="159"/>
      <c r="V447" s="159"/>
      <c r="W447" s="159"/>
      <c r="X447" s="159"/>
      <c r="Y447" s="159"/>
      <c r="Z447" s="159"/>
    </row>
    <row r="448" spans="1:26" x14ac:dyDescent="0.25">
      <c r="A448" s="375" t="s">
        <v>883</v>
      </c>
      <c r="B448" s="31" t="s">
        <v>1200</v>
      </c>
      <c r="K448" s="31">
        <v>1</v>
      </c>
      <c r="O448" s="42">
        <f>C448*Prislapp!$C$2+D448*Prislapp!$D$2+E448*Prislapp!$E$2+F448*Prislapp!$F$2+G448*Prislapp!$G$2+H448*Prislapp!$H$2+I448*Prislapp!$I$2+J448*Prislapp!$J$2+K448*Prislapp!$K$2+L448*Prislapp!$L$2+M448*Prislapp!$M$2+N448*Prislapp!$N$2</f>
        <v>21634</v>
      </c>
      <c r="P448" s="42">
        <f>C448*Prislapp!$C$3+D448*Prislapp!$D$3+E448*Prislapp!$E$3+F448*Prislapp!$F$3+G448*Prislapp!$G$3+H448*Prislapp!$H$3+I448*Prislapp!$I$3+J448*Prislapp!$J$3+K448*Prislapp!$K$3+M448*Prislapp!$M$3+N448*Prislapp!$N$3</f>
        <v>26986</v>
      </c>
      <c r="Q448" s="42">
        <f>C448*Prislapp!$C$5+D448*Prislapp!$D$5+E448*Prislapp!$E$5+F448*Prislapp!$F$5+G448*Prislapp!$G$5+H448*Prislapp!$H$5+I448*Prislapp!$I$5+J448*Prislapp!$J$5+K448*Prislapp!$K$5+L448*Prislapp!$L$5+M448*Prislapp!$M$5+N448*Prislapp!$N$5</f>
        <v>3400</v>
      </c>
      <c r="R448" s="9">
        <f>VLOOKUP(A448,'Ansvar kurs'!$A$2:$B$830,2,FALSE)</f>
        <v>2193</v>
      </c>
      <c r="S448" s="159"/>
      <c r="T448" s="159"/>
      <c r="U448" s="159"/>
      <c r="V448" s="159"/>
      <c r="W448" s="159"/>
      <c r="X448" s="159"/>
      <c r="Y448" s="159"/>
      <c r="Z448" s="159"/>
    </row>
    <row r="449" spans="1:26" x14ac:dyDescent="0.25">
      <c r="A449" s="266" t="s">
        <v>884</v>
      </c>
      <c r="B449" s="31" t="s">
        <v>1201</v>
      </c>
      <c r="I449" s="31">
        <v>1</v>
      </c>
      <c r="O449" s="42">
        <f>C449*Prislapp!$C$2+D449*Prislapp!$D$2+E449*Prislapp!$E$2+F449*Prislapp!$F$2+G449*Prislapp!$G$2+H449*Prislapp!$H$2+I449*Prislapp!$I$2+J449*Prislapp!$J$2+K449*Prislapp!$K$2+L449*Prislapp!$L$2+M449*Prislapp!$M$2+N449*Prislapp!$N$2</f>
        <v>18405</v>
      </c>
      <c r="P449" s="42">
        <f>C449*Prislapp!$C$3+D449*Prislapp!$D$3+E449*Prislapp!$E$3+F449*Prislapp!$F$3+G449*Prislapp!$G$3+H449*Prislapp!$H$3+I449*Prislapp!$I$3+J449*Prislapp!$J$3+K449*Prislapp!$K$3+M449*Prislapp!$M$3+N449*Prislapp!$N$3</f>
        <v>15773</v>
      </c>
      <c r="Q449" s="42">
        <f>C449*Prislapp!$C$5+D449*Prislapp!$D$5+E449*Prislapp!$E$5+F449*Prislapp!$F$5+G449*Prislapp!$G$5+H449*Prislapp!$H$5+I449*Prislapp!$I$5+J449*Prislapp!$J$5+K449*Prislapp!$K$5+L449*Prislapp!$L$5+M449*Prislapp!$M$5+N449*Prislapp!$N$5</f>
        <v>5800</v>
      </c>
      <c r="R449" s="9">
        <f>VLOOKUP(A449,'Ansvar kurs'!$A$2:$B$830,2,FALSE)</f>
        <v>2193</v>
      </c>
      <c r="S449" s="31" t="s">
        <v>1312</v>
      </c>
      <c r="T449" s="159"/>
      <c r="U449" s="159"/>
      <c r="V449" s="159"/>
      <c r="W449" s="159"/>
      <c r="X449" s="159"/>
      <c r="Y449" s="159"/>
      <c r="Z449" s="159"/>
    </row>
    <row r="450" spans="1:26" x14ac:dyDescent="0.25">
      <c r="A450" s="266" t="s">
        <v>1079</v>
      </c>
      <c r="B450" s="31" t="s">
        <v>1162</v>
      </c>
      <c r="K450" s="31">
        <v>1</v>
      </c>
      <c r="O450" s="42">
        <f>C450*Prislapp!$C$2+D450*Prislapp!$D$2+E450*Prislapp!$E$2+F450*Prislapp!$F$2+G450*Prislapp!$G$2+H450*Prislapp!$H$2+I450*Prislapp!$I$2+J450*Prislapp!$J$2+K450*Prislapp!$K$2+L450*Prislapp!$L$2+M450*Prislapp!$M$2+N450*Prislapp!$N$2</f>
        <v>21634</v>
      </c>
      <c r="P450" s="42">
        <f>C450*Prislapp!$C$3+D450*Prislapp!$D$3+E450*Prislapp!$E$3+F450*Prislapp!$F$3+G450*Prislapp!$G$3+H450*Prislapp!$H$3+I450*Prislapp!$I$3+J450*Prislapp!$J$3+K450*Prislapp!$K$3+M450*Prislapp!$M$3+N450*Prislapp!$N$3</f>
        <v>26986</v>
      </c>
      <c r="Q450" s="42">
        <f>C450*Prislapp!$C$5+D450*Prislapp!$D$5+E450*Prislapp!$E$5+F450*Prislapp!$F$5+G450*Prislapp!$G$5+H450*Prislapp!$H$5+I450*Prislapp!$I$5+J450*Prislapp!$J$5+K450*Prislapp!$K$5+L450*Prislapp!$L$5+M450*Prislapp!$M$5+N450*Prislapp!$N$5</f>
        <v>3400</v>
      </c>
      <c r="R450" s="9">
        <f>VLOOKUP(A450,'Ansvar kurs'!$A$2:$B$830,2,FALSE)</f>
        <v>2193</v>
      </c>
      <c r="S450" s="159"/>
      <c r="T450" s="159"/>
      <c r="U450" s="159"/>
      <c r="V450" s="159"/>
      <c r="W450" s="159"/>
      <c r="X450" s="159"/>
      <c r="Y450" s="159"/>
      <c r="Z450" s="159"/>
    </row>
    <row r="451" spans="1:26" x14ac:dyDescent="0.25">
      <c r="A451" s="31" t="s">
        <v>638</v>
      </c>
      <c r="B451" s="31" t="s">
        <v>639</v>
      </c>
      <c r="I451" s="31">
        <v>0.4</v>
      </c>
      <c r="K451" s="31">
        <v>0.6</v>
      </c>
      <c r="O451" s="42">
        <f>C451*Prislapp!$C$2+D451*Prislapp!$D$2+E451*Prislapp!$E$2+F451*Prislapp!$F$2+G451*Prislapp!$G$2+H451*Prislapp!$H$2+I451*Prislapp!$I$2+J451*Prislapp!$J$2+K451*Prislapp!$K$2+L451*Prislapp!$L$2+M451*Prislapp!$M$2+N451*Prislapp!$N$2</f>
        <v>20342.400000000001</v>
      </c>
      <c r="P451" s="42">
        <f>C451*Prislapp!$C$3+D451*Prislapp!$D$3+E451*Prislapp!$E$3+F451*Prislapp!$F$3+G451*Prislapp!$G$3+H451*Prislapp!$H$3+I451*Prislapp!$I$3+J451*Prislapp!$J$3+K451*Prislapp!$K$3+M451*Prislapp!$M$3+N451*Prislapp!$N$3</f>
        <v>22500.799999999999</v>
      </c>
      <c r="Q451" s="42">
        <f>C451*Prislapp!$C$5+D451*Prislapp!$D$5+E451*Prislapp!$E$5+F451*Prislapp!$F$5+G451*Prislapp!$G$5+H451*Prislapp!$H$5+I451*Prislapp!$I$5+J451*Prislapp!$J$5+K451*Prislapp!$K$5+L451*Prislapp!$L$5+M451*Prislapp!$M$5+N451*Prislapp!$N$5</f>
        <v>4360</v>
      </c>
      <c r="R451" s="9">
        <f>VLOOKUP(A451,'Ansvar kurs'!$A$2:$B$830,2,FALSE)</f>
        <v>2180</v>
      </c>
      <c r="S451" s="159" t="s">
        <v>1077</v>
      </c>
      <c r="T451" s="159"/>
      <c r="U451" s="159"/>
      <c r="V451" s="159"/>
      <c r="W451" s="159"/>
      <c r="X451" s="159"/>
      <c r="Y451" s="159"/>
      <c r="Z451" s="159"/>
    </row>
    <row r="452" spans="1:26" x14ac:dyDescent="0.25">
      <c r="A452" s="31" t="s">
        <v>633</v>
      </c>
      <c r="B452" s="31" t="s">
        <v>724</v>
      </c>
      <c r="F452" s="31">
        <v>0</v>
      </c>
      <c r="I452" s="31">
        <v>1</v>
      </c>
      <c r="O452" s="42">
        <f>C452*Prislapp!$C$2+D452*Prislapp!$D$2+E452*Prislapp!$E$2+F452*Prislapp!$F$2+G452*Prislapp!$G$2+H452*Prislapp!$H$2+I452*Prislapp!$I$2+J452*Prislapp!$J$2+K452*Prislapp!$K$2+L452*Prislapp!$L$2+M452*Prislapp!$M$2+N452*Prislapp!$N$2</f>
        <v>18405</v>
      </c>
      <c r="P452" s="42">
        <f>C452*Prislapp!$C$3+D452*Prislapp!$D$3+E452*Prislapp!$E$3+F452*Prislapp!$F$3+G452*Prislapp!$G$3+H452*Prislapp!$H$3+I452*Prislapp!$I$3+J452*Prislapp!$J$3+K452*Prislapp!$K$3+M452*Prislapp!$M$3+N452*Prislapp!$N$3</f>
        <v>15773</v>
      </c>
      <c r="Q452" s="42">
        <f>C452*Prislapp!$C$5+D452*Prislapp!$D$5+E452*Prislapp!$E$5+F452*Prislapp!$F$5+G452*Prislapp!$G$5+H452*Prislapp!$H$5+I452*Prislapp!$I$5+J452*Prislapp!$J$5+K452*Prislapp!$K$5+L452*Prislapp!$L$5+M452*Prislapp!$M$5+N452*Prislapp!$N$5</f>
        <v>5800</v>
      </c>
      <c r="R452" s="9">
        <f>VLOOKUP(A452,'Ansvar kurs'!$A$2:$B$830,2,FALSE)</f>
        <v>2180</v>
      </c>
      <c r="S452" s="186" t="s">
        <v>1437</v>
      </c>
      <c r="T452" s="159"/>
      <c r="U452" s="159"/>
      <c r="V452" s="159"/>
      <c r="W452" s="159"/>
      <c r="X452" s="159"/>
      <c r="Y452" s="159"/>
      <c r="Z452" s="159"/>
    </row>
    <row r="453" spans="1:26" x14ac:dyDescent="0.25">
      <c r="A453" s="31" t="s">
        <v>634</v>
      </c>
      <c r="B453" s="31" t="s">
        <v>725</v>
      </c>
      <c r="F453" s="31">
        <v>0</v>
      </c>
      <c r="I453" s="31">
        <v>1</v>
      </c>
      <c r="O453" s="42">
        <f>C453*Prislapp!$C$2+D453*Prislapp!$D$2+E453*Prislapp!$E$2+F453*Prislapp!$F$2+G453*Prislapp!$G$2+H453*Prislapp!$H$2+I453*Prislapp!$I$2+J453*Prislapp!$J$2+K453*Prislapp!$K$2+L453*Prislapp!$L$2+M453*Prislapp!$M$2+N453*Prislapp!$N$2</f>
        <v>18405</v>
      </c>
      <c r="P453" s="42">
        <f>C453*Prislapp!$C$3+D453*Prislapp!$D$3+E453*Prislapp!$E$3+F453*Prislapp!$F$3+G453*Prislapp!$G$3+H453*Prislapp!$H$3+I453*Prislapp!$I$3+J453*Prislapp!$J$3+K453*Prislapp!$K$3+M453*Prislapp!$M$3+N453*Prislapp!$N$3</f>
        <v>15773</v>
      </c>
      <c r="Q453" s="42">
        <f>C453*Prislapp!$C$5+D453*Prislapp!$D$5+E453*Prislapp!$E$5+F453*Prislapp!$F$5+G453*Prislapp!$G$5+H453*Prislapp!$H$5+I453*Prislapp!$I$5+J453*Prislapp!$J$5+K453*Prislapp!$K$5+L453*Prislapp!$L$5+M453*Prislapp!$M$5+N453*Prislapp!$N$5</f>
        <v>5800</v>
      </c>
      <c r="R453" s="9">
        <f>VLOOKUP(A453,'Ansvar kurs'!$A$2:$B$830,2,FALSE)</f>
        <v>2180</v>
      </c>
      <c r="S453" s="186" t="s">
        <v>1437</v>
      </c>
      <c r="T453" s="159"/>
      <c r="U453" s="159"/>
      <c r="V453" s="159"/>
      <c r="W453" s="159"/>
      <c r="X453" s="159"/>
      <c r="Y453" s="159"/>
      <c r="Z453" s="159"/>
    </row>
    <row r="454" spans="1:26" x14ac:dyDescent="0.25">
      <c r="A454" s="31" t="s">
        <v>835</v>
      </c>
      <c r="B454" s="31" t="s">
        <v>1202</v>
      </c>
      <c r="F454" s="31">
        <v>1</v>
      </c>
      <c r="O454" s="42">
        <f>C454*Prislapp!$C$2+D454*Prislapp!$D$2+E454*Prislapp!$E$2+F454*Prislapp!$F$2+G454*Prislapp!$G$2+H454*Prislapp!$H$2+I454*Prislapp!$I$2+J454*Prislapp!$J$2+K454*Prislapp!$K$2+L454*Prislapp!$L$2+M454*Prislapp!$M$2+N454*Prislapp!$N$2</f>
        <v>23641</v>
      </c>
      <c r="P454" s="42">
        <f>C454*Prislapp!$C$3+D454*Prislapp!$D$3+E454*Prislapp!$E$3+F454*Prislapp!$F$3+G454*Prislapp!$G$3+H454*Prislapp!$H$3+I454*Prislapp!$I$3+J454*Prislapp!$J$3+K454*Prislapp!$K$3+M454*Prislapp!$M$3+N454*Prislapp!$N$3</f>
        <v>28786</v>
      </c>
      <c r="Q454" s="42">
        <f>C454*Prislapp!$C$5+D454*Prislapp!$D$5+E454*Prislapp!$E$5+F454*Prislapp!$F$5+G454*Prislapp!$G$5+H454*Prislapp!$H$5+I454*Prislapp!$I$5+J454*Prislapp!$J$5+K454*Prislapp!$K$5+L454*Prislapp!$L$5+M454*Prislapp!$M$5+N454*Prislapp!$N$5</f>
        <v>5800</v>
      </c>
      <c r="R454" s="9">
        <f>VLOOKUP(A454,'Ansvar kurs'!$A$2:$B$830,2,FALSE)</f>
        <v>2180</v>
      </c>
      <c r="S454" s="159"/>
      <c r="T454" s="159"/>
      <c r="U454" s="159"/>
      <c r="V454" s="159"/>
      <c r="W454" s="159"/>
      <c r="X454" s="159"/>
      <c r="Y454" s="159"/>
      <c r="Z454" s="159"/>
    </row>
    <row r="455" spans="1:26" x14ac:dyDescent="0.25">
      <c r="A455" s="265" t="s">
        <v>823</v>
      </c>
      <c r="B455" s="31" t="s">
        <v>825</v>
      </c>
      <c r="F455" s="31">
        <v>1</v>
      </c>
      <c r="O455" s="42">
        <f>C455*Prislapp!$C$2+D455*Prislapp!$D$2+E455*Prislapp!$E$2+F455*Prislapp!$F$2+G455*Prislapp!$G$2+H455*Prislapp!$H$2+I455*Prislapp!$I$2+J455*Prislapp!$J$2+K455*Prislapp!$K$2+L455*Prislapp!$L$2+M455*Prislapp!$M$2+N455*Prislapp!$N$2</f>
        <v>23641</v>
      </c>
      <c r="P455" s="42">
        <f>C455*Prislapp!$C$3+D455*Prislapp!$D$3+E455*Prislapp!$E$3+F455*Prislapp!$F$3+G455*Prislapp!$G$3+H455*Prislapp!$H$3+I455*Prislapp!$I$3+J455*Prislapp!$J$3+K455*Prislapp!$K$3+M455*Prislapp!$M$3+N455*Prislapp!$N$3</f>
        <v>28786</v>
      </c>
      <c r="Q455" s="42">
        <f>C455*Prislapp!$C$5+D455*Prislapp!$D$5+E455*Prislapp!$E$5+F455*Prislapp!$F$5+G455*Prislapp!$G$5+H455*Prislapp!$H$5+I455*Prislapp!$I$5+J455*Prislapp!$J$5+K455*Prislapp!$K$5+L455*Prislapp!$L$5+M455*Prislapp!$M$5+N455*Prislapp!$N$5</f>
        <v>5800</v>
      </c>
      <c r="R455" s="9">
        <f>VLOOKUP(A455,'Ansvar kurs'!$A$2:$B$830,2,FALSE)</f>
        <v>5740</v>
      </c>
      <c r="S455" s="159"/>
      <c r="T455" s="159"/>
      <c r="U455" s="159"/>
      <c r="V455" s="159"/>
      <c r="W455" s="159"/>
      <c r="X455" s="159"/>
      <c r="Y455" s="159"/>
      <c r="Z455" s="159"/>
    </row>
    <row r="456" spans="1:26" x14ac:dyDescent="0.25">
      <c r="A456" s="265" t="s">
        <v>824</v>
      </c>
      <c r="B456" s="31" t="s">
        <v>826</v>
      </c>
      <c r="F456" s="31">
        <v>1</v>
      </c>
      <c r="O456" s="42">
        <f>C456*Prislapp!$C$2+D456*Prislapp!$D$2+E456*Prislapp!$E$2+F456*Prislapp!$F$2+G456*Prislapp!$G$2+H456*Prislapp!$H$2+I456*Prislapp!$I$2+J456*Prislapp!$J$2+K456*Prislapp!$K$2+L456*Prislapp!$L$2+M456*Prislapp!$M$2+N456*Prislapp!$N$2</f>
        <v>23641</v>
      </c>
      <c r="P456" s="42">
        <f>C456*Prislapp!$C$3+D456*Prislapp!$D$3+E456*Prislapp!$E$3+F456*Prislapp!$F$3+G456*Prislapp!$G$3+H456*Prislapp!$H$3+I456*Prislapp!$I$3+J456*Prislapp!$J$3+K456*Prislapp!$K$3+M456*Prislapp!$M$3+N456*Prislapp!$N$3</f>
        <v>28786</v>
      </c>
      <c r="Q456" s="42">
        <f>C456*Prislapp!$C$5+D456*Prislapp!$D$5+E456*Prislapp!$E$5+F456*Prislapp!$F$5+G456*Prislapp!$G$5+H456*Prislapp!$H$5+I456*Prislapp!$I$5+J456*Prislapp!$J$5+K456*Prislapp!$K$5+L456*Prislapp!$L$5+M456*Prislapp!$M$5+N456*Prislapp!$N$5</f>
        <v>5800</v>
      </c>
      <c r="R456" s="9">
        <f>VLOOKUP(A456,'Ansvar kurs'!$A$2:$B$830,2,FALSE)</f>
        <v>5740</v>
      </c>
      <c r="S456" s="159"/>
      <c r="T456" s="159"/>
      <c r="U456" s="159"/>
      <c r="V456" s="159"/>
      <c r="W456" s="159"/>
      <c r="X456" s="159"/>
      <c r="Y456" s="159"/>
      <c r="Z456" s="159"/>
    </row>
    <row r="457" spans="1:26" x14ac:dyDescent="0.25">
      <c r="A457" s="265" t="s">
        <v>976</v>
      </c>
      <c r="B457" s="31" t="s">
        <v>1203</v>
      </c>
      <c r="I457" s="31">
        <v>1</v>
      </c>
      <c r="O457" s="42">
        <f>C457*Prislapp!$C$2+D457*Prislapp!$D$2+E457*Prislapp!$E$2+F457*Prislapp!$F$2+G457*Prislapp!$G$2+H457*Prislapp!$H$2+I457*Prislapp!$I$2+J457*Prislapp!$J$2+K457*Prislapp!$K$2+L457*Prislapp!$L$2+M457*Prislapp!$M$2+N457*Prislapp!$N$2</f>
        <v>18405</v>
      </c>
      <c r="P457" s="42">
        <f>C457*Prislapp!$C$3+D457*Prislapp!$D$3+E457*Prislapp!$E$3+F457*Prislapp!$F$3+G457*Prislapp!$G$3+H457*Prislapp!$H$3+I457*Prislapp!$I$3+J457*Prislapp!$J$3+K457*Prislapp!$K$3+M457*Prislapp!$M$3+N457*Prislapp!$N$3</f>
        <v>15773</v>
      </c>
      <c r="Q457" s="42">
        <f>C457*Prislapp!$C$5+D457*Prislapp!$D$5+E457*Prislapp!$E$5+F457*Prislapp!$F$5+G457*Prislapp!$G$5+H457*Prislapp!$H$5+I457*Prislapp!$I$5+J457*Prislapp!$J$5+K457*Prislapp!$K$5+L457*Prislapp!$L$5+M457*Prislapp!$M$5+N457*Prislapp!$N$5</f>
        <v>5800</v>
      </c>
      <c r="R457" s="9">
        <f>VLOOKUP(A457,'Ansvar kurs'!$A$2:$B$830,2,FALSE)</f>
        <v>2193</v>
      </c>
      <c r="S457" s="159"/>
      <c r="T457" s="159"/>
      <c r="U457" s="159"/>
      <c r="V457" s="159"/>
      <c r="W457" s="159"/>
      <c r="X457" s="159"/>
      <c r="Y457" s="159"/>
      <c r="Z457" s="159"/>
    </row>
    <row r="458" spans="1:26" x14ac:dyDescent="0.25">
      <c r="A458" s="59" t="s">
        <v>920</v>
      </c>
      <c r="B458" s="31" t="s">
        <v>1257</v>
      </c>
      <c r="F458" s="31">
        <v>1</v>
      </c>
      <c r="O458" s="42">
        <f>C458*Prislapp!$C$2+D458*Prislapp!$D$2+E458*Prislapp!$E$2+F458*Prislapp!$F$2+G458*Prislapp!$G$2+H458*Prislapp!$H$2+I458*Prislapp!$I$2+J458*Prislapp!$J$2+K458*Prislapp!$K$2+L458*Prislapp!$L$2+M458*Prislapp!$M$2+N458*Prislapp!$N$2</f>
        <v>23641</v>
      </c>
      <c r="P458" s="42">
        <f>C458*Prislapp!$C$3+D458*Prislapp!$D$3+E458*Prislapp!$E$3+F458*Prislapp!$F$3+G458*Prislapp!$G$3+H458*Prislapp!$H$3+I458*Prislapp!$I$3+J458*Prislapp!$J$3+K458*Prislapp!$K$3+M458*Prislapp!$M$3+N458*Prislapp!$N$3</f>
        <v>28786</v>
      </c>
      <c r="Q458" s="42">
        <f>C458*Prislapp!$C$5+D458*Prislapp!$D$5+E458*Prislapp!$E$5+F458*Prislapp!$F$5+G458*Prislapp!$G$5+H458*Prislapp!$H$5+I458*Prislapp!$I$5+J458*Prislapp!$J$5+K458*Prislapp!$K$5+L458*Prislapp!$L$5+M458*Prislapp!$M$5+N458*Prislapp!$N$5</f>
        <v>5800</v>
      </c>
      <c r="R458" s="9">
        <f>VLOOKUP(A458,'Ansvar kurs'!$A$2:$B$830,2,FALSE)</f>
        <v>2193</v>
      </c>
      <c r="U458" s="159"/>
      <c r="V458" s="159"/>
      <c r="W458" s="159"/>
      <c r="X458" s="159"/>
      <c r="Y458" s="159"/>
      <c r="Z458" s="159"/>
    </row>
    <row r="459" spans="1:26" x14ac:dyDescent="0.25">
      <c r="A459" s="59" t="s">
        <v>921</v>
      </c>
      <c r="B459" s="31" t="s">
        <v>1258</v>
      </c>
      <c r="F459" s="31">
        <v>1</v>
      </c>
      <c r="O459" s="42">
        <f>C459*Prislapp!$C$2+D459*Prislapp!$D$2+E459*Prislapp!$E$2+F459*Prislapp!$F$2+G459*Prislapp!$G$2+H459*Prislapp!$H$2+I459*Prislapp!$I$2+J459*Prislapp!$J$2+K459*Prislapp!$K$2+L459*Prislapp!$L$2+M459*Prislapp!$M$2+N459*Prislapp!$N$2</f>
        <v>23641</v>
      </c>
      <c r="P459" s="42">
        <f>C459*Prislapp!$C$3+D459*Prislapp!$D$3+E459*Prislapp!$E$3+F459*Prislapp!$F$3+G459*Prislapp!$G$3+H459*Prislapp!$H$3+I459*Prislapp!$I$3+J459*Prislapp!$J$3+K459*Prislapp!$K$3+M459*Prislapp!$M$3+N459*Prislapp!$N$3</f>
        <v>28786</v>
      </c>
      <c r="Q459" s="42">
        <f>C459*Prislapp!$C$5+D459*Prislapp!$D$5+E459*Prislapp!$E$5+F459*Prislapp!$F$5+G459*Prislapp!$G$5+H459*Prislapp!$H$5+I459*Prislapp!$I$5+J459*Prislapp!$J$5+K459*Prislapp!$K$5+L459*Prislapp!$L$5+M459*Prislapp!$M$5+N459*Prislapp!$N$5</f>
        <v>5800</v>
      </c>
      <c r="R459" s="9">
        <f>VLOOKUP(A459,'Ansvar kurs'!$A$2:$B$830,2,FALSE)</f>
        <v>2193</v>
      </c>
    </row>
    <row r="460" spans="1:26" x14ac:dyDescent="0.25">
      <c r="A460" s="266" t="s">
        <v>946</v>
      </c>
      <c r="B460" s="31" t="s">
        <v>1204</v>
      </c>
      <c r="I460" s="31">
        <v>1</v>
      </c>
      <c r="O460" s="42">
        <f>C460*Prislapp!$C$2+D460*Prislapp!$D$2+E460*Prislapp!$E$2+F460*Prislapp!$F$2+G460*Prislapp!$G$2+H460*Prislapp!$H$2+I460*Prislapp!$I$2+J460*Prislapp!$J$2+K460*Prislapp!$K$2+L460*Prislapp!$L$2+M460*Prislapp!$M$2+N460*Prislapp!$N$2</f>
        <v>18405</v>
      </c>
      <c r="P460" s="42">
        <f>C460*Prislapp!$C$3+D460*Prislapp!$D$3+E460*Prislapp!$E$3+F460*Prislapp!$F$3+G460*Prislapp!$G$3+H460*Prislapp!$H$3+I460*Prislapp!$I$3+J460*Prislapp!$J$3+K460*Prislapp!$K$3+M460*Prislapp!$M$3+N460*Prislapp!$N$3</f>
        <v>15773</v>
      </c>
      <c r="Q460" s="42">
        <f>C460*Prislapp!$C$5+D460*Prislapp!$D$5+E460*Prislapp!$E$5+F460*Prislapp!$F$5+G460*Prislapp!$G$5+H460*Prislapp!$H$5+I460*Prislapp!$I$5+J460*Prislapp!$J$5+K460*Prislapp!$K$5+L460*Prislapp!$L$5+M460*Prislapp!$M$5+N460*Prislapp!$N$5</f>
        <v>5800</v>
      </c>
      <c r="R460" s="9">
        <f>VLOOKUP(A460,'Ansvar kurs'!$A$2:$B$830,2,FALSE)</f>
        <v>2180</v>
      </c>
      <c r="S460" s="159"/>
      <c r="T460" s="159"/>
    </row>
    <row r="461" spans="1:26" x14ac:dyDescent="0.25">
      <c r="A461" s="266" t="s">
        <v>1096</v>
      </c>
      <c r="B461" s="31" t="s">
        <v>1100</v>
      </c>
      <c r="I461" s="31">
        <v>1</v>
      </c>
      <c r="O461" s="42">
        <f>C461*Prislapp!$C$2+D461*Prislapp!$D$2+E461*Prislapp!$E$2+F461*Prislapp!$F$2+G461*Prislapp!$G$2+H461*Prislapp!$H$2+I461*Prislapp!$I$2+J461*Prislapp!$J$2+K461*Prislapp!$K$2+L461*Prislapp!$L$2+M461*Prislapp!$M$2+N461*Prislapp!$N$2</f>
        <v>18405</v>
      </c>
      <c r="P461" s="42">
        <f>C461*Prislapp!$C$3+D461*Prislapp!$D$3+E461*Prislapp!$E$3+F461*Prislapp!$F$3+G461*Prislapp!$G$3+H461*Prislapp!$H$3+I461*Prislapp!$I$3+J461*Prislapp!$J$3+K461*Prislapp!$K$3+M461*Prislapp!$M$3+N461*Prislapp!$N$3</f>
        <v>15773</v>
      </c>
      <c r="Q461" s="42">
        <f>C461*Prislapp!$C$5+D461*Prislapp!$D$5+E461*Prislapp!$E$5+F461*Prislapp!$F$5+G461*Prislapp!$G$5+H461*Prislapp!$H$5+I461*Prislapp!$I$5+J461*Prislapp!$J$5+K461*Prislapp!$K$5+L461*Prislapp!$L$5+M461*Prislapp!$M$5+N461*Prislapp!$N$5</f>
        <v>5800</v>
      </c>
      <c r="R461" s="9">
        <f>VLOOKUP(A461,'Ansvar kurs'!$A$2:$B$830,2,FALSE)</f>
        <v>2193</v>
      </c>
      <c r="S461" s="159"/>
      <c r="T461" s="159"/>
    </row>
    <row r="462" spans="1:26" x14ac:dyDescent="0.25">
      <c r="A462" s="266" t="s">
        <v>977</v>
      </c>
      <c r="B462" s="31" t="s">
        <v>1205</v>
      </c>
      <c r="I462" s="31">
        <v>1</v>
      </c>
      <c r="O462" s="42">
        <f>C462*Prislapp!$C$2+D462*Prislapp!$D$2+E462*Prislapp!$E$2+F462*Prislapp!$F$2+G462*Prislapp!$G$2+H462*Prislapp!$H$2+I462*Prislapp!$I$2+J462*Prislapp!$J$2+K462*Prislapp!$K$2+L462*Prislapp!$L$2+M462*Prislapp!$M$2+N462*Prislapp!$N$2</f>
        <v>18405</v>
      </c>
      <c r="P462" s="42">
        <f>C462*Prislapp!$C$3+D462*Prislapp!$D$3+E462*Prislapp!$E$3+F462*Prislapp!$F$3+G462*Prislapp!$G$3+H462*Prislapp!$H$3+I462*Prislapp!$I$3+J462*Prislapp!$J$3+K462*Prislapp!$K$3+M462*Prislapp!$M$3+N462*Prislapp!$N$3</f>
        <v>15773</v>
      </c>
      <c r="Q462" s="42">
        <f>C462*Prislapp!$C$5+D462*Prislapp!$D$5+E462*Prislapp!$E$5+F462*Prislapp!$F$5+G462*Prislapp!$G$5+H462*Prislapp!$H$5+I462*Prislapp!$I$5+J462*Prislapp!$J$5+K462*Prislapp!$K$5+L462*Prislapp!$L$5+M462*Prislapp!$M$5+N462*Prislapp!$N$5</f>
        <v>5800</v>
      </c>
      <c r="R462" s="9">
        <f>VLOOKUP(A462,'Ansvar kurs'!$A$2:$B$830,2,FALSE)</f>
        <v>2193</v>
      </c>
      <c r="S462" s="159"/>
      <c r="T462" s="159"/>
    </row>
    <row r="463" spans="1:26" x14ac:dyDescent="0.25">
      <c r="A463" s="266" t="s">
        <v>978</v>
      </c>
      <c r="B463" s="31" t="s">
        <v>1205</v>
      </c>
      <c r="I463" s="31">
        <v>1</v>
      </c>
      <c r="O463" s="42">
        <f>C463*Prislapp!$C$2+D463*Prislapp!$D$2+E463*Prislapp!$E$2+F463*Prislapp!$F$2+G463*Prislapp!$G$2+H463*Prislapp!$H$2+I463*Prislapp!$I$2+J463*Prislapp!$J$2+K463*Prislapp!$K$2+L463*Prislapp!$L$2+M463*Prislapp!$M$2+N463*Prislapp!$N$2</f>
        <v>18405</v>
      </c>
      <c r="P463" s="42">
        <f>C463*Prislapp!$C$3+D463*Prislapp!$D$3+E463*Prislapp!$E$3+F463*Prislapp!$F$3+G463*Prislapp!$G$3+H463*Prislapp!$H$3+I463*Prislapp!$I$3+J463*Prislapp!$J$3+K463*Prislapp!$K$3+M463*Prislapp!$M$3+N463*Prislapp!$N$3</f>
        <v>15773</v>
      </c>
      <c r="Q463" s="42">
        <f>C463*Prislapp!$C$5+D463*Prislapp!$D$5+E463*Prislapp!$E$5+F463*Prislapp!$F$5+G463*Prislapp!$G$5+H463*Prislapp!$H$5+I463*Prislapp!$I$5+J463*Prislapp!$J$5+K463*Prislapp!$K$5+L463*Prislapp!$L$5+M463*Prislapp!$M$5+N463*Prislapp!$N$5</f>
        <v>5800</v>
      </c>
      <c r="R463" s="9">
        <f>VLOOKUP(A463,'Ansvar kurs'!$A$2:$B$830,2,FALSE)</f>
        <v>2193</v>
      </c>
      <c r="S463" s="159"/>
      <c r="T463" s="159"/>
    </row>
    <row r="464" spans="1:26" x14ac:dyDescent="0.25">
      <c r="A464" s="266" t="s">
        <v>985</v>
      </c>
      <c r="B464" s="31" t="s">
        <v>1206</v>
      </c>
      <c r="K464" s="31">
        <v>1</v>
      </c>
      <c r="O464" s="42">
        <f>C464*Prislapp!$C$2+D464*Prislapp!$D$2+E464*Prislapp!$E$2+F464*Prislapp!$F$2+G464*Prislapp!$G$2+H464*Prislapp!$H$2+I464*Prislapp!$I$2+J464*Prislapp!$J$2+K464*Prislapp!$K$2+L464*Prislapp!$L$2+M464*Prislapp!$M$2+N464*Prislapp!$N$2</f>
        <v>21634</v>
      </c>
      <c r="P464" s="42">
        <f>C464*Prislapp!$C$3+D464*Prislapp!$D$3+E464*Prislapp!$E$3+F464*Prislapp!$F$3+G464*Prislapp!$G$3+H464*Prislapp!$H$3+I464*Prislapp!$I$3+J464*Prislapp!$J$3+K464*Prislapp!$K$3+M464*Prislapp!$M$3+N464*Prislapp!$N$3</f>
        <v>26986</v>
      </c>
      <c r="Q464" s="42">
        <f>C464*Prislapp!$C$5+D464*Prislapp!$D$5+E464*Prislapp!$E$5+F464*Prislapp!$F$5+G464*Prislapp!$G$5+H464*Prislapp!$H$5+I464*Prislapp!$I$5+J464*Prislapp!$J$5+K464*Prislapp!$K$5+L464*Prislapp!$L$5+M464*Prislapp!$M$5+N464*Prislapp!$N$5</f>
        <v>3400</v>
      </c>
      <c r="R464" s="9">
        <f>VLOOKUP(A464,'Ansvar kurs'!$A$2:$B$830,2,FALSE)</f>
        <v>5740</v>
      </c>
      <c r="S464" s="31" t="s">
        <v>969</v>
      </c>
      <c r="T464" s="31" t="s">
        <v>971</v>
      </c>
      <c r="U464" s="159"/>
      <c r="V464" s="159"/>
      <c r="W464" s="159"/>
      <c r="X464" s="159"/>
      <c r="Y464" s="159"/>
      <c r="Z464" s="159"/>
    </row>
    <row r="465" spans="1:26" x14ac:dyDescent="0.25">
      <c r="A465" s="266" t="s">
        <v>984</v>
      </c>
      <c r="B465" s="31" t="s">
        <v>1207</v>
      </c>
      <c r="K465" s="31">
        <v>1</v>
      </c>
      <c r="O465" s="42">
        <f>C465*Prislapp!$C$2+D465*Prislapp!$D$2+E465*Prislapp!$E$2+F465*Prislapp!$F$2+G465*Prislapp!$G$2+H465*Prislapp!$H$2+I465*Prislapp!$I$2+J465*Prislapp!$J$2+K465*Prislapp!$K$2+L465*Prislapp!$L$2+M465*Prislapp!$M$2+N465*Prislapp!$N$2</f>
        <v>21634</v>
      </c>
      <c r="P465" s="42">
        <f>C465*Prislapp!$C$3+D465*Prislapp!$D$3+E465*Prislapp!$E$3+F465*Prislapp!$F$3+G465*Prislapp!$G$3+H465*Prislapp!$H$3+I465*Prislapp!$I$3+J465*Prislapp!$J$3+K465*Prislapp!$K$3+M465*Prislapp!$M$3+N465*Prislapp!$N$3</f>
        <v>26986</v>
      </c>
      <c r="Q465" s="42">
        <f>C465*Prislapp!$C$5+D465*Prislapp!$D$5+E465*Prislapp!$E$5+F465*Prislapp!$F$5+G465*Prislapp!$G$5+H465*Prislapp!$H$5+I465*Prislapp!$I$5+J465*Prislapp!$J$5+K465*Prislapp!$K$5+L465*Prislapp!$L$5+M465*Prislapp!$M$5+N465*Prislapp!$N$5</f>
        <v>3400</v>
      </c>
      <c r="R465" s="9">
        <f>VLOOKUP(A465,'Ansvar kurs'!$A$2:$B$830,2,FALSE)</f>
        <v>5740</v>
      </c>
      <c r="S465" s="31" t="s">
        <v>968</v>
      </c>
      <c r="T465" s="31" t="s">
        <v>970</v>
      </c>
    </row>
    <row r="466" spans="1:26" x14ac:dyDescent="0.25">
      <c r="A466" s="59" t="s">
        <v>979</v>
      </c>
      <c r="B466" s="31" t="s">
        <v>1259</v>
      </c>
      <c r="K466" s="31">
        <v>1</v>
      </c>
      <c r="O466" s="42">
        <f>C466*Prislapp!$C$2+D466*Prislapp!$D$2+E466*Prislapp!$E$2+F466*Prislapp!$F$2+G466*Prislapp!$G$2+H466*Prislapp!$H$2+I466*Prislapp!$I$2+J466*Prislapp!$J$2+K466*Prislapp!$K$2+L466*Prislapp!$L$2+M466*Prislapp!$M$2+N466*Prislapp!$N$2</f>
        <v>21634</v>
      </c>
      <c r="P466" s="42">
        <f>C466*Prislapp!$C$3+D466*Prislapp!$D$3+E466*Prislapp!$E$3+F466*Prislapp!$F$3+G466*Prislapp!$G$3+H466*Prislapp!$H$3+I466*Prislapp!$I$3+J466*Prislapp!$J$3+K466*Prislapp!$K$3+M466*Prislapp!$M$3+N466*Prislapp!$N$3</f>
        <v>26986</v>
      </c>
      <c r="Q466" s="42">
        <f>C466*Prislapp!$C$5+D466*Prislapp!$D$5+E466*Prislapp!$E$5+F466*Prislapp!$F$5+G466*Prislapp!$G$5+H466*Prislapp!$H$5+I466*Prislapp!$I$5+J466*Prislapp!$J$5+K466*Prislapp!$K$5+L466*Prislapp!$L$5+M466*Prislapp!$M$5+N466*Prislapp!$N$5</f>
        <v>3400</v>
      </c>
      <c r="R466" s="9">
        <f>VLOOKUP(A466,'Ansvar kurs'!$A$2:$B$830,2,FALSE)</f>
        <v>2180</v>
      </c>
      <c r="S466" s="31" t="s">
        <v>980</v>
      </c>
    </row>
    <row r="467" spans="1:26" x14ac:dyDescent="0.25">
      <c r="A467" s="59" t="s">
        <v>1114</v>
      </c>
      <c r="B467" s="31" t="s">
        <v>1208</v>
      </c>
      <c r="I467" s="31">
        <v>1</v>
      </c>
      <c r="O467" s="42">
        <f>C467*Prislapp!$C$2+D467*Prislapp!$D$2+E467*Prislapp!$E$2+F467*Prislapp!$F$2+G467*Prislapp!$G$2+H467*Prislapp!$H$2+I467*Prislapp!$I$2+J467*Prislapp!$J$2+K467*Prislapp!$K$2+L467*Prislapp!$L$2+M467*Prislapp!$M$2+N467*Prislapp!$N$2</f>
        <v>18405</v>
      </c>
      <c r="P467" s="42">
        <f>C467*Prislapp!$C$3+D467*Prislapp!$D$3+E467*Prislapp!$E$3+F467*Prislapp!$F$3+G467*Prislapp!$G$3+H467*Prislapp!$H$3+I467*Prislapp!$I$3+J467*Prislapp!$J$3+K467*Prislapp!$K$3+M467*Prislapp!$M$3+N467*Prislapp!$N$3</f>
        <v>15773</v>
      </c>
      <c r="Q467" s="42">
        <f>C467*Prislapp!$C$5+D467*Prislapp!$D$5+E467*Prislapp!$E$5+F467*Prislapp!$F$5+G467*Prislapp!$G$5+H467*Prislapp!$H$5+I467*Prislapp!$I$5+J467*Prislapp!$J$5+K467*Prislapp!$K$5+L467*Prislapp!$L$5+M467*Prislapp!$M$5+N467*Prislapp!$N$5</f>
        <v>5800</v>
      </c>
      <c r="R467" s="9">
        <f>VLOOKUP(A467,'Ansvar kurs'!$A$2:$B$830,2,FALSE)</f>
        <v>2180</v>
      </c>
    </row>
    <row r="468" spans="1:26" x14ac:dyDescent="0.25">
      <c r="A468" s="265" t="s">
        <v>998</v>
      </c>
      <c r="B468" s="31" t="s">
        <v>1209</v>
      </c>
      <c r="F468" s="31">
        <v>1</v>
      </c>
      <c r="O468" s="42">
        <f>C468*Prislapp!$C$2+D468*Prislapp!$D$2+E468*Prislapp!$E$2+F468*Prislapp!$F$2+G468*Prislapp!$G$2+H468*Prislapp!$H$2+I468*Prislapp!$I$2+J468*Prislapp!$J$2+K468*Prislapp!$K$2+L468*Prislapp!$L$2+M468*Prislapp!$M$2+N468*Prislapp!$N$2</f>
        <v>23641</v>
      </c>
      <c r="P468" s="42">
        <f>C468*Prislapp!$C$3+D468*Prislapp!$D$3+E468*Prislapp!$E$3+F468*Prislapp!$F$3+G468*Prislapp!$G$3+H468*Prislapp!$H$3+I468*Prislapp!$I$3+J468*Prislapp!$J$3+K468*Prislapp!$K$3+M468*Prislapp!$M$3+N468*Prislapp!$N$3</f>
        <v>28786</v>
      </c>
      <c r="Q468" s="42">
        <f>C468*Prislapp!$C$5+D468*Prislapp!$D$5+E468*Prislapp!$E$5+F468*Prislapp!$F$5+G468*Prislapp!$G$5+H468*Prislapp!$H$5+I468*Prislapp!$I$5+J468*Prislapp!$J$5+K468*Prislapp!$K$5+L468*Prislapp!$L$5+M468*Prislapp!$M$5+N468*Prislapp!$N$5</f>
        <v>5800</v>
      </c>
      <c r="R468" s="9">
        <f>VLOOKUP(A468,'Ansvar kurs'!$A$2:$B$830,2,FALSE)</f>
        <v>5740</v>
      </c>
      <c r="S468" s="159"/>
      <c r="T468" s="159" t="s">
        <v>997</v>
      </c>
      <c r="U468" s="159"/>
      <c r="V468" s="159"/>
      <c r="W468" s="159"/>
      <c r="X468" s="159"/>
      <c r="Y468" s="159"/>
      <c r="Z468" s="159"/>
    </row>
    <row r="469" spans="1:26" x14ac:dyDescent="0.25">
      <c r="A469" s="265" t="s">
        <v>1047</v>
      </c>
      <c r="B469" s="31" t="s">
        <v>1210</v>
      </c>
      <c r="K469" s="31">
        <v>1</v>
      </c>
      <c r="O469" s="42">
        <f>C469*Prislapp!$C$2+D469*Prislapp!$D$2+E469*Prislapp!$E$2+F469*Prislapp!$F$2+G469*Prislapp!$G$2+H469*Prislapp!$H$2+I469*Prislapp!$I$2+J469*Prislapp!$J$2+K469*Prislapp!$K$2+L469*Prislapp!$L$2+M469*Prislapp!$M$2+N469*Prislapp!$N$2</f>
        <v>21634</v>
      </c>
      <c r="P469" s="42">
        <f>C469*Prislapp!$C$3+D469*Prislapp!$D$3+E469*Prislapp!$E$3+F469*Prislapp!$F$3+G469*Prislapp!$G$3+H469*Prislapp!$H$3+I469*Prislapp!$I$3+J469*Prislapp!$J$3+K469*Prislapp!$K$3+M469*Prislapp!$M$3+N469*Prislapp!$N$3</f>
        <v>26986</v>
      </c>
      <c r="Q469" s="42">
        <f>C469*Prislapp!$C$5+D469*Prislapp!$D$5+E469*Prislapp!$E$5+F469*Prislapp!$F$5+G469*Prislapp!$G$5+H469*Prislapp!$H$5+I469*Prislapp!$I$5+J469*Prislapp!$J$5+K469*Prislapp!$K$5+L469*Prislapp!$L$5+M469*Prislapp!$M$5+N469*Prislapp!$N$5</f>
        <v>3400</v>
      </c>
      <c r="R469" s="9">
        <f>VLOOKUP(A469,'Ansvar kurs'!$A$2:$B$830,2,FALSE)</f>
        <v>5740</v>
      </c>
      <c r="S469" s="159"/>
      <c r="T469" s="159"/>
      <c r="U469" s="159"/>
      <c r="V469" s="159"/>
      <c r="W469" s="159"/>
      <c r="X469" s="159"/>
      <c r="Y469" s="159"/>
      <c r="Z469" s="159"/>
    </row>
    <row r="470" spans="1:26" x14ac:dyDescent="0.25">
      <c r="A470" s="265" t="s">
        <v>1048</v>
      </c>
      <c r="B470" s="31" t="s">
        <v>1211</v>
      </c>
      <c r="K470" s="31">
        <v>1</v>
      </c>
      <c r="O470" s="42">
        <f>C470*Prislapp!$C$2+D470*Prislapp!$D$2+E470*Prislapp!$E$2+F470*Prislapp!$F$2+G470*Prislapp!$G$2+H470*Prislapp!$H$2+I470*Prislapp!$I$2+J470*Prislapp!$J$2+K470*Prislapp!$K$2+L470*Prislapp!$L$2+M470*Prislapp!$M$2+N470*Prislapp!$N$2</f>
        <v>21634</v>
      </c>
      <c r="P470" s="42">
        <f>C470*Prislapp!$C$3+D470*Prislapp!$D$3+E470*Prislapp!$E$3+F470*Prislapp!$F$3+G470*Prislapp!$G$3+H470*Prislapp!$H$3+I470*Prislapp!$I$3+J470*Prislapp!$J$3+K470*Prislapp!$K$3+M470*Prislapp!$M$3+N470*Prislapp!$N$3</f>
        <v>26986</v>
      </c>
      <c r="Q470" s="42">
        <f>C470*Prislapp!$C$5+D470*Prislapp!$D$5+E470*Prislapp!$E$5+F470*Prislapp!$F$5+G470*Prislapp!$G$5+H470*Prislapp!$H$5+I470*Prislapp!$I$5+J470*Prislapp!$J$5+K470*Prislapp!$K$5+L470*Prislapp!$L$5+M470*Prislapp!$M$5+N470*Prislapp!$N$5</f>
        <v>3400</v>
      </c>
      <c r="R470" s="9">
        <f>VLOOKUP(A470,'Ansvar kurs'!$A$2:$B$830,2,FALSE)</f>
        <v>5740</v>
      </c>
      <c r="S470" s="159"/>
      <c r="T470" s="159"/>
      <c r="U470" s="159"/>
      <c r="V470" s="159"/>
      <c r="W470" s="159"/>
      <c r="X470" s="159"/>
      <c r="Y470" s="159"/>
      <c r="Z470" s="159"/>
    </row>
    <row r="471" spans="1:26" x14ac:dyDescent="0.25">
      <c r="A471" s="265" t="s">
        <v>993</v>
      </c>
      <c r="B471" s="31" t="s">
        <v>1212</v>
      </c>
      <c r="F471" s="31">
        <v>1</v>
      </c>
      <c r="O471" s="42">
        <f>C471*Prislapp!$C$2+D471*Prislapp!$D$2+E471*Prislapp!$E$2+F471*Prislapp!$F$2+G471*Prislapp!$G$2+H471*Prislapp!$H$2+I471*Prislapp!$I$2+J471*Prislapp!$J$2+K471*Prislapp!$K$2+L471*Prislapp!$L$2+M471*Prislapp!$M$2+N471*Prislapp!$N$2</f>
        <v>23641</v>
      </c>
      <c r="P471" s="42">
        <f>C471*Prislapp!$C$3+D471*Prislapp!$D$3+E471*Prislapp!$E$3+F471*Prislapp!$F$3+G471*Prislapp!$G$3+H471*Prislapp!$H$3+I471*Prislapp!$I$3+J471*Prislapp!$J$3+K471*Prislapp!$K$3+M471*Prislapp!$M$3+N471*Prislapp!$N$3</f>
        <v>28786</v>
      </c>
      <c r="Q471" s="42">
        <f>C471*Prislapp!$C$5+D471*Prislapp!$D$5+E471*Prislapp!$E$5+F471*Prislapp!$F$5+G471*Prislapp!$G$5+H471*Prislapp!$H$5+I471*Prislapp!$I$5+J471*Prislapp!$J$5+K471*Prislapp!$K$5+L471*Prislapp!$L$5+M471*Prislapp!$M$5+N471*Prislapp!$N$5</f>
        <v>5800</v>
      </c>
      <c r="R471" s="9">
        <f>VLOOKUP(A471,'Ansvar kurs'!$A$2:$B$830,2,FALSE)</f>
        <v>5740</v>
      </c>
      <c r="S471" s="159" t="s">
        <v>940</v>
      </c>
      <c r="T471" s="159" t="s">
        <v>994</v>
      </c>
      <c r="U471" s="159"/>
      <c r="V471" s="159"/>
      <c r="W471" s="159"/>
      <c r="X471" s="159"/>
      <c r="Y471" s="159"/>
      <c r="Z471" s="159"/>
    </row>
    <row r="472" spans="1:26" x14ac:dyDescent="0.25">
      <c r="A472" s="265" t="s">
        <v>996</v>
      </c>
      <c r="B472" s="31" t="s">
        <v>1213</v>
      </c>
      <c r="F472" s="31">
        <v>1</v>
      </c>
      <c r="O472" s="42">
        <f>C472*Prislapp!$C$2+D472*Prislapp!$D$2+E472*Prislapp!$E$2+F472*Prislapp!$F$2+G472*Prislapp!$G$2+H472*Prislapp!$H$2+I472*Prislapp!$I$2+J472*Prislapp!$J$2+K472*Prislapp!$K$2+L472*Prislapp!$L$2+M472*Prislapp!$M$2+N472*Prislapp!$N$2</f>
        <v>23641</v>
      </c>
      <c r="P472" s="42">
        <f>C472*Prislapp!$C$3+D472*Prislapp!$D$3+E472*Prislapp!$E$3+F472*Prislapp!$F$3+G472*Prislapp!$G$3+H472*Prislapp!$H$3+I472*Prislapp!$I$3+J472*Prislapp!$J$3+K472*Prislapp!$K$3+M472*Prislapp!$M$3+N472*Prislapp!$N$3</f>
        <v>28786</v>
      </c>
      <c r="Q472" s="42">
        <f>C472*Prislapp!$C$5+D472*Prislapp!$D$5+E472*Prislapp!$E$5+F472*Prislapp!$F$5+G472*Prislapp!$G$5+H472*Prislapp!$H$5+I472*Prislapp!$I$5+J472*Prislapp!$J$5+K472*Prislapp!$K$5+L472*Prislapp!$L$5+M472*Prislapp!$M$5+N472*Prislapp!$N$5</f>
        <v>5800</v>
      </c>
      <c r="R472" s="9">
        <f>VLOOKUP(A472,'Ansvar kurs'!$A$2:$B$830,2,FALSE)</f>
        <v>5740</v>
      </c>
      <c r="S472" s="159" t="s">
        <v>940</v>
      </c>
      <c r="T472" s="159" t="s">
        <v>995</v>
      </c>
      <c r="U472" s="159"/>
      <c r="V472" s="159"/>
      <c r="W472" s="159"/>
      <c r="X472" s="159"/>
      <c r="Y472" s="159"/>
      <c r="Z472" s="159"/>
    </row>
    <row r="473" spans="1:26" x14ac:dyDescent="0.25">
      <c r="A473" s="265" t="s">
        <v>1006</v>
      </c>
      <c r="B473" s="31" t="s">
        <v>1214</v>
      </c>
      <c r="F473" s="31">
        <v>1</v>
      </c>
      <c r="O473" s="42">
        <f>C473*Prislapp!$C$2+D473*Prislapp!$D$2+E473*Prislapp!$E$2+F473*Prislapp!$F$2+G473*Prislapp!$G$2+H473*Prislapp!$H$2+I473*Prislapp!$I$2+J473*Prislapp!$J$2+K473*Prislapp!$K$2+L473*Prislapp!$L$2+M473*Prislapp!$M$2+N473*Prislapp!$N$2</f>
        <v>23641</v>
      </c>
      <c r="P473" s="42">
        <f>C473*Prislapp!$C$3+D473*Prislapp!$D$3+E473*Prislapp!$E$3+F473*Prislapp!$F$3+G473*Prislapp!$G$3+H473*Prislapp!$H$3+I473*Prislapp!$I$3+J473*Prislapp!$J$3+K473*Prislapp!$K$3+M473*Prislapp!$M$3+N473*Prislapp!$N$3</f>
        <v>28786</v>
      </c>
      <c r="Q473" s="42">
        <f>C473*Prislapp!$C$5+D473*Prislapp!$D$5+E473*Prislapp!$E$5+F473*Prislapp!$F$5+G473*Prislapp!$G$5+H473*Prislapp!$H$5+I473*Prislapp!$I$5+J473*Prislapp!$J$5+K473*Prislapp!$K$5+L473*Prislapp!$L$5+M473*Prislapp!$M$5+N473*Prislapp!$N$5</f>
        <v>5800</v>
      </c>
      <c r="R473" s="9">
        <f>VLOOKUP(A473,'Ansvar kurs'!$A$2:$B$830,2,FALSE)</f>
        <v>2193</v>
      </c>
      <c r="S473" s="159" t="s">
        <v>940</v>
      </c>
      <c r="T473" s="159" t="s">
        <v>1010</v>
      </c>
      <c r="U473" s="159"/>
      <c r="V473" s="159"/>
      <c r="W473" s="159"/>
      <c r="X473" s="159"/>
      <c r="Y473" s="159"/>
      <c r="Z473" s="159"/>
    </row>
    <row r="474" spans="1:26" x14ac:dyDescent="0.25">
      <c r="A474" s="265" t="s">
        <v>1007</v>
      </c>
      <c r="B474" s="31" t="s">
        <v>1215</v>
      </c>
      <c r="F474" s="31">
        <v>1</v>
      </c>
      <c r="O474" s="42">
        <f>C474*Prislapp!$C$2+D474*Prislapp!$D$2+E474*Prislapp!$E$2+F474*Prislapp!$F$2+G474*Prislapp!$G$2+H474*Prislapp!$H$2+I474*Prislapp!$I$2+J474*Prislapp!$J$2+K474*Prislapp!$K$2+L474*Prislapp!$L$2+M474*Prislapp!$M$2+N474*Prislapp!$N$2</f>
        <v>23641</v>
      </c>
      <c r="P474" s="42">
        <f>C474*Prislapp!$C$3+D474*Prislapp!$D$3+E474*Prislapp!$E$3+F474*Prislapp!$F$3+G474*Prislapp!$G$3+H474*Prislapp!$H$3+I474*Prislapp!$I$3+J474*Prislapp!$J$3+K474*Prislapp!$K$3+M474*Prislapp!$M$3+N474*Prislapp!$N$3</f>
        <v>28786</v>
      </c>
      <c r="Q474" s="42">
        <f>C474*Prislapp!$C$5+D474*Prislapp!$D$5+E474*Prislapp!$E$5+F474*Prislapp!$F$5+G474*Prislapp!$G$5+H474*Prislapp!$H$5+I474*Prislapp!$I$5+J474*Prislapp!$J$5+K474*Prislapp!$K$5+L474*Prislapp!$L$5+M474*Prislapp!$M$5+N474*Prislapp!$N$5</f>
        <v>5800</v>
      </c>
      <c r="R474" s="9">
        <f>VLOOKUP(A474,'Ansvar kurs'!$A$2:$B$830,2,FALSE)</f>
        <v>2193</v>
      </c>
      <c r="S474" s="159" t="s">
        <v>940</v>
      </c>
      <c r="T474" s="159" t="s">
        <v>1011</v>
      </c>
      <c r="U474" s="159"/>
      <c r="V474" s="159"/>
      <c r="W474" s="159"/>
      <c r="X474" s="159"/>
      <c r="Y474" s="159"/>
      <c r="Z474" s="159"/>
    </row>
    <row r="475" spans="1:26" x14ac:dyDescent="0.25">
      <c r="A475" s="265" t="s">
        <v>1008</v>
      </c>
      <c r="B475" s="31" t="s">
        <v>1216</v>
      </c>
      <c r="F475" s="31">
        <v>1</v>
      </c>
      <c r="O475" s="42">
        <f>C475*Prislapp!$C$2+D475*Prislapp!$D$2+E475*Prislapp!$E$2+F475*Prislapp!$F$2+G475*Prislapp!$G$2+H475*Prislapp!$H$2+I475*Prislapp!$I$2+J475*Prislapp!$J$2+K475*Prislapp!$K$2+L475*Prislapp!$L$2+M475*Prislapp!$M$2+N475*Prislapp!$N$2</f>
        <v>23641</v>
      </c>
      <c r="P475" s="42">
        <f>C475*Prislapp!$C$3+D475*Prislapp!$D$3+E475*Prislapp!$E$3+F475*Prislapp!$F$3+G475*Prislapp!$G$3+H475*Prislapp!$H$3+I475*Prislapp!$I$3+J475*Prislapp!$J$3+K475*Prislapp!$K$3+M475*Prislapp!$M$3+N475*Prislapp!$N$3</f>
        <v>28786</v>
      </c>
      <c r="Q475" s="42">
        <f>C475*Prislapp!$C$5+D475*Prislapp!$D$5+E475*Prislapp!$E$5+F475*Prislapp!$F$5+G475*Prislapp!$G$5+H475*Prislapp!$H$5+I475*Prislapp!$I$5+J475*Prislapp!$J$5+K475*Prislapp!$K$5+L475*Prislapp!$L$5+M475*Prislapp!$M$5+N475*Prislapp!$N$5</f>
        <v>5800</v>
      </c>
      <c r="R475" s="9">
        <f>VLOOKUP(A475,'Ansvar kurs'!$A$2:$B$830,2,FALSE)</f>
        <v>2180</v>
      </c>
      <c r="S475" s="159" t="s">
        <v>940</v>
      </c>
      <c r="T475" s="159" t="s">
        <v>1012</v>
      </c>
      <c r="U475" s="159"/>
      <c r="V475" s="159"/>
      <c r="W475" s="159"/>
      <c r="X475" s="159"/>
      <c r="Y475" s="159"/>
      <c r="Z475" s="159"/>
    </row>
    <row r="476" spans="1:26" x14ac:dyDescent="0.25">
      <c r="A476" s="265" t="s">
        <v>1009</v>
      </c>
      <c r="B476" s="31" t="s">
        <v>1217</v>
      </c>
      <c r="F476" s="31">
        <v>1</v>
      </c>
      <c r="O476" s="42">
        <f>C476*Prislapp!$C$2+D476*Prislapp!$D$2+E476*Prislapp!$E$2+F476*Prislapp!$F$2+G476*Prislapp!$G$2+H476*Prislapp!$H$2+I476*Prislapp!$I$2+J476*Prislapp!$J$2+K476*Prislapp!$K$2+L476*Prislapp!$L$2+M476*Prislapp!$M$2+N476*Prislapp!$N$2</f>
        <v>23641</v>
      </c>
      <c r="P476" s="42">
        <f>C476*Prislapp!$C$3+D476*Prislapp!$D$3+E476*Prislapp!$E$3+F476*Prislapp!$F$3+G476*Prislapp!$G$3+H476*Prislapp!$H$3+I476*Prislapp!$I$3+J476*Prislapp!$J$3+K476*Prislapp!$K$3+M476*Prislapp!$M$3+N476*Prislapp!$N$3</f>
        <v>28786</v>
      </c>
      <c r="Q476" s="42">
        <f>C476*Prislapp!$C$5+D476*Prislapp!$D$5+E476*Prislapp!$E$5+F476*Prislapp!$F$5+G476*Prislapp!$G$5+H476*Prislapp!$H$5+I476*Prislapp!$I$5+J476*Prislapp!$J$5+K476*Prislapp!$K$5+L476*Prislapp!$L$5+M476*Prislapp!$M$5+N476*Prislapp!$N$5</f>
        <v>5800</v>
      </c>
      <c r="R476" s="9">
        <f>VLOOKUP(A476,'Ansvar kurs'!$A$2:$B$830,2,FALSE)</f>
        <v>2180</v>
      </c>
      <c r="S476" s="159" t="s">
        <v>940</v>
      </c>
      <c r="T476" s="159" t="s">
        <v>1013</v>
      </c>
      <c r="U476" s="159"/>
      <c r="V476" s="159"/>
      <c r="W476" s="159"/>
      <c r="X476" s="159"/>
      <c r="Y476" s="159"/>
      <c r="Z476" s="159"/>
    </row>
    <row r="477" spans="1:26" x14ac:dyDescent="0.25">
      <c r="A477" s="266" t="s">
        <v>1271</v>
      </c>
      <c r="B477" s="62" t="s">
        <v>1218</v>
      </c>
      <c r="H477" s="31">
        <v>1</v>
      </c>
      <c r="O477" s="42">
        <f>C477*Prislapp!$C$2+D477*Prislapp!$D$2+E477*Prislapp!$E$2+F477*Prislapp!$F$2+G477*Prislapp!$G$2+H477*Prislapp!$H$2+I477*Prislapp!$I$2+J477*Prislapp!$J$2+K477*Prislapp!$K$2+L477*Prislapp!$L$2+M477*Prislapp!$M$2+N477*Prislapp!$N$2</f>
        <v>19473</v>
      </c>
      <c r="P477" s="42">
        <f>C477*Prislapp!$C$3+D477*Prislapp!$D$3+E477*Prislapp!$E$3+F477*Prislapp!$F$3+G477*Prislapp!$G$3+H477*Prislapp!$H$3+I477*Prislapp!$I$3+J477*Prislapp!$J$3+K477*Prislapp!$K$3+M477*Prislapp!$M$3+N477*Prislapp!$N$3</f>
        <v>34806</v>
      </c>
      <c r="Q477" s="42">
        <f>C477*Prislapp!$C$5+D477*Prislapp!$D$5+E477*Prislapp!$E$5+F477*Prislapp!$F$5+G477*Prislapp!$G$5+H477*Prislapp!$H$5+I477*Prislapp!$I$5+J477*Prislapp!$J$5+K477*Prislapp!$K$5+L477*Prislapp!$L$5+M477*Prislapp!$M$5+N477*Prislapp!$N$5</f>
        <v>21800</v>
      </c>
      <c r="R477" s="9">
        <f>VLOOKUP(A477,'Ansvar kurs'!$A$2:$B$830,2,FALSE)</f>
        <v>5740</v>
      </c>
      <c r="S477" s="159"/>
      <c r="T477" s="159"/>
      <c r="U477" s="159"/>
      <c r="V477" s="159"/>
      <c r="W477" s="159"/>
      <c r="X477" s="159"/>
      <c r="Y477" s="159"/>
      <c r="Z477" s="159"/>
    </row>
    <row r="478" spans="1:26" x14ac:dyDescent="0.25">
      <c r="A478" s="266" t="s">
        <v>1327</v>
      </c>
      <c r="B478" t="s">
        <v>1121</v>
      </c>
      <c r="H478" s="31">
        <v>1</v>
      </c>
      <c r="O478" s="42">
        <f>C478*Prislapp!$C$2+D478*Prislapp!$D$2+E478*Prislapp!$E$2+F478*Prislapp!$F$2+G478*Prislapp!$G$2+H478*Prislapp!$H$2+I478*Prislapp!$I$2+J478*Prislapp!$J$2+K478*Prislapp!$K$2+L478*Prislapp!$L$2+M478*Prislapp!$M$2+N478*Prislapp!$N$2</f>
        <v>19473</v>
      </c>
      <c r="P478" s="42">
        <f>C478*Prislapp!$C$3+D478*Prislapp!$D$3+E478*Prislapp!$E$3+F478*Prislapp!$F$3+G478*Prislapp!$G$3+H478*Prislapp!$H$3+I478*Prislapp!$I$3+J478*Prislapp!$J$3+K478*Prislapp!$K$3+M478*Prislapp!$M$3+N478*Prislapp!$N$3</f>
        <v>34806</v>
      </c>
      <c r="Q478" s="42">
        <f>C478*Prislapp!$C$5+D478*Prislapp!$D$5+E478*Prislapp!$E$5+F478*Prislapp!$F$5+G478*Prislapp!$G$5+H478*Prislapp!$H$5+I478*Prislapp!$I$5+J478*Prislapp!$J$5+K478*Prislapp!$K$5+L478*Prislapp!$L$5+M478*Prislapp!$M$5+N478*Prislapp!$N$5</f>
        <v>21800</v>
      </c>
      <c r="R478" s="9">
        <f>VLOOKUP(A478,'Ansvar kurs'!$A$2:$B$830,2,FALSE)</f>
        <v>5740</v>
      </c>
      <c r="S478" s="159"/>
    </row>
    <row r="479" spans="1:26" x14ac:dyDescent="0.25">
      <c r="A479" s="266" t="s">
        <v>1328</v>
      </c>
      <c r="B479" t="s">
        <v>1122</v>
      </c>
      <c r="H479" s="31">
        <v>1</v>
      </c>
      <c r="O479" s="42">
        <f>C479*Prislapp!$C$2+D479*Prislapp!$D$2+E479*Prislapp!$E$2+F479*Prislapp!$F$2+G479*Prislapp!$G$2+H479*Prislapp!$H$2+I479*Prislapp!$I$2+J479*Prislapp!$J$2+K479*Prislapp!$K$2+L479*Prislapp!$L$2+M479*Prislapp!$M$2+N479*Prislapp!$N$2</f>
        <v>19473</v>
      </c>
      <c r="P479" s="42">
        <f>C479*Prislapp!$C$3+D479*Prislapp!$D$3+E479*Prislapp!$E$3+F479*Prislapp!$F$3+G479*Prislapp!$G$3+H479*Prislapp!$H$3+I479*Prislapp!$I$3+J479*Prislapp!$J$3+K479*Prislapp!$K$3+M479*Prislapp!$M$3+N479*Prislapp!$N$3</f>
        <v>34806</v>
      </c>
      <c r="Q479" s="42">
        <f>C479*Prislapp!$C$5+D479*Prislapp!$D$5+E479*Prislapp!$E$5+F479*Prislapp!$F$5+G479*Prislapp!$G$5+H479*Prislapp!$H$5+I479*Prislapp!$I$5+J479*Prislapp!$J$5+K479*Prislapp!$K$5+L479*Prislapp!$L$5+M479*Prislapp!$M$5+N479*Prislapp!$N$5</f>
        <v>21800</v>
      </c>
      <c r="R479" s="9">
        <f>VLOOKUP(A479,'Ansvar kurs'!$A$2:$B$830,2,FALSE)</f>
        <v>5740</v>
      </c>
      <c r="S479" s="159"/>
    </row>
    <row r="480" spans="1:26" x14ac:dyDescent="0.25">
      <c r="A480" s="266" t="s">
        <v>1329</v>
      </c>
      <c r="B480" t="s">
        <v>1123</v>
      </c>
      <c r="H480" s="31">
        <v>1</v>
      </c>
      <c r="O480" s="42">
        <f>C480*Prislapp!$C$2+D480*Prislapp!$D$2+E480*Prislapp!$E$2+F480*Prislapp!$F$2+G480*Prislapp!$G$2+H480*Prislapp!$H$2+I480*Prislapp!$I$2+J480*Prislapp!$J$2+K480*Prislapp!$K$2+L480*Prislapp!$L$2+M480*Prislapp!$M$2+N480*Prislapp!$N$2</f>
        <v>19473</v>
      </c>
      <c r="P480" s="42">
        <f>C480*Prislapp!$C$3+D480*Prislapp!$D$3+E480*Prislapp!$E$3+F480*Prislapp!$F$3+G480*Prislapp!$G$3+H480*Prislapp!$H$3+I480*Prislapp!$I$3+J480*Prislapp!$J$3+K480*Prislapp!$K$3+M480*Prislapp!$M$3+N480*Prislapp!$N$3</f>
        <v>34806</v>
      </c>
      <c r="Q480" s="42">
        <f>C480*Prislapp!$C$5+D480*Prislapp!$D$5+E480*Prislapp!$E$5+F480*Prislapp!$F$5+G480*Prislapp!$G$5+H480*Prislapp!$H$5+I480*Prislapp!$I$5+J480*Prislapp!$J$5+K480*Prislapp!$K$5+L480*Prislapp!$L$5+M480*Prislapp!$M$5+N480*Prislapp!$N$5</f>
        <v>21800</v>
      </c>
      <c r="R480" s="9">
        <f>VLOOKUP(A480,'Ansvar kurs'!$A$2:$B$830,2,FALSE)</f>
        <v>5740</v>
      </c>
      <c r="S480" s="159"/>
    </row>
    <row r="481" spans="1:26" x14ac:dyDescent="0.25">
      <c r="A481" s="266" t="s">
        <v>1330</v>
      </c>
      <c r="B481" t="s">
        <v>1155</v>
      </c>
      <c r="H481" s="31">
        <v>1</v>
      </c>
      <c r="O481" s="42">
        <f>C481*Prislapp!$C$2+D481*Prislapp!$D$2+E481*Prislapp!$E$2+F481*Prislapp!$F$2+G481*Prislapp!$G$2+H481*Prislapp!$H$2+I481*Prislapp!$I$2+J481*Prislapp!$J$2+K481*Prislapp!$K$2+L481*Prislapp!$L$2+M481*Prislapp!$M$2+N481*Prislapp!$N$2</f>
        <v>19473</v>
      </c>
      <c r="P481" s="42">
        <f>C481*Prislapp!$C$3+D481*Prislapp!$D$3+E481*Prislapp!$E$3+F481*Prislapp!$F$3+G481*Prislapp!$G$3+H481*Prislapp!$H$3+I481*Prislapp!$I$3+J481*Prislapp!$J$3+K481*Prislapp!$K$3+M481*Prislapp!$M$3+N481*Prislapp!$N$3</f>
        <v>34806</v>
      </c>
      <c r="Q481" s="42">
        <f>C481*Prislapp!$C$5+D481*Prislapp!$D$5+E481*Prislapp!$E$5+F481*Prislapp!$F$5+G481*Prislapp!$G$5+H481*Prislapp!$H$5+I481*Prislapp!$I$5+J481*Prislapp!$J$5+K481*Prislapp!$K$5+L481*Prislapp!$L$5+M481*Prislapp!$M$5+N481*Prislapp!$N$5</f>
        <v>21800</v>
      </c>
      <c r="R481" s="9">
        <f>VLOOKUP(A481,'Ansvar kurs'!$A$2:$B$830,2,FALSE)</f>
        <v>5740</v>
      </c>
      <c r="S481" s="159"/>
    </row>
    <row r="482" spans="1:26" x14ac:dyDescent="0.25">
      <c r="A482" s="266" t="s">
        <v>1331</v>
      </c>
      <c r="B482" t="s">
        <v>1156</v>
      </c>
      <c r="H482" s="31">
        <v>1</v>
      </c>
      <c r="O482" s="42">
        <f>C482*Prislapp!$C$2+D482*Prislapp!$D$2+E482*Prislapp!$E$2+F482*Prislapp!$F$2+G482*Prislapp!$G$2+H482*Prislapp!$H$2+I482*Prislapp!$I$2+J482*Prislapp!$J$2+K482*Prislapp!$K$2+L482*Prislapp!$L$2+M482*Prislapp!$M$2+N482*Prislapp!$N$2</f>
        <v>19473</v>
      </c>
      <c r="P482" s="42">
        <f>C482*Prislapp!$C$3+D482*Prislapp!$D$3+E482*Prislapp!$E$3+F482*Prislapp!$F$3+G482*Prislapp!$G$3+H482*Prislapp!$H$3+I482*Prislapp!$I$3+J482*Prislapp!$J$3+K482*Prislapp!$K$3+M482*Prislapp!$M$3+N482*Prislapp!$N$3</f>
        <v>34806</v>
      </c>
      <c r="Q482" s="42">
        <f>C482*Prislapp!$C$5+D482*Prislapp!$D$5+E482*Prislapp!$E$5+F482*Prislapp!$F$5+G482*Prislapp!$G$5+H482*Prislapp!$H$5+I482*Prislapp!$I$5+J482*Prislapp!$J$5+K482*Prislapp!$K$5+L482*Prislapp!$L$5+M482*Prislapp!$M$5+N482*Prislapp!$N$5</f>
        <v>21800</v>
      </c>
      <c r="R482" s="9">
        <f>VLOOKUP(A482,'Ansvar kurs'!$A$2:$B$830,2,FALSE)</f>
        <v>5740</v>
      </c>
      <c r="S482" s="159"/>
    </row>
    <row r="483" spans="1:26" x14ac:dyDescent="0.25">
      <c r="A483" s="266" t="s">
        <v>1332</v>
      </c>
      <c r="B483" t="s">
        <v>1157</v>
      </c>
      <c r="H483" s="31">
        <v>1</v>
      </c>
      <c r="O483" s="42">
        <f>C483*Prislapp!$C$2+D483*Prislapp!$D$2+E483*Prislapp!$E$2+F483*Prislapp!$F$2+G483*Prislapp!$G$2+H483*Prislapp!$H$2+I483*Prislapp!$I$2+J483*Prislapp!$J$2+K483*Prislapp!$K$2+L483*Prislapp!$L$2+M483*Prislapp!$M$2+N483*Prislapp!$N$2</f>
        <v>19473</v>
      </c>
      <c r="P483" s="42">
        <f>C483*Prislapp!$C$3+D483*Prislapp!$D$3+E483*Prislapp!$E$3+F483*Prislapp!$F$3+G483*Prislapp!$G$3+H483*Prislapp!$H$3+I483*Prislapp!$I$3+J483*Prislapp!$J$3+K483*Prislapp!$K$3+M483*Prislapp!$M$3+N483*Prislapp!$N$3</f>
        <v>34806</v>
      </c>
      <c r="Q483" s="42">
        <f>C483*Prislapp!$C$5+D483*Prislapp!$D$5+E483*Prislapp!$E$5+F483*Prislapp!$F$5+G483*Prislapp!$G$5+H483*Prislapp!$H$5+I483*Prislapp!$I$5+J483*Prislapp!$J$5+K483*Prislapp!$K$5+L483*Prislapp!$L$5+M483*Prislapp!$M$5+N483*Prislapp!$N$5</f>
        <v>21800</v>
      </c>
      <c r="R483" s="9">
        <f>VLOOKUP(A483,'Ansvar kurs'!$A$2:$B$830,2,FALSE)</f>
        <v>5740</v>
      </c>
      <c r="S483" s="159"/>
    </row>
    <row r="484" spans="1:26" x14ac:dyDescent="0.25">
      <c r="A484" s="266" t="s">
        <v>1333</v>
      </c>
      <c r="B484" t="s">
        <v>1158</v>
      </c>
      <c r="H484" s="31">
        <v>1</v>
      </c>
      <c r="O484" s="42">
        <f>C484*Prislapp!$C$2+D484*Prislapp!$D$2+E484*Prislapp!$E$2+F484*Prislapp!$F$2+G484*Prislapp!$G$2+H484*Prislapp!$H$2+I484*Prislapp!$I$2+J484*Prislapp!$J$2+K484*Prislapp!$K$2+L484*Prislapp!$L$2+M484*Prislapp!$M$2+N484*Prislapp!$N$2</f>
        <v>19473</v>
      </c>
      <c r="P484" s="42">
        <f>C484*Prislapp!$C$3+D484*Prislapp!$D$3+E484*Prislapp!$E$3+F484*Prislapp!$F$3+G484*Prislapp!$G$3+H484*Prislapp!$H$3+I484*Prislapp!$I$3+J484*Prislapp!$J$3+K484*Prislapp!$K$3+M484*Prislapp!$M$3+N484*Prislapp!$N$3</f>
        <v>34806</v>
      </c>
      <c r="Q484" s="42">
        <f>C484*Prislapp!$C$5+D484*Prislapp!$D$5+E484*Prislapp!$E$5+F484*Prislapp!$F$5+G484*Prislapp!$G$5+H484*Prislapp!$H$5+I484*Prislapp!$I$5+J484*Prislapp!$J$5+K484*Prislapp!$K$5+L484*Prislapp!$L$5+M484*Prislapp!$M$5+N484*Prislapp!$N$5</f>
        <v>21800</v>
      </c>
      <c r="R484" s="9">
        <f>VLOOKUP(A484,'Ansvar kurs'!$A$2:$B$830,2,FALSE)</f>
        <v>5740</v>
      </c>
      <c r="S484" s="159"/>
    </row>
    <row r="485" spans="1:26" x14ac:dyDescent="0.25">
      <c r="A485" s="266" t="s">
        <v>1334</v>
      </c>
      <c r="B485" t="s">
        <v>1159</v>
      </c>
      <c r="H485" s="31">
        <v>1</v>
      </c>
      <c r="O485" s="42">
        <f>C485*Prislapp!$C$2+D485*Prislapp!$D$2+E485*Prislapp!$E$2+F485*Prislapp!$F$2+G485*Prislapp!$G$2+H485*Prislapp!$H$2+I485*Prislapp!$I$2+J485*Prislapp!$J$2+K485*Prislapp!$K$2+L485*Prislapp!$L$2+M485*Prislapp!$M$2+N485*Prislapp!$N$2</f>
        <v>19473</v>
      </c>
      <c r="P485" s="42">
        <f>C485*Prislapp!$C$3+D485*Prislapp!$D$3+E485*Prislapp!$E$3+F485*Prislapp!$F$3+G485*Prislapp!$G$3+H485*Prislapp!$H$3+I485*Prislapp!$I$3+J485*Prislapp!$J$3+K485*Prislapp!$K$3+M485*Prislapp!$M$3+N485*Prislapp!$N$3</f>
        <v>34806</v>
      </c>
      <c r="Q485" s="42">
        <f>C485*Prislapp!$C$5+D485*Prislapp!$D$5+E485*Prislapp!$E$5+F485*Prislapp!$F$5+G485*Prislapp!$G$5+H485*Prislapp!$H$5+I485*Prislapp!$I$5+J485*Prislapp!$J$5+K485*Prislapp!$K$5+L485*Prislapp!$L$5+M485*Prislapp!$M$5+N485*Prislapp!$N$5</f>
        <v>21800</v>
      </c>
      <c r="R485" s="9">
        <f>VLOOKUP(A485,'Ansvar kurs'!$A$2:$B$830,2,FALSE)</f>
        <v>5740</v>
      </c>
      <c r="S485" s="159"/>
    </row>
    <row r="486" spans="1:26" x14ac:dyDescent="0.25">
      <c r="A486" s="266" t="s">
        <v>1335</v>
      </c>
      <c r="B486" t="s">
        <v>1160</v>
      </c>
      <c r="H486" s="31">
        <v>1</v>
      </c>
      <c r="O486" s="42">
        <f>C486*Prislapp!$C$2+D486*Prislapp!$D$2+E486*Prislapp!$E$2+F486*Prislapp!$F$2+G486*Prislapp!$G$2+H486*Prislapp!$H$2+I486*Prislapp!$I$2+J486*Prislapp!$J$2+K486*Prislapp!$K$2+L486*Prislapp!$L$2+M486*Prislapp!$M$2+N486*Prislapp!$N$2</f>
        <v>19473</v>
      </c>
      <c r="P486" s="42">
        <f>C486*Prislapp!$C$3+D486*Prislapp!$D$3+E486*Prislapp!$E$3+F486*Prislapp!$F$3+G486*Prislapp!$G$3+H486*Prislapp!$H$3+I486*Prislapp!$I$3+J486*Prislapp!$J$3+K486*Prislapp!$K$3+M486*Prislapp!$M$3+N486*Prislapp!$N$3</f>
        <v>34806</v>
      </c>
      <c r="Q486" s="42">
        <f>C486*Prislapp!$C$5+D486*Prislapp!$D$5+E486*Prislapp!$E$5+F486*Prislapp!$F$5+G486*Prislapp!$G$5+H486*Prislapp!$H$5+I486*Prislapp!$I$5+J486*Prislapp!$J$5+K486*Prislapp!$K$5+L486*Prislapp!$L$5+M486*Prislapp!$M$5+N486*Prislapp!$N$5</f>
        <v>21800</v>
      </c>
      <c r="R486" s="9">
        <f>VLOOKUP(A486,'Ansvar kurs'!$A$2:$B$830,2,FALSE)</f>
        <v>5740</v>
      </c>
      <c r="S486" s="159"/>
    </row>
    <row r="487" spans="1:26" x14ac:dyDescent="0.25">
      <c r="A487" s="265" t="s">
        <v>1108</v>
      </c>
      <c r="B487" s="31" t="s">
        <v>762</v>
      </c>
      <c r="F487" s="31">
        <v>1</v>
      </c>
      <c r="O487" s="42">
        <f>C487*Prislapp!$C$2+D487*Prislapp!$D$2+E487*Prislapp!$E$2+F487*Prislapp!$F$2+G487*Prislapp!$G$2+H487*Prislapp!$H$2+I487*Prislapp!$I$2+J487*Prislapp!$J$2+K487*Prislapp!$K$2+L487*Prislapp!$L$2+M487*Prislapp!$M$2+N487*Prislapp!$N$2</f>
        <v>23641</v>
      </c>
      <c r="P487" s="42">
        <f>C487*Prislapp!$C$3+D487*Prislapp!$D$3+E487*Prislapp!$E$3+F487*Prislapp!$F$3+G487*Prislapp!$G$3+H487*Prislapp!$H$3+I487*Prislapp!$I$3+J487*Prislapp!$J$3+K487*Prislapp!$K$3+M487*Prislapp!$M$3+N487*Prislapp!$N$3</f>
        <v>28786</v>
      </c>
      <c r="Q487" s="42">
        <f>C487*Prislapp!$C$5+D487*Prislapp!$D$5+E487*Prislapp!$E$5+F487*Prislapp!$F$5+G487*Prislapp!$G$5+H487*Prislapp!$H$5+I487*Prislapp!$I$5+J487*Prislapp!$J$5+K487*Prislapp!$K$5+L487*Prislapp!$L$5+M487*Prislapp!$M$5+N487*Prislapp!$N$5</f>
        <v>5800</v>
      </c>
      <c r="R487" s="9">
        <f>VLOOKUP(A487,'Ansvar kurs'!$A$2:$B$830,2,FALSE)</f>
        <v>2193</v>
      </c>
      <c r="S487" s="159" t="s">
        <v>1116</v>
      </c>
      <c r="T487" s="159" t="s">
        <v>940</v>
      </c>
    </row>
    <row r="488" spans="1:26" x14ac:dyDescent="0.25">
      <c r="A488" s="265" t="s">
        <v>1111</v>
      </c>
      <c r="B488" s="31" t="s">
        <v>1222</v>
      </c>
      <c r="K488" s="31">
        <v>1</v>
      </c>
      <c r="O488" s="42">
        <f>C488*Prislapp!$C$2+D488*Prislapp!$D$2+E488*Prislapp!$E$2+F488*Prislapp!$F$2+G488*Prislapp!$G$2+H488*Prislapp!$H$2+I488*Prislapp!$I$2+J488*Prislapp!$J$2+K488*Prislapp!$K$2+L488*Prislapp!$L$2+M488*Prislapp!$M$2+N488*Prislapp!$N$2</f>
        <v>21634</v>
      </c>
      <c r="P488" s="42">
        <f>C488*Prislapp!$C$3+D488*Prislapp!$D$3+E488*Prislapp!$E$3+F488*Prislapp!$F$3+G488*Prislapp!$G$3+H488*Prislapp!$H$3+I488*Prislapp!$I$3+J488*Prislapp!$J$3+K488*Prislapp!$K$3+M488*Prislapp!$M$3+N488*Prislapp!$N$3</f>
        <v>26986</v>
      </c>
      <c r="Q488" s="42">
        <f>C488*Prislapp!$C$5+D488*Prislapp!$D$5+E488*Prislapp!$E$5+F488*Prislapp!$F$5+G488*Prislapp!$G$5+H488*Prislapp!$H$5+I488*Prislapp!$I$5+J488*Prislapp!$J$5+K488*Prislapp!$K$5+L488*Prislapp!$L$5+M488*Prislapp!$M$5+N488*Prislapp!$N$5</f>
        <v>3400</v>
      </c>
      <c r="R488" s="9">
        <f>VLOOKUP(A488,'Ansvar kurs'!$A$2:$B$830,2,FALSE)</f>
        <v>2180</v>
      </c>
      <c r="S488" s="159" t="s">
        <v>1116</v>
      </c>
      <c r="T488" s="159" t="s">
        <v>940</v>
      </c>
      <c r="U488" s="159"/>
      <c r="V488" s="159"/>
      <c r="W488" s="159"/>
      <c r="X488" s="159"/>
      <c r="Y488" s="159"/>
      <c r="Z488" s="159"/>
    </row>
    <row r="489" spans="1:26" x14ac:dyDescent="0.25">
      <c r="A489" s="265" t="s">
        <v>1109</v>
      </c>
      <c r="B489" s="31" t="s">
        <v>1223</v>
      </c>
      <c r="K489" s="31">
        <v>1</v>
      </c>
      <c r="O489" s="42">
        <f>C489*Prislapp!$C$2+D489*Prislapp!$D$2+E489*Prislapp!$E$2+F489*Prislapp!$F$2+G489*Prislapp!$G$2+H489*Prislapp!$H$2+I489*Prislapp!$I$2+J489*Prislapp!$J$2+K489*Prislapp!$K$2+L489*Prislapp!$L$2+M489*Prislapp!$M$2+N489*Prislapp!$N$2</f>
        <v>21634</v>
      </c>
      <c r="P489" s="42">
        <f>C489*Prislapp!$C$3+D489*Prislapp!$D$3+E489*Prislapp!$E$3+F489*Prislapp!$F$3+G489*Prislapp!$G$3+H489*Prislapp!$H$3+I489*Prislapp!$I$3+J489*Prislapp!$J$3+K489*Prislapp!$K$3+M489*Prislapp!$M$3+N489*Prislapp!$N$3</f>
        <v>26986</v>
      </c>
      <c r="Q489" s="42">
        <f>C489*Prislapp!$C$5+D489*Prislapp!$D$5+E489*Prislapp!$E$5+F489*Prislapp!$F$5+G489*Prislapp!$G$5+H489*Prislapp!$H$5+I489*Prislapp!$I$5+J489*Prislapp!$J$5+K489*Prislapp!$K$5+L489*Prislapp!$L$5+M489*Prislapp!$M$5+N489*Prislapp!$N$5</f>
        <v>3400</v>
      </c>
      <c r="R489" s="9">
        <f>VLOOKUP(A489,'Ansvar kurs'!$A$2:$B$830,2,FALSE)</f>
        <v>5740</v>
      </c>
      <c r="S489" s="159" t="s">
        <v>1116</v>
      </c>
      <c r="T489" s="159" t="s">
        <v>940</v>
      </c>
    </row>
    <row r="490" spans="1:26" x14ac:dyDescent="0.25">
      <c r="A490" s="265" t="s">
        <v>1110</v>
      </c>
      <c r="B490" s="31" t="s">
        <v>1218</v>
      </c>
      <c r="F490" s="31">
        <v>1</v>
      </c>
      <c r="O490" s="42">
        <f>C490*Prislapp!$C$2+D490*Prislapp!$D$2+E490*Prislapp!$E$2+F490*Prislapp!$F$2+G490*Prislapp!$G$2+H490*Prislapp!$H$2+I490*Prislapp!$I$2+J490*Prislapp!$J$2+K490*Prislapp!$K$2+L490*Prislapp!$L$2+M490*Prislapp!$M$2+N490*Prislapp!$N$2</f>
        <v>23641</v>
      </c>
      <c r="P490" s="42">
        <f>C490*Prislapp!$C$3+D490*Prislapp!$D$3+E490*Prislapp!$E$3+F490*Prislapp!$F$3+G490*Prislapp!$G$3+H490*Prislapp!$H$3+I490*Prislapp!$I$3+J490*Prislapp!$J$3+K490*Prislapp!$K$3+M490*Prislapp!$M$3+N490*Prislapp!$N$3</f>
        <v>28786</v>
      </c>
      <c r="Q490" s="42">
        <f>C490*Prislapp!$C$5+D490*Prislapp!$D$5+E490*Prislapp!$E$5+F490*Prislapp!$F$5+G490*Prislapp!$G$5+H490*Prislapp!$H$5+I490*Prislapp!$I$5+J490*Prislapp!$J$5+K490*Prislapp!$K$5+L490*Prislapp!$L$5+M490*Prislapp!$M$5+N490*Prislapp!$N$5</f>
        <v>5800</v>
      </c>
      <c r="R490" s="9">
        <f>VLOOKUP(A490,'Ansvar kurs'!$A$2:$B$830,2,FALSE)</f>
        <v>5740</v>
      </c>
      <c r="S490" s="159" t="s">
        <v>1116</v>
      </c>
      <c r="T490" s="159" t="s">
        <v>940</v>
      </c>
    </row>
    <row r="491" spans="1:26" x14ac:dyDescent="0.25">
      <c r="A491" s="265" t="s">
        <v>1124</v>
      </c>
      <c r="B491" s="31" t="s">
        <v>1225</v>
      </c>
      <c r="H491" s="31">
        <v>1</v>
      </c>
      <c r="O491" s="42">
        <f>C491*Prislapp!$C$2+D491*Prislapp!$D$2+E491*Prislapp!$E$2+F491*Prislapp!$F$2+G491*Prislapp!$G$2+H491*Prislapp!$H$2+I491*Prislapp!$I$2+J491*Prislapp!$J$2+K491*Prislapp!$K$2+L491*Prislapp!$L$2+M491*Prislapp!$M$2+N491*Prislapp!$N$2</f>
        <v>19473</v>
      </c>
      <c r="P491" s="42">
        <f>C491*Prislapp!$C$3+D491*Prislapp!$D$3+E491*Prislapp!$E$3+F491*Prislapp!$F$3+G491*Prislapp!$G$3+H491*Prislapp!$H$3+I491*Prislapp!$I$3+J491*Prislapp!$J$3+K491*Prislapp!$K$3+M491*Prislapp!$M$3+N491*Prislapp!$N$3</f>
        <v>34806</v>
      </c>
      <c r="Q491" s="42">
        <f>C491*Prislapp!$C$5+D491*Prislapp!$D$5+E491*Prislapp!$E$5+F491*Prislapp!$F$5+G491*Prislapp!$G$5+H491*Prislapp!$H$5+I491*Prislapp!$I$5+J491*Prislapp!$J$5+K491*Prislapp!$K$5+L491*Prislapp!$L$5+M491*Prislapp!$M$5+N491*Prislapp!$N$5</f>
        <v>21800</v>
      </c>
      <c r="R491" s="9">
        <f>VLOOKUP(A491,'Ansvar kurs'!$A$2:$B$830,2,FALSE)</f>
        <v>5740</v>
      </c>
      <c r="S491" s="159" t="s">
        <v>1116</v>
      </c>
      <c r="T491" s="159"/>
    </row>
    <row r="492" spans="1:26" x14ac:dyDescent="0.25">
      <c r="A492" s="265" t="s">
        <v>1112</v>
      </c>
      <c r="B492" s="31" t="s">
        <v>1226</v>
      </c>
      <c r="I492" s="31">
        <v>1</v>
      </c>
      <c r="O492" s="42">
        <f>C492*Prislapp!$C$2+D492*Prislapp!$D$2+E492*Prislapp!$E$2+F492*Prislapp!$F$2+G492*Prislapp!$G$2+H492*Prislapp!$H$2+I492*Prislapp!$I$2+J492*Prislapp!$J$2+K492*Prislapp!$K$2+L492*Prislapp!$L$2+M492*Prislapp!$M$2+N492*Prislapp!$N$2</f>
        <v>18405</v>
      </c>
      <c r="P492" s="42">
        <f>C492*Prislapp!$C$3+D492*Prislapp!$D$3+E492*Prislapp!$E$3+F492*Prislapp!$F$3+G492*Prislapp!$G$3+H492*Prislapp!$H$3+I492*Prislapp!$I$3+J492*Prislapp!$J$3+K492*Prislapp!$K$3+M492*Prislapp!$M$3+N492*Prislapp!$N$3</f>
        <v>15773</v>
      </c>
      <c r="Q492" s="42">
        <f>C492*Prislapp!$C$5+D492*Prislapp!$D$5+E492*Prislapp!$E$5+F492*Prislapp!$F$5+G492*Prislapp!$G$5+H492*Prislapp!$H$5+I492*Prislapp!$I$5+J492*Prislapp!$J$5+K492*Prislapp!$K$5+L492*Prislapp!$L$5+M492*Prislapp!$M$5+N492*Prislapp!$N$5</f>
        <v>5800</v>
      </c>
      <c r="R492" s="9">
        <f>VLOOKUP(A492,'Ansvar kurs'!$A$2:$B$830,2,FALSE)</f>
        <v>2193</v>
      </c>
      <c r="S492" s="159" t="s">
        <v>1116</v>
      </c>
    </row>
    <row r="493" spans="1:26" x14ac:dyDescent="0.25">
      <c r="A493" s="265" t="s">
        <v>1411</v>
      </c>
      <c r="B493" s="31" t="s">
        <v>1416</v>
      </c>
      <c r="F493" s="31">
        <v>1</v>
      </c>
      <c r="O493" s="42">
        <f>C493*Prislapp!$C$2+D493*Prislapp!$D$2+E493*Prislapp!$E$2+F493*Prislapp!$F$2+G493*Prislapp!$G$2+H493*Prislapp!$H$2+I493*Prislapp!$I$2+J493*Prislapp!$J$2+K493*Prislapp!$K$2+L493*Prislapp!$L$2+M493*Prislapp!$M$2+N493*Prislapp!$N$2</f>
        <v>23641</v>
      </c>
      <c r="P493" s="42">
        <f>C493*Prislapp!$C$3+D493*Prislapp!$D$3+E493*Prislapp!$E$3+F493*Prislapp!$F$3+G493*Prislapp!$G$3+H493*Prislapp!$H$3+I493*Prislapp!$I$3+J493*Prislapp!$J$3+K493*Prislapp!$K$3+M493*Prislapp!$M$3+N493*Prislapp!$N$3</f>
        <v>28786</v>
      </c>
      <c r="Q493" s="42">
        <f>C493*Prislapp!$C$5+D493*Prislapp!$D$5+E493*Prislapp!$E$5+F493*Prislapp!$F$5+G493*Prislapp!$G$5+H493*Prislapp!$H$5+I493*Prislapp!$I$5+J493*Prislapp!$J$5+K493*Prislapp!$K$5+L493*Prislapp!$L$5+M493*Prislapp!$M$5+N493*Prislapp!$N$5</f>
        <v>5800</v>
      </c>
      <c r="R493" s="9">
        <f>VLOOKUP(A493,'Ansvar kurs'!$A$2:$B$830,2,FALSE)</f>
        <v>2193</v>
      </c>
      <c r="S493" s="159"/>
    </row>
    <row r="494" spans="1:26" x14ac:dyDescent="0.25">
      <c r="A494" s="265" t="s">
        <v>1412</v>
      </c>
      <c r="B494" s="31" t="s">
        <v>1417</v>
      </c>
      <c r="F494" s="31">
        <v>1</v>
      </c>
      <c r="O494" s="42">
        <f>C494*Prislapp!$C$2+D494*Prislapp!$D$2+E494*Prislapp!$E$2+F494*Prislapp!$F$2+G494*Prislapp!$G$2+H494*Prislapp!$H$2+I494*Prislapp!$I$2+J494*Prislapp!$J$2+K494*Prislapp!$K$2+L494*Prislapp!$L$2+M494*Prislapp!$M$2+N494*Prislapp!$N$2</f>
        <v>23641</v>
      </c>
      <c r="P494" s="42">
        <f>C494*Prislapp!$C$3+D494*Prislapp!$D$3+E494*Prislapp!$E$3+F494*Prislapp!$F$3+G494*Prislapp!$G$3+H494*Prislapp!$H$3+I494*Prislapp!$I$3+J494*Prislapp!$J$3+K494*Prislapp!$K$3+M494*Prislapp!$M$3+N494*Prislapp!$N$3</f>
        <v>28786</v>
      </c>
      <c r="Q494" s="42">
        <f>C494*Prislapp!$C$5+D494*Prislapp!$D$5+E494*Prislapp!$E$5+F494*Prislapp!$F$5+G494*Prislapp!$G$5+H494*Prislapp!$H$5+I494*Prislapp!$I$5+J494*Prislapp!$J$5+K494*Prislapp!$K$5+L494*Prislapp!$L$5+M494*Prislapp!$M$5+N494*Prislapp!$N$5</f>
        <v>5800</v>
      </c>
      <c r="R494" s="9">
        <f>VLOOKUP(A494,'Ansvar kurs'!$A$2:$B$830,2,FALSE)</f>
        <v>2193</v>
      </c>
      <c r="S494" s="159"/>
    </row>
    <row r="495" spans="1:26" x14ac:dyDescent="0.25">
      <c r="A495" s="265" t="s">
        <v>1413</v>
      </c>
      <c r="B495" s="31" t="s">
        <v>1418</v>
      </c>
      <c r="F495" s="31">
        <v>1</v>
      </c>
      <c r="O495" s="42">
        <f>C495*Prislapp!$C$2+D495*Prislapp!$D$2+E495*Prislapp!$E$2+F495*Prislapp!$F$2+G495*Prislapp!$G$2+H495*Prislapp!$H$2+I495*Prislapp!$I$2+J495*Prislapp!$J$2+K495*Prislapp!$K$2+L495*Prislapp!$L$2+M495*Prislapp!$M$2+N495*Prislapp!$N$2</f>
        <v>23641</v>
      </c>
      <c r="P495" s="42">
        <f>C495*Prislapp!$C$3+D495*Prislapp!$D$3+E495*Prislapp!$E$3+F495*Prislapp!$F$3+G495*Prislapp!$G$3+H495*Prislapp!$H$3+I495*Prislapp!$I$3+J495*Prislapp!$J$3+K495*Prislapp!$K$3+M495*Prislapp!$M$3+N495*Prislapp!$N$3</f>
        <v>28786</v>
      </c>
      <c r="Q495" s="42">
        <f>C495*Prislapp!$C$5+D495*Prislapp!$D$5+E495*Prislapp!$E$5+F495*Prislapp!$F$5+G495*Prislapp!$G$5+H495*Prislapp!$H$5+I495*Prislapp!$I$5+J495*Prislapp!$J$5+K495*Prislapp!$K$5+L495*Prislapp!$L$5+M495*Prislapp!$M$5+N495*Prislapp!$N$5</f>
        <v>5800</v>
      </c>
      <c r="R495" s="9">
        <f>VLOOKUP(A495,'Ansvar kurs'!$A$2:$B$830,2,FALSE)</f>
        <v>2193</v>
      </c>
      <c r="S495" s="159"/>
    </row>
    <row r="496" spans="1:26" x14ac:dyDescent="0.25">
      <c r="A496" s="265" t="s">
        <v>1414</v>
      </c>
      <c r="B496" s="31" t="s">
        <v>1419</v>
      </c>
      <c r="F496" s="31">
        <v>1</v>
      </c>
      <c r="O496" s="42">
        <f>C496*Prislapp!$C$2+D496*Prislapp!$D$2+E496*Prislapp!$E$2+F496*Prislapp!$F$2+G496*Prislapp!$G$2+H496*Prislapp!$H$2+I496*Prislapp!$I$2+J496*Prislapp!$J$2+K496*Prislapp!$K$2+L496*Prislapp!$L$2+M496*Prislapp!$M$2+N496*Prislapp!$N$2</f>
        <v>23641</v>
      </c>
      <c r="P496" s="42">
        <f>C496*Prislapp!$C$3+D496*Prislapp!$D$3+E496*Prislapp!$E$3+F496*Prislapp!$F$3+G496*Prislapp!$G$3+H496*Prislapp!$H$3+I496*Prislapp!$I$3+J496*Prislapp!$J$3+K496*Prislapp!$K$3+M496*Prislapp!$M$3+N496*Prislapp!$N$3</f>
        <v>28786</v>
      </c>
      <c r="Q496" s="42">
        <f>C496*Prislapp!$C$5+D496*Prislapp!$D$5+E496*Prislapp!$E$5+F496*Prislapp!$F$5+G496*Prislapp!$G$5+H496*Prislapp!$H$5+I496*Prislapp!$I$5+J496*Prislapp!$J$5+K496*Prislapp!$K$5+L496*Prislapp!$L$5+M496*Prislapp!$M$5+N496*Prislapp!$N$5</f>
        <v>5800</v>
      </c>
      <c r="R496" s="9">
        <f>VLOOKUP(A496,'Ansvar kurs'!$A$2:$B$830,2,FALSE)</f>
        <v>2180</v>
      </c>
      <c r="S496" s="159"/>
    </row>
    <row r="497" spans="1:26" x14ac:dyDescent="0.25">
      <c r="A497" s="265" t="s">
        <v>1415</v>
      </c>
      <c r="B497" s="31" t="s">
        <v>1420</v>
      </c>
      <c r="F497" s="31">
        <v>1</v>
      </c>
      <c r="O497" s="42">
        <f>C497*Prislapp!$C$2+D497*Prislapp!$D$2+E497*Prislapp!$E$2+F497*Prislapp!$F$2+G497*Prislapp!$G$2+H497*Prislapp!$H$2+I497*Prislapp!$I$2+J497*Prislapp!$J$2+K497*Prislapp!$K$2+L497*Prislapp!$L$2+M497*Prislapp!$M$2+N497*Prislapp!$N$2</f>
        <v>23641</v>
      </c>
      <c r="P497" s="42">
        <f>C497*Prislapp!$C$3+D497*Prislapp!$D$3+E497*Prislapp!$E$3+F497*Prislapp!$F$3+G497*Prislapp!$G$3+H497*Prislapp!$H$3+I497*Prislapp!$I$3+J497*Prislapp!$J$3+K497*Prislapp!$K$3+M497*Prislapp!$M$3+N497*Prislapp!$N$3</f>
        <v>28786</v>
      </c>
      <c r="Q497" s="42">
        <f>C497*Prislapp!$C$5+D497*Prislapp!$D$5+E497*Prislapp!$E$5+F497*Prislapp!$F$5+G497*Prislapp!$G$5+H497*Prislapp!$H$5+I497*Prislapp!$I$5+J497*Prislapp!$J$5+K497*Prislapp!$K$5+L497*Prislapp!$L$5+M497*Prislapp!$M$5+N497*Prislapp!$N$5</f>
        <v>5800</v>
      </c>
      <c r="R497" s="9">
        <f>VLOOKUP(A497,'Ansvar kurs'!$A$2:$B$830,2,FALSE)</f>
        <v>2180</v>
      </c>
      <c r="S497" s="159"/>
    </row>
    <row r="498" spans="1:26" x14ac:dyDescent="0.25">
      <c r="A498" s="265" t="s">
        <v>1421</v>
      </c>
      <c r="B498" t="s">
        <v>1909</v>
      </c>
      <c r="F498" s="31">
        <v>1</v>
      </c>
      <c r="O498" s="42">
        <f>C498*Prislapp!$C$2+D498*Prislapp!$D$2+E498*Prislapp!$E$2+F498*Prislapp!$F$2+G498*Prislapp!$G$2+H498*Prislapp!$H$2+I498*Prislapp!$I$2+J498*Prislapp!$J$2+K498*Prislapp!$K$2+L498*Prislapp!$L$2+M498*Prislapp!$M$2+N498*Prislapp!$N$2</f>
        <v>23641</v>
      </c>
      <c r="P498" s="42">
        <f>C498*Prislapp!$C$3+D498*Prislapp!$D$3+E498*Prislapp!$E$3+F498*Prislapp!$F$3+G498*Prislapp!$G$3+H498*Prislapp!$H$3+I498*Prislapp!$I$3+J498*Prislapp!$J$3+K498*Prislapp!$K$3+M498*Prislapp!$M$3+N498*Prislapp!$N$3</f>
        <v>28786</v>
      </c>
      <c r="Q498" s="42">
        <f>C498*Prislapp!$C$5+D498*Prislapp!$D$5+E498*Prislapp!$E$5+F498*Prislapp!$F$5+G498*Prislapp!$G$5+H498*Prislapp!$H$5+I498*Prislapp!$I$5+J498*Prislapp!$J$5+K498*Prislapp!$K$5+L498*Prislapp!$L$5+M498*Prislapp!$M$5+N498*Prislapp!$N$5</f>
        <v>5800</v>
      </c>
      <c r="R498" s="9">
        <f>VLOOKUP(A498,'Ansvar kurs'!$A$2:$B$830,2,FALSE)</f>
        <v>2180</v>
      </c>
      <c r="S498" s="159"/>
    </row>
    <row r="499" spans="1:26" x14ac:dyDescent="0.25">
      <c r="A499" s="277" t="s">
        <v>1131</v>
      </c>
      <c r="B499" s="31" t="s">
        <v>1093</v>
      </c>
      <c r="H499" s="31">
        <v>1</v>
      </c>
      <c r="O499" s="42">
        <f>C499*Prislapp!$C$2+D499*Prislapp!$D$2+E499*Prislapp!$E$2+F499*Prislapp!$F$2+G499*Prislapp!$G$2+H499*Prislapp!$H$2+I499*Prislapp!$I$2+J499*Prislapp!$J$2+K499*Prislapp!$K$2+L499*Prislapp!$L$2+M499*Prislapp!$M$2+N499*Prislapp!$N$2</f>
        <v>19473</v>
      </c>
      <c r="P499" s="42">
        <f>C499*Prislapp!$C$3+D499*Prislapp!$D$3+E499*Prislapp!$E$3+F499*Prislapp!$F$3+G499*Prislapp!$G$3+H499*Prislapp!$H$3+I499*Prislapp!$I$3+J499*Prislapp!$J$3+K499*Prislapp!$K$3+M499*Prislapp!$M$3+N499*Prislapp!$N$3</f>
        <v>34806</v>
      </c>
      <c r="Q499" s="42">
        <f>C499*Prislapp!$C$5+D499*Prislapp!$D$5+E499*Prislapp!$E$5+F499*Prislapp!$F$5+G499*Prislapp!$G$5+H499*Prislapp!$H$5+I499*Prislapp!$I$5+J499*Prislapp!$J$5+K499*Prislapp!$K$5+L499*Prislapp!$L$5+M499*Prislapp!$M$5+N499*Prislapp!$N$5</f>
        <v>21800</v>
      </c>
      <c r="R499" s="9">
        <f>VLOOKUP(A499,'Ansvar kurs'!$A$2:$B$830,2,FALSE)</f>
        <v>5740</v>
      </c>
      <c r="S499" s="159" t="s">
        <v>1295</v>
      </c>
      <c r="U499" s="159"/>
      <c r="V499" s="159"/>
      <c r="W499" s="159"/>
      <c r="X499" s="159"/>
      <c r="Y499" s="159"/>
      <c r="Z499" s="159"/>
    </row>
    <row r="500" spans="1:26" x14ac:dyDescent="0.25">
      <c r="A500" s="59" t="s">
        <v>1150</v>
      </c>
      <c r="B500" s="31" t="s">
        <v>1227</v>
      </c>
      <c r="F500" s="31">
        <v>1</v>
      </c>
      <c r="O500" s="42">
        <f>C500*Prislapp!$C$2+D500*Prislapp!$D$2+E500*Prislapp!$E$2+F500*Prislapp!$F$2+G500*Prislapp!$G$2+H500*Prislapp!$H$2+I500*Prislapp!$I$2+J500*Prislapp!$J$2+K500*Prislapp!$K$2+L500*Prislapp!$L$2+M500*Prislapp!$M$2+N500*Prislapp!$N$2</f>
        <v>23641</v>
      </c>
      <c r="P500" s="42">
        <f>C500*Prislapp!$C$3+D500*Prislapp!$D$3+E500*Prislapp!$E$3+F500*Prislapp!$F$3+G500*Prislapp!$G$3+H500*Prislapp!$H$3+I500*Prislapp!$I$3+J500*Prislapp!$J$3+K500*Prislapp!$K$3+M500*Prislapp!$M$3+N500*Prislapp!$N$3</f>
        <v>28786</v>
      </c>
      <c r="Q500" s="42">
        <f>C500*Prislapp!$C$5+D500*Prislapp!$D$5+E500*Prislapp!$E$5+F500*Prislapp!$F$5+G500*Prislapp!$G$5+H500*Prislapp!$H$5+I500*Prislapp!$I$5+J500*Prislapp!$J$5+K500*Prislapp!$K$5+L500*Prislapp!$L$5+M500*Prislapp!$M$5+N500*Prislapp!$N$5</f>
        <v>5800</v>
      </c>
      <c r="R500" s="9">
        <f>VLOOKUP(A500,'Ansvar kurs'!$A$2:$B$830,2,FALSE)</f>
        <v>2193</v>
      </c>
      <c r="S500" s="159" t="s">
        <v>1295</v>
      </c>
      <c r="T500" s="31" t="s">
        <v>1298</v>
      </c>
    </row>
    <row r="501" spans="1:26" x14ac:dyDescent="0.25">
      <c r="A501" s="59" t="s">
        <v>1151</v>
      </c>
      <c r="B501" s="31" t="s">
        <v>1228</v>
      </c>
      <c r="K501" s="31">
        <v>1</v>
      </c>
      <c r="O501" s="42">
        <f>C501*Prislapp!$C$2+D501*Prislapp!$D$2+E501*Prislapp!$E$2+F501*Prislapp!$F$2+G501*Prislapp!$G$2+H501*Prislapp!$H$2+I501*Prislapp!$I$2+J501*Prislapp!$J$2+K501*Prislapp!$K$2+L501*Prislapp!$L$2+M501*Prislapp!$M$2+N501*Prislapp!$N$2</f>
        <v>21634</v>
      </c>
      <c r="P501" s="42">
        <f>C501*Prislapp!$C$3+D501*Prislapp!$D$3+E501*Prislapp!$E$3+F501*Prislapp!$F$3+G501*Prislapp!$G$3+H501*Prislapp!$H$3+I501*Prislapp!$I$3+J501*Prislapp!$J$3+K501*Prislapp!$K$3+M501*Prislapp!$M$3+N501*Prislapp!$N$3</f>
        <v>26986</v>
      </c>
      <c r="Q501" s="42">
        <f>C501*Prislapp!$C$5+D501*Prislapp!$D$5+E501*Prislapp!$E$5+F501*Prislapp!$F$5+G501*Prislapp!$G$5+H501*Prislapp!$H$5+I501*Prislapp!$I$5+J501*Prislapp!$J$5+K501*Prislapp!$K$5+L501*Prislapp!$L$5+M501*Prislapp!$M$5+N501*Prislapp!$N$5</f>
        <v>3400</v>
      </c>
      <c r="R501" s="9">
        <f>VLOOKUP(A501,'Ansvar kurs'!$A$2:$B$830,2,FALSE)</f>
        <v>2193</v>
      </c>
      <c r="S501" s="159" t="s">
        <v>1295</v>
      </c>
      <c r="T501" s="31" t="s">
        <v>1299</v>
      </c>
    </row>
    <row r="502" spans="1:26" x14ac:dyDescent="0.25">
      <c r="A502" s="59" t="s">
        <v>1287</v>
      </c>
      <c r="B502" s="31" t="s">
        <v>1292</v>
      </c>
      <c r="F502" s="31">
        <v>1</v>
      </c>
      <c r="O502" s="42">
        <f>C502*Prislapp!$C$2+D502*Prislapp!$D$2+E502*Prislapp!$E$2+F502*Prislapp!$F$2+G502*Prislapp!$G$2+H502*Prislapp!$H$2+I502*Prislapp!$I$2+J502*Prislapp!$J$2+K502*Prislapp!$K$2+L502*Prislapp!$L$2+M502*Prislapp!$M$2+N502*Prislapp!$N$2</f>
        <v>23641</v>
      </c>
      <c r="P502" s="42">
        <f>C502*Prislapp!$C$3+D502*Prislapp!$D$3+E502*Prislapp!$E$3+F502*Prislapp!$F$3+G502*Prislapp!$G$3+H502*Prislapp!$H$3+I502*Prislapp!$I$3+J502*Prislapp!$J$3+K502*Prislapp!$K$3+M502*Prislapp!$M$3+N502*Prislapp!$N$3</f>
        <v>28786</v>
      </c>
      <c r="Q502" s="42">
        <f>C502*Prislapp!$C$5+D502*Prislapp!$D$5+E502*Prislapp!$E$5+F502*Prislapp!$F$5+G502*Prislapp!$G$5+H502*Prislapp!$H$5+I502*Prislapp!$I$5+J502*Prislapp!$J$5+K502*Prislapp!$K$5+L502*Prislapp!$L$5+M502*Prislapp!$M$5+N502*Prislapp!$N$5</f>
        <v>5800</v>
      </c>
      <c r="R502" s="9">
        <f>VLOOKUP(A502,'Ansvar kurs'!$A$2:$B$830,2,FALSE)</f>
        <v>2180</v>
      </c>
      <c r="S502" s="31" t="s">
        <v>1136</v>
      </c>
      <c r="T502" s="31" t="s">
        <v>1137</v>
      </c>
    </row>
    <row r="503" spans="1:26" x14ac:dyDescent="0.25">
      <c r="A503" s="59" t="s">
        <v>1288</v>
      </c>
      <c r="B503" s="31" t="s">
        <v>1293</v>
      </c>
      <c r="K503" s="31">
        <v>1</v>
      </c>
      <c r="O503" s="42">
        <f>C503*Prislapp!$C$2+D503*Prislapp!$D$2+E503*Prislapp!$E$2+F503*Prislapp!$F$2+G503*Prislapp!$G$2+H503*Prislapp!$H$2+I503*Prislapp!$I$2+J503*Prislapp!$J$2+K503*Prislapp!$K$2+L503*Prislapp!$L$2+M503*Prislapp!$M$2+N503*Prislapp!$N$2</f>
        <v>21634</v>
      </c>
      <c r="P503" s="42">
        <f>C503*Prislapp!$C$3+D503*Prislapp!$D$3+E503*Prislapp!$E$3+F503*Prislapp!$F$3+G503*Prislapp!$G$3+H503*Prislapp!$H$3+I503*Prislapp!$I$3+J503*Prislapp!$J$3+K503*Prislapp!$K$3+M503*Prislapp!$M$3+N503*Prislapp!$N$3</f>
        <v>26986</v>
      </c>
      <c r="Q503" s="42">
        <f>C503*Prislapp!$C$5+D503*Prislapp!$D$5+E503*Prislapp!$E$5+F503*Prislapp!$F$5+G503*Prislapp!$G$5+H503*Prislapp!$H$5+I503*Prislapp!$I$5+J503*Prislapp!$J$5+K503*Prislapp!$K$5+L503*Prislapp!$L$5+M503*Prislapp!$M$5+N503*Prislapp!$N$5</f>
        <v>3400</v>
      </c>
      <c r="R503" s="9">
        <f>VLOOKUP(A503,'Ansvar kurs'!$A$2:$B$830,2,FALSE)</f>
        <v>2180</v>
      </c>
      <c r="S503" s="31" t="s">
        <v>783</v>
      </c>
      <c r="T503" s="31" t="s">
        <v>1137</v>
      </c>
    </row>
    <row r="504" spans="1:26" x14ac:dyDescent="0.25">
      <c r="A504" s="59" t="s">
        <v>1285</v>
      </c>
      <c r="B504" s="31" t="s">
        <v>1291</v>
      </c>
      <c r="F504" s="31">
        <v>1</v>
      </c>
      <c r="O504" s="42">
        <f>C504*Prislapp!$C$2+D504*Prislapp!$D$2+E504*Prislapp!$E$2+F504*Prislapp!$F$2+G504*Prislapp!$G$2+H504*Prislapp!$H$2+I504*Prislapp!$I$2+J504*Prislapp!$J$2+K504*Prislapp!$K$2+L504*Prislapp!$L$2+M504*Prislapp!$M$2+N504*Prislapp!$N$2</f>
        <v>23641</v>
      </c>
      <c r="P504" s="42">
        <f>C504*Prislapp!$C$3+D504*Prislapp!$D$3+E504*Prislapp!$E$3+F504*Prislapp!$F$3+G504*Prislapp!$G$3+H504*Prislapp!$H$3+I504*Prislapp!$I$3+J504*Prislapp!$J$3+K504*Prislapp!$K$3+M504*Prislapp!$M$3+N504*Prislapp!$N$3</f>
        <v>28786</v>
      </c>
      <c r="Q504" s="42">
        <f>C504*Prislapp!$C$5+D504*Prislapp!$D$5+E504*Prislapp!$E$5+F504*Prislapp!$F$5+G504*Prislapp!$G$5+H504*Prislapp!$H$5+I504*Prislapp!$I$5+J504*Prislapp!$J$5+K504*Prislapp!$K$5+L504*Prislapp!$L$5+M504*Prislapp!$M$5+N504*Prislapp!$N$5</f>
        <v>5800</v>
      </c>
      <c r="R504" s="9">
        <f>VLOOKUP(A504,'Ansvar kurs'!$A$2:$B$830,2,FALSE)</f>
        <v>2180</v>
      </c>
      <c r="S504" s="31" t="s">
        <v>1136</v>
      </c>
    </row>
    <row r="505" spans="1:26" x14ac:dyDescent="0.25">
      <c r="A505" s="59" t="s">
        <v>1286</v>
      </c>
      <c r="B505" s="31" t="s">
        <v>1294</v>
      </c>
      <c r="K505" s="31">
        <v>1</v>
      </c>
      <c r="O505" s="42">
        <f>C505*Prislapp!$C$2+D505*Prislapp!$D$2+E505*Prislapp!$E$2+F505*Prislapp!$F$2+G505*Prislapp!$G$2+H505*Prislapp!$H$2+I505*Prislapp!$I$2+J505*Prislapp!$J$2+K505*Prislapp!$K$2+L505*Prislapp!$L$2+M505*Prislapp!$M$2+N505*Prislapp!$N$2</f>
        <v>21634</v>
      </c>
      <c r="P505" s="42">
        <f>C505*Prislapp!$C$3+D505*Prislapp!$D$3+E505*Prislapp!$E$3+F505*Prislapp!$F$3+G505*Prislapp!$G$3+H505*Prislapp!$H$3+I505*Prislapp!$I$3+J505*Prislapp!$J$3+K505*Prislapp!$K$3+M505*Prislapp!$M$3+N505*Prislapp!$N$3</f>
        <v>26986</v>
      </c>
      <c r="Q505" s="42">
        <f>C505*Prislapp!$C$5+D505*Prislapp!$D$5+E505*Prislapp!$E$5+F505*Prislapp!$F$5+G505*Prislapp!$G$5+H505*Prislapp!$H$5+I505*Prislapp!$I$5+J505*Prislapp!$J$5+K505*Prislapp!$K$5+L505*Prislapp!$L$5+M505*Prislapp!$M$5+N505*Prislapp!$N$5</f>
        <v>3400</v>
      </c>
      <c r="R505" s="9">
        <f>VLOOKUP(A505,'Ansvar kurs'!$A$2:$B$830,2,FALSE)</f>
        <v>5740</v>
      </c>
      <c r="S505" s="159" t="s">
        <v>1295</v>
      </c>
      <c r="T505" s="31" t="s">
        <v>1300</v>
      </c>
    </row>
    <row r="506" spans="1:26" x14ac:dyDescent="0.25">
      <c r="A506" s="59" t="s">
        <v>1336</v>
      </c>
      <c r="B506" t="s">
        <v>1337</v>
      </c>
      <c r="I506" s="31">
        <v>1</v>
      </c>
      <c r="O506" s="42">
        <f>C506*Prislapp!$C$2+D506*Prislapp!$D$2+E506*Prislapp!$E$2+F506*Prislapp!$F$2+G506*Prislapp!$G$2+H506*Prislapp!$H$2+I506*Prislapp!$I$2+J506*Prislapp!$J$2+K506*Prislapp!$K$2+L506*Prislapp!$L$2+M506*Prislapp!$M$2+N506*Prislapp!$N$2</f>
        <v>18405</v>
      </c>
      <c r="P506" s="42">
        <f>C506*Prislapp!$C$3+D506*Prislapp!$D$3+E506*Prislapp!$E$3+F506*Prislapp!$F$3+G506*Prislapp!$G$3+H506*Prislapp!$H$3+I506*Prislapp!$I$3+J506*Prislapp!$J$3+K506*Prislapp!$K$3+M506*Prislapp!$M$3+N506*Prislapp!$N$3</f>
        <v>15773</v>
      </c>
      <c r="Q506" s="42">
        <f>C506*Prislapp!$C$5+D506*Prislapp!$D$5+E506*Prislapp!$E$5+F506*Prislapp!$F$5+G506*Prislapp!$G$5+H506*Prislapp!$H$5+I506*Prislapp!$I$5+J506*Prislapp!$J$5+K506*Prislapp!$K$5+L506*Prislapp!$L$5+M506*Prislapp!$M$5+N506*Prislapp!$N$5</f>
        <v>5800</v>
      </c>
      <c r="R506" s="9">
        <f>VLOOKUP(A506,'Ansvar kurs'!$A$2:$B$830,2,FALSE)</f>
        <v>2193</v>
      </c>
      <c r="S506" s="159"/>
    </row>
    <row r="507" spans="1:26" x14ac:dyDescent="0.25">
      <c r="A507" s="59" t="s">
        <v>1338</v>
      </c>
      <c r="B507" t="s">
        <v>1350</v>
      </c>
      <c r="I507" s="31">
        <v>1</v>
      </c>
      <c r="O507" s="42">
        <f>C507*Prislapp!$C$2+D507*Prislapp!$D$2+E507*Prislapp!$E$2+F507*Prislapp!$F$2+G507*Prislapp!$G$2+H507*Prislapp!$H$2+I507*Prislapp!$I$2+J507*Prislapp!$J$2+K507*Prislapp!$K$2+L507*Prislapp!$L$2+M507*Prislapp!$M$2+N507*Prislapp!$N$2</f>
        <v>18405</v>
      </c>
      <c r="P507" s="42">
        <f>C507*Prislapp!$C$3+D507*Prislapp!$D$3+E507*Prislapp!$E$3+F507*Prislapp!$F$3+G507*Prislapp!$G$3+H507*Prislapp!$H$3+I507*Prislapp!$I$3+J507*Prislapp!$J$3+K507*Prislapp!$K$3+M507*Prislapp!$M$3+N507*Prislapp!$N$3</f>
        <v>15773</v>
      </c>
      <c r="Q507" s="42">
        <f>C507*Prislapp!$C$5+D507*Prislapp!$D$5+E507*Prislapp!$E$5+F507*Prislapp!$F$5+G507*Prislapp!$G$5+H507*Prislapp!$H$5+I507*Prislapp!$I$5+J507*Prislapp!$J$5+K507*Prislapp!$K$5+L507*Prislapp!$L$5+M507*Prislapp!$M$5+N507*Prislapp!$N$5</f>
        <v>5800</v>
      </c>
      <c r="R507" s="9">
        <f>VLOOKUP(A507,'Ansvar kurs'!$A$2:$B$830,2,FALSE)</f>
        <v>2193</v>
      </c>
      <c r="S507" s="159"/>
    </row>
    <row r="508" spans="1:26" x14ac:dyDescent="0.25">
      <c r="A508" s="59" t="s">
        <v>1370</v>
      </c>
      <c r="B508" s="39" t="s">
        <v>725</v>
      </c>
      <c r="I508" s="31">
        <v>0.2</v>
      </c>
      <c r="K508" s="31">
        <v>0.8</v>
      </c>
      <c r="O508" s="42">
        <f>C508*Prislapp!$C$2+D508*Prislapp!$D$2+E508*Prislapp!$E$2+F508*Prislapp!$F$2+G508*Prislapp!$G$2+H508*Prislapp!$H$2+I508*Prislapp!$I$2+J508*Prislapp!$J$2+K508*Prislapp!$K$2+L508*Prislapp!$L$2+M508*Prislapp!$M$2+N508*Prislapp!$N$2</f>
        <v>20988.2</v>
      </c>
      <c r="P508" s="42">
        <f>C508*Prislapp!$C$3+D508*Prislapp!$D$3+E508*Prislapp!$E$3+F508*Prislapp!$F$3+G508*Prislapp!$G$3+H508*Prislapp!$H$3+I508*Prislapp!$I$3+J508*Prislapp!$J$3+K508*Prislapp!$K$3+M508*Prislapp!$M$3+N508*Prislapp!$N$3</f>
        <v>24743.4</v>
      </c>
      <c r="Q508" s="42">
        <f>C508*Prislapp!$C$5+D508*Prislapp!$D$5+E508*Prislapp!$E$5+F508*Prislapp!$F$5+G508*Prislapp!$G$5+H508*Prislapp!$H$5+I508*Prislapp!$I$5+J508*Prislapp!$J$5+K508*Prislapp!$K$5+L508*Prislapp!$L$5+M508*Prislapp!$M$5+N508*Prislapp!$N$5</f>
        <v>3880</v>
      </c>
      <c r="R508" s="9">
        <f>VLOOKUP(A508,'Ansvar kurs'!$A$2:$B$830,2,FALSE)</f>
        <v>2180</v>
      </c>
      <c r="S508" s="186" t="s">
        <v>1377</v>
      </c>
      <c r="T508" s="59"/>
    </row>
    <row r="509" spans="1:26" x14ac:dyDescent="0.25">
      <c r="A509" s="59" t="s">
        <v>1372</v>
      </c>
      <c r="B509" s="39" t="s">
        <v>1374</v>
      </c>
      <c r="I509" s="31">
        <v>1</v>
      </c>
      <c r="O509" s="42">
        <f>C509*Prislapp!$C$2+D509*Prislapp!$D$2+E509*Prislapp!$E$2+F509*Prislapp!$F$2+G509*Prislapp!$G$2+H509*Prislapp!$H$2+I509*Prislapp!$I$2+J509*Prislapp!$J$2+K509*Prislapp!$K$2+L509*Prislapp!$L$2+M509*Prislapp!$M$2+N509*Prislapp!$N$2</f>
        <v>18405</v>
      </c>
      <c r="P509" s="42">
        <f>C509*Prislapp!$C$3+D509*Prislapp!$D$3+E509*Prislapp!$E$3+F509*Prislapp!$F$3+G509*Prislapp!$G$3+H509*Prislapp!$H$3+I509*Prislapp!$I$3+J509*Prislapp!$J$3+K509*Prislapp!$K$3+M509*Prislapp!$M$3+N509*Prislapp!$N$3</f>
        <v>15773</v>
      </c>
      <c r="Q509" s="42">
        <f>C509*Prislapp!$C$5+D509*Prislapp!$D$5+E509*Prislapp!$E$5+F509*Prislapp!$F$5+G509*Prislapp!$G$5+H509*Prislapp!$H$5+I509*Prislapp!$I$5+J509*Prislapp!$J$5+K509*Prislapp!$K$5+L509*Prislapp!$L$5+M509*Prislapp!$M$5+N509*Prislapp!$N$5</f>
        <v>5800</v>
      </c>
      <c r="R509" s="9">
        <f>VLOOKUP(A509,'Ansvar kurs'!$A$2:$B$830,2,FALSE)</f>
        <v>2180</v>
      </c>
      <c r="S509" s="186" t="s">
        <v>1377</v>
      </c>
    </row>
    <row r="510" spans="1:26" x14ac:dyDescent="0.25">
      <c r="A510" s="59" t="s">
        <v>1371</v>
      </c>
      <c r="B510" s="39" t="s">
        <v>1375</v>
      </c>
      <c r="I510" s="31">
        <v>1</v>
      </c>
      <c r="O510" s="42">
        <f>C510*Prislapp!$C$2+D510*Prislapp!$D$2+E510*Prislapp!$E$2+F510*Prislapp!$F$2+G510*Prislapp!$G$2+H510*Prislapp!$H$2+I510*Prislapp!$I$2+J510*Prislapp!$J$2+K510*Prislapp!$K$2+L510*Prislapp!$L$2+M510*Prislapp!$M$2+N510*Prislapp!$N$2</f>
        <v>18405</v>
      </c>
      <c r="P510" s="42">
        <f>C510*Prislapp!$C$3+D510*Prislapp!$D$3+E510*Prislapp!$E$3+F510*Prislapp!$F$3+G510*Prislapp!$G$3+H510*Prislapp!$H$3+I510*Prislapp!$I$3+J510*Prislapp!$J$3+K510*Prislapp!$K$3+M510*Prislapp!$M$3+N510*Prislapp!$N$3</f>
        <v>15773</v>
      </c>
      <c r="Q510" s="42">
        <f>C510*Prislapp!$C$5+D510*Prislapp!$D$5+E510*Prislapp!$E$5+F510*Prislapp!$F$5+G510*Prislapp!$G$5+H510*Prislapp!$H$5+I510*Prislapp!$I$5+J510*Prislapp!$J$5+K510*Prislapp!$K$5+L510*Prislapp!$L$5+M510*Prislapp!$M$5+N510*Prislapp!$N$5</f>
        <v>5800</v>
      </c>
      <c r="R510" s="9">
        <f>VLOOKUP(A510,'Ansvar kurs'!$A$2:$B$830,2,FALSE)</f>
        <v>2180</v>
      </c>
      <c r="S510" s="186" t="s">
        <v>1377</v>
      </c>
    </row>
    <row r="511" spans="1:26" x14ac:dyDescent="0.25">
      <c r="A511" s="59" t="s">
        <v>1373</v>
      </c>
      <c r="B511" s="39" t="s">
        <v>1376</v>
      </c>
      <c r="I511" s="31">
        <v>1</v>
      </c>
      <c r="O511" s="42">
        <f>C511*Prislapp!$C$2+D511*Prislapp!$D$2+E511*Prislapp!$E$2+F511*Prislapp!$F$2+G511*Prislapp!$G$2+H511*Prislapp!$H$2+I511*Prislapp!$I$2+J511*Prislapp!$J$2+K511*Prislapp!$K$2+L511*Prislapp!$L$2+M511*Prislapp!$M$2+N511*Prislapp!$N$2</f>
        <v>18405</v>
      </c>
      <c r="P511" s="42">
        <f>C511*Prislapp!$C$3+D511*Prislapp!$D$3+E511*Prislapp!$E$3+F511*Prislapp!$F$3+G511*Prislapp!$G$3+H511*Prislapp!$H$3+I511*Prislapp!$I$3+J511*Prislapp!$J$3+K511*Prislapp!$K$3+M511*Prislapp!$M$3+N511*Prislapp!$N$3</f>
        <v>15773</v>
      </c>
      <c r="Q511" s="42">
        <f>C511*Prislapp!$C$5+D511*Prislapp!$D$5+E511*Prislapp!$E$5+F511*Prislapp!$F$5+G511*Prislapp!$G$5+H511*Prislapp!$H$5+I511*Prislapp!$I$5+J511*Prislapp!$J$5+K511*Prislapp!$K$5+L511*Prislapp!$L$5+M511*Prislapp!$M$5+N511*Prislapp!$N$5</f>
        <v>5800</v>
      </c>
      <c r="R511" s="9">
        <f>VLOOKUP(A511,'Ansvar kurs'!$A$2:$B$830,2,FALSE)</f>
        <v>2180</v>
      </c>
      <c r="S511" s="186" t="s">
        <v>1377</v>
      </c>
    </row>
    <row r="512" spans="1:26" x14ac:dyDescent="0.25">
      <c r="A512" s="59" t="s">
        <v>1539</v>
      </c>
      <c r="B512" s="39" t="s">
        <v>1554</v>
      </c>
      <c r="H512" s="31">
        <v>1</v>
      </c>
      <c r="O512" s="42">
        <f>C512*Prislapp!$C$2+D512*Prislapp!$D$2+E512*Prislapp!$E$2+F512*Prislapp!$F$2+G512*Prislapp!$G$2+H512*Prislapp!$H$2+I512*Prislapp!$I$2+J512*Prislapp!$J$2+K512*Prislapp!$K$2+L512*Prislapp!$L$2+M512*Prislapp!$M$2+N512*Prislapp!$N$2</f>
        <v>19473</v>
      </c>
      <c r="P512" s="42">
        <f>C512*Prislapp!$C$3+D512*Prislapp!$D$3+E512*Prislapp!$E$3+F512*Prislapp!$F$3+G512*Prislapp!$G$3+H512*Prislapp!$H$3+I512*Prislapp!$I$3+J512*Prislapp!$J$3+K512*Prislapp!$K$3+M512*Prislapp!$M$3+N512*Prislapp!$N$3</f>
        <v>34806</v>
      </c>
      <c r="Q512" s="42">
        <f>C512*Prislapp!$C$5+D512*Prislapp!$D$5+E512*Prislapp!$E$5+F512*Prislapp!$F$5+G512*Prislapp!$G$5+H512*Prislapp!$H$5+I512*Prislapp!$I$5+J512*Prislapp!$J$5+K512*Prislapp!$K$5+L512*Prislapp!$L$5+M512*Prislapp!$M$5+N512*Prislapp!$N$5</f>
        <v>21800</v>
      </c>
      <c r="R512" s="9">
        <f>VLOOKUP(A512,'Ansvar kurs'!$A$2:$B$830,2,FALSE)</f>
        <v>5740</v>
      </c>
      <c r="S512" s="186"/>
    </row>
    <row r="513" spans="1:26" x14ac:dyDescent="0.25">
      <c r="A513" s="59" t="s">
        <v>1540</v>
      </c>
      <c r="B513" s="39" t="s">
        <v>1555</v>
      </c>
      <c r="H513" s="31">
        <v>1</v>
      </c>
      <c r="O513" s="42">
        <f>C513*Prislapp!$C$2+D513*Prislapp!$D$2+E513*Prislapp!$E$2+F513*Prislapp!$F$2+G513*Prislapp!$G$2+H513*Prislapp!$H$2+I513*Prislapp!$I$2+J513*Prislapp!$J$2+K513*Prislapp!$K$2+L513*Prislapp!$L$2+M513*Prislapp!$M$2+N513*Prislapp!$N$2</f>
        <v>19473</v>
      </c>
      <c r="P513" s="42">
        <f>C513*Prislapp!$C$3+D513*Prislapp!$D$3+E513*Prislapp!$E$3+F513*Prislapp!$F$3+G513*Prislapp!$G$3+H513*Prislapp!$H$3+I513*Prislapp!$I$3+J513*Prislapp!$J$3+K513*Prislapp!$K$3+M513*Prislapp!$M$3+N513*Prislapp!$N$3</f>
        <v>34806</v>
      </c>
      <c r="Q513" s="42">
        <f>C513*Prislapp!$C$5+D513*Prislapp!$D$5+E513*Prislapp!$E$5+F513*Prislapp!$F$5+G513*Prislapp!$G$5+H513*Prislapp!$H$5+I513*Prislapp!$I$5+J513*Prislapp!$J$5+K513*Prislapp!$K$5+L513*Prislapp!$L$5+M513*Prislapp!$M$5+N513*Prislapp!$N$5</f>
        <v>21800</v>
      </c>
      <c r="R513" s="9">
        <f>VLOOKUP(A513,'Ansvar kurs'!$A$2:$B$830,2,FALSE)</f>
        <v>5740</v>
      </c>
      <c r="S513" s="186"/>
    </row>
    <row r="514" spans="1:26" ht="30" customHeight="1" x14ac:dyDescent="0.25">
      <c r="A514" s="59" t="s">
        <v>1541</v>
      </c>
      <c r="B514" s="313" t="s">
        <v>1556</v>
      </c>
      <c r="H514" s="31">
        <v>1</v>
      </c>
      <c r="O514" s="42">
        <f>C514*Prislapp!$C$2+D514*Prislapp!$D$2+E514*Prislapp!$E$2+F514*Prislapp!$F$2+G514*Prislapp!$G$2+H514*Prislapp!$H$2+I514*Prislapp!$I$2+J514*Prislapp!$J$2+K514*Prislapp!$K$2+L514*Prislapp!$L$2+M514*Prislapp!$M$2+N514*Prislapp!$N$2</f>
        <v>19473</v>
      </c>
      <c r="P514" s="42">
        <f>C514*Prislapp!$C$3+D514*Prislapp!$D$3+E514*Prislapp!$E$3+F514*Prislapp!$F$3+G514*Prislapp!$G$3+H514*Prislapp!$H$3+I514*Prislapp!$I$3+J514*Prislapp!$J$3+K514*Prislapp!$K$3+M514*Prislapp!$M$3+N514*Prislapp!$N$3</f>
        <v>34806</v>
      </c>
      <c r="Q514" s="42">
        <f>C514*Prislapp!$C$5+D514*Prislapp!$D$5+E514*Prislapp!$E$5+F514*Prislapp!$F$5+G514*Prislapp!$G$5+H514*Prislapp!$H$5+I514*Prislapp!$I$5+J514*Prislapp!$J$5+K514*Prislapp!$K$5+L514*Prislapp!$L$5+M514*Prislapp!$M$5+N514*Prislapp!$N$5</f>
        <v>21800</v>
      </c>
      <c r="R514" s="9">
        <f>VLOOKUP(A514,'Ansvar kurs'!$A$2:$B$830,2,FALSE)</f>
        <v>5740</v>
      </c>
      <c r="S514" s="186"/>
    </row>
    <row r="515" spans="1:26" x14ac:dyDescent="0.25">
      <c r="A515" s="59" t="s">
        <v>1439</v>
      </c>
      <c r="B515" s="31" t="s">
        <v>1440</v>
      </c>
      <c r="K515" s="31">
        <v>1</v>
      </c>
      <c r="O515" s="42">
        <f>C515*Prislapp!$C$2+D515*Prislapp!$D$2+E515*Prislapp!$E$2+F515*Prislapp!$F$2+G515*Prislapp!$G$2+H515*Prislapp!$H$2+I515*Prislapp!$I$2+J515*Prislapp!$J$2+K515*Prislapp!$K$2+L515*Prislapp!$L$2+M515*Prislapp!$M$2+N515*Prislapp!$N$2</f>
        <v>21634</v>
      </c>
      <c r="P515" s="42">
        <f>C515*Prislapp!$C$3+D515*Prislapp!$D$3+E515*Prislapp!$E$3+F515*Prislapp!$F$3+G515*Prislapp!$G$3+H515*Prislapp!$H$3+I515*Prislapp!$I$3+J515*Prislapp!$J$3+K515*Prislapp!$K$3+M515*Prislapp!$M$3+N515*Prislapp!$N$3</f>
        <v>26986</v>
      </c>
      <c r="Q515" s="42">
        <f>C515*Prislapp!$C$5+D515*Prislapp!$D$5+E515*Prislapp!$E$5+F515*Prislapp!$F$5+G515*Prislapp!$G$5+H515*Prislapp!$H$5+I515*Prislapp!$I$5+J515*Prislapp!$J$5+K515*Prislapp!$K$5+L515*Prislapp!$L$5+M515*Prislapp!$M$5+N515*Prislapp!$N$5</f>
        <v>3400</v>
      </c>
      <c r="R515" s="9">
        <f>VLOOKUP(A515,'Ansvar kurs'!$A$2:$B$830,2,FALSE)</f>
        <v>2180</v>
      </c>
      <c r="S515" s="186" t="s">
        <v>1441</v>
      </c>
      <c r="T515" s="31" t="s">
        <v>1442</v>
      </c>
    </row>
    <row r="516" spans="1:26" x14ac:dyDescent="0.25">
      <c r="A516" s="62" t="s">
        <v>1443</v>
      </c>
      <c r="B516" s="31" t="s">
        <v>1423</v>
      </c>
      <c r="I516" s="31">
        <v>1</v>
      </c>
      <c r="O516" s="42">
        <f>C516*Prislapp!$C$2+D516*Prislapp!$D$2+E516*Prislapp!$E$2+F516*Prislapp!$F$2+G516*Prislapp!$G$2+H516*Prislapp!$H$2+I516*Prislapp!$I$2+J516*Prislapp!$J$2+K516*Prislapp!$K$2+L516*Prislapp!$L$2+M516*Prislapp!$M$2+N516*Prislapp!$N$2</f>
        <v>18405</v>
      </c>
      <c r="P516" s="42">
        <f>C516*Prislapp!$C$3+D516*Prislapp!$D$3+E516*Prislapp!$E$3+F516*Prislapp!$F$3+G516*Prislapp!$G$3+H516*Prislapp!$H$3+I516*Prislapp!$I$3+J516*Prislapp!$J$3+K516*Prislapp!$K$3+M516*Prislapp!$M$3+N516*Prislapp!$N$3</f>
        <v>15773</v>
      </c>
      <c r="Q516" s="42">
        <f>C516*Prislapp!$C$5+D516*Prislapp!$D$5+E516*Prislapp!$E$5+F516*Prislapp!$F$5+G516*Prislapp!$G$5+H516*Prislapp!$H$5+I516*Prislapp!$I$5+J516*Prislapp!$J$5+K516*Prislapp!$K$5+L516*Prislapp!$L$5+M516*Prislapp!$M$5+N516*Prislapp!$N$5</f>
        <v>5800</v>
      </c>
      <c r="R516" s="9">
        <f>VLOOKUP(A516,'Ansvar kurs'!$A$2:$B$830,2,FALSE)</f>
        <v>2193</v>
      </c>
    </row>
    <row r="517" spans="1:26" x14ac:dyDescent="0.25">
      <c r="A517" s="62" t="s">
        <v>1444</v>
      </c>
      <c r="B517" s="31" t="s">
        <v>1424</v>
      </c>
      <c r="I517" s="31">
        <v>1</v>
      </c>
      <c r="O517" s="42">
        <f>C517*Prislapp!$C$2+D517*Prislapp!$D$2+E517*Prislapp!$E$2+F517*Prislapp!$F$2+G517*Prislapp!$G$2+H517*Prislapp!$H$2+I517*Prislapp!$I$2+J517*Prislapp!$J$2+K517*Prislapp!$K$2+L517*Prislapp!$L$2+M517*Prislapp!$M$2+N517*Prislapp!$N$2</f>
        <v>18405</v>
      </c>
      <c r="P517" s="42">
        <f>C517*Prislapp!$C$3+D517*Prislapp!$D$3+E517*Prislapp!$E$3+F517*Prislapp!$F$3+G517*Prislapp!$G$3+H517*Prislapp!$H$3+I517*Prislapp!$I$3+J517*Prislapp!$J$3+K517*Prislapp!$K$3+M517*Prislapp!$M$3+N517*Prislapp!$N$3</f>
        <v>15773</v>
      </c>
      <c r="Q517" s="42">
        <f>C517*Prislapp!$C$5+D517*Prislapp!$D$5+E517*Prislapp!$E$5+F517*Prislapp!$F$5+G517*Prislapp!$G$5+H517*Prislapp!$H$5+I517*Prislapp!$I$5+J517*Prislapp!$J$5+K517*Prislapp!$K$5+L517*Prislapp!$L$5+M517*Prislapp!$M$5+N517*Prislapp!$N$5</f>
        <v>5800</v>
      </c>
      <c r="R517" s="9">
        <f>VLOOKUP(A517,'Ansvar kurs'!$A$2:$B$830,2,FALSE)</f>
        <v>2193</v>
      </c>
    </row>
    <row r="518" spans="1:26" x14ac:dyDescent="0.25">
      <c r="A518" s="31" t="s">
        <v>1445</v>
      </c>
      <c r="B518" s="31" t="s">
        <v>1446</v>
      </c>
      <c r="H518" s="31">
        <v>1</v>
      </c>
      <c r="O518" s="42">
        <f>C518*Prislapp!$C$2+D518*Prislapp!$D$2+E518*Prislapp!$E$2+F518*Prislapp!$F$2+G518*Prislapp!$G$2+H518*Prislapp!$H$2+I518*Prislapp!$I$2+J518*Prislapp!$J$2+K518*Prislapp!$K$2+L518*Prislapp!$L$2+M518*Prislapp!$M$2+N518*Prislapp!$N$2</f>
        <v>19473</v>
      </c>
      <c r="P518" s="42">
        <f>C518*Prislapp!$C$3+D518*Prislapp!$D$3+E518*Prislapp!$E$3+F518*Prislapp!$F$3+G518*Prislapp!$G$3+H518*Prislapp!$H$3+I518*Prislapp!$I$3+J518*Prislapp!$J$3+K518*Prislapp!$K$3+M518*Prislapp!$M$3+N518*Prislapp!$N$3</f>
        <v>34806</v>
      </c>
      <c r="Q518" s="42">
        <f>C518*Prislapp!$C$5+D518*Prislapp!$D$5+E518*Prislapp!$E$5+F518*Prislapp!$F$5+G518*Prislapp!$G$5+H518*Prislapp!$H$5+I518*Prislapp!$I$5+J518*Prislapp!$J$5+K518*Prislapp!$K$5+L518*Prislapp!$L$5+M518*Prislapp!$M$5+N518*Prislapp!$N$5</f>
        <v>21800</v>
      </c>
      <c r="R518" s="9">
        <f>VLOOKUP(A518,'Ansvar kurs'!$A$2:$B$830,2,FALSE)</f>
        <v>5740</v>
      </c>
      <c r="S518" s="186" t="s">
        <v>1441</v>
      </c>
      <c r="T518" s="159" t="s">
        <v>1447</v>
      </c>
      <c r="U518" s="159"/>
      <c r="V518" s="159"/>
      <c r="W518" s="159"/>
      <c r="X518" s="159"/>
      <c r="Y518" s="159"/>
      <c r="Z518" s="159"/>
    </row>
    <row r="519" spans="1:26" x14ac:dyDescent="0.25">
      <c r="A519" s="62" t="s">
        <v>1485</v>
      </c>
      <c r="B519" s="31" t="s">
        <v>1225</v>
      </c>
      <c r="H519" s="31">
        <v>1</v>
      </c>
      <c r="O519" s="42">
        <f>C519*Prislapp!$C$2+D519*Prislapp!$D$2+E519*Prislapp!$E$2+F519*Prislapp!$F$2+G519*Prislapp!$G$2+H519*Prislapp!$H$2+I519*Prislapp!$I$2+J519*Prislapp!$J$2+K519*Prislapp!$K$2+L519*Prislapp!$L$2+M519*Prislapp!$M$2+N519*Prislapp!$N$2</f>
        <v>19473</v>
      </c>
      <c r="P519" s="42">
        <f>C519*Prislapp!$C$3+D519*Prislapp!$D$3+E519*Prislapp!$E$3+F519*Prislapp!$F$3+G519*Prislapp!$G$3+H519*Prislapp!$H$3+I519*Prislapp!$I$3+J519*Prislapp!$J$3+K519*Prislapp!$K$3+M519*Prislapp!$M$3+N519*Prislapp!$N$3</f>
        <v>34806</v>
      </c>
      <c r="Q519" s="42">
        <f>C519*Prislapp!$C$5+D519*Prislapp!$D$5+E519*Prislapp!$E$5+F519*Prislapp!$F$5+G519*Prislapp!$G$5+H519*Prislapp!$H$5+I519*Prislapp!$I$5+J519*Prislapp!$J$5+K519*Prislapp!$K$5+L519*Prislapp!$L$5+M519*Prislapp!$M$5+N519*Prislapp!$N$5</f>
        <v>21800</v>
      </c>
      <c r="R519" s="9">
        <f>VLOOKUP(A519,'Ansvar kurs'!$A$2:$B$830,2,FALSE)</f>
        <v>5740</v>
      </c>
    </row>
    <row r="520" spans="1:26" x14ac:dyDescent="0.25">
      <c r="A520" s="31" t="s">
        <v>1514</v>
      </c>
      <c r="B520" s="31" t="s">
        <v>1523</v>
      </c>
      <c r="K520" s="31">
        <v>1</v>
      </c>
      <c r="O520" s="42">
        <f>C520*Prislapp!$C$2+D520*Prislapp!$D$2+E520*Prislapp!$E$2+F520*Prislapp!$F$2+G520*Prislapp!$G$2+H520*Prislapp!$H$2+I520*Prislapp!$I$2+J520*Prislapp!$J$2+K520*Prislapp!$K$2+L520*Prislapp!$L$2+M520*Prislapp!$M$2+N520*Prislapp!$N$2</f>
        <v>21634</v>
      </c>
      <c r="P520" s="42">
        <f>C520*Prislapp!$C$3+D520*Prislapp!$D$3+E520*Prislapp!$E$3+F520*Prislapp!$F$3+G520*Prislapp!$G$3+H520*Prislapp!$H$3+I520*Prislapp!$I$3+J520*Prislapp!$J$3+K520*Prislapp!$K$3+M520*Prislapp!$M$3+N520*Prislapp!$N$3</f>
        <v>26986</v>
      </c>
      <c r="Q520" s="42">
        <f>C520*Prislapp!$C$5+D520*Prislapp!$D$5+E520*Prislapp!$E$5+F520*Prislapp!$F$5+G520*Prislapp!$G$5+H520*Prislapp!$H$5+I520*Prislapp!$I$5+J520*Prislapp!$J$5+K520*Prislapp!$K$5+L520*Prislapp!$L$5+M520*Prislapp!$M$5+N520*Prislapp!$N$5</f>
        <v>3400</v>
      </c>
      <c r="R520" s="9">
        <f>VLOOKUP(A520,'Ansvar kurs'!$A$2:$B$830,2,FALSE)</f>
        <v>2180</v>
      </c>
      <c r="S520" s="186"/>
      <c r="T520" s="159"/>
      <c r="U520" s="159"/>
      <c r="V520" s="159"/>
      <c r="W520" s="159"/>
      <c r="X520" s="159"/>
      <c r="Y520" s="159"/>
      <c r="Z520" s="159"/>
    </row>
    <row r="521" spans="1:26" x14ac:dyDescent="0.25">
      <c r="A521" s="31" t="s">
        <v>1515</v>
      </c>
      <c r="B521" s="31" t="s">
        <v>1431</v>
      </c>
      <c r="K521" s="31">
        <v>1</v>
      </c>
      <c r="O521" s="42">
        <f>C521*Prislapp!$C$2+D521*Prislapp!$D$2+E521*Prislapp!$E$2+F521*Prislapp!$F$2+G521*Prislapp!$G$2+H521*Prislapp!$H$2+I521*Prislapp!$I$2+J521*Prislapp!$J$2+K521*Prislapp!$K$2+L521*Prislapp!$L$2+M521*Prislapp!$M$2+N521*Prislapp!$N$2</f>
        <v>21634</v>
      </c>
      <c r="P521" s="42">
        <f>C521*Prislapp!$C$3+D521*Prislapp!$D$3+E521*Prislapp!$E$3+F521*Prislapp!$F$3+G521*Prislapp!$G$3+H521*Prislapp!$H$3+I521*Prislapp!$I$3+J521*Prislapp!$J$3+K521*Prislapp!$K$3+M521*Prislapp!$M$3+N521*Prislapp!$N$3</f>
        <v>26986</v>
      </c>
      <c r="Q521" s="42">
        <f>C521*Prislapp!$C$5+D521*Prislapp!$D$5+E521*Prislapp!$E$5+F521*Prislapp!$F$5+G521*Prislapp!$G$5+H521*Prislapp!$H$5+I521*Prislapp!$I$5+J521*Prislapp!$J$5+K521*Prislapp!$K$5+L521*Prislapp!$L$5+M521*Prislapp!$M$5+N521*Prislapp!$N$5</f>
        <v>3400</v>
      </c>
      <c r="R521" s="9">
        <f>VLOOKUP(A521,'Ansvar kurs'!$A$2:$B$830,2,FALSE)</f>
        <v>2193</v>
      </c>
      <c r="S521" s="186"/>
      <c r="T521" s="159"/>
      <c r="U521" s="159"/>
      <c r="V521" s="159"/>
      <c r="W521" s="159"/>
      <c r="X521" s="159"/>
      <c r="Y521" s="159"/>
      <c r="Z521" s="159"/>
    </row>
    <row r="522" spans="1:26" x14ac:dyDescent="0.25">
      <c r="A522" s="265" t="s">
        <v>1927</v>
      </c>
      <c r="B522" s="31" t="s">
        <v>1224</v>
      </c>
      <c r="I522" s="31">
        <v>1</v>
      </c>
      <c r="O522" s="42">
        <f>C522*Prislapp!$C$2+D522*Prislapp!$D$2+E522*Prislapp!$E$2+F522*Prislapp!$F$2+G522*Prislapp!$G$2+H522*Prislapp!$H$2+I522*Prislapp!$I$2+J522*Prislapp!$J$2+K522*Prislapp!$K$2+L522*Prislapp!$L$2+M522*Prislapp!$M$2+N522*Prislapp!$N$2</f>
        <v>18405</v>
      </c>
      <c r="P522" s="42">
        <f>C522*Prislapp!$C$3+D522*Prislapp!$D$3+E522*Prislapp!$E$3+F522*Prislapp!$F$3+G522*Prislapp!$G$3+H522*Prislapp!$H$3+I522*Prislapp!$I$3+J522*Prislapp!$J$3+K522*Prislapp!$K$3+M522*Prislapp!$M$3+N522*Prislapp!$N$3</f>
        <v>15773</v>
      </c>
      <c r="Q522" s="42">
        <f>C522*Prislapp!$C$5+D522*Prislapp!$D$5+E522*Prislapp!$E$5+F522*Prislapp!$F$5+G522*Prislapp!$G$5+H522*Prislapp!$H$5+I522*Prislapp!$I$5+J522*Prislapp!$J$5+K522*Prislapp!$K$5+L522*Prislapp!$L$5+M522*Prislapp!$M$5+N522*Prislapp!$N$5</f>
        <v>5800</v>
      </c>
      <c r="R522" s="9">
        <f>VLOOKUP(A522,'Ansvar kurs'!$A$2:$B$830,2,FALSE)</f>
        <v>2193</v>
      </c>
      <c r="S522" s="159" t="s">
        <v>1116</v>
      </c>
      <c r="T522" s="159"/>
    </row>
    <row r="523" spans="1:26" x14ac:dyDescent="0.25">
      <c r="A523" s="31" t="s">
        <v>1481</v>
      </c>
      <c r="B523" s="31" t="s">
        <v>1480</v>
      </c>
      <c r="K523" s="31">
        <v>1</v>
      </c>
      <c r="O523" s="42">
        <f>C523*Prislapp!$C$2+D523*Prislapp!$D$2+E523*Prislapp!$E$2+F523*Prislapp!$F$2+G523*Prislapp!$G$2+H523*Prislapp!$H$2+I523*Prislapp!$I$2+J523*Prislapp!$J$2+K523*Prislapp!$K$2+L523*Prislapp!$L$2+M523*Prislapp!$M$2+N523*Prislapp!$N$2</f>
        <v>21634</v>
      </c>
      <c r="P523" s="42">
        <f>C523*Prislapp!$C$3+D523*Prislapp!$D$3+E523*Prislapp!$E$3+F523*Prislapp!$F$3+G523*Prislapp!$G$3+H523*Prislapp!$H$3+I523*Prislapp!$I$3+J523*Prislapp!$J$3+K523*Prislapp!$K$3+M523*Prislapp!$M$3+N523*Prislapp!$N$3</f>
        <v>26986</v>
      </c>
      <c r="Q523" s="42">
        <f>C523*Prislapp!$C$5+D523*Prislapp!$D$5+E523*Prislapp!$E$5+F523*Prislapp!$F$5+G523*Prislapp!$G$5+H523*Prislapp!$H$5+I523*Prislapp!$I$5+J523*Prislapp!$J$5+K523*Prislapp!$K$5+L523*Prislapp!$L$5+M523*Prislapp!$M$5+N523*Prislapp!$N$5</f>
        <v>3400</v>
      </c>
      <c r="R523" s="9">
        <f>VLOOKUP(A523,'Ansvar kurs'!$A$2:$B$830,2,FALSE)</f>
        <v>2180</v>
      </c>
      <c r="S523" s="186"/>
      <c r="T523" s="159"/>
      <c r="U523" s="159"/>
      <c r="V523" s="159"/>
      <c r="W523" s="159"/>
      <c r="X523" s="159"/>
      <c r="Y523" s="159"/>
      <c r="Z523" s="159"/>
    </row>
    <row r="524" spans="1:26" x14ac:dyDescent="0.25">
      <c r="A524" s="31" t="s">
        <v>1483</v>
      </c>
      <c r="B524" s="31" t="s">
        <v>1184</v>
      </c>
      <c r="H524" s="31">
        <v>1</v>
      </c>
      <c r="O524" s="42">
        <f>C524*Prislapp!$C$2+D524*Prislapp!$D$2+E524*Prislapp!$E$2+F524*Prislapp!$F$2+G524*Prislapp!$G$2+H524*Prislapp!$H$2+I524*Prislapp!$I$2+J524*Prislapp!$J$2+K524*Prislapp!$K$2+L524*Prislapp!$L$2+M524*Prislapp!$M$2+N524*Prislapp!$N$2</f>
        <v>19473</v>
      </c>
      <c r="P524" s="42">
        <f>C524*Prislapp!$C$3+D524*Prislapp!$D$3+E524*Prislapp!$E$3+F524*Prislapp!$F$3+G524*Prislapp!$G$3+H524*Prislapp!$H$3+I524*Prislapp!$I$3+J524*Prislapp!$J$3+K524*Prislapp!$K$3+M524*Prislapp!$M$3+N524*Prislapp!$N$3</f>
        <v>34806</v>
      </c>
      <c r="Q524" s="42">
        <f>C524*Prislapp!$C$5+D524*Prislapp!$D$5+E524*Prislapp!$E$5+F524*Prislapp!$F$5+G524*Prislapp!$G$5+H524*Prislapp!$H$5+I524*Prislapp!$I$5+J524*Prislapp!$J$5+K524*Prislapp!$K$5+L524*Prislapp!$L$5+M524*Prislapp!$M$5+N524*Prislapp!$N$5</f>
        <v>21800</v>
      </c>
      <c r="R524" s="9">
        <f>VLOOKUP(A524,'Ansvar kurs'!$A$2:$B$830,2,FALSE)</f>
        <v>5740</v>
      </c>
      <c r="S524" s="186"/>
      <c r="T524" s="159"/>
      <c r="U524" s="159"/>
      <c r="V524" s="159"/>
      <c r="W524" s="159"/>
      <c r="X524" s="159"/>
      <c r="Y524" s="159"/>
      <c r="Z524" s="159"/>
    </row>
    <row r="525" spans="1:26" x14ac:dyDescent="0.25">
      <c r="A525" s="31" t="s">
        <v>1484</v>
      </c>
      <c r="B525" s="31" t="s">
        <v>1185</v>
      </c>
      <c r="H525" s="31">
        <v>1</v>
      </c>
      <c r="O525" s="42">
        <f>C525*Prislapp!$C$2+D525*Prislapp!$D$2+E525*Prislapp!$E$2+F525*Prislapp!$F$2+G525*Prislapp!$G$2+H525*Prislapp!$H$2+I525*Prislapp!$I$2+J525*Prislapp!$J$2+K525*Prislapp!$K$2+L525*Prislapp!$L$2+M525*Prislapp!$M$2+N525*Prislapp!$N$2</f>
        <v>19473</v>
      </c>
      <c r="P525" s="42">
        <f>C525*Prislapp!$C$3+D525*Prislapp!$D$3+E525*Prislapp!$E$3+F525*Prislapp!$F$3+G525*Prislapp!$G$3+H525*Prislapp!$H$3+I525*Prislapp!$I$3+J525*Prislapp!$J$3+K525*Prislapp!$K$3+M525*Prislapp!$M$3+N525*Prislapp!$N$3</f>
        <v>34806</v>
      </c>
      <c r="Q525" s="42">
        <f>C525*Prislapp!$C$5+D525*Prislapp!$D$5+E525*Prislapp!$E$5+F525*Prislapp!$F$5+G525*Prislapp!$G$5+H525*Prislapp!$H$5+I525*Prislapp!$I$5+J525*Prislapp!$J$5+K525*Prislapp!$K$5+L525*Prislapp!$L$5+M525*Prislapp!$M$5+N525*Prislapp!$N$5</f>
        <v>21800</v>
      </c>
      <c r="R525" s="9">
        <f>VLOOKUP(A525,'Ansvar kurs'!$A$2:$B$830,2,FALSE)</f>
        <v>5740</v>
      </c>
      <c r="S525" s="186"/>
      <c r="T525" s="159"/>
      <c r="U525" s="159"/>
      <c r="V525" s="159"/>
      <c r="W525" s="159"/>
      <c r="X525" s="159"/>
      <c r="Y525" s="159"/>
      <c r="Z525" s="159"/>
    </row>
    <row r="526" spans="1:26" x14ac:dyDescent="0.25">
      <c r="A526" s="31" t="s">
        <v>1474</v>
      </c>
      <c r="B526" s="31" t="s">
        <v>1475</v>
      </c>
      <c r="F526" s="31">
        <v>0.83</v>
      </c>
      <c r="K526" s="31">
        <v>0.17</v>
      </c>
      <c r="O526" s="42">
        <f>C526*Prislapp!$C$2+D526*Prislapp!$D$2+E526*Prislapp!$E$2+F526*Prislapp!$F$2+G526*Prislapp!$G$2+H526*Prislapp!$H$2+I526*Prislapp!$I$2+J526*Prislapp!$J$2+K526*Prislapp!$K$2+L526*Prislapp!$L$2+M526*Prislapp!$M$2+N526*Prislapp!$N$2</f>
        <v>23299.809999999998</v>
      </c>
      <c r="P526" s="42">
        <f>C526*Prislapp!$C$3+D526*Prislapp!$D$3+E526*Prislapp!$E$3+F526*Prislapp!$F$3+G526*Prislapp!$G$3+H526*Prislapp!$H$3+I526*Prislapp!$I$3+J526*Prislapp!$J$3+K526*Prislapp!$K$3+M526*Prislapp!$M$3+N526*Prislapp!$N$3</f>
        <v>28479.999999999996</v>
      </c>
      <c r="Q526" s="42">
        <f>C526*Prislapp!$C$5+D526*Prislapp!$D$5+E526*Prislapp!$E$5+F526*Prislapp!$F$5+G526*Prislapp!$G$5+H526*Prislapp!$H$5+I526*Prislapp!$I$5+J526*Prislapp!$J$5+K526*Prislapp!$K$5+L526*Prislapp!$L$5+M526*Prislapp!$M$5+N526*Prislapp!$N$5</f>
        <v>5392</v>
      </c>
      <c r="R526" s="9">
        <f>VLOOKUP(A526,'Ansvar kurs'!$A$2:$B$830,2,FALSE)</f>
        <v>2180</v>
      </c>
      <c r="S526" s="186"/>
      <c r="T526" s="159"/>
      <c r="U526" s="159"/>
      <c r="V526" s="159"/>
      <c r="W526" s="159"/>
      <c r="X526" s="159"/>
      <c r="Y526" s="159"/>
      <c r="Z526" s="159"/>
    </row>
    <row r="527" spans="1:26" x14ac:dyDescent="0.25">
      <c r="A527" s="31" t="s">
        <v>1526</v>
      </c>
      <c r="B527" s="31" t="s">
        <v>1735</v>
      </c>
      <c r="F527" s="31">
        <v>1</v>
      </c>
      <c r="O527" s="42">
        <f>C527*Prislapp!$C$2+D527*Prislapp!$D$2+E527*Prislapp!$E$2+F527*Prislapp!$F$2+G527*Prislapp!$G$2+H527*Prislapp!$H$2+I527*Prislapp!$I$2+J527*Prislapp!$J$2+K527*Prislapp!$K$2+L527*Prislapp!$L$2+M527*Prislapp!$M$2+N527*Prislapp!$N$2</f>
        <v>23641</v>
      </c>
      <c r="P527" s="42">
        <f>C527*Prislapp!$C$3+D527*Prislapp!$D$3+E527*Prislapp!$E$3+F527*Prislapp!$F$3+G527*Prislapp!$G$3+H527*Prislapp!$H$3+I527*Prislapp!$I$3+J527*Prislapp!$J$3+K527*Prislapp!$K$3+M527*Prislapp!$M$3+N527*Prislapp!$N$3</f>
        <v>28786</v>
      </c>
      <c r="Q527" s="42">
        <f>C527*Prislapp!$C$5+D527*Prislapp!$D$5+E527*Prislapp!$E$5+F527*Prislapp!$F$5+G527*Prislapp!$G$5+H527*Prislapp!$H$5+I527*Prislapp!$I$5+J527*Prislapp!$J$5+K527*Prislapp!$K$5+L527*Prislapp!$L$5+M527*Prislapp!$M$5+N527*Prislapp!$N$5</f>
        <v>5800</v>
      </c>
      <c r="R527" s="9">
        <f>VLOOKUP(A527,'Ansvar kurs'!$A$2:$B$830,2,FALSE)</f>
        <v>5740</v>
      </c>
      <c r="S527" s="186"/>
      <c r="T527" s="159"/>
      <c r="U527" s="159"/>
      <c r="V527" s="159"/>
      <c r="W527" s="159"/>
      <c r="X527" s="159"/>
      <c r="Y527" s="159"/>
      <c r="Z527" s="159"/>
    </row>
    <row r="528" spans="1:26" x14ac:dyDescent="0.25">
      <c r="A528" s="31" t="s">
        <v>1538</v>
      </c>
      <c r="B528" s="31" t="s">
        <v>1553</v>
      </c>
      <c r="F528" s="31">
        <v>1</v>
      </c>
      <c r="O528" s="42">
        <f>C528*Prislapp!$C$2+D528*Prislapp!$D$2+E528*Prislapp!$E$2+F528*Prislapp!$F$2+G528*Prislapp!$G$2+H528*Prislapp!$H$2+I528*Prislapp!$I$2+J528*Prislapp!$J$2+K528*Prislapp!$K$2+L528*Prislapp!$L$2+M528*Prislapp!$M$2+N528*Prislapp!$N$2</f>
        <v>23641</v>
      </c>
      <c r="P528" s="42">
        <f>C528*Prislapp!$C$3+D528*Prislapp!$D$3+E528*Prislapp!$E$3+F528*Prislapp!$F$3+G528*Prislapp!$G$3+H528*Prislapp!$H$3+I528*Prislapp!$I$3+J528*Prislapp!$J$3+K528*Prislapp!$K$3+M528*Prislapp!$M$3+N528*Prislapp!$N$3</f>
        <v>28786</v>
      </c>
      <c r="Q528" s="42">
        <f>C528*Prislapp!$C$5+D528*Prislapp!$D$5+E528*Prislapp!$E$5+F528*Prislapp!$F$5+G528*Prislapp!$G$5+H528*Prislapp!$H$5+I528*Prislapp!$I$5+J528*Prislapp!$J$5+K528*Prislapp!$K$5+L528*Prislapp!$L$5+M528*Prislapp!$M$5+N528*Prislapp!$N$5</f>
        <v>5800</v>
      </c>
      <c r="R528" s="9">
        <f>VLOOKUP(A528,'Ansvar kurs'!$A$2:$B$830,2,FALSE)</f>
        <v>5740</v>
      </c>
      <c r="S528" s="186"/>
      <c r="T528" s="159"/>
      <c r="U528" s="159"/>
      <c r="V528" s="159"/>
      <c r="W528" s="159"/>
      <c r="X528" s="159"/>
      <c r="Y528" s="159"/>
      <c r="Z528" s="159"/>
    </row>
    <row r="529" spans="1:26" x14ac:dyDescent="0.25">
      <c r="A529" s="31" t="s">
        <v>1621</v>
      </c>
      <c r="B529" s="31" t="s">
        <v>1622</v>
      </c>
      <c r="F529" s="31">
        <v>1</v>
      </c>
      <c r="O529" s="42">
        <f>C529*Prislapp!$C$2+D529*Prislapp!$D$2+E529*Prislapp!$E$2+F529*Prislapp!$F$2+G529*Prislapp!$G$2+H529*Prislapp!$H$2+I529*Prislapp!$I$2+J529*Prislapp!$J$2+K529*Prislapp!$K$2+L529*Prislapp!$L$2+M529*Prislapp!$M$2+N529*Prislapp!$N$2</f>
        <v>23641</v>
      </c>
      <c r="P529" s="42">
        <f>C529*Prislapp!$C$3+D529*Prislapp!$D$3+E529*Prislapp!$E$3+F529*Prislapp!$F$3+G529*Prislapp!$G$3+H529*Prislapp!$H$3+I529*Prislapp!$I$3+J529*Prislapp!$J$3+K529*Prislapp!$K$3+M529*Prislapp!$M$3+N529*Prislapp!$N$3</f>
        <v>28786</v>
      </c>
      <c r="Q529" s="42">
        <f>C529*Prislapp!$C$5+D529*Prislapp!$D$5+E529*Prislapp!$E$5+F529*Prislapp!$F$5+G529*Prislapp!$G$5+H529*Prislapp!$H$5+I529*Prislapp!$I$5+J529*Prislapp!$J$5+K529*Prislapp!$K$5+L529*Prislapp!$L$5+M529*Prislapp!$M$5+N529*Prislapp!$N$5</f>
        <v>5800</v>
      </c>
      <c r="R529" s="9">
        <f>VLOOKUP(A529,'Ansvar kurs'!$A$2:$B$830,2,FALSE)</f>
        <v>2193</v>
      </c>
      <c r="S529" s="186"/>
      <c r="T529" s="159"/>
      <c r="U529" s="159"/>
      <c r="V529" s="159"/>
      <c r="W529" s="159"/>
      <c r="X529" s="159"/>
      <c r="Y529" s="159"/>
      <c r="Z529" s="159"/>
    </row>
    <row r="530" spans="1:26" x14ac:dyDescent="0.25">
      <c r="A530" s="31" t="s">
        <v>1624</v>
      </c>
      <c r="B530" s="31" t="s">
        <v>1625</v>
      </c>
      <c r="F530" s="31">
        <v>1</v>
      </c>
      <c r="O530" s="42">
        <f>C530*Prislapp!$C$2+D530*Prislapp!$D$2+E530*Prislapp!$E$2+F530*Prislapp!$F$2+G530*Prislapp!$G$2+H530*Prislapp!$H$2+I530*Prislapp!$I$2+J530*Prislapp!$J$2+K530*Prislapp!$K$2+L530*Prislapp!$L$2+M530*Prislapp!$M$2+N530*Prislapp!$N$2</f>
        <v>23641</v>
      </c>
      <c r="P530" s="42">
        <f>C530*Prislapp!$C$3+D530*Prislapp!$D$3+E530*Prislapp!$E$3+F530*Prislapp!$F$3+G530*Prislapp!$G$3+H530*Prislapp!$H$3+I530*Prislapp!$I$3+J530*Prislapp!$J$3+K530*Prislapp!$K$3+M530*Prislapp!$M$3+N530*Prislapp!$N$3</f>
        <v>28786</v>
      </c>
      <c r="Q530" s="42">
        <f>C530*Prislapp!$C$5+D530*Prislapp!$D$5+E530*Prislapp!$E$5+F530*Prislapp!$F$5+G530*Prislapp!$G$5+H530*Prislapp!$H$5+I530*Prislapp!$I$5+J530*Prislapp!$J$5+K530*Prislapp!$K$5+L530*Prislapp!$L$5+M530*Prislapp!$M$5+N530*Prislapp!$N$5</f>
        <v>5800</v>
      </c>
      <c r="R530" s="9">
        <f>VLOOKUP(A530,'Ansvar kurs'!$A$2:$B$830,2,FALSE)</f>
        <v>2193</v>
      </c>
      <c r="S530" s="186"/>
      <c r="T530" s="159"/>
      <c r="U530" s="159"/>
      <c r="V530" s="159"/>
      <c r="W530" s="159"/>
      <c r="X530" s="159"/>
      <c r="Y530" s="159"/>
      <c r="Z530" s="159"/>
    </row>
    <row r="531" spans="1:26" x14ac:dyDescent="0.25">
      <c r="A531" s="31" t="s">
        <v>1570</v>
      </c>
      <c r="B531" s="31" t="s">
        <v>1615</v>
      </c>
      <c r="F531" s="31">
        <v>1</v>
      </c>
      <c r="O531" s="42">
        <f>C531*Prislapp!$C$2+D531*Prislapp!$D$2+E531*Prislapp!$E$2+F531*Prislapp!$F$2+G531*Prislapp!$G$2+H531*Prislapp!$H$2+I531*Prislapp!$I$2+J531*Prislapp!$J$2+K531*Prislapp!$K$2+L531*Prislapp!$L$2+M531*Prislapp!$M$2+N531*Prislapp!$N$2</f>
        <v>23641</v>
      </c>
      <c r="P531" s="42">
        <f>C531*Prislapp!$C$3+D531*Prislapp!$D$3+E531*Prislapp!$E$3+F531*Prislapp!$F$3+G531*Prislapp!$G$3+H531*Prislapp!$H$3+I531*Prislapp!$I$3+J531*Prislapp!$J$3+K531*Prislapp!$K$3+M531*Prislapp!$M$3+N531*Prislapp!$N$3</f>
        <v>28786</v>
      </c>
      <c r="Q531" s="42">
        <f>C531*Prislapp!$C$5+D531*Prislapp!$D$5+E531*Prislapp!$E$5+F531*Prislapp!$F$5+G531*Prislapp!$G$5+H531*Prislapp!$H$5+I531*Prislapp!$I$5+J531*Prislapp!$J$5+K531*Prislapp!$K$5+L531*Prislapp!$L$5+M531*Prislapp!$M$5+N531*Prislapp!$N$5</f>
        <v>5800</v>
      </c>
      <c r="R531" s="9">
        <f>VLOOKUP(A531,'Ansvar kurs'!$A$2:$B$830,2,FALSE)</f>
        <v>2193</v>
      </c>
      <c r="S531" s="186"/>
      <c r="T531" s="159"/>
      <c r="U531" s="159"/>
      <c r="V531" s="159"/>
      <c r="W531" s="159"/>
      <c r="X531" s="159"/>
      <c r="Y531" s="159"/>
      <c r="Z531" s="159"/>
    </row>
    <row r="532" spans="1:26" x14ac:dyDescent="0.25">
      <c r="A532" s="31" t="s">
        <v>1567</v>
      </c>
      <c r="B532" s="31" t="s">
        <v>1614</v>
      </c>
      <c r="F532" s="31">
        <v>1</v>
      </c>
      <c r="O532" s="42">
        <f>C532*Prislapp!$C$2+D532*Prislapp!$D$2+E532*Prislapp!$E$2+F532*Prislapp!$F$2+G532*Prislapp!$G$2+H532*Prislapp!$H$2+I532*Prislapp!$I$2+J532*Prislapp!$J$2+K532*Prislapp!$K$2+L532*Prislapp!$L$2+M532*Prislapp!$M$2+N532*Prislapp!$N$2</f>
        <v>23641</v>
      </c>
      <c r="P532" s="42">
        <f>C532*Prislapp!$C$3+D532*Prislapp!$D$3+E532*Prislapp!$E$3+F532*Prislapp!$F$3+G532*Prislapp!$G$3+H532*Prislapp!$H$3+I532*Prislapp!$I$3+J532*Prislapp!$J$3+K532*Prislapp!$K$3+M532*Prislapp!$M$3+N532*Prislapp!$N$3</f>
        <v>28786</v>
      </c>
      <c r="Q532" s="42">
        <f>C532*Prislapp!$C$5+D532*Prislapp!$D$5+E532*Prislapp!$E$5+F532*Prislapp!$F$5+G532*Prislapp!$G$5+H532*Prislapp!$H$5+I532*Prislapp!$I$5+J532*Prislapp!$J$5+K532*Prislapp!$K$5+L532*Prislapp!$L$5+M532*Prislapp!$M$5+N532*Prislapp!$N$5</f>
        <v>5800</v>
      </c>
      <c r="R532" s="9">
        <f>VLOOKUP(A532,'Ansvar kurs'!$A$2:$B$830,2,FALSE)</f>
        <v>2193</v>
      </c>
      <c r="S532" s="186"/>
      <c r="T532" s="159"/>
      <c r="U532" s="159"/>
      <c r="V532" s="159"/>
      <c r="W532" s="159"/>
      <c r="X532" s="159"/>
      <c r="Y532" s="159"/>
      <c r="Z532" s="159"/>
    </row>
    <row r="533" spans="1:26" x14ac:dyDescent="0.25">
      <c r="A533" s="62" t="s">
        <v>1559</v>
      </c>
      <c r="B533" s="31" t="s">
        <v>1560</v>
      </c>
      <c r="F533" s="31">
        <v>1</v>
      </c>
      <c r="O533" s="42">
        <f>C533*Prislapp!$C$2+D533*Prislapp!$D$2+E533*Prislapp!$E$2+F533*Prislapp!$F$2+G533*Prislapp!$G$2+H533*Prislapp!$H$2+I533*Prislapp!$I$2+J533*Prislapp!$J$2+K533*Prislapp!$K$2+L533*Prislapp!$L$2+M533*Prislapp!$M$2+N533*Prislapp!$N$2</f>
        <v>23641</v>
      </c>
      <c r="P533" s="42">
        <f>C533*Prislapp!$C$3+D533*Prislapp!$D$3+E533*Prislapp!$E$3+F533*Prislapp!$F$3+G533*Prislapp!$G$3+H533*Prislapp!$H$3+I533*Prislapp!$I$3+J533*Prislapp!$J$3+K533*Prislapp!$K$3+M533*Prislapp!$M$3+N533*Prislapp!$N$3</f>
        <v>28786</v>
      </c>
      <c r="Q533" s="42">
        <f>C533*Prislapp!$C$5+D533*Prislapp!$D$5+E533*Prislapp!$E$5+F533*Prislapp!$F$5+G533*Prislapp!$G$5+H533*Prislapp!$H$5+I533*Prislapp!$I$5+J533*Prislapp!$J$5+K533*Prislapp!$K$5+L533*Prislapp!$L$5+M533*Prislapp!$M$5+N533*Prislapp!$N$5</f>
        <v>5800</v>
      </c>
      <c r="R533" s="9">
        <f>VLOOKUP(A533,'Ansvar kurs'!$A$2:$B$830,2,FALSE)</f>
        <v>2180</v>
      </c>
    </row>
    <row r="534" spans="1:26" x14ac:dyDescent="0.25">
      <c r="A534" s="62" t="s">
        <v>1657</v>
      </c>
      <c r="B534" s="31" t="s">
        <v>1678</v>
      </c>
      <c r="F534" s="31">
        <v>1</v>
      </c>
      <c r="O534" s="42">
        <f>C534*Prislapp!$C$2+D534*Prislapp!$D$2+E534*Prislapp!$E$2+F534*Prislapp!$F$2+G534*Prislapp!$G$2+H534*Prislapp!$H$2+I534*Prislapp!$I$2+J534*Prislapp!$J$2+K534*Prislapp!$K$2+L534*Prislapp!$L$2+M534*Prislapp!$M$2+N534*Prislapp!$N$2</f>
        <v>23641</v>
      </c>
      <c r="P534" s="42">
        <f>C534*Prislapp!$C$3+D534*Prislapp!$D$3+E534*Prislapp!$E$3+F534*Prislapp!$F$3+G534*Prislapp!$G$3+H534*Prislapp!$H$3+I534*Prislapp!$I$3+J534*Prislapp!$J$3+K534*Prislapp!$K$3+M534*Prislapp!$M$3+N534*Prislapp!$N$3</f>
        <v>28786</v>
      </c>
      <c r="Q534" s="42">
        <f>C534*Prislapp!$C$5+D534*Prislapp!$D$5+E534*Prislapp!$E$5+F534*Prislapp!$F$5+G534*Prislapp!$G$5+H534*Prislapp!$H$5+I534*Prislapp!$I$5+J534*Prislapp!$J$5+K534*Prislapp!$K$5+L534*Prislapp!$L$5+M534*Prislapp!$M$5+N534*Prislapp!$N$5</f>
        <v>5800</v>
      </c>
      <c r="R534" s="9">
        <f>VLOOKUP(A534,'Ansvar kurs'!$A$2:$B$830,2,FALSE)</f>
        <v>2180</v>
      </c>
    </row>
    <row r="535" spans="1:26" x14ac:dyDescent="0.25">
      <c r="A535" s="62" t="s">
        <v>1576</v>
      </c>
      <c r="B535" s="31" t="s">
        <v>1616</v>
      </c>
      <c r="F535" s="31">
        <v>1</v>
      </c>
      <c r="O535" s="42">
        <f>C535*Prislapp!$C$2+D535*Prislapp!$D$2+E535*Prislapp!$E$2+F535*Prislapp!$F$2+G535*Prislapp!$G$2+H535*Prislapp!$H$2+I535*Prislapp!$I$2+J535*Prislapp!$J$2+K535*Prislapp!$K$2+L535*Prislapp!$L$2+M535*Prislapp!$M$2+N535*Prislapp!$N$2</f>
        <v>23641</v>
      </c>
      <c r="P535" s="42">
        <f>C535*Prislapp!$C$3+D535*Prislapp!$D$3+E535*Prislapp!$E$3+F535*Prislapp!$F$3+G535*Prislapp!$G$3+H535*Prislapp!$H$3+I535*Prislapp!$I$3+J535*Prislapp!$J$3+K535*Prislapp!$K$3+M535*Prislapp!$M$3+N535*Prislapp!$N$3</f>
        <v>28786</v>
      </c>
      <c r="Q535" s="42">
        <f>C535*Prislapp!$C$5+D535*Prislapp!$D$5+E535*Prislapp!$E$5+F535*Prislapp!$F$5+G535*Prislapp!$G$5+H535*Prislapp!$H$5+I535*Prislapp!$I$5+J535*Prislapp!$J$5+K535*Prislapp!$K$5+L535*Prislapp!$L$5+M535*Prislapp!$M$5+N535*Prislapp!$N$5</f>
        <v>5800</v>
      </c>
      <c r="R535" s="9">
        <f>VLOOKUP(A535,'Ansvar kurs'!$A$2:$B$830,2,FALSE)</f>
        <v>2180</v>
      </c>
    </row>
    <row r="536" spans="1:26" x14ac:dyDescent="0.25">
      <c r="A536" s="62" t="s">
        <v>1577</v>
      </c>
      <c r="B536" s="31" t="s">
        <v>1617</v>
      </c>
      <c r="F536" s="31">
        <v>1</v>
      </c>
      <c r="O536" s="42">
        <f>C536*Prislapp!$C$2+D536*Prislapp!$D$2+E536*Prislapp!$E$2+F536*Prislapp!$F$2+G536*Prislapp!$G$2+H536*Prislapp!$H$2+I536*Prislapp!$I$2+J536*Prislapp!$J$2+K536*Prislapp!$K$2+L536*Prislapp!$L$2+M536*Prislapp!$M$2+N536*Prislapp!$N$2</f>
        <v>23641</v>
      </c>
      <c r="P536" s="42">
        <f>C536*Prislapp!$C$3+D536*Prislapp!$D$3+E536*Prislapp!$E$3+F536*Prislapp!$F$3+G536*Prislapp!$G$3+H536*Prislapp!$H$3+I536*Prislapp!$I$3+J536*Prislapp!$J$3+K536*Prislapp!$K$3+M536*Prislapp!$M$3+N536*Prislapp!$N$3</f>
        <v>28786</v>
      </c>
      <c r="Q536" s="42">
        <f>C536*Prislapp!$C$5+D536*Prislapp!$D$5+E536*Prislapp!$E$5+F536*Prislapp!$F$5+G536*Prislapp!$G$5+H536*Prislapp!$H$5+I536*Prislapp!$I$5+J536*Prislapp!$J$5+K536*Prislapp!$K$5+L536*Prislapp!$L$5+M536*Prislapp!$M$5+N536*Prislapp!$N$5</f>
        <v>5800</v>
      </c>
      <c r="R536" s="9">
        <f>VLOOKUP(A536,'Ansvar kurs'!$A$2:$B$830,2,FALSE)</f>
        <v>2180</v>
      </c>
    </row>
    <row r="537" spans="1:26" x14ac:dyDescent="0.25">
      <c r="A537" s="62" t="s">
        <v>1689</v>
      </c>
      <c r="B537" s="31" t="s">
        <v>1690</v>
      </c>
      <c r="F537" s="31">
        <v>1</v>
      </c>
      <c r="O537" s="42">
        <f>C537*Prislapp!$C$2+D537*Prislapp!$D$2+E537*Prislapp!$E$2+F537*Prislapp!$F$2+G537*Prislapp!$G$2+H537*Prislapp!$H$2+I537*Prislapp!$I$2+J537*Prislapp!$J$2+K537*Prislapp!$K$2+L537*Prislapp!$L$2+M537*Prislapp!$M$2+N537*Prislapp!$N$2</f>
        <v>23641</v>
      </c>
      <c r="P537" s="42">
        <f>C537*Prislapp!$C$3+D537*Prislapp!$D$3+E537*Prislapp!$E$3+F537*Prislapp!$F$3+G537*Prislapp!$G$3+H537*Prislapp!$H$3+I537*Prislapp!$I$3+J537*Prislapp!$J$3+K537*Prislapp!$K$3+M537*Prislapp!$M$3+N537*Prislapp!$N$3</f>
        <v>28786</v>
      </c>
      <c r="Q537" s="42">
        <f>C537*Prislapp!$C$5+D537*Prislapp!$D$5+E537*Prislapp!$E$5+F537*Prislapp!$F$5+G537*Prislapp!$G$5+H537*Prislapp!$H$5+I537*Prislapp!$I$5+J537*Prislapp!$J$5+K537*Prislapp!$K$5+L537*Prislapp!$L$5+M537*Prislapp!$M$5+N537*Prislapp!$N$5</f>
        <v>5800</v>
      </c>
      <c r="R537" s="9">
        <f>VLOOKUP(A537,'Ansvar kurs'!$A$2:$B$830,2,FALSE)</f>
        <v>2180</v>
      </c>
    </row>
    <row r="538" spans="1:26" x14ac:dyDescent="0.25">
      <c r="A538" s="62" t="s">
        <v>1626</v>
      </c>
      <c r="B538" s="31" t="s">
        <v>1627</v>
      </c>
      <c r="F538" s="31">
        <v>1</v>
      </c>
      <c r="O538" s="42">
        <f>C538*Prislapp!$C$2+D538*Prislapp!$D$2+E538*Prislapp!$E$2+F538*Prislapp!$F$2+G538*Prislapp!$G$2+H538*Prislapp!$H$2+I538*Prislapp!$I$2+J538*Prislapp!$J$2+K538*Prislapp!$K$2+L538*Prislapp!$L$2+M538*Prislapp!$M$2+N538*Prislapp!$N$2</f>
        <v>23641</v>
      </c>
      <c r="P538" s="42">
        <f>C538*Prislapp!$C$3+D538*Prislapp!$D$3+E538*Prislapp!$E$3+F538*Prislapp!$F$3+G538*Prislapp!$G$3+H538*Prislapp!$H$3+I538*Prislapp!$I$3+J538*Prislapp!$J$3+K538*Prislapp!$K$3+M538*Prislapp!$M$3+N538*Prislapp!$N$3</f>
        <v>28786</v>
      </c>
      <c r="Q538" s="42">
        <f>C538*Prislapp!$C$5+D538*Prislapp!$D$5+E538*Prislapp!$E$5+F538*Prislapp!$F$5+G538*Prislapp!$G$5+H538*Prislapp!$H$5+I538*Prislapp!$I$5+J538*Prislapp!$J$5+K538*Prislapp!$K$5+L538*Prislapp!$L$5+M538*Prislapp!$M$5+N538*Prislapp!$N$5</f>
        <v>5800</v>
      </c>
      <c r="R538" s="9">
        <f>VLOOKUP(A538,'Ansvar kurs'!$A$2:$B$830,2,FALSE)</f>
        <v>2180</v>
      </c>
    </row>
    <row r="539" spans="1:26" x14ac:dyDescent="0.25">
      <c r="A539" s="62" t="s">
        <v>1572</v>
      </c>
      <c r="B539" s="31" t="s">
        <v>1429</v>
      </c>
      <c r="I539" s="31">
        <v>1</v>
      </c>
      <c r="O539" s="42">
        <f>C539*Prislapp!$C$2+D539*Prislapp!$D$2+E539*Prislapp!$E$2+F539*Prislapp!$F$2+G539*Prislapp!$G$2+H539*Prislapp!$H$2+I539*Prislapp!$I$2+J539*Prislapp!$J$2+K539*Prislapp!$K$2+L539*Prislapp!$L$2+M539*Prislapp!$M$2+N539*Prislapp!$N$2</f>
        <v>18405</v>
      </c>
      <c r="P539" s="42">
        <f>C539*Prislapp!$C$3+D539*Prislapp!$D$3+E539*Prislapp!$E$3+F539*Prislapp!$F$3+G539*Prislapp!$G$3+H539*Prislapp!$H$3+I539*Prislapp!$I$3+J539*Prislapp!$J$3+K539*Prislapp!$K$3+M539*Prislapp!$M$3+N539*Prislapp!$N$3</f>
        <v>15773</v>
      </c>
      <c r="Q539" s="42">
        <f>C539*Prislapp!$C$5+D539*Prislapp!$D$5+E539*Prislapp!$E$5+F539*Prislapp!$F$5+G539*Prislapp!$G$5+H539*Prislapp!$H$5+I539*Prislapp!$I$5+J539*Prislapp!$J$5+K539*Prislapp!$K$5+L539*Prislapp!$L$5+M539*Prislapp!$M$5+N539*Prislapp!$N$5</f>
        <v>5800</v>
      </c>
      <c r="R539" s="9">
        <f>VLOOKUP(A539,'Ansvar kurs'!$A$2:$B$830,2,FALSE)</f>
        <v>2193</v>
      </c>
    </row>
    <row r="540" spans="1:26" x14ac:dyDescent="0.25">
      <c r="A540" s="62" t="s">
        <v>1575</v>
      </c>
      <c r="B540" s="31" t="s">
        <v>1434</v>
      </c>
      <c r="K540" s="31">
        <v>1</v>
      </c>
      <c r="O540" s="42">
        <f>C540*Prislapp!$C$2+D540*Prislapp!$D$2+E540*Prislapp!$E$2+F540*Prislapp!$F$2+G540*Prislapp!$G$2+H540*Prislapp!$H$2+I540*Prislapp!$I$2+J540*Prislapp!$J$2+K540*Prislapp!$K$2+L540*Prislapp!$L$2+M540*Prislapp!$M$2+N540*Prislapp!$N$2</f>
        <v>21634</v>
      </c>
      <c r="P540" s="42">
        <f>C540*Prislapp!$C$3+D540*Prislapp!$D$3+E540*Prislapp!$E$3+F540*Prislapp!$F$3+G540*Prislapp!$G$3+H540*Prislapp!$H$3+I540*Prislapp!$I$3+J540*Prislapp!$J$3+K540*Prislapp!$K$3+M540*Prislapp!$M$3+N540*Prislapp!$N$3</f>
        <v>26986</v>
      </c>
      <c r="Q540" s="42">
        <f>C540*Prislapp!$C$5+D540*Prislapp!$D$5+E540*Prislapp!$E$5+F540*Prislapp!$F$5+G540*Prislapp!$G$5+H540*Prislapp!$H$5+I540*Prislapp!$I$5+J540*Prislapp!$J$5+K540*Prislapp!$K$5+L540*Prislapp!$L$5+M540*Prislapp!$M$5+N540*Prislapp!$N$5</f>
        <v>3400</v>
      </c>
      <c r="R540" s="9">
        <f>VLOOKUP(A540,'Ansvar kurs'!$A$2:$B$830,2,FALSE)</f>
        <v>2193</v>
      </c>
    </row>
    <row r="541" spans="1:26" x14ac:dyDescent="0.25">
      <c r="A541" s="266" t="s">
        <v>1589</v>
      </c>
      <c r="B541" s="31" t="s">
        <v>1551</v>
      </c>
      <c r="K541" s="31">
        <v>1</v>
      </c>
      <c r="O541" s="42">
        <f>C541*Prislapp!$C$2+D541*Prislapp!$D$2+E541*Prislapp!$E$2+F541*Prislapp!$F$2+G541*Prislapp!$G$2+H541*Prislapp!$H$2+I541*Prislapp!$I$2+J541*Prislapp!$J$2+K541*Prislapp!$K$2+L541*Prislapp!$L$2+M541*Prislapp!$M$2+N541*Prislapp!$N$2</f>
        <v>21634</v>
      </c>
      <c r="P541" s="42">
        <f>C541*Prislapp!$C$3+D541*Prislapp!$D$3+E541*Prislapp!$E$3+F541*Prislapp!$F$3+G541*Prislapp!$G$3+H541*Prislapp!$H$3+I541*Prislapp!$I$3+J541*Prislapp!$J$3+K541*Prislapp!$K$3+M541*Prislapp!$M$3+N541*Prislapp!$N$3</f>
        <v>26986</v>
      </c>
      <c r="Q541" s="42">
        <f>C541*Prislapp!$C$5+D541*Prislapp!$D$5+E541*Prislapp!$E$5+F541*Prislapp!$F$5+G541*Prislapp!$G$5+H541*Prislapp!$H$5+I541*Prislapp!$I$5+J541*Prislapp!$J$5+K541*Prislapp!$K$5+L541*Prislapp!$L$5+M541*Prislapp!$M$5+N541*Prislapp!$N$5</f>
        <v>3400</v>
      </c>
      <c r="R541" s="9">
        <f>VLOOKUP(A541,'Ansvar kurs'!$A$2:$B$830,2,FALSE)</f>
        <v>5740</v>
      </c>
      <c r="T541" s="159"/>
      <c r="U541" s="233"/>
      <c r="V541" s="233"/>
      <c r="W541" s="233"/>
      <c r="X541" s="233"/>
      <c r="Y541" s="233"/>
      <c r="Z541" s="208"/>
    </row>
    <row r="542" spans="1:26" x14ac:dyDescent="0.25">
      <c r="A542" s="266" t="s">
        <v>1588</v>
      </c>
      <c r="B542" s="31" t="s">
        <v>1552</v>
      </c>
      <c r="F542" s="31">
        <v>1</v>
      </c>
      <c r="O542" s="42">
        <f>C542*Prislapp!$C$2+D542*Prislapp!$D$2+E542*Prislapp!$E$2+F542*Prislapp!$F$2+G542*Prislapp!$G$2+H542*Prislapp!$H$2+I542*Prislapp!$I$2+J542*Prislapp!$J$2+K542*Prislapp!$K$2+L542*Prislapp!$L$2+M542*Prislapp!$M$2+N542*Prislapp!$N$2</f>
        <v>23641</v>
      </c>
      <c r="P542" s="42">
        <f>C542*Prislapp!$C$3+D542*Prislapp!$D$3+E542*Prislapp!$E$3+F542*Prislapp!$F$3+G542*Prislapp!$G$3+H542*Prislapp!$H$3+I542*Prislapp!$I$3+J542*Prislapp!$J$3+K542*Prislapp!$K$3+M542*Prislapp!$M$3+N542*Prislapp!$N$3</f>
        <v>28786</v>
      </c>
      <c r="Q542" s="42">
        <f>C542*Prislapp!$C$5+D542*Prislapp!$D$5+E542*Prislapp!$E$5+F542*Prislapp!$F$5+G542*Prislapp!$G$5+H542*Prislapp!$H$5+I542*Prislapp!$I$5+J542*Prislapp!$J$5+K542*Prislapp!$K$5+L542*Prislapp!$L$5+M542*Prislapp!$M$5+N542*Prislapp!$N$5</f>
        <v>5800</v>
      </c>
      <c r="R542" s="9">
        <f>VLOOKUP(A542,'Ansvar kurs'!$A$2:$B$830,2,FALSE)</f>
        <v>5740</v>
      </c>
      <c r="T542" s="159"/>
      <c r="U542" s="233"/>
      <c r="V542" s="233"/>
      <c r="W542" s="233"/>
      <c r="X542" s="233"/>
      <c r="Y542" s="233"/>
      <c r="Z542" s="208"/>
    </row>
    <row r="543" spans="1:26" x14ac:dyDescent="0.25">
      <c r="A543" s="62" t="s">
        <v>1578</v>
      </c>
      <c r="B543" s="31" t="s">
        <v>1618</v>
      </c>
      <c r="F543" s="31">
        <v>1</v>
      </c>
      <c r="O543" s="42">
        <f>C543*Prislapp!$C$2+D543*Prislapp!$D$2+E543*Prislapp!$E$2+F543*Prislapp!$F$2+G543*Prislapp!$G$2+H543*Prislapp!$H$2+I543*Prislapp!$I$2+J543*Prislapp!$J$2+K543*Prislapp!$K$2+L543*Prislapp!$L$2+M543*Prislapp!$M$2+N543*Prislapp!$N$2</f>
        <v>23641</v>
      </c>
      <c r="P543" s="42">
        <f>C543*Prislapp!$C$3+D543*Prislapp!$D$3+E543*Prislapp!$E$3+F543*Prislapp!$F$3+G543*Prislapp!$G$3+H543*Prislapp!$H$3+I543*Prislapp!$I$3+J543*Prislapp!$J$3+K543*Prislapp!$K$3+M543*Prislapp!$M$3+N543*Prislapp!$N$3</f>
        <v>28786</v>
      </c>
      <c r="Q543" s="42">
        <f>C543*Prislapp!$C$5+D543*Prislapp!$D$5+E543*Prislapp!$E$5+F543*Prislapp!$F$5+G543*Prislapp!$G$5+H543*Prislapp!$H$5+I543*Prislapp!$I$5+J543*Prislapp!$J$5+K543*Prislapp!$K$5+L543*Prislapp!$L$5+M543*Prislapp!$M$5+N543*Prislapp!$N$5</f>
        <v>5800</v>
      </c>
      <c r="R543" s="9">
        <f>VLOOKUP(A543,'Ansvar kurs'!$A$2:$B$830,2,FALSE)</f>
        <v>5740</v>
      </c>
    </row>
    <row r="544" spans="1:26" x14ac:dyDescent="0.25">
      <c r="A544" s="62" t="s">
        <v>1569</v>
      </c>
      <c r="B544" s="31" t="s">
        <v>1619</v>
      </c>
      <c r="F544" s="31">
        <v>1</v>
      </c>
      <c r="O544" s="42">
        <f>C544*Prislapp!$C$2+D544*Prislapp!$D$2+E544*Prislapp!$E$2+F544*Prislapp!$F$2+G544*Prislapp!$G$2+H544*Prislapp!$H$2+I544*Prislapp!$I$2+J544*Prislapp!$J$2+K544*Prislapp!$K$2+L544*Prislapp!$L$2+M544*Prislapp!$M$2+N544*Prislapp!$N$2</f>
        <v>23641</v>
      </c>
      <c r="P544" s="42">
        <f>C544*Prislapp!$C$3+D544*Prislapp!$D$3+E544*Prislapp!$E$3+F544*Prislapp!$F$3+G544*Prislapp!$G$3+H544*Prislapp!$H$3+I544*Prislapp!$I$3+J544*Prislapp!$J$3+K544*Prislapp!$K$3+M544*Prislapp!$M$3+N544*Prislapp!$N$3</f>
        <v>28786</v>
      </c>
      <c r="Q544" s="42">
        <f>C544*Prislapp!$C$5+D544*Prislapp!$D$5+E544*Prislapp!$E$5+F544*Prislapp!$F$5+G544*Prislapp!$G$5+H544*Prislapp!$H$5+I544*Prislapp!$I$5+J544*Prislapp!$J$5+K544*Prislapp!$K$5+L544*Prislapp!$L$5+M544*Prislapp!$M$5+N544*Prislapp!$N$5</f>
        <v>5800</v>
      </c>
      <c r="R544" s="9">
        <f>VLOOKUP(A544,'Ansvar kurs'!$A$2:$B$830,2,FALSE)</f>
        <v>5740</v>
      </c>
    </row>
    <row r="545" spans="1:26" x14ac:dyDescent="0.25">
      <c r="A545" s="62" t="s">
        <v>1706</v>
      </c>
      <c r="B545" s="31" t="s">
        <v>1707</v>
      </c>
      <c r="F545" s="31">
        <v>1</v>
      </c>
      <c r="O545" s="42">
        <f>C545*Prislapp!$C$2+D545*Prislapp!$D$2+E545*Prislapp!$E$2+F545*Prislapp!$F$2+G545*Prislapp!$G$2+H545*Prislapp!$H$2+I545*Prislapp!$I$2+J545*Prislapp!$J$2+K545*Prislapp!$K$2+L545*Prislapp!$L$2+M545*Prislapp!$M$2+N545*Prislapp!$N$2</f>
        <v>23641</v>
      </c>
      <c r="P545" s="42">
        <f>C545*Prislapp!$C$3+D545*Prislapp!$D$3+E545*Prislapp!$E$3+F545*Prislapp!$F$3+G545*Prislapp!$G$3+H545*Prislapp!$H$3+I545*Prislapp!$I$3+J545*Prislapp!$J$3+K545*Prislapp!$K$3+M545*Prislapp!$M$3+N545*Prislapp!$N$3</f>
        <v>28786</v>
      </c>
      <c r="Q545" s="42">
        <f>C545*Prislapp!$C$5+D545*Prislapp!$D$5+E545*Prislapp!$E$5+F545*Prislapp!$F$5+G545*Prislapp!$G$5+H545*Prislapp!$H$5+I545*Prislapp!$I$5+J545*Prislapp!$J$5+K545*Prislapp!$K$5+L545*Prislapp!$L$5+M545*Prislapp!$M$5+N545*Prislapp!$N$5</f>
        <v>5800</v>
      </c>
      <c r="R545" s="9">
        <f>VLOOKUP(A545,'Ansvar kurs'!$A$2:$B$830,2,FALSE)</f>
        <v>5740</v>
      </c>
    </row>
    <row r="546" spans="1:26" x14ac:dyDescent="0.25">
      <c r="A546" s="266" t="s">
        <v>1710</v>
      </c>
      <c r="B546" t="s">
        <v>1905</v>
      </c>
      <c r="I546" s="31">
        <v>1</v>
      </c>
      <c r="O546" s="42">
        <f>C546*Prislapp!$C$2+D546*Prislapp!$D$2+E546*Prislapp!$E$2+F546*Prislapp!$F$2+G546*Prislapp!$G$2+H546*Prislapp!$H$2+I546*Prislapp!$I$2+J546*Prislapp!$J$2+K546*Prislapp!$K$2+L546*Prislapp!$L$2+M546*Prislapp!$M$2+N546*Prislapp!$N$2</f>
        <v>18405</v>
      </c>
      <c r="P546" s="42">
        <f>C546*Prislapp!$C$3+D546*Prislapp!$D$3+E546*Prislapp!$E$3+F546*Prislapp!$F$3+G546*Prislapp!$G$3+H546*Prislapp!$H$3+I546*Prislapp!$I$3+J546*Prislapp!$J$3+K546*Prislapp!$K$3+M546*Prislapp!$M$3+N546*Prislapp!$N$3</f>
        <v>15773</v>
      </c>
      <c r="Q546" s="42">
        <f>C546*Prislapp!$C$5+D546*Prislapp!$D$5+E546*Prislapp!$E$5+F546*Prislapp!$F$5+G546*Prislapp!$G$5+H546*Prislapp!$H$5+I546*Prislapp!$I$5+J546*Prislapp!$J$5+K546*Prislapp!$K$5+L546*Prislapp!$L$5+M546*Prislapp!$M$5+N546*Prislapp!$N$5</f>
        <v>5800</v>
      </c>
      <c r="R546" s="9">
        <f>VLOOKUP(A546,'Ansvar kurs'!$A$2:$B$830,2,FALSE)</f>
        <v>2193</v>
      </c>
      <c r="S546" s="159"/>
      <c r="T546" s="159"/>
      <c r="U546" s="159"/>
      <c r="V546" s="159"/>
      <c r="W546" s="159"/>
      <c r="X546" s="159"/>
      <c r="Y546" s="159"/>
      <c r="Z546" s="159"/>
    </row>
    <row r="547" spans="1:26" x14ac:dyDescent="0.25">
      <c r="A547" s="295" t="s">
        <v>1739</v>
      </c>
      <c r="B547" t="s">
        <v>1656</v>
      </c>
      <c r="H547" s="31">
        <v>1</v>
      </c>
      <c r="O547" s="42">
        <f>C547*Prislapp!$C$2+D547*Prislapp!$D$2+E547*Prislapp!$E$2+F547*Prislapp!$F$2+G547*Prislapp!$G$2+H547*Prislapp!$H$2+I547*Prislapp!$I$2+J547*Prislapp!$J$2+K547*Prislapp!$K$2+L547*Prislapp!$L$2+M547*Prislapp!$M$2+N547*Prislapp!$N$2</f>
        <v>19473</v>
      </c>
      <c r="P547" s="42">
        <f>C547*Prislapp!$C$3+D547*Prislapp!$D$3+E547*Prislapp!$E$3+F547*Prislapp!$F$3+G547*Prislapp!$G$3+H547*Prislapp!$H$3+I547*Prislapp!$I$3+J547*Prislapp!$J$3+K547*Prislapp!$K$3+M547*Prislapp!$M$3+N547*Prislapp!$N$3</f>
        <v>34806</v>
      </c>
      <c r="Q547" s="42">
        <f>C547*Prislapp!$C$5+D547*Prislapp!$D$5+E547*Prislapp!$E$5+F547*Prislapp!$F$5+G547*Prislapp!$G$5+H547*Prislapp!$H$5+I547*Prislapp!$I$5+J547*Prislapp!$J$5+K547*Prislapp!$K$5+L547*Prislapp!$L$5+M547*Prislapp!$M$5+N547*Prislapp!$N$5</f>
        <v>21800</v>
      </c>
      <c r="R547" s="9">
        <f>VLOOKUP(A547,'Ansvar kurs'!$A$2:$B$830,2,FALSE)</f>
        <v>5740</v>
      </c>
      <c r="S547" s="159"/>
      <c r="T547" s="159"/>
      <c r="U547" s="159"/>
      <c r="V547" s="159"/>
      <c r="W547" s="159"/>
      <c r="X547" s="159"/>
      <c r="Y547" s="159"/>
      <c r="Z547" s="159"/>
    </row>
    <row r="548" spans="1:26" x14ac:dyDescent="0.25">
      <c r="A548" s="266" t="s">
        <v>1712</v>
      </c>
      <c r="B548" s="31" t="s">
        <v>1205</v>
      </c>
      <c r="I548" s="31">
        <v>1</v>
      </c>
      <c r="O548" s="42">
        <f>C548*Prislapp!$C$2+D548*Prislapp!$D$2+E548*Prislapp!$E$2+F548*Prislapp!$F$2+G548*Prislapp!$G$2+H548*Prislapp!$H$2+I548*Prislapp!$I$2+J548*Prislapp!$J$2+K548*Prislapp!$K$2+L548*Prislapp!$L$2+M548*Prislapp!$M$2+N548*Prislapp!$N$2</f>
        <v>18405</v>
      </c>
      <c r="P548" s="42">
        <f>C548*Prislapp!$C$3+D548*Prislapp!$D$3+E548*Prislapp!$E$3+F548*Prislapp!$F$3+G548*Prislapp!$G$3+H548*Prislapp!$H$3+I548*Prislapp!$I$3+J548*Prislapp!$J$3+K548*Prislapp!$K$3+M548*Prislapp!$M$3+N548*Prislapp!$N$3</f>
        <v>15773</v>
      </c>
      <c r="Q548" s="42">
        <f>C548*Prislapp!$C$5+D548*Prislapp!$D$5+E548*Prislapp!$E$5+F548*Prislapp!$F$5+G548*Prislapp!$G$5+H548*Prislapp!$H$5+I548*Prislapp!$I$5+J548*Prislapp!$J$5+K548*Prislapp!$K$5+L548*Prislapp!$L$5+M548*Prislapp!$M$5+N548*Prislapp!$N$5</f>
        <v>5800</v>
      </c>
      <c r="R548" s="9">
        <f>VLOOKUP(A548,'Ansvar kurs'!$A$2:$B$830,2,FALSE)</f>
        <v>2193</v>
      </c>
      <c r="S548" s="159"/>
      <c r="T548" s="159"/>
      <c r="U548" s="159"/>
      <c r="V548" s="159"/>
      <c r="W548" s="159"/>
      <c r="X548" s="159"/>
      <c r="Y548" s="159"/>
      <c r="Z548" s="159"/>
    </row>
    <row r="549" spans="1:26" x14ac:dyDescent="0.25">
      <c r="A549" s="266" t="s">
        <v>1713</v>
      </c>
      <c r="B549" s="31" t="s">
        <v>1205</v>
      </c>
      <c r="I549" s="31">
        <v>1</v>
      </c>
      <c r="O549" s="42">
        <f>C549*Prislapp!$C$2+D549*Prislapp!$D$2+E549*Prislapp!$E$2+F549*Prislapp!$F$2+G549*Prislapp!$G$2+H549*Prislapp!$H$2+I549*Prislapp!$I$2+J549*Prislapp!$J$2+K549*Prislapp!$K$2+L549*Prislapp!$L$2+M549*Prislapp!$M$2+N549*Prislapp!$N$2</f>
        <v>18405</v>
      </c>
      <c r="P549" s="42">
        <f>C549*Prislapp!$C$3+D549*Prislapp!$D$3+E549*Prislapp!$E$3+F549*Prislapp!$F$3+G549*Prislapp!$G$3+H549*Prislapp!$H$3+I549*Prislapp!$I$3+J549*Prislapp!$J$3+K549*Prislapp!$K$3+M549*Prislapp!$M$3+N549*Prislapp!$N$3</f>
        <v>15773</v>
      </c>
      <c r="Q549" s="42">
        <f>C549*Prislapp!$C$5+D549*Prislapp!$D$5+E549*Prislapp!$E$5+F549*Prislapp!$F$5+G549*Prislapp!$G$5+H549*Prislapp!$H$5+I549*Prislapp!$I$5+J549*Prislapp!$J$5+K549*Prislapp!$K$5+L549*Prislapp!$L$5+M549*Prislapp!$M$5+N549*Prislapp!$N$5</f>
        <v>5800</v>
      </c>
      <c r="R549" s="9">
        <f>VLOOKUP(A549,'Ansvar kurs'!$A$2:$B$830,2,FALSE)</f>
        <v>2193</v>
      </c>
      <c r="S549" s="159"/>
      <c r="T549" s="159"/>
      <c r="U549" s="159"/>
      <c r="V549" s="159"/>
      <c r="W549" s="159"/>
      <c r="X549" s="159"/>
      <c r="Y549" s="159"/>
      <c r="Z549" s="159"/>
    </row>
    <row r="550" spans="1:26" x14ac:dyDescent="0.25">
      <c r="A550" s="266" t="s">
        <v>1716</v>
      </c>
      <c r="B550" t="s">
        <v>1669</v>
      </c>
      <c r="I550" s="31">
        <v>1</v>
      </c>
      <c r="O550" s="42">
        <f>C550*Prislapp!$C$2+D550*Prislapp!$D$2+E550*Prislapp!$E$2+F550*Prislapp!$F$2+G550*Prislapp!$G$2+H550*Prislapp!$H$2+I550*Prislapp!$I$2+J550*Prislapp!$J$2+K550*Prislapp!$K$2+L550*Prislapp!$L$2+M550*Prislapp!$M$2+N550*Prislapp!$N$2</f>
        <v>18405</v>
      </c>
      <c r="P550" s="42">
        <f>C550*Prislapp!$C$3+D550*Prislapp!$D$3+E550*Prislapp!$E$3+F550*Prislapp!$F$3+G550*Prislapp!$G$3+H550*Prislapp!$H$3+I550*Prislapp!$I$3+J550*Prislapp!$J$3+K550*Prislapp!$K$3+M550*Prislapp!$M$3+N550*Prislapp!$N$3</f>
        <v>15773</v>
      </c>
      <c r="Q550" s="42">
        <f>C550*Prislapp!$C$5+D550*Prislapp!$D$5+E550*Prislapp!$E$5+F550*Prislapp!$F$5+G550*Prislapp!$G$5+H550*Prislapp!$H$5+I550*Prislapp!$I$5+J550*Prislapp!$J$5+K550*Prislapp!$K$5+L550*Prislapp!$L$5+M550*Prislapp!$M$5+N550*Prislapp!$N$5</f>
        <v>5800</v>
      </c>
      <c r="R550" s="9">
        <f>VLOOKUP(A550,'Ansvar kurs'!$A$2:$B$830,2,FALSE)</f>
        <v>2193</v>
      </c>
      <c r="S550" s="159"/>
      <c r="T550" s="159"/>
      <c r="U550" s="159"/>
      <c r="V550" s="159"/>
      <c r="W550" s="159"/>
      <c r="X550" s="159"/>
      <c r="Y550" s="159"/>
      <c r="Z550" s="159"/>
    </row>
    <row r="551" spans="1:26" x14ac:dyDescent="0.25">
      <c r="A551" s="295" t="s">
        <v>1740</v>
      </c>
      <c r="B551" t="s">
        <v>1668</v>
      </c>
      <c r="I551" s="31">
        <v>1</v>
      </c>
      <c r="O551" s="42">
        <f>C551*Prislapp!$C$2+D551*Prislapp!$D$2+E551*Prislapp!$E$2+F551*Prislapp!$F$2+G551*Prislapp!$G$2+H551*Prislapp!$H$2+I551*Prislapp!$I$2+J551*Prislapp!$J$2+K551*Prislapp!$K$2+L551*Prislapp!$L$2+M551*Prislapp!$M$2+N551*Prislapp!$N$2</f>
        <v>18405</v>
      </c>
      <c r="P551" s="42">
        <f>C551*Prislapp!$C$3+D551*Prislapp!$D$3+E551*Prislapp!$E$3+F551*Prislapp!$F$3+G551*Prislapp!$G$3+H551*Prislapp!$H$3+I551*Prislapp!$I$3+J551*Prislapp!$J$3+K551*Prislapp!$K$3+M551*Prislapp!$M$3+N551*Prislapp!$N$3</f>
        <v>15773</v>
      </c>
      <c r="Q551" s="42">
        <f>C551*Prislapp!$C$5+D551*Prislapp!$D$5+E551*Prislapp!$E$5+F551*Prislapp!$F$5+G551*Prislapp!$G$5+H551*Prislapp!$H$5+I551*Prislapp!$I$5+J551*Prislapp!$J$5+K551*Prislapp!$K$5+L551*Prislapp!$L$5+M551*Prislapp!$M$5+N551*Prislapp!$N$5</f>
        <v>5800</v>
      </c>
      <c r="R551" s="9">
        <f>VLOOKUP(A551,'Ansvar kurs'!$A$2:$B$830,2,FALSE)</f>
        <v>2193</v>
      </c>
      <c r="S551" s="159"/>
      <c r="T551" s="159"/>
      <c r="U551" s="159"/>
      <c r="V551" s="159"/>
      <c r="W551" s="159"/>
      <c r="X551" s="159"/>
      <c r="Y551" s="159"/>
      <c r="Z551" s="159"/>
    </row>
    <row r="552" spans="1:26" x14ac:dyDescent="0.25">
      <c r="A552" s="18" t="s">
        <v>2211</v>
      </c>
      <c r="B552" t="s">
        <v>1664</v>
      </c>
      <c r="I552" s="31">
        <v>1</v>
      </c>
      <c r="O552" s="42">
        <f>C552*Prislapp!$C$2+D552*Prislapp!$D$2+E552*Prislapp!$E$2+F552*Prislapp!$F$2+G552*Prislapp!$G$2+H552*Prislapp!$H$2+I552*Prislapp!$I$2+J552*Prislapp!$J$2+K552*Prislapp!$K$2+L552*Prislapp!$L$2+M552*Prislapp!$M$2+N552*Prislapp!$N$2</f>
        <v>18405</v>
      </c>
      <c r="P552" s="42">
        <f>C552*Prislapp!$C$3+D552*Prislapp!$D$3+E552*Prislapp!$E$3+F552*Prislapp!$F$3+G552*Prislapp!$G$3+H552*Prislapp!$H$3+I552*Prislapp!$I$3+J552*Prislapp!$J$3+K552*Prislapp!$K$3+M552*Prislapp!$M$3+N552*Prislapp!$N$3</f>
        <v>15773</v>
      </c>
      <c r="Q552" s="42">
        <f>C552*Prislapp!$C$5+D552*Prislapp!$D$5+E552*Prislapp!$E$5+F552*Prislapp!$F$5+G552*Prislapp!$G$5+H552*Prislapp!$H$5+I552*Prislapp!$I$5+J552*Prislapp!$J$5+K552*Prislapp!$K$5+L552*Prislapp!$L$5+M552*Prislapp!$M$5+N552*Prislapp!$N$5</f>
        <v>5800</v>
      </c>
      <c r="R552" s="9">
        <f>VLOOKUP(A552,'Ansvar kurs'!$A$2:$B$830,2,FALSE)</f>
        <v>2193</v>
      </c>
      <c r="S552" s="159"/>
      <c r="T552" s="159"/>
      <c r="U552" s="159"/>
      <c r="V552" s="159"/>
      <c r="W552" s="159"/>
      <c r="X552" s="159"/>
      <c r="Y552" s="159"/>
      <c r="Z552" s="159"/>
    </row>
    <row r="553" spans="1:26" x14ac:dyDescent="0.25">
      <c r="A553" s="18" t="s">
        <v>2212</v>
      </c>
      <c r="B553" t="s">
        <v>1665</v>
      </c>
      <c r="I553" s="31">
        <v>1</v>
      </c>
      <c r="O553" s="42">
        <f>C553*Prislapp!$C$2+D553*Prislapp!$D$2+E553*Prislapp!$E$2+F553*Prislapp!$F$2+G553*Prislapp!$G$2+H553*Prislapp!$H$2+I553*Prislapp!$I$2+J553*Prislapp!$J$2+K553*Prislapp!$K$2+L553*Prislapp!$L$2+M553*Prislapp!$M$2+N553*Prislapp!$N$2</f>
        <v>18405</v>
      </c>
      <c r="P553" s="42">
        <f>C553*Prislapp!$C$3+D553*Prislapp!$D$3+E553*Prislapp!$E$3+F553*Prislapp!$F$3+G553*Prislapp!$G$3+H553*Prislapp!$H$3+I553*Prislapp!$I$3+J553*Prislapp!$J$3+K553*Prislapp!$K$3+M553*Prislapp!$M$3+N553*Prislapp!$N$3</f>
        <v>15773</v>
      </c>
      <c r="Q553" s="42">
        <f>C553*Prislapp!$C$5+D553*Prislapp!$D$5+E553*Prislapp!$E$5+F553*Prislapp!$F$5+G553*Prislapp!$G$5+H553*Prislapp!$H$5+I553*Prislapp!$I$5+J553*Prislapp!$J$5+K553*Prislapp!$K$5+L553*Prislapp!$L$5+M553*Prislapp!$M$5+N553*Prislapp!$N$5</f>
        <v>5800</v>
      </c>
      <c r="R553" s="9">
        <f>VLOOKUP(A553,'Ansvar kurs'!$A$2:$B$830,2,FALSE)</f>
        <v>2193</v>
      </c>
      <c r="S553" s="159"/>
      <c r="T553" s="159"/>
      <c r="U553" s="159"/>
      <c r="V553" s="159"/>
      <c r="W553" s="159"/>
      <c r="X553" s="159"/>
      <c r="Y553" s="159"/>
      <c r="Z553" s="159"/>
    </row>
    <row r="554" spans="1:26" x14ac:dyDescent="0.25">
      <c r="A554" s="266" t="s">
        <v>1730</v>
      </c>
      <c r="B554" t="s">
        <v>1731</v>
      </c>
      <c r="K554" s="31">
        <v>1</v>
      </c>
      <c r="O554" s="42">
        <f>C554*Prislapp!$C$2+D554*Prislapp!$D$2+E554*Prislapp!$E$2+F554*Prislapp!$F$2+G554*Prislapp!$G$2+H554*Prislapp!$H$2+I554*Prislapp!$I$2+J554*Prislapp!$J$2+K554*Prislapp!$K$2+L554*Prislapp!$L$2+M554*Prislapp!$M$2+N554*Prislapp!$N$2</f>
        <v>21634</v>
      </c>
      <c r="P554" s="42">
        <f>C554*Prislapp!$C$3+D554*Prislapp!$D$3+E554*Prislapp!$E$3+F554*Prislapp!$F$3+G554*Prislapp!$G$3+H554*Prislapp!$H$3+I554*Prislapp!$I$3+J554*Prislapp!$J$3+K554*Prislapp!$K$3+M554*Prislapp!$M$3+N554*Prislapp!$N$3</f>
        <v>26986</v>
      </c>
      <c r="Q554" s="42">
        <f>C554*Prislapp!$C$5+D554*Prislapp!$D$5+E554*Prislapp!$E$5+F554*Prislapp!$F$5+G554*Prislapp!$G$5+H554*Prislapp!$H$5+I554*Prislapp!$I$5+J554*Prislapp!$J$5+K554*Prislapp!$K$5+L554*Prislapp!$L$5+M554*Prislapp!$M$5+N554*Prislapp!$N$5</f>
        <v>3400</v>
      </c>
      <c r="R554" s="9">
        <f>VLOOKUP(A554,'Ansvar kurs'!$A$2:$B$830,2,FALSE)</f>
        <v>2180</v>
      </c>
      <c r="S554" s="159"/>
      <c r="T554" s="159"/>
      <c r="U554" s="159"/>
      <c r="V554" s="159"/>
      <c r="W554" s="159"/>
      <c r="X554" s="159"/>
      <c r="Y554" s="159"/>
      <c r="Z554" s="159"/>
    </row>
    <row r="555" spans="1:26" x14ac:dyDescent="0.25">
      <c r="A555" s="62" t="s">
        <v>1732</v>
      </c>
      <c r="B555" s="31" t="s">
        <v>1733</v>
      </c>
      <c r="I555" s="31">
        <v>1</v>
      </c>
      <c r="O555" s="42">
        <f>C555*Prislapp!$C$2+D555*Prislapp!$D$2+E555*Prislapp!$E$2+F555*Prislapp!$F$2+G555*Prislapp!$G$2+H555*Prislapp!$H$2+I555*Prislapp!$I$2+J555*Prislapp!$J$2+K555*Prislapp!$K$2+L555*Prislapp!$L$2+M555*Prislapp!$M$2+N555*Prislapp!$N$2</f>
        <v>18405</v>
      </c>
      <c r="P555" s="42">
        <f>C555*Prislapp!$C$3+D555*Prislapp!$D$3+E555*Prislapp!$E$3+F555*Prislapp!$F$3+G555*Prislapp!$G$3+H555*Prislapp!$H$3+I555*Prislapp!$I$3+J555*Prislapp!$J$3+K555*Prislapp!$K$3+M555*Prislapp!$M$3+N555*Prislapp!$N$3</f>
        <v>15773</v>
      </c>
      <c r="Q555" s="42">
        <f>C555*Prislapp!$C$5+D555*Prislapp!$D$5+E555*Prislapp!$E$5+F555*Prislapp!$F$5+G555*Prislapp!$G$5+H555*Prislapp!$H$5+I555*Prislapp!$I$5+J555*Prislapp!$J$5+K555*Prislapp!$K$5+L555*Prislapp!$L$5+M555*Prislapp!$M$5+N555*Prislapp!$N$5</f>
        <v>5800</v>
      </c>
      <c r="R555" s="9">
        <f>VLOOKUP(A555,'Ansvar kurs'!$A$2:$B$830,2,FALSE)</f>
        <v>2193</v>
      </c>
    </row>
    <row r="556" spans="1:26" x14ac:dyDescent="0.25">
      <c r="A556" s="266" t="s">
        <v>1755</v>
      </c>
      <c r="B556" s="31" t="s">
        <v>1764</v>
      </c>
      <c r="K556" s="31">
        <v>1</v>
      </c>
      <c r="O556" s="42">
        <f>C556*Prislapp!$C$2+D556*Prislapp!$D$2+E556*Prislapp!$E$2+F556*Prislapp!$F$2+G556*Prislapp!$G$2+H556*Prislapp!$H$2+I556*Prislapp!$I$2+J556*Prislapp!$J$2+K556*Prislapp!$K$2+L556*Prislapp!$L$2+M556*Prislapp!$M$2+N556*Prislapp!$N$2</f>
        <v>21634</v>
      </c>
      <c r="P556" s="42">
        <f>C556*Prislapp!$C$3+D556*Prislapp!$D$3+E556*Prislapp!$E$3+F556*Prislapp!$F$3+G556*Prislapp!$G$3+H556*Prislapp!$H$3+I556*Prislapp!$I$3+J556*Prislapp!$J$3+K556*Prislapp!$K$3+M556*Prislapp!$M$3+N556*Prislapp!$N$3</f>
        <v>26986</v>
      </c>
      <c r="Q556" s="42">
        <f>C556*Prislapp!$C$5+D556*Prislapp!$D$5+E556*Prislapp!$E$5+F556*Prislapp!$F$5+G556*Prislapp!$G$5+H556*Prislapp!$H$5+I556*Prislapp!$I$5+J556*Prislapp!$J$5+K556*Prislapp!$K$5+L556*Prislapp!$L$5+M556*Prislapp!$M$5+N556*Prislapp!$N$5</f>
        <v>3400</v>
      </c>
      <c r="R556" s="9">
        <f>VLOOKUP(A556,'Ansvar kurs'!$A$2:$B$830,2,FALSE)</f>
        <v>2193</v>
      </c>
    </row>
    <row r="557" spans="1:26" x14ac:dyDescent="0.25">
      <c r="A557" s="62" t="s">
        <v>1734</v>
      </c>
      <c r="B557" s="31" t="s">
        <v>1426</v>
      </c>
      <c r="I557" s="31">
        <v>1</v>
      </c>
      <c r="O557" s="42">
        <f>C557*Prislapp!$C$2+D557*Prislapp!$D$2+E557*Prislapp!$E$2+F557*Prislapp!$F$2+G557*Prislapp!$G$2+H557*Prislapp!$H$2+I557*Prislapp!$I$2+J557*Prislapp!$J$2+K557*Prislapp!$K$2+L557*Prislapp!$L$2+M557*Prislapp!$M$2+N557*Prislapp!$N$2</f>
        <v>18405</v>
      </c>
      <c r="P557" s="42">
        <f>C557*Prislapp!$C$3+D557*Prislapp!$D$3+E557*Prislapp!$E$3+F557*Prislapp!$F$3+G557*Prislapp!$G$3+H557*Prislapp!$H$3+I557*Prislapp!$I$3+J557*Prislapp!$J$3+K557*Prislapp!$K$3+M557*Prislapp!$M$3+N557*Prislapp!$N$3</f>
        <v>15773</v>
      </c>
      <c r="Q557" s="42">
        <f>C557*Prislapp!$C$5+D557*Prislapp!$D$5+E557*Prislapp!$E$5+F557*Prislapp!$F$5+G557*Prislapp!$G$5+H557*Prislapp!$H$5+I557*Prislapp!$I$5+J557*Prislapp!$J$5+K557*Prislapp!$K$5+L557*Prislapp!$L$5+M557*Prislapp!$M$5+N557*Prislapp!$N$5</f>
        <v>5800</v>
      </c>
      <c r="R557" s="9">
        <f>VLOOKUP(A557,'Ansvar kurs'!$A$2:$B$830,2,FALSE)</f>
        <v>2193</v>
      </c>
    </row>
    <row r="558" spans="1:26" x14ac:dyDescent="0.25">
      <c r="A558" s="266" t="s">
        <v>1725</v>
      </c>
      <c r="B558" s="59" t="s">
        <v>1726</v>
      </c>
      <c r="K558" s="31">
        <v>1</v>
      </c>
      <c r="O558" s="42">
        <f>C558*Prislapp!$C$2+D558*Prislapp!$D$2+E558*Prislapp!$E$2+F558*Prislapp!$F$2+G558*Prislapp!$G$2+H558*Prislapp!$H$2+I558*Prislapp!$I$2+J558*Prislapp!$J$2+K558*Prislapp!$K$2+L558*Prislapp!$L$2+M558*Prislapp!$M$2+N558*Prislapp!$N$2</f>
        <v>21634</v>
      </c>
      <c r="P558" s="42">
        <f>C558*Prislapp!$C$3+D558*Prislapp!$D$3+E558*Prislapp!$E$3+F558*Prislapp!$F$3+G558*Prislapp!$G$3+H558*Prislapp!$H$3+I558*Prislapp!$I$3+J558*Prislapp!$J$3+K558*Prislapp!$K$3+M558*Prislapp!$M$3+N558*Prislapp!$N$3</f>
        <v>26986</v>
      </c>
      <c r="Q558" s="42">
        <f>C558*Prislapp!$C$5+D558*Prislapp!$D$5+E558*Prislapp!$E$5+F558*Prislapp!$F$5+G558*Prislapp!$G$5+H558*Prislapp!$H$5+I558*Prislapp!$I$5+J558*Prislapp!$J$5+K558*Prislapp!$K$5+L558*Prislapp!$L$5+M558*Prislapp!$M$5+N558*Prislapp!$N$5</f>
        <v>3400</v>
      </c>
      <c r="R558" s="9">
        <f>VLOOKUP(A558,'Ansvar kurs'!$A$2:$B$830,2,FALSE)</f>
        <v>2193</v>
      </c>
      <c r="S558" s="159"/>
      <c r="T558" s="159"/>
      <c r="U558" s="159"/>
      <c r="V558" s="159"/>
      <c r="W558" s="159"/>
      <c r="X558" s="159"/>
      <c r="Y558" s="159"/>
      <c r="Z558" s="159"/>
    </row>
    <row r="559" spans="1:26" x14ac:dyDescent="0.25">
      <c r="A559" s="266" t="s">
        <v>1727</v>
      </c>
      <c r="B559" s="59" t="s">
        <v>1728</v>
      </c>
      <c r="K559" s="31">
        <v>1</v>
      </c>
      <c r="O559" s="42">
        <f>C559*Prislapp!$C$2+D559*Prislapp!$D$2+E559*Prislapp!$E$2+F559*Prislapp!$F$2+G559*Prislapp!$G$2+H559*Prislapp!$H$2+I559*Prislapp!$I$2+J559*Prislapp!$J$2+K559*Prislapp!$K$2+L559*Prislapp!$L$2+M559*Prislapp!$M$2+N559*Prislapp!$N$2</f>
        <v>21634</v>
      </c>
      <c r="P559" s="42">
        <f>C559*Prislapp!$C$3+D559*Prislapp!$D$3+E559*Prislapp!$E$3+F559*Prislapp!$F$3+G559*Prislapp!$G$3+H559*Prislapp!$H$3+I559*Prislapp!$I$3+J559*Prislapp!$J$3+K559*Prislapp!$K$3+M559*Prislapp!$M$3+N559*Prislapp!$N$3</f>
        <v>26986</v>
      </c>
      <c r="Q559" s="42">
        <f>C559*Prislapp!$C$5+D559*Prislapp!$D$5+E559*Prislapp!$E$5+F559*Prislapp!$F$5+G559*Prislapp!$G$5+H559*Prislapp!$H$5+I559*Prislapp!$I$5+J559*Prislapp!$J$5+K559*Prislapp!$K$5+L559*Prislapp!$L$5+M559*Prislapp!$M$5+N559*Prislapp!$N$5</f>
        <v>3400</v>
      </c>
      <c r="R559" s="9">
        <f>VLOOKUP(A559,'Ansvar kurs'!$A$2:$B$830,2,FALSE)</f>
        <v>2193</v>
      </c>
      <c r="S559" s="159"/>
      <c r="T559" s="159"/>
      <c r="U559" s="159"/>
      <c r="V559" s="159"/>
      <c r="W559" s="159"/>
      <c r="X559" s="159"/>
      <c r="Y559" s="159"/>
      <c r="Z559" s="159"/>
    </row>
    <row r="560" spans="1:26" x14ac:dyDescent="0.25">
      <c r="A560" s="266" t="s">
        <v>1786</v>
      </c>
      <c r="B560" s="59" t="s">
        <v>1789</v>
      </c>
      <c r="I560" s="31">
        <v>1</v>
      </c>
      <c r="O560" s="42">
        <f>C560*Prislapp!$C$2+D560*Prislapp!$D$2+E560*Prislapp!$E$2+F560*Prislapp!$F$2+G560*Prislapp!$G$2+H560*Prislapp!$H$2+I560*Prislapp!$I$2+J560*Prislapp!$J$2+K560*Prislapp!$K$2+L560*Prislapp!$L$2+M560*Prislapp!$M$2+N560*Prislapp!$N$2</f>
        <v>18405</v>
      </c>
      <c r="P560" s="42">
        <f>C560*Prislapp!$C$3+D560*Prislapp!$D$3+E560*Prislapp!$E$3+F560*Prislapp!$F$3+G560*Prislapp!$G$3+H560*Prislapp!$H$3+I560*Prislapp!$I$3+J560*Prislapp!$J$3+K560*Prislapp!$K$3+M560*Prislapp!$M$3+N560*Prislapp!$N$3</f>
        <v>15773</v>
      </c>
      <c r="Q560" s="42">
        <f>C560*Prislapp!$C$5+D560*Prislapp!$D$5+E560*Prislapp!$E$5+F560*Prislapp!$F$5+G560*Prislapp!$G$5+H560*Prislapp!$H$5+I560*Prislapp!$I$5+J560*Prislapp!$J$5+K560*Prislapp!$K$5+L560*Prislapp!$L$5+M560*Prislapp!$M$5+N560*Prislapp!$N$5</f>
        <v>5800</v>
      </c>
      <c r="R560" s="9">
        <f>VLOOKUP(A560,'Ansvar kurs'!$A$2:$B$830,2,FALSE)</f>
        <v>2193</v>
      </c>
      <c r="S560" s="159"/>
      <c r="T560" s="159"/>
      <c r="U560" s="159"/>
      <c r="V560" s="159"/>
      <c r="W560" s="159"/>
      <c r="X560" s="159"/>
      <c r="Y560" s="159"/>
      <c r="Z560" s="159"/>
    </row>
    <row r="561" spans="1:26" x14ac:dyDescent="0.25">
      <c r="A561" s="266" t="s">
        <v>1765</v>
      </c>
      <c r="B561" s="313" t="s">
        <v>1766</v>
      </c>
      <c r="F561" s="31">
        <v>1</v>
      </c>
      <c r="O561" s="42">
        <f>C561*Prislapp!$C$2+D561*Prislapp!$D$2+E561*Prislapp!$E$2+F561*Prislapp!$F$2+G561*Prislapp!$G$2+H561*Prislapp!$H$2+I561*Prislapp!$I$2+J561*Prislapp!$J$2+K561*Prislapp!$K$2+L561*Prislapp!$L$2+M561*Prislapp!$M$2+N561*Prislapp!$N$2</f>
        <v>23641</v>
      </c>
      <c r="P561" s="42">
        <f>C561*Prislapp!$C$3+D561*Prislapp!$D$3+E561*Prislapp!$E$3+F561*Prislapp!$F$3+G561*Prislapp!$G$3+H561*Prislapp!$H$3+I561*Prislapp!$I$3+J561*Prislapp!$J$3+K561*Prislapp!$K$3+M561*Prislapp!$M$3+N561*Prislapp!$N$3</f>
        <v>28786</v>
      </c>
      <c r="Q561" s="42">
        <f>C561*Prislapp!$C$5+D561*Prislapp!$D$5+E561*Prislapp!$E$5+F561*Prislapp!$F$5+G561*Prislapp!$G$5+H561*Prislapp!$H$5+I561*Prislapp!$I$5+J561*Prislapp!$J$5+K561*Prislapp!$K$5+L561*Prislapp!$L$5+M561*Prislapp!$M$5+N561*Prislapp!$N$5</f>
        <v>5800</v>
      </c>
      <c r="R561" s="9">
        <f>VLOOKUP(A561,'Ansvar kurs'!$A$2:$B$830,2,FALSE)</f>
        <v>5740</v>
      </c>
      <c r="S561" s="159"/>
      <c r="T561" s="159"/>
      <c r="U561" s="159"/>
      <c r="V561" s="159"/>
      <c r="W561" s="159"/>
      <c r="X561" s="159"/>
      <c r="Y561" s="159"/>
      <c r="Z561" s="159"/>
    </row>
    <row r="562" spans="1:26" x14ac:dyDescent="0.25">
      <c r="A562" s="266" t="s">
        <v>1753</v>
      </c>
      <c r="B562" s="59" t="s">
        <v>1761</v>
      </c>
      <c r="K562" s="31">
        <v>1</v>
      </c>
      <c r="O562" s="42">
        <f>C562*Prislapp!$C$2+D562*Prislapp!$D$2+E562*Prislapp!$E$2+F562*Prislapp!$F$2+G562*Prislapp!$G$2+H562*Prislapp!$H$2+I562*Prislapp!$I$2+J562*Prislapp!$J$2+K562*Prislapp!$K$2+L562*Prislapp!$L$2+M562*Prislapp!$M$2+N562*Prislapp!$N$2</f>
        <v>21634</v>
      </c>
      <c r="P562" s="42">
        <f>C562*Prislapp!$C$3+D562*Prislapp!$D$3+E562*Prislapp!$E$3+F562*Prislapp!$F$3+G562*Prislapp!$G$3+H562*Prislapp!$H$3+I562*Prislapp!$I$3+J562*Prislapp!$J$3+K562*Prislapp!$K$3+M562*Prislapp!$M$3+N562*Prislapp!$N$3</f>
        <v>26986</v>
      </c>
      <c r="Q562" s="42">
        <f>C562*Prislapp!$C$5+D562*Prislapp!$D$5+E562*Prislapp!$E$5+F562*Prislapp!$F$5+G562*Prislapp!$G$5+H562*Prislapp!$H$5+I562*Prislapp!$I$5+J562*Prislapp!$J$5+K562*Prislapp!$K$5+L562*Prislapp!$L$5+M562*Prislapp!$M$5+N562*Prislapp!$N$5</f>
        <v>3400</v>
      </c>
      <c r="R562" s="9">
        <f>VLOOKUP(A562,'Ansvar kurs'!$A$2:$B$830,2,FALSE)</f>
        <v>5740</v>
      </c>
      <c r="S562" s="159"/>
      <c r="T562" s="159"/>
      <c r="U562" s="159"/>
      <c r="V562" s="159"/>
      <c r="W562" s="159"/>
      <c r="X562" s="159"/>
      <c r="Y562" s="159"/>
      <c r="Z562" s="159"/>
    </row>
    <row r="563" spans="1:26" x14ac:dyDescent="0.25">
      <c r="A563" s="266" t="s">
        <v>1752</v>
      </c>
      <c r="B563" s="59" t="s">
        <v>1760</v>
      </c>
      <c r="K563" s="31">
        <v>1</v>
      </c>
      <c r="O563" s="42">
        <f>C563*Prislapp!$C$2+D563*Prislapp!$D$2+E563*Prislapp!$E$2+F563*Prislapp!$F$2+G563*Prislapp!$G$2+H563*Prislapp!$H$2+I563*Prislapp!$I$2+J563*Prislapp!$J$2+K563*Prislapp!$K$2+L563*Prislapp!$L$2+M563*Prislapp!$M$2+N563*Prislapp!$N$2</f>
        <v>21634</v>
      </c>
      <c r="P563" s="42">
        <f>C563*Prislapp!$C$3+D563*Prislapp!$D$3+E563*Prislapp!$E$3+F563*Prislapp!$F$3+G563*Prislapp!$G$3+H563*Prislapp!$H$3+I563*Prislapp!$I$3+J563*Prislapp!$J$3+K563*Prislapp!$K$3+M563*Prislapp!$M$3+N563*Prislapp!$N$3</f>
        <v>26986</v>
      </c>
      <c r="Q563" s="42">
        <f>C563*Prislapp!$C$5+D563*Prislapp!$D$5+E563*Prislapp!$E$5+F563*Prislapp!$F$5+G563*Prislapp!$G$5+H563*Prislapp!$H$5+I563*Prislapp!$I$5+J563*Prislapp!$J$5+K563*Prislapp!$K$5+L563*Prislapp!$L$5+M563*Prislapp!$M$5+N563*Prislapp!$N$5</f>
        <v>3400</v>
      </c>
      <c r="R563" s="9">
        <f>VLOOKUP(A563,'Ansvar kurs'!$A$2:$B$830,2,FALSE)</f>
        <v>5740</v>
      </c>
      <c r="S563" s="159"/>
      <c r="T563" s="159"/>
      <c r="U563" s="159"/>
      <c r="V563" s="159"/>
      <c r="W563" s="159"/>
      <c r="X563" s="159"/>
      <c r="Y563" s="159"/>
      <c r="Z563" s="159"/>
    </row>
    <row r="564" spans="1:26" x14ac:dyDescent="0.25">
      <c r="A564" s="266" t="s">
        <v>1783</v>
      </c>
      <c r="B564" s="59" t="s">
        <v>1784</v>
      </c>
      <c r="K564" s="31">
        <v>1</v>
      </c>
      <c r="O564" s="42">
        <f>C564*Prislapp!$C$2+D564*Prislapp!$D$2+E564*Prislapp!$E$2+F564*Prislapp!$F$2+G564*Prislapp!$G$2+H564*Prislapp!$H$2+I564*Prislapp!$I$2+J564*Prislapp!$J$2+K564*Prislapp!$K$2+L564*Prislapp!$L$2+M564*Prislapp!$M$2+N564*Prislapp!$N$2</f>
        <v>21634</v>
      </c>
      <c r="P564" s="42">
        <f>C564*Prislapp!$C$3+D564*Prislapp!$D$3+E564*Prislapp!$E$3+F564*Prislapp!$F$3+G564*Prislapp!$G$3+H564*Prislapp!$H$3+I564*Prislapp!$I$3+J564*Prislapp!$J$3+K564*Prislapp!$K$3+M564*Prislapp!$M$3+N564*Prislapp!$N$3</f>
        <v>26986</v>
      </c>
      <c r="Q564" s="42">
        <f>C564*Prislapp!$C$5+D564*Prislapp!$D$5+E564*Prislapp!$E$5+F564*Prislapp!$F$5+G564*Prislapp!$G$5+H564*Prislapp!$H$5+I564*Prislapp!$I$5+J564*Prislapp!$J$5+K564*Prislapp!$K$5+L564*Prislapp!$L$5+M564*Prislapp!$M$5+N564*Prislapp!$N$5</f>
        <v>3400</v>
      </c>
      <c r="R564" s="9">
        <f>VLOOKUP(A564,'Ansvar kurs'!$A$2:$B$830,2,FALSE)</f>
        <v>2193</v>
      </c>
      <c r="S564" s="159"/>
      <c r="T564" s="159"/>
      <c r="U564" s="159"/>
      <c r="V564" s="159"/>
      <c r="W564" s="159"/>
      <c r="X564" s="159"/>
      <c r="Y564" s="159"/>
      <c r="Z564" s="159"/>
    </row>
    <row r="565" spans="1:26" x14ac:dyDescent="0.25">
      <c r="A565" s="62" t="s">
        <v>1865</v>
      </c>
      <c r="B565" s="31" t="s">
        <v>1427</v>
      </c>
      <c r="I565" s="31">
        <v>1</v>
      </c>
      <c r="O565" s="42">
        <f>C565*Prislapp!$C$2+D565*Prislapp!$D$2+E565*Prislapp!$E$2+F565*Prislapp!$F$2+G565*Prislapp!$G$2+H565*Prislapp!$H$2+I565*Prislapp!$I$2+J565*Prislapp!$J$2+K565*Prislapp!$K$2+L565*Prislapp!$L$2+M565*Prislapp!$M$2+N565*Prislapp!$N$2</f>
        <v>18405</v>
      </c>
      <c r="P565" s="42">
        <f>C565*Prislapp!$C$3+D565*Prislapp!$D$3+E565*Prislapp!$E$3+F565*Prislapp!$F$3+G565*Prislapp!$G$3+H565*Prislapp!$H$3+I565*Prislapp!$I$3+J565*Prislapp!$J$3+K565*Prislapp!$K$3+M565*Prislapp!$M$3+N565*Prislapp!$N$3</f>
        <v>15773</v>
      </c>
      <c r="Q565" s="42">
        <f>C565*Prislapp!$C$5+D565*Prislapp!$D$5+E565*Prislapp!$E$5+F565*Prislapp!$F$5+G565*Prislapp!$G$5+H565*Prislapp!$H$5+I565*Prislapp!$I$5+J565*Prislapp!$J$5+K565*Prislapp!$K$5+L565*Prislapp!$L$5+M565*Prislapp!$M$5+N565*Prislapp!$N$5</f>
        <v>5800</v>
      </c>
      <c r="R565" s="9">
        <f>VLOOKUP(A565,'Ansvar kurs'!$A$2:$B$830,2,FALSE)</f>
        <v>2193</v>
      </c>
    </row>
    <row r="566" spans="1:26" x14ac:dyDescent="0.25">
      <c r="A566" s="266" t="s">
        <v>1866</v>
      </c>
      <c r="B566" s="31" t="s">
        <v>1495</v>
      </c>
      <c r="F566" s="31">
        <v>1</v>
      </c>
      <c r="O566" s="42">
        <f>C566*Prislapp!$C$2+D566*Prislapp!$D$2+E566*Prislapp!$E$2+F566*Prislapp!$F$2+G566*Prislapp!$G$2+H566*Prislapp!$H$2+I566*Prislapp!$I$2+J566*Prislapp!$J$2+K566*Prislapp!$K$2+L566*Prislapp!$L$2+M566*Prislapp!$M$2+N566*Prislapp!$N$2</f>
        <v>23641</v>
      </c>
      <c r="P566" s="42">
        <f>C566*Prislapp!$C$3+D566*Prislapp!$D$3+E566*Prislapp!$E$3+F566*Prislapp!$F$3+G566*Prislapp!$G$3+H566*Prislapp!$H$3+I566*Prislapp!$I$3+J566*Prislapp!$J$3+K566*Prislapp!$K$3+M566*Prislapp!$M$3+N566*Prislapp!$N$3</f>
        <v>28786</v>
      </c>
      <c r="Q566" s="42">
        <f>C566*Prislapp!$C$5+D566*Prislapp!$D$5+E566*Prislapp!$E$5+F566*Prislapp!$F$5+G566*Prislapp!$G$5+H566*Prislapp!$H$5+I566*Prislapp!$I$5+J566*Prislapp!$J$5+K566*Prislapp!$K$5+L566*Prislapp!$L$5+M566*Prislapp!$M$5+N566*Prislapp!$N$5</f>
        <v>5800</v>
      </c>
      <c r="R566" s="9">
        <f>VLOOKUP(A566,'Ansvar kurs'!$A$2:$B$830,2,FALSE)</f>
        <v>2193</v>
      </c>
    </row>
    <row r="567" spans="1:26" x14ac:dyDescent="0.25">
      <c r="A567" s="266" t="s">
        <v>1867</v>
      </c>
      <c r="B567" s="31" t="s">
        <v>1878</v>
      </c>
      <c r="F567" s="31">
        <v>1</v>
      </c>
      <c r="O567" s="42">
        <f>C567*Prislapp!$C$2+D567*Prislapp!$D$2+E567*Prislapp!$E$2+F567*Prislapp!$F$2+G567*Prislapp!$G$2+H567*Prislapp!$H$2+I567*Prislapp!$I$2+J567*Prislapp!$J$2+K567*Prislapp!$K$2+L567*Prislapp!$L$2+M567*Prislapp!$M$2+N567*Prislapp!$N$2</f>
        <v>23641</v>
      </c>
      <c r="P567" s="42">
        <f>C567*Prislapp!$C$3+D567*Prislapp!$D$3+E567*Prislapp!$E$3+F567*Prislapp!$F$3+G567*Prislapp!$G$3+H567*Prislapp!$H$3+I567*Prislapp!$I$3+J567*Prislapp!$J$3+K567*Prislapp!$K$3+M567*Prislapp!$M$3+N567*Prislapp!$N$3</f>
        <v>28786</v>
      </c>
      <c r="Q567" s="42">
        <f>C567*Prislapp!$C$5+D567*Prislapp!$D$5+E567*Prislapp!$E$5+F567*Prislapp!$F$5+G567*Prislapp!$G$5+H567*Prislapp!$H$5+I567*Prislapp!$I$5+J567*Prislapp!$J$5+K567*Prislapp!$K$5+L567*Prislapp!$L$5+M567*Prislapp!$M$5+N567*Prislapp!$N$5</f>
        <v>5800</v>
      </c>
      <c r="R567" s="9">
        <f>VLOOKUP(A567,'Ansvar kurs'!$A$2:$B$830,2,FALSE)</f>
        <v>2193</v>
      </c>
    </row>
    <row r="568" spans="1:26" x14ac:dyDescent="0.25">
      <c r="A568" s="266" t="s">
        <v>1907</v>
      </c>
      <c r="B568" s="31" t="s">
        <v>1906</v>
      </c>
      <c r="I568" s="31">
        <v>1</v>
      </c>
      <c r="O568" s="42">
        <f>C568*Prislapp!$C$2+D568*Prislapp!$D$2+E568*Prislapp!$E$2+F568*Prislapp!$F$2+G568*Prislapp!$G$2+H568*Prislapp!$H$2+I568*Prislapp!$I$2+J568*Prislapp!$J$2+K568*Prislapp!$K$2+L568*Prislapp!$L$2+M568*Prislapp!$M$2+N568*Prislapp!$N$2</f>
        <v>18405</v>
      </c>
      <c r="P568" s="42">
        <f>C568*Prislapp!$C$3+D568*Prislapp!$D$3+E568*Prislapp!$E$3+F568*Prislapp!$F$3+G568*Prislapp!$G$3+H568*Prislapp!$H$3+I568*Prislapp!$I$3+J568*Prislapp!$J$3+K568*Prislapp!$K$3+M568*Prislapp!$M$3+N568*Prislapp!$N$3</f>
        <v>15773</v>
      </c>
      <c r="Q568" s="42">
        <f>C568*Prislapp!$C$5+D568*Prislapp!$D$5+E568*Prislapp!$E$5+F568*Prislapp!$F$5+G568*Prislapp!$G$5+H568*Prislapp!$H$5+I568*Prislapp!$I$5+J568*Prislapp!$J$5+K568*Prislapp!$K$5+L568*Prislapp!$L$5+M568*Prislapp!$M$5+N568*Prislapp!$N$5</f>
        <v>5800</v>
      </c>
      <c r="R568" s="9">
        <f>VLOOKUP(A568,'Ansvar kurs'!$A$2:$B$830,2,FALSE)</f>
        <v>2193</v>
      </c>
      <c r="S568" s="159"/>
      <c r="T568" s="159"/>
      <c r="U568" s="159"/>
      <c r="V568" s="159"/>
      <c r="W568" s="159"/>
      <c r="X568" s="159"/>
      <c r="Y568" s="159"/>
      <c r="Z568" s="159"/>
    </row>
    <row r="569" spans="1:26" x14ac:dyDescent="0.25">
      <c r="A569" s="59" t="s">
        <v>1889</v>
      </c>
      <c r="B569" s="31" t="s">
        <v>1890</v>
      </c>
      <c r="F569" s="31">
        <v>1</v>
      </c>
      <c r="O569" s="42">
        <f>C569*Prislapp!$C$2+D569*Prislapp!$D$2+E569*Prislapp!$E$2+F569*Prislapp!$F$2+G569*Prislapp!$G$2+H569*Prislapp!$H$2+I569*Prislapp!$I$2+J569*Prislapp!$J$2+K569*Prislapp!$K$2+L569*Prislapp!$L$2+M569*Prislapp!$M$2+N569*Prislapp!$N$2</f>
        <v>23641</v>
      </c>
      <c r="P569" s="42">
        <f>C569*Prislapp!$C$3+D569*Prislapp!$D$3+E569*Prislapp!$E$3+F569*Prislapp!$F$3+G569*Prislapp!$G$3+H569*Prislapp!$H$3+I569*Prislapp!$I$3+J569*Prislapp!$J$3+K569*Prislapp!$K$3+M569*Prislapp!$M$3+N569*Prislapp!$N$3</f>
        <v>28786</v>
      </c>
      <c r="Q569" s="42">
        <f>C569*Prislapp!$C$5+D569*Prislapp!$D$5+E569*Prislapp!$E$5+F569*Prislapp!$F$5+G569*Prislapp!$G$5+H569*Prislapp!$H$5+I569*Prislapp!$I$5+J569*Prislapp!$J$5+K569*Prislapp!$K$5+L569*Prislapp!$L$5+M569*Prislapp!$M$5+N569*Prislapp!$N$5</f>
        <v>5800</v>
      </c>
      <c r="R569" s="9">
        <f>VLOOKUP(A569,'Ansvar kurs'!$A$2:$B$830,2,FALSE)</f>
        <v>5740</v>
      </c>
      <c r="S569" s="159"/>
      <c r="T569" s="31" t="s">
        <v>1301</v>
      </c>
    </row>
    <row r="570" spans="1:26" ht="15.75" x14ac:dyDescent="0.25">
      <c r="A570" s="417" t="s">
        <v>1887</v>
      </c>
      <c r="B570" s="295" t="s">
        <v>1220</v>
      </c>
      <c r="C570" s="295"/>
      <c r="D570" s="295"/>
      <c r="E570" s="295"/>
      <c r="F570" s="295">
        <v>1</v>
      </c>
      <c r="G570" s="295"/>
      <c r="H570" s="295"/>
      <c r="I570" s="295"/>
      <c r="J570" s="295"/>
      <c r="K570" s="295"/>
      <c r="L570" s="295"/>
      <c r="M570" s="295"/>
      <c r="N570" s="295"/>
      <c r="O570" s="414">
        <f>C570*Prislapp!$C$2+D570*Prislapp!$D$2+E570*Prislapp!$E$2+F570*Prislapp!$F$2+G570*Prislapp!$G$2+H570*Prislapp!$H$2+I570*Prislapp!$I$2+J570*Prislapp!$J$2+K570*Prislapp!$K$2+L570*Prislapp!$L$2+M570*Prislapp!$M$2+N570*Prislapp!$N$2</f>
        <v>23641</v>
      </c>
      <c r="P570" s="414">
        <f>C570*Prislapp!$C$3+D570*Prislapp!$D$3+E570*Prislapp!$E$3+F570*Prislapp!$F$3+G570*Prislapp!$G$3+H570*Prislapp!$H$3+I570*Prislapp!$I$3+J570*Prislapp!$J$3+K570*Prislapp!$K$3+M570*Prislapp!$M$3+N570*Prislapp!$N$3</f>
        <v>28786</v>
      </c>
      <c r="Q570" s="414">
        <f>C570*Prislapp!$C$5+D570*Prislapp!$D$5+E570*Prislapp!$E$5+F570*Prislapp!$F$5+G570*Prislapp!$G$5+H570*Prislapp!$H$5+I570*Prislapp!$I$5+J570*Prislapp!$J$5+K570*Prislapp!$K$5+L570*Prislapp!$L$5+M570*Prislapp!$M$5+N570*Prislapp!$N$5</f>
        <v>5800</v>
      </c>
      <c r="R570" s="415">
        <f>VLOOKUP(A570,'Ansvar kurs'!$A$2:$B$830,2,FALSE)</f>
        <v>5740</v>
      </c>
      <c r="S570" s="337" t="s">
        <v>1925</v>
      </c>
    </row>
    <row r="571" spans="1:26" ht="15.75" x14ac:dyDescent="0.25">
      <c r="A571" s="417" t="s">
        <v>1888</v>
      </c>
      <c r="B571" s="295" t="s">
        <v>1221</v>
      </c>
      <c r="C571" s="295"/>
      <c r="D571" s="295"/>
      <c r="E571" s="295"/>
      <c r="F571" s="295">
        <v>1</v>
      </c>
      <c r="G571" s="295"/>
      <c r="H571" s="295"/>
      <c r="I571" s="295"/>
      <c r="J571" s="295"/>
      <c r="K571" s="295"/>
      <c r="L571" s="295"/>
      <c r="M571" s="295"/>
      <c r="N571" s="295"/>
      <c r="O571" s="414">
        <f>C571*Prislapp!$C$2+D571*Prislapp!$D$2+E571*Prislapp!$E$2+F571*Prislapp!$F$2+G571*Prislapp!$G$2+H571*Prislapp!$H$2+I571*Prislapp!$I$2+J571*Prislapp!$J$2+K571*Prislapp!$K$2+L571*Prislapp!$L$2+M571*Prislapp!$M$2+N571*Prislapp!$N$2</f>
        <v>23641</v>
      </c>
      <c r="P571" s="414">
        <f>C571*Prislapp!$C$3+D571*Prislapp!$D$3+E571*Prislapp!$E$3+F571*Prislapp!$F$3+G571*Prislapp!$G$3+H571*Prislapp!$H$3+I571*Prislapp!$I$3+J571*Prislapp!$J$3+K571*Prislapp!$K$3+M571*Prislapp!$M$3+N571*Prislapp!$N$3</f>
        <v>28786</v>
      </c>
      <c r="Q571" s="414">
        <f>C571*Prislapp!$C$5+D571*Prislapp!$D$5+E571*Prislapp!$E$5+F571*Prislapp!$F$5+G571*Prislapp!$G$5+H571*Prislapp!$H$5+I571*Prislapp!$I$5+J571*Prislapp!$J$5+K571*Prislapp!$K$5+L571*Prislapp!$L$5+M571*Prislapp!$M$5+N571*Prislapp!$N$5</f>
        <v>5800</v>
      </c>
      <c r="R571" s="415">
        <f>VLOOKUP(A571,'Ansvar kurs'!$A$2:$B$830,2,FALSE)</f>
        <v>5740</v>
      </c>
      <c r="S571" s="337" t="s">
        <v>1925</v>
      </c>
    </row>
    <row r="572" spans="1:26" ht="15.75" x14ac:dyDescent="0.25">
      <c r="A572" s="417" t="s">
        <v>1912</v>
      </c>
      <c r="B572" s="337" t="s">
        <v>1913</v>
      </c>
      <c r="C572" s="295"/>
      <c r="D572" s="295"/>
      <c r="E572" s="295"/>
      <c r="F572" s="295">
        <v>1</v>
      </c>
      <c r="G572" s="295"/>
      <c r="H572" s="295"/>
      <c r="I572" s="295"/>
      <c r="J572" s="295"/>
      <c r="K572" s="295"/>
      <c r="L572" s="295"/>
      <c r="M572" s="295"/>
      <c r="N572" s="295"/>
      <c r="O572" s="414">
        <f>C572*Prislapp!$C$2+D572*Prislapp!$D$2+E572*Prislapp!$E$2+F572*Prislapp!$F$2+G572*Prislapp!$G$2+H572*Prislapp!$H$2+I572*Prislapp!$I$2+J572*Prislapp!$J$2+K572*Prislapp!$K$2+L572*Prislapp!$L$2+M572*Prislapp!$M$2+N572*Prislapp!$N$2</f>
        <v>23641</v>
      </c>
      <c r="P572" s="414">
        <f>C572*Prislapp!$C$3+D572*Prislapp!$D$3+E572*Prislapp!$E$3+F572*Prislapp!$F$3+G572*Prislapp!$G$3+H572*Prislapp!$H$3+I572*Prislapp!$I$3+J572*Prislapp!$J$3+K572*Prislapp!$K$3+M572*Prislapp!$M$3+N572*Prislapp!$N$3</f>
        <v>28786</v>
      </c>
      <c r="Q572" s="414">
        <f>C572*Prislapp!$C$5+D572*Prislapp!$D$5+E572*Prislapp!$E$5+F572*Prislapp!$F$5+G572*Prislapp!$G$5+H572*Prislapp!$H$5+I572*Prislapp!$I$5+J572*Prislapp!$J$5+K572*Prislapp!$K$5+L572*Prislapp!$L$5+M572*Prislapp!$M$5+N572*Prislapp!$N$5</f>
        <v>5800</v>
      </c>
      <c r="R572" s="415">
        <f>VLOOKUP(A572,'Ansvar kurs'!$A$2:$B$830,2,FALSE)</f>
        <v>5740</v>
      </c>
      <c r="S572" s="337" t="s">
        <v>1925</v>
      </c>
    </row>
    <row r="573" spans="1:26" x14ac:dyDescent="0.25">
      <c r="A573" s="59" t="s">
        <v>1891</v>
      </c>
      <c r="B573" s="31" t="s">
        <v>1294</v>
      </c>
      <c r="K573" s="31">
        <v>1</v>
      </c>
      <c r="O573" s="42">
        <f>C573*Prislapp!$C$2+D573*Prislapp!$D$2+E573*Prislapp!$E$2+F573*Prislapp!$F$2+G573*Prislapp!$G$2+H573*Prislapp!$H$2+I573*Prislapp!$I$2+J573*Prislapp!$J$2+K573*Prislapp!$K$2+L573*Prislapp!$L$2+M573*Prislapp!$M$2+N573*Prislapp!$N$2</f>
        <v>21634</v>
      </c>
      <c r="P573" s="42">
        <f>C573*Prislapp!$C$3+D573*Prislapp!$D$3+E573*Prislapp!$E$3+F573*Prislapp!$F$3+G573*Prislapp!$G$3+H573*Prislapp!$H$3+I573*Prislapp!$I$3+J573*Prislapp!$J$3+K573*Prislapp!$K$3+M573*Prislapp!$M$3+N573*Prislapp!$N$3</f>
        <v>26986</v>
      </c>
      <c r="Q573" s="42">
        <f>C573*Prislapp!$C$5+D573*Prislapp!$D$5+E573*Prislapp!$E$5+F573*Prislapp!$F$5+G573*Prislapp!$G$5+H573*Prislapp!$H$5+I573*Prislapp!$I$5+J573*Prislapp!$J$5+K573*Prislapp!$K$5+L573*Prislapp!$L$5+M573*Prislapp!$M$5+N573*Prislapp!$N$5</f>
        <v>3400</v>
      </c>
      <c r="R573" s="9">
        <f>VLOOKUP(A573,'Ansvar kurs'!$A$2:$B$830,2,FALSE)</f>
        <v>5740</v>
      </c>
      <c r="S573" s="159"/>
      <c r="T573" s="31" t="s">
        <v>1389</v>
      </c>
    </row>
    <row r="574" spans="1:26" x14ac:dyDescent="0.25">
      <c r="A574" s="62" t="s">
        <v>2123</v>
      </c>
      <c r="B574" s="62" t="s">
        <v>1806</v>
      </c>
      <c r="K574" s="31">
        <v>1</v>
      </c>
      <c r="O574" s="42">
        <f>C574*Prislapp!$C$2+D574*Prislapp!$D$2+E574*Prislapp!$E$2+F574*Prislapp!$F$2+G574*Prislapp!$G$2+H574*Prislapp!$H$2+I574*Prislapp!$I$2+J574*Prislapp!$J$2+K574*Prislapp!$K$2+L574*Prislapp!$L$2+M574*Prislapp!$M$2+N574*Prislapp!$N$2</f>
        <v>21634</v>
      </c>
      <c r="P574" s="42">
        <f>C574*Prislapp!$C$3+D574*Prislapp!$D$3+E574*Prislapp!$E$3+F574*Prislapp!$F$3+G574*Prislapp!$G$3+H574*Prislapp!$H$3+I574*Prislapp!$I$3+J574*Prislapp!$J$3+K574*Prislapp!$K$3+M574*Prislapp!$M$3+N574*Prislapp!$N$3</f>
        <v>26986</v>
      </c>
      <c r="Q574" s="42">
        <f>C574*Prislapp!$C$5+D574*Prislapp!$D$5+E574*Prislapp!$E$5+F574*Prislapp!$F$5+G574*Prislapp!$G$5+H574*Prislapp!$H$5+I574*Prislapp!$I$5+J574*Prislapp!$J$5+K574*Prislapp!$K$5+L574*Prislapp!$L$5+M574*Prislapp!$M$5+N574*Prislapp!$N$5</f>
        <v>3400</v>
      </c>
      <c r="R574" s="9">
        <f>VLOOKUP(A574,'Ansvar kurs'!$A$2:$B$830,2,FALSE)</f>
        <v>5740</v>
      </c>
      <c r="S574" s="159"/>
      <c r="T574" s="159"/>
      <c r="U574" s="159"/>
      <c r="V574" s="159"/>
      <c r="W574" s="159"/>
      <c r="X574" s="159"/>
      <c r="Y574" s="159"/>
      <c r="Z574" s="159"/>
    </row>
    <row r="575" spans="1:26" x14ac:dyDescent="0.25">
      <c r="A575" s="59" t="s">
        <v>2013</v>
      </c>
      <c r="B575" s="31" t="s">
        <v>2025</v>
      </c>
      <c r="K575" s="31">
        <v>1</v>
      </c>
      <c r="O575" s="42">
        <f>C575*Prislapp!$C$2+D575*Prislapp!$D$2+E575*Prislapp!$E$2+F575*Prislapp!$F$2+G575*Prislapp!$G$2+H575*Prislapp!$H$2+I575*Prislapp!$I$2+J575*Prislapp!$J$2+K575*Prislapp!$K$2+L575*Prislapp!$L$2+M575*Prislapp!$M$2+N575*Prislapp!$N$2</f>
        <v>21634</v>
      </c>
      <c r="P575" s="42">
        <f>C575*Prislapp!$C$3+D575*Prislapp!$D$3+E575*Prislapp!$E$3+F575*Prislapp!$F$3+G575*Prislapp!$G$3+H575*Prislapp!$H$3+I575*Prislapp!$I$3+J575*Prislapp!$J$3+K575*Prislapp!$K$3+M575*Prislapp!$M$3+N575*Prislapp!$N$3</f>
        <v>26986</v>
      </c>
      <c r="Q575" s="42">
        <f>C575*Prislapp!$C$5+D575*Prislapp!$D$5+E575*Prislapp!$E$5+F575*Prislapp!$F$5+G575*Prislapp!$G$5+H575*Prislapp!$H$5+I575*Prislapp!$I$5+J575*Prislapp!$J$5+K575*Prislapp!$K$5+L575*Prislapp!$L$5+M575*Prislapp!$M$5+N575*Prislapp!$N$5</f>
        <v>3400</v>
      </c>
      <c r="R575" s="9">
        <f>VLOOKUP(A575,'Ansvar kurs'!$A$2:$B$830,2,FALSE)</f>
        <v>2180</v>
      </c>
      <c r="S575" s="159"/>
    </row>
    <row r="576" spans="1:26" x14ac:dyDescent="0.25">
      <c r="A576" s="59" t="s">
        <v>2014</v>
      </c>
      <c r="B576" s="31" t="s">
        <v>2026</v>
      </c>
      <c r="K576" s="31">
        <v>1</v>
      </c>
      <c r="O576" s="42">
        <f>C576*Prislapp!$C$2+D576*Prislapp!$D$2+E576*Prislapp!$E$2+F576*Prislapp!$F$2+G576*Prislapp!$G$2+H576*Prislapp!$H$2+I576*Prislapp!$I$2+J576*Prislapp!$J$2+K576*Prislapp!$K$2+L576*Prislapp!$L$2+M576*Prislapp!$M$2+N576*Prislapp!$N$2</f>
        <v>21634</v>
      </c>
      <c r="P576" s="42">
        <f>C576*Prislapp!$C$3+D576*Prislapp!$D$3+E576*Prislapp!$E$3+F576*Prislapp!$F$3+G576*Prislapp!$G$3+H576*Prislapp!$H$3+I576*Prislapp!$I$3+J576*Prislapp!$J$3+K576*Prislapp!$K$3+M576*Prislapp!$M$3+N576*Prislapp!$N$3</f>
        <v>26986</v>
      </c>
      <c r="Q576" s="42">
        <f>C576*Prislapp!$C$5+D576*Prislapp!$D$5+E576*Prislapp!$E$5+F576*Prislapp!$F$5+G576*Prislapp!$G$5+H576*Prislapp!$H$5+I576*Prislapp!$I$5+J576*Prislapp!$J$5+K576*Prislapp!$K$5+L576*Prislapp!$L$5+M576*Prislapp!$M$5+N576*Prislapp!$N$5</f>
        <v>3400</v>
      </c>
      <c r="R576" s="9">
        <f>VLOOKUP(A576,'Ansvar kurs'!$A$2:$B$830,2,FALSE)</f>
        <v>2180</v>
      </c>
      <c r="S576" s="159"/>
    </row>
    <row r="577" spans="1:26" x14ac:dyDescent="0.25">
      <c r="A577" s="9" t="s">
        <v>2190</v>
      </c>
      <c r="B577" s="39" t="s">
        <v>2071</v>
      </c>
      <c r="I577" s="431">
        <v>1</v>
      </c>
      <c r="O577" s="42">
        <f>C577*Prislapp!$C$2+D577*Prislapp!$D$2+E577*Prislapp!$E$2+F577*Prislapp!$F$2+G577*Prislapp!$G$2+H577*Prislapp!$H$2+I577*Prislapp!$I$2+J577*Prislapp!$J$2+K577*Prislapp!$K$2+L577*Prislapp!$L$2+M577*Prislapp!$M$2+N577*Prislapp!$N$2</f>
        <v>18405</v>
      </c>
      <c r="P577" s="42">
        <f>C577*Prislapp!$C$3+D577*Prislapp!$D$3+E577*Prislapp!$E$3+F577*Prislapp!$F$3+G577*Prislapp!$G$3+H577*Prislapp!$H$3+I577*Prislapp!$I$3+J577*Prislapp!$J$3+K577*Prislapp!$K$3+M577*Prislapp!$M$3+N577*Prislapp!$N$3</f>
        <v>15773</v>
      </c>
      <c r="Q577" s="42">
        <f>C577*Prislapp!$C$5+D577*Prislapp!$D$5+E577*Prislapp!$E$5+F577*Prislapp!$F$5+G577*Prislapp!$G$5+H577*Prislapp!$H$5+I577*Prislapp!$I$5+J577*Prislapp!$J$5+K577*Prislapp!$K$5+L577*Prislapp!$L$5+M577*Prislapp!$M$5+N577*Prislapp!$N$5</f>
        <v>5800</v>
      </c>
      <c r="R577" s="9">
        <f>VLOOKUP(A577,'Ansvar kurs'!$A$2:$B$830,2,FALSE)</f>
        <v>2180</v>
      </c>
      <c r="S577" s="186" t="s">
        <v>2072</v>
      </c>
      <c r="T577" s="186"/>
      <c r="U577" s="159"/>
      <c r="V577" s="159"/>
      <c r="W577" s="159"/>
      <c r="X577" s="159"/>
      <c r="Y577" s="159"/>
      <c r="Z577" s="159"/>
    </row>
    <row r="578" spans="1:26" x14ac:dyDescent="0.25">
      <c r="A578" s="186" t="s">
        <v>2184</v>
      </c>
      <c r="B578" s="31" t="s">
        <v>2092</v>
      </c>
      <c r="I578" s="431">
        <v>1</v>
      </c>
      <c r="O578" s="42">
        <f>C578*Prislapp!$C$2+D578*Prislapp!$D$2+E578*Prislapp!$E$2+F578*Prislapp!$F$2+G578*Prislapp!$G$2+H578*Prislapp!$H$2+I578*Prislapp!$I$2+J578*Prislapp!$J$2+K578*Prislapp!$K$2+L578*Prislapp!$L$2+M578*Prislapp!$M$2+N578*Prislapp!$N$2</f>
        <v>18405</v>
      </c>
      <c r="P578" s="42">
        <f>C578*Prislapp!$C$3+D578*Prislapp!$D$3+E578*Prislapp!$E$3+F578*Prislapp!$F$3+G578*Prislapp!$G$3+H578*Prislapp!$H$3+I578*Prislapp!$I$3+J578*Prislapp!$J$3+K578*Prislapp!$K$3+M578*Prislapp!$M$3+N578*Prislapp!$N$3</f>
        <v>15773</v>
      </c>
      <c r="Q578" s="42">
        <f>C578*Prislapp!$C$5+D578*Prislapp!$D$5+E578*Prislapp!$E$5+F578*Prislapp!$F$5+G578*Prislapp!$G$5+H578*Prislapp!$H$5+I578*Prislapp!$I$5+J578*Prislapp!$J$5+K578*Prislapp!$K$5+L578*Prislapp!$L$5+M578*Prislapp!$M$5+N578*Prislapp!$N$5</f>
        <v>5800</v>
      </c>
      <c r="R578" s="9">
        <f>VLOOKUP(A578,'Ansvar kurs'!$A$2:$B$830,2,FALSE)</f>
        <v>2180</v>
      </c>
      <c r="S578" s="186" t="s">
        <v>2072</v>
      </c>
      <c r="T578" s="159"/>
      <c r="U578" s="159"/>
      <c r="V578" s="159"/>
      <c r="W578" s="159"/>
      <c r="X578" s="159"/>
      <c r="Y578" s="159"/>
      <c r="Z578" s="159"/>
    </row>
    <row r="579" spans="1:26" x14ac:dyDescent="0.25">
      <c r="A579" s="18" t="s">
        <v>2207</v>
      </c>
      <c r="B579" t="s">
        <v>2208</v>
      </c>
      <c r="I579" s="31">
        <v>1</v>
      </c>
      <c r="O579" s="42">
        <f>C579*Prislapp!$C$2+D579*Prislapp!$D$2+E579*Prislapp!$E$2+F579*Prislapp!$F$2+G579*Prislapp!$G$2+H579*Prislapp!$H$2+I579*Prislapp!$I$2+J579*Prislapp!$J$2+K579*Prislapp!$K$2+L579*Prislapp!$L$2+M579*Prislapp!$M$2+N579*Prislapp!$N$2</f>
        <v>18405</v>
      </c>
      <c r="P579" s="42">
        <f>C579*Prislapp!$C$3+D579*Prislapp!$D$3+E579*Prislapp!$E$3+F579*Prislapp!$F$3+G579*Prislapp!$G$3+H579*Prislapp!$H$3+I579*Prislapp!$I$3+J579*Prislapp!$J$3+K579*Prislapp!$K$3+M579*Prislapp!$M$3+N579*Prislapp!$N$3</f>
        <v>15773</v>
      </c>
      <c r="Q579" s="42">
        <f>C579*Prislapp!$C$5+D579*Prislapp!$D$5+E579*Prislapp!$E$5+F579*Prislapp!$F$5+G579*Prislapp!$G$5+H579*Prislapp!$H$5+I579*Prislapp!$I$5+J579*Prislapp!$J$5+K579*Prislapp!$K$5+L579*Prislapp!$L$5+M579*Prislapp!$M$5+N579*Prislapp!$N$5</f>
        <v>5800</v>
      </c>
      <c r="R579" s="9">
        <f>VLOOKUP(A579,'Ansvar kurs'!$A$2:$B$830,2,FALSE)</f>
        <v>2193</v>
      </c>
      <c r="S579" s="159"/>
      <c r="T579" s="159"/>
      <c r="U579" s="159"/>
      <c r="V579" s="159"/>
      <c r="W579" s="159"/>
      <c r="X579" s="159"/>
      <c r="Y579" s="159"/>
      <c r="Z579" s="159"/>
    </row>
    <row r="580" spans="1:26" x14ac:dyDescent="0.25">
      <c r="A580" s="18" t="s">
        <v>2209</v>
      </c>
      <c r="B580" t="s">
        <v>2210</v>
      </c>
      <c r="I580" s="31">
        <v>1</v>
      </c>
      <c r="O580" s="42">
        <f>C580*Prislapp!$C$2+D580*Prislapp!$D$2+E580*Prislapp!$E$2+F580*Prislapp!$F$2+G580*Prislapp!$G$2+H580*Prislapp!$H$2+I580*Prislapp!$I$2+J580*Prislapp!$J$2+K580*Prislapp!$K$2+L580*Prislapp!$L$2+M580*Prislapp!$M$2+N580*Prislapp!$N$2</f>
        <v>18405</v>
      </c>
      <c r="P580" s="42">
        <f>C580*Prislapp!$C$3+D580*Prislapp!$D$3+E580*Prislapp!$E$3+F580*Prislapp!$F$3+G580*Prislapp!$G$3+H580*Prislapp!$H$3+I580*Prislapp!$I$3+J580*Prislapp!$J$3+K580*Prislapp!$K$3+M580*Prislapp!$M$3+N580*Prislapp!$N$3</f>
        <v>15773</v>
      </c>
      <c r="Q580" s="42">
        <f>C580*Prislapp!$C$5+D580*Prislapp!$D$5+E580*Prislapp!$E$5+F580*Prislapp!$F$5+G580*Prislapp!$G$5+H580*Prislapp!$H$5+I580*Prislapp!$I$5+J580*Prislapp!$J$5+K580*Prislapp!$K$5+L580*Prislapp!$L$5+M580*Prislapp!$M$5+N580*Prislapp!$N$5</f>
        <v>5800</v>
      </c>
      <c r="R580" s="9">
        <f>VLOOKUP(A580,'Ansvar kurs'!$A$2:$B$830,2,FALSE)</f>
        <v>2193</v>
      </c>
      <c r="S580" s="159"/>
      <c r="T580" s="159"/>
      <c r="U580" s="159"/>
      <c r="V580" s="159"/>
      <c r="W580" s="159"/>
      <c r="X580" s="159"/>
      <c r="Y580" s="159"/>
      <c r="Z580" s="159"/>
    </row>
    <row r="581" spans="1:26" x14ac:dyDescent="0.25">
      <c r="A581" s="9" t="s">
        <v>2148</v>
      </c>
      <c r="B581" s="31" t="s">
        <v>1951</v>
      </c>
      <c r="H581" s="431">
        <v>1</v>
      </c>
      <c r="O581" s="42">
        <f>C581*Prislapp!$C$2+D581*Prislapp!$D$2+E581*Prislapp!$E$2+F581*Prislapp!$F$2+G581*Prislapp!$G$2+H581*Prislapp!$H$2+I581*Prislapp!$I$2+J581*Prislapp!$J$2+K581*Prislapp!$K$2+L581*Prislapp!$L$2+M581*Prislapp!$M$2+N581*Prislapp!$N$2</f>
        <v>19473</v>
      </c>
      <c r="P581" s="42">
        <f>C581*Prislapp!$C$3+D581*Prislapp!$D$3+E581*Prislapp!$E$3+F581*Prislapp!$F$3+G581*Prislapp!$G$3+H581*Prislapp!$H$3+I581*Prislapp!$I$3+J581*Prislapp!$J$3+K581*Prislapp!$K$3+M581*Prislapp!$M$3+N581*Prislapp!$N$3</f>
        <v>34806</v>
      </c>
      <c r="Q581" s="42">
        <f>C581*Prislapp!$C$5+D581*Prislapp!$D$5+E581*Prislapp!$E$5+F581*Prislapp!$F$5+G581*Prislapp!$G$5+H581*Prislapp!$H$5+I581*Prislapp!$I$5+J581*Prislapp!$J$5+K581*Prislapp!$K$5+L581*Prislapp!$L$5+M581*Prislapp!$M$5+N581*Prislapp!$N$5</f>
        <v>21800</v>
      </c>
      <c r="R581" s="9">
        <f>VLOOKUP(A581,'Ansvar kurs'!$A$2:$B$830,2,FALSE)</f>
        <v>5740</v>
      </c>
      <c r="S581" s="295" t="s">
        <v>2175</v>
      </c>
    </row>
    <row r="582" spans="1:26" ht="30" x14ac:dyDescent="0.25">
      <c r="A582" s="186" t="s">
        <v>2185</v>
      </c>
      <c r="B582" s="446" t="s">
        <v>2143</v>
      </c>
      <c r="I582" s="431">
        <v>1</v>
      </c>
      <c r="O582" s="42">
        <f>C582*Prislapp!$C$2+D582*Prislapp!$D$2+E582*Prislapp!$E$2+F582*Prislapp!$F$2+G582*Prislapp!$G$2+H582*Prislapp!$H$2+I582*Prislapp!$I$2+J582*Prislapp!$J$2+K582*Prislapp!$K$2+L582*Prislapp!$L$2+M582*Prislapp!$M$2+N582*Prislapp!$N$2</f>
        <v>18405</v>
      </c>
      <c r="P582" s="42">
        <f>C582*Prislapp!$C$3+D582*Prislapp!$D$3+E582*Prislapp!$E$3+F582*Prislapp!$F$3+G582*Prislapp!$G$3+H582*Prislapp!$H$3+I582*Prislapp!$I$3+J582*Prislapp!$J$3+K582*Prislapp!$K$3+M582*Prislapp!$M$3+N582*Prislapp!$N$3</f>
        <v>15773</v>
      </c>
      <c r="Q582" s="42">
        <f>C582*Prislapp!$C$5+D582*Prislapp!$D$5+E582*Prislapp!$E$5+F582*Prislapp!$F$5+G582*Prislapp!$G$5+H582*Prislapp!$H$5+I582*Prislapp!$I$5+J582*Prislapp!$J$5+K582*Prislapp!$K$5+L582*Prislapp!$L$5+M582*Prislapp!$M$5+N582*Prislapp!$N$5</f>
        <v>5800</v>
      </c>
      <c r="R582" s="9">
        <f>VLOOKUP(A582,'Ansvar kurs'!$A$2:$B$830,2,FALSE)</f>
        <v>2193</v>
      </c>
      <c r="S582" s="186"/>
      <c r="T582" s="159"/>
      <c r="U582" s="159"/>
      <c r="V582" s="159"/>
      <c r="W582" s="159"/>
      <c r="X582" s="159"/>
      <c r="Y582" s="159"/>
      <c r="Z582" s="159"/>
    </row>
    <row r="583" spans="1:26" x14ac:dyDescent="0.25">
      <c r="A583" s="59" t="s">
        <v>2146</v>
      </c>
      <c r="B583" s="31" t="s">
        <v>2147</v>
      </c>
      <c r="H583" s="431">
        <v>1</v>
      </c>
      <c r="O583" s="42">
        <f>C583*Prislapp!$C$2+D583*Prislapp!$D$2+E583*Prislapp!$E$2+F583*Prislapp!$F$2+G583*Prislapp!$G$2+H583*Prislapp!$H$2+I583*Prislapp!$I$2+J583*Prislapp!$J$2+K583*Prislapp!$K$2+L583*Prislapp!$L$2+M583*Prislapp!$M$2+N583*Prislapp!$N$2</f>
        <v>19473</v>
      </c>
      <c r="P583" s="42">
        <f>C583*Prislapp!$C$3+D583*Prislapp!$D$3+E583*Prislapp!$E$3+F583*Prislapp!$F$3+G583*Prislapp!$G$3+H583*Prislapp!$H$3+I583*Prislapp!$I$3+J583*Prislapp!$J$3+K583*Prislapp!$K$3+M583*Prislapp!$M$3+N583*Prislapp!$N$3</f>
        <v>34806</v>
      </c>
      <c r="Q583" s="42">
        <f>C583*Prislapp!$C$5+D583*Prislapp!$D$5+E583*Prislapp!$E$5+F583*Prislapp!$F$5+G583*Prislapp!$G$5+H583*Prislapp!$H$5+I583*Prislapp!$I$5+J583*Prislapp!$J$5+K583*Prislapp!$K$5+L583*Prislapp!$L$5+M583*Prislapp!$M$5+N583*Prislapp!$N$5</f>
        <v>21800</v>
      </c>
      <c r="R583" s="9">
        <f>VLOOKUP(A583,'Ansvar kurs'!$A$2:$B$830,2,FALSE)</f>
        <v>5740</v>
      </c>
      <c r="S583" s="182" t="s">
        <v>2175</v>
      </c>
    </row>
    <row r="584" spans="1:26" x14ac:dyDescent="0.25">
      <c r="A584" s="59" t="s">
        <v>2149</v>
      </c>
      <c r="B584" s="62" t="s">
        <v>2150</v>
      </c>
      <c r="H584" s="431">
        <v>1</v>
      </c>
      <c r="O584" s="42">
        <f>C584*Prislapp!$C$2+D584*Prislapp!$D$2+E584*Prislapp!$E$2+F584*Prislapp!$F$2+G584*Prislapp!$G$2+H584*Prislapp!$H$2+I584*Prislapp!$I$2+J584*Prislapp!$J$2+K584*Prislapp!$K$2+L584*Prislapp!$L$2+M584*Prislapp!$M$2+N584*Prislapp!$N$2</f>
        <v>19473</v>
      </c>
      <c r="P584" s="42">
        <f>C584*Prislapp!$C$3+D584*Prislapp!$D$3+E584*Prislapp!$E$3+F584*Prislapp!$F$3+G584*Prislapp!$G$3+H584*Prislapp!$H$3+I584*Prislapp!$I$3+J584*Prislapp!$J$3+K584*Prislapp!$K$3+M584*Prislapp!$M$3+N584*Prislapp!$N$3</f>
        <v>34806</v>
      </c>
      <c r="Q584" s="42">
        <f>C584*Prislapp!$C$5+D584*Prislapp!$D$5+E584*Prislapp!$E$5+F584*Prislapp!$F$5+G584*Prislapp!$G$5+H584*Prislapp!$H$5+I584*Prislapp!$I$5+J584*Prislapp!$J$5+K584*Prislapp!$K$5+L584*Prislapp!$L$5+M584*Prislapp!$M$5+N584*Prislapp!$N$5</f>
        <v>21800</v>
      </c>
      <c r="R584" s="9">
        <f>VLOOKUP(A584,'Ansvar kurs'!$A$2:$B$830,2,FALSE)</f>
        <v>5740</v>
      </c>
      <c r="S584" s="182" t="s">
        <v>2175</v>
      </c>
    </row>
    <row r="585" spans="1:26" x14ac:dyDescent="0.25">
      <c r="A585" s="31" t="s">
        <v>472</v>
      </c>
      <c r="B585" s="31" t="s">
        <v>726</v>
      </c>
      <c r="F585" s="31">
        <v>1</v>
      </c>
      <c r="O585" s="42">
        <f>C585*Prislapp!$C$2+D585*Prislapp!$D$2+E585*Prislapp!$E$2+F585*Prislapp!$F$2+G585*Prislapp!$G$2+H585*Prislapp!$H$2+I585*Prislapp!$I$2+J585*Prislapp!$J$2+K585*Prislapp!$K$2+L585*Prislapp!$L$2+M585*Prislapp!$M$2+N585*Prislapp!$N$2</f>
        <v>23641</v>
      </c>
      <c r="P585" s="42">
        <f>C585*Prislapp!$C$3+D585*Prislapp!$D$3+E585*Prislapp!$E$3+F585*Prislapp!$F$3+G585*Prislapp!$G$3+H585*Prislapp!$H$3+I585*Prislapp!$I$3+J585*Prislapp!$J$3+K585*Prislapp!$K$3+M585*Prislapp!$M$3+N585*Prislapp!$N$3</f>
        <v>28786</v>
      </c>
      <c r="Q585" s="42">
        <f>C585*Prislapp!$C$5+D585*Prislapp!$D$5+E585*Prislapp!$E$5+F585*Prislapp!$F$5+G585*Prislapp!$G$5+H585*Prislapp!$H$5+I585*Prislapp!$I$5+J585*Prislapp!$J$5+K585*Prislapp!$K$5+L585*Prislapp!$L$5+M585*Prislapp!$M$5+N585*Prislapp!$N$5</f>
        <v>5800</v>
      </c>
      <c r="R585" s="9">
        <f>VLOOKUP(A585,'Ansvar kurs'!$A$2:$B$830,2,FALSE)</f>
        <v>2180</v>
      </c>
      <c r="S585" s="159"/>
      <c r="T585" s="159"/>
      <c r="U585" s="159"/>
      <c r="V585" s="159"/>
      <c r="W585" s="159"/>
      <c r="X585" s="159"/>
      <c r="Y585" s="159"/>
      <c r="Z585" s="159"/>
    </row>
    <row r="586" spans="1:26" x14ac:dyDescent="0.25">
      <c r="A586" s="265" t="s">
        <v>600</v>
      </c>
      <c r="B586" s="31" t="s">
        <v>726</v>
      </c>
      <c r="F586" s="31">
        <v>1</v>
      </c>
      <c r="O586" s="42">
        <f>C586*Prislapp!$C$2+D586*Prislapp!$D$2+E586*Prislapp!$E$2+F586*Prislapp!$F$2+G586*Prislapp!$G$2+H586*Prislapp!$H$2+I586*Prislapp!$I$2+J586*Prislapp!$J$2+K586*Prislapp!$K$2+L586*Prislapp!$L$2+M586*Prislapp!$M$2+N586*Prislapp!$N$2</f>
        <v>23641</v>
      </c>
      <c r="P586" s="42">
        <f>C586*Prislapp!$C$3+D586*Prislapp!$D$3+E586*Prislapp!$E$3+F586*Prislapp!$F$3+G586*Prislapp!$G$3+H586*Prislapp!$H$3+I586*Prislapp!$I$3+J586*Prislapp!$J$3+K586*Prislapp!$K$3+M586*Prislapp!$M$3+N586*Prislapp!$N$3</f>
        <v>28786</v>
      </c>
      <c r="Q586" s="42">
        <f>C586*Prislapp!$C$5+D586*Prislapp!$D$5+E586*Prislapp!$E$5+F586*Prislapp!$F$5+G586*Prislapp!$G$5+H586*Prislapp!$H$5+I586*Prislapp!$I$5+J586*Prislapp!$J$5+K586*Prislapp!$K$5+L586*Prislapp!$L$5+M586*Prislapp!$M$5+N586*Prislapp!$N$5</f>
        <v>5800</v>
      </c>
      <c r="R586" s="9">
        <f>VLOOKUP(A586,'Ansvar kurs'!$A$2:$B$830,2,FALSE)</f>
        <v>2180</v>
      </c>
      <c r="S586" s="159"/>
      <c r="T586" s="159"/>
      <c r="U586" s="159"/>
      <c r="V586" s="159"/>
      <c r="W586" s="159"/>
      <c r="X586" s="159"/>
      <c r="Y586" s="159"/>
      <c r="Z586" s="159"/>
    </row>
    <row r="587" spans="1:26" x14ac:dyDescent="0.25">
      <c r="A587" s="266" t="s">
        <v>832</v>
      </c>
      <c r="B587" s="31" t="s">
        <v>1229</v>
      </c>
      <c r="F587" s="31">
        <v>1</v>
      </c>
      <c r="O587" s="42">
        <f>C587*Prislapp!$C$2+D587*Prislapp!$D$2+E587*Prislapp!$E$2+F587*Prislapp!$F$2+G587*Prislapp!$G$2+H587*Prislapp!$H$2+I587*Prislapp!$I$2+J587*Prislapp!$J$2+K587*Prislapp!$K$2+L587*Prislapp!$L$2+M587*Prislapp!$M$2+N587*Prislapp!$N$2</f>
        <v>23641</v>
      </c>
      <c r="P587" s="42">
        <f>C587*Prislapp!$C$3+D587*Prislapp!$D$3+E587*Prislapp!$E$3+F587*Prislapp!$F$3+G587*Prislapp!$G$3+H587*Prislapp!$H$3+I587*Prislapp!$I$3+J587*Prislapp!$J$3+K587*Prislapp!$K$3+M587*Prislapp!$M$3+N587*Prislapp!$N$3</f>
        <v>28786</v>
      </c>
      <c r="Q587" s="42">
        <f>C587*Prislapp!$C$5+D587*Prislapp!$D$5+E587*Prislapp!$E$5+F587*Prislapp!$F$5+G587*Prislapp!$G$5+H587*Prislapp!$H$5+I587*Prislapp!$I$5+J587*Prislapp!$J$5+K587*Prislapp!$K$5+L587*Prislapp!$L$5+M587*Prislapp!$M$5+N587*Prislapp!$N$5</f>
        <v>5800</v>
      </c>
      <c r="R587" s="9">
        <f>VLOOKUP(A587,'Ansvar kurs'!$A$2:$B$830,2,FALSE)</f>
        <v>2180</v>
      </c>
      <c r="S587" s="159"/>
      <c r="T587" s="159"/>
      <c r="U587" s="159"/>
      <c r="V587" s="159"/>
      <c r="W587" s="159"/>
      <c r="X587" s="159"/>
      <c r="Y587" s="159"/>
      <c r="Z587" s="159"/>
    </row>
    <row r="588" spans="1:26" x14ac:dyDescent="0.25">
      <c r="A588" s="266" t="s">
        <v>844</v>
      </c>
      <c r="B588" s="31" t="s">
        <v>850</v>
      </c>
      <c r="F588" s="31">
        <v>1</v>
      </c>
      <c r="O588" s="42">
        <f>C588*Prislapp!$C$2+D588*Prislapp!$D$2+E588*Prislapp!$E$2+F588*Prislapp!$F$2+G588*Prislapp!$G$2+H588*Prislapp!$H$2+I588*Prislapp!$I$2+J588*Prislapp!$J$2+K588*Prislapp!$K$2+L588*Prislapp!$L$2+M588*Prislapp!$M$2+N588*Prislapp!$N$2</f>
        <v>23641</v>
      </c>
      <c r="P588" s="42">
        <f>C588*Prislapp!$C$3+D588*Prislapp!$D$3+E588*Prislapp!$E$3+F588*Prislapp!$F$3+G588*Prislapp!$G$3+H588*Prislapp!$H$3+I588*Prislapp!$I$3+J588*Prislapp!$J$3+K588*Prislapp!$K$3+M588*Prislapp!$M$3+N588*Prislapp!$N$3</f>
        <v>28786</v>
      </c>
      <c r="Q588" s="42">
        <f>C588*Prislapp!$C$5+D588*Prislapp!$D$5+E588*Prislapp!$E$5+F588*Prislapp!$F$5+G588*Prislapp!$G$5+H588*Prislapp!$H$5+I588*Prislapp!$I$5+J588*Prislapp!$J$5+K588*Prislapp!$K$5+L588*Prislapp!$L$5+M588*Prislapp!$M$5+N588*Prislapp!$N$5</f>
        <v>5800</v>
      </c>
      <c r="R588" s="9">
        <f>VLOOKUP(A588,'Ansvar kurs'!$A$2:$B$830,2,FALSE)</f>
        <v>2180</v>
      </c>
      <c r="S588" s="159"/>
      <c r="T588" s="159"/>
      <c r="U588" s="159"/>
      <c r="V588" s="159"/>
      <c r="W588" s="159"/>
      <c r="X588" s="159"/>
      <c r="Y588" s="159"/>
      <c r="Z588" s="159"/>
    </row>
    <row r="589" spans="1:26" x14ac:dyDescent="0.25">
      <c r="A589" s="266" t="s">
        <v>845</v>
      </c>
      <c r="B589" s="31" t="s">
        <v>851</v>
      </c>
      <c r="F589" s="31">
        <v>1</v>
      </c>
      <c r="O589" s="42">
        <f>C589*Prislapp!$C$2+D589*Prislapp!$D$2+E589*Prislapp!$E$2+F589*Prislapp!$F$2+G589*Prislapp!$G$2+H589*Prislapp!$H$2+I589*Prislapp!$I$2+J589*Prislapp!$J$2+K589*Prislapp!$K$2+L589*Prislapp!$L$2+M589*Prislapp!$M$2+N589*Prislapp!$N$2</f>
        <v>23641</v>
      </c>
      <c r="P589" s="42">
        <f>C589*Prislapp!$C$3+D589*Prislapp!$D$3+E589*Prislapp!$E$3+F589*Prislapp!$F$3+G589*Prislapp!$G$3+H589*Prislapp!$H$3+I589*Prislapp!$I$3+J589*Prislapp!$J$3+K589*Prislapp!$K$3+M589*Prislapp!$M$3+N589*Prislapp!$N$3</f>
        <v>28786</v>
      </c>
      <c r="Q589" s="42">
        <f>C589*Prislapp!$C$5+D589*Prislapp!$D$5+E589*Prislapp!$E$5+F589*Prislapp!$F$5+G589*Prislapp!$G$5+H589*Prislapp!$H$5+I589*Prislapp!$I$5+J589*Prislapp!$J$5+K589*Prislapp!$K$5+L589*Prislapp!$L$5+M589*Prislapp!$M$5+N589*Prislapp!$N$5</f>
        <v>5800</v>
      </c>
      <c r="R589" s="9">
        <f>VLOOKUP(A589,'Ansvar kurs'!$A$2:$B$830,2,FALSE)</f>
        <v>2180</v>
      </c>
      <c r="S589" s="159"/>
      <c r="T589" s="159"/>
      <c r="U589" s="159"/>
      <c r="V589" s="159"/>
      <c r="W589" s="159"/>
      <c r="X589" s="159"/>
      <c r="Y589" s="159"/>
      <c r="Z589" s="159"/>
    </row>
    <row r="590" spans="1:26" x14ac:dyDescent="0.25">
      <c r="A590" s="266" t="s">
        <v>846</v>
      </c>
      <c r="B590" s="31" t="s">
        <v>852</v>
      </c>
      <c r="F590" s="31">
        <v>1</v>
      </c>
      <c r="O590" s="42">
        <f>C590*Prislapp!$C$2+D590*Prislapp!$D$2+E590*Prislapp!$E$2+F590*Prislapp!$F$2+G590*Prislapp!$G$2+H590*Prislapp!$H$2+I590*Prislapp!$I$2+J590*Prislapp!$J$2+K590*Prislapp!$K$2+L590*Prislapp!$L$2+M590*Prislapp!$M$2+N590*Prislapp!$N$2</f>
        <v>23641</v>
      </c>
      <c r="P590" s="42">
        <f>C590*Prislapp!$C$3+D590*Prislapp!$D$3+E590*Prislapp!$E$3+F590*Prislapp!$F$3+G590*Prislapp!$G$3+H590*Prislapp!$H$3+I590*Prislapp!$I$3+J590*Prislapp!$J$3+K590*Prislapp!$K$3+M590*Prislapp!$M$3+N590*Prislapp!$N$3</f>
        <v>28786</v>
      </c>
      <c r="Q590" s="42">
        <f>C590*Prislapp!$C$5+D590*Prislapp!$D$5+E590*Prislapp!$E$5+F590*Prislapp!$F$5+G590*Prislapp!$G$5+H590*Prislapp!$H$5+I590*Prislapp!$I$5+J590*Prislapp!$J$5+K590*Prislapp!$K$5+L590*Prislapp!$L$5+M590*Prislapp!$M$5+N590*Prislapp!$N$5</f>
        <v>5800</v>
      </c>
      <c r="R590" s="9">
        <f>VLOOKUP(A590,'Ansvar kurs'!$A$2:$B$830,2,FALSE)</f>
        <v>2180</v>
      </c>
      <c r="S590" s="159"/>
      <c r="T590" s="159"/>
      <c r="U590" s="233"/>
      <c r="V590" s="233"/>
      <c r="W590" s="233"/>
      <c r="X590" s="233"/>
      <c r="Y590" s="233"/>
      <c r="Z590" s="159"/>
    </row>
    <row r="591" spans="1:26" x14ac:dyDescent="0.25">
      <c r="A591" s="266" t="s">
        <v>847</v>
      </c>
      <c r="B591" s="31" t="s">
        <v>1304</v>
      </c>
      <c r="F591" s="31">
        <v>1</v>
      </c>
      <c r="O591" s="42">
        <f>C591*Prislapp!$C$2+D591*Prislapp!$D$2+E591*Prislapp!$E$2+F591*Prislapp!$F$2+G591*Prislapp!$G$2+H591*Prislapp!$H$2+I591*Prislapp!$I$2+J591*Prislapp!$J$2+K591*Prislapp!$K$2+L591*Prislapp!$L$2+M591*Prislapp!$M$2+N591*Prislapp!$N$2</f>
        <v>23641</v>
      </c>
      <c r="P591" s="42">
        <f>C591*Prislapp!$C$3+D591*Prislapp!$D$3+E591*Prislapp!$E$3+F591*Prislapp!$F$3+G591*Prislapp!$G$3+H591*Prislapp!$H$3+I591*Prislapp!$I$3+J591*Prislapp!$J$3+K591*Prislapp!$K$3+M591*Prislapp!$M$3+N591*Prislapp!$N$3</f>
        <v>28786</v>
      </c>
      <c r="Q591" s="42">
        <f>C591*Prislapp!$C$5+D591*Prislapp!$D$5+E591*Prislapp!$E$5+F591*Prislapp!$F$5+G591*Prislapp!$G$5+H591*Prislapp!$H$5+I591*Prislapp!$I$5+J591*Prislapp!$J$5+K591*Prislapp!$K$5+L591*Prislapp!$L$5+M591*Prislapp!$M$5+N591*Prislapp!$N$5</f>
        <v>5800</v>
      </c>
      <c r="R591" s="9">
        <f>VLOOKUP(A591,'Ansvar kurs'!$A$2:$B$830,2,FALSE)</f>
        <v>2180</v>
      </c>
      <c r="S591" s="159"/>
      <c r="T591" s="159"/>
      <c r="U591" s="159"/>
      <c r="V591" s="159"/>
      <c r="W591" s="159"/>
      <c r="X591" s="159"/>
      <c r="Y591" s="159"/>
      <c r="Z591" s="208"/>
    </row>
    <row r="592" spans="1:26" x14ac:dyDescent="0.25">
      <c r="A592" s="266" t="s">
        <v>848</v>
      </c>
      <c r="B592" s="31" t="s">
        <v>853</v>
      </c>
      <c r="F592" s="31">
        <v>1</v>
      </c>
      <c r="O592" s="42">
        <f>C592*Prislapp!$C$2+D592*Prislapp!$D$2+E592*Prislapp!$E$2+F592*Prislapp!$F$2+G592*Prislapp!$G$2+H592*Prislapp!$H$2+I592*Prislapp!$I$2+J592*Prislapp!$J$2+K592*Prislapp!$K$2+L592*Prislapp!$L$2+M592*Prislapp!$M$2+N592*Prislapp!$N$2</f>
        <v>23641</v>
      </c>
      <c r="P592" s="42">
        <f>C592*Prislapp!$C$3+D592*Prislapp!$D$3+E592*Prislapp!$E$3+F592*Prislapp!$F$3+G592*Prislapp!$G$3+H592*Prislapp!$H$3+I592*Prislapp!$I$3+J592*Prislapp!$J$3+K592*Prislapp!$K$3+M592*Prislapp!$M$3+N592*Prislapp!$N$3</f>
        <v>28786</v>
      </c>
      <c r="Q592" s="42">
        <f>C592*Prislapp!$C$5+D592*Prislapp!$D$5+E592*Prislapp!$E$5+F592*Prislapp!$F$5+G592*Prislapp!$G$5+H592*Prislapp!$H$5+I592*Prislapp!$I$5+J592*Prislapp!$J$5+K592*Prislapp!$K$5+L592*Prislapp!$L$5+M592*Prislapp!$M$5+N592*Prislapp!$N$5</f>
        <v>5800</v>
      </c>
      <c r="R592" s="9">
        <f>VLOOKUP(A592,'Ansvar kurs'!$A$2:$B$830,2,FALSE)</f>
        <v>2180</v>
      </c>
      <c r="S592" s="159"/>
      <c r="T592" s="159"/>
      <c r="U592" s="186"/>
      <c r="V592" s="186"/>
      <c r="W592" s="186"/>
      <c r="X592" s="186"/>
      <c r="Y592" s="186"/>
      <c r="Z592" s="208"/>
    </row>
    <row r="593" spans="1:28" x14ac:dyDescent="0.25">
      <c r="A593" s="266" t="s">
        <v>849</v>
      </c>
      <c r="B593" s="31" t="s">
        <v>854</v>
      </c>
      <c r="F593" s="31">
        <v>1</v>
      </c>
      <c r="O593" s="42">
        <f>C593*Prislapp!$C$2+D593*Prislapp!$D$2+E593*Prislapp!$E$2+F593*Prislapp!$F$2+G593*Prislapp!$G$2+H593*Prislapp!$H$2+I593*Prislapp!$I$2+J593*Prislapp!$J$2+K593*Prislapp!$K$2+L593*Prislapp!$L$2+M593*Prislapp!$M$2+N593*Prislapp!$N$2</f>
        <v>23641</v>
      </c>
      <c r="P593" s="42">
        <f>C593*Prislapp!$C$3+D593*Prislapp!$D$3+E593*Prislapp!$E$3+F593*Prislapp!$F$3+G593*Prislapp!$G$3+H593*Prislapp!$H$3+I593*Prislapp!$I$3+J593*Prislapp!$J$3+K593*Prislapp!$K$3+M593*Prislapp!$M$3+N593*Prislapp!$N$3</f>
        <v>28786</v>
      </c>
      <c r="Q593" s="42">
        <f>C593*Prislapp!$C$5+D593*Prislapp!$D$5+E593*Prislapp!$E$5+F593*Prislapp!$F$5+G593*Prislapp!$G$5+H593*Prislapp!$H$5+I593*Prislapp!$I$5+J593*Prislapp!$J$5+K593*Prislapp!$K$5+L593*Prislapp!$L$5+M593*Prislapp!$M$5+N593*Prislapp!$N$5</f>
        <v>5800</v>
      </c>
      <c r="R593" s="9">
        <f>VLOOKUP(A593,'Ansvar kurs'!$A$2:$B$830,2,FALSE)</f>
        <v>2180</v>
      </c>
      <c r="T593" s="159"/>
      <c r="U593" s="233"/>
      <c r="V593" s="233"/>
      <c r="W593" s="233"/>
      <c r="X593" s="233"/>
      <c r="Y593" s="233"/>
      <c r="Z593" s="208"/>
    </row>
    <row r="594" spans="1:28" x14ac:dyDescent="0.25">
      <c r="A594" s="265" t="s">
        <v>394</v>
      </c>
      <c r="B594" s="31" t="s">
        <v>401</v>
      </c>
      <c r="L594" s="31">
        <v>1</v>
      </c>
      <c r="O594" s="42">
        <f>C594*Prislapp!$C$2+D594*Prislapp!$D$2+E594*Prislapp!$E$2+F594*Prislapp!$F$2+G594*Prislapp!$G$2+H594*Prislapp!$H$2+I594*Prislapp!$I$2+J594*Prislapp!$J$2+K594*Prislapp!$K$2+L594*Prislapp!$L$2+M594*Prislapp!$M$2+N594*Prislapp!$N$2</f>
        <v>18505</v>
      </c>
      <c r="P594" s="42">
        <f>C594*Prislapp!$C$3+D594*Prislapp!$D$3+E594*Prislapp!$E$3+F594*Prislapp!$F$3+G594*Prislapp!$G$3+H594*Prislapp!$H$3+I594*Prislapp!$I$3+J594*Prislapp!$J$3+K594*Prislapp!$K$3+M594*Prislapp!$M$3+N594*Prislapp!$N$3</f>
        <v>0</v>
      </c>
      <c r="Q594" s="42">
        <f>C594*Prislapp!$C$5+D594*Prislapp!$D$5+E594*Prislapp!$E$5+F594*Prislapp!$F$5+G594*Prislapp!$G$5+H594*Prislapp!$H$5+I594*Prislapp!$I$5+J594*Prislapp!$J$5+K594*Prislapp!$K$5+L594*Prislapp!$L$5+M594*Prislapp!$M$5+N594*Prislapp!$N$5</f>
        <v>5700</v>
      </c>
      <c r="R594" s="9">
        <f>VLOOKUP(A594,'Ansvar kurs'!$A$2:$B$830,2,FALSE)</f>
        <v>2200</v>
      </c>
      <c r="S594" s="159"/>
      <c r="T594" s="159"/>
      <c r="Z594" s="206" t="e">
        <f>Z591+#REF!</f>
        <v>#REF!</v>
      </c>
    </row>
    <row r="595" spans="1:28" x14ac:dyDescent="0.25">
      <c r="A595" s="265" t="s">
        <v>395</v>
      </c>
      <c r="B595" s="31" t="s">
        <v>402</v>
      </c>
      <c r="L595" s="31">
        <v>1</v>
      </c>
      <c r="O595" s="42">
        <f>C595*Prislapp!$C$2+D595*Prislapp!$D$2+E595*Prislapp!$E$2+F595*Prislapp!$F$2+G595*Prislapp!$G$2+H595*Prislapp!$H$2+I595*Prislapp!$I$2+J595*Prislapp!$J$2+K595*Prislapp!$K$2+L595*Prislapp!$L$2+M595*Prislapp!$M$2+N595*Prislapp!$N$2</f>
        <v>18505</v>
      </c>
      <c r="P595" s="42">
        <f>C595*Prislapp!$C$3+D595*Prislapp!$D$3+E595*Prislapp!$E$3+F595*Prislapp!$F$3+G595*Prislapp!$G$3+H595*Prislapp!$H$3+I595*Prislapp!$I$3+J595*Prislapp!$J$3+K595*Prislapp!$K$3+M595*Prislapp!$M$3+N595*Prislapp!$N$3</f>
        <v>0</v>
      </c>
      <c r="Q595" s="42">
        <f>C595*Prislapp!$C$5+D595*Prislapp!$D$5+E595*Prislapp!$E$5+F595*Prislapp!$F$5+G595*Prislapp!$G$5+H595*Prislapp!$H$5+I595*Prislapp!$I$5+J595*Prislapp!$J$5+K595*Prislapp!$K$5+L595*Prislapp!$L$5+M595*Prislapp!$M$5+N595*Prislapp!$N$5</f>
        <v>5700</v>
      </c>
      <c r="R595" s="9">
        <f>VLOOKUP(A595,'Ansvar kurs'!$A$2:$B$830,2,FALSE)</f>
        <v>2200</v>
      </c>
      <c r="S595" s="159"/>
      <c r="T595" s="159"/>
      <c r="X595" s="159"/>
      <c r="Y595" s="159"/>
      <c r="Z595" s="159"/>
      <c r="AA595" s="159"/>
      <c r="AB595" s="159"/>
    </row>
    <row r="596" spans="1:28" x14ac:dyDescent="0.25">
      <c r="A596" s="31" t="s">
        <v>142</v>
      </c>
      <c r="B596" s="31" t="s">
        <v>727</v>
      </c>
      <c r="D596" s="31">
        <v>0.75</v>
      </c>
      <c r="K596" s="31">
        <v>0.25</v>
      </c>
      <c r="O596" s="42">
        <f>C596*Prislapp!$C$2+D596*Prislapp!$D$2+E596*Prislapp!$E$2+F596*Prislapp!$F$2+G596*Prislapp!$G$2+H596*Prislapp!$H$2+I596*Prislapp!$I$2+J596*Prislapp!$J$2+K596*Prislapp!$K$2+L596*Prislapp!$L$2+M596*Prislapp!$M$2+N596*Prislapp!$N$2</f>
        <v>19212.25</v>
      </c>
      <c r="P596" s="42">
        <f>C596*Prislapp!$C$3+D596*Prislapp!$D$3+E596*Prislapp!$E$3+F596*Prislapp!$F$3+G596*Prislapp!$G$3+H596*Prislapp!$H$3+I596*Prislapp!$I$3+J596*Prislapp!$J$3+K596*Prislapp!$K$3+M596*Prislapp!$M$3+N596*Prislapp!$N$3</f>
        <v>18576.25</v>
      </c>
      <c r="Q596" s="42">
        <f>C596*Prislapp!$C$5+D596*Prislapp!$D$5+E596*Prislapp!$E$5+F596*Prislapp!$F$5+G596*Prislapp!$G$5+H596*Prislapp!$H$5+I596*Prislapp!$I$5+J596*Prislapp!$J$5+K596*Prislapp!$K$5+L596*Prislapp!$L$5+M596*Prislapp!$M$5+N596*Prislapp!$N$5</f>
        <v>5200</v>
      </c>
      <c r="R596" s="9">
        <f>VLOOKUP(A596,'Ansvar kurs'!$A$2:$B$830,2,FALSE)</f>
        <v>1630</v>
      </c>
      <c r="S596" s="233"/>
      <c r="T596" s="233"/>
      <c r="X596" s="159"/>
      <c r="Y596" s="234"/>
      <c r="Z596" s="233"/>
      <c r="AA596" s="233"/>
      <c r="AB596" s="159"/>
    </row>
    <row r="597" spans="1:28" x14ac:dyDescent="0.25">
      <c r="A597" s="31" t="s">
        <v>141</v>
      </c>
      <c r="B597" s="31" t="s">
        <v>728</v>
      </c>
      <c r="D597" s="31">
        <v>1</v>
      </c>
      <c r="O597" s="42">
        <f>C597*Prislapp!$C$2+D597*Prislapp!$D$2+E597*Prislapp!$E$2+F597*Prislapp!$F$2+G597*Prislapp!$G$2+H597*Prislapp!$H$2+I597*Prislapp!$I$2+J597*Prislapp!$J$2+K597*Prislapp!$K$2+L597*Prislapp!$L$2+M597*Prislapp!$M$2+N597*Prislapp!$N$2</f>
        <v>18405</v>
      </c>
      <c r="P597" s="42">
        <f>C597*Prislapp!$C$3+D597*Prislapp!$D$3+E597*Prislapp!$E$3+F597*Prislapp!$F$3+G597*Prislapp!$G$3+H597*Prislapp!$H$3+I597*Prislapp!$I$3+J597*Prislapp!$J$3+K597*Prislapp!$K$3+M597*Prislapp!$M$3+N597*Prislapp!$N$3</f>
        <v>15773</v>
      </c>
      <c r="Q597" s="42">
        <f>C597*Prislapp!$C$5+D597*Prislapp!$D$5+E597*Prislapp!$E$5+F597*Prislapp!$F$5+G597*Prislapp!$G$5+H597*Prislapp!$H$5+I597*Prislapp!$I$5+J597*Prislapp!$J$5+K597*Prislapp!$K$5+L597*Prislapp!$L$5+M597*Prislapp!$M$5+N597*Prislapp!$N$5</f>
        <v>5800</v>
      </c>
      <c r="R597" s="9">
        <f>VLOOKUP(A597,'Ansvar kurs'!$A$2:$B$830,2,FALSE)</f>
        <v>1630</v>
      </c>
      <c r="S597" s="159"/>
      <c r="T597" s="159"/>
      <c r="X597" s="159"/>
      <c r="Y597" s="233"/>
      <c r="Z597" s="233"/>
      <c r="AA597" s="233"/>
      <c r="AB597" s="159"/>
    </row>
    <row r="598" spans="1:28" x14ac:dyDescent="0.25">
      <c r="A598" s="31" t="s">
        <v>96</v>
      </c>
      <c r="B598" s="31" t="s">
        <v>729</v>
      </c>
      <c r="D598" s="31">
        <v>0.75</v>
      </c>
      <c r="K598" s="31">
        <v>0.25</v>
      </c>
      <c r="O598" s="42">
        <f>C598*Prislapp!$C$2+D598*Prislapp!$D$2+E598*Prislapp!$E$2+F598*Prislapp!$F$2+G598*Prislapp!$G$2+H598*Prislapp!$H$2+I598*Prislapp!$I$2+J598*Prislapp!$J$2+K598*Prislapp!$K$2+L598*Prislapp!$L$2+M598*Prislapp!$M$2+N598*Prislapp!$N$2</f>
        <v>19212.25</v>
      </c>
      <c r="P598" s="42">
        <f>C598*Prislapp!$C$3+D598*Prislapp!$D$3+E598*Prislapp!$E$3+F598*Prislapp!$F$3+G598*Prislapp!$G$3+H598*Prislapp!$H$3+I598*Prislapp!$I$3+J598*Prislapp!$J$3+K598*Prislapp!$K$3+M598*Prislapp!$M$3+N598*Prislapp!$N$3</f>
        <v>18576.25</v>
      </c>
      <c r="Q598" s="42">
        <f>C598*Prislapp!$C$5+D598*Prislapp!$D$5+E598*Prislapp!$E$5+F598*Prislapp!$F$5+G598*Prislapp!$G$5+H598*Prislapp!$H$5+I598*Prislapp!$I$5+J598*Prislapp!$J$5+K598*Prislapp!$K$5+L598*Prislapp!$L$5+M598*Prislapp!$M$5+N598*Prislapp!$N$5</f>
        <v>5200</v>
      </c>
      <c r="R598" s="9">
        <f>VLOOKUP(A598,'Ansvar kurs'!$A$2:$B$830,2,FALSE)</f>
        <v>1630</v>
      </c>
      <c r="S598" s="186"/>
      <c r="T598" s="186"/>
      <c r="X598" s="159"/>
      <c r="Y598" s="234"/>
      <c r="Z598" s="233"/>
      <c r="AA598" s="233"/>
      <c r="AB598" s="159"/>
    </row>
    <row r="599" spans="1:28" x14ac:dyDescent="0.25">
      <c r="A599" s="31" t="s">
        <v>435</v>
      </c>
      <c r="B599" s="31" t="s">
        <v>359</v>
      </c>
      <c r="F599" s="31">
        <v>1</v>
      </c>
      <c r="O599" s="42">
        <f>C599*Prislapp!$C$2+D599*Prislapp!$D$2+E599*Prislapp!$E$2+F599*Prislapp!$F$2+G599*Prislapp!$G$2+H599*Prislapp!$H$2+I599*Prislapp!$I$2+J599*Prislapp!$J$2+K599*Prislapp!$K$2+L599*Prislapp!$L$2+M599*Prislapp!$M$2+N599*Prislapp!$N$2</f>
        <v>23641</v>
      </c>
      <c r="P599" s="42">
        <f>C599*Prislapp!$C$3+D599*Prislapp!$D$3+E599*Prislapp!$E$3+F599*Prislapp!$F$3+G599*Prislapp!$G$3+H599*Prislapp!$H$3+I599*Prislapp!$I$3+J599*Prislapp!$J$3+K599*Prislapp!$K$3+M599*Prislapp!$M$3+N599*Prislapp!$N$3</f>
        <v>28786</v>
      </c>
      <c r="Q599" s="42">
        <f>C599*Prislapp!$C$5+D599*Prislapp!$D$5+E599*Prislapp!$E$5+F599*Prislapp!$F$5+G599*Prislapp!$G$5+H599*Prislapp!$H$5+I599*Prislapp!$I$5+J599*Prislapp!$J$5+K599*Prislapp!$K$5+L599*Prislapp!$L$5+M599*Prislapp!$M$5+N599*Prislapp!$N$5</f>
        <v>5800</v>
      </c>
      <c r="R599" s="9">
        <f>VLOOKUP(A599,'Ansvar kurs'!$A$2:$B$830,2,FALSE)</f>
        <v>1630</v>
      </c>
      <c r="S599" s="159"/>
      <c r="T599" s="159"/>
      <c r="U599" s="159"/>
      <c r="V599" s="159"/>
      <c r="W599" s="159"/>
      <c r="X599" s="159"/>
      <c r="Y599" s="159"/>
      <c r="Z599" s="208"/>
    </row>
    <row r="600" spans="1:28" x14ac:dyDescent="0.25">
      <c r="A600" s="31" t="s">
        <v>510</v>
      </c>
      <c r="B600" s="31" t="s">
        <v>730</v>
      </c>
      <c r="D600" s="31">
        <v>1</v>
      </c>
      <c r="O600" s="42">
        <f>C600*Prislapp!$C$2+D600*Prislapp!$D$2+E600*Prislapp!$E$2+F600*Prislapp!$F$2+G600*Prislapp!$G$2+H600*Prislapp!$H$2+I600*Prislapp!$I$2+J600*Prislapp!$J$2+K600*Prislapp!$K$2+L600*Prislapp!$L$2+M600*Prislapp!$M$2+N600*Prislapp!$N$2</f>
        <v>18405</v>
      </c>
      <c r="P600" s="42">
        <f>C600*Prislapp!$C$3+D600*Prislapp!$D$3+E600*Prislapp!$E$3+F600*Prislapp!$F$3+G600*Prislapp!$G$3+H600*Prislapp!$H$3+I600*Prislapp!$I$3+J600*Prislapp!$J$3+K600*Prislapp!$K$3+M600*Prislapp!$M$3+N600*Prislapp!$N$3</f>
        <v>15773</v>
      </c>
      <c r="Q600" s="42">
        <f>C600*Prislapp!$C$5+D600*Prislapp!$D$5+E600*Prislapp!$E$5+F600*Prislapp!$F$5+G600*Prislapp!$G$5+H600*Prislapp!$H$5+I600*Prislapp!$I$5+J600*Prislapp!$J$5+K600*Prislapp!$K$5+L600*Prislapp!$L$5+M600*Prislapp!$M$5+N600*Prislapp!$N$5</f>
        <v>5800</v>
      </c>
      <c r="R600" s="9">
        <f>VLOOKUP(A600,'Ansvar kurs'!$A$2:$B$830,2,FALSE)</f>
        <v>1630</v>
      </c>
      <c r="X600" s="159"/>
      <c r="Y600" s="234"/>
      <c r="Z600" s="233"/>
      <c r="AA600" s="233"/>
      <c r="AB600" s="159"/>
    </row>
    <row r="601" spans="1:28" x14ac:dyDescent="0.25">
      <c r="A601" s="31" t="s">
        <v>511</v>
      </c>
      <c r="B601" s="31" t="s">
        <v>731</v>
      </c>
      <c r="D601" s="31">
        <v>1</v>
      </c>
      <c r="O601" s="42">
        <f>C601*Prislapp!$C$2+D601*Prislapp!$D$2+E601*Prislapp!$E$2+F601*Prislapp!$F$2+G601*Prislapp!$G$2+H601*Prislapp!$H$2+I601*Prislapp!$I$2+J601*Prislapp!$J$2+K601*Prislapp!$K$2+L601*Prislapp!$L$2+M601*Prislapp!$M$2+N601*Prislapp!$N$2</f>
        <v>18405</v>
      </c>
      <c r="P601" s="42">
        <f>C601*Prislapp!$C$3+D601*Prislapp!$D$3+E601*Prislapp!$E$3+F601*Prislapp!$F$3+G601*Prislapp!$G$3+H601*Prislapp!$H$3+I601*Prislapp!$I$3+J601*Prislapp!$J$3+K601*Prislapp!$K$3+M601*Prislapp!$M$3+N601*Prislapp!$N$3</f>
        <v>15773</v>
      </c>
      <c r="Q601" s="42">
        <f>C601*Prislapp!$C$5+D601*Prislapp!$D$5+E601*Prislapp!$E$5+F601*Prislapp!$F$5+G601*Prislapp!$G$5+H601*Prislapp!$H$5+I601*Prislapp!$I$5+J601*Prislapp!$J$5+K601*Prislapp!$K$5+L601*Prislapp!$L$5+M601*Prislapp!$M$5+N601*Prislapp!$N$5</f>
        <v>5800</v>
      </c>
      <c r="R601" s="9">
        <f>VLOOKUP(A601,'Ansvar kurs'!$A$2:$B$830,2,FALSE)</f>
        <v>1630</v>
      </c>
      <c r="X601" s="159"/>
      <c r="Y601" s="233"/>
      <c r="Z601" s="233"/>
      <c r="AA601" s="233"/>
      <c r="AB601" s="159"/>
    </row>
    <row r="602" spans="1:28" x14ac:dyDescent="0.25">
      <c r="A602" s="265" t="s">
        <v>601</v>
      </c>
      <c r="B602" s="31" t="s">
        <v>1230</v>
      </c>
      <c r="D602" s="31">
        <v>1</v>
      </c>
      <c r="O602" s="42">
        <f>C602*Prislapp!$C$2+D602*Prislapp!$D$2+E602*Prislapp!$E$2+F602*Prislapp!$F$2+G602*Prislapp!$G$2+H602*Prislapp!$H$2+I602*Prislapp!$I$2+J602*Prislapp!$J$2+K602*Prislapp!$K$2+L602*Prislapp!$L$2+M602*Prislapp!$M$2+N602*Prislapp!$N$2</f>
        <v>18405</v>
      </c>
      <c r="P602" s="42">
        <f>C602*Prislapp!$C$3+D602*Prislapp!$D$3+E602*Prislapp!$E$3+F602*Prislapp!$F$3+G602*Prislapp!$G$3+H602*Prislapp!$H$3+I602*Prislapp!$I$3+J602*Prislapp!$J$3+K602*Prislapp!$K$3+M602*Prislapp!$M$3+N602*Prislapp!$N$3</f>
        <v>15773</v>
      </c>
      <c r="Q602" s="42">
        <f>C602*Prislapp!$C$5+D602*Prislapp!$D$5+E602*Prislapp!$E$5+F602*Prislapp!$F$5+G602*Prislapp!$G$5+H602*Prislapp!$H$5+I602*Prislapp!$I$5+J602*Prislapp!$J$5+K602*Prislapp!$K$5+L602*Prislapp!$L$5+M602*Prislapp!$M$5+N602*Prislapp!$N$5</f>
        <v>5800</v>
      </c>
      <c r="R602" s="9">
        <f>VLOOKUP(A602,'Ansvar kurs'!$A$2:$B$830,2,FALSE)</f>
        <v>1630</v>
      </c>
      <c r="X602" s="159"/>
      <c r="Y602" s="234"/>
      <c r="Z602" s="233"/>
      <c r="AA602" s="233"/>
      <c r="AB602" s="159"/>
    </row>
    <row r="603" spans="1:28" x14ac:dyDescent="0.25">
      <c r="A603" s="265" t="s">
        <v>602</v>
      </c>
      <c r="B603" s="31" t="s">
        <v>1231</v>
      </c>
      <c r="F603" s="31">
        <v>1</v>
      </c>
      <c r="K603" s="31">
        <v>0</v>
      </c>
      <c r="O603" s="42">
        <f>C603*Prislapp!$C$2+D603*Prislapp!$D$2+E603*Prislapp!$E$2+F603*Prislapp!$F$2+G603*Prislapp!$G$2+H603*Prislapp!$H$2+I603*Prislapp!$I$2+J603*Prislapp!$J$2+K603*Prislapp!$K$2+L603*Prislapp!$L$2+M603*Prislapp!$M$2+N603*Prislapp!$N$2</f>
        <v>23641</v>
      </c>
      <c r="P603" s="42">
        <f>C603*Prislapp!$C$3+D603*Prislapp!$D$3+E603*Prislapp!$E$3+F603*Prislapp!$F$3+G603*Prislapp!$G$3+H603*Prislapp!$H$3+I603*Prislapp!$I$3+J603*Prislapp!$J$3+K603*Prislapp!$K$3+M603*Prislapp!$M$3+N603*Prislapp!$N$3</f>
        <v>28786</v>
      </c>
      <c r="Q603" s="42">
        <f>C603*Prislapp!$C$5+D603*Prislapp!$D$5+E603*Prislapp!$E$5+F603*Prislapp!$F$5+G603*Prislapp!$G$5+H603*Prislapp!$H$5+I603*Prislapp!$I$5+J603*Prislapp!$J$5+K603*Prislapp!$K$5+L603*Prislapp!$L$5+M603*Prislapp!$M$5+N603*Prislapp!$N$5</f>
        <v>5800</v>
      </c>
      <c r="R603" s="9">
        <f>VLOOKUP(A603,'Ansvar kurs'!$A$2:$B$830,2,FALSE)</f>
        <v>1630</v>
      </c>
      <c r="X603" s="159"/>
      <c r="Y603" s="234"/>
      <c r="Z603" s="233"/>
      <c r="AA603" s="233"/>
      <c r="AB603" s="159"/>
    </row>
    <row r="604" spans="1:28" x14ac:dyDescent="0.25">
      <c r="A604" s="265" t="s">
        <v>1049</v>
      </c>
      <c r="B604" s="31" t="s">
        <v>1232</v>
      </c>
      <c r="F604" s="31">
        <v>1</v>
      </c>
      <c r="O604" s="42">
        <f>C604*Prislapp!$C$2+D604*Prislapp!$D$2+E604*Prislapp!$E$2+F604*Prislapp!$F$2+G604*Prislapp!$G$2+H604*Prislapp!$H$2+I604*Prislapp!$I$2+J604*Prislapp!$J$2+K604*Prislapp!$K$2+L604*Prislapp!$L$2+M604*Prislapp!$M$2+N604*Prislapp!$N$2</f>
        <v>23641</v>
      </c>
      <c r="P604" s="42">
        <f>C604*Prislapp!$C$3+D604*Prislapp!$D$3+E604*Prislapp!$E$3+F604*Prislapp!$F$3+G604*Prislapp!$G$3+H604*Prislapp!$H$3+I604*Prislapp!$I$3+J604*Prislapp!$J$3+K604*Prislapp!$K$3+M604*Prislapp!$M$3+N604*Prislapp!$N$3</f>
        <v>28786</v>
      </c>
      <c r="Q604" s="42">
        <f>C604*Prislapp!$C$5+D604*Prislapp!$D$5+E604*Prislapp!$E$5+F604*Prislapp!$F$5+G604*Prislapp!$G$5+H604*Prislapp!$H$5+I604*Prislapp!$I$5+J604*Prislapp!$J$5+K604*Prislapp!$K$5+L604*Prislapp!$L$5+M604*Prislapp!$M$5+N604*Prislapp!$N$5</f>
        <v>5800</v>
      </c>
      <c r="R604" s="9">
        <f>VLOOKUP(A604,'Ansvar kurs'!$A$2:$B$830,2,FALSE)</f>
        <v>1630</v>
      </c>
      <c r="X604" s="159"/>
      <c r="Y604" s="234"/>
      <c r="Z604" s="233"/>
      <c r="AA604" s="233"/>
      <c r="AB604" s="159"/>
    </row>
    <row r="605" spans="1:28" x14ac:dyDescent="0.25">
      <c r="A605" s="266" t="s">
        <v>1272</v>
      </c>
      <c r="B605" s="62" t="s">
        <v>1281</v>
      </c>
      <c r="F605" s="31">
        <v>1</v>
      </c>
      <c r="O605" s="42">
        <f>C605*Prislapp!$C$2+D605*Prislapp!$D$2+E605*Prislapp!$E$2+F605*Prislapp!$F$2+G605*Prislapp!$G$2+H605*Prislapp!$H$2+I605*Prislapp!$I$2+J605*Prislapp!$J$2+K605*Prislapp!$K$2+L605*Prislapp!$L$2+M605*Prislapp!$M$2+N605*Prislapp!$N$2</f>
        <v>23641</v>
      </c>
      <c r="P605" s="42">
        <f>C605*Prislapp!$C$3+D605*Prislapp!$D$3+E605*Prislapp!$E$3+F605*Prislapp!$F$3+G605*Prislapp!$G$3+H605*Prislapp!$H$3+I605*Prislapp!$I$3+J605*Prislapp!$J$3+K605*Prislapp!$K$3+M605*Prislapp!$M$3+N605*Prislapp!$N$3</f>
        <v>28786</v>
      </c>
      <c r="Q605" s="42">
        <f>C605*Prislapp!$C$5+D605*Prislapp!$D$5+E605*Prislapp!$E$5+F605*Prislapp!$F$5+G605*Prislapp!$G$5+H605*Prislapp!$H$5+I605*Prislapp!$I$5+J605*Prislapp!$J$5+K605*Prislapp!$K$5+L605*Prislapp!$L$5+M605*Prislapp!$M$5+N605*Prislapp!$N$5</f>
        <v>5800</v>
      </c>
      <c r="R605" s="9">
        <f>VLOOKUP(A605,'Ansvar kurs'!$A$2:$B$830,2,FALSE)</f>
        <v>1630</v>
      </c>
      <c r="X605" s="159"/>
      <c r="Y605" s="234"/>
      <c r="Z605" s="233"/>
      <c r="AA605" s="233"/>
      <c r="AB605" s="159"/>
    </row>
    <row r="606" spans="1:28" x14ac:dyDescent="0.25">
      <c r="A606" s="266" t="s">
        <v>1273</v>
      </c>
      <c r="B606" s="62" t="s">
        <v>1282</v>
      </c>
      <c r="F606" s="31">
        <v>1</v>
      </c>
      <c r="O606" s="42">
        <f>C606*Prislapp!$C$2+D606*Prislapp!$D$2+E606*Prislapp!$E$2+F606*Prislapp!$F$2+G606*Prislapp!$G$2+H606*Prislapp!$H$2+I606*Prislapp!$I$2+J606*Prislapp!$J$2+K606*Prislapp!$K$2+L606*Prislapp!$L$2+M606*Prislapp!$M$2+N606*Prislapp!$N$2</f>
        <v>23641</v>
      </c>
      <c r="P606" s="42">
        <f>C606*Prislapp!$C$3+D606*Prislapp!$D$3+E606*Prislapp!$E$3+F606*Prislapp!$F$3+G606*Prislapp!$G$3+H606*Prislapp!$H$3+I606*Prislapp!$I$3+J606*Prislapp!$J$3+K606*Prislapp!$K$3+M606*Prislapp!$M$3+N606*Prislapp!$N$3</f>
        <v>28786</v>
      </c>
      <c r="Q606" s="42">
        <f>C606*Prislapp!$C$5+D606*Prislapp!$D$5+E606*Prislapp!$E$5+F606*Prislapp!$F$5+G606*Prislapp!$G$5+H606*Prislapp!$H$5+I606*Prislapp!$I$5+J606*Prislapp!$J$5+K606*Prislapp!$K$5+L606*Prislapp!$L$5+M606*Prislapp!$M$5+N606*Prislapp!$N$5</f>
        <v>5800</v>
      </c>
      <c r="R606" s="9">
        <f>VLOOKUP(A606,'Ansvar kurs'!$A$2:$B$830,2,FALSE)</f>
        <v>1630</v>
      </c>
      <c r="X606" s="159"/>
      <c r="Y606" s="234"/>
      <c r="Z606" s="233"/>
      <c r="AA606" s="233"/>
      <c r="AB606" s="159"/>
    </row>
    <row r="607" spans="1:28" x14ac:dyDescent="0.25">
      <c r="A607" s="62" t="s">
        <v>972</v>
      </c>
      <c r="B607" s="31" t="s">
        <v>1233</v>
      </c>
      <c r="D607" s="31">
        <v>1</v>
      </c>
      <c r="O607" s="42">
        <f>C607*Prislapp!$C$2+D607*Prislapp!$D$2+E607*Prislapp!$E$2+F607*Prislapp!$F$2+G607*Prislapp!$G$2+H607*Prislapp!$H$2+I607*Prislapp!$I$2+J607*Prislapp!$J$2+K607*Prislapp!$K$2+L607*Prislapp!$L$2+M607*Prislapp!$M$2+N607*Prislapp!$N$2</f>
        <v>18405</v>
      </c>
      <c r="P607" s="42">
        <f>C607*Prislapp!$C$3+D607*Prislapp!$D$3+E607*Prislapp!$E$3+F607*Prislapp!$F$3+G607*Prislapp!$G$3+H607*Prislapp!$H$3+I607*Prislapp!$I$3+J607*Prislapp!$J$3+K607*Prislapp!$K$3+M607*Prislapp!$M$3+N607*Prislapp!$N$3</f>
        <v>15773</v>
      </c>
      <c r="Q607" s="42">
        <f>C607*Prislapp!$C$5+D607*Prislapp!$D$5+E607*Prislapp!$E$5+F607*Prislapp!$F$5+G607*Prislapp!$G$5+H607*Prislapp!$H$5+I607*Prislapp!$I$5+J607*Prislapp!$J$5+K607*Prislapp!$K$5+L607*Prislapp!$L$5+M607*Prislapp!$M$5+N607*Prislapp!$N$5</f>
        <v>5800</v>
      </c>
      <c r="R607" s="9">
        <f>VLOOKUP(A607,'Ansvar kurs'!$A$2:$B$830,2,FALSE)</f>
        <v>1630</v>
      </c>
      <c r="S607" s="159" t="s">
        <v>973</v>
      </c>
      <c r="T607" s="159"/>
      <c r="X607" s="159"/>
      <c r="Y607" s="234"/>
      <c r="Z607" s="233"/>
      <c r="AA607" s="233"/>
      <c r="AB607" s="159"/>
    </row>
    <row r="608" spans="1:28" x14ac:dyDescent="0.25">
      <c r="A608" s="62" t="s">
        <v>986</v>
      </c>
      <c r="B608" s="31" t="s">
        <v>1234</v>
      </c>
      <c r="K608" s="31">
        <v>1</v>
      </c>
      <c r="O608" s="42">
        <f>C608*Prislapp!$C$2+D608*Prislapp!$D$2+E608*Prislapp!$E$2+F608*Prislapp!$F$2+G608*Prislapp!$G$2+H608*Prislapp!$H$2+I608*Prislapp!$I$2+J608*Prislapp!$J$2+K608*Prislapp!$K$2+L608*Prislapp!$L$2+M608*Prislapp!$M$2+N608*Prislapp!$N$2</f>
        <v>21634</v>
      </c>
      <c r="P608" s="42">
        <f>C608*Prislapp!$C$3+D608*Prislapp!$D$3+E608*Prislapp!$E$3+F608*Prislapp!$F$3+G608*Prislapp!$G$3+H608*Prislapp!$H$3+I608*Prislapp!$I$3+J608*Prislapp!$J$3+K608*Prislapp!$K$3+M608*Prislapp!$M$3+N608*Prislapp!$N$3</f>
        <v>26986</v>
      </c>
      <c r="Q608" s="42">
        <f>C608*Prislapp!$C$5+D608*Prislapp!$D$5+E608*Prislapp!$E$5+F608*Prislapp!$F$5+G608*Prislapp!$G$5+H608*Prislapp!$H$5+I608*Prislapp!$I$5+J608*Prislapp!$J$5+K608*Prislapp!$K$5+L608*Prislapp!$L$5+M608*Prislapp!$M$5+N608*Prislapp!$N$5</f>
        <v>3400</v>
      </c>
      <c r="R608" s="9">
        <f>VLOOKUP(A608,'Ansvar kurs'!$A$2:$B$830,2,FALSE)</f>
        <v>1630</v>
      </c>
      <c r="S608" s="159"/>
      <c r="T608" s="159"/>
      <c r="X608" s="159"/>
      <c r="Y608" s="234"/>
      <c r="Z608" s="233"/>
      <c r="AA608" s="233"/>
      <c r="AB608" s="159"/>
    </row>
    <row r="609" spans="1:28" x14ac:dyDescent="0.25">
      <c r="A609" s="266" t="s">
        <v>1564</v>
      </c>
      <c r="B609" s="62" t="s">
        <v>1598</v>
      </c>
      <c r="D609" s="31">
        <v>1</v>
      </c>
      <c r="O609" s="42">
        <f>C609*Prislapp!$C$2+D609*Prislapp!$D$2+E609*Prislapp!$E$2+F609*Prislapp!$F$2+G609*Prislapp!$G$2+H609*Prislapp!$H$2+I609*Prislapp!$I$2+J609*Prislapp!$J$2+K609*Prislapp!$K$2+L609*Prislapp!$L$2+M609*Prislapp!$M$2+N609*Prislapp!$N$2</f>
        <v>18405</v>
      </c>
      <c r="P609" s="42">
        <f>C609*Prislapp!$C$3+D609*Prislapp!$D$3+E609*Prislapp!$E$3+F609*Prislapp!$F$3+G609*Prislapp!$G$3+H609*Prislapp!$H$3+I609*Prislapp!$I$3+J609*Prislapp!$J$3+K609*Prislapp!$K$3+M609*Prislapp!$M$3+N609*Prislapp!$N$3</f>
        <v>15773</v>
      </c>
      <c r="Q609" s="42">
        <f>C609*Prislapp!$C$5+D609*Prislapp!$D$5+E609*Prislapp!$E$5+F609*Prislapp!$F$5+G609*Prislapp!$G$5+H609*Prislapp!$H$5+I609*Prislapp!$I$5+J609*Prislapp!$J$5+K609*Prislapp!$K$5+L609*Prislapp!$L$5+M609*Prislapp!$M$5+N609*Prislapp!$N$5</f>
        <v>5800</v>
      </c>
      <c r="R609" s="9">
        <f>VLOOKUP(A609,'Ansvar kurs'!$A$2:$B$830,2,FALSE)</f>
        <v>1630</v>
      </c>
      <c r="S609" s="159"/>
      <c r="T609" s="159"/>
      <c r="X609" s="159"/>
      <c r="Y609" s="234"/>
      <c r="Z609" s="233"/>
      <c r="AA609" s="233"/>
      <c r="AB609" s="159"/>
    </row>
    <row r="610" spans="1:28" x14ac:dyDescent="0.25">
      <c r="A610" s="266" t="s">
        <v>1448</v>
      </c>
      <c r="B610" s="31" t="s">
        <v>1449</v>
      </c>
      <c r="K610" s="31">
        <v>1</v>
      </c>
      <c r="O610" s="42">
        <f>C610*Prislapp!$C$2+D610*Prislapp!$D$2+E610*Prislapp!$E$2+F610*Prislapp!$F$2+G610*Prislapp!$G$2+H610*Prislapp!$H$2+I610*Prislapp!$I$2+J610*Prislapp!$J$2+K610*Prislapp!$K$2+L610*Prislapp!$L$2+M610*Prislapp!$M$2+N610*Prislapp!$N$2</f>
        <v>21634</v>
      </c>
      <c r="P610" s="42">
        <f>C610*Prislapp!$C$3+D610*Prislapp!$D$3+E610*Prislapp!$E$3+F610*Prislapp!$F$3+G610*Prislapp!$G$3+H610*Prislapp!$H$3+I610*Prislapp!$I$3+J610*Prislapp!$J$3+K610*Prislapp!$K$3+M610*Prislapp!$M$3+N610*Prislapp!$N$3</f>
        <v>26986</v>
      </c>
      <c r="Q610" s="42">
        <f>C610*Prislapp!$C$5+D610*Prislapp!$D$5+E610*Prislapp!$E$5+F610*Prislapp!$F$5+G610*Prislapp!$G$5+H610*Prislapp!$H$5+I610*Prislapp!$I$5+J610*Prislapp!$J$5+K610*Prislapp!$K$5+L610*Prislapp!$L$5+M610*Prislapp!$M$5+N610*Prislapp!$N$5</f>
        <v>3400</v>
      </c>
      <c r="R610" s="9">
        <f>VLOOKUP(A610,'Ansvar kurs'!$A$2:$B$830,2,FALSE)</f>
        <v>1630</v>
      </c>
      <c r="S610" s="186" t="s">
        <v>1441</v>
      </c>
      <c r="T610" s="159" t="s">
        <v>1450</v>
      </c>
      <c r="X610" s="159"/>
      <c r="Y610" s="234"/>
      <c r="Z610" s="233"/>
      <c r="AA610" s="233"/>
      <c r="AB610" s="159"/>
    </row>
    <row r="611" spans="1:28" x14ac:dyDescent="0.25">
      <c r="A611" s="266" t="s">
        <v>1683</v>
      </c>
      <c r="B611" t="s">
        <v>1647</v>
      </c>
      <c r="D611" s="31">
        <v>1</v>
      </c>
      <c r="O611" s="42">
        <f>C611*Prislapp!$C$2+D611*Prislapp!$D$2+E611*Prislapp!$E$2+F611*Prislapp!$F$2+G611*Prislapp!$G$2+H611*Prislapp!$H$2+I611*Prislapp!$I$2+J611*Prislapp!$J$2+K611*Prislapp!$K$2+L611*Prislapp!$L$2+M611*Prislapp!$M$2+N611*Prislapp!$N$2</f>
        <v>18405</v>
      </c>
      <c r="P611" s="42">
        <f>C611*Prislapp!$C$3+D611*Prislapp!$D$3+E611*Prislapp!$E$3+F611*Prislapp!$F$3+G611*Prislapp!$G$3+H611*Prislapp!$H$3+I611*Prislapp!$I$3+J611*Prislapp!$J$3+K611*Prislapp!$K$3+M611*Prislapp!$M$3+N611*Prislapp!$N$3</f>
        <v>15773</v>
      </c>
      <c r="Q611" s="42">
        <f>C611*Prislapp!$C$5+D611*Prislapp!$D$5+E611*Prislapp!$E$5+F611*Prislapp!$F$5+G611*Prislapp!$G$5+H611*Prislapp!$H$5+I611*Prislapp!$I$5+J611*Prislapp!$J$5+K611*Prislapp!$K$5+L611*Prislapp!$L$5+M611*Prislapp!$M$5+N611*Prislapp!$N$5</f>
        <v>5800</v>
      </c>
      <c r="R611" s="9">
        <f>VLOOKUP(A611,'Ansvar kurs'!$A$2:$B$830,2,FALSE)</f>
        <v>1630</v>
      </c>
      <c r="S611" s="159"/>
      <c r="T611" s="159"/>
      <c r="U611" s="159"/>
      <c r="V611" s="159"/>
      <c r="W611" s="159"/>
      <c r="X611" s="159"/>
      <c r="Y611" s="159"/>
      <c r="Z611" s="159"/>
    </row>
    <row r="612" spans="1:28" x14ac:dyDescent="0.25">
      <c r="A612" s="266" t="s">
        <v>1684</v>
      </c>
      <c r="B612" t="s">
        <v>1648</v>
      </c>
      <c r="D612" s="31">
        <v>1</v>
      </c>
      <c r="O612" s="42">
        <f>C612*Prislapp!$C$2+D612*Prislapp!$D$2+E612*Prislapp!$E$2+F612*Prislapp!$F$2+G612*Prislapp!$G$2+H612*Prislapp!$H$2+I612*Prislapp!$I$2+J612*Prislapp!$J$2+K612*Prislapp!$K$2+L612*Prislapp!$L$2+M612*Prislapp!$M$2+N612*Prislapp!$N$2</f>
        <v>18405</v>
      </c>
      <c r="P612" s="42">
        <f>C612*Prislapp!$C$3+D612*Prislapp!$D$3+E612*Prislapp!$E$3+F612*Prislapp!$F$3+G612*Prislapp!$G$3+H612*Prislapp!$H$3+I612*Prislapp!$I$3+J612*Prislapp!$J$3+K612*Prislapp!$K$3+M612*Prislapp!$M$3+N612*Prislapp!$N$3</f>
        <v>15773</v>
      </c>
      <c r="Q612" s="42">
        <f>C612*Prislapp!$C$5+D612*Prislapp!$D$5+E612*Prislapp!$E$5+F612*Prislapp!$F$5+G612*Prislapp!$G$5+H612*Prislapp!$H$5+I612*Prislapp!$I$5+J612*Prislapp!$J$5+K612*Prislapp!$K$5+L612*Prislapp!$L$5+M612*Prislapp!$M$5+N612*Prislapp!$N$5</f>
        <v>5800</v>
      </c>
      <c r="R612" s="9">
        <f>VLOOKUP(A612,'Ansvar kurs'!$A$2:$B$830,2,FALSE)</f>
        <v>1630</v>
      </c>
      <c r="S612" s="159"/>
      <c r="T612" s="159"/>
      <c r="U612" s="159"/>
      <c r="V612" s="159"/>
      <c r="W612" s="159"/>
      <c r="X612" s="159"/>
      <c r="Y612" s="159"/>
      <c r="Z612" s="159"/>
    </row>
    <row r="613" spans="1:28" x14ac:dyDescent="0.25">
      <c r="A613" s="266" t="s">
        <v>1685</v>
      </c>
      <c r="B613" t="s">
        <v>1649</v>
      </c>
      <c r="D613" s="31">
        <v>1</v>
      </c>
      <c r="O613" s="42">
        <f>C613*Prislapp!$C$2+D613*Prislapp!$D$2+E613*Prislapp!$E$2+F613*Prislapp!$F$2+G613*Prislapp!$G$2+H613*Prislapp!$H$2+I613*Prislapp!$I$2+J613*Prislapp!$J$2+K613*Prislapp!$K$2+L613*Prislapp!$L$2+M613*Prislapp!$M$2+N613*Prislapp!$N$2</f>
        <v>18405</v>
      </c>
      <c r="P613" s="42">
        <f>C613*Prislapp!$C$3+D613*Prislapp!$D$3+E613*Prislapp!$E$3+F613*Prislapp!$F$3+G613*Prislapp!$G$3+H613*Prislapp!$H$3+I613*Prislapp!$I$3+J613*Prislapp!$J$3+K613*Prislapp!$K$3+M613*Prislapp!$M$3+N613*Prislapp!$N$3</f>
        <v>15773</v>
      </c>
      <c r="Q613" s="42">
        <f>C613*Prislapp!$C$5+D613*Prislapp!$D$5+E613*Prislapp!$E$5+F613*Prislapp!$F$5+G613*Prislapp!$G$5+H613*Prislapp!$H$5+I613*Prislapp!$I$5+J613*Prislapp!$J$5+K613*Prislapp!$K$5+L613*Prislapp!$L$5+M613*Prislapp!$M$5+N613*Prislapp!$N$5</f>
        <v>5800</v>
      </c>
      <c r="R613" s="9">
        <f>VLOOKUP(A613,'Ansvar kurs'!$A$2:$B$830,2,FALSE)</f>
        <v>1630</v>
      </c>
      <c r="S613" s="159"/>
      <c r="T613" s="159"/>
      <c r="U613" s="159"/>
      <c r="V613" s="159"/>
      <c r="W613" s="159"/>
      <c r="X613" s="159"/>
      <c r="Y613" s="159"/>
      <c r="Z613" s="159"/>
    </row>
    <row r="614" spans="1:28" x14ac:dyDescent="0.25">
      <c r="A614" s="266" t="s">
        <v>1686</v>
      </c>
      <c r="B614" t="s">
        <v>1650</v>
      </c>
      <c r="D614" s="31">
        <v>1</v>
      </c>
      <c r="O614" s="42">
        <f>C614*Prislapp!$C$2+D614*Prislapp!$D$2+E614*Prislapp!$E$2+F614*Prislapp!$F$2+G614*Prislapp!$G$2+H614*Prislapp!$H$2+I614*Prislapp!$I$2+J614*Prislapp!$J$2+K614*Prislapp!$K$2+L614*Prislapp!$L$2+M614*Prislapp!$M$2+N614*Prislapp!$N$2</f>
        <v>18405</v>
      </c>
      <c r="P614" s="42">
        <f>C614*Prislapp!$C$3+D614*Prislapp!$D$3+E614*Prislapp!$E$3+F614*Prislapp!$F$3+G614*Prislapp!$G$3+H614*Prislapp!$H$3+I614*Prislapp!$I$3+J614*Prislapp!$J$3+K614*Prislapp!$K$3+M614*Prislapp!$M$3+N614*Prislapp!$N$3</f>
        <v>15773</v>
      </c>
      <c r="Q614" s="42">
        <f>C614*Prislapp!$C$5+D614*Prislapp!$D$5+E614*Prislapp!$E$5+F614*Prislapp!$F$5+G614*Prislapp!$G$5+H614*Prislapp!$H$5+I614*Prislapp!$I$5+J614*Prislapp!$J$5+K614*Prislapp!$K$5+L614*Prislapp!$L$5+M614*Prislapp!$M$5+N614*Prislapp!$N$5</f>
        <v>5800</v>
      </c>
      <c r="R614" s="9">
        <f>VLOOKUP(A614,'Ansvar kurs'!$A$2:$B$830,2,FALSE)</f>
        <v>1630</v>
      </c>
      <c r="S614" s="159"/>
      <c r="T614" s="159"/>
      <c r="U614" s="159"/>
      <c r="V614" s="159"/>
      <c r="W614" s="159"/>
      <c r="X614" s="159"/>
      <c r="Y614" s="159"/>
      <c r="Z614" s="159"/>
    </row>
    <row r="615" spans="1:28" x14ac:dyDescent="0.25">
      <c r="A615" s="266" t="s">
        <v>1687</v>
      </c>
      <c r="B615" t="s">
        <v>1646</v>
      </c>
      <c r="D615" s="31">
        <v>1</v>
      </c>
      <c r="O615" s="42">
        <f>C615*Prislapp!$C$2+D615*Prislapp!$D$2+E615*Prislapp!$E$2+F615*Prislapp!$F$2+G615*Prislapp!$G$2+H615*Prislapp!$H$2+I615*Prislapp!$I$2+J615*Prislapp!$J$2+K615*Prislapp!$K$2+L615*Prislapp!$L$2+M615*Prislapp!$M$2+N615*Prislapp!$N$2</f>
        <v>18405</v>
      </c>
      <c r="P615" s="42">
        <f>C615*Prislapp!$C$3+D615*Prislapp!$D$3+E615*Prislapp!$E$3+F615*Prislapp!$F$3+G615*Prislapp!$G$3+H615*Prislapp!$H$3+I615*Prislapp!$I$3+J615*Prislapp!$J$3+K615*Prislapp!$K$3+M615*Prislapp!$M$3+N615*Prislapp!$N$3</f>
        <v>15773</v>
      </c>
      <c r="Q615" s="42">
        <f>C615*Prislapp!$C$5+D615*Prislapp!$D$5+E615*Prislapp!$E$5+F615*Prislapp!$F$5+G615*Prislapp!$G$5+H615*Prislapp!$H$5+I615*Prislapp!$I$5+J615*Prislapp!$J$5+K615*Prislapp!$K$5+L615*Prislapp!$L$5+M615*Prislapp!$M$5+N615*Prislapp!$N$5</f>
        <v>5800</v>
      </c>
      <c r="R615" s="9">
        <f>VLOOKUP(A615,'Ansvar kurs'!$A$2:$B$830,2,FALSE)</f>
        <v>1630</v>
      </c>
      <c r="S615" s="159"/>
      <c r="T615" s="159"/>
      <c r="U615" s="159"/>
      <c r="V615" s="159"/>
      <c r="W615" s="159"/>
      <c r="X615" s="159"/>
      <c r="Y615" s="159"/>
      <c r="Z615" s="159"/>
    </row>
    <row r="616" spans="1:28" x14ac:dyDescent="0.25">
      <c r="A616" s="266" t="s">
        <v>1802</v>
      </c>
      <c r="B616" t="s">
        <v>1811</v>
      </c>
      <c r="K616" s="31">
        <v>1</v>
      </c>
      <c r="O616" s="42">
        <f>C616*Prislapp!$C$2+D616*Prislapp!$D$2+E616*Prislapp!$E$2+F616*Prislapp!$F$2+G616*Prislapp!$G$2+H616*Prislapp!$H$2+I616*Prislapp!$I$2+J616*Prislapp!$J$2+K616*Prislapp!$K$2+L616*Prislapp!$L$2+M616*Prislapp!$M$2+N616*Prislapp!$N$2</f>
        <v>21634</v>
      </c>
      <c r="P616" s="42">
        <f>C616*Prislapp!$C$3+D616*Prislapp!$D$3+E616*Prislapp!$E$3+F616*Prislapp!$F$3+G616*Prislapp!$G$3+H616*Prislapp!$H$3+I616*Prislapp!$I$3+J616*Prislapp!$J$3+K616*Prislapp!$K$3+M616*Prislapp!$M$3+N616*Prislapp!$N$3</f>
        <v>26986</v>
      </c>
      <c r="Q616" s="42">
        <f>C616*Prislapp!$C$5+D616*Prislapp!$D$5+E616*Prislapp!$E$5+F616*Prislapp!$F$5+G616*Prislapp!$G$5+H616*Prislapp!$H$5+I616*Prislapp!$I$5+J616*Prislapp!$J$5+K616*Prislapp!$K$5+L616*Prislapp!$L$5+M616*Prislapp!$M$5+N616*Prislapp!$N$5</f>
        <v>3400</v>
      </c>
      <c r="R616" s="9">
        <f>VLOOKUP(A616,'Ansvar kurs'!$A$2:$B$830,2,FALSE)</f>
        <v>1630</v>
      </c>
      <c r="S616" s="159"/>
      <c r="T616" s="159"/>
      <c r="U616" s="159"/>
      <c r="V616" s="159"/>
      <c r="W616" s="159"/>
      <c r="X616" s="159"/>
      <c r="Y616" s="159"/>
      <c r="Z616" s="159"/>
    </row>
    <row r="617" spans="1:28" x14ac:dyDescent="0.25">
      <c r="A617" s="266" t="s">
        <v>2015</v>
      </c>
      <c r="B617" s="31" t="s">
        <v>2027</v>
      </c>
      <c r="K617" s="31">
        <v>1</v>
      </c>
      <c r="O617" s="42">
        <f>C617*Prislapp!$C$2+D617*Prislapp!$D$2+E617*Prislapp!$E$2+F617*Prislapp!$F$2+G617*Prislapp!$G$2+H617*Prislapp!$H$2+I617*Prislapp!$I$2+J617*Prislapp!$J$2+K617*Prislapp!$K$2+L617*Prislapp!$L$2+M617*Prislapp!$M$2+N617*Prislapp!$N$2</f>
        <v>21634</v>
      </c>
      <c r="P617" s="42">
        <f>C617*Prislapp!$C$3+D617*Prislapp!$D$3+E617*Prislapp!$E$3+F617*Prislapp!$F$3+G617*Prislapp!$G$3+H617*Prislapp!$H$3+I617*Prislapp!$I$3+J617*Prislapp!$J$3+K617*Prislapp!$K$3+M617*Prislapp!$M$3+N617*Prislapp!$N$3</f>
        <v>26986</v>
      </c>
      <c r="Q617" s="42">
        <f>C617*Prislapp!$C$5+D617*Prislapp!$D$5+E617*Prislapp!$E$5+F617*Prislapp!$F$5+G617*Prislapp!$G$5+H617*Prislapp!$H$5+I617*Prislapp!$I$5+J617*Prislapp!$J$5+K617*Prislapp!$K$5+L617*Prislapp!$L$5+M617*Prislapp!$M$5+N617*Prislapp!$N$5</f>
        <v>3400</v>
      </c>
      <c r="R617" s="9">
        <f>VLOOKUP(A617,'Ansvar kurs'!$A$2:$B$830,2,FALSE)</f>
        <v>1630</v>
      </c>
      <c r="S617" s="159"/>
      <c r="T617" s="159"/>
      <c r="U617" s="159"/>
      <c r="V617" s="159"/>
      <c r="W617" s="159"/>
      <c r="X617" s="159"/>
      <c r="Y617" s="159"/>
      <c r="Z617" s="159"/>
    </row>
    <row r="618" spans="1:28" x14ac:dyDescent="0.25">
      <c r="A618" s="266" t="s">
        <v>1965</v>
      </c>
      <c r="B618" t="s">
        <v>1971</v>
      </c>
      <c r="D618" s="31">
        <v>1</v>
      </c>
      <c r="O618" s="42">
        <f>C618*Prislapp!$C$2+D618*Prislapp!$D$2+E618*Prislapp!$E$2+F618*Prislapp!$F$2+G618*Prislapp!$G$2+H618*Prislapp!$H$2+I618*Prislapp!$I$2+J618*Prislapp!$J$2+K618*Prislapp!$K$2+L618*Prislapp!$L$2+M618*Prislapp!$M$2+N618*Prislapp!$N$2</f>
        <v>18405</v>
      </c>
      <c r="P618" s="42">
        <f>C618*Prislapp!$C$3+D618*Prislapp!$D$3+E618*Prislapp!$E$3+F618*Prislapp!$F$3+G618*Prislapp!$G$3+H618*Prislapp!$H$3+I618*Prislapp!$I$3+J618*Prislapp!$J$3+K618*Prislapp!$K$3+M618*Prislapp!$M$3+N618*Prislapp!$N$3</f>
        <v>15773</v>
      </c>
      <c r="Q618" s="42">
        <f>C618*Prislapp!$C$5+D618*Prislapp!$D$5+E618*Prislapp!$E$5+F618*Prislapp!$F$5+G618*Prislapp!$G$5+H618*Prislapp!$H$5+I618*Prislapp!$I$5+J618*Prislapp!$J$5+K618*Prislapp!$K$5+L618*Prislapp!$L$5+M618*Prislapp!$M$5+N618*Prislapp!$N$5</f>
        <v>5800</v>
      </c>
      <c r="R618" s="9">
        <f>VLOOKUP(A618,'Ansvar kurs'!$A$2:$B$830,2,FALSE)</f>
        <v>1630</v>
      </c>
      <c r="S618" s="159"/>
      <c r="T618" s="159"/>
      <c r="U618" s="159"/>
      <c r="V618" s="159"/>
      <c r="W618" s="159"/>
      <c r="X618" s="159"/>
      <c r="Y618" s="159"/>
      <c r="Z618" s="159"/>
    </row>
    <row r="619" spans="1:28" x14ac:dyDescent="0.25">
      <c r="A619" s="266" t="s">
        <v>2116</v>
      </c>
      <c r="B619" t="s">
        <v>2131</v>
      </c>
      <c r="D619" s="31">
        <v>1</v>
      </c>
      <c r="O619" s="42">
        <f>C619*Prislapp!$C$2+D619*Prislapp!$D$2+E619*Prislapp!$E$2+F619*Prislapp!$F$2+G619*Prislapp!$G$2+H619*Prislapp!$H$2+I619*Prislapp!$I$2+J619*Prislapp!$J$2+K619*Prislapp!$K$2+L619*Prislapp!$L$2+M619*Prislapp!$M$2+N619*Prislapp!$N$2</f>
        <v>18405</v>
      </c>
      <c r="P619" s="42">
        <f>C619*Prislapp!$C$3+D619*Prislapp!$D$3+E619*Prislapp!$E$3+F619*Prislapp!$F$3+G619*Prislapp!$G$3+H619*Prislapp!$H$3+I619*Prislapp!$I$3+J619*Prislapp!$J$3+K619*Prislapp!$K$3+M619*Prislapp!$M$3+N619*Prislapp!$N$3</f>
        <v>15773</v>
      </c>
      <c r="Q619" s="42">
        <f>C619*Prislapp!$C$5+D619*Prislapp!$D$5+E619*Prislapp!$E$5+F619*Prislapp!$F$5+G619*Prislapp!$G$5+H619*Prislapp!$H$5+I619*Prislapp!$I$5+J619*Prislapp!$J$5+K619*Prislapp!$K$5+L619*Prislapp!$L$5+M619*Prislapp!$M$5+N619*Prislapp!$N$5</f>
        <v>5800</v>
      </c>
      <c r="R619" s="9">
        <f>VLOOKUP(A619,'Ansvar kurs'!$A$2:$B$830,2,FALSE)</f>
        <v>1630</v>
      </c>
      <c r="S619" s="159"/>
      <c r="T619" s="159"/>
      <c r="U619" s="159"/>
      <c r="V619" s="159"/>
      <c r="W619" s="159"/>
      <c r="X619" s="159"/>
      <c r="Y619" s="159"/>
      <c r="Z619" s="159"/>
    </row>
    <row r="620" spans="1:28" x14ac:dyDescent="0.25">
      <c r="A620" s="266" t="s">
        <v>2117</v>
      </c>
      <c r="B620" t="s">
        <v>2132</v>
      </c>
      <c r="D620" s="31">
        <v>1</v>
      </c>
      <c r="O620" s="42">
        <f>C620*Prislapp!$C$2+D620*Prislapp!$D$2+E620*Prislapp!$E$2+F620*Prislapp!$F$2+G620*Prislapp!$G$2+H620*Prislapp!$H$2+I620*Prislapp!$I$2+J620*Prislapp!$J$2+K620*Prislapp!$K$2+L620*Prislapp!$L$2+M620*Prislapp!$M$2+N620*Prislapp!$N$2</f>
        <v>18405</v>
      </c>
      <c r="P620" s="42">
        <f>C620*Prislapp!$C$3+D620*Prislapp!$D$3+E620*Prislapp!$E$3+F620*Prislapp!$F$3+G620*Prislapp!$G$3+H620*Prislapp!$H$3+I620*Prislapp!$I$3+J620*Prislapp!$J$3+K620*Prislapp!$K$3+M620*Prislapp!$M$3+N620*Prislapp!$N$3</f>
        <v>15773</v>
      </c>
      <c r="Q620" s="42">
        <f>C620*Prislapp!$C$5+D620*Prislapp!$D$5+E620*Prislapp!$E$5+F620*Prislapp!$F$5+G620*Prislapp!$G$5+H620*Prislapp!$H$5+I620*Prislapp!$I$5+J620*Prislapp!$J$5+K620*Prislapp!$K$5+L620*Prislapp!$L$5+M620*Prislapp!$M$5+N620*Prislapp!$N$5</f>
        <v>5800</v>
      </c>
      <c r="R620" s="9">
        <f>VLOOKUP(A620,'Ansvar kurs'!$A$2:$B$830,2,FALSE)</f>
        <v>1630</v>
      </c>
      <c r="S620" s="159"/>
      <c r="T620" s="159"/>
      <c r="U620" s="159"/>
      <c r="V620" s="159"/>
      <c r="W620" s="159"/>
      <c r="X620" s="159"/>
      <c r="Y620" s="159"/>
      <c r="Z620" s="159"/>
    </row>
    <row r="621" spans="1:28" x14ac:dyDescent="0.25">
      <c r="A621" s="266" t="s">
        <v>2158</v>
      </c>
      <c r="B621" s="39" t="s">
        <v>2168</v>
      </c>
      <c r="D621" s="31">
        <v>1</v>
      </c>
      <c r="O621" s="42">
        <f>C621*Prislapp!$C$2+D621*Prislapp!$D$2+E621*Prislapp!$E$2+F621*Prislapp!$F$2+G621*Prislapp!$G$2+H621*Prislapp!$H$2+I621*Prislapp!$I$2+J621*Prislapp!$J$2+K621*Prislapp!$K$2+L621*Prislapp!$L$2+M621*Prislapp!$M$2+N621*Prislapp!$N$2</f>
        <v>18405</v>
      </c>
      <c r="P621" s="42">
        <f>C621*Prislapp!$C$3+D621*Prislapp!$D$3+E621*Prislapp!$E$3+F621*Prislapp!$F$3+G621*Prislapp!$G$3+H621*Prislapp!$H$3+I621*Prislapp!$I$3+J621*Prislapp!$J$3+K621*Prislapp!$K$3+M621*Prislapp!$M$3+N621*Prislapp!$N$3</f>
        <v>15773</v>
      </c>
      <c r="Q621" s="42">
        <f>C621*Prislapp!$C$5+D621*Prislapp!$D$5+E621*Prislapp!$E$5+F621*Prislapp!$F$5+G621*Prislapp!$G$5+H621*Prislapp!$H$5+I621*Prislapp!$I$5+J621*Prislapp!$J$5+K621*Prislapp!$K$5+L621*Prislapp!$L$5+M621*Prislapp!$M$5+N621*Prislapp!$N$5</f>
        <v>5800</v>
      </c>
      <c r="R621" s="9">
        <f>VLOOKUP(A621,'Ansvar kurs'!$A$2:$B$830,2,FALSE)</f>
        <v>1630</v>
      </c>
      <c r="S621" s="159"/>
      <c r="T621" s="159"/>
      <c r="U621" s="159"/>
      <c r="V621" s="159"/>
      <c r="W621" s="159"/>
      <c r="X621" s="159"/>
      <c r="Y621" s="159"/>
      <c r="Z621" s="159"/>
    </row>
    <row r="622" spans="1:28" x14ac:dyDescent="0.25">
      <c r="A622" s="62" t="s">
        <v>886</v>
      </c>
      <c r="B622" s="31" t="s">
        <v>1235</v>
      </c>
      <c r="D622" s="31">
        <v>1</v>
      </c>
      <c r="O622" s="42">
        <f>C622*Prislapp!$C$2+D622*Prislapp!$D$2+E622*Prislapp!$E$2+F622*Prislapp!$F$2+G622*Prislapp!$G$2+H622*Prislapp!$H$2+I622*Prislapp!$I$2+J622*Prislapp!$J$2+K622*Prislapp!$K$2+L622*Prislapp!$L$2+M622*Prislapp!$M$2+N622*Prislapp!$N$2</f>
        <v>18405</v>
      </c>
      <c r="P622" s="42">
        <f>C622*Prislapp!$C$3+D622*Prislapp!$D$3+E622*Prislapp!$E$3+F622*Prislapp!$F$3+G622*Prislapp!$G$3+H622*Prislapp!$H$3+I622*Prislapp!$I$3+J622*Prislapp!$J$3+K622*Prislapp!$K$3+M622*Prislapp!$M$3+N622*Prislapp!$N$3</f>
        <v>15773</v>
      </c>
      <c r="Q622" s="42">
        <f>C622*Prislapp!$C$5+D622*Prislapp!$D$5+E622*Prislapp!$E$5+F622*Prislapp!$F$5+G622*Prislapp!$G$5+H622*Prislapp!$H$5+I622*Prislapp!$I$5+J622*Prislapp!$J$5+K622*Prislapp!$K$5+L622*Prislapp!$L$5+M622*Prislapp!$M$5+N622*Prislapp!$N$5</f>
        <v>5800</v>
      </c>
      <c r="R622" s="9">
        <f>VLOOKUP(A622,'Ansvar kurs'!$A$2:$B$830,2,FALSE)</f>
        <v>1620</v>
      </c>
    </row>
    <row r="623" spans="1:28" x14ac:dyDescent="0.25">
      <c r="A623" s="62" t="s">
        <v>887</v>
      </c>
      <c r="B623" s="31" t="s">
        <v>1236</v>
      </c>
      <c r="D623" s="31">
        <v>1</v>
      </c>
      <c r="O623" s="42">
        <f>C623*Prislapp!$C$2+D623*Prislapp!$D$2+E623*Prislapp!$E$2+F623*Prislapp!$F$2+G623*Prislapp!$G$2+H623*Prislapp!$H$2+I623*Prislapp!$I$2+J623*Prislapp!$J$2+K623*Prislapp!$K$2+L623*Prislapp!$L$2+M623*Prislapp!$M$2+N623*Prislapp!$N$2</f>
        <v>18405</v>
      </c>
      <c r="P623" s="42">
        <f>C623*Prislapp!$C$3+D623*Prislapp!$D$3+E623*Prislapp!$E$3+F623*Prislapp!$F$3+G623*Prislapp!$G$3+H623*Prislapp!$H$3+I623*Prislapp!$I$3+J623*Prislapp!$J$3+K623*Prislapp!$K$3+M623*Prislapp!$M$3+N623*Prislapp!$N$3</f>
        <v>15773</v>
      </c>
      <c r="Q623" s="42">
        <f>C623*Prislapp!$C$5+D623*Prislapp!$D$5+E623*Prislapp!$E$5+F623*Prislapp!$F$5+G623*Prislapp!$G$5+H623*Prislapp!$H$5+I623*Prislapp!$I$5+J623*Prislapp!$J$5+K623*Prislapp!$K$5+L623*Prislapp!$L$5+M623*Prislapp!$M$5+N623*Prislapp!$N$5</f>
        <v>5800</v>
      </c>
      <c r="R623" s="9">
        <f>VLOOKUP(A623,'Ansvar kurs'!$A$2:$B$830,2,FALSE)</f>
        <v>1620</v>
      </c>
    </row>
    <row r="624" spans="1:28" x14ac:dyDescent="0.25">
      <c r="A624" s="62" t="s">
        <v>1050</v>
      </c>
      <c r="B624" s="31" t="s">
        <v>1074</v>
      </c>
      <c r="D624" s="31">
        <v>1</v>
      </c>
      <c r="O624" s="42">
        <f>C624*Prislapp!$C$2+D624*Prislapp!$D$2+E624*Prislapp!$E$2+F624*Prislapp!$F$2+G624*Prislapp!$G$2+H624*Prislapp!$H$2+I624*Prislapp!$I$2+J624*Prislapp!$J$2+K624*Prislapp!$K$2+L624*Prislapp!$L$2+M624*Prislapp!$M$2+N624*Prislapp!$N$2</f>
        <v>18405</v>
      </c>
      <c r="P624" s="42">
        <f>C624*Prislapp!$C$3+D624*Prislapp!$D$3+E624*Prislapp!$E$3+F624*Prislapp!$F$3+G624*Prislapp!$G$3+H624*Prislapp!$H$3+I624*Prislapp!$I$3+J624*Prislapp!$J$3+K624*Prislapp!$K$3+M624*Prislapp!$M$3+N624*Prislapp!$N$3</f>
        <v>15773</v>
      </c>
      <c r="Q624" s="42">
        <f>C624*Prislapp!$C$5+D624*Prislapp!$D$5+E624*Prislapp!$E$5+F624*Prislapp!$F$5+G624*Prislapp!$G$5+H624*Prislapp!$H$5+I624*Prislapp!$I$5+J624*Prislapp!$J$5+K624*Prislapp!$K$5+L624*Prislapp!$L$5+M624*Prislapp!$M$5+N624*Prislapp!$N$5</f>
        <v>5800</v>
      </c>
      <c r="R624" s="9">
        <f>VLOOKUP(A624,'Ansvar kurs'!$A$2:$B$830,2,FALSE)</f>
        <v>1620</v>
      </c>
    </row>
    <row r="625" spans="1:26" x14ac:dyDescent="0.25">
      <c r="A625" s="62" t="s">
        <v>1750</v>
      </c>
      <c r="B625" s="31" t="s">
        <v>1758</v>
      </c>
      <c r="D625" s="31">
        <v>1</v>
      </c>
      <c r="O625" s="42">
        <f>C625*Prislapp!$C$2+D625*Prislapp!$D$2+E625*Prislapp!$E$2+F625*Prislapp!$F$2+G625*Prislapp!$G$2+H625*Prislapp!$H$2+I625*Prislapp!$I$2+J625*Prislapp!$J$2+K625*Prislapp!$K$2+L625*Prislapp!$L$2+M625*Prislapp!$M$2+N625*Prislapp!$N$2</f>
        <v>18405</v>
      </c>
      <c r="P625" s="42">
        <f>C625*Prislapp!$C$3+D625*Prislapp!$D$3+E625*Prislapp!$E$3+F625*Prislapp!$F$3+G625*Prislapp!$G$3+H625*Prislapp!$H$3+I625*Prislapp!$I$3+J625*Prislapp!$J$3+K625*Prislapp!$K$3+M625*Prislapp!$M$3+N625*Prislapp!$N$3</f>
        <v>15773</v>
      </c>
      <c r="Q625" s="42">
        <f>C625*Prislapp!$C$5+D625*Prislapp!$D$5+E625*Prislapp!$E$5+F625*Prislapp!$F$5+G625*Prislapp!$G$5+H625*Prislapp!$H$5+I625*Prislapp!$I$5+J625*Prislapp!$J$5+K625*Prislapp!$K$5+L625*Prislapp!$L$5+M625*Prislapp!$M$5+N625*Prislapp!$N$5</f>
        <v>5800</v>
      </c>
      <c r="R625" s="9">
        <f>VLOOKUP(A625,'Ansvar kurs'!$A$2:$B$830,2,FALSE)</f>
        <v>1620</v>
      </c>
    </row>
    <row r="626" spans="1:26" x14ac:dyDescent="0.25">
      <c r="A626" s="62" t="s">
        <v>1751</v>
      </c>
      <c r="B626" s="31" t="s">
        <v>1759</v>
      </c>
      <c r="D626" s="31">
        <v>1</v>
      </c>
      <c r="O626" s="42">
        <f>C626*Prislapp!$C$2+D626*Prislapp!$D$2+E626*Prislapp!$E$2+F626*Prislapp!$F$2+G626*Prislapp!$G$2+H626*Prislapp!$H$2+I626*Prislapp!$I$2+J626*Prislapp!$J$2+K626*Prislapp!$K$2+L626*Prislapp!$L$2+M626*Prislapp!$M$2+N626*Prislapp!$N$2</f>
        <v>18405</v>
      </c>
      <c r="P626" s="42">
        <f>C626*Prislapp!$C$3+D626*Prislapp!$D$3+E626*Prislapp!$E$3+F626*Prislapp!$F$3+G626*Prislapp!$G$3+H626*Prislapp!$H$3+I626*Prislapp!$I$3+J626*Prislapp!$J$3+K626*Prislapp!$K$3+M626*Prislapp!$M$3+N626*Prislapp!$N$3</f>
        <v>15773</v>
      </c>
      <c r="Q626" s="42">
        <f>C626*Prislapp!$C$5+D626*Prislapp!$D$5+E626*Prislapp!$E$5+F626*Prislapp!$F$5+G626*Prislapp!$G$5+H626*Prislapp!$H$5+I626*Prislapp!$I$5+J626*Prislapp!$J$5+K626*Prislapp!$K$5+L626*Prislapp!$L$5+M626*Prislapp!$M$5+N626*Prislapp!$N$5</f>
        <v>5800</v>
      </c>
      <c r="R626" s="9">
        <f>VLOOKUP(A626,'Ansvar kurs'!$A$2:$B$830,2,FALSE)</f>
        <v>1620</v>
      </c>
    </row>
    <row r="627" spans="1:26" x14ac:dyDescent="0.25">
      <c r="A627" s="62" t="s">
        <v>1898</v>
      </c>
      <c r="B627" s="31" t="s">
        <v>1893</v>
      </c>
      <c r="K627" s="31">
        <v>1</v>
      </c>
      <c r="O627" s="42">
        <f>C627*Prislapp!$C$2+D627*Prislapp!$D$2+E627*Prislapp!$E$2+F627*Prislapp!$F$2+G627*Prislapp!$G$2+H627*Prislapp!$H$2+I627*Prislapp!$I$2+J627*Prislapp!$J$2+K627*Prislapp!$K$2+L627*Prislapp!$L$2+M627*Prislapp!$M$2+N627*Prislapp!$N$2</f>
        <v>21634</v>
      </c>
      <c r="P627" s="42">
        <f>C627*Prislapp!$C$3+D627*Prislapp!$D$3+E627*Prislapp!$E$3+F627*Prislapp!$F$3+G627*Prislapp!$G$3+H627*Prislapp!$H$3+I627*Prislapp!$I$3+J627*Prislapp!$J$3+K627*Prislapp!$K$3+M627*Prislapp!$M$3+N627*Prislapp!$N$3</f>
        <v>26986</v>
      </c>
      <c r="Q627" s="42">
        <f>C627*Prislapp!$C$5+D627*Prislapp!$D$5+E627*Prislapp!$E$5+F627*Prislapp!$F$5+G627*Prislapp!$G$5+H627*Prislapp!$H$5+I627*Prislapp!$I$5+J627*Prislapp!$J$5+K627*Prislapp!$K$5+L627*Prislapp!$L$5+M627*Prislapp!$M$5+N627*Prislapp!$N$5</f>
        <v>3400</v>
      </c>
      <c r="R627" s="9">
        <f>VLOOKUP(A627,'Ansvar kurs'!$A$2:$B$830,2,FALSE)</f>
        <v>1620</v>
      </c>
    </row>
    <row r="628" spans="1:26" x14ac:dyDescent="0.25">
      <c r="A628" s="62" t="s">
        <v>2239</v>
      </c>
      <c r="B628" s="31" t="s">
        <v>2243</v>
      </c>
      <c r="D628" s="431">
        <v>1</v>
      </c>
      <c r="O628" s="42">
        <f>C628*Prislapp!$C$2+D628*Prislapp!$D$2+E628*Prislapp!$E$2+F628*Prislapp!$F$2+G628*Prislapp!$G$2+H628*Prislapp!$H$2+I628*Prislapp!$I$2+J628*Prislapp!$J$2+K628*Prislapp!$K$2+L628*Prislapp!$L$2+M628*Prislapp!$M$2+N628*Prislapp!$N$2</f>
        <v>18405</v>
      </c>
      <c r="P628" s="42">
        <f>C628*Prislapp!$C$3+D628*Prislapp!$D$3+E628*Prislapp!$E$3+F628*Prislapp!$F$3+G628*Prislapp!$G$3+H628*Prislapp!$H$3+I628*Prislapp!$I$3+J628*Prislapp!$J$3+K628*Prislapp!$K$3+M628*Prislapp!$M$3+N628*Prislapp!$N$3</f>
        <v>15773</v>
      </c>
      <c r="Q628" s="42">
        <f>C628*Prislapp!$C$5+D628*Prislapp!$D$5+E628*Prislapp!$E$5+F628*Prislapp!$F$5+G628*Prislapp!$G$5+H628*Prislapp!$H$5+I628*Prislapp!$I$5+J628*Prislapp!$J$5+K628*Prislapp!$K$5+L628*Prislapp!$L$5+M628*Prislapp!$M$5+N628*Prislapp!$N$5</f>
        <v>5800</v>
      </c>
      <c r="R628" s="9">
        <f>VLOOKUP(A628,'Ansvar kurs'!$A$2:$B$830,2,FALSE)</f>
        <v>1620</v>
      </c>
      <c r="S628" s="295" t="s">
        <v>2242</v>
      </c>
    </row>
    <row r="629" spans="1:26" x14ac:dyDescent="0.25">
      <c r="A629" s="31" t="s">
        <v>643</v>
      </c>
      <c r="B629" s="31" t="s">
        <v>732</v>
      </c>
      <c r="F629" s="31">
        <v>1</v>
      </c>
      <c r="O629" s="42">
        <f>C629*Prislapp!$C$2+D629*Prislapp!$D$2+E629*Prislapp!$E$2+F629*Prislapp!$F$2+G629*Prislapp!$G$2+H629*Prislapp!$H$2+I629*Prislapp!$I$2+J629*Prislapp!$J$2+K629*Prislapp!$K$2+L629*Prislapp!$L$2+M629*Prislapp!$M$2+N629*Prislapp!$N$2</f>
        <v>23641</v>
      </c>
      <c r="P629" s="42">
        <f>C629*Prislapp!$C$3+D629*Prislapp!$D$3+E629*Prislapp!$E$3+F629*Prislapp!$F$3+G629*Prislapp!$G$3+H629*Prislapp!$H$3+I629*Prislapp!$I$3+J629*Prislapp!$J$3+K629*Prislapp!$K$3+M629*Prislapp!$M$3+N629*Prislapp!$N$3</f>
        <v>28786</v>
      </c>
      <c r="Q629" s="42">
        <f>C629*Prislapp!$C$5+D629*Prislapp!$D$5+E629*Prislapp!$E$5+F629*Prislapp!$F$5+G629*Prislapp!$G$5+H629*Prislapp!$H$5+I629*Prislapp!$I$5+J629*Prislapp!$J$5+K629*Prislapp!$K$5+L629*Prislapp!$L$5+M629*Prislapp!$M$5+N629*Prislapp!$N$5</f>
        <v>5800</v>
      </c>
      <c r="R629" s="9">
        <f>VLOOKUP(A629,'Ansvar kurs'!$A$2:$B$830,2,FALSE)</f>
        <v>1620</v>
      </c>
    </row>
    <row r="630" spans="1:26" x14ac:dyDescent="0.25">
      <c r="A630" s="31" t="s">
        <v>642</v>
      </c>
      <c r="B630" s="31" t="s">
        <v>732</v>
      </c>
      <c r="F630" s="31">
        <v>1</v>
      </c>
      <c r="O630" s="42">
        <f>C630*Prislapp!$C$2+D630*Prislapp!$D$2+E630*Prislapp!$E$2+F630*Prislapp!$F$2+G630*Prislapp!$G$2+H630*Prislapp!$H$2+I630*Prislapp!$I$2+J630*Prislapp!$J$2+K630*Prislapp!$K$2+L630*Prislapp!$L$2+M630*Prislapp!$M$2+N630*Prislapp!$N$2</f>
        <v>23641</v>
      </c>
      <c r="P630" s="42">
        <f>C630*Prislapp!$C$3+D630*Prislapp!$D$3+E630*Prislapp!$E$3+F630*Prislapp!$F$3+G630*Prislapp!$G$3+H630*Prislapp!$H$3+I630*Prislapp!$I$3+J630*Prislapp!$J$3+K630*Prislapp!$K$3+M630*Prislapp!$M$3+N630*Prislapp!$N$3</f>
        <v>28786</v>
      </c>
      <c r="Q630" s="42">
        <f>C630*Prislapp!$C$5+D630*Prislapp!$D$5+E630*Prislapp!$E$5+F630*Prislapp!$F$5+G630*Prislapp!$G$5+H630*Prislapp!$H$5+I630*Prislapp!$I$5+J630*Prislapp!$J$5+K630*Prislapp!$K$5+L630*Prislapp!$L$5+M630*Prislapp!$M$5+N630*Prislapp!$N$5</f>
        <v>5800</v>
      </c>
      <c r="R630" s="9">
        <f>VLOOKUP(A630,'Ansvar kurs'!$A$2:$B$830,2,FALSE)</f>
        <v>1620</v>
      </c>
    </row>
    <row r="631" spans="1:26" x14ac:dyDescent="0.25">
      <c r="A631" s="62" t="s">
        <v>1274</v>
      </c>
      <c r="B631" s="62" t="s">
        <v>1283</v>
      </c>
      <c r="D631" s="31">
        <v>1</v>
      </c>
      <c r="O631" s="42">
        <f>C631*Prislapp!$C$2+D631*Prislapp!$D$2+E631*Prislapp!$E$2+F631*Prislapp!$F$2+G631*Prislapp!$G$2+H631*Prislapp!$H$2+I631*Prislapp!$I$2+J631*Prislapp!$J$2+K631*Prislapp!$K$2+L631*Prislapp!$L$2+M631*Prislapp!$M$2+N631*Prislapp!$N$2</f>
        <v>18405</v>
      </c>
      <c r="P631" s="42">
        <f>C631*Prislapp!$C$3+D631*Prislapp!$D$3+E631*Prislapp!$E$3+F631*Prislapp!$F$3+G631*Prislapp!$G$3+H631*Prislapp!$H$3+I631*Prislapp!$I$3+J631*Prislapp!$J$3+K631*Prislapp!$K$3+M631*Prislapp!$M$3+N631*Prislapp!$N$3</f>
        <v>15773</v>
      </c>
      <c r="Q631" s="42">
        <f>C631*Prislapp!$C$5+D631*Prislapp!$D$5+E631*Prislapp!$E$5+F631*Prislapp!$F$5+G631*Prislapp!$G$5+H631*Prislapp!$H$5+I631*Prislapp!$I$5+J631*Prislapp!$J$5+K631*Prislapp!$K$5+L631*Prislapp!$L$5+M631*Prislapp!$M$5+N631*Prislapp!$N$5</f>
        <v>5800</v>
      </c>
      <c r="R631" s="9">
        <f>VLOOKUP(A631,'Ansvar kurs'!$A$2:$B$830,2,FALSE)</f>
        <v>1620</v>
      </c>
      <c r="S631" s="159" t="s">
        <v>1295</v>
      </c>
    </row>
    <row r="632" spans="1:26" x14ac:dyDescent="0.25">
      <c r="A632" s="62" t="s">
        <v>1302</v>
      </c>
      <c r="B632" s="62" t="s">
        <v>1303</v>
      </c>
      <c r="D632" s="31">
        <v>1</v>
      </c>
      <c r="O632" s="42">
        <f>C632*Prislapp!$C$2+D632*Prislapp!$D$2+E632*Prislapp!$E$2+F632*Prislapp!$F$2+G632*Prislapp!$G$2+H632*Prislapp!$H$2+I632*Prislapp!$I$2+J632*Prislapp!$J$2+K632*Prislapp!$K$2+L632*Prislapp!$L$2+M632*Prislapp!$M$2+N632*Prislapp!$N$2</f>
        <v>18405</v>
      </c>
      <c r="P632" s="42">
        <f>C632*Prislapp!$C$3+D632*Prislapp!$D$3+E632*Prislapp!$E$3+F632*Prislapp!$F$3+G632*Prislapp!$G$3+H632*Prislapp!$H$3+I632*Prislapp!$I$3+J632*Prislapp!$J$3+K632*Prislapp!$K$3+M632*Prislapp!$M$3+N632*Prislapp!$N$3</f>
        <v>15773</v>
      </c>
      <c r="Q632" s="42">
        <f>C632*Prislapp!$C$5+D632*Prislapp!$D$5+E632*Prislapp!$E$5+F632*Prislapp!$F$5+G632*Prislapp!$G$5+H632*Prislapp!$H$5+I632*Prislapp!$I$5+J632*Prislapp!$J$5+K632*Prislapp!$K$5+L632*Prislapp!$L$5+M632*Prislapp!$M$5+N632*Prislapp!$N$5</f>
        <v>5800</v>
      </c>
      <c r="R632" s="9">
        <f>VLOOKUP(A632,'Ansvar kurs'!$A$2:$B$830,2,FALSE)</f>
        <v>1620</v>
      </c>
      <c r="S632" s="159" t="s">
        <v>1295</v>
      </c>
    </row>
    <row r="633" spans="1:26" x14ac:dyDescent="0.25">
      <c r="A633" s="266" t="s">
        <v>1381</v>
      </c>
      <c r="B633" s="62" t="s">
        <v>1382</v>
      </c>
      <c r="D633" s="31">
        <v>1</v>
      </c>
      <c r="O633" s="42">
        <f>C633*Prislapp!$C$2+D633*Prislapp!$D$2+E633*Prislapp!$E$2+F633*Prislapp!$F$2+G633*Prislapp!$G$2+H633*Prislapp!$H$2+I633*Prislapp!$I$2+J633*Prislapp!$J$2+K633*Prislapp!$K$2+L633*Prislapp!$L$2+M633*Prislapp!$M$2+N633*Prislapp!$N$2</f>
        <v>18405</v>
      </c>
      <c r="P633" s="42">
        <f>C633*Prislapp!$C$3+D633*Prislapp!$D$3+E633*Prislapp!$E$3+F633*Prislapp!$F$3+G633*Prislapp!$G$3+H633*Prislapp!$H$3+I633*Prislapp!$I$3+J633*Prislapp!$J$3+K633*Prislapp!$K$3+M633*Prislapp!$M$3+N633*Prislapp!$N$3</f>
        <v>15773</v>
      </c>
      <c r="Q633" s="42">
        <f>C633*Prislapp!$C$5+D633*Prislapp!$D$5+E633*Prislapp!$E$5+F633*Prislapp!$F$5+G633*Prislapp!$G$5+H633*Prislapp!$H$5+I633*Prislapp!$I$5+J633*Prislapp!$J$5+K633*Prislapp!$K$5+L633*Prislapp!$L$5+M633*Prislapp!$M$5+N633*Prislapp!$N$5</f>
        <v>5800</v>
      </c>
      <c r="R633" s="9">
        <f>VLOOKUP(A633,'Ansvar kurs'!$A$2:$B$830,2,FALSE)</f>
        <v>1620</v>
      </c>
      <c r="S633" s="186" t="s">
        <v>1377</v>
      </c>
      <c r="T633" s="159"/>
      <c r="U633" s="159"/>
      <c r="V633" s="159"/>
      <c r="W633" s="159"/>
      <c r="X633" s="159"/>
      <c r="Y633" s="159"/>
      <c r="Z633" s="159"/>
    </row>
    <row r="634" spans="1:26" x14ac:dyDescent="0.25">
      <c r="A634" s="266" t="s">
        <v>1823</v>
      </c>
      <c r="B634" s="62" t="s">
        <v>1833</v>
      </c>
      <c r="D634" s="31">
        <v>1</v>
      </c>
      <c r="O634" s="42">
        <f>C634*Prislapp!$C$2+D634*Prislapp!$D$2+E634*Prislapp!$E$2+F634*Prislapp!$F$2+G634*Prislapp!$G$2+H634*Prislapp!$H$2+I634*Prislapp!$I$2+J634*Prislapp!$J$2+K634*Prislapp!$K$2+L634*Prislapp!$L$2+M634*Prislapp!$M$2+N634*Prislapp!$N$2</f>
        <v>18405</v>
      </c>
      <c r="P634" s="42">
        <f>C634*Prislapp!$C$3+D634*Prislapp!$D$3+E634*Prislapp!$E$3+F634*Prislapp!$F$3+G634*Prislapp!$G$3+H634*Prislapp!$H$3+I634*Prislapp!$I$3+J634*Prislapp!$J$3+K634*Prislapp!$K$3+M634*Prislapp!$M$3+N634*Prislapp!$N$3</f>
        <v>15773</v>
      </c>
      <c r="Q634" s="42">
        <f>C634*Prislapp!$C$5+D634*Prislapp!$D$5+E634*Prislapp!$E$5+F634*Prislapp!$F$5+G634*Prislapp!$G$5+H634*Prislapp!$H$5+I634*Prislapp!$I$5+J634*Prislapp!$J$5+K634*Prislapp!$K$5+L634*Prislapp!$L$5+M634*Prislapp!$M$5+N634*Prislapp!$N$5</f>
        <v>5800</v>
      </c>
      <c r="R634" s="9">
        <f>VLOOKUP(A634,'Ansvar kurs'!$A$2:$B$830,2,FALSE)</f>
        <v>1620</v>
      </c>
      <c r="S634" s="186"/>
      <c r="T634" s="159"/>
      <c r="U634" s="159"/>
      <c r="V634" s="159"/>
      <c r="W634" s="159"/>
      <c r="X634" s="159"/>
      <c r="Y634" s="159"/>
      <c r="Z634" s="159"/>
    </row>
    <row r="635" spans="1:26" x14ac:dyDescent="0.25">
      <c r="A635" s="266" t="s">
        <v>1660</v>
      </c>
      <c r="B635" s="62" t="s">
        <v>1342</v>
      </c>
      <c r="D635" s="31">
        <v>1</v>
      </c>
      <c r="O635" s="42">
        <f>C635*Prislapp!$C$2+D635*Prislapp!$D$2+E635*Prislapp!$E$2+F635*Prislapp!$F$2+G635*Prislapp!$G$2+H635*Prislapp!$H$2+I635*Prislapp!$I$2+J635*Prislapp!$J$2+K635*Prislapp!$K$2+L635*Prislapp!$L$2+M635*Prislapp!$M$2+N635*Prislapp!$N$2</f>
        <v>18405</v>
      </c>
      <c r="P635" s="42">
        <f>C635*Prislapp!$C$3+D635*Prislapp!$D$3+E635*Prislapp!$E$3+F635*Prislapp!$F$3+G635*Prislapp!$G$3+H635*Prislapp!$H$3+I635*Prislapp!$I$3+J635*Prislapp!$J$3+K635*Prislapp!$K$3+M635*Prislapp!$M$3+N635*Prislapp!$N$3</f>
        <v>15773</v>
      </c>
      <c r="Q635" s="42">
        <f>C635*Prislapp!$C$5+D635*Prislapp!$D$5+E635*Prislapp!$E$5+F635*Prislapp!$F$5+G635*Prislapp!$G$5+H635*Prislapp!$H$5+I635*Prislapp!$I$5+J635*Prislapp!$J$5+K635*Prislapp!$K$5+L635*Prislapp!$L$5+M635*Prislapp!$M$5+N635*Prislapp!$N$5</f>
        <v>5800</v>
      </c>
      <c r="R635" s="9">
        <f>VLOOKUP(A635,'Ansvar kurs'!$A$2:$B$830,2,FALSE)</f>
        <v>1620</v>
      </c>
      <c r="S635" s="186"/>
      <c r="T635" s="159"/>
      <c r="U635" s="159"/>
      <c r="V635" s="159"/>
      <c r="W635" s="159"/>
      <c r="X635" s="159"/>
      <c r="Y635" s="159"/>
      <c r="Z635" s="159"/>
    </row>
    <row r="636" spans="1:26" x14ac:dyDescent="0.25">
      <c r="A636" s="266" t="s">
        <v>2062</v>
      </c>
      <c r="B636" s="62" t="s">
        <v>2087</v>
      </c>
      <c r="D636" s="31">
        <v>1</v>
      </c>
      <c r="O636" s="42">
        <f>C636*Prislapp!$C$2+D636*Prislapp!$D$2+E636*Prislapp!$E$2+F636*Prislapp!$F$2+G636*Prislapp!$G$2+H636*Prislapp!$H$2+I636*Prislapp!$I$2+J636*Prislapp!$J$2+K636*Prislapp!$K$2+L636*Prislapp!$L$2+M636*Prislapp!$M$2+N636*Prislapp!$N$2</f>
        <v>18405</v>
      </c>
      <c r="P636" s="42">
        <f>C636*Prislapp!$C$3+D636*Prislapp!$D$3+E636*Prislapp!$E$3+F636*Prislapp!$F$3+G636*Prislapp!$G$3+H636*Prislapp!$H$3+I636*Prislapp!$I$3+J636*Prislapp!$J$3+K636*Prislapp!$K$3+M636*Prislapp!$M$3+N636*Prislapp!$N$3</f>
        <v>15773</v>
      </c>
      <c r="Q636" s="42">
        <f>C636*Prislapp!$C$5+D636*Prislapp!$D$5+E636*Prislapp!$E$5+F636*Prislapp!$F$5+G636*Prislapp!$G$5+H636*Prislapp!$H$5+I636*Prislapp!$I$5+J636*Prislapp!$J$5+K636*Prislapp!$K$5+L636*Prislapp!$L$5+M636*Prislapp!$M$5+N636*Prislapp!$N$5</f>
        <v>5800</v>
      </c>
      <c r="R636" s="9">
        <f>VLOOKUP(A636,'Ansvar kurs'!$A$2:$B$830,2,FALSE)</f>
        <v>1620</v>
      </c>
      <c r="S636" s="186"/>
      <c r="T636" s="159"/>
      <c r="U636" s="159"/>
      <c r="V636" s="159"/>
      <c r="W636" s="159"/>
      <c r="X636" s="159"/>
      <c r="Y636" s="159"/>
      <c r="Z636" s="159"/>
    </row>
    <row r="637" spans="1:26" x14ac:dyDescent="0.25">
      <c r="A637" s="266" t="s">
        <v>2063</v>
      </c>
      <c r="B637" s="62" t="s">
        <v>2088</v>
      </c>
      <c r="D637" s="31">
        <v>1</v>
      </c>
      <c r="O637" s="42">
        <f>C637*Prislapp!$C$2+D637*Prislapp!$D$2+E637*Prislapp!$E$2+F637*Prislapp!$F$2+G637*Prislapp!$G$2+H637*Prislapp!$H$2+I637*Prislapp!$I$2+J637*Prislapp!$J$2+K637*Prislapp!$K$2+L637*Prislapp!$L$2+M637*Prislapp!$M$2+N637*Prislapp!$N$2</f>
        <v>18405</v>
      </c>
      <c r="P637" s="42">
        <f>C637*Prislapp!$C$3+D637*Prislapp!$D$3+E637*Prislapp!$E$3+F637*Prislapp!$F$3+G637*Prislapp!$G$3+H637*Prislapp!$H$3+I637*Prislapp!$I$3+J637*Prislapp!$J$3+K637*Prislapp!$K$3+M637*Prislapp!$M$3+N637*Prislapp!$N$3</f>
        <v>15773</v>
      </c>
      <c r="Q637" s="42">
        <f>C637*Prislapp!$C$5+D637*Prislapp!$D$5+E637*Prislapp!$E$5+F637*Prislapp!$F$5+G637*Prislapp!$G$5+H637*Prislapp!$H$5+I637*Prislapp!$I$5+J637*Prislapp!$J$5+K637*Prislapp!$K$5+L637*Prislapp!$L$5+M637*Prislapp!$M$5+N637*Prislapp!$N$5</f>
        <v>5800</v>
      </c>
      <c r="R637" s="9">
        <f>VLOOKUP(A637,'Ansvar kurs'!$A$2:$B$830,2,FALSE)</f>
        <v>1620</v>
      </c>
      <c r="S637" s="186"/>
      <c r="T637" s="159"/>
      <c r="U637" s="159"/>
      <c r="V637" s="159"/>
      <c r="W637" s="159"/>
      <c r="X637" s="159"/>
      <c r="Y637" s="159"/>
      <c r="Z637" s="159"/>
    </row>
    <row r="638" spans="1:26" x14ac:dyDescent="0.25">
      <c r="A638" s="31" t="s">
        <v>2104</v>
      </c>
      <c r="B638" s="31" t="s">
        <v>684</v>
      </c>
      <c r="D638" s="31">
        <v>1</v>
      </c>
      <c r="O638" s="42">
        <f>C638*Prislapp!$C$2+D638*Prislapp!$D$2+E638*Prislapp!$E$2+F638*Prislapp!$F$2+G638*Prislapp!$G$2+H638*Prislapp!$H$2+I638*Prislapp!$I$2+J638*Prislapp!$J$2+K638*Prislapp!$K$2+L638*Prislapp!$L$2+M638*Prislapp!$M$2+N638*Prislapp!$N$2</f>
        <v>18405</v>
      </c>
      <c r="P638" s="42">
        <f>C638*Prislapp!$C$3+D638*Prislapp!$D$3+E638*Prislapp!$E$3+F638*Prislapp!$F$3+G638*Prislapp!$G$3+H638*Prislapp!$H$3+I638*Prislapp!$I$3+J638*Prislapp!$J$3+K638*Prislapp!$K$3+M638*Prislapp!$M$3+N638*Prislapp!$N$3</f>
        <v>15773</v>
      </c>
      <c r="Q638" s="42">
        <f>C638*Prislapp!$C$5+D638*Prislapp!$D$5+E638*Prislapp!$E$5+F638*Prislapp!$F$5+G638*Prislapp!$G$5+H638*Prislapp!$H$5+I638*Prislapp!$I$5+J638*Prislapp!$J$5+K638*Prislapp!$K$5+L638*Prislapp!$L$5+M638*Prislapp!$M$5+N638*Prislapp!$N$5</f>
        <v>5800</v>
      </c>
      <c r="R638" s="9">
        <f>VLOOKUP(A638,'Ansvar kurs'!$A$2:$B$830,2,FALSE)</f>
        <v>1620</v>
      </c>
      <c r="S638" s="159"/>
      <c r="T638" s="159"/>
      <c r="U638" s="159"/>
      <c r="W638" s="159"/>
      <c r="X638" s="159"/>
      <c r="Y638" s="159"/>
      <c r="Z638" s="159"/>
    </row>
    <row r="639" spans="1:26" ht="30" x14ac:dyDescent="0.25">
      <c r="A639" s="9" t="s">
        <v>2151</v>
      </c>
      <c r="B639" s="458" t="s">
        <v>1478</v>
      </c>
      <c r="I639" s="431">
        <v>1</v>
      </c>
      <c r="O639" s="42">
        <f>C639*Prislapp!$C$2+D639*Prislapp!$D$2+E639*Prislapp!$E$2+F639*Prislapp!$F$2+G639*Prislapp!$G$2+H639*Prislapp!$H$2+I639*Prislapp!$I$2+J639*Prislapp!$J$2+K639*Prislapp!$K$2+L639*Prislapp!$L$2+M639*Prislapp!$M$2+N639*Prislapp!$N$2</f>
        <v>18405</v>
      </c>
      <c r="P639" s="42">
        <f>C639*Prislapp!$C$3+D639*Prislapp!$D$3+E639*Prislapp!$E$3+F639*Prislapp!$F$3+G639*Prislapp!$G$3+H639*Prislapp!$H$3+I639*Prislapp!$I$3+J639*Prislapp!$J$3+K639*Prislapp!$K$3+M639*Prislapp!$M$3+N639*Prislapp!$N$3</f>
        <v>15773</v>
      </c>
      <c r="Q639" s="42">
        <f>C639*Prislapp!$C$5+D639*Prislapp!$D$5+E639*Prislapp!$E$5+F639*Prislapp!$F$5+G639*Prislapp!$G$5+H639*Prislapp!$H$5+I639*Prislapp!$I$5+J639*Prislapp!$J$5+K639*Prislapp!$K$5+L639*Prislapp!$L$5+M639*Prislapp!$M$5+N639*Prislapp!$N$5</f>
        <v>5800</v>
      </c>
      <c r="R639" s="9">
        <f>VLOOKUP(A639,'Ansvar kurs'!$A$2:$B$830,2,FALSE)</f>
        <v>1620</v>
      </c>
      <c r="S639" s="31" t="s">
        <v>1815</v>
      </c>
    </row>
    <row r="640" spans="1:26" x14ac:dyDescent="0.25">
      <c r="A640" s="59" t="s">
        <v>2152</v>
      </c>
      <c r="B640" s="59" t="s">
        <v>2153</v>
      </c>
      <c r="I640" s="431">
        <v>1</v>
      </c>
      <c r="O640" s="42">
        <f>C640*Prislapp!$C$2+D640*Prislapp!$D$2+E640*Prislapp!$E$2+F640*Prislapp!$F$2+G640*Prislapp!$G$2+H640*Prislapp!$H$2+I640*Prislapp!$I$2+J640*Prislapp!$J$2+K640*Prislapp!$K$2+L640*Prislapp!$L$2+M640*Prislapp!$M$2+N640*Prislapp!$N$2</f>
        <v>18405</v>
      </c>
      <c r="P640" s="42">
        <f>C640*Prislapp!$C$3+D640*Prislapp!$D$3+E640*Prislapp!$E$3+F640*Prislapp!$F$3+G640*Prislapp!$G$3+H640*Prislapp!$H$3+I640*Prislapp!$I$3+J640*Prislapp!$J$3+K640*Prislapp!$K$3+M640*Prislapp!$M$3+N640*Prislapp!$N$3</f>
        <v>15773</v>
      </c>
      <c r="Q640" s="42">
        <f>C640*Prislapp!$C$5+D640*Prislapp!$D$5+E640*Prislapp!$E$5+F640*Prislapp!$F$5+G640*Prislapp!$G$5+H640*Prislapp!$H$5+I640*Prislapp!$I$5+J640*Prislapp!$J$5+K640*Prislapp!$K$5+L640*Prislapp!$L$5+M640*Prislapp!$M$5+N640*Prislapp!$N$5</f>
        <v>5800</v>
      </c>
      <c r="R640" s="9">
        <f>VLOOKUP(A640,'Ansvar kurs'!$A$2:$B$830,2,FALSE)</f>
        <v>1620</v>
      </c>
      <c r="S640" s="31" t="s">
        <v>1815</v>
      </c>
    </row>
    <row r="641" spans="1:20" x14ac:dyDescent="0.25">
      <c r="A641" s="31" t="s">
        <v>138</v>
      </c>
      <c r="B641" s="31" t="s">
        <v>733</v>
      </c>
      <c r="I641" s="31">
        <v>0.75</v>
      </c>
      <c r="K641" s="31">
        <v>0.25</v>
      </c>
      <c r="O641" s="42">
        <f>C641*Prislapp!$C$2+D641*Prislapp!$D$2+E641*Prislapp!$E$2+F641*Prislapp!$F$2+G641*Prislapp!$G$2+H641*Prislapp!$H$2+I641*Prislapp!$I$2+J641*Prislapp!$J$2+K641*Prislapp!$K$2+L641*Prislapp!$L$2+M641*Prislapp!$M$2+N641*Prislapp!$N$2</f>
        <v>19212.25</v>
      </c>
      <c r="P641" s="42">
        <f>C641*Prislapp!$C$3+D641*Prislapp!$D$3+E641*Prislapp!$E$3+F641*Prislapp!$F$3+G641*Prislapp!$G$3+H641*Prislapp!$H$3+I641*Prislapp!$I$3+J641*Prislapp!$J$3+K641*Prislapp!$K$3+M641*Prislapp!$M$3+N641*Prislapp!$N$3</f>
        <v>18576.25</v>
      </c>
      <c r="Q641" s="42">
        <f>C641*Prislapp!$C$5+D641*Prislapp!$D$5+E641*Prislapp!$E$5+F641*Prislapp!$F$5+G641*Prislapp!$G$5+H641*Prislapp!$H$5+I641*Prislapp!$I$5+J641*Prislapp!$J$5+K641*Prislapp!$K$5+L641*Prislapp!$L$5+M641*Prislapp!$M$5+N641*Prislapp!$N$5</f>
        <v>5200</v>
      </c>
      <c r="R641" s="9">
        <f>VLOOKUP(A641,'Ansvar kurs'!$A$2:$B$830,2,FALSE)</f>
        <v>2340</v>
      </c>
    </row>
    <row r="642" spans="1:20" x14ac:dyDescent="0.25">
      <c r="A642" s="31" t="s">
        <v>98</v>
      </c>
      <c r="B642" s="31" t="s">
        <v>734</v>
      </c>
      <c r="I642" s="31">
        <v>1</v>
      </c>
      <c r="O642" s="42">
        <f>C642*Prislapp!$C$2+D642*Prislapp!$D$2+E642*Prislapp!$E$2+F642*Prislapp!$F$2+G642*Prislapp!$G$2+H642*Prislapp!$H$2+I642*Prislapp!$I$2+J642*Prislapp!$J$2+K642*Prislapp!$K$2+L642*Prislapp!$L$2+M642*Prislapp!$M$2+N642*Prislapp!$N$2</f>
        <v>18405</v>
      </c>
      <c r="P642" s="42">
        <f>C642*Prislapp!$C$3+D642*Prislapp!$D$3+E642*Prislapp!$E$3+F642*Prislapp!$F$3+G642*Prislapp!$G$3+H642*Prislapp!$H$3+I642*Prislapp!$I$3+J642*Prislapp!$J$3+K642*Prislapp!$K$3+M642*Prislapp!$M$3+N642*Prislapp!$N$3</f>
        <v>15773</v>
      </c>
      <c r="Q642" s="42">
        <f>C642*Prislapp!$C$5+D642*Prislapp!$D$5+E642*Prislapp!$E$5+F642*Prislapp!$F$5+G642*Prislapp!$G$5+H642*Prislapp!$H$5+I642*Prislapp!$I$5+J642*Prislapp!$J$5+K642*Prislapp!$K$5+L642*Prislapp!$L$5+M642*Prislapp!$M$5+N642*Prislapp!$N$5</f>
        <v>5800</v>
      </c>
      <c r="R642" s="9">
        <f>VLOOKUP(A642,'Ansvar kurs'!$A$2:$B$830,2,FALSE)</f>
        <v>2340</v>
      </c>
    </row>
    <row r="643" spans="1:20" x14ac:dyDescent="0.25">
      <c r="A643" s="31" t="s">
        <v>97</v>
      </c>
      <c r="B643" s="31" t="s">
        <v>735</v>
      </c>
      <c r="I643" s="31">
        <v>1</v>
      </c>
      <c r="O643" s="42">
        <f>C643*Prislapp!$C$2+D643*Prislapp!$D$2+E643*Prislapp!$E$2+F643*Prislapp!$F$2+G643*Prislapp!$G$2+H643*Prislapp!$H$2+I643*Prislapp!$I$2+J643*Prislapp!$J$2+K643*Prislapp!$K$2+L643*Prislapp!$L$2+M643*Prislapp!$M$2+N643*Prislapp!$N$2</f>
        <v>18405</v>
      </c>
      <c r="P643" s="42">
        <f>C643*Prislapp!$C$3+D643*Prislapp!$D$3+E643*Prislapp!$E$3+F643*Prislapp!$F$3+G643*Prislapp!$G$3+H643*Prislapp!$H$3+I643*Prislapp!$I$3+J643*Prislapp!$J$3+K643*Prislapp!$K$3+M643*Prislapp!$M$3+N643*Prislapp!$N$3</f>
        <v>15773</v>
      </c>
      <c r="Q643" s="42">
        <f>C643*Prislapp!$C$5+D643*Prislapp!$D$5+E643*Prislapp!$E$5+F643*Prislapp!$F$5+G643*Prislapp!$G$5+H643*Prislapp!$H$5+I643*Prislapp!$I$5+J643*Prislapp!$J$5+K643*Prislapp!$K$5+L643*Prislapp!$L$5+M643*Prislapp!$M$5+N643*Prislapp!$N$5</f>
        <v>5800</v>
      </c>
      <c r="R643" s="9">
        <f>VLOOKUP(A643,'Ansvar kurs'!$A$2:$B$830,2,FALSE)</f>
        <v>2340</v>
      </c>
    </row>
    <row r="644" spans="1:20" x14ac:dyDescent="0.25">
      <c r="A644" s="31" t="s">
        <v>512</v>
      </c>
      <c r="B644" s="31" t="s">
        <v>558</v>
      </c>
      <c r="D644" s="31">
        <v>1</v>
      </c>
      <c r="O644" s="42">
        <f>C644*Prislapp!$C$2+D644*Prislapp!$D$2+E644*Prislapp!$E$2+F644*Prislapp!$F$2+G644*Prislapp!$G$2+H644*Prislapp!$H$2+I644*Prislapp!$I$2+J644*Prislapp!$J$2+K644*Prislapp!$K$2+L644*Prislapp!$L$2+M644*Prislapp!$M$2+N644*Prislapp!$N$2</f>
        <v>18405</v>
      </c>
      <c r="P644" s="42">
        <f>C644*Prislapp!$C$3+D644*Prislapp!$D$3+E644*Prislapp!$E$3+F644*Prislapp!$F$3+G644*Prislapp!$G$3+H644*Prislapp!$H$3+I644*Prislapp!$I$3+J644*Prislapp!$J$3+K644*Prislapp!$K$3+M644*Prislapp!$M$3+N644*Prislapp!$N$3</f>
        <v>15773</v>
      </c>
      <c r="Q644" s="42">
        <f>C644*Prislapp!$C$5+D644*Prislapp!$D$5+E644*Prislapp!$E$5+F644*Prislapp!$F$5+G644*Prislapp!$G$5+H644*Prislapp!$H$5+I644*Prislapp!$I$5+J644*Prislapp!$J$5+K644*Prislapp!$K$5+L644*Prislapp!$L$5+M644*Prislapp!$M$5+N644*Prislapp!$N$5</f>
        <v>5800</v>
      </c>
      <c r="R644" s="9">
        <f>VLOOKUP(A644,'Ansvar kurs'!$A$2:$B$830,2,FALSE)</f>
        <v>2340</v>
      </c>
    </row>
    <row r="645" spans="1:20" x14ac:dyDescent="0.25">
      <c r="A645" s="31" t="s">
        <v>513</v>
      </c>
      <c r="B645" s="31" t="s">
        <v>559</v>
      </c>
      <c r="I645" s="31">
        <v>1</v>
      </c>
      <c r="O645" s="42">
        <f>C645*Prislapp!$C$2+D645*Prislapp!$D$2+E645*Prislapp!$E$2+F645*Prislapp!$F$2+G645*Prislapp!$G$2+H645*Prislapp!$H$2+I645*Prislapp!$I$2+J645*Prislapp!$J$2+K645*Prislapp!$K$2+L645*Prislapp!$L$2+M645*Prislapp!$M$2+N645*Prislapp!$N$2</f>
        <v>18405</v>
      </c>
      <c r="P645" s="42">
        <f>C645*Prislapp!$C$3+D645*Prislapp!$D$3+E645*Prislapp!$E$3+F645*Prislapp!$F$3+G645*Prislapp!$G$3+H645*Prislapp!$H$3+I645*Prislapp!$I$3+J645*Prislapp!$J$3+K645*Prislapp!$K$3+M645*Prislapp!$M$3+N645*Prislapp!$N$3</f>
        <v>15773</v>
      </c>
      <c r="Q645" s="42">
        <f>C645*Prislapp!$C$5+D645*Prislapp!$D$5+E645*Prislapp!$E$5+F645*Prislapp!$F$5+G645*Prislapp!$G$5+H645*Prislapp!$H$5+I645*Prislapp!$I$5+J645*Prislapp!$J$5+K645*Prislapp!$K$5+L645*Prislapp!$L$5+M645*Prislapp!$M$5+N645*Prislapp!$N$5</f>
        <v>5800</v>
      </c>
      <c r="R645" s="9">
        <f>VLOOKUP(A645,'Ansvar kurs'!$A$2:$B$830,2,FALSE)</f>
        <v>2340</v>
      </c>
      <c r="S645" s="31" t="s">
        <v>1312</v>
      </c>
    </row>
    <row r="646" spans="1:20" x14ac:dyDescent="0.25">
      <c r="A646" s="265" t="s">
        <v>603</v>
      </c>
      <c r="B646" s="31" t="s">
        <v>618</v>
      </c>
      <c r="D646" s="31">
        <v>1</v>
      </c>
      <c r="O646" s="42">
        <f>C646*Prislapp!$C$2+D646*Prislapp!$D$2+E646*Prislapp!$E$2+F646*Prislapp!$F$2+G646*Prislapp!$G$2+H646*Prislapp!$H$2+I646*Prislapp!$I$2+J646*Prislapp!$J$2+K646*Prislapp!$K$2+L646*Prislapp!$L$2+M646*Prislapp!$M$2+N646*Prislapp!$N$2</f>
        <v>18405</v>
      </c>
      <c r="P646" s="42">
        <f>C646*Prislapp!$C$3+D646*Prislapp!$D$3+E646*Prislapp!$E$3+F646*Prislapp!$F$3+G646*Prislapp!$G$3+H646*Prislapp!$H$3+I646*Prislapp!$I$3+J646*Prislapp!$J$3+K646*Prislapp!$K$3+M646*Prislapp!$M$3+N646*Prislapp!$N$3</f>
        <v>15773</v>
      </c>
      <c r="Q646" s="42">
        <f>C646*Prislapp!$C$5+D646*Prislapp!$D$5+E646*Prislapp!$E$5+F646*Prislapp!$F$5+G646*Prislapp!$G$5+H646*Prislapp!$H$5+I646*Prislapp!$I$5+J646*Prislapp!$J$5+K646*Prislapp!$K$5+L646*Prislapp!$L$5+M646*Prislapp!$M$5+N646*Prislapp!$N$5</f>
        <v>5800</v>
      </c>
      <c r="R646" s="9">
        <f>VLOOKUP(A646,'Ansvar kurs'!$A$2:$B$830,2,FALSE)</f>
        <v>2340</v>
      </c>
    </row>
    <row r="647" spans="1:20" x14ac:dyDescent="0.25">
      <c r="A647" s="265" t="s">
        <v>1051</v>
      </c>
      <c r="B647" s="31" t="s">
        <v>762</v>
      </c>
      <c r="I647" s="31">
        <v>1</v>
      </c>
      <c r="O647" s="42">
        <f>C647*Prislapp!$C$2+D647*Prislapp!$D$2+E647*Prislapp!$E$2+F647*Prislapp!$F$2+G647*Prislapp!$G$2+H647*Prislapp!$H$2+I647*Prislapp!$I$2+J647*Prislapp!$J$2+K647*Prislapp!$K$2+L647*Prislapp!$L$2+M647*Prislapp!$M$2+N647*Prislapp!$N$2</f>
        <v>18405</v>
      </c>
      <c r="P647" s="42">
        <f>C647*Prislapp!$C$3+D647*Prislapp!$D$3+E647*Prislapp!$E$3+F647*Prislapp!$F$3+G647*Prislapp!$G$3+H647*Prislapp!$H$3+I647*Prislapp!$I$3+J647*Prislapp!$J$3+K647*Prislapp!$K$3+M647*Prislapp!$M$3+N647*Prislapp!$N$3</f>
        <v>15773</v>
      </c>
      <c r="Q647" s="42">
        <f>C647*Prislapp!$C$5+D647*Prislapp!$D$5+E647*Prislapp!$E$5+F647*Prislapp!$F$5+G647*Prislapp!$G$5+H647*Prislapp!$H$5+I647*Prislapp!$I$5+J647*Prislapp!$J$5+K647*Prislapp!$K$5+L647*Prislapp!$L$5+M647*Prislapp!$M$5+N647*Prislapp!$N$5</f>
        <v>5800</v>
      </c>
      <c r="R647" s="9">
        <f>VLOOKUP(A647,'Ansvar kurs'!$A$2:$B$830,2,FALSE)</f>
        <v>2340</v>
      </c>
      <c r="S647" s="31" t="s">
        <v>1312</v>
      </c>
    </row>
    <row r="648" spans="1:20" x14ac:dyDescent="0.25">
      <c r="A648" s="265" t="s">
        <v>1052</v>
      </c>
      <c r="B648" s="31" t="s">
        <v>1219</v>
      </c>
      <c r="F648" s="31">
        <v>1</v>
      </c>
      <c r="O648" s="42">
        <f>C648*Prislapp!$C$2+D648*Prislapp!$D$2+E648*Prislapp!$E$2+F648*Prislapp!$F$2+G648*Prislapp!$G$2+H648*Prislapp!$H$2+I648*Prislapp!$I$2+J648*Prislapp!$J$2+K648*Prislapp!$K$2+L648*Prislapp!$L$2+M648*Prislapp!$M$2+N648*Prislapp!$N$2</f>
        <v>23641</v>
      </c>
      <c r="P648" s="42">
        <f>C648*Prislapp!$C$3+D648*Prislapp!$D$3+E648*Prislapp!$E$3+F648*Prislapp!$F$3+G648*Prislapp!$G$3+H648*Prislapp!$H$3+I648*Prislapp!$I$3+J648*Prislapp!$J$3+K648*Prislapp!$K$3+M648*Prislapp!$M$3+N648*Prislapp!$N$3</f>
        <v>28786</v>
      </c>
      <c r="Q648" s="42">
        <f>C648*Prislapp!$C$5+D648*Prislapp!$D$5+E648*Prislapp!$E$5+F648*Prislapp!$F$5+G648*Prislapp!$G$5+H648*Prislapp!$H$5+I648*Prislapp!$I$5+J648*Prislapp!$J$5+K648*Prislapp!$K$5+L648*Prislapp!$L$5+M648*Prislapp!$M$5+N648*Prislapp!$N$5</f>
        <v>5800</v>
      </c>
      <c r="R648" s="9">
        <f>VLOOKUP(A648,'Ansvar kurs'!$A$2:$B$830,2,FALSE)</f>
        <v>2340</v>
      </c>
    </row>
    <row r="649" spans="1:20" x14ac:dyDescent="0.25">
      <c r="A649" s="265" t="s">
        <v>1053</v>
      </c>
      <c r="B649" s="31" t="s">
        <v>1092</v>
      </c>
      <c r="L649" s="31">
        <v>1</v>
      </c>
      <c r="O649" s="42">
        <f>C649*Prislapp!$C$2+D649*Prislapp!$D$2+E649*Prislapp!$E$2+F649*Prislapp!$F$2+G649*Prislapp!$G$2+H649*Prislapp!$H$2+I649*Prislapp!$I$2+J649*Prislapp!$J$2+K649*Prislapp!$K$2+L649*Prislapp!$L$2+M649*Prislapp!$M$2+N649*Prislapp!$N$2</f>
        <v>18505</v>
      </c>
      <c r="P649" s="42">
        <f>C649*Prislapp!$C$3+D649*Prislapp!$D$3+E649*Prislapp!$E$3+F649*Prislapp!$F$3+G649*Prislapp!$G$3+H649*Prislapp!$H$3+I649*Prislapp!$I$3+J649*Prislapp!$J$3+K649*Prislapp!$K$3+M649*Prislapp!$M$3+N649*Prislapp!$N$3</f>
        <v>0</v>
      </c>
      <c r="Q649" s="42">
        <f>C649*Prislapp!$C$5+D649*Prislapp!$D$5+E649*Prislapp!$E$5+F649*Prislapp!$F$5+G649*Prislapp!$G$5+H649*Prislapp!$H$5+I649*Prislapp!$I$5+J649*Prislapp!$J$5+K649*Prislapp!$K$5+L649*Prislapp!$L$5+M649*Prislapp!$M$5+N649*Prislapp!$N$5</f>
        <v>5700</v>
      </c>
      <c r="R649" s="9">
        <f>VLOOKUP(A649,'Ansvar kurs'!$A$2:$B$830,2,FALSE)</f>
        <v>2340</v>
      </c>
      <c r="S649" s="159"/>
    </row>
    <row r="650" spans="1:20" x14ac:dyDescent="0.25">
      <c r="A650" s="31" t="s">
        <v>80</v>
      </c>
      <c r="B650" s="31" t="s">
        <v>736</v>
      </c>
      <c r="J650" s="31">
        <v>0.85</v>
      </c>
      <c r="M650" s="31">
        <v>0.15</v>
      </c>
      <c r="O650" s="42">
        <f>C650*Prislapp!$C$2+D650*Prislapp!$D$2+E650*Prislapp!$E$2+F650*Prislapp!$F$2+G650*Prislapp!$G$2+H650*Prislapp!$H$2+I650*Prislapp!$I$2+J650*Prislapp!$J$2+K650*Prislapp!$K$2+L650*Prislapp!$L$2+M650*Prislapp!$M$2+N650*Prislapp!$N$2</f>
        <v>18928.95</v>
      </c>
      <c r="P650" s="42">
        <f>C650*Prislapp!$C$3+D650*Prislapp!$D$3+E650*Prislapp!$E$3+F650*Prislapp!$F$3+G650*Prislapp!$G$3+H650*Prislapp!$H$3+I650*Prislapp!$I$3+J650*Prislapp!$J$3+K650*Prislapp!$K$3+M650*Prislapp!$M$3+N650*Prislapp!$N$3</f>
        <v>33624</v>
      </c>
      <c r="Q650" s="42">
        <f>C650*Prislapp!$C$5+D650*Prislapp!$D$5+E650*Prislapp!$E$5+F650*Prislapp!$F$5+G650*Prislapp!$G$5+H650*Prislapp!$H$5+I650*Prislapp!$I$5+J650*Prislapp!$J$5+K650*Prislapp!$K$5+L650*Prislapp!$L$5+M650*Prislapp!$M$5+N650*Prislapp!$N$5</f>
        <v>21125</v>
      </c>
      <c r="R650" s="9">
        <f>VLOOKUP(A650,'Ansvar kurs'!$A$2:$B$830,2,FALSE)</f>
        <v>1650</v>
      </c>
    </row>
    <row r="651" spans="1:20" x14ac:dyDescent="0.25">
      <c r="A651" s="31" t="s">
        <v>68</v>
      </c>
      <c r="B651" s="31" t="s">
        <v>737</v>
      </c>
      <c r="J651" s="31">
        <v>0.65</v>
      </c>
      <c r="M651" s="31">
        <v>0.35</v>
      </c>
      <c r="O651" s="42">
        <f>C651*Prislapp!$C$2+D651*Prislapp!$D$2+E651*Prislapp!$E$2+F651*Prislapp!$F$2+G651*Prislapp!$G$2+H651*Prislapp!$H$2+I651*Prislapp!$I$2+J651*Prislapp!$J$2+K651*Prislapp!$K$2+L651*Prislapp!$L$2+M651*Prislapp!$M$2+N651*Prislapp!$N$2</f>
        <v>18203.55</v>
      </c>
      <c r="P651" s="42">
        <f>C651*Prislapp!$C$3+D651*Prislapp!$D$3+E651*Prislapp!$E$3+F651*Prislapp!$F$3+G651*Prislapp!$G$3+H651*Prislapp!$H$3+I651*Prislapp!$I$3+J651*Prislapp!$J$3+K651*Prislapp!$K$3+M651*Prislapp!$M$3+N651*Prislapp!$N$3</f>
        <v>32048</v>
      </c>
      <c r="Q651" s="42">
        <f>C651*Prislapp!$C$5+D651*Prislapp!$D$5+E651*Prislapp!$E$5+F651*Prislapp!$F$5+G651*Prislapp!$G$5+H651*Prislapp!$H$5+I651*Prislapp!$I$5+J651*Prislapp!$J$5+K651*Prislapp!$K$5+L651*Prislapp!$L$5+M651*Prislapp!$M$5+N651*Prislapp!$N$5</f>
        <v>20225</v>
      </c>
      <c r="R651" s="9">
        <f>VLOOKUP(A651,'Ansvar kurs'!$A$2:$B$830,2,FALSE)</f>
        <v>1650</v>
      </c>
    </row>
    <row r="652" spans="1:20" x14ac:dyDescent="0.25">
      <c r="A652" s="31" t="s">
        <v>333</v>
      </c>
      <c r="B652" s="31" t="s">
        <v>738</v>
      </c>
      <c r="J652" s="31">
        <v>1</v>
      </c>
      <c r="O652" s="42">
        <f>C652*Prislapp!$C$2+D652*Prislapp!$D$2+E652*Prislapp!$E$2+F652*Prislapp!$F$2+G652*Prislapp!$G$2+H652*Prislapp!$H$2+I652*Prislapp!$I$2+J652*Prislapp!$J$2+K652*Prislapp!$K$2+L652*Prislapp!$L$2+M652*Prislapp!$M$2+N652*Prislapp!$N$2</f>
        <v>19473</v>
      </c>
      <c r="P652" s="42">
        <f>C652*Prislapp!$C$3+D652*Prislapp!$D$3+E652*Prislapp!$E$3+F652*Prislapp!$F$3+G652*Prislapp!$G$3+H652*Prislapp!$H$3+I652*Prislapp!$I$3+J652*Prislapp!$J$3+K652*Prislapp!$K$3+M652*Prislapp!$M$3+N652*Prislapp!$N$3</f>
        <v>34806</v>
      </c>
      <c r="Q652" s="42">
        <f>C652*Prislapp!$C$5+D652*Prislapp!$D$5+E652*Prislapp!$E$5+F652*Prislapp!$F$5+G652*Prislapp!$G$5+H652*Prislapp!$H$5+I652*Prislapp!$I$5+J652*Prislapp!$J$5+K652*Prislapp!$K$5+L652*Prislapp!$L$5+M652*Prislapp!$M$5+N652*Prislapp!$N$5</f>
        <v>21800</v>
      </c>
      <c r="R652" s="9">
        <f>VLOOKUP(A652,'Ansvar kurs'!$A$2:$B$830,2,FALSE)</f>
        <v>1650</v>
      </c>
    </row>
    <row r="653" spans="1:20" x14ac:dyDescent="0.25">
      <c r="A653" s="31" t="s">
        <v>152</v>
      </c>
      <c r="B653" s="31" t="s">
        <v>123</v>
      </c>
      <c r="J653" s="31">
        <v>1</v>
      </c>
      <c r="M653" s="31">
        <v>0</v>
      </c>
      <c r="O653" s="42">
        <f>C653*Prislapp!$C$2+D653*Prislapp!$D$2+E653*Prislapp!$E$2+F653*Prislapp!$F$2+G653*Prislapp!$G$2+H653*Prislapp!$H$2+I653*Prislapp!$I$2+J653*Prislapp!$J$2+K653*Prislapp!$K$2+L653*Prislapp!$L$2+M653*Prislapp!$M$2+N653*Prislapp!$N$2</f>
        <v>19473</v>
      </c>
      <c r="P653" s="42">
        <f>C653*Prislapp!$C$3+D653*Prislapp!$D$3+E653*Prislapp!$E$3+F653*Prislapp!$F$3+G653*Prislapp!$G$3+H653*Prislapp!$H$3+I653*Prislapp!$I$3+J653*Prislapp!$J$3+K653*Prislapp!$K$3+M653*Prislapp!$M$3+N653*Prislapp!$N$3</f>
        <v>34806</v>
      </c>
      <c r="Q653" s="42">
        <f>C653*Prislapp!$C$5+D653*Prislapp!$D$5+E653*Prislapp!$E$5+F653*Prislapp!$F$5+G653*Prislapp!$G$5+H653*Prislapp!$H$5+I653*Prislapp!$I$5+J653*Prislapp!$J$5+K653*Prislapp!$K$5+L653*Prislapp!$L$5+M653*Prislapp!$M$5+N653*Prislapp!$N$5</f>
        <v>21800</v>
      </c>
      <c r="R653" s="9">
        <f>VLOOKUP(A653,'Ansvar kurs'!$A$2:$B$830,2,FALSE)</f>
        <v>1650</v>
      </c>
      <c r="S653" s="186" t="s">
        <v>1525</v>
      </c>
      <c r="T653" s="186"/>
    </row>
    <row r="654" spans="1:20" x14ac:dyDescent="0.25">
      <c r="A654" s="31" t="s">
        <v>82</v>
      </c>
      <c r="B654" s="31" t="s">
        <v>328</v>
      </c>
      <c r="J654" s="31">
        <v>1</v>
      </c>
      <c r="M654" s="31">
        <v>0</v>
      </c>
      <c r="O654" s="42">
        <f>C654*Prislapp!$C$2+D654*Prislapp!$D$2+E654*Prislapp!$E$2+F654*Prislapp!$F$2+G654*Prislapp!$G$2+H654*Prislapp!$H$2+I654*Prislapp!$I$2+J654*Prislapp!$J$2+K654*Prislapp!$K$2+L654*Prislapp!$L$2+M654*Prislapp!$M$2+N654*Prislapp!$N$2</f>
        <v>19473</v>
      </c>
      <c r="P654" s="42">
        <f>C654*Prislapp!$C$3+D654*Prislapp!$D$3+E654*Prislapp!$E$3+F654*Prislapp!$F$3+G654*Prislapp!$G$3+H654*Prislapp!$H$3+I654*Prislapp!$I$3+J654*Prislapp!$J$3+K654*Prislapp!$K$3+M654*Prislapp!$M$3+N654*Prislapp!$N$3</f>
        <v>34806</v>
      </c>
      <c r="Q654" s="42">
        <f>C654*Prislapp!$C$5+D654*Prislapp!$D$5+E654*Prislapp!$E$5+F654*Prislapp!$F$5+G654*Prislapp!$G$5+H654*Prislapp!$H$5+I654*Prislapp!$I$5+J654*Prislapp!$J$5+K654*Prislapp!$K$5+L654*Prislapp!$L$5+M654*Prislapp!$M$5+N654*Prislapp!$N$5</f>
        <v>21800</v>
      </c>
      <c r="R654" s="9">
        <f>VLOOKUP(A654,'Ansvar kurs'!$A$2:$B$830,2,FALSE)</f>
        <v>1650</v>
      </c>
      <c r="S654" s="186" t="s">
        <v>1525</v>
      </c>
      <c r="T654" s="186"/>
    </row>
    <row r="655" spans="1:20" x14ac:dyDescent="0.25">
      <c r="A655" s="31" t="s">
        <v>479</v>
      </c>
      <c r="B655" s="31" t="s">
        <v>739</v>
      </c>
      <c r="J655" s="31">
        <v>1</v>
      </c>
      <c r="O655" s="42">
        <f>C655*Prislapp!$C$2+D655*Prislapp!$D$2+E655*Prislapp!$E$2+F655*Prislapp!$F$2+G655*Prislapp!$G$2+H655*Prislapp!$H$2+I655*Prislapp!$I$2+J655*Prislapp!$J$2+K655*Prislapp!$K$2+L655*Prislapp!$L$2+M655*Prislapp!$M$2+N655*Prislapp!$N$2</f>
        <v>19473</v>
      </c>
      <c r="P655" s="42">
        <f>C655*Prislapp!$C$3+D655*Prislapp!$D$3+E655*Prislapp!$E$3+F655*Prislapp!$F$3+G655*Prislapp!$G$3+H655*Prislapp!$H$3+I655*Prislapp!$I$3+J655*Prislapp!$J$3+K655*Prislapp!$K$3+M655*Prislapp!$M$3+N655*Prislapp!$N$3</f>
        <v>34806</v>
      </c>
      <c r="Q655" s="42">
        <f>C655*Prislapp!$C$5+D655*Prislapp!$D$5+E655*Prislapp!$E$5+F655*Prislapp!$F$5+G655*Prislapp!$G$5+H655*Prislapp!$H$5+I655*Prislapp!$I$5+J655*Prislapp!$J$5+K655*Prislapp!$K$5+L655*Prislapp!$L$5+M655*Prislapp!$M$5+N655*Prislapp!$N$5</f>
        <v>21800</v>
      </c>
      <c r="R655" s="9">
        <f>VLOOKUP(A655,'Ansvar kurs'!$A$2:$B$830,2,FALSE)</f>
        <v>1650</v>
      </c>
    </row>
    <row r="656" spans="1:20" x14ac:dyDescent="0.25">
      <c r="A656" s="31" t="s">
        <v>527</v>
      </c>
      <c r="B656" s="31" t="s">
        <v>542</v>
      </c>
      <c r="J656" s="31">
        <v>1</v>
      </c>
      <c r="O656" s="42">
        <f>C656*Prislapp!$C$2+D656*Prislapp!$D$2+E656*Prislapp!$E$2+F656*Prislapp!$F$2+G656*Prislapp!$G$2+H656*Prislapp!$H$2+I656*Prislapp!$I$2+J656*Prislapp!$J$2+K656*Prislapp!$K$2+L656*Prislapp!$L$2+M656*Prislapp!$M$2+N656*Prislapp!$N$2</f>
        <v>19473</v>
      </c>
      <c r="P656" s="42">
        <f>C656*Prislapp!$C$3+D656*Prislapp!$D$3+E656*Prislapp!$E$3+F656*Prislapp!$F$3+G656*Prislapp!$G$3+H656*Prislapp!$H$3+I656*Prislapp!$I$3+J656*Prislapp!$J$3+K656*Prislapp!$K$3+M656*Prislapp!$M$3+N656*Prislapp!$N$3</f>
        <v>34806</v>
      </c>
      <c r="Q656" s="42">
        <f>C656*Prislapp!$C$5+D656*Prislapp!$D$5+E656*Prislapp!$E$5+F656*Prislapp!$F$5+G656*Prislapp!$G$5+H656*Prislapp!$H$5+I656*Prislapp!$I$5+J656*Prislapp!$J$5+K656*Prislapp!$K$5+L656*Prislapp!$L$5+M656*Prislapp!$M$5+N656*Prislapp!$N$5</f>
        <v>21800</v>
      </c>
      <c r="R656" s="9">
        <f>VLOOKUP(A656,'Ansvar kurs'!$A$2:$B$830,2,FALSE)</f>
        <v>1650</v>
      </c>
    </row>
    <row r="657" spans="1:26" x14ac:dyDescent="0.25">
      <c r="A657" s="31" t="s">
        <v>649</v>
      </c>
      <c r="B657" s="31" t="s">
        <v>1237</v>
      </c>
      <c r="J657" s="31">
        <v>1</v>
      </c>
      <c r="O657" s="42">
        <f>C657*Prislapp!$C$2+D657*Prislapp!$D$2+E657*Prislapp!$E$2+F657*Prislapp!$F$2+G657*Prislapp!$G$2+H657*Prislapp!$H$2+I657*Prislapp!$I$2+J657*Prislapp!$J$2+K657*Prislapp!$K$2+L657*Prislapp!$L$2+M657*Prislapp!$M$2+N657*Prislapp!$N$2</f>
        <v>19473</v>
      </c>
      <c r="P657" s="42">
        <f>C657*Prislapp!$C$3+D657*Prislapp!$D$3+E657*Prislapp!$E$3+F657*Prislapp!$F$3+G657*Prislapp!$G$3+H657*Prislapp!$H$3+I657*Prislapp!$I$3+J657*Prislapp!$J$3+K657*Prislapp!$K$3+M657*Prislapp!$M$3+N657*Prislapp!$N$3</f>
        <v>34806</v>
      </c>
      <c r="Q657" s="42">
        <f>C657*Prislapp!$C$5+D657*Prislapp!$D$5+E657*Prislapp!$E$5+F657*Prislapp!$F$5+G657*Prislapp!$G$5+H657*Prislapp!$H$5+I657*Prislapp!$I$5+J657*Prislapp!$J$5+K657*Prislapp!$K$5+L657*Prislapp!$L$5+M657*Prislapp!$M$5+N657*Prislapp!$N$5</f>
        <v>21800</v>
      </c>
      <c r="R657" s="9">
        <f>VLOOKUP(A657,'Ansvar kurs'!$A$2:$B$830,2,FALSE)</f>
        <v>1650</v>
      </c>
    </row>
    <row r="658" spans="1:26" x14ac:dyDescent="0.25">
      <c r="A658" s="31" t="s">
        <v>770</v>
      </c>
      <c r="B658" s="31" t="s">
        <v>1238</v>
      </c>
      <c r="J658" s="31">
        <v>1</v>
      </c>
      <c r="O658" s="42">
        <f>C658*Prislapp!$C$2+D658*Prislapp!$D$2+E658*Prislapp!$E$2+F658*Prislapp!$F$2+G658*Prislapp!$G$2+H658*Prislapp!$H$2+I658*Prislapp!$I$2+J658*Prislapp!$J$2+K658*Prislapp!$K$2+L658*Prislapp!$L$2+M658*Prislapp!$M$2+N658*Prislapp!$N$2</f>
        <v>19473</v>
      </c>
      <c r="P658" s="42">
        <f>C658*Prislapp!$C$3+D658*Prislapp!$D$3+E658*Prislapp!$E$3+F658*Prislapp!$F$3+G658*Prislapp!$G$3+H658*Prislapp!$H$3+I658*Prislapp!$I$3+J658*Prislapp!$J$3+K658*Prislapp!$K$3+M658*Prislapp!$M$3+N658*Prislapp!$N$3</f>
        <v>34806</v>
      </c>
      <c r="Q658" s="42">
        <f>C658*Prislapp!$C$5+D658*Prislapp!$D$5+E658*Prislapp!$E$5+F658*Prislapp!$F$5+G658*Prislapp!$G$5+H658*Prislapp!$H$5+I658*Prislapp!$I$5+J658*Prislapp!$J$5+K658*Prislapp!$K$5+L658*Prislapp!$L$5+M658*Prislapp!$M$5+N658*Prislapp!$N$5</f>
        <v>21800</v>
      </c>
      <c r="R658" s="9">
        <f>VLOOKUP(A658,'Ansvar kurs'!$A$2:$B$830,2,FALSE)</f>
        <v>1650</v>
      </c>
      <c r="S658" s="159"/>
    </row>
    <row r="659" spans="1:26" x14ac:dyDescent="0.25">
      <c r="A659" s="31" t="s">
        <v>569</v>
      </c>
      <c r="B659" s="31" t="s">
        <v>740</v>
      </c>
      <c r="J659" s="31">
        <v>1</v>
      </c>
      <c r="M659" s="31">
        <v>0</v>
      </c>
      <c r="O659" s="42">
        <f>C659*Prislapp!$C$2+D659*Prislapp!$D$2+E659*Prislapp!$E$2+F659*Prislapp!$F$2+G659*Prislapp!$G$2+H659*Prislapp!$H$2+I659*Prislapp!$I$2+J659*Prislapp!$J$2+K659*Prislapp!$K$2+L659*Prislapp!$L$2+M659*Prislapp!$M$2+N659*Prislapp!$N$2</f>
        <v>19473</v>
      </c>
      <c r="P659" s="42">
        <f>C659*Prislapp!$C$3+D659*Prislapp!$D$3+E659*Prislapp!$E$3+F659*Prislapp!$F$3+G659*Prislapp!$G$3+H659*Prislapp!$H$3+I659*Prislapp!$I$3+J659*Prislapp!$J$3+K659*Prislapp!$K$3+M659*Prislapp!$M$3+N659*Prislapp!$N$3</f>
        <v>34806</v>
      </c>
      <c r="Q659" s="42">
        <f>C659*Prislapp!$C$5+D659*Prislapp!$D$5+E659*Prislapp!$E$5+F659*Prislapp!$F$5+G659*Prislapp!$G$5+H659*Prislapp!$H$5+I659*Prislapp!$I$5+J659*Prislapp!$J$5+K659*Prislapp!$K$5+L659*Prislapp!$L$5+M659*Prislapp!$M$5+N659*Prislapp!$N$5</f>
        <v>21800</v>
      </c>
      <c r="R659" s="9">
        <f>VLOOKUP(A659,'Ansvar kurs'!$A$2:$B$830,2,FALSE)</f>
        <v>1650</v>
      </c>
      <c r="S659" s="186" t="s">
        <v>1525</v>
      </c>
      <c r="T659" s="186"/>
    </row>
    <row r="660" spans="1:26" x14ac:dyDescent="0.25">
      <c r="A660" s="31" t="s">
        <v>648</v>
      </c>
      <c r="B660" s="31" t="s">
        <v>768</v>
      </c>
      <c r="J660" s="31">
        <v>1</v>
      </c>
      <c r="M660" s="31">
        <v>0</v>
      </c>
      <c r="O660" s="42">
        <f>C660*Prislapp!$C$2+D660*Prislapp!$D$2+E660*Prislapp!$E$2+F660*Prislapp!$F$2+G660*Prislapp!$G$2+H660*Prislapp!$H$2+I660*Prislapp!$I$2+J660*Prislapp!$J$2+K660*Prislapp!$K$2+L660*Prislapp!$L$2+M660*Prislapp!$M$2+N660*Prislapp!$N$2</f>
        <v>19473</v>
      </c>
      <c r="P660" s="42">
        <f>C660*Prislapp!$C$3+D660*Prislapp!$D$3+E660*Prislapp!$E$3+F660*Prislapp!$F$3+G660*Prislapp!$G$3+H660*Prislapp!$H$3+I660*Prislapp!$I$3+J660*Prislapp!$J$3+K660*Prislapp!$K$3+M660*Prislapp!$M$3+N660*Prislapp!$N$3</f>
        <v>34806</v>
      </c>
      <c r="Q660" s="42">
        <f>C660*Prislapp!$C$5+D660*Prislapp!$D$5+E660*Prislapp!$E$5+F660*Prislapp!$F$5+G660*Prislapp!$G$5+H660*Prislapp!$H$5+I660*Prislapp!$I$5+J660*Prislapp!$J$5+K660*Prislapp!$K$5+L660*Prislapp!$L$5+M660*Prislapp!$M$5+N660*Prislapp!$N$5</f>
        <v>21800</v>
      </c>
      <c r="R660" s="9">
        <f>VLOOKUP(A660,'Ansvar kurs'!$A$2:$B$830,2,FALSE)</f>
        <v>1650</v>
      </c>
      <c r="S660" s="186" t="s">
        <v>1525</v>
      </c>
      <c r="T660" s="186"/>
    </row>
    <row r="661" spans="1:26" x14ac:dyDescent="0.25">
      <c r="A661" s="31" t="s">
        <v>1133</v>
      </c>
      <c r="B661" s="31" t="s">
        <v>1239</v>
      </c>
      <c r="D661" s="31">
        <v>0</v>
      </c>
      <c r="J661" s="31">
        <v>1</v>
      </c>
      <c r="L661" s="31">
        <v>0</v>
      </c>
      <c r="O661" s="42">
        <f>C661*Prislapp!$C$2+D661*Prislapp!$D$2+E661*Prislapp!$E$2+F661*Prislapp!$F$2+G661*Prislapp!$G$2+H661*Prislapp!$H$2+I661*Prislapp!$I$2+J661*Prislapp!$J$2+K661*Prislapp!$K$2+L661*Prislapp!$L$2+M661*Prislapp!$M$2+N661*Prislapp!$N$2</f>
        <v>19473</v>
      </c>
      <c r="P661" s="42">
        <f>C661*Prislapp!$C$3+D661*Prislapp!$D$3+E661*Prislapp!$E$3+F661*Prislapp!$F$3+G661*Prislapp!$G$3+H661*Prislapp!$H$3+I661*Prislapp!$I$3+J661*Prislapp!$J$3+K661*Prislapp!$K$3+M661*Prislapp!$M$3+N661*Prislapp!$N$3</f>
        <v>34806</v>
      </c>
      <c r="Q661" s="42">
        <f>C661*Prislapp!$C$5+D661*Prislapp!$D$5+E661*Prislapp!$E$5+F661*Prislapp!$F$5+G661*Prislapp!$G$5+H661*Prislapp!$H$5+I661*Prislapp!$I$5+J661*Prislapp!$J$5+K661*Prislapp!$K$5+L661*Prislapp!$L$5+M661*Prislapp!$M$5+N661*Prislapp!$N$5</f>
        <v>21800</v>
      </c>
      <c r="R661" s="9">
        <f>VLOOKUP(A661,'Ansvar kurs'!$A$2:$B$830,2,FALSE)</f>
        <v>1650</v>
      </c>
      <c r="S661" s="186" t="s">
        <v>1525</v>
      </c>
      <c r="T661" s="186"/>
      <c r="U661" s="159"/>
      <c r="V661" s="159"/>
      <c r="W661" s="159"/>
      <c r="X661" s="159"/>
      <c r="Y661" s="159"/>
      <c r="Z661" s="159"/>
    </row>
    <row r="662" spans="1:26" x14ac:dyDescent="0.25">
      <c r="A662" s="266" t="s">
        <v>1771</v>
      </c>
      <c r="B662" t="s">
        <v>1645</v>
      </c>
      <c r="D662" s="31">
        <v>0</v>
      </c>
      <c r="J662" s="31">
        <v>1</v>
      </c>
      <c r="O662" s="42">
        <f>C662*Prislapp!$C$2+D662*Prislapp!$D$2+E662*Prislapp!$E$2+F662*Prislapp!$F$2+G662*Prislapp!$G$2+H662*Prislapp!$H$2+I662*Prislapp!$I$2+J662*Prislapp!$J$2+K662*Prislapp!$K$2+L662*Prislapp!$L$2+M662*Prislapp!$M$2+N662*Prislapp!$N$2</f>
        <v>19473</v>
      </c>
      <c r="P662" s="42">
        <f>C662*Prislapp!$C$3+D662*Prislapp!$D$3+E662*Prislapp!$E$3+F662*Prislapp!$F$3+G662*Prislapp!$G$3+H662*Prislapp!$H$3+I662*Prislapp!$I$3+J662*Prislapp!$J$3+K662*Prislapp!$K$3+M662*Prislapp!$M$3+N662*Prislapp!$N$3</f>
        <v>34806</v>
      </c>
      <c r="Q662" s="42">
        <f>C662*Prislapp!$C$5+D662*Prislapp!$D$5+E662*Prislapp!$E$5+F662*Prislapp!$F$5+G662*Prislapp!$G$5+H662*Prislapp!$H$5+I662*Prislapp!$I$5+J662*Prislapp!$J$5+K662*Prislapp!$K$5+L662*Prislapp!$L$5+M662*Prislapp!$M$5+N662*Prislapp!$N$5</f>
        <v>21800</v>
      </c>
      <c r="R662" s="9">
        <f>VLOOKUP(A662,'Ansvar kurs'!$A$2:$B$830,2,FALSE)</f>
        <v>1650</v>
      </c>
      <c r="S662" s="186" t="s">
        <v>1904</v>
      </c>
      <c r="T662" s="159"/>
      <c r="U662" s="159"/>
      <c r="V662" s="159"/>
      <c r="W662" s="159"/>
      <c r="X662" s="159"/>
      <c r="Y662" s="159"/>
      <c r="Z662" s="159"/>
    </row>
    <row r="663" spans="1:26" x14ac:dyDescent="0.25">
      <c r="A663" s="31" t="s">
        <v>1638</v>
      </c>
      <c r="B663" s="31" t="s">
        <v>1673</v>
      </c>
      <c r="J663" s="31">
        <v>1</v>
      </c>
      <c r="O663" s="42">
        <f>C663*Prislapp!$C$2+D663*Prislapp!$D$2+E663*Prislapp!$E$2+F663*Prislapp!$F$2+G663*Prislapp!$G$2+H663*Prislapp!$H$2+I663*Prislapp!$I$2+J663*Prislapp!$J$2+K663*Prislapp!$K$2+L663*Prislapp!$L$2+M663*Prislapp!$M$2+N663*Prislapp!$N$2</f>
        <v>19473</v>
      </c>
      <c r="P663" s="42">
        <f>C663*Prislapp!$C$3+D663*Prislapp!$D$3+E663*Prislapp!$E$3+F663*Prislapp!$F$3+G663*Prislapp!$G$3+H663*Prislapp!$H$3+I663*Prislapp!$I$3+J663*Prislapp!$J$3+K663*Prislapp!$K$3+M663*Prislapp!$M$3+N663*Prislapp!$N$3</f>
        <v>34806</v>
      </c>
      <c r="Q663" s="42">
        <f>C663*Prislapp!$C$5+D663*Prislapp!$D$5+E663*Prislapp!$E$5+F663*Prislapp!$F$5+G663*Prislapp!$G$5+H663*Prislapp!$H$5+I663*Prislapp!$I$5+J663*Prislapp!$J$5+K663*Prislapp!$K$5+L663*Prislapp!$L$5+M663*Prislapp!$M$5+N663*Prislapp!$N$5</f>
        <v>21800</v>
      </c>
      <c r="R663" s="9">
        <f>VLOOKUP(A663,'Ansvar kurs'!$A$2:$B$830,2,FALSE)</f>
        <v>1650</v>
      </c>
      <c r="S663" s="186"/>
      <c r="T663" s="186"/>
      <c r="U663" s="159"/>
      <c r="V663" s="159"/>
      <c r="W663" s="159"/>
      <c r="X663" s="159"/>
      <c r="Y663" s="159"/>
      <c r="Z663" s="159"/>
    </row>
    <row r="664" spans="1:26" x14ac:dyDescent="0.25">
      <c r="A664" s="31" t="s">
        <v>1639</v>
      </c>
      <c r="B664" s="31" t="s">
        <v>1674</v>
      </c>
      <c r="D664" s="31">
        <v>0</v>
      </c>
      <c r="J664" s="31">
        <v>1</v>
      </c>
      <c r="O664" s="42">
        <f>C664*Prislapp!$C$2+D664*Prislapp!$D$2+E664*Prislapp!$E$2+F664*Prislapp!$F$2+G664*Prislapp!$G$2+H664*Prislapp!$H$2+I664*Prislapp!$I$2+J664*Prislapp!$J$2+K664*Prislapp!$K$2+L664*Prislapp!$L$2+M664*Prislapp!$M$2+N664*Prislapp!$N$2</f>
        <v>19473</v>
      </c>
      <c r="P664" s="42">
        <f>C664*Prislapp!$C$3+D664*Prislapp!$D$3+E664*Prislapp!$E$3+F664*Prislapp!$F$3+G664*Prislapp!$G$3+H664*Prislapp!$H$3+I664*Prislapp!$I$3+J664*Prislapp!$J$3+K664*Prislapp!$K$3+M664*Prislapp!$M$3+N664*Prislapp!$N$3</f>
        <v>34806</v>
      </c>
      <c r="Q664" s="42">
        <f>C664*Prislapp!$C$5+D664*Prislapp!$D$5+E664*Prislapp!$E$5+F664*Prislapp!$F$5+G664*Prislapp!$G$5+H664*Prislapp!$H$5+I664*Prislapp!$I$5+J664*Prislapp!$J$5+K664*Prislapp!$K$5+L664*Prislapp!$L$5+M664*Prislapp!$M$5+N664*Prislapp!$N$5</f>
        <v>21800</v>
      </c>
      <c r="R664" s="9">
        <f>VLOOKUP(A664,'Ansvar kurs'!$A$2:$B$830,2,FALSE)</f>
        <v>1650</v>
      </c>
      <c r="S664" s="186" t="s">
        <v>1904</v>
      </c>
      <c r="T664" s="186"/>
      <c r="U664" s="159"/>
      <c r="V664" s="159"/>
      <c r="W664" s="159"/>
      <c r="X664" s="159"/>
      <c r="Y664" s="159"/>
      <c r="Z664" s="159"/>
    </row>
    <row r="665" spans="1:26" x14ac:dyDescent="0.25">
      <c r="A665" s="31" t="s">
        <v>1635</v>
      </c>
      <c r="B665" s="31" t="s">
        <v>1640</v>
      </c>
      <c r="D665" s="31">
        <v>0</v>
      </c>
      <c r="J665" s="31">
        <v>1</v>
      </c>
      <c r="O665" s="42">
        <f>C665*Prislapp!$C$2+D665*Prislapp!$D$2+E665*Prislapp!$E$2+F665*Prislapp!$F$2+G665*Prislapp!$G$2+H665*Prislapp!$H$2+I665*Prislapp!$I$2+J665*Prislapp!$J$2+K665*Prislapp!$K$2+L665*Prislapp!$L$2+M665*Prislapp!$M$2+N665*Prislapp!$N$2</f>
        <v>19473</v>
      </c>
      <c r="P665" s="42">
        <f>C665*Prislapp!$C$3+D665*Prislapp!$D$3+E665*Prislapp!$E$3+F665*Prislapp!$F$3+G665*Prislapp!$G$3+H665*Prislapp!$H$3+I665*Prislapp!$I$3+J665*Prislapp!$J$3+K665*Prislapp!$K$3+M665*Prislapp!$M$3+N665*Prislapp!$N$3</f>
        <v>34806</v>
      </c>
      <c r="Q665" s="42">
        <f>C665*Prislapp!$C$5+D665*Prislapp!$D$5+E665*Prislapp!$E$5+F665*Prislapp!$F$5+G665*Prislapp!$G$5+H665*Prislapp!$H$5+I665*Prislapp!$I$5+J665*Prislapp!$J$5+K665*Prislapp!$K$5+L665*Prislapp!$L$5+M665*Prislapp!$M$5+N665*Prislapp!$N$5</f>
        <v>21800</v>
      </c>
      <c r="R665" s="9">
        <f>VLOOKUP(A665,'Ansvar kurs'!$A$2:$B$830,2,FALSE)</f>
        <v>1650</v>
      </c>
      <c r="S665" s="186" t="s">
        <v>1722</v>
      </c>
      <c r="T665" s="186"/>
      <c r="U665" s="159"/>
      <c r="V665" s="159"/>
      <c r="W665" s="159"/>
      <c r="X665" s="159"/>
      <c r="Y665" s="159"/>
      <c r="Z665" s="159"/>
    </row>
    <row r="666" spans="1:26" x14ac:dyDescent="0.25">
      <c r="A666" s="31" t="s">
        <v>1868</v>
      </c>
      <c r="B666" s="31" t="s">
        <v>1792</v>
      </c>
      <c r="J666" s="31">
        <v>1</v>
      </c>
      <c r="O666" s="42">
        <f>C666*Prislapp!$C$2+D666*Prislapp!$D$2+E666*Prislapp!$E$2+F666*Prislapp!$F$2+G666*Prislapp!$G$2+H666*Prislapp!$H$2+I666*Prislapp!$I$2+J666*Prislapp!$J$2+K666*Prislapp!$K$2+L666*Prislapp!$L$2+M666*Prislapp!$M$2+N666*Prislapp!$N$2</f>
        <v>19473</v>
      </c>
      <c r="P666" s="42">
        <f>C666*Prislapp!$C$3+D666*Prislapp!$D$3+E666*Prislapp!$E$3+F666*Prislapp!$F$3+G666*Prislapp!$G$3+H666*Prislapp!$H$3+I666*Prislapp!$I$3+J666*Prislapp!$J$3+K666*Prislapp!$K$3+M666*Prislapp!$M$3+N666*Prislapp!$N$3</f>
        <v>34806</v>
      </c>
      <c r="Q666" s="42">
        <f>C666*Prislapp!$C$5+D666*Prislapp!$D$5+E666*Prislapp!$E$5+F666*Prislapp!$F$5+G666*Prislapp!$G$5+H666*Prislapp!$H$5+I666*Prislapp!$I$5+J666*Prislapp!$J$5+K666*Prislapp!$K$5+L666*Prislapp!$L$5+M666*Prislapp!$M$5+N666*Prislapp!$N$5</f>
        <v>21800</v>
      </c>
      <c r="R666" s="9">
        <f>VLOOKUP(A666,'Ansvar kurs'!$A$2:$B$830,2,FALSE)</f>
        <v>1650</v>
      </c>
      <c r="S666" s="159" t="s">
        <v>1968</v>
      </c>
      <c r="T666" s="186"/>
      <c r="U666" s="159"/>
      <c r="V666" s="159"/>
      <c r="W666" s="159"/>
      <c r="X666" s="159"/>
      <c r="Y666" s="159"/>
      <c r="Z666" s="159"/>
    </row>
    <row r="667" spans="1:26" x14ac:dyDescent="0.25">
      <c r="A667" s="159" t="s">
        <v>1879</v>
      </c>
      <c r="B667" s="31" t="s">
        <v>1839</v>
      </c>
      <c r="J667" s="31">
        <v>1</v>
      </c>
      <c r="O667" s="42">
        <f>C667*Prislapp!$C$2+D667*Prislapp!$D$2+E667*Prislapp!$E$2+F667*Prislapp!$F$2+G667*Prislapp!$G$2+H667*Prislapp!$H$2+I667*Prislapp!$I$2+J667*Prislapp!$J$2+K667*Prislapp!$K$2+L667*Prislapp!$L$2+M667*Prislapp!$M$2+N667*Prislapp!$N$2</f>
        <v>19473</v>
      </c>
      <c r="P667" s="42">
        <f>C667*Prislapp!$C$3+D667*Prislapp!$D$3+E667*Prislapp!$E$3+F667*Prislapp!$F$3+G667*Prislapp!$G$3+H667*Prislapp!$H$3+I667*Prislapp!$I$3+J667*Prislapp!$J$3+K667*Prislapp!$K$3+M667*Prislapp!$M$3+N667*Prislapp!$N$3</f>
        <v>34806</v>
      </c>
      <c r="Q667" s="42">
        <f>C667*Prislapp!$C$5+D667*Prislapp!$D$5+E667*Prislapp!$E$5+F667*Prislapp!$F$5+G667*Prislapp!$G$5+H667*Prislapp!$H$5+I667*Prislapp!$I$5+J667*Prislapp!$J$5+K667*Prislapp!$K$5+L667*Prislapp!$L$5+M667*Prislapp!$M$5+N667*Prislapp!$N$5</f>
        <v>21800</v>
      </c>
      <c r="R667" s="9">
        <f>VLOOKUP(A667,'Ansvar kurs'!$A$2:$B$830,2,FALSE)</f>
        <v>1650</v>
      </c>
      <c r="S667" s="159" t="s">
        <v>1968</v>
      </c>
      <c r="T667" s="159"/>
      <c r="U667" s="159"/>
      <c r="V667" s="159"/>
      <c r="W667" s="159"/>
      <c r="X667" s="159"/>
      <c r="Y667" s="159"/>
      <c r="Z667" s="159"/>
    </row>
    <row r="668" spans="1:26" x14ac:dyDescent="0.25">
      <c r="A668" s="31" t="s">
        <v>1531</v>
      </c>
      <c r="B668" s="31" t="s">
        <v>1535</v>
      </c>
      <c r="D668" s="31">
        <v>0</v>
      </c>
      <c r="M668" s="31">
        <v>1</v>
      </c>
      <c r="O668" s="42">
        <f>C668*Prislapp!$C$2+D668*Prislapp!$D$2+E668*Prislapp!$E$2+F668*Prislapp!$F$2+G668*Prislapp!$G$2+H668*Prislapp!$H$2+I668*Prislapp!$I$2+J668*Prislapp!$J$2+K668*Prislapp!$K$2+L668*Prislapp!$L$2+M668*Prislapp!$M$2+N668*Prislapp!$N$2</f>
        <v>15846</v>
      </c>
      <c r="P668" s="42">
        <f>C668*Prislapp!$C$3+D668*Prislapp!$D$3+E668*Prislapp!$E$3+F668*Prislapp!$F$3+G668*Prislapp!$G$3+H668*Prislapp!$H$3+I668*Prislapp!$I$3+J668*Prislapp!$J$3+K668*Prislapp!$K$3+M668*Prislapp!$M$3+N668*Prislapp!$N$3</f>
        <v>26926</v>
      </c>
      <c r="Q668" s="42">
        <f>C668*Prislapp!$C$5+D668*Prislapp!$D$5+E668*Prislapp!$E$5+F668*Prislapp!$F$5+G668*Prislapp!$G$5+H668*Prislapp!$H$5+I668*Prislapp!$I$5+J668*Prislapp!$J$5+K668*Prislapp!$K$5+L668*Prislapp!$L$5+M668*Prislapp!$M$5+N668*Prislapp!$N$5</f>
        <v>17300</v>
      </c>
      <c r="R668" s="9">
        <f>VLOOKUP(A668,'Ansvar kurs'!$A$2:$B$830,2,FALSE)</f>
        <v>1620</v>
      </c>
      <c r="S668" s="186" t="s">
        <v>1776</v>
      </c>
      <c r="T668" s="186"/>
      <c r="U668" s="159"/>
      <c r="V668" s="159"/>
      <c r="W668" s="159"/>
      <c r="X668" s="159"/>
      <c r="Y668" s="159"/>
      <c r="Z668" s="159"/>
    </row>
    <row r="669" spans="1:26" x14ac:dyDescent="0.25">
      <c r="A669" s="31" t="s">
        <v>1532</v>
      </c>
      <c r="B669" s="31" t="s">
        <v>1545</v>
      </c>
      <c r="D669" s="31">
        <v>0</v>
      </c>
      <c r="M669" s="31">
        <v>1</v>
      </c>
      <c r="O669" s="42">
        <f>C669*Prislapp!$C$2+D669*Prislapp!$D$2+E669*Prislapp!$E$2+F669*Prislapp!$F$2+G669*Prislapp!$G$2+H669*Prislapp!$H$2+I669*Prislapp!$I$2+J669*Prislapp!$J$2+K669*Prislapp!$K$2+L669*Prislapp!$L$2+M669*Prislapp!$M$2+N669*Prislapp!$N$2</f>
        <v>15846</v>
      </c>
      <c r="P669" s="42">
        <f>C669*Prislapp!$C$3+D669*Prislapp!$D$3+E669*Prislapp!$E$3+F669*Prislapp!$F$3+G669*Prislapp!$G$3+H669*Prislapp!$H$3+I669*Prislapp!$I$3+J669*Prislapp!$J$3+K669*Prislapp!$K$3+M669*Prislapp!$M$3+N669*Prislapp!$N$3</f>
        <v>26926</v>
      </c>
      <c r="Q669" s="42">
        <f>C669*Prislapp!$C$5+D669*Prislapp!$D$5+E669*Prislapp!$E$5+F669*Prislapp!$F$5+G669*Prislapp!$G$5+H669*Prislapp!$H$5+I669*Prislapp!$I$5+J669*Prislapp!$J$5+K669*Prislapp!$K$5+L669*Prislapp!$L$5+M669*Prislapp!$M$5+N669*Prislapp!$N$5</f>
        <v>17300</v>
      </c>
      <c r="R669" s="9">
        <f>VLOOKUP(A669,'Ansvar kurs'!$A$2:$B$830,2,FALSE)</f>
        <v>1620</v>
      </c>
      <c r="S669" s="186" t="s">
        <v>1776</v>
      </c>
      <c r="T669" s="186"/>
      <c r="U669" s="159"/>
      <c r="V669" s="159"/>
      <c r="W669" s="159"/>
      <c r="X669" s="159"/>
      <c r="Y669" s="159"/>
      <c r="Z669" s="159"/>
    </row>
    <row r="670" spans="1:26" x14ac:dyDescent="0.25">
      <c r="A670" s="31" t="s">
        <v>1777</v>
      </c>
      <c r="B670" s="31" t="s">
        <v>1780</v>
      </c>
      <c r="D670" s="31">
        <v>0</v>
      </c>
      <c r="M670" s="31">
        <v>1</v>
      </c>
      <c r="O670" s="42">
        <f>C670*Prislapp!$C$2+D670*Prislapp!$D$2+E670*Prislapp!$E$2+F670*Prislapp!$F$2+G670*Prislapp!$G$2+H670*Prislapp!$H$2+I670*Prislapp!$I$2+J670*Prislapp!$J$2+K670*Prislapp!$K$2+L670*Prislapp!$L$2+M670*Prislapp!$M$2+N670*Prislapp!$N$2</f>
        <v>15846</v>
      </c>
      <c r="P670" s="42">
        <f>C670*Prislapp!$C$3+D670*Prislapp!$D$3+E670*Prislapp!$E$3+F670*Prislapp!$F$3+G670*Prislapp!$G$3+H670*Prislapp!$H$3+I670*Prislapp!$I$3+J670*Prislapp!$J$3+K670*Prislapp!$K$3+M670*Prislapp!$M$3+N670*Prislapp!$N$3</f>
        <v>26926</v>
      </c>
      <c r="Q670" s="42">
        <f>C670*Prislapp!$C$5+D670*Prislapp!$D$5+E670*Prislapp!$E$5+F670*Prislapp!$F$5+G670*Prislapp!$G$5+H670*Prislapp!$H$5+I670*Prislapp!$I$5+J670*Prislapp!$J$5+K670*Prislapp!$K$5+L670*Prislapp!$L$5+M670*Prislapp!$M$5+N670*Prislapp!$N$5</f>
        <v>17300</v>
      </c>
      <c r="R670" s="9">
        <f>VLOOKUP(A670,'Ansvar kurs'!$A$2:$B$830,2,FALSE)</f>
        <v>1620</v>
      </c>
      <c r="S670" s="186" t="s">
        <v>1776</v>
      </c>
      <c r="T670" s="186" t="s">
        <v>1926</v>
      </c>
      <c r="U670" s="159"/>
      <c r="V670" s="159"/>
      <c r="W670" s="159"/>
      <c r="X670" s="159"/>
      <c r="Y670" s="159"/>
      <c r="Z670" s="159"/>
    </row>
    <row r="671" spans="1:26" x14ac:dyDescent="0.25">
      <c r="A671" s="31" t="s">
        <v>1778</v>
      </c>
      <c r="B671" s="31" t="s">
        <v>1781</v>
      </c>
      <c r="D671" s="31">
        <v>0</v>
      </c>
      <c r="M671" s="31">
        <v>1</v>
      </c>
      <c r="O671" s="42">
        <f>C671*Prislapp!$C$2+D671*Prislapp!$D$2+E671*Prislapp!$E$2+F671*Prislapp!$F$2+G671*Prislapp!$G$2+H671*Prislapp!$H$2+I671*Prislapp!$I$2+J671*Prislapp!$J$2+K671*Prislapp!$K$2+L671*Prislapp!$L$2+M671*Prislapp!$M$2+N671*Prislapp!$N$2</f>
        <v>15846</v>
      </c>
      <c r="P671" s="42">
        <f>C671*Prislapp!$C$3+D671*Prislapp!$D$3+E671*Prislapp!$E$3+F671*Prislapp!$F$3+G671*Prislapp!$G$3+H671*Prislapp!$H$3+I671*Prislapp!$I$3+J671*Prislapp!$J$3+K671*Prislapp!$K$3+M671*Prislapp!$M$3+N671*Prislapp!$N$3</f>
        <v>26926</v>
      </c>
      <c r="Q671" s="42">
        <f>C671*Prislapp!$C$5+D671*Prislapp!$D$5+E671*Prislapp!$E$5+F671*Prislapp!$F$5+G671*Prislapp!$G$5+H671*Prislapp!$H$5+I671*Prislapp!$I$5+J671*Prislapp!$J$5+K671*Prislapp!$K$5+L671*Prislapp!$L$5+M671*Prislapp!$M$5+N671*Prislapp!$N$5</f>
        <v>17300</v>
      </c>
      <c r="R671" s="9">
        <f>VLOOKUP(A671,'Ansvar kurs'!$A$2:$B$830,2,FALSE)</f>
        <v>1620</v>
      </c>
      <c r="S671" s="186" t="s">
        <v>1776</v>
      </c>
      <c r="T671" s="186" t="s">
        <v>1926</v>
      </c>
      <c r="U671" s="159"/>
      <c r="V671" s="159"/>
      <c r="W671" s="159"/>
      <c r="X671" s="159"/>
      <c r="Y671" s="159"/>
      <c r="Z671" s="159"/>
    </row>
    <row r="672" spans="1:26" x14ac:dyDescent="0.25">
      <c r="A672" s="31" t="s">
        <v>1779</v>
      </c>
      <c r="B672" s="31" t="s">
        <v>1782</v>
      </c>
      <c r="D672" s="31">
        <v>0</v>
      </c>
      <c r="M672" s="31">
        <v>1</v>
      </c>
      <c r="O672" s="42">
        <f>C672*Prislapp!$C$2+D672*Prislapp!$D$2+E672*Prislapp!$E$2+F672*Prislapp!$F$2+G672*Prislapp!$G$2+H672*Prislapp!$H$2+I672*Prislapp!$I$2+J672*Prislapp!$J$2+K672*Prislapp!$K$2+L672*Prislapp!$L$2+M672*Prislapp!$M$2+N672*Prislapp!$N$2</f>
        <v>15846</v>
      </c>
      <c r="P672" s="42">
        <f>C672*Prislapp!$C$3+D672*Prislapp!$D$3+E672*Prislapp!$E$3+F672*Prislapp!$F$3+G672*Prislapp!$G$3+H672*Prislapp!$H$3+I672*Prislapp!$I$3+J672*Prislapp!$J$3+K672*Prislapp!$K$3+M672*Prislapp!$M$3+N672*Prislapp!$N$3</f>
        <v>26926</v>
      </c>
      <c r="Q672" s="42">
        <f>C672*Prislapp!$C$5+D672*Prislapp!$D$5+E672*Prislapp!$E$5+F672*Prislapp!$F$5+G672*Prislapp!$G$5+H672*Prislapp!$H$5+I672*Prislapp!$I$5+J672*Prislapp!$J$5+K672*Prislapp!$K$5+L672*Prislapp!$L$5+M672*Prislapp!$M$5+N672*Prislapp!$N$5</f>
        <v>17300</v>
      </c>
      <c r="R672" s="9">
        <f>VLOOKUP(A672,'Ansvar kurs'!$A$2:$B$830,2,FALSE)</f>
        <v>1620</v>
      </c>
      <c r="S672" s="186" t="s">
        <v>1776</v>
      </c>
      <c r="T672" s="186" t="s">
        <v>1926</v>
      </c>
      <c r="U672" s="159"/>
      <c r="V672" s="159"/>
      <c r="W672" s="159"/>
      <c r="X672" s="159"/>
      <c r="Y672" s="159"/>
      <c r="Z672" s="159"/>
    </row>
    <row r="673" spans="1:26" x14ac:dyDescent="0.25">
      <c r="A673" s="266" t="s">
        <v>1775</v>
      </c>
      <c r="B673" t="s">
        <v>1663</v>
      </c>
      <c r="D673" s="31">
        <v>0</v>
      </c>
      <c r="M673" s="31">
        <v>1</v>
      </c>
      <c r="O673" s="42">
        <f>C673*Prislapp!$C$2+D673*Prislapp!$D$2+E673*Prislapp!$E$2+F673*Prislapp!$F$2+G673*Prislapp!$G$2+H673*Prislapp!$H$2+I673*Prislapp!$I$2+J673*Prislapp!$J$2+K673*Prislapp!$K$2+L673*Prislapp!$L$2+M673*Prislapp!$M$2+N673*Prislapp!$N$2</f>
        <v>15846</v>
      </c>
      <c r="P673" s="42">
        <f>C673*Prislapp!$C$3+D673*Prislapp!$D$3+E673*Prislapp!$E$3+F673*Prislapp!$F$3+G673*Prislapp!$G$3+H673*Prislapp!$H$3+I673*Prislapp!$I$3+J673*Prislapp!$J$3+K673*Prislapp!$K$3+M673*Prislapp!$M$3+N673*Prislapp!$N$3</f>
        <v>26926</v>
      </c>
      <c r="Q673" s="42">
        <f>C673*Prislapp!$C$5+D673*Prislapp!$D$5+E673*Prislapp!$E$5+F673*Prislapp!$F$5+G673*Prislapp!$G$5+H673*Prislapp!$H$5+I673*Prislapp!$I$5+J673*Prislapp!$J$5+K673*Prislapp!$K$5+L673*Prislapp!$L$5+M673*Prislapp!$M$5+N673*Prislapp!$N$5</f>
        <v>17300</v>
      </c>
      <c r="R673" s="9">
        <f>VLOOKUP(A673,'Ansvar kurs'!$A$2:$B$830,2,FALSE)</f>
        <v>1620</v>
      </c>
      <c r="S673" s="186" t="s">
        <v>1776</v>
      </c>
      <c r="T673" s="186" t="s">
        <v>1926</v>
      </c>
      <c r="U673" s="159"/>
      <c r="V673" s="159"/>
      <c r="W673" s="159"/>
      <c r="X673" s="159"/>
      <c r="Y673" s="159"/>
      <c r="Z673" s="159"/>
    </row>
    <row r="674" spans="1:26" x14ac:dyDescent="0.25">
      <c r="A674" s="266" t="s">
        <v>2067</v>
      </c>
      <c r="B674" t="s">
        <v>2069</v>
      </c>
      <c r="H674" s="431">
        <v>1</v>
      </c>
      <c r="O674" s="42">
        <f>C674*Prislapp!$C$2+D674*Prislapp!$D$2+E674*Prislapp!$E$2+F674*Prislapp!$F$2+G674*Prislapp!$G$2+H674*Prislapp!$H$2+I674*Prislapp!$I$2+J674*Prislapp!$J$2+K674*Prislapp!$K$2+L674*Prislapp!$L$2+M674*Prislapp!$M$2+N674*Prislapp!$N$2</f>
        <v>19473</v>
      </c>
      <c r="P674" s="42">
        <f>C674*Prislapp!$C$3+D674*Prislapp!$D$3+E674*Prislapp!$E$3+F674*Prislapp!$F$3+G674*Prislapp!$G$3+H674*Prislapp!$H$3+I674*Prislapp!$I$3+J674*Prislapp!$J$3+K674*Prislapp!$K$3+M674*Prislapp!$M$3+N674*Prislapp!$N$3</f>
        <v>34806</v>
      </c>
      <c r="Q674" s="42">
        <f>C674*Prislapp!$C$5+D674*Prislapp!$D$5+E674*Prislapp!$E$5+F674*Prislapp!$F$5+G674*Prislapp!$G$5+H674*Prislapp!$H$5+I674*Prislapp!$I$5+J674*Prislapp!$J$5+K674*Prislapp!$K$5+L674*Prislapp!$L$5+M674*Prislapp!$M$5+N674*Prislapp!$N$5</f>
        <v>21800</v>
      </c>
      <c r="R674" s="9">
        <f>VLOOKUP(A674,'Ansvar kurs'!$A$2:$B$830,2,FALSE)</f>
        <v>2750</v>
      </c>
      <c r="S674" s="186" t="s">
        <v>2070</v>
      </c>
      <c r="T674" s="186"/>
      <c r="U674" s="159"/>
      <c r="V674" s="159"/>
      <c r="W674" s="159"/>
      <c r="X674" s="159"/>
      <c r="Y674" s="159"/>
      <c r="Z674" s="159"/>
    </row>
    <row r="675" spans="1:26" x14ac:dyDescent="0.25">
      <c r="A675" s="265" t="s">
        <v>372</v>
      </c>
      <c r="B675" s="31" t="s">
        <v>373</v>
      </c>
      <c r="F675" s="31">
        <v>0</v>
      </c>
      <c r="I675" s="31">
        <v>1</v>
      </c>
      <c r="O675" s="42">
        <f>C675*Prislapp!$C$2+D675*Prislapp!$D$2+E675*Prislapp!$E$2+F675*Prislapp!$F$2+G675*Prislapp!$G$2+H675*Prislapp!$H$2+I675*Prislapp!$I$2+J675*Prislapp!$J$2+K675*Prislapp!$K$2+L675*Prislapp!$L$2+M675*Prislapp!$M$2+N675*Prislapp!$N$2</f>
        <v>18405</v>
      </c>
      <c r="P675" s="42">
        <f>C675*Prislapp!$C$3+D675*Prislapp!$D$3+E675*Prislapp!$E$3+F675*Prislapp!$F$3+G675*Prislapp!$G$3+H675*Prislapp!$H$3+I675*Prislapp!$I$3+J675*Prislapp!$J$3+K675*Prislapp!$K$3+M675*Prislapp!$M$3+N675*Prislapp!$N$3</f>
        <v>15773</v>
      </c>
      <c r="Q675" s="42">
        <f>C675*Prislapp!$C$5+D675*Prislapp!$D$5+E675*Prislapp!$E$5+F675*Prislapp!$F$5+G675*Prislapp!$G$5+H675*Prislapp!$H$5+I675*Prislapp!$I$5+J675*Prislapp!$J$5+K675*Prislapp!$K$5+L675*Prislapp!$L$5+M675*Prislapp!$M$5+N675*Prislapp!$N$5</f>
        <v>5800</v>
      </c>
      <c r="R675" s="9">
        <f>VLOOKUP(A675,'Ansvar kurs'!$A$2:$B$830,2,FALSE)</f>
        <v>2193</v>
      </c>
      <c r="S675" s="186" t="s">
        <v>1437</v>
      </c>
      <c r="T675" s="159"/>
    </row>
    <row r="676" spans="1:26" x14ac:dyDescent="0.25">
      <c r="A676" s="31" t="s">
        <v>514</v>
      </c>
      <c r="B676" s="31" t="s">
        <v>373</v>
      </c>
      <c r="I676" s="31">
        <v>1</v>
      </c>
      <c r="O676" s="42">
        <f>C676*Prislapp!$C$2+D676*Prislapp!$D$2+E676*Prislapp!$E$2+F676*Prislapp!$F$2+G676*Prislapp!$G$2+H676*Prislapp!$H$2+I676*Prislapp!$I$2+J676*Prislapp!$J$2+K676*Prislapp!$K$2+L676*Prislapp!$L$2+M676*Prislapp!$M$2+N676*Prislapp!$N$2</f>
        <v>18405</v>
      </c>
      <c r="P676" s="42">
        <f>C676*Prislapp!$C$3+D676*Prislapp!$D$3+E676*Prislapp!$E$3+F676*Prislapp!$F$3+G676*Prislapp!$G$3+H676*Prislapp!$H$3+I676*Prislapp!$I$3+J676*Prislapp!$J$3+K676*Prislapp!$K$3+M676*Prislapp!$M$3+N676*Prislapp!$N$3</f>
        <v>15773</v>
      </c>
      <c r="Q676" s="42">
        <f>C676*Prislapp!$C$5+D676*Prislapp!$D$5+E676*Prislapp!$E$5+F676*Prislapp!$F$5+G676*Prislapp!$G$5+H676*Prislapp!$H$5+I676*Prislapp!$I$5+J676*Prislapp!$J$5+K676*Prislapp!$K$5+L676*Prislapp!$L$5+M676*Prislapp!$M$5+N676*Prislapp!$N$5</f>
        <v>5800</v>
      </c>
      <c r="R676" s="9">
        <f>VLOOKUP(A676,'Ansvar kurs'!$A$2:$B$830,2,FALSE)</f>
        <v>2180</v>
      </c>
      <c r="S676" s="31" t="s">
        <v>1312</v>
      </c>
    </row>
    <row r="677" spans="1:26" x14ac:dyDescent="0.25">
      <c r="A677" s="31" t="s">
        <v>1284</v>
      </c>
      <c r="B677" s="31" t="s">
        <v>1454</v>
      </c>
      <c r="I677" s="31">
        <v>1</v>
      </c>
      <c r="O677" s="42">
        <f>C677*Prislapp!$C$2+D677*Prislapp!$D$2+E677*Prislapp!$E$2+F677*Prislapp!$F$2+G677*Prislapp!$G$2+H677*Prislapp!$H$2+I677*Prislapp!$I$2+J677*Prislapp!$J$2+K677*Prislapp!$K$2+L677*Prislapp!$L$2+M677*Prislapp!$M$2+N677*Prislapp!$N$2</f>
        <v>18405</v>
      </c>
      <c r="P677" s="42">
        <f>C677*Prislapp!$C$3+D677*Prislapp!$D$3+E677*Prislapp!$E$3+F677*Prislapp!$F$3+G677*Prislapp!$G$3+H677*Prislapp!$H$3+I677*Prislapp!$I$3+J677*Prislapp!$J$3+K677*Prislapp!$K$3+M677*Prislapp!$M$3+N677*Prislapp!$N$3</f>
        <v>15773</v>
      </c>
      <c r="Q677" s="42">
        <f>C677*Prislapp!$C$5+D677*Prislapp!$D$5+E677*Prislapp!$E$5+F677*Prislapp!$F$5+G677*Prislapp!$G$5+H677*Prislapp!$H$5+I677*Prislapp!$I$5+J677*Prislapp!$J$5+K677*Prislapp!$K$5+L677*Prislapp!$L$5+M677*Prislapp!$M$5+N677*Prislapp!$N$5</f>
        <v>5800</v>
      </c>
      <c r="R677" s="9">
        <f>VLOOKUP(A677,'Ansvar kurs'!$A$2:$B$830,2,FALSE)</f>
        <v>2180</v>
      </c>
    </row>
    <row r="678" spans="1:26" x14ac:dyDescent="0.25">
      <c r="A678" s="31" t="s">
        <v>1944</v>
      </c>
      <c r="B678" s="31" t="s">
        <v>1945</v>
      </c>
      <c r="I678" s="31">
        <v>1</v>
      </c>
      <c r="O678" s="42">
        <f>C678*Prislapp!$C$2+D678*Prislapp!$D$2+E678*Prislapp!$E$2+F678*Prislapp!$F$2+G678*Prislapp!$G$2+H678*Prislapp!$H$2+I678*Prislapp!$I$2+J678*Prislapp!$J$2+K678*Prislapp!$K$2+L678*Prislapp!$L$2+M678*Prislapp!$M$2+N678*Prislapp!$N$2</f>
        <v>18405</v>
      </c>
      <c r="P678" s="42">
        <f>C678*Prislapp!$C$3+D678*Prislapp!$D$3+E678*Prislapp!$E$3+F678*Prislapp!$F$3+G678*Prislapp!$G$3+H678*Prislapp!$H$3+I678*Prislapp!$I$3+J678*Prislapp!$J$3+K678*Prislapp!$K$3+M678*Prislapp!$M$3+N678*Prislapp!$N$3</f>
        <v>15773</v>
      </c>
      <c r="Q678" s="42">
        <f>C678*Prislapp!$C$5+D678*Prislapp!$D$5+E678*Prislapp!$E$5+F678*Prislapp!$F$5+G678*Prislapp!$G$5+H678*Prislapp!$H$5+I678*Prislapp!$I$5+J678*Prislapp!$J$5+K678*Prislapp!$K$5+L678*Prislapp!$L$5+M678*Prislapp!$M$5+N678*Prislapp!$N$5</f>
        <v>5800</v>
      </c>
      <c r="R678" s="9">
        <f>VLOOKUP(A678,'Ansvar kurs'!$A$2:$B$830,2,FALSE)</f>
        <v>2180</v>
      </c>
    </row>
    <row r="679" spans="1:26" x14ac:dyDescent="0.25">
      <c r="A679" s="31" t="s">
        <v>1947</v>
      </c>
      <c r="B679" s="31" t="s">
        <v>1948</v>
      </c>
      <c r="I679" s="31">
        <v>1</v>
      </c>
      <c r="O679" s="42">
        <f>C679*Prislapp!$C$2+D679*Prislapp!$D$2+E679*Prislapp!$E$2+F679*Prislapp!$F$2+G679*Prislapp!$G$2+H679*Prislapp!$H$2+I679*Prislapp!$I$2+J679*Prislapp!$J$2+K679*Prislapp!$K$2+L679*Prislapp!$L$2+M679*Prislapp!$M$2+N679*Prislapp!$N$2</f>
        <v>18405</v>
      </c>
      <c r="P679" s="42">
        <f>C679*Prislapp!$C$3+D679*Prislapp!$D$3+E679*Prislapp!$E$3+F679*Prislapp!$F$3+G679*Prislapp!$G$3+H679*Prislapp!$H$3+I679*Prislapp!$I$3+J679*Prislapp!$J$3+K679*Prislapp!$K$3+M679*Prislapp!$M$3+N679*Prislapp!$N$3</f>
        <v>15773</v>
      </c>
      <c r="Q679" s="42">
        <f>C679*Prislapp!$C$5+D679*Prislapp!$D$5+E679*Prislapp!$E$5+F679*Prislapp!$F$5+G679*Prislapp!$G$5+H679*Prislapp!$H$5+I679*Prislapp!$I$5+J679*Prislapp!$J$5+K679*Prislapp!$K$5+L679*Prislapp!$L$5+M679*Prislapp!$M$5+N679*Prislapp!$N$5</f>
        <v>5800</v>
      </c>
      <c r="R679" s="9">
        <f>VLOOKUP(A679,'Ansvar kurs'!$A$2:$B$830,2,FALSE)</f>
        <v>2180</v>
      </c>
    </row>
    <row r="680" spans="1:26" x14ac:dyDescent="0.25">
      <c r="A680" s="31" t="s">
        <v>1946</v>
      </c>
      <c r="B680" s="31" t="s">
        <v>1949</v>
      </c>
      <c r="I680" s="31">
        <v>0.2</v>
      </c>
      <c r="N680" s="31">
        <v>0.8</v>
      </c>
      <c r="O680" s="42">
        <f>C680*Prislapp!$C$2+D680*Prislapp!$D$2+E680*Prislapp!$E$2+F680*Prislapp!$F$2+G680*Prislapp!$G$2+H680*Prislapp!$H$2+I680*Prislapp!$I$2+J680*Prislapp!$J$2+K680*Prislapp!$K$2+L680*Prislapp!$L$2+M680*Prislapp!$M$2+N680*Prislapp!$N$2</f>
        <v>34144.199999999997</v>
      </c>
      <c r="P680" s="42">
        <f>C680*Prislapp!$C$3+D680*Prislapp!$D$3+E680*Prislapp!$E$3+F680*Prislapp!$F$3+G680*Prislapp!$G$3+H680*Prislapp!$H$3+I680*Prislapp!$I$3+J680*Prislapp!$J$3+K680*Prislapp!$K$3+M680*Prislapp!$M$3+N680*Prislapp!$N$3</f>
        <v>33557.800000000003</v>
      </c>
      <c r="Q680" s="42">
        <f>C680*Prislapp!$C$5+D680*Prislapp!$D$5+E680*Prislapp!$E$5+F680*Prislapp!$F$5+G680*Prislapp!$G$5+H680*Prislapp!$H$5+I680*Prislapp!$I$5+J680*Prislapp!$J$5+K680*Prislapp!$K$5+L680*Prislapp!$L$5+M680*Prislapp!$M$5+N680*Prislapp!$N$5</f>
        <v>5800</v>
      </c>
      <c r="R680" s="9">
        <f>VLOOKUP(A680,'Ansvar kurs'!$A$2:$B$830,2,FALSE)</f>
        <v>2193</v>
      </c>
      <c r="S680" s="31" t="s">
        <v>2096</v>
      </c>
    </row>
    <row r="681" spans="1:26" x14ac:dyDescent="0.25">
      <c r="A681" s="31" t="s">
        <v>2100</v>
      </c>
      <c r="B681" s="31" t="s">
        <v>442</v>
      </c>
      <c r="I681" s="31">
        <v>1</v>
      </c>
      <c r="O681" s="42">
        <f>C681*Prislapp!$C$2+D681*Prislapp!$D$2+E681*Prislapp!$E$2+F681*Prislapp!$F$2+G681*Prislapp!$G$2+H681*Prislapp!$H$2+I681*Prislapp!$I$2+J681*Prislapp!$J$2+K681*Prislapp!$K$2+L681*Prislapp!$L$2+M681*Prislapp!$M$2+N681*Prislapp!$N$2</f>
        <v>18405</v>
      </c>
      <c r="P681" s="42">
        <f>C681*Prislapp!$C$3+D681*Prislapp!$D$3+E681*Prislapp!$E$3+F681*Prislapp!$F$3+G681*Prislapp!$G$3+H681*Prislapp!$H$3+I681*Prislapp!$I$3+J681*Prislapp!$J$3+K681*Prislapp!$K$3+M681*Prislapp!$M$3+N681*Prislapp!$N$3</f>
        <v>15773</v>
      </c>
      <c r="Q681" s="42">
        <f>C681*Prislapp!$C$5+D681*Prislapp!$D$5+E681*Prislapp!$E$5+F681*Prislapp!$F$5+G681*Prislapp!$G$5+H681*Prislapp!$H$5+I681*Prislapp!$I$5+J681*Prislapp!$J$5+K681*Prislapp!$K$5+L681*Prislapp!$L$5+M681*Prislapp!$M$5+N681*Prislapp!$N$5</f>
        <v>5800</v>
      </c>
      <c r="R681" s="9">
        <f>VLOOKUP(A681,'Ansvar kurs'!$A$2:$B$830,2,FALSE)</f>
        <v>2180</v>
      </c>
      <c r="S681" s="31" t="s">
        <v>1312</v>
      </c>
    </row>
    <row r="682" spans="1:26" x14ac:dyDescent="0.25">
      <c r="A682" s="31" t="s">
        <v>2102</v>
      </c>
      <c r="B682" s="31" t="s">
        <v>1289</v>
      </c>
      <c r="I682" s="31">
        <v>1</v>
      </c>
      <c r="O682" s="42">
        <f>C682*Prislapp!$C$2+D682*Prislapp!$D$2+E682*Prislapp!$E$2+F682*Prislapp!$F$2+G682*Prislapp!$G$2+H682*Prislapp!$H$2+I682*Prislapp!$I$2+J682*Prislapp!$J$2+K682*Prislapp!$K$2+L682*Prislapp!$L$2+M682*Prislapp!$M$2+N682*Prislapp!$N$2</f>
        <v>18405</v>
      </c>
      <c r="P682" s="42">
        <f>C682*Prislapp!$C$3+D682*Prislapp!$D$3+E682*Prislapp!$E$3+F682*Prislapp!$F$3+G682*Prislapp!$G$3+H682*Prislapp!$H$3+I682*Prislapp!$I$3+J682*Prislapp!$J$3+K682*Prislapp!$K$3+M682*Prislapp!$M$3+N682*Prislapp!$N$3</f>
        <v>15773</v>
      </c>
      <c r="Q682" s="42">
        <f>C682*Prislapp!$C$5+D682*Prislapp!$D$5+E682*Prislapp!$E$5+F682*Prislapp!$F$5+G682*Prislapp!$G$5+H682*Prislapp!$H$5+I682*Prislapp!$I$5+J682*Prislapp!$J$5+K682*Prislapp!$K$5+L682*Prislapp!$L$5+M682*Prislapp!$M$5+N682*Prislapp!$N$5</f>
        <v>5800</v>
      </c>
      <c r="R682" s="9">
        <f>VLOOKUP(A682,'Ansvar kurs'!$A$2:$B$830,2,FALSE)</f>
        <v>2180</v>
      </c>
    </row>
    <row r="683" spans="1:26" x14ac:dyDescent="0.25">
      <c r="A683" s="31" t="s">
        <v>2101</v>
      </c>
      <c r="B683" s="31" t="s">
        <v>1290</v>
      </c>
      <c r="I683" s="31">
        <v>1</v>
      </c>
      <c r="O683" s="42">
        <f>C683*Prislapp!$C$2+D683*Prislapp!$D$2+E683*Prislapp!$E$2+F683*Prislapp!$F$2+G683*Prislapp!$G$2+H683*Prislapp!$H$2+I683*Prislapp!$I$2+J683*Prislapp!$J$2+K683*Prislapp!$K$2+L683*Prislapp!$L$2+M683*Prislapp!$M$2+N683*Prislapp!$N$2</f>
        <v>18405</v>
      </c>
      <c r="P683" s="42">
        <f>C683*Prislapp!$C$3+D683*Prislapp!$D$3+E683*Prislapp!$E$3+F683*Prislapp!$F$3+G683*Prislapp!$G$3+H683*Prislapp!$H$3+I683*Prislapp!$I$3+J683*Prislapp!$J$3+K683*Prislapp!$K$3+M683*Prislapp!$M$3+N683*Prislapp!$N$3</f>
        <v>15773</v>
      </c>
      <c r="Q683" s="42">
        <f>C683*Prislapp!$C$5+D683*Prislapp!$D$5+E683*Prislapp!$E$5+F683*Prislapp!$F$5+G683*Prislapp!$G$5+H683*Prislapp!$H$5+I683*Prislapp!$I$5+J683*Prislapp!$J$5+K683*Prislapp!$K$5+L683*Prislapp!$L$5+M683*Prislapp!$M$5+N683*Prislapp!$N$5</f>
        <v>5800</v>
      </c>
      <c r="R683" s="9">
        <f>VLOOKUP(A683,'Ansvar kurs'!$A$2:$B$830,2,FALSE)</f>
        <v>2180</v>
      </c>
    </row>
    <row r="684" spans="1:26" ht="30" x14ac:dyDescent="0.25">
      <c r="A684" s="444" t="s">
        <v>2181</v>
      </c>
      <c r="B684" s="446" t="s">
        <v>2089</v>
      </c>
      <c r="I684" s="439">
        <v>1</v>
      </c>
      <c r="O684" s="42">
        <f>C684*Prislapp!$C$2+D684*Prislapp!$D$2+E684*Prislapp!$E$2+F684*Prislapp!$F$2+G684*Prislapp!$G$2+H684*Prislapp!$H$2+I684*Prislapp!$I$2+J684*Prislapp!$J$2+K684*Prislapp!$K$2+L684*Prislapp!$L$2+M684*Prislapp!$M$2+N684*Prislapp!$N$2</f>
        <v>18405</v>
      </c>
      <c r="P684" s="42">
        <f>C684*Prislapp!$C$3+D684*Prislapp!$D$3+E684*Prislapp!$E$3+F684*Prislapp!$F$3+G684*Prislapp!$G$3+H684*Prislapp!$H$3+I684*Prislapp!$I$3+J684*Prislapp!$J$3+K684*Prislapp!$K$3+M684*Prislapp!$M$3+N684*Prislapp!$N$3</f>
        <v>15773</v>
      </c>
      <c r="Q684" s="42">
        <f>C684*Prislapp!$C$5+D684*Prislapp!$D$5+E684*Prislapp!$E$5+F684*Prislapp!$F$5+G684*Prislapp!$G$5+H684*Prislapp!$H$5+I684*Prislapp!$I$5+J684*Prislapp!$J$5+K684*Prislapp!$K$5+L684*Prislapp!$L$5+M684*Prislapp!$M$5+N684*Prislapp!$N$5</f>
        <v>5800</v>
      </c>
      <c r="R684" s="9">
        <f>VLOOKUP(A684,'Ansvar kurs'!$A$2:$B$830,2,FALSE)</f>
        <v>2193</v>
      </c>
      <c r="S684" s="186" t="s">
        <v>2072</v>
      </c>
      <c r="T684" s="159"/>
      <c r="U684" s="159"/>
      <c r="V684" s="159"/>
      <c r="W684" s="159"/>
      <c r="X684" s="159"/>
      <c r="Y684" s="159"/>
      <c r="Z684" s="159"/>
    </row>
    <row r="685" spans="1:26" x14ac:dyDescent="0.25">
      <c r="A685" s="265" t="s">
        <v>2103</v>
      </c>
      <c r="B685" s="31" t="s">
        <v>1240</v>
      </c>
      <c r="I685" s="31">
        <v>1</v>
      </c>
      <c r="O685" s="42">
        <f>C685*Prislapp!$C$2+D685*Prislapp!$D$2+E685*Prislapp!$E$2+F685*Prislapp!$F$2+G685*Prislapp!$G$2+H685*Prislapp!$H$2+I685*Prislapp!$I$2+J685*Prislapp!$J$2+K685*Prislapp!$K$2+L685*Prislapp!$L$2+M685*Prislapp!$M$2+N685*Prislapp!$N$2</f>
        <v>18405</v>
      </c>
      <c r="P685" s="42">
        <f>C685*Prislapp!$C$3+D685*Prislapp!$D$3+E685*Prislapp!$E$3+F685*Prislapp!$F$3+G685*Prislapp!$G$3+H685*Prislapp!$H$3+I685*Prislapp!$I$3+J685*Prislapp!$J$3+K685*Prislapp!$K$3+M685*Prislapp!$M$3+N685*Prislapp!$N$3</f>
        <v>15773</v>
      </c>
      <c r="Q685" s="42">
        <f>C685*Prislapp!$C$5+D685*Prislapp!$D$5+E685*Prislapp!$E$5+F685*Prislapp!$F$5+G685*Prislapp!$G$5+H685*Prislapp!$H$5+I685*Prislapp!$I$5+J685*Prislapp!$J$5+K685*Prislapp!$K$5+L685*Prislapp!$L$5+M685*Prislapp!$M$5+N685*Prislapp!$N$5</f>
        <v>5800</v>
      </c>
      <c r="R685" s="9">
        <f>VLOOKUP(A685,'Ansvar kurs'!$A$2:$B$830,2,FALSE)</f>
        <v>2193</v>
      </c>
    </row>
    <row r="686" spans="1:26" x14ac:dyDescent="0.25">
      <c r="A686" s="31" t="s">
        <v>2135</v>
      </c>
      <c r="B686" s="31" t="s">
        <v>2136</v>
      </c>
      <c r="I686" s="423">
        <v>1</v>
      </c>
      <c r="O686" s="42">
        <f>C686*Prislapp!$C$2+D686*Prislapp!$D$2+E686*Prislapp!$E$2+F686*Prislapp!$F$2+G686*Prislapp!$G$2+H686*Prislapp!$H$2+I686*Prislapp!$I$2+J686*Prislapp!$J$2+K686*Prislapp!$K$2+L686*Prislapp!$L$2+M686*Prislapp!$M$2+N686*Prislapp!$N$2</f>
        <v>18405</v>
      </c>
      <c r="P686" s="42">
        <f>C686*Prislapp!$C$3+D686*Prislapp!$D$3+E686*Prislapp!$E$3+F686*Prislapp!$F$3+G686*Prislapp!$G$3+H686*Prislapp!$H$3+I686*Prislapp!$I$3+J686*Prislapp!$J$3+K686*Prislapp!$K$3+M686*Prislapp!$M$3+N686*Prislapp!$N$3</f>
        <v>15773</v>
      </c>
      <c r="Q686" s="42">
        <f>C686*Prislapp!$C$5+D686*Prislapp!$D$5+E686*Prislapp!$E$5+F686*Prislapp!$F$5+G686*Prislapp!$G$5+H686*Prislapp!$H$5+I686*Prislapp!$I$5+J686*Prislapp!$J$5+K686*Prislapp!$K$5+L686*Prislapp!$L$5+M686*Prislapp!$M$5+N686*Prislapp!$N$5</f>
        <v>5800</v>
      </c>
      <c r="R686" s="9">
        <f>VLOOKUP(A686,'Ansvar kurs'!$A$2:$B$830,2,FALSE)</f>
        <v>2180</v>
      </c>
      <c r="S686" s="31" t="s">
        <v>1815</v>
      </c>
    </row>
    <row r="687" spans="1:26" x14ac:dyDescent="0.25">
      <c r="A687" s="31" t="s">
        <v>2139</v>
      </c>
      <c r="B687" s="31" t="s">
        <v>1454</v>
      </c>
      <c r="I687" s="423">
        <v>1</v>
      </c>
      <c r="O687" s="42">
        <f>C687*Prislapp!$C$2+D687*Prislapp!$D$2+E687*Prislapp!$E$2+F687*Prislapp!$F$2+G687*Prislapp!$G$2+H687*Prislapp!$H$2+I687*Prislapp!$I$2+J687*Prislapp!$J$2+K687*Prislapp!$K$2+L687*Prislapp!$L$2+M687*Prislapp!$M$2+N687*Prislapp!$N$2</f>
        <v>18405</v>
      </c>
      <c r="P687" s="42">
        <f>C687*Prislapp!$C$3+D687*Prislapp!$D$3+E687*Prislapp!$E$3+F687*Prislapp!$F$3+G687*Prislapp!$G$3+H687*Prislapp!$H$3+I687*Prislapp!$I$3+J687*Prislapp!$J$3+K687*Prislapp!$K$3+M687*Prislapp!$M$3+N687*Prislapp!$N$3</f>
        <v>15773</v>
      </c>
      <c r="Q687" s="42">
        <f>C687*Prislapp!$C$5+D687*Prislapp!$D$5+E687*Prislapp!$E$5+F687*Prislapp!$F$5+G687*Prislapp!$G$5+H687*Prislapp!$H$5+I687*Prislapp!$I$5+J687*Prislapp!$J$5+K687*Prislapp!$K$5+L687*Prislapp!$L$5+M687*Prislapp!$M$5+N687*Prislapp!$N$5</f>
        <v>5800</v>
      </c>
      <c r="R687" s="9">
        <f>VLOOKUP(A687,'Ansvar kurs'!$A$2:$B$830,2,FALSE)</f>
        <v>2180</v>
      </c>
      <c r="S687" s="31" t="s">
        <v>1815</v>
      </c>
    </row>
    <row r="688" spans="1:26" x14ac:dyDescent="0.25">
      <c r="A688" s="31" t="s">
        <v>2137</v>
      </c>
      <c r="B688" s="31" t="s">
        <v>2138</v>
      </c>
      <c r="I688" s="423">
        <v>1</v>
      </c>
      <c r="O688" s="42">
        <f>C688*Prislapp!$C$2+D688*Prislapp!$D$2+E688*Prislapp!$E$2+F688*Prislapp!$F$2+G688*Prislapp!$G$2+H688*Prislapp!$H$2+I688*Prislapp!$I$2+J688*Prislapp!$J$2+K688*Prislapp!$K$2+L688*Prislapp!$L$2+M688*Prislapp!$M$2+N688*Prislapp!$N$2</f>
        <v>18405</v>
      </c>
      <c r="P688" s="42">
        <f>C688*Prislapp!$C$3+D688*Prislapp!$D$3+E688*Prislapp!$E$3+F688*Prislapp!$F$3+G688*Prislapp!$G$3+H688*Prislapp!$H$3+I688*Prislapp!$I$3+J688*Prislapp!$J$3+K688*Prislapp!$K$3+M688*Prislapp!$M$3+N688*Prislapp!$N$3</f>
        <v>15773</v>
      </c>
      <c r="Q688" s="42">
        <f>C688*Prislapp!$C$5+D688*Prislapp!$D$5+E688*Prislapp!$E$5+F688*Prislapp!$F$5+G688*Prislapp!$G$5+H688*Prislapp!$H$5+I688*Prislapp!$I$5+J688*Prislapp!$J$5+K688*Prislapp!$K$5+L688*Prislapp!$L$5+M688*Prislapp!$M$5+N688*Prislapp!$N$5</f>
        <v>5800</v>
      </c>
      <c r="R688" s="9">
        <f>VLOOKUP(A688,'Ansvar kurs'!$A$2:$B$830,2,FALSE)</f>
        <v>2180</v>
      </c>
      <c r="S688" s="31" t="s">
        <v>1815</v>
      </c>
    </row>
    <row r="689" spans="1:19" x14ac:dyDescent="0.25">
      <c r="A689" s="31" t="s">
        <v>101</v>
      </c>
      <c r="B689" s="31" t="s">
        <v>741</v>
      </c>
      <c r="I689" s="31">
        <v>1</v>
      </c>
      <c r="O689" s="42">
        <f>C689*Prislapp!$C$2+D689*Prislapp!$D$2+E689*Prislapp!$E$2+F689*Prislapp!$F$2+G689*Prislapp!$G$2+H689*Prislapp!$H$2+I689*Prislapp!$I$2+J689*Prislapp!$J$2+K689*Prislapp!$K$2+L689*Prislapp!$L$2+M689*Prislapp!$M$2+N689*Prislapp!$N$2</f>
        <v>18405</v>
      </c>
      <c r="P689" s="42">
        <f>C689*Prislapp!$C$3+D689*Prislapp!$D$3+E689*Prislapp!$E$3+F689*Prislapp!$F$3+G689*Prislapp!$G$3+H689*Prislapp!$H$3+I689*Prislapp!$I$3+J689*Prislapp!$J$3+K689*Prislapp!$K$3+M689*Prislapp!$M$3+N689*Prislapp!$N$3</f>
        <v>15773</v>
      </c>
      <c r="Q689" s="42">
        <f>C689*Prislapp!$C$5+D689*Prislapp!$D$5+E689*Prislapp!$E$5+F689*Prislapp!$F$5+G689*Prislapp!$G$5+H689*Prislapp!$H$5+I689*Prislapp!$I$5+J689*Prislapp!$J$5+K689*Prislapp!$K$5+L689*Prislapp!$L$5+M689*Prislapp!$M$5+N689*Prislapp!$N$5</f>
        <v>5800</v>
      </c>
      <c r="R689" s="9">
        <f>VLOOKUP(A689,'Ansvar kurs'!$A$2:$B$830,2,FALSE)</f>
        <v>2340</v>
      </c>
    </row>
    <row r="690" spans="1:19" x14ac:dyDescent="0.25">
      <c r="A690" s="31" t="s">
        <v>102</v>
      </c>
      <c r="B690" s="31" t="s">
        <v>742</v>
      </c>
      <c r="I690" s="31">
        <v>1</v>
      </c>
      <c r="O690" s="42">
        <f>C690*Prislapp!$C$2+D690*Prislapp!$D$2+E690*Prislapp!$E$2+F690*Prislapp!$F$2+G690*Prislapp!$G$2+H690*Prislapp!$H$2+I690*Prislapp!$I$2+J690*Prislapp!$J$2+K690*Prislapp!$K$2+L690*Prislapp!$L$2+M690*Prislapp!$M$2+N690*Prislapp!$N$2</f>
        <v>18405</v>
      </c>
      <c r="P690" s="42">
        <f>C690*Prislapp!$C$3+D690*Prislapp!$D$3+E690*Prislapp!$E$3+F690*Prislapp!$F$3+G690*Prislapp!$G$3+H690*Prislapp!$H$3+I690*Prislapp!$I$3+J690*Prislapp!$J$3+K690*Prislapp!$K$3+M690*Prislapp!$M$3+N690*Prislapp!$N$3</f>
        <v>15773</v>
      </c>
      <c r="Q690" s="42">
        <f>C690*Prislapp!$C$5+D690*Prislapp!$D$5+E690*Prislapp!$E$5+F690*Prislapp!$F$5+G690*Prislapp!$G$5+H690*Prislapp!$H$5+I690*Prislapp!$I$5+J690*Prislapp!$J$5+K690*Prislapp!$K$5+L690*Prislapp!$L$5+M690*Prislapp!$M$5+N690*Prislapp!$N$5</f>
        <v>5800</v>
      </c>
      <c r="R690" s="9">
        <f>VLOOKUP(A690,'Ansvar kurs'!$A$2:$B$830,2,FALSE)</f>
        <v>2340</v>
      </c>
    </row>
    <row r="691" spans="1:19" x14ac:dyDescent="0.25">
      <c r="A691" s="62" t="s">
        <v>888</v>
      </c>
      <c r="B691" s="31" t="s">
        <v>323</v>
      </c>
      <c r="I691" s="31">
        <v>1</v>
      </c>
      <c r="O691" s="42">
        <f>C691*Prislapp!$C$2+D691*Prislapp!$D$2+E691*Prislapp!$E$2+F691*Prislapp!$F$2+G691*Prislapp!$G$2+H691*Prislapp!$H$2+I691*Prislapp!$I$2+J691*Prislapp!$J$2+K691*Prislapp!$K$2+L691*Prislapp!$L$2+M691*Prislapp!$M$2+N691*Prislapp!$N$2</f>
        <v>18405</v>
      </c>
      <c r="P691" s="42">
        <f>C691*Prislapp!$C$3+D691*Prislapp!$D$3+E691*Prislapp!$E$3+F691*Prislapp!$F$3+G691*Prislapp!$G$3+H691*Prislapp!$H$3+I691*Prislapp!$I$3+J691*Prislapp!$J$3+K691*Prislapp!$K$3+M691*Prislapp!$M$3+N691*Prislapp!$N$3</f>
        <v>15773</v>
      </c>
      <c r="Q691" s="42">
        <f>C691*Prislapp!$C$5+D691*Prislapp!$D$5+E691*Prislapp!$E$5+F691*Prislapp!$F$5+G691*Prislapp!$G$5+H691*Prislapp!$H$5+I691*Prislapp!$I$5+J691*Prislapp!$J$5+K691*Prislapp!$K$5+L691*Prislapp!$L$5+M691*Prislapp!$M$5+N691*Prislapp!$N$5</f>
        <v>5800</v>
      </c>
      <c r="R691" s="9">
        <f>VLOOKUP(A691,'Ansvar kurs'!$A$2:$B$830,2,FALSE)</f>
        <v>2340</v>
      </c>
    </row>
    <row r="692" spans="1:19" x14ac:dyDescent="0.25">
      <c r="A692" s="31" t="s">
        <v>515</v>
      </c>
      <c r="B692" s="31" t="s">
        <v>359</v>
      </c>
      <c r="F692" s="31">
        <v>1</v>
      </c>
      <c r="O692" s="42">
        <f>C692*Prislapp!$C$2+D692*Prislapp!$D$2+E692*Prislapp!$E$2+F692*Prislapp!$F$2+G692*Prislapp!$G$2+H692*Prislapp!$H$2+I692*Prislapp!$I$2+J692*Prislapp!$J$2+K692*Prislapp!$K$2+L692*Prislapp!$L$2+M692*Prislapp!$M$2+N692*Prislapp!$N$2</f>
        <v>23641</v>
      </c>
      <c r="P692" s="42">
        <f>C692*Prislapp!$C$3+D692*Prislapp!$D$3+E692*Prislapp!$E$3+F692*Prislapp!$F$3+G692*Prislapp!$G$3+H692*Prislapp!$H$3+I692*Prislapp!$I$3+J692*Prislapp!$J$3+K692*Prislapp!$K$3+M692*Prislapp!$M$3+N692*Prislapp!$N$3</f>
        <v>28786</v>
      </c>
      <c r="Q692" s="42">
        <f>C692*Prislapp!$C$5+D692*Prislapp!$D$5+E692*Prislapp!$E$5+F692*Prislapp!$F$5+G692*Prislapp!$G$5+H692*Prislapp!$H$5+I692*Prislapp!$I$5+J692*Prislapp!$J$5+K692*Prislapp!$K$5+L692*Prislapp!$L$5+M692*Prislapp!$M$5+N692*Prislapp!$N$5</f>
        <v>5800</v>
      </c>
      <c r="R692" s="9">
        <f>VLOOKUP(A692,'Ansvar kurs'!$A$2:$B$830,2,FALSE)</f>
        <v>2340</v>
      </c>
    </row>
    <row r="693" spans="1:19" x14ac:dyDescent="0.25">
      <c r="A693" s="31" t="s">
        <v>100</v>
      </c>
      <c r="B693" s="31" t="s">
        <v>743</v>
      </c>
      <c r="D693" s="31">
        <v>1</v>
      </c>
      <c r="O693" s="42">
        <f>C693*Prislapp!$C$2+D693*Prislapp!$D$2+E693*Prislapp!$E$2+F693*Prislapp!$F$2+G693*Prislapp!$G$2+H693*Prislapp!$H$2+I693*Prislapp!$I$2+J693*Prislapp!$J$2+K693*Prislapp!$K$2+L693*Prislapp!$L$2+M693*Prislapp!$M$2+N693*Prislapp!$N$2</f>
        <v>18405</v>
      </c>
      <c r="P693" s="42">
        <f>C693*Prislapp!$C$3+D693*Prislapp!$D$3+E693*Prislapp!$E$3+F693*Prislapp!$F$3+G693*Prislapp!$G$3+H693*Prislapp!$H$3+I693*Prislapp!$I$3+J693*Prislapp!$J$3+K693*Prislapp!$K$3+M693*Prislapp!$M$3+N693*Prislapp!$N$3</f>
        <v>15773</v>
      </c>
      <c r="Q693" s="42">
        <f>C693*Prislapp!$C$5+D693*Prislapp!$D$5+E693*Prislapp!$E$5+F693*Prislapp!$F$5+G693*Prislapp!$G$5+H693*Prislapp!$H$5+I693*Prislapp!$I$5+J693*Prislapp!$J$5+K693*Prislapp!$K$5+L693*Prislapp!$L$5+M693*Prislapp!$M$5+N693*Prislapp!$N$5</f>
        <v>5800</v>
      </c>
      <c r="R693" s="9">
        <f>VLOOKUP(A693,'Ansvar kurs'!$A$2:$B$830,2,FALSE)</f>
        <v>1640</v>
      </c>
    </row>
    <row r="694" spans="1:19" x14ac:dyDescent="0.25">
      <c r="A694" s="31" t="s">
        <v>516</v>
      </c>
      <c r="B694" s="31" t="s">
        <v>535</v>
      </c>
      <c r="D694" s="31">
        <v>1</v>
      </c>
      <c r="O694" s="42">
        <f>C694*Prislapp!$C$2+D694*Prislapp!$D$2+E694*Prislapp!$E$2+F694*Prislapp!$F$2+G694*Prislapp!$G$2+H694*Prislapp!$H$2+I694*Prislapp!$I$2+J694*Prislapp!$J$2+K694*Prislapp!$K$2+L694*Prislapp!$L$2+M694*Prislapp!$M$2+N694*Prislapp!$N$2</f>
        <v>18405</v>
      </c>
      <c r="P694" s="42">
        <f>C694*Prislapp!$C$3+D694*Prislapp!$D$3+E694*Prislapp!$E$3+F694*Prislapp!$F$3+G694*Prislapp!$G$3+H694*Prislapp!$H$3+I694*Prislapp!$I$3+J694*Prislapp!$J$3+K694*Prislapp!$K$3+M694*Prislapp!$M$3+N694*Prislapp!$N$3</f>
        <v>15773</v>
      </c>
      <c r="Q694" s="42">
        <f>C694*Prislapp!$C$5+D694*Prislapp!$D$5+E694*Prislapp!$E$5+F694*Prislapp!$F$5+G694*Prislapp!$G$5+H694*Prislapp!$H$5+I694*Prislapp!$I$5+J694*Prislapp!$J$5+K694*Prislapp!$K$5+L694*Prislapp!$L$5+M694*Prislapp!$M$5+N694*Prislapp!$N$5</f>
        <v>5800</v>
      </c>
      <c r="R694" s="9">
        <f>VLOOKUP(A694,'Ansvar kurs'!$A$2:$B$830,2,FALSE)</f>
        <v>1620</v>
      </c>
      <c r="S694" s="31" t="s">
        <v>1312</v>
      </c>
    </row>
    <row r="695" spans="1:19" x14ac:dyDescent="0.25">
      <c r="A695" s="31" t="s">
        <v>517</v>
      </c>
      <c r="B695" s="31" t="s">
        <v>560</v>
      </c>
      <c r="D695" s="31">
        <v>1</v>
      </c>
      <c r="O695" s="42">
        <f>C695*Prislapp!$C$2+D695*Prislapp!$D$2+E695*Prislapp!$E$2+F695*Prislapp!$F$2+G695*Prislapp!$G$2+H695*Prislapp!$H$2+I695*Prislapp!$I$2+J695*Prislapp!$J$2+K695*Prislapp!$K$2+L695*Prislapp!$L$2+M695*Prislapp!$M$2+N695*Prislapp!$N$2</f>
        <v>18405</v>
      </c>
      <c r="P695" s="42">
        <f>C695*Prislapp!$C$3+D695*Prislapp!$D$3+E695*Prislapp!$E$3+F695*Prislapp!$F$3+G695*Prislapp!$G$3+H695*Prislapp!$H$3+I695*Prislapp!$I$3+J695*Prislapp!$J$3+K695*Prislapp!$K$3+M695*Prislapp!$M$3+N695*Prislapp!$N$3</f>
        <v>15773</v>
      </c>
      <c r="Q695" s="42">
        <f>C695*Prislapp!$C$5+D695*Prislapp!$D$5+E695*Prislapp!$E$5+F695*Prislapp!$F$5+G695*Prislapp!$G$5+H695*Prislapp!$H$5+I695*Prislapp!$I$5+J695*Prislapp!$J$5+K695*Prislapp!$K$5+L695*Prislapp!$L$5+M695*Prislapp!$M$5+N695*Prislapp!$N$5</f>
        <v>5800</v>
      </c>
      <c r="R695" s="9">
        <f>VLOOKUP(A695,'Ansvar kurs'!$A$2:$B$830,2,FALSE)</f>
        <v>1620</v>
      </c>
      <c r="S695" s="31" t="s">
        <v>1312</v>
      </c>
    </row>
    <row r="696" spans="1:19" x14ac:dyDescent="0.25">
      <c r="A696" s="265" t="s">
        <v>518</v>
      </c>
      <c r="B696" s="31" t="s">
        <v>561</v>
      </c>
      <c r="D696" s="31">
        <v>1</v>
      </c>
      <c r="O696" s="42">
        <f>C696*Prislapp!$C$2+D696*Prislapp!$D$2+E696*Prislapp!$E$2+F696*Prislapp!$F$2+G696*Prislapp!$G$2+H696*Prislapp!$H$2+I696*Prislapp!$I$2+J696*Prislapp!$J$2+K696*Prislapp!$K$2+L696*Prislapp!$L$2+M696*Prislapp!$M$2+N696*Prislapp!$N$2</f>
        <v>18405</v>
      </c>
      <c r="P696" s="42">
        <f>C696*Prislapp!$C$3+D696*Prislapp!$D$3+E696*Prislapp!$E$3+F696*Prislapp!$F$3+G696*Prislapp!$G$3+H696*Prislapp!$H$3+I696*Prislapp!$I$3+J696*Prislapp!$J$3+K696*Prislapp!$K$3+M696*Prislapp!$M$3+N696*Prislapp!$N$3</f>
        <v>15773</v>
      </c>
      <c r="Q696" s="42">
        <f>C696*Prislapp!$C$5+D696*Prislapp!$D$5+E696*Prislapp!$E$5+F696*Prislapp!$F$5+G696*Prislapp!$G$5+H696*Prislapp!$H$5+I696*Prislapp!$I$5+J696*Prislapp!$J$5+K696*Prislapp!$K$5+L696*Prislapp!$L$5+M696*Prislapp!$M$5+N696*Prislapp!$N$5</f>
        <v>5800</v>
      </c>
      <c r="R696" s="9">
        <f>VLOOKUP(A696,'Ansvar kurs'!$A$2:$B$830,2,FALSE)</f>
        <v>1620</v>
      </c>
      <c r="S696" s="31" t="s">
        <v>1312</v>
      </c>
    </row>
    <row r="697" spans="1:19" x14ac:dyDescent="0.25">
      <c r="A697" s="265" t="s">
        <v>604</v>
      </c>
      <c r="B697" s="31" t="s">
        <v>622</v>
      </c>
      <c r="D697" s="31">
        <v>1</v>
      </c>
      <c r="O697" s="42">
        <f>C697*Prislapp!$C$2+D697*Prislapp!$D$2+E697*Prislapp!$E$2+F697*Prislapp!$F$2+G697*Prislapp!$G$2+H697*Prislapp!$H$2+I697*Prislapp!$I$2+J697*Prislapp!$J$2+K697*Prislapp!$K$2+L697*Prislapp!$L$2+M697*Prislapp!$M$2+N697*Prislapp!$N$2</f>
        <v>18405</v>
      </c>
      <c r="P697" s="42">
        <f>C697*Prislapp!$C$3+D697*Prislapp!$D$3+E697*Prislapp!$E$3+F697*Prislapp!$F$3+G697*Prislapp!$G$3+H697*Prislapp!$H$3+I697*Prislapp!$I$3+J697*Prislapp!$J$3+K697*Prislapp!$K$3+M697*Prislapp!$M$3+N697*Prislapp!$N$3</f>
        <v>15773</v>
      </c>
      <c r="Q697" s="42">
        <f>C697*Prislapp!$C$5+D697*Prislapp!$D$5+E697*Prislapp!$E$5+F697*Prislapp!$F$5+G697*Prislapp!$G$5+H697*Prislapp!$H$5+I697*Prislapp!$I$5+J697*Prislapp!$J$5+K697*Prislapp!$K$5+L697*Prislapp!$L$5+M697*Prislapp!$M$5+N697*Prislapp!$N$5</f>
        <v>5800</v>
      </c>
      <c r="R697" s="9">
        <f>VLOOKUP(A697,'Ansvar kurs'!$A$2:$B$830,2,FALSE)</f>
        <v>1620</v>
      </c>
      <c r="S697" s="31" t="s">
        <v>1312</v>
      </c>
    </row>
    <row r="698" spans="1:19" x14ac:dyDescent="0.25">
      <c r="A698" s="31" t="s">
        <v>519</v>
      </c>
      <c r="B698" s="31" t="s">
        <v>562</v>
      </c>
      <c r="D698" s="31">
        <v>1</v>
      </c>
      <c r="O698" s="42">
        <f>C698*Prislapp!$C$2+D698*Prislapp!$D$2+E698*Prislapp!$E$2+F698*Prislapp!$F$2+G698*Prislapp!$G$2+H698*Prislapp!$H$2+I698*Prislapp!$I$2+J698*Prislapp!$J$2+K698*Prislapp!$K$2+L698*Prislapp!$L$2+M698*Prislapp!$M$2+N698*Prislapp!$N$2</f>
        <v>18405</v>
      </c>
      <c r="P698" s="42">
        <f>C698*Prislapp!$C$3+D698*Prislapp!$D$3+E698*Prislapp!$E$3+F698*Prislapp!$F$3+G698*Prislapp!$G$3+H698*Prislapp!$H$3+I698*Prislapp!$I$3+J698*Prislapp!$J$3+K698*Prislapp!$K$3+M698*Prislapp!$M$3+N698*Prislapp!$N$3</f>
        <v>15773</v>
      </c>
      <c r="Q698" s="42">
        <f>C698*Prislapp!$C$5+D698*Prislapp!$D$5+E698*Prislapp!$E$5+F698*Prislapp!$F$5+G698*Prislapp!$G$5+H698*Prislapp!$H$5+I698*Prislapp!$I$5+J698*Prislapp!$J$5+K698*Prislapp!$K$5+L698*Prislapp!$L$5+M698*Prislapp!$M$5+N698*Prislapp!$N$5</f>
        <v>5800</v>
      </c>
      <c r="R698" s="9">
        <f>VLOOKUP(A698,'Ansvar kurs'!$A$2:$B$830,2,FALSE)</f>
        <v>1620</v>
      </c>
      <c r="S698" s="31" t="s">
        <v>1312</v>
      </c>
    </row>
    <row r="699" spans="1:19" x14ac:dyDescent="0.25">
      <c r="A699" s="265" t="s">
        <v>520</v>
      </c>
      <c r="B699" s="31" t="s">
        <v>563</v>
      </c>
      <c r="D699" s="31">
        <v>1</v>
      </c>
      <c r="O699" s="42">
        <f>C699*Prislapp!$C$2+D699*Prislapp!$D$2+E699*Prislapp!$E$2+F699*Prislapp!$F$2+G699*Prislapp!$G$2+H699*Prislapp!$H$2+I699*Prislapp!$I$2+J699*Prislapp!$J$2+K699*Prislapp!$K$2+L699*Prislapp!$L$2+M699*Prislapp!$M$2+N699*Prislapp!$N$2</f>
        <v>18405</v>
      </c>
      <c r="P699" s="42">
        <f>C699*Prislapp!$C$3+D699*Prislapp!$D$3+E699*Prislapp!$E$3+F699*Prislapp!$F$3+G699*Prislapp!$G$3+H699*Prislapp!$H$3+I699*Prislapp!$I$3+J699*Prislapp!$J$3+K699*Prislapp!$K$3+M699*Prislapp!$M$3+N699*Prislapp!$N$3</f>
        <v>15773</v>
      </c>
      <c r="Q699" s="42">
        <f>C699*Prislapp!$C$5+D699*Prislapp!$D$5+E699*Prislapp!$E$5+F699*Prislapp!$F$5+G699*Prislapp!$G$5+H699*Prislapp!$H$5+I699*Prislapp!$I$5+J699*Prislapp!$J$5+K699*Prislapp!$K$5+L699*Prislapp!$L$5+M699*Prislapp!$M$5+N699*Prislapp!$N$5</f>
        <v>5800</v>
      </c>
      <c r="R699" s="9">
        <f>VLOOKUP(A699,'Ansvar kurs'!$A$2:$B$830,2,FALSE)</f>
        <v>1620</v>
      </c>
      <c r="S699" s="31" t="s">
        <v>1312</v>
      </c>
    </row>
    <row r="700" spans="1:19" x14ac:dyDescent="0.25">
      <c r="A700" s="265" t="s">
        <v>605</v>
      </c>
      <c r="B700" s="31" t="s">
        <v>623</v>
      </c>
      <c r="D700" s="31">
        <v>1</v>
      </c>
      <c r="O700" s="42">
        <f>C700*Prislapp!$C$2+D700*Prislapp!$D$2+E700*Prislapp!$E$2+F700*Prislapp!$F$2+G700*Prislapp!$G$2+H700*Prislapp!$H$2+I700*Prislapp!$I$2+J700*Prislapp!$J$2+K700*Prislapp!$K$2+L700*Prislapp!$L$2+M700*Prislapp!$M$2+N700*Prislapp!$N$2</f>
        <v>18405</v>
      </c>
      <c r="P700" s="42">
        <f>C700*Prislapp!$C$3+D700*Prislapp!$D$3+E700*Prislapp!$E$3+F700*Prislapp!$F$3+G700*Prislapp!$G$3+H700*Prislapp!$H$3+I700*Prislapp!$I$3+J700*Prislapp!$J$3+K700*Prislapp!$K$3+M700*Prislapp!$M$3+N700*Prislapp!$N$3</f>
        <v>15773</v>
      </c>
      <c r="Q700" s="42">
        <f>C700*Prislapp!$C$5+D700*Prislapp!$D$5+E700*Prislapp!$E$5+F700*Prislapp!$F$5+G700*Prislapp!$G$5+H700*Prislapp!$H$5+I700*Prislapp!$I$5+J700*Prislapp!$J$5+K700*Prislapp!$K$5+L700*Prislapp!$L$5+M700*Prislapp!$M$5+N700*Prislapp!$N$5</f>
        <v>5800</v>
      </c>
      <c r="R700" s="9">
        <f>VLOOKUP(A700,'Ansvar kurs'!$A$2:$B$830,2,FALSE)</f>
        <v>1620</v>
      </c>
      <c r="S700" s="31" t="s">
        <v>1312</v>
      </c>
    </row>
    <row r="701" spans="1:19" x14ac:dyDescent="0.25">
      <c r="A701" s="31" t="s">
        <v>521</v>
      </c>
      <c r="B701" s="31" t="s">
        <v>536</v>
      </c>
      <c r="D701" s="31">
        <v>1</v>
      </c>
      <c r="O701" s="42">
        <f>C701*Prislapp!$C$2+D701*Prislapp!$D$2+E701*Prislapp!$E$2+F701*Prislapp!$F$2+G701*Prislapp!$G$2+H701*Prislapp!$H$2+I701*Prislapp!$I$2+J701*Prislapp!$J$2+K701*Prislapp!$K$2+L701*Prislapp!$L$2+M701*Prislapp!$M$2+N701*Prislapp!$N$2</f>
        <v>18405</v>
      </c>
      <c r="P701" s="42">
        <f>C701*Prislapp!$C$3+D701*Prislapp!$D$3+E701*Prislapp!$E$3+F701*Prislapp!$F$3+G701*Prislapp!$G$3+H701*Prislapp!$H$3+I701*Prislapp!$I$3+J701*Prislapp!$J$3+K701*Prislapp!$K$3+M701*Prislapp!$M$3+N701*Prislapp!$N$3</f>
        <v>15773</v>
      </c>
      <c r="Q701" s="42">
        <f>C701*Prislapp!$C$5+D701*Prislapp!$D$5+E701*Prislapp!$E$5+F701*Prislapp!$F$5+G701*Prislapp!$G$5+H701*Prislapp!$H$5+I701*Prislapp!$I$5+J701*Prislapp!$J$5+K701*Prislapp!$K$5+L701*Prislapp!$L$5+M701*Prislapp!$M$5+N701*Prislapp!$N$5</f>
        <v>5800</v>
      </c>
      <c r="R701" s="9">
        <f>VLOOKUP(A701,'Ansvar kurs'!$A$2:$B$830,2,FALSE)</f>
        <v>1620</v>
      </c>
      <c r="S701" s="31" t="s">
        <v>1312</v>
      </c>
    </row>
    <row r="702" spans="1:19" x14ac:dyDescent="0.25">
      <c r="A702" s="31" t="s">
        <v>606</v>
      </c>
      <c r="B702" s="31" t="s">
        <v>624</v>
      </c>
      <c r="D702" s="31">
        <v>1</v>
      </c>
      <c r="O702" s="42">
        <f>C702*Prislapp!$C$2+D702*Prislapp!$D$2+E702*Prislapp!$E$2+F702*Prislapp!$F$2+G702*Prislapp!$G$2+H702*Prislapp!$H$2+I702*Prislapp!$I$2+J702*Prislapp!$J$2+K702*Prislapp!$K$2+L702*Prislapp!$L$2+M702*Prislapp!$M$2+N702*Prislapp!$N$2</f>
        <v>18405</v>
      </c>
      <c r="P702" s="42">
        <f>C702*Prislapp!$C$3+D702*Prislapp!$D$3+E702*Prislapp!$E$3+F702*Prislapp!$F$3+G702*Prislapp!$G$3+H702*Prislapp!$H$3+I702*Prislapp!$I$3+J702*Prislapp!$J$3+K702*Prislapp!$K$3+M702*Prislapp!$M$3+N702*Prislapp!$N$3</f>
        <v>15773</v>
      </c>
      <c r="Q702" s="42">
        <f>C702*Prislapp!$C$5+D702*Prislapp!$D$5+E702*Prislapp!$E$5+F702*Prislapp!$F$5+G702*Prislapp!$G$5+H702*Prislapp!$H$5+I702*Prislapp!$I$5+J702*Prislapp!$J$5+K702*Prislapp!$K$5+L702*Prislapp!$L$5+M702*Prislapp!$M$5+N702*Prislapp!$N$5</f>
        <v>5800</v>
      </c>
      <c r="R702" s="9">
        <f>VLOOKUP(A702,'Ansvar kurs'!$A$2:$B$830,2,FALSE)</f>
        <v>1620</v>
      </c>
      <c r="S702" s="31" t="s">
        <v>1312</v>
      </c>
    </row>
    <row r="703" spans="1:19" x14ac:dyDescent="0.25">
      <c r="A703" s="62" t="s">
        <v>889</v>
      </c>
      <c r="B703" s="31" t="s">
        <v>1241</v>
      </c>
      <c r="D703" s="31">
        <v>1</v>
      </c>
      <c r="O703" s="42">
        <f>C703*Prislapp!$C$2+D703*Prislapp!$D$2+E703*Prislapp!$E$2+F703*Prislapp!$F$2+G703*Prislapp!$G$2+H703*Prislapp!$H$2+I703*Prislapp!$I$2+J703*Prislapp!$J$2+K703*Prislapp!$K$2+L703*Prislapp!$L$2+M703*Prislapp!$M$2+N703*Prislapp!$N$2</f>
        <v>18405</v>
      </c>
      <c r="P703" s="42">
        <f>C703*Prislapp!$C$3+D703*Prislapp!$D$3+E703*Prislapp!$E$3+F703*Prislapp!$F$3+G703*Prislapp!$G$3+H703*Prislapp!$H$3+I703*Prislapp!$I$3+J703*Prislapp!$J$3+K703*Prislapp!$K$3+M703*Prislapp!$M$3+N703*Prislapp!$N$3</f>
        <v>15773</v>
      </c>
      <c r="Q703" s="42">
        <f>C703*Prislapp!$C$5+D703*Prislapp!$D$5+E703*Prislapp!$E$5+F703*Prislapp!$F$5+G703*Prislapp!$G$5+H703*Prislapp!$H$5+I703*Prislapp!$I$5+J703*Prislapp!$J$5+K703*Prislapp!$K$5+L703*Prislapp!$L$5+M703*Prislapp!$M$5+N703*Prislapp!$N$5</f>
        <v>5800</v>
      </c>
      <c r="R703" s="9">
        <f>VLOOKUP(A703,'Ansvar kurs'!$A$2:$B$830,2,FALSE)</f>
        <v>1620</v>
      </c>
    </row>
    <row r="704" spans="1:19" x14ac:dyDescent="0.25">
      <c r="A704" s="59" t="s">
        <v>890</v>
      </c>
      <c r="B704" s="62" t="s">
        <v>897</v>
      </c>
      <c r="D704" s="31">
        <v>1</v>
      </c>
      <c r="O704" s="42">
        <f>C704*Prislapp!$C$2+D704*Prislapp!$D$2+E704*Prislapp!$E$2+F704*Prislapp!$F$2+G704*Prislapp!$G$2+H704*Prislapp!$H$2+I704*Prislapp!$I$2+J704*Prislapp!$J$2+K704*Prislapp!$K$2+L704*Prislapp!$L$2+M704*Prislapp!$M$2+N704*Prislapp!$N$2</f>
        <v>18405</v>
      </c>
      <c r="P704" s="42">
        <f>C704*Prislapp!$C$3+D704*Prislapp!$D$3+E704*Prislapp!$E$3+F704*Prislapp!$F$3+G704*Prislapp!$G$3+H704*Prislapp!$H$3+I704*Prislapp!$I$3+J704*Prislapp!$J$3+K704*Prislapp!$K$3+M704*Prislapp!$M$3+N704*Prislapp!$N$3</f>
        <v>15773</v>
      </c>
      <c r="Q704" s="42">
        <f>C704*Prislapp!$C$5+D704*Prislapp!$D$5+E704*Prislapp!$E$5+F704*Prislapp!$F$5+G704*Prislapp!$G$5+H704*Prislapp!$H$5+I704*Prislapp!$I$5+J704*Prislapp!$J$5+K704*Prislapp!$K$5+L704*Prislapp!$L$5+M704*Prislapp!$M$5+N704*Prislapp!$N$5</f>
        <v>5800</v>
      </c>
      <c r="R704" s="9">
        <f>VLOOKUP(A704,'Ansvar kurs'!$A$2:$B$830,2,FALSE)</f>
        <v>1620</v>
      </c>
    </row>
    <row r="705" spans="1:26" x14ac:dyDescent="0.25">
      <c r="A705" s="62" t="s">
        <v>1054</v>
      </c>
      <c r="B705" s="62" t="s">
        <v>1075</v>
      </c>
      <c r="D705" s="31">
        <v>1</v>
      </c>
      <c r="O705" s="42">
        <f>C705*Prislapp!$C$2+D705*Prislapp!$D$2+E705*Prislapp!$E$2+F705*Prislapp!$F$2+G705*Prislapp!$G$2+H705*Prislapp!$H$2+I705*Prislapp!$I$2+J705*Prislapp!$J$2+K705*Prislapp!$K$2+L705*Prislapp!$L$2+M705*Prislapp!$M$2+N705*Prislapp!$N$2</f>
        <v>18405</v>
      </c>
      <c r="P705" s="42">
        <f>C705*Prislapp!$C$3+D705*Prislapp!$D$3+E705*Prislapp!$E$3+F705*Prislapp!$F$3+G705*Prislapp!$G$3+H705*Prislapp!$H$3+I705*Prislapp!$I$3+J705*Prislapp!$J$3+K705*Prislapp!$K$3+M705*Prislapp!$M$3+N705*Prislapp!$N$3</f>
        <v>15773</v>
      </c>
      <c r="Q705" s="42">
        <f>C705*Prislapp!$C$5+D705*Prislapp!$D$5+E705*Prislapp!$E$5+F705*Prislapp!$F$5+G705*Prislapp!$G$5+H705*Prislapp!$H$5+I705*Prislapp!$I$5+J705*Prislapp!$J$5+K705*Prislapp!$K$5+L705*Prislapp!$L$5+M705*Prislapp!$M$5+N705*Prislapp!$N$5</f>
        <v>5800</v>
      </c>
      <c r="R705" s="9">
        <f>VLOOKUP(A705,'Ansvar kurs'!$A$2:$B$830,2,FALSE)</f>
        <v>1620</v>
      </c>
    </row>
    <row r="706" spans="1:26" x14ac:dyDescent="0.25">
      <c r="A706" s="266" t="s">
        <v>948</v>
      </c>
      <c r="B706" s="31" t="s">
        <v>1242</v>
      </c>
      <c r="D706" s="31">
        <v>1</v>
      </c>
      <c r="O706" s="42">
        <f>C706*Prislapp!$C$2+D706*Prislapp!$D$2+E706*Prislapp!$E$2+F706*Prislapp!$F$2+G706*Prislapp!$G$2+H706*Prislapp!$H$2+I706*Prislapp!$I$2+J706*Prislapp!$J$2+K706*Prislapp!$K$2+L706*Prislapp!$L$2+M706*Prislapp!$M$2+N706*Prislapp!$N$2</f>
        <v>18405</v>
      </c>
      <c r="P706" s="42">
        <f>C706*Prislapp!$C$3+D706*Prislapp!$D$3+E706*Prislapp!$E$3+F706*Prislapp!$F$3+G706*Prislapp!$G$3+H706*Prislapp!$H$3+I706*Prislapp!$I$3+J706*Prislapp!$J$3+K706*Prislapp!$K$3+M706*Prislapp!$M$3+N706*Prislapp!$N$3</f>
        <v>15773</v>
      </c>
      <c r="Q706" s="42">
        <f>C706*Prislapp!$C$5+D706*Prislapp!$D$5+E706*Prislapp!$E$5+F706*Prislapp!$F$5+G706*Prislapp!$G$5+H706*Prislapp!$H$5+I706*Prislapp!$I$5+J706*Prislapp!$J$5+K706*Prislapp!$K$5+L706*Prislapp!$L$5+M706*Prislapp!$M$5+N706*Prislapp!$N$5</f>
        <v>5800</v>
      </c>
      <c r="R706" s="9">
        <f>VLOOKUP(A706,'Ansvar kurs'!$A$2:$B$830,2,FALSE)</f>
        <v>1620</v>
      </c>
      <c r="S706" s="159"/>
    </row>
    <row r="707" spans="1:26" x14ac:dyDescent="0.25">
      <c r="A707" s="266" t="s">
        <v>1094</v>
      </c>
      <c r="B707" s="31" t="s">
        <v>1099</v>
      </c>
      <c r="D707" s="31">
        <v>1</v>
      </c>
      <c r="O707" s="42">
        <f>C707*Prislapp!$C$2+D707*Prislapp!$D$2+E707*Prislapp!$E$2+F707*Prislapp!$F$2+G707*Prislapp!$G$2+H707*Prislapp!$H$2+I707*Prislapp!$I$2+J707*Prislapp!$J$2+K707*Prislapp!$K$2+L707*Prislapp!$L$2+M707*Prislapp!$M$2+N707*Prislapp!$N$2</f>
        <v>18405</v>
      </c>
      <c r="P707" s="42">
        <f>C707*Prislapp!$C$3+D707*Prislapp!$D$3+E707*Prislapp!$E$3+F707*Prislapp!$F$3+G707*Prislapp!$G$3+H707*Prislapp!$H$3+I707*Prislapp!$I$3+J707*Prislapp!$J$3+K707*Prislapp!$K$3+M707*Prislapp!$M$3+N707*Prislapp!$N$3</f>
        <v>15773</v>
      </c>
      <c r="Q707" s="42">
        <f>C707*Prislapp!$C$5+D707*Prislapp!$D$5+E707*Prislapp!$E$5+F707*Prislapp!$F$5+G707*Prislapp!$G$5+H707*Prislapp!$H$5+I707*Prislapp!$I$5+J707*Prislapp!$J$5+K707*Prislapp!$K$5+L707*Prislapp!$L$5+M707*Prislapp!$M$5+N707*Prislapp!$N$5</f>
        <v>5800</v>
      </c>
      <c r="R707" s="9">
        <f>VLOOKUP(A707,'Ansvar kurs'!$A$2:$B$830,2,FALSE)</f>
        <v>1620</v>
      </c>
      <c r="S707" s="159"/>
    </row>
    <row r="708" spans="1:26" x14ac:dyDescent="0.25">
      <c r="A708" s="266" t="s">
        <v>1080</v>
      </c>
      <c r="B708" s="31" t="s">
        <v>1089</v>
      </c>
      <c r="D708" s="31">
        <v>1</v>
      </c>
      <c r="O708" s="42">
        <f>C708*Prislapp!$C$2+D708*Prislapp!$D$2+E708*Prislapp!$E$2+F708*Prislapp!$F$2+G708*Prislapp!$G$2+H708*Prislapp!$H$2+I708*Prislapp!$I$2+J708*Prislapp!$J$2+K708*Prislapp!$K$2+L708*Prislapp!$L$2+M708*Prislapp!$M$2+N708*Prislapp!$N$2</f>
        <v>18405</v>
      </c>
      <c r="P708" s="42">
        <f>C708*Prislapp!$C$3+D708*Prislapp!$D$3+E708*Prislapp!$E$3+F708*Prislapp!$F$3+G708*Prislapp!$G$3+H708*Prislapp!$H$3+I708*Prislapp!$I$3+J708*Prislapp!$J$3+K708*Prislapp!$K$3+M708*Prislapp!$M$3+N708*Prislapp!$N$3</f>
        <v>15773</v>
      </c>
      <c r="Q708" s="42">
        <f>C708*Prislapp!$C$5+D708*Prislapp!$D$5+E708*Prislapp!$E$5+F708*Prislapp!$F$5+G708*Prislapp!$G$5+H708*Prislapp!$H$5+I708*Prislapp!$I$5+J708*Prislapp!$J$5+K708*Prislapp!$K$5+L708*Prislapp!$L$5+M708*Prislapp!$M$5+N708*Prislapp!$N$5</f>
        <v>5800</v>
      </c>
      <c r="R708" s="9">
        <f>VLOOKUP(A708,'Ansvar kurs'!$A$2:$B$830,2,FALSE)</f>
        <v>1620</v>
      </c>
      <c r="S708" s="159"/>
    </row>
    <row r="709" spans="1:26" x14ac:dyDescent="0.25">
      <c r="A709" s="266" t="s">
        <v>1086</v>
      </c>
      <c r="B709" s="31" t="s">
        <v>1162</v>
      </c>
      <c r="K709" s="31">
        <v>1</v>
      </c>
      <c r="O709" s="42">
        <f>C709*Prislapp!$C$2+D709*Prislapp!$D$2+E709*Prislapp!$E$2+F709*Prislapp!$F$2+G709*Prislapp!$G$2+H709*Prislapp!$H$2+I709*Prislapp!$I$2+J709*Prislapp!$J$2+K709*Prislapp!$K$2+L709*Prislapp!$L$2+M709*Prislapp!$M$2+N709*Prislapp!$N$2</f>
        <v>21634</v>
      </c>
      <c r="P709" s="42">
        <f>C709*Prislapp!$C$3+D709*Prislapp!$D$3+E709*Prislapp!$E$3+F709*Prislapp!$F$3+G709*Prislapp!$G$3+H709*Prislapp!$H$3+I709*Prislapp!$I$3+J709*Prislapp!$J$3+K709*Prislapp!$K$3+M709*Prislapp!$M$3+N709*Prislapp!$N$3</f>
        <v>26986</v>
      </c>
      <c r="Q709" s="42">
        <f>C709*Prislapp!$C$5+D709*Prislapp!$D$5+E709*Prislapp!$E$5+F709*Prislapp!$F$5+G709*Prislapp!$G$5+H709*Prislapp!$H$5+I709*Prislapp!$I$5+J709*Prislapp!$J$5+K709*Prislapp!$K$5+L709*Prislapp!$L$5+M709*Prislapp!$M$5+N709*Prislapp!$N$5</f>
        <v>3400</v>
      </c>
      <c r="R709" s="9">
        <f>VLOOKUP(A709,'Ansvar kurs'!$A$2:$B$830,2,FALSE)</f>
        <v>1620</v>
      </c>
      <c r="S709" s="159"/>
    </row>
    <row r="710" spans="1:26" x14ac:dyDescent="0.25">
      <c r="A710" s="266" t="s">
        <v>1824</v>
      </c>
      <c r="B710" s="31" t="s">
        <v>1834</v>
      </c>
      <c r="D710" s="31">
        <v>1</v>
      </c>
      <c r="O710" s="42">
        <f>C710*Prislapp!$C$2+D710*Prislapp!$D$2+E710*Prislapp!$E$2+F710*Prislapp!$F$2+G710*Prislapp!$G$2+H710*Prislapp!$H$2+I710*Prislapp!$I$2+J710*Prislapp!$J$2+K710*Prislapp!$K$2+L710*Prislapp!$L$2+M710*Prislapp!$M$2+N710*Prislapp!$N$2</f>
        <v>18405</v>
      </c>
      <c r="P710" s="42">
        <f>C710*Prislapp!$C$3+D710*Prislapp!$D$3+E710*Prislapp!$E$3+F710*Prislapp!$F$3+G710*Prislapp!$G$3+H710*Prislapp!$H$3+I710*Prislapp!$I$3+J710*Prislapp!$J$3+K710*Prislapp!$K$3+M710*Prislapp!$M$3+N710*Prislapp!$N$3</f>
        <v>15773</v>
      </c>
      <c r="Q710" s="42">
        <f>C710*Prislapp!$C$5+D710*Prislapp!$D$5+E710*Prislapp!$E$5+F710*Prislapp!$F$5+G710*Prislapp!$G$5+H710*Prislapp!$H$5+I710*Prislapp!$I$5+J710*Prislapp!$J$5+K710*Prislapp!$K$5+L710*Prislapp!$L$5+M710*Prislapp!$M$5+N710*Prislapp!$N$5</f>
        <v>5800</v>
      </c>
      <c r="R710" s="9">
        <f>VLOOKUP(A710,'Ansvar kurs'!$A$2:$B$830,2,FALSE)</f>
        <v>1620</v>
      </c>
      <c r="S710" s="159"/>
    </row>
    <row r="711" spans="1:26" x14ac:dyDescent="0.25">
      <c r="A711" s="266" t="s">
        <v>1383</v>
      </c>
      <c r="B711" s="62" t="s">
        <v>1343</v>
      </c>
      <c r="D711" s="31">
        <v>1</v>
      </c>
      <c r="O711" s="42">
        <f>C711*Prislapp!$C$2+D711*Prislapp!$D$2+E711*Prislapp!$E$2+F711*Prislapp!$F$2+G711*Prislapp!$G$2+H711*Prislapp!$H$2+I711*Prislapp!$I$2+J711*Prislapp!$J$2+K711*Prislapp!$K$2+L711*Prislapp!$L$2+M711*Prislapp!$M$2+N711*Prislapp!$N$2</f>
        <v>18405</v>
      </c>
      <c r="P711" s="42">
        <f>C711*Prislapp!$C$3+D711*Prislapp!$D$3+E711*Prislapp!$E$3+F711*Prislapp!$F$3+G711*Prislapp!$G$3+H711*Prislapp!$H$3+I711*Prislapp!$I$3+J711*Prislapp!$J$3+K711*Prislapp!$K$3+M711*Prislapp!$M$3+N711*Prislapp!$N$3</f>
        <v>15773</v>
      </c>
      <c r="Q711" s="42">
        <f>C711*Prislapp!$C$5+D711*Prislapp!$D$5+E711*Prislapp!$E$5+F711*Prislapp!$F$5+G711*Prislapp!$G$5+H711*Prislapp!$H$5+I711*Prislapp!$I$5+J711*Prislapp!$J$5+K711*Prislapp!$K$5+L711*Prislapp!$L$5+M711*Prislapp!$M$5+N711*Prislapp!$N$5</f>
        <v>5800</v>
      </c>
      <c r="R711" s="9">
        <f>VLOOKUP(A711,'Ansvar kurs'!$A$2:$B$830,2,FALSE)</f>
        <v>1620</v>
      </c>
      <c r="S711" s="186" t="s">
        <v>1377</v>
      </c>
      <c r="T711" s="159"/>
      <c r="U711" s="159"/>
      <c r="V711" s="159"/>
      <c r="W711" s="159"/>
      <c r="X711" s="159"/>
      <c r="Y711" s="159"/>
      <c r="Z711" s="159"/>
    </row>
    <row r="712" spans="1:26" x14ac:dyDescent="0.25">
      <c r="A712" s="266" t="s">
        <v>1384</v>
      </c>
      <c r="B712" s="62" t="s">
        <v>1385</v>
      </c>
      <c r="D712" s="31">
        <v>1</v>
      </c>
      <c r="O712" s="42">
        <f>C712*Prislapp!$C$2+D712*Prislapp!$D$2+E712*Prislapp!$E$2+F712*Prislapp!$F$2+G712*Prislapp!$G$2+H712*Prislapp!$H$2+I712*Prislapp!$I$2+J712*Prislapp!$J$2+K712*Prislapp!$K$2+L712*Prislapp!$L$2+M712*Prislapp!$M$2+N712*Prislapp!$N$2</f>
        <v>18405</v>
      </c>
      <c r="P712" s="42">
        <f>C712*Prislapp!$C$3+D712*Prislapp!$D$3+E712*Prislapp!$E$3+F712*Prislapp!$F$3+G712*Prislapp!$G$3+H712*Prislapp!$H$3+I712*Prislapp!$I$3+J712*Prislapp!$J$3+K712*Prislapp!$K$3+M712*Prislapp!$M$3+N712*Prislapp!$N$3</f>
        <v>15773</v>
      </c>
      <c r="Q712" s="42">
        <f>C712*Prislapp!$C$5+D712*Prislapp!$D$5+E712*Prislapp!$E$5+F712*Prislapp!$F$5+G712*Prislapp!$G$5+H712*Prislapp!$H$5+I712*Prislapp!$I$5+J712*Prislapp!$J$5+K712*Prislapp!$K$5+L712*Prislapp!$L$5+M712*Prislapp!$M$5+N712*Prislapp!$N$5</f>
        <v>5800</v>
      </c>
      <c r="R712" s="9">
        <f>VLOOKUP(A712,'Ansvar kurs'!$A$2:$B$830,2,FALSE)</f>
        <v>1620</v>
      </c>
      <c r="S712" s="186" t="s">
        <v>1377</v>
      </c>
      <c r="T712" s="159"/>
      <c r="U712" s="159"/>
      <c r="V712" s="159"/>
      <c r="W712" s="159"/>
      <c r="X712" s="159"/>
      <c r="Y712" s="159"/>
      <c r="Z712" s="159"/>
    </row>
    <row r="713" spans="1:26" x14ac:dyDescent="0.25">
      <c r="A713" s="266" t="s">
        <v>1386</v>
      </c>
      <c r="B713" s="62" t="s">
        <v>1387</v>
      </c>
      <c r="D713" s="31">
        <v>1</v>
      </c>
      <c r="O713" s="42">
        <f>C713*Prislapp!$C$2+D713*Prislapp!$D$2+E713*Prislapp!$E$2+F713*Prislapp!$F$2+G713*Prislapp!$G$2+H713*Prislapp!$H$2+I713*Prislapp!$I$2+J713*Prislapp!$J$2+K713*Prislapp!$K$2+L713*Prislapp!$L$2+M713*Prislapp!$M$2+N713*Prislapp!$N$2</f>
        <v>18405</v>
      </c>
      <c r="P713" s="42">
        <f>C713*Prislapp!$C$3+D713*Prislapp!$D$3+E713*Prislapp!$E$3+F713*Prislapp!$F$3+G713*Prislapp!$G$3+H713*Prislapp!$H$3+I713*Prislapp!$I$3+J713*Prislapp!$J$3+K713*Prislapp!$K$3+M713*Prislapp!$M$3+N713*Prislapp!$N$3</f>
        <v>15773</v>
      </c>
      <c r="Q713" s="42">
        <f>C713*Prislapp!$C$5+D713*Prislapp!$D$5+E713*Prislapp!$E$5+F713*Prislapp!$F$5+G713*Prislapp!$G$5+H713*Prislapp!$H$5+I713*Prislapp!$I$5+J713*Prislapp!$J$5+K713*Prislapp!$K$5+L713*Prislapp!$L$5+M713*Prislapp!$M$5+N713*Prislapp!$N$5</f>
        <v>5800</v>
      </c>
      <c r="R713" s="9">
        <f>VLOOKUP(A713,'Ansvar kurs'!$A$2:$B$830,2,FALSE)</f>
        <v>1620</v>
      </c>
      <c r="S713" s="186" t="s">
        <v>1377</v>
      </c>
      <c r="T713" s="159"/>
      <c r="U713" s="159"/>
      <c r="V713" s="159"/>
      <c r="W713" s="159"/>
      <c r="X713" s="159"/>
      <c r="Y713" s="159"/>
      <c r="Z713" s="159"/>
    </row>
    <row r="714" spans="1:26" x14ac:dyDescent="0.25">
      <c r="A714" s="266" t="s">
        <v>1658</v>
      </c>
      <c r="B714" s="62" t="s">
        <v>1679</v>
      </c>
      <c r="D714" s="31">
        <v>1</v>
      </c>
      <c r="O714" s="42">
        <f>C714*Prislapp!$C$2+D714*Prislapp!$D$2+E714*Prislapp!$E$2+F714*Prislapp!$F$2+G714*Prislapp!$G$2+H714*Prislapp!$H$2+I714*Prislapp!$I$2+J714*Prislapp!$J$2+K714*Prislapp!$K$2+L714*Prislapp!$L$2+M714*Prislapp!$M$2+N714*Prislapp!$N$2</f>
        <v>18405</v>
      </c>
      <c r="P714" s="42">
        <f>C714*Prislapp!$C$3+D714*Prislapp!$D$3+E714*Prislapp!$E$3+F714*Prislapp!$F$3+G714*Prislapp!$G$3+H714*Prislapp!$H$3+I714*Prislapp!$I$3+J714*Prislapp!$J$3+K714*Prislapp!$K$3+M714*Prislapp!$M$3+N714*Prislapp!$N$3</f>
        <v>15773</v>
      </c>
      <c r="Q714" s="42">
        <f>C714*Prislapp!$C$5+D714*Prislapp!$D$5+E714*Prislapp!$E$5+F714*Prislapp!$F$5+G714*Prislapp!$G$5+H714*Prislapp!$H$5+I714*Prislapp!$I$5+J714*Prislapp!$J$5+K714*Prislapp!$K$5+L714*Prislapp!$L$5+M714*Prislapp!$M$5+N714*Prislapp!$N$5</f>
        <v>5800</v>
      </c>
      <c r="R714" s="9">
        <f>VLOOKUP(A714,'Ansvar kurs'!$A$2:$B$830,2,FALSE)</f>
        <v>1620</v>
      </c>
      <c r="S714" s="186"/>
      <c r="T714" s="159"/>
      <c r="U714" s="159"/>
      <c r="V714" s="159"/>
      <c r="W714" s="159"/>
      <c r="X714" s="159"/>
      <c r="Y714" s="159"/>
      <c r="Z714" s="159"/>
    </row>
    <row r="715" spans="1:26" x14ac:dyDescent="0.25">
      <c r="A715" s="266" t="s">
        <v>1825</v>
      </c>
      <c r="B715" s="62" t="s">
        <v>1835</v>
      </c>
      <c r="D715" s="31">
        <v>1</v>
      </c>
      <c r="O715" s="42">
        <f>C715*Prislapp!$C$2+D715*Prislapp!$D$2+E715*Prislapp!$E$2+F715*Prislapp!$F$2+G715*Prislapp!$G$2+H715*Prislapp!$H$2+I715*Prislapp!$I$2+J715*Prislapp!$J$2+K715*Prislapp!$K$2+L715*Prislapp!$L$2+M715*Prislapp!$M$2+N715*Prislapp!$N$2</f>
        <v>18405</v>
      </c>
      <c r="P715" s="42">
        <f>C715*Prislapp!$C$3+D715*Prislapp!$D$3+E715*Prislapp!$E$3+F715*Prislapp!$F$3+G715*Prislapp!$G$3+H715*Prislapp!$H$3+I715*Prislapp!$I$3+J715*Prislapp!$J$3+K715*Prislapp!$K$3+M715*Prislapp!$M$3+N715*Prislapp!$N$3</f>
        <v>15773</v>
      </c>
      <c r="Q715" s="42">
        <f>C715*Prislapp!$C$5+D715*Prislapp!$D$5+E715*Prislapp!$E$5+F715*Prislapp!$F$5+G715*Prislapp!$G$5+H715*Prislapp!$H$5+I715*Prislapp!$I$5+J715*Prislapp!$J$5+K715*Prislapp!$K$5+L715*Prislapp!$L$5+M715*Prislapp!$M$5+N715*Prislapp!$N$5</f>
        <v>5800</v>
      </c>
      <c r="R715" s="9">
        <f>VLOOKUP(A715,'Ansvar kurs'!$A$2:$B$830,2,FALSE)</f>
        <v>1620</v>
      </c>
      <c r="S715" s="186"/>
      <c r="T715" s="159"/>
      <c r="U715" s="159"/>
      <c r="V715" s="159"/>
      <c r="W715" s="159"/>
      <c r="X715" s="159"/>
      <c r="Y715" s="159"/>
      <c r="Z715" s="159"/>
    </row>
    <row r="716" spans="1:26" x14ac:dyDescent="0.25">
      <c r="A716" s="266" t="s">
        <v>1659</v>
      </c>
      <c r="B716" s="62" t="s">
        <v>1680</v>
      </c>
      <c r="D716" s="31">
        <v>1</v>
      </c>
      <c r="O716" s="42">
        <f>C716*Prislapp!$C$2+D716*Prislapp!$D$2+E716*Prislapp!$E$2+F716*Prislapp!$F$2+G716*Prislapp!$G$2+H716*Prislapp!$H$2+I716*Prislapp!$I$2+J716*Prislapp!$J$2+K716*Prislapp!$K$2+L716*Prislapp!$L$2+M716*Prislapp!$M$2+N716*Prislapp!$N$2</f>
        <v>18405</v>
      </c>
      <c r="P716" s="42">
        <f>C716*Prislapp!$C$3+D716*Prislapp!$D$3+E716*Prislapp!$E$3+F716*Prislapp!$F$3+G716*Prislapp!$G$3+H716*Prislapp!$H$3+I716*Prislapp!$I$3+J716*Prislapp!$J$3+K716*Prislapp!$K$3+M716*Prislapp!$M$3+N716*Prislapp!$N$3</f>
        <v>15773</v>
      </c>
      <c r="Q716" s="42">
        <f>C716*Prislapp!$C$5+D716*Prislapp!$D$5+E716*Prislapp!$E$5+F716*Prislapp!$F$5+G716*Prislapp!$G$5+H716*Prislapp!$H$5+I716*Prislapp!$I$5+J716*Prislapp!$J$5+K716*Prislapp!$K$5+L716*Prislapp!$L$5+M716*Prislapp!$M$5+N716*Prislapp!$N$5</f>
        <v>5800</v>
      </c>
      <c r="R716" s="9">
        <f>VLOOKUP(A716,'Ansvar kurs'!$A$2:$B$830,2,FALSE)</f>
        <v>1620</v>
      </c>
      <c r="S716" s="186"/>
      <c r="T716" s="159"/>
      <c r="U716" s="159"/>
      <c r="V716" s="159"/>
      <c r="W716" s="159"/>
      <c r="X716" s="159"/>
      <c r="Y716" s="159"/>
      <c r="Z716" s="159"/>
    </row>
    <row r="717" spans="1:26" x14ac:dyDescent="0.25">
      <c r="A717" s="266" t="s">
        <v>1826</v>
      </c>
      <c r="B717" s="62" t="s">
        <v>1836</v>
      </c>
      <c r="D717" s="31">
        <v>1</v>
      </c>
      <c r="O717" s="42">
        <f>C717*Prislapp!$C$2+D717*Prislapp!$D$2+E717*Prislapp!$E$2+F717*Prislapp!$F$2+G717*Prislapp!$G$2+H717*Prislapp!$H$2+I717*Prislapp!$I$2+J717*Prislapp!$J$2+K717*Prislapp!$K$2+L717*Prislapp!$L$2+M717*Prislapp!$M$2+N717*Prislapp!$N$2</f>
        <v>18405</v>
      </c>
      <c r="P717" s="42">
        <f>C717*Prislapp!$C$3+D717*Prislapp!$D$3+E717*Prislapp!$E$3+F717*Prislapp!$F$3+G717*Prislapp!$G$3+H717*Prislapp!$H$3+I717*Prislapp!$I$3+J717*Prislapp!$J$3+K717*Prislapp!$K$3+M717*Prislapp!$M$3+N717*Prislapp!$N$3</f>
        <v>15773</v>
      </c>
      <c r="Q717" s="42">
        <f>C717*Prislapp!$C$5+D717*Prislapp!$D$5+E717*Prislapp!$E$5+F717*Prislapp!$F$5+G717*Prislapp!$G$5+H717*Prislapp!$H$5+I717*Prislapp!$I$5+J717*Prislapp!$J$5+K717*Prislapp!$K$5+L717*Prislapp!$L$5+M717*Prislapp!$M$5+N717*Prislapp!$N$5</f>
        <v>5800</v>
      </c>
      <c r="R717" s="9">
        <f>VLOOKUP(A717,'Ansvar kurs'!$A$2:$B$830,2,FALSE)</f>
        <v>1620</v>
      </c>
      <c r="S717" s="186"/>
      <c r="T717" s="159"/>
      <c r="U717" s="159"/>
      <c r="V717" s="159"/>
      <c r="W717" s="159"/>
      <c r="X717" s="159"/>
      <c r="Y717" s="159"/>
      <c r="Z717" s="159"/>
    </row>
    <row r="718" spans="1:26" x14ac:dyDescent="0.25">
      <c r="A718" s="266" t="s">
        <v>1900</v>
      </c>
      <c r="B718" s="31" t="s">
        <v>1895</v>
      </c>
      <c r="K718" s="31">
        <v>1</v>
      </c>
      <c r="O718" s="42">
        <f>C718*Prislapp!$C$2+D718*Prislapp!$D$2+E718*Prislapp!$E$2+F718*Prislapp!$F$2+G718*Prislapp!$G$2+H718*Prislapp!$H$2+I718*Prislapp!$I$2+J718*Prislapp!$J$2+K718*Prislapp!$K$2+L718*Prislapp!$L$2+M718*Prislapp!$M$2+N718*Prislapp!$N$2</f>
        <v>21634</v>
      </c>
      <c r="P718" s="42">
        <f>C718*Prislapp!$C$3+D718*Prislapp!$D$3+E718*Prislapp!$E$3+F718*Prislapp!$F$3+G718*Prislapp!$G$3+H718*Prislapp!$H$3+I718*Prislapp!$I$3+J718*Prislapp!$J$3+K718*Prislapp!$K$3+M718*Prislapp!$M$3+N718*Prislapp!$N$3</f>
        <v>26986</v>
      </c>
      <c r="Q718" s="42">
        <f>C718*Prislapp!$C$5+D718*Prislapp!$D$5+E718*Prislapp!$E$5+F718*Prislapp!$F$5+G718*Prislapp!$G$5+H718*Prislapp!$H$5+I718*Prislapp!$I$5+J718*Prislapp!$J$5+K718*Prislapp!$K$5+L718*Prislapp!$L$5+M718*Prislapp!$M$5+N718*Prislapp!$N$5</f>
        <v>3400</v>
      </c>
      <c r="R718" s="9">
        <f>VLOOKUP(A718,'Ansvar kurs'!$A$2:$B$830,2,FALSE)</f>
        <v>1620</v>
      </c>
    </row>
    <row r="719" spans="1:26" x14ac:dyDescent="0.25">
      <c r="A719" s="266" t="s">
        <v>1899</v>
      </c>
      <c r="B719" s="31" t="s">
        <v>1894</v>
      </c>
      <c r="K719" s="31">
        <v>1</v>
      </c>
      <c r="O719" s="42">
        <f>C719*Prislapp!$C$2+D719*Prislapp!$D$2+E719*Prislapp!$E$2+F719*Prislapp!$F$2+G719*Prislapp!$G$2+H719*Prislapp!$H$2+I719*Prislapp!$I$2+J719*Prislapp!$J$2+K719*Prislapp!$K$2+L719*Prislapp!$L$2+M719*Prislapp!$M$2+N719*Prislapp!$N$2</f>
        <v>21634</v>
      </c>
      <c r="P719" s="42">
        <f>C719*Prislapp!$C$3+D719*Prislapp!$D$3+E719*Prislapp!$E$3+F719*Prislapp!$F$3+G719*Prislapp!$G$3+H719*Prislapp!$H$3+I719*Prislapp!$I$3+J719*Prislapp!$J$3+K719*Prislapp!$K$3+M719*Prislapp!$M$3+N719*Prislapp!$N$3</f>
        <v>26986</v>
      </c>
      <c r="Q719" s="42">
        <f>C719*Prislapp!$C$5+D719*Prislapp!$D$5+E719*Prislapp!$E$5+F719*Prislapp!$F$5+G719*Prislapp!$G$5+H719*Prislapp!$H$5+I719*Prislapp!$I$5+J719*Prislapp!$J$5+K719*Prislapp!$K$5+L719*Prislapp!$L$5+M719*Prislapp!$M$5+N719*Prislapp!$N$5</f>
        <v>3400</v>
      </c>
      <c r="R719" s="9">
        <f>VLOOKUP(A719,'Ansvar kurs'!$A$2:$B$830,2,FALSE)</f>
        <v>1620</v>
      </c>
    </row>
    <row r="720" spans="1:26" x14ac:dyDescent="0.25">
      <c r="A720" s="266" t="s">
        <v>2053</v>
      </c>
      <c r="B720" s="62" t="s">
        <v>1343</v>
      </c>
      <c r="D720" s="31">
        <v>1</v>
      </c>
      <c r="O720" s="42">
        <f>C720*Prislapp!$C$2+D720*Prislapp!$D$2+E720*Prislapp!$E$2+F720*Prislapp!$F$2+G720*Prislapp!$G$2+H720*Prislapp!$H$2+I720*Prislapp!$I$2+J720*Prislapp!$J$2+K720*Prislapp!$K$2+L720*Prislapp!$L$2+M720*Prislapp!$M$2+N720*Prislapp!$N$2</f>
        <v>18405</v>
      </c>
      <c r="P720" s="42">
        <f>C720*Prislapp!$C$3+D720*Prislapp!$D$3+E720*Prislapp!$E$3+F720*Prislapp!$F$3+G720*Prislapp!$G$3+H720*Prislapp!$H$3+I720*Prislapp!$I$3+J720*Prislapp!$J$3+K720*Prislapp!$K$3+M720*Prislapp!$M$3+N720*Prislapp!$N$3</f>
        <v>15773</v>
      </c>
      <c r="Q720" s="42">
        <f>C720*Prislapp!$C$5+D720*Prislapp!$D$5+E720*Prislapp!$E$5+F720*Prislapp!$F$5+G720*Prislapp!$G$5+H720*Prislapp!$H$5+I720*Prislapp!$I$5+J720*Prislapp!$J$5+K720*Prislapp!$K$5+L720*Prislapp!$L$5+M720*Prislapp!$M$5+N720*Prislapp!$N$5</f>
        <v>5800</v>
      </c>
      <c r="R720" s="9">
        <f>VLOOKUP(A720,'Ansvar kurs'!$A$2:$B$830,2,FALSE)</f>
        <v>1620</v>
      </c>
    </row>
    <row r="721" spans="1:26" x14ac:dyDescent="0.25">
      <c r="A721" s="266" t="s">
        <v>2054</v>
      </c>
      <c r="B721" s="59" t="s">
        <v>1344</v>
      </c>
      <c r="D721" s="31">
        <v>1</v>
      </c>
      <c r="O721" s="42">
        <f>C721*Prislapp!$C$2+D721*Prislapp!$D$2+E721*Prislapp!$E$2+F721*Prislapp!$F$2+G721*Prislapp!$G$2+H721*Prislapp!$H$2+I721*Prislapp!$I$2+J721*Prislapp!$J$2+K721*Prislapp!$K$2+L721*Prislapp!$L$2+M721*Prislapp!$M$2+N721*Prislapp!$N$2</f>
        <v>18405</v>
      </c>
      <c r="P721" s="42">
        <f>C721*Prislapp!$C$3+D721*Prislapp!$D$3+E721*Prislapp!$E$3+F721*Prislapp!$F$3+G721*Prislapp!$G$3+H721*Prislapp!$H$3+I721*Prislapp!$I$3+J721*Prislapp!$J$3+K721*Prislapp!$K$3+M721*Prislapp!$M$3+N721*Prislapp!$N$3</f>
        <v>15773</v>
      </c>
      <c r="Q721" s="42">
        <f>C721*Prislapp!$C$5+D721*Prislapp!$D$5+E721*Prislapp!$E$5+F721*Prislapp!$F$5+G721*Prislapp!$G$5+H721*Prislapp!$H$5+I721*Prislapp!$I$5+J721*Prislapp!$J$5+K721*Prislapp!$K$5+L721*Prislapp!$L$5+M721*Prislapp!$M$5+N721*Prislapp!$N$5</f>
        <v>5800</v>
      </c>
      <c r="R721" s="9">
        <f>VLOOKUP(A721,'Ansvar kurs'!$A$2:$B$830,2,FALSE)</f>
        <v>1620</v>
      </c>
    </row>
    <row r="722" spans="1:26" x14ac:dyDescent="0.25">
      <c r="A722" s="266" t="s">
        <v>2055</v>
      </c>
      <c r="B722" s="31" t="s">
        <v>2079</v>
      </c>
      <c r="D722" s="31">
        <v>1</v>
      </c>
      <c r="O722" s="42">
        <f>C722*Prislapp!$C$2+D722*Prislapp!$D$2+E722*Prislapp!$E$2+F722*Prislapp!$F$2+G722*Prislapp!$G$2+H722*Prislapp!$H$2+I722*Prislapp!$I$2+J722*Prislapp!$J$2+K722*Prislapp!$K$2+L722*Prislapp!$L$2+M722*Prislapp!$M$2+N722*Prislapp!$N$2</f>
        <v>18405</v>
      </c>
      <c r="P722" s="42">
        <f>C722*Prislapp!$C$3+D722*Prislapp!$D$3+E722*Prislapp!$E$3+F722*Prislapp!$F$3+G722*Prislapp!$G$3+H722*Prislapp!$H$3+I722*Prislapp!$I$3+J722*Prislapp!$J$3+K722*Prislapp!$K$3+M722*Prislapp!$M$3+N722*Prislapp!$N$3</f>
        <v>15773</v>
      </c>
      <c r="Q722" s="42">
        <f>C722*Prislapp!$C$5+D722*Prislapp!$D$5+E722*Prislapp!$E$5+F722*Prislapp!$F$5+G722*Prislapp!$G$5+H722*Prislapp!$H$5+I722*Prislapp!$I$5+J722*Prislapp!$J$5+K722*Prislapp!$K$5+L722*Prislapp!$L$5+M722*Prislapp!$M$5+N722*Prislapp!$N$5</f>
        <v>5800</v>
      </c>
      <c r="R722" s="9">
        <f>VLOOKUP(A722,'Ansvar kurs'!$A$2:$B$830,2,FALSE)</f>
        <v>1620</v>
      </c>
    </row>
    <row r="723" spans="1:26" x14ac:dyDescent="0.25">
      <c r="A723" s="266" t="s">
        <v>2056</v>
      </c>
      <c r="B723" s="31" t="s">
        <v>1387</v>
      </c>
      <c r="D723" s="31">
        <v>1</v>
      </c>
      <c r="O723" s="42">
        <f>C723*Prislapp!$C$2+D723*Prislapp!$D$2+E723*Prislapp!$E$2+F723*Prislapp!$F$2+G723*Prislapp!$G$2+H723*Prislapp!$H$2+I723*Prislapp!$I$2+J723*Prislapp!$J$2+K723*Prislapp!$K$2+L723*Prislapp!$L$2+M723*Prislapp!$M$2+N723*Prislapp!$N$2</f>
        <v>18405</v>
      </c>
      <c r="P723" s="42">
        <f>C723*Prislapp!$C$3+D723*Prislapp!$D$3+E723*Prislapp!$E$3+F723*Prislapp!$F$3+G723*Prislapp!$G$3+H723*Prislapp!$H$3+I723*Prislapp!$I$3+J723*Prislapp!$J$3+K723*Prislapp!$K$3+M723*Prislapp!$M$3+N723*Prislapp!$N$3</f>
        <v>15773</v>
      </c>
      <c r="Q723" s="42">
        <f>C723*Prislapp!$C$5+D723*Prislapp!$D$5+E723*Prislapp!$E$5+F723*Prislapp!$F$5+G723*Prislapp!$G$5+H723*Prislapp!$H$5+I723*Prislapp!$I$5+J723*Prislapp!$J$5+K723*Prislapp!$K$5+L723*Prislapp!$L$5+M723*Prislapp!$M$5+N723*Prislapp!$N$5</f>
        <v>5800</v>
      </c>
      <c r="R723" s="9">
        <f>VLOOKUP(A723,'Ansvar kurs'!$A$2:$B$830,2,FALSE)</f>
        <v>1620</v>
      </c>
    </row>
    <row r="724" spans="1:26" x14ac:dyDescent="0.25">
      <c r="A724" s="266" t="s">
        <v>2057</v>
      </c>
      <c r="B724" s="31" t="s">
        <v>2080</v>
      </c>
      <c r="D724" s="31">
        <v>1</v>
      </c>
      <c r="O724" s="42">
        <f>C724*Prislapp!$C$2+D724*Prislapp!$D$2+E724*Prislapp!$E$2+F724*Prislapp!$F$2+G724*Prislapp!$G$2+H724*Prislapp!$H$2+I724*Prislapp!$I$2+J724*Prislapp!$J$2+K724*Prislapp!$K$2+L724*Prislapp!$L$2+M724*Prislapp!$M$2+N724*Prislapp!$N$2</f>
        <v>18405</v>
      </c>
      <c r="P724" s="42">
        <f>C724*Prislapp!$C$3+D724*Prislapp!$D$3+E724*Prislapp!$E$3+F724*Prislapp!$F$3+G724*Prislapp!$G$3+H724*Prislapp!$H$3+I724*Prislapp!$I$3+J724*Prislapp!$J$3+K724*Prislapp!$K$3+M724*Prislapp!$M$3+N724*Prislapp!$N$3</f>
        <v>15773</v>
      </c>
      <c r="Q724" s="42">
        <f>C724*Prislapp!$C$5+D724*Prislapp!$D$5+E724*Prislapp!$E$5+F724*Prislapp!$F$5+G724*Prislapp!$G$5+H724*Prislapp!$H$5+I724*Prislapp!$I$5+J724*Prislapp!$J$5+K724*Prislapp!$K$5+L724*Prislapp!$L$5+M724*Prislapp!$M$5+N724*Prislapp!$N$5</f>
        <v>5800</v>
      </c>
      <c r="R724" s="9">
        <f>VLOOKUP(A724,'Ansvar kurs'!$A$2:$B$830,2,FALSE)</f>
        <v>1620</v>
      </c>
    </row>
    <row r="725" spans="1:26" x14ac:dyDescent="0.25">
      <c r="A725" s="266" t="s">
        <v>2058</v>
      </c>
      <c r="B725" s="31" t="s">
        <v>2081</v>
      </c>
      <c r="D725" s="31">
        <v>1</v>
      </c>
      <c r="O725" s="42">
        <f>C725*Prislapp!$C$2+D725*Prislapp!$D$2+E725*Prislapp!$E$2+F725*Prislapp!$F$2+G725*Prislapp!$G$2+H725*Prislapp!$H$2+I725*Prislapp!$I$2+J725*Prislapp!$J$2+K725*Prislapp!$K$2+L725*Prislapp!$L$2+M725*Prislapp!$M$2+N725*Prislapp!$N$2</f>
        <v>18405</v>
      </c>
      <c r="P725" s="42">
        <f>C725*Prislapp!$C$3+D725*Prislapp!$D$3+E725*Prislapp!$E$3+F725*Prislapp!$F$3+G725*Prislapp!$G$3+H725*Prislapp!$H$3+I725*Prislapp!$I$3+J725*Prislapp!$J$3+K725*Prislapp!$K$3+M725*Prislapp!$M$3+N725*Prislapp!$N$3</f>
        <v>15773</v>
      </c>
      <c r="Q725" s="42">
        <f>C725*Prislapp!$C$5+D725*Prislapp!$D$5+E725*Prislapp!$E$5+F725*Prislapp!$F$5+G725*Prislapp!$G$5+H725*Prislapp!$H$5+I725*Prislapp!$I$5+J725*Prislapp!$J$5+K725*Prislapp!$K$5+L725*Prislapp!$L$5+M725*Prislapp!$M$5+N725*Prislapp!$N$5</f>
        <v>5800</v>
      </c>
      <c r="R725" s="9">
        <f>VLOOKUP(A725,'Ansvar kurs'!$A$2:$B$830,2,FALSE)</f>
        <v>1620</v>
      </c>
    </row>
    <row r="726" spans="1:26" x14ac:dyDescent="0.25">
      <c r="A726" s="266" t="s">
        <v>2059</v>
      </c>
      <c r="B726" s="59" t="s">
        <v>2082</v>
      </c>
      <c r="D726" s="31">
        <v>1</v>
      </c>
      <c r="O726" s="42">
        <f>C726*Prislapp!$C$2+D726*Prislapp!$D$2+E726*Prislapp!$E$2+F726*Prislapp!$F$2+G726*Prislapp!$G$2+H726*Prislapp!$H$2+I726*Prislapp!$I$2+J726*Prislapp!$J$2+K726*Prislapp!$K$2+L726*Prislapp!$L$2+M726*Prislapp!$M$2+N726*Prislapp!$N$2</f>
        <v>18405</v>
      </c>
      <c r="P726" s="42">
        <f>C726*Prislapp!$C$3+D726*Prislapp!$D$3+E726*Prislapp!$E$3+F726*Prislapp!$F$3+G726*Prislapp!$G$3+H726*Prislapp!$H$3+I726*Prislapp!$I$3+J726*Prislapp!$J$3+K726*Prislapp!$K$3+M726*Prislapp!$M$3+N726*Prislapp!$N$3</f>
        <v>15773</v>
      </c>
      <c r="Q726" s="42">
        <f>C726*Prislapp!$C$5+D726*Prislapp!$D$5+E726*Prislapp!$E$5+F726*Prislapp!$F$5+G726*Prislapp!$G$5+H726*Prislapp!$H$5+I726*Prislapp!$I$5+J726*Prislapp!$J$5+K726*Prislapp!$K$5+L726*Prislapp!$L$5+M726*Prislapp!$M$5+N726*Prislapp!$N$5</f>
        <v>5800</v>
      </c>
      <c r="R726" s="9">
        <f>VLOOKUP(A726,'Ansvar kurs'!$A$2:$B$830,2,FALSE)</f>
        <v>1620</v>
      </c>
    </row>
    <row r="727" spans="1:26" x14ac:dyDescent="0.25">
      <c r="A727" s="266" t="s">
        <v>2217</v>
      </c>
      <c r="B727" s="59" t="s">
        <v>2219</v>
      </c>
      <c r="D727" s="31">
        <v>1</v>
      </c>
      <c r="O727" s="42">
        <f>C727*Prislapp!$C$2+D727*Prislapp!$D$2+E727*Prislapp!$E$2+F727*Prislapp!$F$2+G727*Prislapp!$G$2+H727*Prislapp!$H$2+I727*Prislapp!$I$2+J727*Prislapp!$J$2+K727*Prislapp!$K$2+L727*Prislapp!$L$2+M727*Prislapp!$M$2+N727*Prislapp!$N$2</f>
        <v>18405</v>
      </c>
      <c r="P727" s="42">
        <f>C727*Prislapp!$C$3+D727*Prislapp!$D$3+E727*Prislapp!$E$3+F727*Prislapp!$F$3+G727*Prislapp!$G$3+H727*Prislapp!$H$3+I727*Prislapp!$I$3+J727*Prislapp!$J$3+K727*Prislapp!$K$3+M727*Prislapp!$M$3+N727*Prislapp!$N$3</f>
        <v>15773</v>
      </c>
      <c r="Q727" s="42">
        <f>C727*Prislapp!$C$5+D727*Prislapp!$D$5+E727*Prislapp!$E$5+F727*Prislapp!$F$5+G727*Prislapp!$G$5+H727*Prislapp!$H$5+I727*Prislapp!$I$5+J727*Prislapp!$J$5+K727*Prislapp!$K$5+L727*Prislapp!$L$5+M727*Prislapp!$M$5+N727*Prislapp!$N$5</f>
        <v>5800</v>
      </c>
      <c r="R727" s="9">
        <f>VLOOKUP(A727,'Ansvar kurs'!$A$2:$B$830,2,FALSE)</f>
        <v>1620</v>
      </c>
    </row>
    <row r="728" spans="1:26" x14ac:dyDescent="0.25">
      <c r="A728" s="266" t="s">
        <v>2218</v>
      </c>
      <c r="B728" s="59" t="s">
        <v>2220</v>
      </c>
      <c r="D728" s="31">
        <v>1</v>
      </c>
      <c r="O728" s="42">
        <f>C728*Prislapp!$C$2+D728*Prislapp!$D$2+E728*Prislapp!$E$2+F728*Prislapp!$F$2+G728*Prislapp!$G$2+H728*Prislapp!$H$2+I728*Prislapp!$I$2+J728*Prislapp!$J$2+K728*Prislapp!$K$2+L728*Prislapp!$L$2+M728*Prislapp!$M$2+N728*Prislapp!$N$2</f>
        <v>18405</v>
      </c>
      <c r="P728" s="42">
        <f>C728*Prislapp!$C$3+D728*Prislapp!$D$3+E728*Prislapp!$E$3+F728*Prislapp!$F$3+G728*Prislapp!$G$3+H728*Prislapp!$H$3+I728*Prislapp!$I$3+J728*Prislapp!$J$3+K728*Prislapp!$K$3+M728*Prislapp!$M$3+N728*Prislapp!$N$3</f>
        <v>15773</v>
      </c>
      <c r="Q728" s="42">
        <f>C728*Prislapp!$C$5+D728*Prislapp!$D$5+E728*Prislapp!$E$5+F728*Prislapp!$F$5+G728*Prislapp!$G$5+H728*Prislapp!$H$5+I728*Prislapp!$I$5+J728*Prislapp!$J$5+K728*Prislapp!$K$5+L728*Prislapp!$L$5+M728*Prislapp!$M$5+N728*Prislapp!$N$5</f>
        <v>5800</v>
      </c>
      <c r="R728" s="9">
        <f>VLOOKUP(A728,'Ansvar kurs'!$A$2:$B$830,2,FALSE)</f>
        <v>1620</v>
      </c>
    </row>
    <row r="729" spans="1:26" x14ac:dyDescent="0.25">
      <c r="A729" s="9" t="s">
        <v>2252</v>
      </c>
      <c r="B729" s="39" t="s">
        <v>2254</v>
      </c>
      <c r="D729" s="431">
        <v>1</v>
      </c>
      <c r="O729" s="42">
        <f>C729*Prislapp!$C$2+D729*Prislapp!$D$2+E729*Prislapp!$E$2+F729*Prislapp!$F$2+G729*Prislapp!$G$2+H729*Prislapp!$H$2+I729*Prislapp!$I$2+J729*Prislapp!$J$2+K729*Prislapp!$K$2+L729*Prislapp!$L$2+M729*Prislapp!$M$2+N729*Prislapp!$N$2</f>
        <v>18405</v>
      </c>
      <c r="P729" s="42">
        <f>C729*Prislapp!$C$3+D729*Prislapp!$D$3+E729*Prislapp!$E$3+F729*Prislapp!$F$3+G729*Prislapp!$G$3+H729*Prislapp!$H$3+I729*Prislapp!$I$3+J729*Prislapp!$J$3+K729*Prislapp!$K$3+M729*Prislapp!$M$3+N729*Prislapp!$N$3</f>
        <v>15773</v>
      </c>
      <c r="Q729" s="42">
        <f>C729*Prislapp!$C$5+D729*Prislapp!$D$5+E729*Prislapp!$E$5+F729*Prislapp!$F$5+G729*Prislapp!$G$5+H729*Prislapp!$H$5+I729*Prislapp!$I$5+J729*Prislapp!$J$5+K729*Prislapp!$K$5+L729*Prislapp!$L$5+M729*Prislapp!$M$5+N729*Prislapp!$N$5</f>
        <v>5800</v>
      </c>
      <c r="R729" s="9">
        <f>VLOOKUP(A729,'Ansvar kurs'!$A$2:$B$830,2,FALSE)</f>
        <v>1620</v>
      </c>
      <c r="S729" s="186" t="s">
        <v>2073</v>
      </c>
      <c r="T729" s="186"/>
      <c r="U729" s="159"/>
      <c r="V729" s="159"/>
      <c r="W729" s="159"/>
      <c r="X729" s="159"/>
      <c r="Y729" s="159"/>
      <c r="Z729" s="159"/>
    </row>
    <row r="730" spans="1:26" x14ac:dyDescent="0.25">
      <c r="A730" s="31" t="s">
        <v>148</v>
      </c>
      <c r="B730" s="31" t="s">
        <v>744</v>
      </c>
      <c r="I730" s="31">
        <v>0.8</v>
      </c>
      <c r="N730" s="31">
        <v>0.2</v>
      </c>
      <c r="O730" s="42">
        <f>C730*Prislapp!$C$2+D730*Prislapp!$D$2+E730*Prislapp!$E$2+F730*Prislapp!$F$2+G730*Prislapp!$G$2+H730*Prislapp!$H$2+I730*Prislapp!$I$2+J730*Prislapp!$J$2+K730*Prislapp!$K$2+L730*Prislapp!$L$2+M730*Prislapp!$M$2+N730*Prislapp!$N$2</f>
        <v>22339.8</v>
      </c>
      <c r="P730" s="42">
        <f>C730*Prislapp!$C$3+D730*Prislapp!$D$3+E730*Prislapp!$E$3+F730*Prislapp!$F$3+G730*Prislapp!$G$3+H730*Prislapp!$H$3+I730*Prislapp!$I$3+J730*Prislapp!$J$3+K730*Prislapp!$K$3+M730*Prislapp!$M$3+N730*Prislapp!$N$3</f>
        <v>20219.2</v>
      </c>
      <c r="Q730" s="42">
        <f>C730*Prislapp!$C$5+D730*Prislapp!$D$5+E730*Prislapp!$E$5+F730*Prislapp!$F$5+G730*Prislapp!$G$5+H730*Prislapp!$H$5+I730*Prislapp!$I$5+J730*Prislapp!$J$5+K730*Prislapp!$K$5+L730*Prislapp!$L$5+M730*Prislapp!$M$5+N730*Prislapp!$N$5</f>
        <v>5800</v>
      </c>
      <c r="R730" s="9">
        <f>VLOOKUP(A730,'Ansvar kurs'!$A$2:$B$830,2,FALSE)</f>
        <v>2193</v>
      </c>
      <c r="S730" s="31" t="s">
        <v>1312</v>
      </c>
    </row>
    <row r="731" spans="1:26" x14ac:dyDescent="0.25">
      <c r="A731" s="31" t="s">
        <v>150</v>
      </c>
      <c r="B731" s="31" t="s">
        <v>745</v>
      </c>
      <c r="I731" s="31">
        <v>1</v>
      </c>
      <c r="O731" s="42">
        <f>C731*Prislapp!$C$2+D731*Prislapp!$D$2+E731*Prislapp!$E$2+F731*Prislapp!$F$2+G731*Prislapp!$G$2+H731*Prislapp!$H$2+I731*Prislapp!$I$2+J731*Prislapp!$J$2+K731*Prislapp!$K$2+L731*Prislapp!$L$2+M731*Prislapp!$M$2+N731*Prislapp!$N$2</f>
        <v>18405</v>
      </c>
      <c r="P731" s="42">
        <f>C731*Prislapp!$C$3+D731*Prislapp!$D$3+E731*Prislapp!$E$3+F731*Prislapp!$F$3+G731*Prislapp!$G$3+H731*Prislapp!$H$3+I731*Prislapp!$I$3+J731*Prislapp!$J$3+K731*Prislapp!$K$3+M731*Prislapp!$M$3+N731*Prislapp!$N$3</f>
        <v>15773</v>
      </c>
      <c r="Q731" s="42">
        <f>C731*Prislapp!$C$5+D731*Prislapp!$D$5+E731*Prislapp!$E$5+F731*Prislapp!$F$5+G731*Prislapp!$G$5+H731*Prislapp!$H$5+I731*Prislapp!$I$5+J731*Prislapp!$J$5+K731*Prislapp!$K$5+L731*Prislapp!$L$5+M731*Prislapp!$M$5+N731*Prislapp!$N$5</f>
        <v>5800</v>
      </c>
      <c r="R731" s="9">
        <f>VLOOKUP(A731,'Ansvar kurs'!$A$2:$B$830,2,FALSE)</f>
        <v>2193</v>
      </c>
    </row>
    <row r="732" spans="1:26" x14ac:dyDescent="0.25">
      <c r="A732" s="31" t="s">
        <v>354</v>
      </c>
      <c r="B732" s="31" t="s">
        <v>746</v>
      </c>
      <c r="I732" s="31">
        <v>1</v>
      </c>
      <c r="O732" s="42">
        <f>C732*Prislapp!$C$2+D732*Prislapp!$D$2+E732*Prislapp!$E$2+F732*Prislapp!$F$2+G732*Prislapp!$G$2+H732*Prislapp!$H$2+I732*Prislapp!$I$2+J732*Prislapp!$J$2+K732*Prislapp!$K$2+L732*Prislapp!$L$2+M732*Prislapp!$M$2+N732*Prislapp!$N$2</f>
        <v>18405</v>
      </c>
      <c r="P732" s="42">
        <f>C732*Prislapp!$C$3+D732*Prislapp!$D$3+E732*Prislapp!$E$3+F732*Prislapp!$F$3+G732*Prislapp!$G$3+H732*Prislapp!$H$3+I732*Prislapp!$I$3+J732*Prislapp!$J$3+K732*Prislapp!$K$3+M732*Prislapp!$M$3+N732*Prislapp!$N$3</f>
        <v>15773</v>
      </c>
      <c r="Q732" s="42">
        <f>C732*Prislapp!$C$5+D732*Prislapp!$D$5+E732*Prislapp!$E$5+F732*Prislapp!$F$5+G732*Prislapp!$G$5+H732*Prislapp!$H$5+I732*Prislapp!$I$5+J732*Prislapp!$J$5+K732*Prislapp!$K$5+L732*Prislapp!$L$5+M732*Prislapp!$M$5+N732*Prislapp!$N$5</f>
        <v>5800</v>
      </c>
      <c r="R732" s="9">
        <f>VLOOKUP(A732,'Ansvar kurs'!$A$2:$B$830,2,FALSE)</f>
        <v>2180</v>
      </c>
    </row>
    <row r="733" spans="1:26" x14ac:dyDescent="0.25">
      <c r="A733" s="31" t="s">
        <v>341</v>
      </c>
      <c r="B733" s="31" t="s">
        <v>747</v>
      </c>
      <c r="I733" s="31">
        <v>0.55000000000000004</v>
      </c>
      <c r="N733" s="31">
        <v>0.45</v>
      </c>
      <c r="O733" s="42">
        <f>C733*Prislapp!$C$2+D733*Prislapp!$D$2+E733*Prislapp!$E$2+F733*Prislapp!$F$2+G733*Prislapp!$G$2+H733*Prislapp!$H$2+I733*Prislapp!$I$2+J733*Prislapp!$J$2+K733*Prislapp!$K$2+L733*Prislapp!$L$2+M733*Prislapp!$M$2+N733*Prislapp!$N$2</f>
        <v>27258.3</v>
      </c>
      <c r="P733" s="42">
        <f>C733*Prislapp!$C$3+D733*Prislapp!$D$3+E733*Prislapp!$E$3+F733*Prislapp!$F$3+G733*Prislapp!$G$3+H733*Prislapp!$H$3+I733*Prislapp!$I$3+J733*Prislapp!$J$3+K733*Prislapp!$K$3+M733*Prislapp!$M$3+N733*Prislapp!$N$3</f>
        <v>25776.95</v>
      </c>
      <c r="Q733" s="42">
        <f>C733*Prislapp!$C$5+D733*Prislapp!$D$5+E733*Prislapp!$E$5+F733*Prislapp!$F$5+G733*Prislapp!$G$5+H733*Prislapp!$H$5+I733*Prislapp!$I$5+J733*Prislapp!$J$5+K733*Prislapp!$K$5+L733*Prislapp!$L$5+M733*Prislapp!$M$5+N733*Prislapp!$N$5</f>
        <v>5800</v>
      </c>
      <c r="R733" s="9">
        <f>VLOOKUP(A733,'Ansvar kurs'!$A$2:$B$830,2,FALSE)</f>
        <v>2193</v>
      </c>
    </row>
    <row r="734" spans="1:26" x14ac:dyDescent="0.25">
      <c r="A734" s="31" t="s">
        <v>378</v>
      </c>
      <c r="B734" s="31" t="s">
        <v>379</v>
      </c>
      <c r="I734" s="31">
        <v>1</v>
      </c>
      <c r="O734" s="42">
        <f>C734*Prislapp!$C$2+D734*Prislapp!$D$2+E734*Prislapp!$E$2+F734*Prislapp!$F$2+G734*Prislapp!$G$2+H734*Prislapp!$H$2+I734*Prislapp!$I$2+J734*Prislapp!$J$2+K734*Prislapp!$K$2+L734*Prislapp!$L$2+M734*Prislapp!$M$2+N734*Prislapp!$N$2</f>
        <v>18405</v>
      </c>
      <c r="P734" s="42">
        <f>C734*Prislapp!$C$3+D734*Prislapp!$D$3+E734*Prislapp!$E$3+F734*Prislapp!$F$3+G734*Prislapp!$G$3+H734*Prislapp!$H$3+I734*Prislapp!$I$3+J734*Prislapp!$J$3+K734*Prislapp!$K$3+M734*Prislapp!$M$3+N734*Prislapp!$N$3</f>
        <v>15773</v>
      </c>
      <c r="Q734" s="42">
        <f>C734*Prislapp!$C$5+D734*Prislapp!$D$5+E734*Prislapp!$E$5+F734*Prislapp!$F$5+G734*Prislapp!$G$5+H734*Prislapp!$H$5+I734*Prislapp!$I$5+J734*Prislapp!$J$5+K734*Prislapp!$K$5+L734*Prislapp!$L$5+M734*Prislapp!$M$5+N734*Prislapp!$N$5</f>
        <v>5800</v>
      </c>
      <c r="R734" s="9">
        <f>VLOOKUP(A734,'Ansvar kurs'!$A$2:$B$830,2,FALSE)</f>
        <v>2193</v>
      </c>
    </row>
    <row r="735" spans="1:26" x14ac:dyDescent="0.25">
      <c r="A735" s="31" t="s">
        <v>396</v>
      </c>
      <c r="B735" s="31" t="s">
        <v>748</v>
      </c>
      <c r="I735" s="31">
        <v>0.7</v>
      </c>
      <c r="N735" s="31">
        <v>0.3</v>
      </c>
      <c r="O735" s="42">
        <f>C735*Prislapp!$C$2+D735*Prislapp!$D$2+E735*Prislapp!$E$2+F735*Prislapp!$F$2+G735*Prislapp!$G$2+H735*Prislapp!$H$2+I735*Prislapp!$I$2+J735*Prislapp!$J$2+K735*Prislapp!$K$2+L735*Prislapp!$L$2+M735*Prislapp!$M$2+N735*Prislapp!$N$2</f>
        <v>24307.199999999997</v>
      </c>
      <c r="P735" s="42">
        <f>C735*Prislapp!$C$3+D735*Prislapp!$D$3+E735*Prislapp!$E$3+F735*Prislapp!$F$3+G735*Prislapp!$G$3+H735*Prislapp!$H$3+I735*Prislapp!$I$3+J735*Prislapp!$J$3+K735*Prislapp!$K$3+M735*Prislapp!$M$3+N735*Prislapp!$N$3</f>
        <v>22442.299999999996</v>
      </c>
      <c r="Q735" s="42">
        <f>C735*Prislapp!$C$5+D735*Prislapp!$D$5+E735*Prislapp!$E$5+F735*Prislapp!$F$5+G735*Prislapp!$G$5+H735*Prislapp!$H$5+I735*Prislapp!$I$5+J735*Prislapp!$J$5+K735*Prislapp!$K$5+L735*Prislapp!$L$5+M735*Prislapp!$M$5+N735*Prislapp!$N$5</f>
        <v>5800</v>
      </c>
      <c r="R735" s="9">
        <f>VLOOKUP(A735,'Ansvar kurs'!$A$2:$B$830,2,FALSE)</f>
        <v>2193</v>
      </c>
      <c r="S735" s="159"/>
    </row>
    <row r="736" spans="1:26" x14ac:dyDescent="0.25">
      <c r="A736" s="31" t="s">
        <v>340</v>
      </c>
      <c r="B736" s="31" t="s">
        <v>749</v>
      </c>
      <c r="I736" s="31">
        <v>1</v>
      </c>
      <c r="O736" s="42">
        <f>C736*Prislapp!$C$2+D736*Prislapp!$D$2+E736*Prislapp!$E$2+F736*Prislapp!$F$2+G736*Prislapp!$G$2+H736*Prislapp!$H$2+I736*Prislapp!$I$2+J736*Prislapp!$J$2+K736*Prislapp!$K$2+L736*Prislapp!$L$2+M736*Prislapp!$M$2+N736*Prislapp!$N$2</f>
        <v>18405</v>
      </c>
      <c r="P736" s="42">
        <f>C736*Prislapp!$C$3+D736*Prislapp!$D$3+E736*Prislapp!$E$3+F736*Prislapp!$F$3+G736*Prislapp!$G$3+H736*Prislapp!$H$3+I736*Prislapp!$I$3+J736*Prislapp!$J$3+K736*Prislapp!$K$3+M736*Prislapp!$M$3+N736*Prislapp!$N$3</f>
        <v>15773</v>
      </c>
      <c r="Q736" s="42">
        <f>C736*Prislapp!$C$5+D736*Prislapp!$D$5+E736*Prislapp!$E$5+F736*Prislapp!$F$5+G736*Prislapp!$G$5+H736*Prislapp!$H$5+I736*Prislapp!$I$5+J736*Prislapp!$J$5+K736*Prislapp!$K$5+L736*Prislapp!$L$5+M736*Prislapp!$M$5+N736*Prislapp!$N$5</f>
        <v>5800</v>
      </c>
      <c r="R736" s="9">
        <f>VLOOKUP(A736,'Ansvar kurs'!$A$2:$B$830,2,FALSE)</f>
        <v>2193</v>
      </c>
      <c r="U736" s="159"/>
      <c r="V736" s="159"/>
      <c r="W736" s="159"/>
      <c r="X736" s="159"/>
      <c r="Y736" s="159"/>
      <c r="Z736" s="159"/>
    </row>
    <row r="737" spans="1:26" x14ac:dyDescent="0.25">
      <c r="A737" s="31" t="s">
        <v>1</v>
      </c>
      <c r="B737" s="31" t="s">
        <v>750</v>
      </c>
      <c r="D737" s="31">
        <v>0.8</v>
      </c>
      <c r="I737" s="31">
        <v>0</v>
      </c>
      <c r="N737" s="31">
        <v>0.2</v>
      </c>
      <c r="O737" s="42">
        <f>C737*Prislapp!$C$2+D737*Prislapp!$D$2+E737*Prislapp!$E$2+F737*Prislapp!$F$2+G737*Prislapp!$G$2+H737*Prislapp!$H$2+I737*Prislapp!$I$2+J737*Prislapp!$J$2+K737*Prislapp!$K$2+L737*Prislapp!$L$2+M737*Prislapp!$M$2+N737*Prislapp!$N$2</f>
        <v>22339.8</v>
      </c>
      <c r="P737" s="42">
        <f>C737*Prislapp!$C$3+D737*Prislapp!$D$3+E737*Prislapp!$E$3+F737*Prislapp!$F$3+G737*Prislapp!$G$3+H737*Prislapp!$H$3+I737*Prislapp!$I$3+J737*Prislapp!$J$3+K737*Prislapp!$K$3+M737*Prislapp!$M$3+N737*Prislapp!$N$3</f>
        <v>20219.2</v>
      </c>
      <c r="Q737" s="42">
        <f>C737*Prislapp!$C$5+D737*Prislapp!$D$5+E737*Prislapp!$E$5+F737*Prislapp!$F$5+G737*Prislapp!$G$5+H737*Prislapp!$H$5+I737*Prislapp!$I$5+J737*Prislapp!$J$5+K737*Prislapp!$K$5+L737*Prislapp!$L$5+M737*Prislapp!$M$5+N737*Prislapp!$N$5</f>
        <v>5800</v>
      </c>
      <c r="R737" s="9">
        <f>VLOOKUP(A737,'Ansvar kurs'!$A$2:$B$830,2,FALSE)</f>
        <v>2193</v>
      </c>
      <c r="U737" s="159"/>
      <c r="V737" s="159"/>
      <c r="W737" s="159"/>
      <c r="X737" s="159"/>
      <c r="Y737" s="159"/>
      <c r="Z737" s="159"/>
    </row>
    <row r="738" spans="1:26" x14ac:dyDescent="0.25">
      <c r="A738" s="31" t="s">
        <v>377</v>
      </c>
      <c r="B738" s="31" t="s">
        <v>751</v>
      </c>
      <c r="I738" s="31">
        <v>1</v>
      </c>
      <c r="O738" s="42">
        <f>C738*Prislapp!$C$2+D738*Prislapp!$D$2+E738*Prislapp!$E$2+F738*Prislapp!$F$2+G738*Prislapp!$G$2+H738*Prislapp!$H$2+I738*Prislapp!$I$2+J738*Prislapp!$J$2+K738*Prislapp!$K$2+L738*Prislapp!$L$2+M738*Prislapp!$M$2+N738*Prislapp!$N$2</f>
        <v>18405</v>
      </c>
      <c r="P738" s="42">
        <f>C738*Prislapp!$C$3+D738*Prislapp!$D$3+E738*Prislapp!$E$3+F738*Prislapp!$F$3+G738*Prislapp!$G$3+H738*Prislapp!$H$3+I738*Prislapp!$I$3+J738*Prislapp!$J$3+K738*Prislapp!$K$3+M738*Prislapp!$M$3+N738*Prislapp!$N$3</f>
        <v>15773</v>
      </c>
      <c r="Q738" s="42">
        <f>C738*Prislapp!$C$5+D738*Prislapp!$D$5+E738*Prislapp!$E$5+F738*Prislapp!$F$5+G738*Prislapp!$G$5+H738*Prislapp!$H$5+I738*Prislapp!$I$5+J738*Prislapp!$J$5+K738*Prislapp!$K$5+L738*Prislapp!$L$5+M738*Prislapp!$M$5+N738*Prislapp!$N$5</f>
        <v>5800</v>
      </c>
      <c r="R738" s="9">
        <f>VLOOKUP(A738,'Ansvar kurs'!$A$2:$B$830,2,FALSE)</f>
        <v>2193</v>
      </c>
      <c r="U738" s="159"/>
      <c r="V738" s="159"/>
      <c r="W738" s="159"/>
      <c r="X738" s="159"/>
      <c r="Y738" s="159"/>
      <c r="Z738" s="159"/>
    </row>
    <row r="739" spans="1:26" x14ac:dyDescent="0.25">
      <c r="A739" s="265" t="s">
        <v>607</v>
      </c>
      <c r="B739" s="31" t="s">
        <v>685</v>
      </c>
      <c r="I739" s="31">
        <v>1</v>
      </c>
      <c r="O739" s="42">
        <f>C739*Prislapp!$C$2+D739*Prislapp!$D$2+E739*Prislapp!$E$2+F739*Prislapp!$F$2+G739*Prislapp!$G$2+H739*Prislapp!$H$2+I739*Prislapp!$I$2+J739*Prislapp!$J$2+K739*Prislapp!$K$2+L739*Prislapp!$L$2+M739*Prislapp!$M$2+N739*Prislapp!$N$2</f>
        <v>18405</v>
      </c>
      <c r="P739" s="42">
        <f>C739*Prislapp!$C$3+D739*Prislapp!$D$3+E739*Prislapp!$E$3+F739*Prislapp!$F$3+G739*Prislapp!$G$3+H739*Prislapp!$H$3+I739*Prislapp!$I$3+J739*Prislapp!$J$3+K739*Prislapp!$K$3+M739*Prislapp!$M$3+N739*Prislapp!$N$3</f>
        <v>15773</v>
      </c>
      <c r="Q739" s="42">
        <f>C739*Prislapp!$C$5+D739*Prislapp!$D$5+E739*Prislapp!$E$5+F739*Prislapp!$F$5+G739*Prislapp!$G$5+H739*Prislapp!$H$5+I739*Prislapp!$I$5+J739*Prislapp!$J$5+K739*Prislapp!$K$5+L739*Prislapp!$L$5+M739*Prislapp!$M$5+N739*Prislapp!$N$5</f>
        <v>5800</v>
      </c>
      <c r="R739" s="9">
        <f>VLOOKUP(A739,'Ansvar kurs'!$A$2:$B$830,2,FALSE)</f>
        <v>2193</v>
      </c>
      <c r="U739" s="159"/>
      <c r="V739" s="159"/>
      <c r="W739" s="159"/>
      <c r="X739" s="159"/>
      <c r="Y739" s="159"/>
      <c r="Z739" s="159"/>
    </row>
    <row r="740" spans="1:26" x14ac:dyDescent="0.25">
      <c r="A740" s="265" t="s">
        <v>432</v>
      </c>
      <c r="B740" s="31" t="s">
        <v>1196</v>
      </c>
      <c r="I740" s="31">
        <v>1</v>
      </c>
      <c r="O740" s="42">
        <f>C740*Prislapp!$C$2+D740*Prislapp!$D$2+E740*Prislapp!$E$2+F740*Prislapp!$F$2+G740*Prislapp!$G$2+H740*Prislapp!$H$2+I740*Prislapp!$I$2+J740*Prislapp!$J$2+K740*Prislapp!$K$2+L740*Prislapp!$L$2+M740*Prislapp!$M$2+N740*Prislapp!$N$2</f>
        <v>18405</v>
      </c>
      <c r="P740" s="42">
        <f>C740*Prislapp!$C$3+D740*Prislapp!$D$3+E740*Prislapp!$E$3+F740*Prislapp!$F$3+G740*Prislapp!$G$3+H740*Prislapp!$H$3+I740*Prislapp!$I$3+J740*Prislapp!$J$3+K740*Prislapp!$K$3+M740*Prislapp!$M$3+N740*Prislapp!$N$3</f>
        <v>15773</v>
      </c>
      <c r="Q740" s="42">
        <f>C740*Prislapp!$C$5+D740*Prislapp!$D$5+E740*Prislapp!$E$5+F740*Prislapp!$F$5+G740*Prislapp!$G$5+H740*Prislapp!$H$5+I740*Prislapp!$I$5+J740*Prislapp!$J$5+K740*Prislapp!$K$5+L740*Prislapp!$L$5+M740*Prislapp!$M$5+N740*Prislapp!$N$5</f>
        <v>5800</v>
      </c>
      <c r="R740" s="9">
        <f>VLOOKUP(A740,'Ansvar kurs'!$A$2:$B$830,2,FALSE)</f>
        <v>2193</v>
      </c>
      <c r="S740" s="159"/>
      <c r="T740" s="159"/>
      <c r="U740" s="159"/>
      <c r="V740" s="159"/>
      <c r="W740" s="159"/>
      <c r="X740" s="159"/>
      <c r="Y740" s="159"/>
      <c r="Z740" s="159"/>
    </row>
    <row r="741" spans="1:26" x14ac:dyDescent="0.25">
      <c r="A741" s="265" t="s">
        <v>901</v>
      </c>
      <c r="B741" s="31" t="s">
        <v>1243</v>
      </c>
      <c r="I741" s="31">
        <v>1</v>
      </c>
      <c r="O741" s="42">
        <f>C741*Prislapp!$C$2+D741*Prislapp!$D$2+E741*Prislapp!$E$2+F741*Prislapp!$F$2+G741*Prislapp!$G$2+H741*Prislapp!$H$2+I741*Prislapp!$I$2+J741*Prislapp!$J$2+K741*Prislapp!$K$2+L741*Prislapp!$L$2+M741*Prislapp!$M$2+N741*Prislapp!$N$2</f>
        <v>18405</v>
      </c>
      <c r="P741" s="42">
        <f>C741*Prislapp!$C$3+D741*Prislapp!$D$3+E741*Prislapp!$E$3+F741*Prislapp!$F$3+G741*Prislapp!$G$3+H741*Prislapp!$H$3+I741*Prislapp!$I$3+J741*Prislapp!$J$3+K741*Prislapp!$K$3+M741*Prislapp!$M$3+N741*Prislapp!$N$3</f>
        <v>15773</v>
      </c>
      <c r="Q741" s="42">
        <f>C741*Prislapp!$C$5+D741*Prislapp!$D$5+E741*Prislapp!$E$5+F741*Prislapp!$F$5+G741*Prislapp!$G$5+H741*Prislapp!$H$5+I741*Prislapp!$I$5+J741*Prislapp!$J$5+K741*Prislapp!$K$5+L741*Prislapp!$L$5+M741*Prislapp!$M$5+N741*Prislapp!$N$5</f>
        <v>5800</v>
      </c>
      <c r="R741" s="9">
        <f>VLOOKUP(A741,'Ansvar kurs'!$A$2:$B$830,2,FALSE)</f>
        <v>2193</v>
      </c>
      <c r="S741" s="159"/>
      <c r="T741" s="159"/>
      <c r="U741" s="159"/>
      <c r="V741" s="159"/>
      <c r="W741" s="159"/>
      <c r="X741" s="159"/>
      <c r="Y741" s="159"/>
      <c r="Z741" s="159"/>
    </row>
    <row r="742" spans="1:26" x14ac:dyDescent="0.25">
      <c r="A742" s="265" t="s">
        <v>903</v>
      </c>
      <c r="B742" s="31" t="s">
        <v>1244</v>
      </c>
      <c r="I742" s="31">
        <v>0.8</v>
      </c>
      <c r="N742" s="31">
        <v>0.2</v>
      </c>
      <c r="O742" s="42">
        <f>C742*Prislapp!$C$2+D742*Prislapp!$D$2+E742*Prislapp!$E$2+F742*Prislapp!$F$2+G742*Prislapp!$G$2+H742*Prislapp!$H$2+I742*Prislapp!$I$2+J742*Prislapp!$J$2+K742*Prislapp!$K$2+L742*Prislapp!$L$2+M742*Prislapp!$M$2+N742*Prislapp!$N$2</f>
        <v>22339.8</v>
      </c>
      <c r="P742" s="42">
        <f>C742*Prislapp!$C$3+D742*Prislapp!$D$3+E742*Prislapp!$E$3+F742*Prislapp!$F$3+G742*Prislapp!$G$3+H742*Prislapp!$H$3+I742*Prislapp!$I$3+J742*Prislapp!$J$3+K742*Prislapp!$K$3+M742*Prislapp!$M$3+N742*Prislapp!$N$3</f>
        <v>20219.2</v>
      </c>
      <c r="Q742" s="42">
        <f>C742*Prislapp!$C$5+D742*Prislapp!$D$5+E742*Prislapp!$E$5+F742*Prislapp!$F$5+G742*Prislapp!$G$5+H742*Prislapp!$H$5+I742*Prislapp!$I$5+J742*Prislapp!$J$5+K742*Prislapp!$K$5+L742*Prislapp!$L$5+M742*Prislapp!$M$5+N742*Prislapp!$N$5</f>
        <v>5800</v>
      </c>
      <c r="R742" s="9">
        <f>VLOOKUP(A742,'Ansvar kurs'!$A$2:$B$830,2,FALSE)</f>
        <v>2193</v>
      </c>
      <c r="S742" s="31" t="s">
        <v>1312</v>
      </c>
      <c r="T742" s="159"/>
      <c r="U742" s="159"/>
      <c r="V742" s="159"/>
      <c r="W742" s="159"/>
      <c r="X742" s="159"/>
      <c r="Y742" s="159"/>
      <c r="Z742" s="159"/>
    </row>
    <row r="743" spans="1:26" x14ac:dyDescent="0.25">
      <c r="A743" s="265" t="s">
        <v>904</v>
      </c>
      <c r="B743" s="31" t="s">
        <v>1245</v>
      </c>
      <c r="I743" s="31">
        <v>1</v>
      </c>
      <c r="O743" s="42">
        <f>C743*Prislapp!$C$2+D743*Prislapp!$D$2+E743*Prislapp!$E$2+F743*Prislapp!$F$2+G743*Prislapp!$G$2+H743*Prislapp!$H$2+I743*Prislapp!$I$2+J743*Prislapp!$J$2+K743*Prislapp!$K$2+L743*Prislapp!$L$2+M743*Prislapp!$M$2+N743*Prislapp!$N$2</f>
        <v>18405</v>
      </c>
      <c r="P743" s="42">
        <f>C743*Prislapp!$C$3+D743*Prislapp!$D$3+E743*Prislapp!$E$3+F743*Prislapp!$F$3+G743*Prislapp!$G$3+H743*Prislapp!$H$3+I743*Prislapp!$I$3+J743*Prislapp!$J$3+K743*Prislapp!$K$3+M743*Prislapp!$M$3+N743*Prislapp!$N$3</f>
        <v>15773</v>
      </c>
      <c r="Q743" s="42">
        <f>C743*Prislapp!$C$5+D743*Prislapp!$D$5+E743*Prislapp!$E$5+F743*Prislapp!$F$5+G743*Prislapp!$G$5+H743*Prislapp!$H$5+I743*Prislapp!$I$5+J743*Prislapp!$J$5+K743*Prislapp!$K$5+L743*Prislapp!$L$5+M743*Prislapp!$M$5+N743*Prislapp!$N$5</f>
        <v>5800</v>
      </c>
      <c r="R743" s="9">
        <f>VLOOKUP(A743,'Ansvar kurs'!$A$2:$B$830,2,FALSE)</f>
        <v>2193</v>
      </c>
      <c r="S743" s="159"/>
      <c r="T743" s="159"/>
    </row>
    <row r="744" spans="1:26" x14ac:dyDescent="0.25">
      <c r="A744" s="265" t="s">
        <v>902</v>
      </c>
      <c r="B744" s="31" t="s">
        <v>1246</v>
      </c>
      <c r="D744" s="31">
        <v>0</v>
      </c>
      <c r="I744" s="31">
        <v>0.2</v>
      </c>
      <c r="N744" s="31">
        <v>0.8</v>
      </c>
      <c r="O744" s="42">
        <f>C744*Prislapp!$C$2+D744*Prislapp!$D$2+E744*Prislapp!$E$2+F744*Prislapp!$F$2+G744*Prislapp!$G$2+H744*Prislapp!$H$2+I744*Prislapp!$I$2+J744*Prislapp!$J$2+K744*Prislapp!$K$2+L744*Prislapp!$L$2+M744*Prislapp!$M$2+N744*Prislapp!$N$2</f>
        <v>34144.199999999997</v>
      </c>
      <c r="P744" s="42">
        <f>C744*Prislapp!$C$3+D744*Prislapp!$D$3+E744*Prislapp!$E$3+F744*Prislapp!$F$3+G744*Prislapp!$G$3+H744*Prislapp!$H$3+I744*Prislapp!$I$3+J744*Prislapp!$J$3+K744*Prislapp!$K$3+M744*Prislapp!$M$3+N744*Prislapp!$N$3</f>
        <v>33557.800000000003</v>
      </c>
      <c r="Q744" s="42">
        <f>C744*Prislapp!$C$5+D744*Prislapp!$D$5+E744*Prislapp!$E$5+F744*Prislapp!$F$5+G744*Prislapp!$G$5+H744*Prislapp!$H$5+I744*Prislapp!$I$5+J744*Prislapp!$J$5+K744*Prislapp!$K$5+L744*Prislapp!$L$5+M744*Prislapp!$M$5+N744*Prislapp!$N$5</f>
        <v>5800</v>
      </c>
      <c r="R744" s="9">
        <f>VLOOKUP(A744,'Ansvar kurs'!$A$2:$B$830,2,FALSE)</f>
        <v>2193</v>
      </c>
      <c r="S744" s="31" t="s">
        <v>1312</v>
      </c>
      <c r="T744" s="159"/>
    </row>
    <row r="745" spans="1:26" x14ac:dyDescent="0.25">
      <c r="A745" s="265" t="s">
        <v>900</v>
      </c>
      <c r="B745" s="31" t="s">
        <v>1247</v>
      </c>
      <c r="I745" s="31">
        <v>1</v>
      </c>
      <c r="O745" s="42">
        <f>C745*Prislapp!$C$2+D745*Prislapp!$D$2+E745*Prislapp!$E$2+F745*Prislapp!$F$2+G745*Prislapp!$G$2+H745*Prislapp!$H$2+I745*Prislapp!$I$2+J745*Prislapp!$J$2+K745*Prislapp!$K$2+L745*Prislapp!$L$2+M745*Prislapp!$M$2+N745*Prislapp!$N$2</f>
        <v>18405</v>
      </c>
      <c r="P745" s="42">
        <f>C745*Prislapp!$C$3+D745*Prislapp!$D$3+E745*Prislapp!$E$3+F745*Prislapp!$F$3+G745*Prislapp!$G$3+H745*Prislapp!$H$3+I745*Prislapp!$I$3+J745*Prislapp!$J$3+K745*Prislapp!$K$3+M745*Prislapp!$M$3+N745*Prislapp!$N$3</f>
        <v>15773</v>
      </c>
      <c r="Q745" s="42">
        <f>C745*Prislapp!$C$5+D745*Prislapp!$D$5+E745*Prislapp!$E$5+F745*Prislapp!$F$5+G745*Prislapp!$G$5+H745*Prislapp!$H$5+I745*Prislapp!$I$5+J745*Prislapp!$J$5+K745*Prislapp!$K$5+L745*Prislapp!$L$5+M745*Prislapp!$M$5+N745*Prislapp!$N$5</f>
        <v>5800</v>
      </c>
      <c r="R745" s="9">
        <f>VLOOKUP(A745,'Ansvar kurs'!$A$2:$B$830,2,FALSE)</f>
        <v>2180</v>
      </c>
      <c r="S745" s="159"/>
      <c r="T745" s="159"/>
    </row>
    <row r="746" spans="1:26" x14ac:dyDescent="0.25">
      <c r="A746" s="265" t="s">
        <v>942</v>
      </c>
      <c r="B746" s="31" t="s">
        <v>752</v>
      </c>
      <c r="I746" s="31">
        <v>1</v>
      </c>
      <c r="O746" s="42">
        <f>C746*Prislapp!$C$2+D746*Prislapp!$D$2+E746*Prislapp!$E$2+F746*Prislapp!$F$2+G746*Prislapp!$G$2+H746*Prislapp!$H$2+I746*Prislapp!$I$2+J746*Prislapp!$J$2+K746*Prislapp!$K$2+L746*Prislapp!$L$2+M746*Prislapp!$M$2+N746*Prislapp!$N$2</f>
        <v>18405</v>
      </c>
      <c r="P746" s="42">
        <f>C746*Prislapp!$C$3+D746*Prislapp!$D$3+E746*Prislapp!$E$3+F746*Prislapp!$F$3+G746*Prislapp!$G$3+H746*Prislapp!$H$3+I746*Prislapp!$I$3+J746*Prislapp!$J$3+K746*Prislapp!$K$3+M746*Prislapp!$M$3+N746*Prislapp!$N$3</f>
        <v>15773</v>
      </c>
      <c r="Q746" s="42">
        <f>C746*Prislapp!$C$5+D746*Prislapp!$D$5+E746*Prislapp!$E$5+F746*Prislapp!$F$5+G746*Prislapp!$G$5+H746*Prislapp!$H$5+I746*Prislapp!$I$5+J746*Prislapp!$J$5+K746*Prislapp!$K$5+L746*Prislapp!$L$5+M746*Prislapp!$M$5+N746*Prislapp!$N$5</f>
        <v>5800</v>
      </c>
      <c r="R746" s="9">
        <f>VLOOKUP(A746,'Ansvar kurs'!$A$2:$B$830,2,FALSE)</f>
        <v>2193</v>
      </c>
      <c r="S746" s="159" t="s">
        <v>945</v>
      </c>
      <c r="T746" s="159"/>
    </row>
    <row r="747" spans="1:26" x14ac:dyDescent="0.25">
      <c r="A747" s="265" t="s">
        <v>943</v>
      </c>
      <c r="B747" s="31" t="s">
        <v>1248</v>
      </c>
      <c r="I747" s="31">
        <v>1</v>
      </c>
      <c r="O747" s="42">
        <f>C747*Prislapp!$C$2+D747*Prislapp!$D$2+E747*Prislapp!$E$2+F747*Prislapp!$F$2+G747*Prislapp!$G$2+H747*Prislapp!$H$2+I747*Prislapp!$I$2+J747*Prislapp!$J$2+K747*Prislapp!$K$2+L747*Prislapp!$L$2+M747*Prislapp!$M$2+N747*Prislapp!$N$2</f>
        <v>18405</v>
      </c>
      <c r="P747" s="42">
        <f>C747*Prislapp!$C$3+D747*Prislapp!$D$3+E747*Prislapp!$E$3+F747*Prislapp!$F$3+G747*Prislapp!$G$3+H747*Prislapp!$H$3+I747*Prislapp!$I$3+J747*Prislapp!$J$3+K747*Prislapp!$K$3+M747*Prislapp!$M$3+N747*Prislapp!$N$3</f>
        <v>15773</v>
      </c>
      <c r="Q747" s="42">
        <f>C747*Prislapp!$C$5+D747*Prislapp!$D$5+E747*Prislapp!$E$5+F747*Prislapp!$F$5+G747*Prislapp!$G$5+H747*Prislapp!$H$5+I747*Prislapp!$I$5+J747*Prislapp!$J$5+K747*Prislapp!$K$5+L747*Prislapp!$L$5+M747*Prislapp!$M$5+N747*Prislapp!$N$5</f>
        <v>5800</v>
      </c>
      <c r="R747" s="9">
        <f>VLOOKUP(A747,'Ansvar kurs'!$A$2:$B$830,2,FALSE)</f>
        <v>2193</v>
      </c>
      <c r="S747" s="159" t="s">
        <v>945</v>
      </c>
      <c r="T747" s="159"/>
    </row>
    <row r="748" spans="1:26" x14ac:dyDescent="0.25">
      <c r="A748" s="265" t="s">
        <v>944</v>
      </c>
      <c r="B748" s="31" t="s">
        <v>753</v>
      </c>
      <c r="I748" s="31">
        <v>1</v>
      </c>
      <c r="O748" s="42">
        <f>C748*Prislapp!$C$2+D748*Prislapp!$D$2+E748*Prislapp!$E$2+F748*Prislapp!$F$2+G748*Prislapp!$G$2+H748*Prislapp!$H$2+I748*Prislapp!$I$2+J748*Prislapp!$J$2+K748*Prislapp!$K$2+L748*Prislapp!$L$2+M748*Prislapp!$M$2+N748*Prislapp!$N$2</f>
        <v>18405</v>
      </c>
      <c r="P748" s="42">
        <f>C748*Prislapp!$C$3+D748*Prislapp!$D$3+E748*Prislapp!$E$3+F748*Prislapp!$F$3+G748*Prislapp!$G$3+H748*Prislapp!$H$3+I748*Prislapp!$I$3+J748*Prislapp!$J$3+K748*Prislapp!$K$3+M748*Prislapp!$M$3+N748*Prislapp!$N$3</f>
        <v>15773</v>
      </c>
      <c r="Q748" s="42">
        <f>C748*Prislapp!$C$5+D748*Prislapp!$D$5+E748*Prislapp!$E$5+F748*Prislapp!$F$5+G748*Prislapp!$G$5+H748*Prislapp!$H$5+I748*Prislapp!$I$5+J748*Prislapp!$J$5+K748*Prislapp!$K$5+L748*Prislapp!$L$5+M748*Prislapp!$M$5+N748*Prislapp!$N$5</f>
        <v>5800</v>
      </c>
      <c r="R748" s="9">
        <f>VLOOKUP(A748,'Ansvar kurs'!$A$2:$B$830,2,FALSE)</f>
        <v>2193</v>
      </c>
      <c r="S748" s="159" t="s">
        <v>945</v>
      </c>
      <c r="T748" s="159"/>
    </row>
    <row r="749" spans="1:26" x14ac:dyDescent="0.25">
      <c r="A749" s="265" t="s">
        <v>987</v>
      </c>
      <c r="B749" s="31" t="s">
        <v>746</v>
      </c>
      <c r="I749" s="31">
        <v>1</v>
      </c>
      <c r="O749" s="42">
        <f>C749*Prislapp!$C$2+D749*Prislapp!$D$2+E749*Prislapp!$E$2+F749*Prislapp!$F$2+G749*Prislapp!$G$2+H749*Prislapp!$H$2+I749*Prislapp!$I$2+J749*Prislapp!$J$2+K749*Prislapp!$K$2+L749*Prislapp!$L$2+M749*Prislapp!$M$2+N749*Prislapp!$N$2</f>
        <v>18405</v>
      </c>
      <c r="P749" s="42">
        <f>C749*Prislapp!$C$3+D749*Prislapp!$D$3+E749*Prislapp!$E$3+F749*Prislapp!$F$3+G749*Prislapp!$G$3+H749*Prislapp!$H$3+I749*Prislapp!$I$3+J749*Prislapp!$J$3+K749*Prislapp!$K$3+M749*Prislapp!$M$3+N749*Prislapp!$N$3</f>
        <v>15773</v>
      </c>
      <c r="Q749" s="42">
        <f>C749*Prislapp!$C$5+D749*Prislapp!$D$5+E749*Prislapp!$E$5+F749*Prislapp!$F$5+G749*Prislapp!$G$5+H749*Prislapp!$H$5+I749*Prislapp!$I$5+J749*Prislapp!$J$5+K749*Prislapp!$K$5+L749*Prislapp!$L$5+M749*Prislapp!$M$5+N749*Prislapp!$N$5</f>
        <v>5800</v>
      </c>
      <c r="R749" s="9">
        <f>VLOOKUP(A749,'Ansvar kurs'!$A$2:$B$830,2,FALSE)</f>
        <v>2180</v>
      </c>
      <c r="S749" s="159" t="s">
        <v>988</v>
      </c>
      <c r="T749" s="159"/>
    </row>
    <row r="750" spans="1:26" x14ac:dyDescent="0.25">
      <c r="A750" s="31" t="s">
        <v>1351</v>
      </c>
      <c r="B750" s="31" t="s">
        <v>747</v>
      </c>
      <c r="I750" s="31">
        <v>0.55000000000000004</v>
      </c>
      <c r="N750" s="31">
        <v>0.45</v>
      </c>
      <c r="O750" s="42">
        <f>C750*Prislapp!$C$2+D750*Prislapp!$D$2+E750*Prislapp!$E$2+F750*Prislapp!$F$2+G750*Prislapp!$G$2+H750*Prislapp!$H$2+I750*Prislapp!$I$2+J750*Prislapp!$J$2+K750*Prislapp!$K$2+L750*Prislapp!$L$2+M750*Prislapp!$M$2+N750*Prislapp!$N$2</f>
        <v>27258.3</v>
      </c>
      <c r="P750" s="42">
        <f>C750*Prislapp!$C$3+D750*Prislapp!$D$3+E750*Prislapp!$E$3+F750*Prislapp!$F$3+G750*Prislapp!$G$3+H750*Prislapp!$H$3+I750*Prislapp!$I$3+J750*Prislapp!$J$3+K750*Prislapp!$K$3+M750*Prislapp!$M$3+N750*Prislapp!$N$3</f>
        <v>25776.95</v>
      </c>
      <c r="Q750" s="42">
        <f>C750*Prislapp!$C$5+D750*Prislapp!$D$5+E750*Prislapp!$E$5+F750*Prislapp!$F$5+G750*Prislapp!$G$5+H750*Prislapp!$H$5+I750*Prislapp!$I$5+J750*Prislapp!$J$5+K750*Prislapp!$K$5+L750*Prislapp!$L$5+M750*Prislapp!$M$5+N750*Prislapp!$N$5</f>
        <v>5800</v>
      </c>
      <c r="R750" s="9">
        <f>VLOOKUP(A750,'Ansvar kurs'!$A$2:$B$830,2,FALSE)</f>
        <v>2193</v>
      </c>
      <c r="S750" s="159" t="s">
        <v>1356</v>
      </c>
    </row>
    <row r="751" spans="1:26" x14ac:dyDescent="0.25">
      <c r="A751" s="265" t="s">
        <v>1620</v>
      </c>
      <c r="B751" s="31" t="s">
        <v>1196</v>
      </c>
      <c r="I751" s="31">
        <v>1</v>
      </c>
      <c r="O751" s="42">
        <f>C751*Prislapp!$C$2+D751*Prislapp!$D$2+E751*Prislapp!$E$2+F751*Prislapp!$F$2+G751*Prislapp!$G$2+H751*Prislapp!$H$2+I751*Prislapp!$I$2+J751*Prislapp!$J$2+K751*Prislapp!$K$2+L751*Prislapp!$L$2+M751*Prislapp!$M$2+N751*Prislapp!$N$2</f>
        <v>18405</v>
      </c>
      <c r="P751" s="42">
        <f>C751*Prislapp!$C$3+D751*Prislapp!$D$3+E751*Prislapp!$E$3+F751*Prislapp!$F$3+G751*Prislapp!$G$3+H751*Prislapp!$H$3+I751*Prislapp!$I$3+J751*Prislapp!$J$3+K751*Prislapp!$K$3+M751*Prislapp!$M$3+N751*Prislapp!$N$3</f>
        <v>15773</v>
      </c>
      <c r="Q751" s="42">
        <f>C751*Prislapp!$C$5+D751*Prislapp!$D$5+E751*Prislapp!$E$5+F751*Prislapp!$F$5+G751*Prislapp!$G$5+H751*Prislapp!$H$5+I751*Prislapp!$I$5+J751*Prislapp!$J$5+K751*Prislapp!$K$5+L751*Prislapp!$L$5+M751*Prislapp!$M$5+N751*Prislapp!$N$5</f>
        <v>5800</v>
      </c>
      <c r="R751" s="9">
        <f>VLOOKUP(A751,'Ansvar kurs'!$A$2:$B$830,2,FALSE)</f>
        <v>2193</v>
      </c>
      <c r="S751" s="159"/>
    </row>
    <row r="752" spans="1:26" x14ac:dyDescent="0.25">
      <c r="A752" s="31" t="s">
        <v>657</v>
      </c>
      <c r="B752" s="31" t="s">
        <v>754</v>
      </c>
      <c r="J752" s="31">
        <v>1</v>
      </c>
      <c r="O752" s="42">
        <f>C752*Prislapp!$C$2+D752*Prislapp!$D$2+E752*Prislapp!$E$2+F752*Prislapp!$F$2+G752*Prislapp!$G$2+H752*Prislapp!$H$2+I752*Prislapp!$I$2+J752*Prislapp!$J$2+K752*Prislapp!$K$2+L752*Prislapp!$L$2+M752*Prislapp!$M$2+N752*Prislapp!$N$2</f>
        <v>19473</v>
      </c>
      <c r="P752" s="42">
        <f>C752*Prislapp!$C$3+D752*Prislapp!$D$3+E752*Prislapp!$E$3+F752*Prislapp!$F$3+G752*Prislapp!$G$3+H752*Prislapp!$H$3+I752*Prislapp!$I$3+J752*Prislapp!$J$3+K752*Prislapp!$K$3+M752*Prislapp!$M$3+N752*Prislapp!$N$3</f>
        <v>34806</v>
      </c>
      <c r="Q752" s="42">
        <f>C752*Prislapp!$C$5+D752*Prislapp!$D$5+E752*Prislapp!$E$5+F752*Prislapp!$F$5+G752*Prislapp!$G$5+H752*Prislapp!$H$5+I752*Prislapp!$I$5+J752*Prislapp!$J$5+K752*Prislapp!$K$5+L752*Prislapp!$L$5+M752*Prislapp!$M$5+N752*Prislapp!$N$5</f>
        <v>21800</v>
      </c>
      <c r="R752" s="9">
        <f>VLOOKUP(A752,'Ansvar kurs'!$A$2:$B$830,2,FALSE)</f>
        <v>5740</v>
      </c>
    </row>
    <row r="753" spans="1:26" x14ac:dyDescent="0.25">
      <c r="A753" s="265" t="s">
        <v>947</v>
      </c>
      <c r="B753" s="31" t="s">
        <v>1249</v>
      </c>
      <c r="H753" s="31">
        <v>1</v>
      </c>
      <c r="O753" s="42">
        <f>C753*Prislapp!$C$2+D753*Prislapp!$D$2+E753*Prislapp!$E$2+F753*Prislapp!$F$2+G753*Prislapp!$G$2+H753*Prislapp!$H$2+I753*Prislapp!$I$2+J753*Prislapp!$J$2+K753*Prislapp!$K$2+L753*Prislapp!$L$2+M753*Prislapp!$M$2+N753*Prislapp!$N$2</f>
        <v>19473</v>
      </c>
      <c r="P753" s="42">
        <f>C753*Prislapp!$C$3+D753*Prislapp!$D$3+E753*Prislapp!$E$3+F753*Prislapp!$F$3+G753*Prislapp!$G$3+H753*Prislapp!$H$3+I753*Prislapp!$I$3+J753*Prislapp!$J$3+K753*Prislapp!$K$3+M753*Prislapp!$M$3+N753*Prislapp!$N$3</f>
        <v>34806</v>
      </c>
      <c r="Q753" s="42">
        <f>C753*Prislapp!$C$5+D753*Prislapp!$D$5+E753*Prislapp!$E$5+F753*Prislapp!$F$5+G753*Prislapp!$G$5+H753*Prislapp!$H$5+I753*Prislapp!$I$5+J753*Prislapp!$J$5+K753*Prislapp!$K$5+L753*Prislapp!$L$5+M753*Prislapp!$M$5+N753*Prislapp!$N$5</f>
        <v>21800</v>
      </c>
      <c r="R753" s="9">
        <f>VLOOKUP(A753,'Ansvar kurs'!$A$2:$B$830,2,FALSE)</f>
        <v>5740</v>
      </c>
    </row>
    <row r="754" spans="1:26" x14ac:dyDescent="0.25">
      <c r="A754" s="31" t="s">
        <v>87</v>
      </c>
      <c r="B754" s="31" t="s">
        <v>755</v>
      </c>
      <c r="J754" s="31">
        <v>1</v>
      </c>
      <c r="M754" s="31">
        <v>0</v>
      </c>
      <c r="O754" s="42">
        <f>C754*Prislapp!$C$2+D754*Prislapp!$D$2+E754*Prislapp!$E$2+F754*Prislapp!$F$2+G754*Prislapp!$G$2+H754*Prislapp!$H$2+I754*Prislapp!$I$2+J754*Prislapp!$J$2+K754*Prislapp!$K$2+L754*Prislapp!$L$2+M754*Prislapp!$M$2+N754*Prislapp!$N$2</f>
        <v>19473</v>
      </c>
      <c r="P754" s="42">
        <f>C754*Prislapp!$C$3+D754*Prislapp!$D$3+E754*Prislapp!$E$3+F754*Prislapp!$F$3+G754*Prislapp!$G$3+H754*Prislapp!$H$3+I754*Prislapp!$I$3+J754*Prislapp!$J$3+K754*Prislapp!$K$3+M754*Prislapp!$M$3+N754*Prislapp!$N$3</f>
        <v>34806</v>
      </c>
      <c r="Q754" s="42">
        <f>C754*Prislapp!$C$5+D754*Prislapp!$D$5+E754*Prislapp!$E$5+F754*Prislapp!$F$5+G754*Prislapp!$G$5+H754*Prislapp!$H$5+I754*Prislapp!$I$5+J754*Prislapp!$J$5+K754*Prislapp!$K$5+L754*Prislapp!$L$5+M754*Prislapp!$M$5+N754*Prislapp!$N$5</f>
        <v>21800</v>
      </c>
      <c r="R754" s="9">
        <f>VLOOKUP(A754,'Ansvar kurs'!$A$2:$B$830,2,FALSE)</f>
        <v>1650</v>
      </c>
      <c r="S754" s="186" t="s">
        <v>1525</v>
      </c>
      <c r="T754" s="186"/>
    </row>
    <row r="755" spans="1:26" x14ac:dyDescent="0.25">
      <c r="A755" s="62" t="s">
        <v>891</v>
      </c>
      <c r="B755" s="31" t="s">
        <v>1250</v>
      </c>
      <c r="J755" s="31">
        <v>1</v>
      </c>
      <c r="O755" s="42">
        <f>C755*Prislapp!$C$2+D755*Prislapp!$D$2+E755*Prislapp!$E$2+F755*Prislapp!$F$2+G755*Prislapp!$G$2+H755*Prislapp!$H$2+I755*Prislapp!$I$2+J755*Prislapp!$J$2+K755*Prislapp!$K$2+L755*Prislapp!$L$2+M755*Prislapp!$M$2+N755*Prislapp!$N$2</f>
        <v>19473</v>
      </c>
      <c r="P755" s="42">
        <f>C755*Prislapp!$C$3+D755*Prislapp!$D$3+E755*Prislapp!$E$3+F755*Prislapp!$F$3+G755*Prislapp!$G$3+H755*Prislapp!$H$3+I755*Prislapp!$I$3+J755*Prislapp!$J$3+K755*Prislapp!$K$3+M755*Prislapp!$M$3+N755*Prislapp!$N$3</f>
        <v>34806</v>
      </c>
      <c r="Q755" s="42">
        <f>C755*Prislapp!$C$5+D755*Prislapp!$D$5+E755*Prislapp!$E$5+F755*Prislapp!$F$5+G755*Prislapp!$G$5+H755*Prislapp!$H$5+I755*Prislapp!$I$5+J755*Prislapp!$J$5+K755*Prislapp!$K$5+L755*Prislapp!$L$5+M755*Prislapp!$M$5+N755*Prislapp!$N$5</f>
        <v>21800</v>
      </c>
      <c r="R755" s="9">
        <f>VLOOKUP(A755,'Ansvar kurs'!$A$2:$B$830,2,FALSE)</f>
        <v>1650</v>
      </c>
    </row>
    <row r="756" spans="1:26" x14ac:dyDescent="0.25">
      <c r="A756" s="31" t="s">
        <v>86</v>
      </c>
      <c r="B756" s="31" t="s">
        <v>756</v>
      </c>
      <c r="J756" s="31">
        <v>0.3</v>
      </c>
      <c r="M756" s="31">
        <v>0.7</v>
      </c>
      <c r="O756" s="42">
        <f>C756*Prislapp!$C$2+D756*Prislapp!$D$2+E756*Prislapp!$E$2+F756*Prislapp!$F$2+G756*Prislapp!$G$2+H756*Prislapp!$H$2+I756*Prislapp!$I$2+J756*Prislapp!$J$2+K756*Prislapp!$K$2+L756*Prislapp!$L$2+M756*Prislapp!$M$2+N756*Prislapp!$N$2</f>
        <v>16934.099999999999</v>
      </c>
      <c r="P756" s="42">
        <f>C756*Prislapp!$C$3+D756*Prislapp!$D$3+E756*Prislapp!$E$3+F756*Prislapp!$F$3+G756*Prislapp!$G$3+H756*Prislapp!$H$3+I756*Prislapp!$I$3+J756*Prislapp!$J$3+K756*Prislapp!$K$3+M756*Prislapp!$M$3+N756*Prislapp!$N$3</f>
        <v>29289.999999999996</v>
      </c>
      <c r="Q756" s="42">
        <f>C756*Prislapp!$C$5+D756*Prislapp!$D$5+E756*Prislapp!$E$5+F756*Prislapp!$F$5+G756*Prislapp!$G$5+H756*Prislapp!$H$5+I756*Prislapp!$I$5+J756*Prislapp!$J$5+K756*Prislapp!$K$5+L756*Prislapp!$L$5+M756*Prislapp!$M$5+N756*Prislapp!$N$5</f>
        <v>18650</v>
      </c>
      <c r="R756" s="9">
        <f>VLOOKUP(A756,'Ansvar kurs'!$A$2:$B$830,2,FALSE)</f>
        <v>1650</v>
      </c>
    </row>
    <row r="757" spans="1:26" x14ac:dyDescent="0.25">
      <c r="A757" s="31" t="s">
        <v>332</v>
      </c>
      <c r="B757" s="31" t="s">
        <v>757</v>
      </c>
      <c r="J757" s="31">
        <v>1</v>
      </c>
      <c r="O757" s="42">
        <f>C757*Prislapp!$C$2+D757*Prislapp!$D$2+E757*Prislapp!$E$2+F757*Prislapp!$F$2+G757*Prislapp!$G$2+H757*Prislapp!$H$2+I757*Prislapp!$I$2+J757*Prislapp!$J$2+K757*Prislapp!$K$2+L757*Prislapp!$L$2+M757*Prislapp!$M$2+N757*Prislapp!$N$2</f>
        <v>19473</v>
      </c>
      <c r="P757" s="42">
        <f>C757*Prislapp!$C$3+D757*Prislapp!$D$3+E757*Prislapp!$E$3+F757*Prislapp!$F$3+G757*Prislapp!$G$3+H757*Prislapp!$H$3+I757*Prislapp!$I$3+J757*Prislapp!$J$3+K757*Prislapp!$K$3+M757*Prislapp!$M$3+N757*Prislapp!$N$3</f>
        <v>34806</v>
      </c>
      <c r="Q757" s="42">
        <f>C757*Prislapp!$C$5+D757*Prislapp!$D$5+E757*Prislapp!$E$5+F757*Prislapp!$F$5+G757*Prislapp!$G$5+H757*Prislapp!$H$5+I757*Prislapp!$I$5+J757*Prislapp!$J$5+K757*Prislapp!$K$5+L757*Prislapp!$L$5+M757*Prislapp!$M$5+N757*Prislapp!$N$5</f>
        <v>21800</v>
      </c>
      <c r="R757" s="9">
        <f>VLOOKUP(A757,'Ansvar kurs'!$A$2:$B$830,2,FALSE)</f>
        <v>1650</v>
      </c>
    </row>
    <row r="758" spans="1:26" x14ac:dyDescent="0.25">
      <c r="A758" s="31" t="s">
        <v>81</v>
      </c>
      <c r="B758" s="31" t="s">
        <v>758</v>
      </c>
      <c r="J758" s="31">
        <v>1</v>
      </c>
      <c r="M758" s="31">
        <v>0</v>
      </c>
      <c r="O758" s="42">
        <f>C758*Prislapp!$C$2+D758*Prislapp!$D$2+E758*Prislapp!$E$2+F758*Prislapp!$F$2+G758*Prislapp!$G$2+H758*Prislapp!$H$2+I758*Prislapp!$I$2+J758*Prislapp!$J$2+K758*Prislapp!$K$2+L758*Prislapp!$L$2+M758*Prislapp!$M$2+N758*Prislapp!$N$2</f>
        <v>19473</v>
      </c>
      <c r="P758" s="42">
        <f>C758*Prislapp!$C$3+D758*Prislapp!$D$3+E758*Prislapp!$E$3+F758*Prislapp!$F$3+G758*Prislapp!$G$3+H758*Prislapp!$H$3+I758*Prislapp!$I$3+J758*Prislapp!$J$3+K758*Prislapp!$K$3+M758*Prislapp!$M$3+N758*Prislapp!$N$3</f>
        <v>34806</v>
      </c>
      <c r="Q758" s="42">
        <f>C758*Prislapp!$C$5+D758*Prislapp!$D$5+E758*Prislapp!$E$5+F758*Prislapp!$F$5+G758*Prislapp!$G$5+H758*Prislapp!$H$5+I758*Prislapp!$I$5+J758*Prislapp!$J$5+K758*Prislapp!$K$5+L758*Prislapp!$L$5+M758*Prislapp!$M$5+N758*Prislapp!$N$5</f>
        <v>21800</v>
      </c>
      <c r="R758" s="9">
        <f>VLOOKUP(A758,'Ansvar kurs'!$A$2:$B$830,2,FALSE)</f>
        <v>1650</v>
      </c>
      <c r="S758" s="186" t="s">
        <v>1525</v>
      </c>
      <c r="T758" s="186"/>
    </row>
    <row r="759" spans="1:26" x14ac:dyDescent="0.25">
      <c r="A759" s="31" t="s">
        <v>1055</v>
      </c>
      <c r="B759" s="31" t="s">
        <v>1251</v>
      </c>
      <c r="J759" s="31">
        <v>1</v>
      </c>
      <c r="O759" s="42">
        <f>C759*Prislapp!$C$2+D759*Prislapp!$D$2+E759*Prislapp!$E$2+F759*Prislapp!$F$2+G759*Prislapp!$G$2+H759*Prislapp!$H$2+I759*Prislapp!$I$2+J759*Prislapp!$J$2+K759*Prislapp!$K$2+L759*Prislapp!$L$2+M759*Prislapp!$M$2+N759*Prislapp!$N$2</f>
        <v>19473</v>
      </c>
      <c r="P759" s="42">
        <f>C759*Prislapp!$C$3+D759*Prislapp!$D$3+E759*Prislapp!$E$3+F759*Prislapp!$F$3+G759*Prislapp!$G$3+H759*Prislapp!$H$3+I759*Prislapp!$I$3+J759*Prislapp!$J$3+K759*Prislapp!$K$3+M759*Prislapp!$M$3+N759*Prislapp!$N$3</f>
        <v>34806</v>
      </c>
      <c r="Q759" s="42">
        <f>C759*Prislapp!$C$5+D759*Prislapp!$D$5+E759*Prislapp!$E$5+F759*Prislapp!$F$5+G759*Prislapp!$G$5+H759*Prislapp!$H$5+I759*Prislapp!$I$5+J759*Prislapp!$J$5+K759*Prislapp!$K$5+L759*Prislapp!$L$5+M759*Prislapp!$M$5+N759*Prislapp!$N$5</f>
        <v>21800</v>
      </c>
      <c r="R759" s="9">
        <f>VLOOKUP(A759,'Ansvar kurs'!$A$2:$B$830,2,FALSE)</f>
        <v>1650</v>
      </c>
    </row>
    <row r="760" spans="1:26" x14ac:dyDescent="0.25">
      <c r="A760" s="31" t="s">
        <v>480</v>
      </c>
      <c r="B760" s="31" t="s">
        <v>759</v>
      </c>
      <c r="J760" s="31">
        <v>1</v>
      </c>
      <c r="O760" s="42">
        <f>C760*Prislapp!$C$2+D760*Prislapp!$D$2+E760*Prislapp!$E$2+F760*Prislapp!$F$2+G760*Prislapp!$G$2+H760*Prislapp!$H$2+I760*Prislapp!$I$2+J760*Prislapp!$J$2+K760*Prislapp!$K$2+L760*Prislapp!$L$2+M760*Prislapp!$M$2+N760*Prislapp!$N$2</f>
        <v>19473</v>
      </c>
      <c r="P760" s="42">
        <f>C760*Prislapp!$C$3+D760*Prislapp!$D$3+E760*Prislapp!$E$3+F760*Prislapp!$F$3+G760*Prislapp!$G$3+H760*Prislapp!$H$3+I760*Prislapp!$I$3+J760*Prislapp!$J$3+K760*Prislapp!$K$3+M760*Prislapp!$M$3+N760*Prislapp!$N$3</f>
        <v>34806</v>
      </c>
      <c r="Q760" s="42">
        <f>C760*Prislapp!$C$5+D760*Prislapp!$D$5+E760*Prislapp!$E$5+F760*Prislapp!$F$5+G760*Prislapp!$G$5+H760*Prislapp!$H$5+I760*Prislapp!$I$5+J760*Prislapp!$J$5+K760*Prislapp!$K$5+L760*Prislapp!$L$5+M760*Prislapp!$M$5+N760*Prislapp!$N$5</f>
        <v>21800</v>
      </c>
      <c r="R760" s="9">
        <f>VLOOKUP(A760,'Ansvar kurs'!$A$2:$B$830,2,FALSE)</f>
        <v>1650</v>
      </c>
    </row>
    <row r="761" spans="1:26" x14ac:dyDescent="0.25">
      <c r="A761" s="31" t="s">
        <v>528</v>
      </c>
      <c r="B761" s="31" t="s">
        <v>534</v>
      </c>
      <c r="C761" s="37"/>
      <c r="D761" s="37"/>
      <c r="E761" s="37"/>
      <c r="F761" s="37"/>
      <c r="G761" s="37"/>
      <c r="H761" s="37"/>
      <c r="I761" s="37"/>
      <c r="J761" s="31">
        <v>1</v>
      </c>
      <c r="K761" s="37"/>
      <c r="L761" s="37"/>
      <c r="M761" s="37"/>
      <c r="N761" s="37"/>
      <c r="O761" s="42">
        <f>C761*Prislapp!$C$2+D761*Prislapp!$D$2+E761*Prislapp!$E$2+F761*Prislapp!$F$2+G761*Prislapp!$G$2+H761*Prislapp!$H$2+I761*Prislapp!$I$2+J761*Prislapp!$J$2+K761*Prislapp!$K$2+L761*Prislapp!$L$2+M761*Prislapp!$M$2+N761*Prislapp!$N$2</f>
        <v>19473</v>
      </c>
      <c r="P761" s="42">
        <f>C761*Prislapp!$C$3+D761*Prislapp!$D$3+E761*Prislapp!$E$3+F761*Prislapp!$F$3+G761*Prislapp!$G$3+H761*Prislapp!$H$3+I761*Prislapp!$I$3+J761*Prislapp!$J$3+K761*Prislapp!$K$3+M761*Prislapp!$M$3+N761*Prislapp!$N$3</f>
        <v>34806</v>
      </c>
      <c r="Q761" s="42">
        <f>C761*Prislapp!$C$5+D761*Prislapp!$D$5+E761*Prislapp!$E$5+F761*Prislapp!$F$5+G761*Prislapp!$G$5+H761*Prislapp!$H$5+I761*Prislapp!$I$5+J761*Prislapp!$J$5+K761*Prislapp!$K$5+L761*Prislapp!$L$5+M761*Prislapp!$M$5+N761*Prislapp!$N$5</f>
        <v>21800</v>
      </c>
      <c r="R761" s="9">
        <f>VLOOKUP(A761,'Ansvar kurs'!$A$2:$B$830,2,FALSE)</f>
        <v>1650</v>
      </c>
    </row>
    <row r="762" spans="1:26" x14ac:dyDescent="0.25">
      <c r="A762" s="31" t="s">
        <v>568</v>
      </c>
      <c r="B762" s="31" t="s">
        <v>760</v>
      </c>
      <c r="C762" s="37"/>
      <c r="D762" s="37"/>
      <c r="E762" s="37"/>
      <c r="F762" s="37"/>
      <c r="G762" s="37"/>
      <c r="H762" s="37"/>
      <c r="I762" s="37"/>
      <c r="J762" s="31">
        <v>1</v>
      </c>
      <c r="M762" s="31">
        <v>0</v>
      </c>
      <c r="N762" s="37"/>
      <c r="O762" s="42">
        <f>C762*Prislapp!$C$2+D762*Prislapp!$D$2+E762*Prislapp!$E$2+F762*Prislapp!$F$2+G762*Prislapp!$G$2+H762*Prislapp!$H$2+I762*Prislapp!$I$2+J762*Prislapp!$J$2+K762*Prislapp!$K$2+L762*Prislapp!$L$2+M762*Prislapp!$M$2+N762*Prislapp!$N$2</f>
        <v>19473</v>
      </c>
      <c r="P762" s="42">
        <f>C762*Prislapp!$C$3+D762*Prislapp!$D$3+E762*Prislapp!$E$3+F762*Prislapp!$F$3+G762*Prislapp!$G$3+H762*Prislapp!$H$3+I762*Prislapp!$I$3+J762*Prislapp!$J$3+K762*Prislapp!$K$3+M762*Prislapp!$M$3+N762*Prislapp!$N$3</f>
        <v>34806</v>
      </c>
      <c r="Q762" s="42">
        <f>C762*Prislapp!$C$5+D762*Prislapp!$D$5+E762*Prislapp!$E$5+F762*Prislapp!$F$5+G762*Prislapp!$G$5+H762*Prislapp!$H$5+I762*Prislapp!$I$5+J762*Prislapp!$J$5+K762*Prislapp!$K$5+L762*Prislapp!$L$5+M762*Prislapp!$M$5+N762*Prislapp!$N$5</f>
        <v>21800</v>
      </c>
      <c r="R762" s="9">
        <f>VLOOKUP(A762,'Ansvar kurs'!$A$2:$B$830,2,FALSE)</f>
        <v>1650</v>
      </c>
      <c r="S762" s="186" t="s">
        <v>1525</v>
      </c>
      <c r="T762" s="186"/>
    </row>
    <row r="763" spans="1:26" x14ac:dyDescent="0.25">
      <c r="A763" s="31" t="s">
        <v>522</v>
      </c>
      <c r="B763" s="31" t="s">
        <v>1252</v>
      </c>
      <c r="J763" s="31">
        <v>1</v>
      </c>
      <c r="O763" s="42">
        <f>C763*Prislapp!$C$2+D763*Prislapp!$D$2+E763*Prislapp!$E$2+F763*Prislapp!$F$2+G763*Prislapp!$G$2+H763*Prislapp!$H$2+I763*Prislapp!$I$2+J763*Prislapp!$J$2+K763*Prislapp!$K$2+L763*Prislapp!$L$2+M763*Prislapp!$M$2+N763*Prislapp!$N$2</f>
        <v>19473</v>
      </c>
      <c r="P763" s="42">
        <f>C763*Prislapp!$C$3+D763*Prislapp!$D$3+E763*Prislapp!$E$3+F763*Prislapp!$F$3+G763*Prislapp!$G$3+H763*Prislapp!$H$3+I763*Prislapp!$I$3+J763*Prislapp!$J$3+K763*Prislapp!$K$3+M763*Prislapp!$M$3+N763*Prislapp!$N$3</f>
        <v>34806</v>
      </c>
      <c r="Q763" s="42">
        <f>C763*Prislapp!$C$5+D763*Prislapp!$D$5+E763*Prislapp!$E$5+F763*Prislapp!$F$5+G763*Prislapp!$G$5+H763*Prislapp!$H$5+I763*Prislapp!$I$5+J763*Prislapp!$J$5+K763*Prislapp!$K$5+L763*Prislapp!$L$5+M763*Prislapp!$M$5+N763*Prislapp!$N$5</f>
        <v>21800</v>
      </c>
      <c r="R763" s="9">
        <f>VLOOKUP(A763,'Ansvar kurs'!$A$2:$B$830,2,FALSE)</f>
        <v>1650</v>
      </c>
    </row>
    <row r="764" spans="1:26" x14ac:dyDescent="0.25">
      <c r="A764" s="31" t="s">
        <v>650</v>
      </c>
      <c r="B764" s="31" t="s">
        <v>1253</v>
      </c>
      <c r="J764" s="31">
        <v>1</v>
      </c>
      <c r="M764" s="31">
        <v>0</v>
      </c>
      <c r="O764" s="42">
        <f>C764*Prislapp!$C$2+D764*Prislapp!$D$2+E764*Prislapp!$E$2+F764*Prislapp!$F$2+G764*Prislapp!$G$2+H764*Prislapp!$H$2+I764*Prislapp!$I$2+J764*Prislapp!$J$2+K764*Prislapp!$K$2+L764*Prislapp!$L$2+M764*Prislapp!$M$2+N764*Prislapp!$N$2</f>
        <v>19473</v>
      </c>
      <c r="P764" s="42">
        <f>C764*Prislapp!$C$3+D764*Prislapp!$D$3+E764*Prislapp!$E$3+F764*Prislapp!$F$3+G764*Prislapp!$G$3+H764*Prislapp!$H$3+I764*Prislapp!$I$3+J764*Prislapp!$J$3+K764*Prislapp!$K$3+M764*Prislapp!$M$3+N764*Prislapp!$N$3</f>
        <v>34806</v>
      </c>
      <c r="Q764" s="42">
        <f>C764*Prislapp!$C$5+D764*Prislapp!$D$5+E764*Prislapp!$E$5+F764*Prislapp!$F$5+G764*Prislapp!$G$5+H764*Prislapp!$H$5+I764*Prislapp!$I$5+J764*Prislapp!$J$5+K764*Prislapp!$K$5+L764*Prislapp!$L$5+M764*Prislapp!$M$5+N764*Prislapp!$N$5</f>
        <v>21800</v>
      </c>
      <c r="R764" s="9">
        <f>VLOOKUP(A764,'Ansvar kurs'!$A$2:$B$830,2,FALSE)</f>
        <v>1650</v>
      </c>
      <c r="S764" s="186" t="s">
        <v>1525</v>
      </c>
      <c r="T764" s="186"/>
    </row>
    <row r="765" spans="1:26" x14ac:dyDescent="0.25">
      <c r="A765" s="31" t="s">
        <v>651</v>
      </c>
      <c r="B765" s="31" t="s">
        <v>761</v>
      </c>
      <c r="M765" s="31">
        <v>1</v>
      </c>
      <c r="O765" s="42">
        <f>C765*Prislapp!$C$2+D765*Prislapp!$D$2+E765*Prislapp!$E$2+F765*Prislapp!$F$2+G765*Prislapp!$G$2+H765*Prislapp!$H$2+I765*Prislapp!$I$2+J765*Prislapp!$J$2+K765*Prislapp!$K$2+L765*Prislapp!$L$2+M765*Prislapp!$M$2+N765*Prislapp!$N$2</f>
        <v>15846</v>
      </c>
      <c r="P765" s="42">
        <f>C765*Prislapp!$C$3+D765*Prislapp!$D$3+E765*Prislapp!$E$3+F765*Prislapp!$F$3+G765*Prislapp!$G$3+H765*Prislapp!$H$3+I765*Prislapp!$I$3+J765*Prislapp!$J$3+K765*Prislapp!$K$3+M765*Prislapp!$M$3+N765*Prislapp!$N$3</f>
        <v>26926</v>
      </c>
      <c r="Q765" s="42">
        <f>C765*Prislapp!$C$5+D765*Prislapp!$D$5+E765*Prislapp!$E$5+F765*Prislapp!$F$5+G765*Prislapp!$G$5+H765*Prislapp!$H$5+I765*Prislapp!$I$5+J765*Prislapp!$J$5+K765*Prislapp!$K$5+L765*Prislapp!$L$5+M765*Prislapp!$M$5+N765*Prislapp!$N$5</f>
        <v>17300</v>
      </c>
      <c r="R765" s="9">
        <f>VLOOKUP(A765,'Ansvar kurs'!$A$2:$B$830,2,FALSE)</f>
        <v>1650</v>
      </c>
    </row>
    <row r="766" spans="1:26" x14ac:dyDescent="0.25">
      <c r="A766" s="62" t="s">
        <v>842</v>
      </c>
      <c r="B766" s="31" t="s">
        <v>843</v>
      </c>
      <c r="J766" s="31">
        <v>1</v>
      </c>
      <c r="M766" s="31">
        <v>0</v>
      </c>
      <c r="O766" s="42">
        <f>C766*Prislapp!$C$2+D766*Prislapp!$D$2+E766*Prislapp!$E$2+F766*Prislapp!$F$2+G766*Prislapp!$G$2+H766*Prislapp!$H$2+I766*Prislapp!$I$2+J766*Prislapp!$J$2+K766*Prislapp!$K$2+L766*Prislapp!$L$2+M766*Prislapp!$M$2+N766*Prislapp!$N$2</f>
        <v>19473</v>
      </c>
      <c r="P766" s="42">
        <f>C766*Prislapp!$C$3+D766*Prislapp!$D$3+E766*Prislapp!$E$3+F766*Prislapp!$F$3+G766*Prislapp!$G$3+H766*Prislapp!$H$3+I766*Prislapp!$I$3+J766*Prislapp!$J$3+K766*Prislapp!$K$3+M766*Prislapp!$M$3+N766*Prislapp!$N$3</f>
        <v>34806</v>
      </c>
      <c r="Q766" s="42">
        <f>C766*Prislapp!$C$5+D766*Prislapp!$D$5+E766*Prislapp!$E$5+F766*Prislapp!$F$5+G766*Prislapp!$G$5+H766*Prislapp!$H$5+I766*Prislapp!$I$5+J766*Prislapp!$J$5+K766*Prislapp!$K$5+L766*Prislapp!$L$5+M766*Prislapp!$M$5+N766*Prislapp!$N$5</f>
        <v>21800</v>
      </c>
      <c r="R766" s="9">
        <f>VLOOKUP(A766,'Ansvar kurs'!$A$2:$B$830,2,FALSE)</f>
        <v>1650</v>
      </c>
      <c r="S766" s="186" t="s">
        <v>1525</v>
      </c>
      <c r="T766" s="186"/>
    </row>
    <row r="767" spans="1:26" x14ac:dyDescent="0.25">
      <c r="A767" s="277" t="s">
        <v>1134</v>
      </c>
      <c r="B767" s="31" t="s">
        <v>1254</v>
      </c>
      <c r="D767" s="31">
        <v>0</v>
      </c>
      <c r="J767" s="31">
        <v>1</v>
      </c>
      <c r="O767" s="42">
        <f>C767*Prislapp!$C$2+D767*Prislapp!$D$2+E767*Prislapp!$E$2+F767*Prislapp!$F$2+G767*Prislapp!$G$2+H767*Prislapp!$H$2+I767*Prislapp!$I$2+J767*Prislapp!$J$2+K767*Prislapp!$K$2+L767*Prislapp!$L$2+M767*Prislapp!$M$2+N767*Prislapp!$N$2</f>
        <v>19473</v>
      </c>
      <c r="P767" s="42">
        <f>C767*Prislapp!$C$3+D767*Prislapp!$D$3+E767*Prislapp!$E$3+F767*Prislapp!$F$3+G767*Prislapp!$G$3+H767*Prislapp!$H$3+I767*Prislapp!$I$3+J767*Prislapp!$J$3+K767*Prislapp!$K$3+M767*Prislapp!$M$3+N767*Prislapp!$N$3</f>
        <v>34806</v>
      </c>
      <c r="Q767" s="42">
        <f>C767*Prislapp!$C$5+D767*Prislapp!$D$5+E767*Prislapp!$E$5+F767*Prislapp!$F$5+G767*Prislapp!$G$5+H767*Prislapp!$H$5+I767*Prislapp!$I$5+J767*Prislapp!$J$5+K767*Prislapp!$K$5+L767*Prislapp!$L$5+M767*Prislapp!$M$5+N767*Prislapp!$N$5</f>
        <v>21800</v>
      </c>
      <c r="R767" s="9">
        <f>VLOOKUP(A767,'Ansvar kurs'!$A$2:$B$830,2,FALSE)</f>
        <v>1650</v>
      </c>
      <c r="S767" s="159" t="s">
        <v>1722</v>
      </c>
      <c r="U767" s="159"/>
      <c r="V767" s="159"/>
      <c r="W767" s="159"/>
      <c r="X767" s="159"/>
      <c r="Y767" s="159"/>
      <c r="Z767" s="159"/>
    </row>
    <row r="768" spans="1:26" x14ac:dyDescent="0.25">
      <c r="A768" s="277" t="s">
        <v>2213</v>
      </c>
      <c r="B768" t="s">
        <v>2214</v>
      </c>
      <c r="J768" s="31">
        <v>1</v>
      </c>
      <c r="O768" s="42">
        <f>C768*Prislapp!$C$2+D768*Prislapp!$D$2+E768*Prislapp!$E$2+F768*Prislapp!$F$2+G768*Prislapp!$G$2+H768*Prislapp!$H$2+I768*Prislapp!$I$2+J768*Prislapp!$J$2+K768*Prislapp!$K$2+L768*Prislapp!$L$2+M768*Prislapp!$M$2+N768*Prislapp!$N$2</f>
        <v>19473</v>
      </c>
      <c r="P768" s="42">
        <f>C768*Prislapp!$C$3+D768*Prislapp!$D$3+E768*Prislapp!$E$3+F768*Prislapp!$F$3+G768*Prislapp!$G$3+H768*Prislapp!$H$3+I768*Prislapp!$I$3+J768*Prislapp!$J$3+K768*Prislapp!$K$3+M768*Prislapp!$M$3+N768*Prislapp!$N$3</f>
        <v>34806</v>
      </c>
      <c r="Q768" s="42">
        <f>C768*Prislapp!$C$5+D768*Prislapp!$D$5+E768*Prislapp!$E$5+F768*Prislapp!$F$5+G768*Prislapp!$G$5+H768*Prislapp!$H$5+I768*Prislapp!$I$5+J768*Prislapp!$J$5+K768*Prislapp!$K$5+L768*Prislapp!$L$5+M768*Prislapp!$M$5+N768*Prislapp!$N$5</f>
        <v>21800</v>
      </c>
      <c r="R768" s="9">
        <f>VLOOKUP(A768,'Ansvar kurs'!$A$2:$B$830,2,FALSE)</f>
        <v>1650</v>
      </c>
      <c r="S768" s="159"/>
      <c r="U768" s="159"/>
      <c r="V768" s="159"/>
      <c r="W768" s="159"/>
      <c r="X768" s="159"/>
      <c r="Y768" s="159"/>
      <c r="Z768" s="159"/>
    </row>
    <row r="769" spans="1:26" x14ac:dyDescent="0.25">
      <c r="A769" s="266" t="s">
        <v>1770</v>
      </c>
      <c r="B769" t="s">
        <v>1644</v>
      </c>
      <c r="D769" s="31">
        <v>0</v>
      </c>
      <c r="J769" s="31">
        <v>1</v>
      </c>
      <c r="O769" s="42">
        <f>C769*Prislapp!$C$2+D769*Prislapp!$D$2+E769*Prislapp!$E$2+F769*Prislapp!$F$2+G769*Prislapp!$G$2+H769*Prislapp!$H$2+I769*Prislapp!$I$2+J769*Prislapp!$J$2+K769*Prislapp!$K$2+L769*Prislapp!$L$2+M769*Prislapp!$M$2+N769*Prislapp!$N$2</f>
        <v>19473</v>
      </c>
      <c r="P769" s="42">
        <f>C769*Prislapp!$C$3+D769*Prislapp!$D$3+E769*Prislapp!$E$3+F769*Prislapp!$F$3+G769*Prislapp!$G$3+H769*Prislapp!$H$3+I769*Prislapp!$I$3+J769*Prislapp!$J$3+K769*Prislapp!$K$3+M769*Prislapp!$M$3+N769*Prislapp!$N$3</f>
        <v>34806</v>
      </c>
      <c r="Q769" s="42">
        <f>C769*Prislapp!$C$5+D769*Prislapp!$D$5+E769*Prislapp!$E$5+F769*Prislapp!$F$5+G769*Prislapp!$G$5+H769*Prislapp!$H$5+I769*Prislapp!$I$5+J769*Prislapp!$J$5+K769*Prislapp!$K$5+L769*Prislapp!$L$5+M769*Prislapp!$M$5+N769*Prislapp!$N$5</f>
        <v>21800</v>
      </c>
      <c r="R769" s="9">
        <f>VLOOKUP(A769,'Ansvar kurs'!$A$2:$B$830,2,FALSE)</f>
        <v>1650</v>
      </c>
      <c r="S769" s="159" t="s">
        <v>1904</v>
      </c>
      <c r="T769" s="159"/>
      <c r="U769" s="159"/>
      <c r="V769" s="159"/>
      <c r="W769" s="159"/>
      <c r="X769" s="159"/>
      <c r="Y769" s="159"/>
      <c r="Z769" s="159"/>
    </row>
    <row r="770" spans="1:26" x14ac:dyDescent="0.25">
      <c r="A770" s="31" t="s">
        <v>1742</v>
      </c>
      <c r="B770" t="s">
        <v>758</v>
      </c>
      <c r="D770" s="31">
        <v>0</v>
      </c>
      <c r="J770" s="31">
        <v>1</v>
      </c>
      <c r="O770" s="42">
        <f>C770*Prislapp!$C$2+D770*Prislapp!$D$2+E770*Prislapp!$E$2+F770*Prislapp!$F$2+G770*Prislapp!$G$2+H770*Prislapp!$H$2+I770*Prislapp!$I$2+J770*Prislapp!$J$2+K770*Prislapp!$K$2+L770*Prislapp!$L$2+M770*Prislapp!$M$2+N770*Prislapp!$N$2</f>
        <v>19473</v>
      </c>
      <c r="P770" s="42">
        <f>C770*Prislapp!$C$3+D770*Prislapp!$D$3+E770*Prislapp!$E$3+F770*Prislapp!$F$3+G770*Prislapp!$G$3+H770*Prislapp!$H$3+I770*Prislapp!$I$3+J770*Prislapp!$J$3+K770*Prislapp!$K$3+M770*Prislapp!$M$3+N770*Prislapp!$N$3</f>
        <v>34806</v>
      </c>
      <c r="Q770" s="42">
        <f>C770*Prislapp!$C$5+D770*Prislapp!$D$5+E770*Prislapp!$E$5+F770*Prislapp!$F$5+G770*Prislapp!$G$5+H770*Prislapp!$H$5+I770*Prislapp!$I$5+J770*Prislapp!$J$5+K770*Prislapp!$K$5+L770*Prislapp!$L$5+M770*Prislapp!$M$5+N770*Prislapp!$N$5</f>
        <v>21800</v>
      </c>
      <c r="R770" s="9">
        <f>VLOOKUP(A770,'Ansvar kurs'!$A$2:$B$830,2,FALSE)</f>
        <v>1650</v>
      </c>
      <c r="S770" s="186" t="s">
        <v>1904</v>
      </c>
      <c r="T770" s="159"/>
      <c r="U770" s="159"/>
      <c r="V770" s="159"/>
      <c r="W770" s="159"/>
      <c r="X770" s="159"/>
      <c r="Y770" s="159"/>
      <c r="Z770" s="159"/>
    </row>
    <row r="771" spans="1:26" x14ac:dyDescent="0.25">
      <c r="A771" s="31" t="s">
        <v>1741</v>
      </c>
      <c r="B771" t="s">
        <v>755</v>
      </c>
      <c r="D771" s="31">
        <v>0</v>
      </c>
      <c r="J771" s="31">
        <v>1</v>
      </c>
      <c r="O771" s="42">
        <f>C771*Prislapp!$C$2+D771*Prislapp!$D$2+E771*Prislapp!$E$2+F771*Prislapp!$F$2+G771*Prislapp!$G$2+H771*Prislapp!$H$2+I771*Prislapp!$I$2+J771*Prislapp!$J$2+K771*Prislapp!$K$2+L771*Prislapp!$L$2+M771*Prislapp!$M$2+N771*Prislapp!$N$2</f>
        <v>19473</v>
      </c>
      <c r="P771" s="42">
        <f>C771*Prislapp!$C$3+D771*Prislapp!$D$3+E771*Prislapp!$E$3+F771*Prislapp!$F$3+G771*Prislapp!$G$3+H771*Prislapp!$H$3+I771*Prislapp!$I$3+J771*Prislapp!$J$3+K771*Prislapp!$K$3+M771*Prislapp!$M$3+N771*Prislapp!$N$3</f>
        <v>34806</v>
      </c>
      <c r="Q771" s="42">
        <f>C771*Prislapp!$C$5+D771*Prislapp!$D$5+E771*Prislapp!$E$5+F771*Prislapp!$F$5+G771*Prislapp!$G$5+H771*Prislapp!$H$5+I771*Prislapp!$I$5+J771*Prislapp!$J$5+K771*Prislapp!$K$5+L771*Prislapp!$L$5+M771*Prislapp!$M$5+N771*Prislapp!$N$5</f>
        <v>21800</v>
      </c>
      <c r="R771" s="9">
        <f>VLOOKUP(A771,'Ansvar kurs'!$A$2:$B$830,2,FALSE)</f>
        <v>1650</v>
      </c>
      <c r="S771" s="186" t="s">
        <v>1904</v>
      </c>
      <c r="T771" s="159"/>
      <c r="U771" s="159"/>
      <c r="V771" s="159"/>
      <c r="W771" s="159"/>
      <c r="X771" s="159"/>
      <c r="Y771" s="159"/>
      <c r="Z771" s="159"/>
    </row>
    <row r="772" spans="1:26" x14ac:dyDescent="0.25">
      <c r="A772" s="266" t="s">
        <v>1772</v>
      </c>
      <c r="B772" t="s">
        <v>1769</v>
      </c>
      <c r="D772" s="31">
        <v>0</v>
      </c>
      <c r="J772" s="31">
        <v>1</v>
      </c>
      <c r="O772" s="42">
        <f>C772*Prislapp!$C$2+D772*Prislapp!$D$2+E772*Prislapp!$E$2+F772*Prislapp!$F$2+G772*Prislapp!$G$2+H772*Prislapp!$H$2+I772*Prislapp!$I$2+J772*Prislapp!$J$2+K772*Prislapp!$K$2+L772*Prislapp!$L$2+M772*Prislapp!$M$2+N772*Prislapp!$N$2</f>
        <v>19473</v>
      </c>
      <c r="P772" s="42">
        <f>C772*Prislapp!$C$3+D772*Prislapp!$D$3+E772*Prislapp!$E$3+F772*Prislapp!$F$3+G772*Prislapp!$G$3+H772*Prislapp!$H$3+I772*Prislapp!$I$3+J772*Prislapp!$J$3+K772*Prislapp!$K$3+M772*Prislapp!$M$3+N772*Prislapp!$N$3</f>
        <v>34806</v>
      </c>
      <c r="Q772" s="42">
        <f>C772*Prislapp!$C$5+D772*Prislapp!$D$5+E772*Prislapp!$E$5+F772*Prislapp!$F$5+G772*Prislapp!$G$5+H772*Prislapp!$H$5+I772*Prislapp!$I$5+J772*Prislapp!$J$5+K772*Prislapp!$K$5+L772*Prislapp!$L$5+M772*Prislapp!$M$5+N772*Prislapp!$N$5</f>
        <v>21800</v>
      </c>
      <c r="R772" s="9">
        <f>VLOOKUP(A772,'Ansvar kurs'!$A$2:$B$830,2,FALSE)</f>
        <v>1650</v>
      </c>
      <c r="S772" s="186" t="s">
        <v>1904</v>
      </c>
      <c r="T772" s="159"/>
      <c r="U772" s="159"/>
      <c r="V772" s="159"/>
      <c r="W772" s="159"/>
      <c r="X772" s="159"/>
      <c r="Y772" s="159"/>
      <c r="Z772" s="159"/>
    </row>
    <row r="773" spans="1:26" x14ac:dyDescent="0.25">
      <c r="A773" s="266" t="s">
        <v>2215</v>
      </c>
      <c r="B773" t="s">
        <v>2216</v>
      </c>
      <c r="D773" s="31">
        <v>1</v>
      </c>
      <c r="O773" s="42">
        <f>C773*Prislapp!$C$2+D773*Prislapp!$D$2+E773*Prislapp!$E$2+F773*Prislapp!$F$2+G773*Prislapp!$G$2+H773*Prislapp!$H$2+I773*Prislapp!$I$2+J773*Prislapp!$J$2+K773*Prislapp!$K$2+L773*Prislapp!$L$2+M773*Prislapp!$M$2+N773*Prislapp!$N$2</f>
        <v>18405</v>
      </c>
      <c r="P773" s="42">
        <f>C773*Prislapp!$C$3+D773*Prislapp!$D$3+E773*Prislapp!$E$3+F773*Prislapp!$F$3+G773*Prislapp!$G$3+H773*Prislapp!$H$3+I773*Prislapp!$I$3+J773*Prislapp!$J$3+K773*Prislapp!$K$3+M773*Prislapp!$M$3+N773*Prislapp!$N$3</f>
        <v>15773</v>
      </c>
      <c r="Q773" s="42">
        <f>C773*Prislapp!$C$5+D773*Prislapp!$D$5+E773*Prislapp!$E$5+F773*Prislapp!$F$5+G773*Prislapp!$G$5+H773*Prislapp!$H$5+I773*Prislapp!$I$5+J773*Prislapp!$J$5+K773*Prislapp!$K$5+L773*Prislapp!$L$5+M773*Prislapp!$M$5+N773*Prislapp!$N$5</f>
        <v>5800</v>
      </c>
      <c r="R773" s="9">
        <f>VLOOKUP(A773,'Ansvar kurs'!$A$2:$B$830,2,FALSE)</f>
        <v>1650</v>
      </c>
      <c r="S773" s="186"/>
      <c r="T773" s="159"/>
      <c r="U773" s="159"/>
      <c r="V773" s="159"/>
      <c r="W773" s="159"/>
      <c r="X773" s="159"/>
      <c r="Y773" s="159"/>
      <c r="Z773" s="159"/>
    </row>
    <row r="774" spans="1:26" x14ac:dyDescent="0.25">
      <c r="A774" s="266" t="s">
        <v>1869</v>
      </c>
      <c r="B774" s="31" t="s">
        <v>1793</v>
      </c>
      <c r="J774" s="31">
        <v>1</v>
      </c>
      <c r="O774" s="42">
        <f>C774*Prislapp!$C$2+D774*Prislapp!$D$2+E774*Prislapp!$E$2+F774*Prislapp!$F$2+G774*Prislapp!$G$2+H774*Prislapp!$H$2+I774*Prislapp!$I$2+J774*Prislapp!$J$2+K774*Prislapp!$K$2+L774*Prislapp!$L$2+M774*Prislapp!$M$2+N774*Prislapp!$N$2</f>
        <v>19473</v>
      </c>
      <c r="P774" s="42">
        <f>C774*Prislapp!$C$3+D774*Prislapp!$D$3+E774*Prislapp!$E$3+F774*Prislapp!$F$3+G774*Prislapp!$G$3+H774*Prislapp!$H$3+I774*Prislapp!$I$3+J774*Prislapp!$J$3+K774*Prislapp!$K$3+M774*Prislapp!$M$3+N774*Prislapp!$N$3</f>
        <v>34806</v>
      </c>
      <c r="Q774" s="42">
        <f>C774*Prislapp!$C$5+D774*Prislapp!$D$5+E774*Prislapp!$E$5+F774*Prislapp!$F$5+G774*Prislapp!$G$5+H774*Prislapp!$H$5+I774*Prislapp!$I$5+J774*Prislapp!$J$5+K774*Prislapp!$K$5+L774*Prislapp!$L$5+M774*Prislapp!$M$5+N774*Prislapp!$N$5</f>
        <v>21800</v>
      </c>
      <c r="R774" s="9">
        <f>VLOOKUP(A774,'Ansvar kurs'!$A$2:$B$830,2,FALSE)</f>
        <v>1650</v>
      </c>
      <c r="S774" s="159" t="s">
        <v>1968</v>
      </c>
      <c r="T774" s="159"/>
      <c r="U774" s="159"/>
      <c r="V774" s="159"/>
      <c r="W774" s="159"/>
      <c r="X774" s="159"/>
      <c r="Y774" s="159"/>
      <c r="Z774" s="159"/>
    </row>
    <row r="775" spans="1:26" x14ac:dyDescent="0.25">
      <c r="A775" s="159" t="s">
        <v>1880</v>
      </c>
      <c r="B775" s="31" t="s">
        <v>1840</v>
      </c>
      <c r="J775" s="31">
        <v>1</v>
      </c>
      <c r="O775" s="42">
        <f>C775*Prislapp!$C$2+D775*Prislapp!$D$2+E775*Prislapp!$E$2+F775*Prislapp!$F$2+G775*Prislapp!$G$2+H775*Prislapp!$H$2+I775*Prislapp!$I$2+J775*Prislapp!$J$2+K775*Prislapp!$K$2+L775*Prislapp!$L$2+M775*Prislapp!$M$2+N775*Prislapp!$N$2</f>
        <v>19473</v>
      </c>
      <c r="P775" s="42">
        <f>C775*Prislapp!$C$3+D775*Prislapp!$D$3+E775*Prislapp!$E$3+F775*Prislapp!$F$3+G775*Prislapp!$G$3+H775*Prislapp!$H$3+I775*Prislapp!$I$3+J775*Prislapp!$J$3+K775*Prislapp!$K$3+M775*Prislapp!$M$3+N775*Prislapp!$N$3</f>
        <v>34806</v>
      </c>
      <c r="Q775" s="42">
        <f>C775*Prislapp!$C$5+D775*Prislapp!$D$5+E775*Prislapp!$E$5+F775*Prislapp!$F$5+G775*Prislapp!$G$5+H775*Prislapp!$H$5+I775*Prislapp!$I$5+J775*Prislapp!$J$5+K775*Prislapp!$K$5+L775*Prislapp!$L$5+M775*Prislapp!$M$5+N775*Prislapp!$N$5</f>
        <v>21800</v>
      </c>
      <c r="R775" s="9">
        <f>VLOOKUP(A775,'Ansvar kurs'!$A$2:$B$830,2,FALSE)</f>
        <v>1650</v>
      </c>
      <c r="S775" s="159" t="s">
        <v>1968</v>
      </c>
      <c r="T775" s="159"/>
      <c r="U775" s="159"/>
      <c r="V775" s="159"/>
      <c r="W775" s="159"/>
      <c r="X775" s="159"/>
      <c r="Y775" s="159"/>
      <c r="Z775" s="159"/>
    </row>
    <row r="776" spans="1:26" x14ac:dyDescent="0.25">
      <c r="A776" s="462" t="s">
        <v>2188</v>
      </c>
      <c r="B776" s="31" t="s">
        <v>2189</v>
      </c>
      <c r="J776" s="31">
        <v>1</v>
      </c>
      <c r="O776" s="42">
        <f>C776*Prislapp!$C$2+D776*Prislapp!$D$2+E776*Prislapp!$E$2+F776*Prislapp!$F$2+G776*Prislapp!$G$2+H776*Prislapp!$H$2+I776*Prislapp!$I$2+J776*Prislapp!$J$2+K776*Prislapp!$K$2+L776*Prislapp!$L$2+M776*Prislapp!$M$2+N776*Prislapp!$N$2</f>
        <v>19473</v>
      </c>
      <c r="P776" s="42">
        <f>C776*Prislapp!$C$3+D776*Prislapp!$D$3+E776*Prislapp!$E$3+F776*Prislapp!$F$3+G776*Prislapp!$G$3+H776*Prislapp!$H$3+I776*Prislapp!$I$3+J776*Prislapp!$J$3+K776*Prislapp!$K$3+M776*Prislapp!$M$3+N776*Prislapp!$N$3</f>
        <v>34806</v>
      </c>
      <c r="Q776" s="42">
        <f>C776*Prislapp!$C$5+D776*Prislapp!$D$5+E776*Prislapp!$E$5+F776*Prislapp!$F$5+G776*Prislapp!$G$5+H776*Prislapp!$H$5+I776*Prislapp!$I$5+J776*Prislapp!$J$5+K776*Prislapp!$K$5+L776*Prislapp!$L$5+M776*Prislapp!$M$5+N776*Prislapp!$N$5</f>
        <v>21800</v>
      </c>
      <c r="R776" s="9">
        <f>VLOOKUP(A776,'Ansvar kurs'!$A$2:$B$830,2,FALSE)</f>
        <v>1650</v>
      </c>
      <c r="S776" s="159"/>
    </row>
    <row r="777" spans="1:26" x14ac:dyDescent="0.25">
      <c r="A777" s="62" t="s">
        <v>892</v>
      </c>
      <c r="B777" s="31" t="s">
        <v>1255</v>
      </c>
      <c r="D777" s="31">
        <v>1</v>
      </c>
      <c r="O777" s="42">
        <f>C777*Prislapp!$C$2+D777*Prislapp!$D$2+E777*Prislapp!$E$2+F777*Prislapp!$F$2+G777*Prislapp!$G$2+H777*Prislapp!$H$2+I777*Prislapp!$I$2+J777*Prislapp!$J$2+K777*Prislapp!$K$2+L777*Prislapp!$L$2+M777*Prislapp!$M$2+N777*Prislapp!$N$2</f>
        <v>18405</v>
      </c>
      <c r="P777" s="42">
        <f>C777*Prislapp!$C$3+D777*Prislapp!$D$3+E777*Prislapp!$E$3+F777*Prislapp!$F$3+G777*Prislapp!$G$3+H777*Prislapp!$H$3+I777*Prislapp!$I$3+J777*Prislapp!$J$3+K777*Prislapp!$K$3+M777*Prislapp!$M$3+N777*Prislapp!$N$3</f>
        <v>15773</v>
      </c>
      <c r="Q777" s="42">
        <f>C777*Prislapp!$C$5+D777*Prislapp!$D$5+E777*Prislapp!$E$5+F777*Prislapp!$F$5+G777*Prislapp!$G$5+H777*Prislapp!$H$5+I777*Prislapp!$I$5+J777*Prislapp!$J$5+K777*Prislapp!$K$5+L777*Prislapp!$L$5+M777*Prislapp!$M$5+N777*Prislapp!$N$5</f>
        <v>5800</v>
      </c>
      <c r="R777" s="9">
        <f>VLOOKUP(A777,'Ansvar kurs'!$A$2:$B$830,2,FALSE)</f>
        <v>1620</v>
      </c>
    </row>
    <row r="778" spans="1:26" x14ac:dyDescent="0.25">
      <c r="A778" s="59" t="s">
        <v>893</v>
      </c>
      <c r="B778" s="31" t="s">
        <v>1256</v>
      </c>
      <c r="D778" s="31">
        <v>1</v>
      </c>
      <c r="O778" s="42">
        <f>C778*Prislapp!$C$2+D778*Prislapp!$D$2+E778*Prislapp!$E$2+F778*Prislapp!$F$2+G778*Prislapp!$G$2+H778*Prislapp!$H$2+I778*Prislapp!$I$2+J778*Prislapp!$J$2+K778*Prislapp!$K$2+L778*Prislapp!$L$2+M778*Prislapp!$M$2+N778*Prislapp!$N$2</f>
        <v>18405</v>
      </c>
      <c r="P778" s="42">
        <f>C778*Prislapp!$C$3+D778*Prislapp!$D$3+E778*Prislapp!$E$3+F778*Prislapp!$F$3+G778*Prislapp!$G$3+H778*Prislapp!$H$3+I778*Prislapp!$I$3+J778*Prislapp!$J$3+K778*Prislapp!$K$3+M778*Prislapp!$M$3+N778*Prislapp!$N$3</f>
        <v>15773</v>
      </c>
      <c r="Q778" s="42">
        <f>C778*Prislapp!$C$5+D778*Prislapp!$D$5+E778*Prislapp!$E$5+F778*Prislapp!$F$5+G778*Prislapp!$G$5+H778*Prislapp!$H$5+I778*Prislapp!$I$5+J778*Prislapp!$J$5+K778*Prislapp!$K$5+L778*Prislapp!$L$5+M778*Prislapp!$M$5+N778*Prislapp!$N$5</f>
        <v>5800</v>
      </c>
      <c r="R778" s="9">
        <f>VLOOKUP(A778,'Ansvar kurs'!$A$2:$B$830,2,FALSE)</f>
        <v>1620</v>
      </c>
    </row>
    <row r="779" spans="1:26" x14ac:dyDescent="0.25">
      <c r="A779" s="62" t="s">
        <v>1056</v>
      </c>
      <c r="B779" s="31" t="s">
        <v>1076</v>
      </c>
      <c r="D779" s="31">
        <v>1</v>
      </c>
      <c r="O779" s="42">
        <f>C779*Prislapp!$C$2+D779*Prislapp!$D$2+E779*Prislapp!$E$2+F779*Prislapp!$F$2+G779*Prislapp!$G$2+H779*Prislapp!$H$2+I779*Prislapp!$I$2+J779*Prislapp!$J$2+K779*Prislapp!$K$2+L779*Prislapp!$L$2+M779*Prislapp!$M$2+N779*Prislapp!$N$2</f>
        <v>18405</v>
      </c>
      <c r="P779" s="42">
        <f>C779*Prislapp!$C$3+D779*Prislapp!$D$3+E779*Prislapp!$E$3+F779*Prislapp!$F$3+G779*Prislapp!$G$3+H779*Prislapp!$H$3+I779*Prislapp!$I$3+J779*Prislapp!$J$3+K779*Prislapp!$K$3+M779*Prislapp!$M$3+N779*Prislapp!$N$3</f>
        <v>15773</v>
      </c>
      <c r="Q779" s="42">
        <f>C779*Prislapp!$C$5+D779*Prislapp!$D$5+E779*Prislapp!$E$5+F779*Prislapp!$F$5+G779*Prislapp!$G$5+H779*Prislapp!$H$5+I779*Prislapp!$I$5+J779*Prislapp!$J$5+K779*Prislapp!$K$5+L779*Prislapp!$L$5+M779*Prislapp!$M$5+N779*Prislapp!$N$5</f>
        <v>5800</v>
      </c>
      <c r="R779" s="9">
        <f>VLOOKUP(A779,'Ansvar kurs'!$A$2:$B$830,2,FALSE)</f>
        <v>1620</v>
      </c>
    </row>
    <row r="780" spans="1:26" x14ac:dyDescent="0.25">
      <c r="A780" s="266" t="s">
        <v>1709</v>
      </c>
      <c r="B780" t="s">
        <v>1662</v>
      </c>
      <c r="D780" s="31">
        <v>1</v>
      </c>
      <c r="O780" s="42">
        <f>C780*Prislapp!$C$2+D780*Prislapp!$D$2+E780*Prislapp!$E$2+F780*Prislapp!$F$2+G780*Prislapp!$G$2+H780*Prislapp!$H$2+I780*Prislapp!$I$2+J780*Prislapp!$J$2+K780*Prislapp!$K$2+L780*Prislapp!$L$2+M780*Prislapp!$M$2+N780*Prislapp!$N$2</f>
        <v>18405</v>
      </c>
      <c r="P780" s="42">
        <f>C780*Prislapp!$C$3+D780*Prislapp!$D$3+E780*Prislapp!$E$3+F780*Prislapp!$F$3+G780*Prislapp!$G$3+H780*Prislapp!$H$3+I780*Prislapp!$I$3+J780*Prislapp!$J$3+K780*Prislapp!$K$3+M780*Prislapp!$M$3+N780*Prislapp!$N$3</f>
        <v>15773</v>
      </c>
      <c r="Q780" s="42">
        <f>C780*Prislapp!$C$5+D780*Prislapp!$D$5+E780*Prislapp!$E$5+F780*Prislapp!$F$5+G780*Prislapp!$G$5+H780*Prislapp!$H$5+I780*Prislapp!$I$5+J780*Prislapp!$J$5+K780*Prislapp!$K$5+L780*Prislapp!$L$5+M780*Prislapp!$M$5+N780*Prislapp!$N$5</f>
        <v>5800</v>
      </c>
      <c r="R780" s="9">
        <f>VLOOKUP(A780,'Ansvar kurs'!$A$2:$B$830,2,FALSE)</f>
        <v>1620</v>
      </c>
      <c r="S780" s="159"/>
      <c r="T780" s="159"/>
      <c r="U780" s="233"/>
      <c r="V780" s="233"/>
      <c r="W780" s="233"/>
      <c r="X780" s="233"/>
      <c r="Y780" s="233"/>
      <c r="Z780" s="208"/>
    </row>
    <row r="781" spans="1:26" x14ac:dyDescent="0.25">
      <c r="A781" s="266" t="s">
        <v>1901</v>
      </c>
      <c r="B781" s="31" t="s">
        <v>1896</v>
      </c>
      <c r="K781" s="31">
        <v>1</v>
      </c>
      <c r="O781" s="42">
        <f>C781*Prislapp!$C$2+D781*Prislapp!$D$2+E781*Prislapp!$E$2+F781*Prislapp!$F$2+G781*Prislapp!$G$2+H781*Prislapp!$H$2+I781*Prislapp!$I$2+J781*Prislapp!$J$2+K781*Prislapp!$K$2+L781*Prislapp!$L$2+M781*Prislapp!$M$2+N781*Prislapp!$N$2</f>
        <v>21634</v>
      </c>
      <c r="P781" s="42">
        <f>C781*Prislapp!$C$3+D781*Prislapp!$D$3+E781*Prislapp!$E$3+F781*Prislapp!$F$3+G781*Prislapp!$G$3+H781*Prislapp!$H$3+I781*Prislapp!$I$3+J781*Prislapp!$J$3+K781*Prislapp!$K$3+M781*Prislapp!$M$3+N781*Prislapp!$N$3</f>
        <v>26986</v>
      </c>
      <c r="Q781" s="42">
        <f>C781*Prislapp!$C$5+D781*Prislapp!$D$5+E781*Prislapp!$E$5+F781*Prislapp!$F$5+G781*Prislapp!$G$5+H781*Prislapp!$H$5+I781*Prislapp!$I$5+J781*Prislapp!$J$5+K781*Prislapp!$K$5+L781*Prislapp!$L$5+M781*Prislapp!$M$5+N781*Prislapp!$N$5</f>
        <v>3400</v>
      </c>
      <c r="R781" s="9">
        <f>VLOOKUP(A781,'Ansvar kurs'!$A$2:$B$830,2,FALSE)</f>
        <v>1620</v>
      </c>
      <c r="T781" s="159"/>
      <c r="U781" s="233"/>
      <c r="V781" s="233"/>
      <c r="W781" s="233"/>
      <c r="X781" s="233"/>
      <c r="Y781" s="233"/>
      <c r="Z781" s="208"/>
    </row>
    <row r="782" spans="1:26" x14ac:dyDescent="0.25">
      <c r="A782" s="266" t="s">
        <v>2240</v>
      </c>
      <c r="B782" s="31" t="s">
        <v>2241</v>
      </c>
      <c r="D782" s="295">
        <v>1</v>
      </c>
      <c r="O782" s="42">
        <f>C782*Prislapp!$C$2+D782*Prislapp!$D$2+E782*Prislapp!$E$2+F782*Prislapp!$F$2+G782*Prislapp!$G$2+H782*Prislapp!$H$2+I782*Prislapp!$I$2+J782*Prislapp!$J$2+K782*Prislapp!$K$2+L782*Prislapp!$L$2+M782*Prislapp!$M$2+N782*Prislapp!$N$2</f>
        <v>18405</v>
      </c>
      <c r="P782" s="42">
        <f>C782*Prislapp!$C$3+D782*Prislapp!$D$3+E782*Prislapp!$E$3+F782*Prislapp!$F$3+G782*Prislapp!$G$3+H782*Prislapp!$H$3+I782*Prislapp!$I$3+J782*Prislapp!$J$3+K782*Prislapp!$K$3+M782*Prislapp!$M$3+N782*Prislapp!$N$3</f>
        <v>15773</v>
      </c>
      <c r="Q782" s="42">
        <f>C782*Prislapp!$C$5+D782*Prislapp!$D$5+E782*Prislapp!$E$5+F782*Prislapp!$F$5+G782*Prislapp!$G$5+H782*Prislapp!$H$5+I782*Prislapp!$I$5+J782*Prislapp!$J$5+K782*Prislapp!$K$5+L782*Prislapp!$L$5+M782*Prislapp!$M$5+N782*Prislapp!$N$5</f>
        <v>5800</v>
      </c>
      <c r="R782" s="9">
        <f>VLOOKUP(A782,'Ansvar kurs'!$A$2:$B$830,2,FALSE)</f>
        <v>1620</v>
      </c>
      <c r="S782" s="295" t="s">
        <v>2242</v>
      </c>
      <c r="T782" s="159"/>
      <c r="U782" s="233"/>
      <c r="V782" s="233"/>
      <c r="W782" s="233"/>
      <c r="X782" s="233"/>
      <c r="Y782" s="233"/>
      <c r="Z782" s="208"/>
    </row>
    <row r="783" spans="1:26" x14ac:dyDescent="0.25">
      <c r="A783" s="62" t="s">
        <v>1534</v>
      </c>
      <c r="B783" s="31" t="s">
        <v>1438</v>
      </c>
      <c r="H783" s="31">
        <v>1</v>
      </c>
      <c r="O783" s="42">
        <f>C783*Prislapp!$C$2+D783*Prislapp!$D$2+E783*Prislapp!$E$2+F783*Prislapp!$F$2+G783*Prislapp!$G$2+H783*Prislapp!$H$2+I783*Prislapp!$I$2+J783*Prislapp!$J$2+K783*Prislapp!$K$2+L783*Prislapp!$L$2+M783*Prislapp!$M$2+N783*Prislapp!$N$2</f>
        <v>19473</v>
      </c>
      <c r="P783" s="42">
        <f>C783*Prislapp!$C$3+D783*Prislapp!$D$3+E783*Prislapp!$E$3+F783*Prislapp!$F$3+G783*Prislapp!$G$3+H783*Prislapp!$H$3+I783*Prislapp!$I$3+J783*Prislapp!$J$3+K783*Prislapp!$K$3+M783*Prislapp!$M$3+N783*Prislapp!$N$3</f>
        <v>34806</v>
      </c>
      <c r="Q783" s="42">
        <f>C783*Prislapp!$C$5+D783*Prislapp!$D$5+E783*Prislapp!$E$5+F783*Prislapp!$F$5+G783*Prislapp!$G$5+H783*Prislapp!$H$5+I783*Prislapp!$I$5+J783*Prislapp!$J$5+K783*Prislapp!$K$5+L783*Prislapp!$L$5+M783*Prislapp!$M$5+N783*Prislapp!$N$5</f>
        <v>21800</v>
      </c>
      <c r="R783" s="9">
        <f>VLOOKUP(A783,'Ansvar kurs'!$A$2:$B$830,2,FALSE)</f>
        <v>5740</v>
      </c>
    </row>
    <row r="784" spans="1:26" x14ac:dyDescent="0.25">
      <c r="A784" s="62" t="s">
        <v>1546</v>
      </c>
      <c r="B784" s="31" t="s">
        <v>1430</v>
      </c>
      <c r="I784" s="31">
        <v>1</v>
      </c>
      <c r="O784" s="42">
        <f>C784*Prislapp!$C$2+D784*Prislapp!$D$2+E784*Prislapp!$E$2+F784*Prislapp!$F$2+G784*Prislapp!$G$2+H784*Prislapp!$H$2+I784*Prislapp!$I$2+J784*Prislapp!$J$2+K784*Prislapp!$K$2+L784*Prislapp!$L$2+M784*Prislapp!$M$2+N784*Prislapp!$N$2</f>
        <v>18405</v>
      </c>
      <c r="P784" s="42">
        <f>C784*Prislapp!$C$3+D784*Prislapp!$D$3+E784*Prislapp!$E$3+F784*Prislapp!$F$3+G784*Prislapp!$G$3+H784*Prislapp!$H$3+I784*Prislapp!$I$3+J784*Prislapp!$J$3+K784*Prislapp!$K$3+M784*Prislapp!$M$3+N784*Prislapp!$N$3</f>
        <v>15773</v>
      </c>
      <c r="Q784" s="42">
        <f>C784*Prislapp!$C$5+D784*Prislapp!$D$5+E784*Prislapp!$E$5+F784*Prislapp!$F$5+G784*Prislapp!$G$5+H784*Prislapp!$H$5+I784*Prislapp!$I$5+J784*Prislapp!$J$5+K784*Prislapp!$K$5+L784*Prislapp!$L$5+M784*Prislapp!$M$5+N784*Prislapp!$N$5</f>
        <v>5800</v>
      </c>
      <c r="R784" s="9">
        <f>VLOOKUP(A784,'Ansvar kurs'!$A$2:$B$830,2,FALSE)</f>
        <v>2193</v>
      </c>
    </row>
    <row r="785" spans="1:18" x14ac:dyDescent="0.25">
      <c r="A785" s="62" t="s">
        <v>1547</v>
      </c>
      <c r="B785" s="31" t="s">
        <v>1431</v>
      </c>
      <c r="K785" s="31">
        <v>1</v>
      </c>
      <c r="O785" s="42">
        <f>C785*Prislapp!$C$2+D785*Prislapp!$D$2+E785*Prislapp!$E$2+F785*Prislapp!$F$2+G785*Prislapp!$G$2+H785*Prislapp!$H$2+I785*Prislapp!$I$2+J785*Prislapp!$J$2+K785*Prislapp!$K$2+L785*Prislapp!$L$2+M785*Prislapp!$M$2+N785*Prislapp!$N$2</f>
        <v>21634</v>
      </c>
      <c r="P785" s="42">
        <f>C785*Prislapp!$C$3+D785*Prislapp!$D$3+E785*Prislapp!$E$3+F785*Prislapp!$F$3+G785*Prislapp!$G$3+H785*Prislapp!$H$3+I785*Prislapp!$I$3+J785*Prislapp!$J$3+K785*Prislapp!$K$3+M785*Prislapp!$M$3+N785*Prislapp!$N$3</f>
        <v>26986</v>
      </c>
      <c r="Q785" s="42">
        <f>C785*Prislapp!$C$5+D785*Prislapp!$D$5+E785*Prislapp!$E$5+F785*Prislapp!$F$5+G785*Prislapp!$G$5+H785*Prislapp!$H$5+I785*Prislapp!$I$5+J785*Prislapp!$J$5+K785*Prislapp!$K$5+L785*Prislapp!$L$5+M785*Prislapp!$M$5+N785*Prislapp!$N$5</f>
        <v>3400</v>
      </c>
      <c r="R785" s="9">
        <f>VLOOKUP(A785,'Ansvar kurs'!$A$2:$B$830,2,FALSE)</f>
        <v>2193</v>
      </c>
    </row>
    <row r="786" spans="1:18" x14ac:dyDescent="0.25">
      <c r="A786" s="62" t="s">
        <v>1549</v>
      </c>
      <c r="B786" s="31" t="s">
        <v>1433</v>
      </c>
      <c r="E786" s="31">
        <v>1</v>
      </c>
      <c r="O786" s="42">
        <f>C786*Prislapp!$C$2+D786*Prislapp!$D$2+E786*Prislapp!$E$2+F786*Prislapp!$F$2+G786*Prislapp!$G$2+H786*Prislapp!$H$2+I786*Prislapp!$I$2+J786*Prislapp!$J$2+K786*Prislapp!$K$2+L786*Prislapp!$L$2+M786*Prislapp!$M$2+N786*Prislapp!$N$2</f>
        <v>45034</v>
      </c>
      <c r="P786" s="42">
        <f>C786*Prislapp!$C$3+D786*Prislapp!$D$3+E786*Prislapp!$E$3+F786*Prislapp!$F$3+G786*Prislapp!$G$3+H786*Prislapp!$H$3+I786*Prislapp!$I$3+J786*Prislapp!$J$3+K786*Prislapp!$K$3+M786*Prislapp!$M$3+N786*Prislapp!$N$3</f>
        <v>31547</v>
      </c>
      <c r="Q786" s="42">
        <f>C786*Prislapp!$C$5+D786*Prislapp!$D$5+E786*Prislapp!$E$5+F786*Prislapp!$F$5+G786*Prislapp!$G$5+H786*Prislapp!$H$5+I786*Prislapp!$I$5+J786*Prislapp!$J$5+K786*Prislapp!$K$5+L786*Prislapp!$L$5+M786*Prislapp!$M$5+N786*Prislapp!$N$5</f>
        <v>34500</v>
      </c>
      <c r="R786" s="9">
        <f>VLOOKUP(A786,'Ansvar kurs'!$A$2:$B$830,2,FALSE)</f>
        <v>2180</v>
      </c>
    </row>
    <row r="787" spans="1:18" x14ac:dyDescent="0.25">
      <c r="A787" s="62" t="s">
        <v>1550</v>
      </c>
      <c r="B787" s="31" t="s">
        <v>1436</v>
      </c>
      <c r="E787" s="31">
        <v>1</v>
      </c>
      <c r="O787" s="42">
        <f>C787*Prislapp!$C$2+D787*Prislapp!$D$2+E787*Prislapp!$E$2+F787*Prislapp!$F$2+G787*Prislapp!$G$2+H787*Prislapp!$H$2+I787*Prislapp!$I$2+J787*Prislapp!$J$2+K787*Prislapp!$K$2+L787*Prislapp!$L$2+M787*Prislapp!$M$2+N787*Prislapp!$N$2</f>
        <v>45034</v>
      </c>
      <c r="P787" s="42">
        <f>C787*Prislapp!$C$3+D787*Prislapp!$D$3+E787*Prislapp!$E$3+F787*Prislapp!$F$3+G787*Prislapp!$G$3+H787*Prislapp!$H$3+I787*Prislapp!$I$3+J787*Prislapp!$J$3+K787*Prislapp!$K$3+M787*Prislapp!$M$3+N787*Prislapp!$N$3</f>
        <v>31547</v>
      </c>
      <c r="Q787" s="42">
        <f>C787*Prislapp!$C$5+D787*Prislapp!$D$5+E787*Prislapp!$E$5+F787*Prislapp!$F$5+G787*Prislapp!$G$5+H787*Prislapp!$H$5+I787*Prislapp!$I$5+J787*Prislapp!$J$5+K787*Prislapp!$K$5+L787*Prislapp!$L$5+M787*Prislapp!$M$5+N787*Prislapp!$N$5</f>
        <v>34500</v>
      </c>
      <c r="R787" s="9">
        <f>VLOOKUP(A787,'Ansvar kurs'!$A$2:$B$830,2,FALSE)</f>
        <v>2180</v>
      </c>
    </row>
    <row r="788" spans="1:18" x14ac:dyDescent="0.25">
      <c r="A788" s="31" t="s">
        <v>63</v>
      </c>
      <c r="B788" s="31" t="s">
        <v>762</v>
      </c>
      <c r="F788" s="31">
        <v>1</v>
      </c>
      <c r="O788" s="42">
        <f>C788*Prislapp!$C$2+D788*Prislapp!$D$2+E788*Prislapp!$E$2+F788*Prislapp!$F$2+G788*Prislapp!$G$2+H788*Prislapp!$H$2+I788*Prislapp!$I$2+J788*Prislapp!$J$2+K788*Prislapp!$K$2+L788*Prislapp!$L$2+M788*Prislapp!$M$2+N788*Prislapp!$N$2</f>
        <v>23641</v>
      </c>
      <c r="P788" s="42">
        <f>C788*Prislapp!$C$3+D788*Prislapp!$D$3+E788*Prislapp!$E$3+F788*Prislapp!$F$3+G788*Prislapp!$G$3+H788*Prislapp!$H$3+I788*Prislapp!$I$3+J788*Prislapp!$J$3+K788*Prislapp!$K$3+M788*Prislapp!$M$3+N788*Prislapp!$N$3</f>
        <v>28786</v>
      </c>
      <c r="Q788" s="42">
        <f>C788*Prislapp!$C$5+D788*Prislapp!$D$5+E788*Prislapp!$E$5+F788*Prislapp!$F$5+G788*Prislapp!$G$5+H788*Prislapp!$H$5+I788*Prislapp!$I$5+J788*Prislapp!$J$5+K788*Prislapp!$K$5+L788*Prislapp!$L$5+M788*Prislapp!$M$5+N788*Prislapp!$N$5</f>
        <v>5800</v>
      </c>
      <c r="R788" s="9">
        <f>VLOOKUP(A788,'Ansvar kurs'!$A$2:$B$830,2,FALSE)</f>
        <v>2193</v>
      </c>
    </row>
    <row r="789" spans="1:18" x14ac:dyDescent="0.25">
      <c r="A789" s="31" t="s">
        <v>64</v>
      </c>
      <c r="B789" s="31" t="s">
        <v>460</v>
      </c>
      <c r="F789" s="31">
        <v>1</v>
      </c>
      <c r="O789" s="42">
        <f>C789*Prislapp!$C$2+D789*Prislapp!$D$2+E789*Prislapp!$E$2+F789*Prislapp!$F$2+G789*Prislapp!$G$2+H789*Prislapp!$H$2+I789*Prislapp!$I$2+J789*Prislapp!$J$2+K789*Prislapp!$K$2+L789*Prislapp!$L$2+M789*Prislapp!$M$2+N789*Prislapp!$N$2</f>
        <v>23641</v>
      </c>
      <c r="P789" s="42">
        <f>C789*Prislapp!$C$3+D789*Prislapp!$D$3+E789*Prislapp!$E$3+F789*Prislapp!$F$3+G789*Prislapp!$G$3+H789*Prislapp!$H$3+I789*Prislapp!$I$3+J789*Prislapp!$J$3+K789*Prislapp!$K$3+M789*Prislapp!$M$3+N789*Prislapp!$N$3</f>
        <v>28786</v>
      </c>
      <c r="Q789" s="42">
        <f>C789*Prislapp!$C$5+D789*Prislapp!$D$5+E789*Prislapp!$E$5+F789*Prislapp!$F$5+G789*Prislapp!$G$5+H789*Prislapp!$H$5+I789*Prislapp!$I$5+J789*Prislapp!$J$5+K789*Prislapp!$K$5+L789*Prislapp!$L$5+M789*Prislapp!$M$5+N789*Prislapp!$N$5</f>
        <v>5800</v>
      </c>
      <c r="R789" s="9">
        <f>VLOOKUP(A789,'Ansvar kurs'!$A$2:$B$830,2,FALSE)</f>
        <v>1650</v>
      </c>
    </row>
    <row r="790" spans="1:18" x14ac:dyDescent="0.25">
      <c r="A790" s="31" t="s">
        <v>397</v>
      </c>
      <c r="B790" s="31" t="s">
        <v>359</v>
      </c>
      <c r="F790" s="31">
        <v>1</v>
      </c>
      <c r="O790" s="42">
        <f>C790*Prislapp!$C$2+D790*Prislapp!$D$2+E790*Prislapp!$E$2+F790*Prislapp!$F$2+G790*Prislapp!$G$2+H790*Prislapp!$H$2+I790*Prislapp!$I$2+J790*Prislapp!$J$2+K790*Prislapp!$K$2+L790*Prislapp!$L$2+M790*Prislapp!$M$2+N790*Prislapp!$N$2</f>
        <v>23641</v>
      </c>
      <c r="P790" s="42">
        <f>C790*Prislapp!$C$3+D790*Prislapp!$D$3+E790*Prislapp!$E$3+F790*Prislapp!$F$3+G790*Prislapp!$G$3+H790*Prislapp!$H$3+I790*Prislapp!$I$3+J790*Prislapp!$J$3+K790*Prislapp!$K$3+M790*Prislapp!$M$3+N790*Prislapp!$N$3</f>
        <v>28786</v>
      </c>
      <c r="Q790" s="42">
        <f>C790*Prislapp!$C$5+D790*Prislapp!$D$5+E790*Prislapp!$E$5+F790*Prislapp!$F$5+G790*Prislapp!$G$5+H790*Prislapp!$H$5+I790*Prislapp!$I$5+J790*Prislapp!$J$5+K790*Prislapp!$K$5+L790*Prislapp!$L$5+M790*Prislapp!$M$5+N790*Prislapp!$N$5</f>
        <v>5800</v>
      </c>
      <c r="R790" s="9">
        <f>VLOOKUP(A790,'Ansvar kurs'!$A$2:$B$830,2,FALSE)</f>
        <v>1650</v>
      </c>
    </row>
    <row r="791" spans="1:18" x14ac:dyDescent="0.25">
      <c r="A791" s="31" t="s">
        <v>371</v>
      </c>
      <c r="B791" s="31" t="s">
        <v>359</v>
      </c>
      <c r="F791" s="31">
        <v>1</v>
      </c>
      <c r="O791" s="42">
        <f>C791*Prislapp!$C$2+D791*Prislapp!$D$2+E791*Prislapp!$E$2+F791*Prislapp!$F$2+G791*Prislapp!$G$2+H791*Prislapp!$H$2+I791*Prislapp!$I$2+J791*Prislapp!$J$2+K791*Prislapp!$K$2+L791*Prislapp!$L$2+M791*Prislapp!$M$2+N791*Prislapp!$N$2</f>
        <v>23641</v>
      </c>
      <c r="P791" s="42">
        <f>C791*Prislapp!$C$3+D791*Prislapp!$D$3+E791*Prislapp!$E$3+F791*Prislapp!$F$3+G791*Prislapp!$G$3+H791*Prislapp!$H$3+I791*Prislapp!$I$3+J791*Prislapp!$J$3+K791*Prislapp!$K$3+M791*Prislapp!$M$3+N791*Prislapp!$N$3</f>
        <v>28786</v>
      </c>
      <c r="Q791" s="42">
        <f>C791*Prislapp!$C$5+D791*Prislapp!$D$5+E791*Prislapp!$E$5+F791*Prislapp!$F$5+G791*Prislapp!$G$5+H791*Prislapp!$H$5+I791*Prislapp!$I$5+J791*Prislapp!$J$5+K791*Prislapp!$K$5+L791*Prislapp!$L$5+M791*Prislapp!$M$5+N791*Prislapp!$N$5</f>
        <v>5800</v>
      </c>
      <c r="R791" s="9">
        <f>VLOOKUP(A791,'Ansvar kurs'!$A$2:$B$830,2,FALSE)</f>
        <v>2193</v>
      </c>
    </row>
    <row r="792" spans="1:18" x14ac:dyDescent="0.25">
      <c r="A792" s="265" t="s">
        <v>331</v>
      </c>
      <c r="B792" s="31" t="s">
        <v>0</v>
      </c>
      <c r="F792" s="31">
        <v>1</v>
      </c>
      <c r="O792" s="42">
        <f>C792*Prislapp!$C$2+D792*Prislapp!$D$2+E792*Prislapp!$E$2+F792*Prislapp!$F$2+G792*Prislapp!$G$2+H792*Prislapp!$H$2+I792*Prislapp!$I$2+J792*Prislapp!$J$2+K792*Prislapp!$K$2+L792*Prislapp!$L$2+M792*Prislapp!$M$2+N792*Prislapp!$N$2</f>
        <v>23641</v>
      </c>
      <c r="P792" s="42">
        <f>C792*Prislapp!$C$3+D792*Prislapp!$D$3+E792*Prislapp!$E$3+F792*Prislapp!$F$3+G792*Prislapp!$G$3+H792*Prislapp!$H$3+I792*Prislapp!$I$3+J792*Prislapp!$J$3+K792*Prislapp!$K$3+M792*Prislapp!$M$3+N792*Prislapp!$N$3</f>
        <v>28786</v>
      </c>
      <c r="Q792" s="42">
        <f>C792*Prislapp!$C$5+D792*Prislapp!$D$5+E792*Prislapp!$E$5+F792*Prislapp!$F$5+G792*Prislapp!$G$5+H792*Prislapp!$H$5+I792*Prislapp!$I$5+J792*Prislapp!$J$5+K792*Prislapp!$K$5+L792*Prislapp!$L$5+M792*Prislapp!$M$5+N792*Prislapp!$N$5</f>
        <v>5800</v>
      </c>
      <c r="R792" s="9">
        <f>VLOOKUP(A792,'Ansvar kurs'!$A$2:$B$830,2,FALSE)</f>
        <v>6000</v>
      </c>
    </row>
    <row r="793" spans="1:18" x14ac:dyDescent="0.25">
      <c r="O793" s="42"/>
      <c r="P793" s="42"/>
      <c r="Q793" s="42"/>
      <c r="R793" s="42"/>
    </row>
    <row r="794" spans="1:18" x14ac:dyDescent="0.25">
      <c r="O794" s="42"/>
      <c r="P794" s="42"/>
      <c r="Q794" s="42"/>
      <c r="R794" s="42"/>
    </row>
    <row r="795" spans="1:18" x14ac:dyDescent="0.25">
      <c r="O795" s="42"/>
      <c r="P795" s="42"/>
      <c r="Q795" s="42"/>
      <c r="R795" s="42"/>
    </row>
    <row r="796" spans="1:18" x14ac:dyDescent="0.25">
      <c r="O796" s="42"/>
      <c r="P796" s="42"/>
      <c r="Q796" s="42"/>
      <c r="R796" s="42"/>
    </row>
    <row r="797" spans="1:18" x14ac:dyDescent="0.25">
      <c r="O797" s="42"/>
      <c r="P797" s="42"/>
      <c r="Q797" s="42"/>
      <c r="R797" s="42"/>
    </row>
    <row r="798" spans="1:18" x14ac:dyDescent="0.25">
      <c r="O798" s="42"/>
    </row>
    <row r="799" spans="1:18" x14ac:dyDescent="0.25">
      <c r="O799" s="42"/>
    </row>
    <row r="800" spans="1:18" x14ac:dyDescent="0.25">
      <c r="O800" s="42"/>
    </row>
    <row r="801" spans="15:18" x14ac:dyDescent="0.25">
      <c r="O801" s="42"/>
    </row>
    <row r="802" spans="15:18" x14ac:dyDescent="0.25">
      <c r="O802" s="42"/>
    </row>
    <row r="803" spans="15:18" x14ac:dyDescent="0.25">
      <c r="O803" s="42"/>
      <c r="Q803" s="59"/>
      <c r="R803" s="59"/>
    </row>
    <row r="804" spans="15:18" x14ac:dyDescent="0.25">
      <c r="O804" s="42"/>
      <c r="P804" s="42"/>
      <c r="Q804" s="42"/>
      <c r="R804" s="42"/>
    </row>
    <row r="805" spans="15:18" x14ac:dyDescent="0.25">
      <c r="O805" s="42"/>
      <c r="P805" s="42"/>
      <c r="Q805" s="42"/>
      <c r="R805" s="42"/>
    </row>
    <row r="806" spans="15:18" x14ac:dyDescent="0.25">
      <c r="O806" s="42"/>
      <c r="P806" s="42"/>
      <c r="Q806" s="42"/>
      <c r="R806" s="42"/>
    </row>
    <row r="807" spans="15:18" x14ac:dyDescent="0.25">
      <c r="O807" s="42"/>
      <c r="P807" s="42"/>
      <c r="Q807" s="42"/>
      <c r="R807" s="42"/>
    </row>
    <row r="808" spans="15:18" x14ac:dyDescent="0.25">
      <c r="O808" s="42"/>
      <c r="P808" s="42"/>
      <c r="Q808" s="42"/>
      <c r="R808" s="42"/>
    </row>
    <row r="809" spans="15:18" x14ac:dyDescent="0.25">
      <c r="O809" s="42"/>
      <c r="P809" s="42"/>
      <c r="Q809" s="42"/>
      <c r="R809" s="42"/>
    </row>
    <row r="810" spans="15:18" x14ac:dyDescent="0.25">
      <c r="O810" s="42"/>
      <c r="P810" s="42"/>
      <c r="Q810" s="42"/>
      <c r="R810" s="42"/>
    </row>
    <row r="811" spans="15:18" x14ac:dyDescent="0.25">
      <c r="O811" s="42"/>
      <c r="P811" s="42"/>
      <c r="Q811" s="42"/>
      <c r="R811" s="42"/>
    </row>
    <row r="812" spans="15:18" x14ac:dyDescent="0.25">
      <c r="O812" s="42"/>
      <c r="P812" s="42"/>
      <c r="Q812" s="42"/>
      <c r="R812" s="42"/>
    </row>
    <row r="813" spans="15:18" x14ac:dyDescent="0.25">
      <c r="O813" s="42"/>
      <c r="P813" s="42"/>
      <c r="Q813" s="42"/>
      <c r="R813" s="42"/>
    </row>
    <row r="814" spans="15:18" x14ac:dyDescent="0.25">
      <c r="O814" s="42"/>
      <c r="P814" s="42"/>
      <c r="Q814" s="42"/>
      <c r="R814" s="42"/>
    </row>
    <row r="815" spans="15:18" x14ac:dyDescent="0.25">
      <c r="O815" s="42"/>
      <c r="P815" s="42"/>
      <c r="Q815" s="42"/>
      <c r="R815" s="42"/>
    </row>
    <row r="816" spans="15:18" x14ac:dyDescent="0.25">
      <c r="O816" s="42"/>
      <c r="P816" s="42"/>
      <c r="Q816" s="42"/>
      <c r="R816" s="42"/>
    </row>
    <row r="817" spans="15:18" x14ac:dyDescent="0.25">
      <c r="O817" s="42"/>
      <c r="P817" s="42"/>
      <c r="Q817" s="42"/>
      <c r="R817" s="42"/>
    </row>
    <row r="818" spans="15:18" x14ac:dyDescent="0.25">
      <c r="O818" s="42"/>
      <c r="P818" s="42"/>
      <c r="Q818" s="42"/>
      <c r="R818" s="42"/>
    </row>
    <row r="819" spans="15:18" x14ac:dyDescent="0.25">
      <c r="O819" s="42"/>
      <c r="P819" s="42"/>
      <c r="Q819" s="42"/>
      <c r="R819" s="42"/>
    </row>
    <row r="820" spans="15:18" x14ac:dyDescent="0.25">
      <c r="O820" s="42"/>
      <c r="P820" s="42"/>
      <c r="Q820" s="42"/>
      <c r="R820" s="42"/>
    </row>
    <row r="821" spans="15:18" x14ac:dyDescent="0.25">
      <c r="O821" s="42"/>
      <c r="P821" s="42"/>
      <c r="Q821" s="42"/>
      <c r="R821" s="42"/>
    </row>
    <row r="822" spans="15:18" x14ac:dyDescent="0.25">
      <c r="O822" s="42"/>
      <c r="P822" s="42"/>
      <c r="Q822" s="42"/>
      <c r="R822" s="42"/>
    </row>
    <row r="823" spans="15:18" x14ac:dyDescent="0.25">
      <c r="O823" s="42"/>
      <c r="P823" s="42"/>
      <c r="Q823" s="42"/>
      <c r="R823" s="42"/>
    </row>
    <row r="824" spans="15:18" x14ac:dyDescent="0.25">
      <c r="O824" s="42"/>
      <c r="P824" s="42"/>
      <c r="Q824" s="42"/>
      <c r="R824" s="42"/>
    </row>
    <row r="825" spans="15:18" x14ac:dyDescent="0.25">
      <c r="O825" s="42"/>
      <c r="P825" s="42"/>
      <c r="Q825" s="42"/>
      <c r="R825" s="42"/>
    </row>
    <row r="826" spans="15:18" x14ac:dyDescent="0.25">
      <c r="O826" s="42"/>
      <c r="P826" s="42"/>
      <c r="Q826" s="42"/>
      <c r="R826" s="42"/>
    </row>
    <row r="827" spans="15:18" x14ac:dyDescent="0.25">
      <c r="O827" s="42"/>
      <c r="P827" s="42"/>
      <c r="Q827" s="42"/>
      <c r="R827" s="42"/>
    </row>
    <row r="828" spans="15:18" x14ac:dyDescent="0.25">
      <c r="O828" s="42"/>
      <c r="P828" s="42"/>
      <c r="Q828" s="42"/>
      <c r="R828" s="42"/>
    </row>
    <row r="829" spans="15:18" x14ac:dyDescent="0.25">
      <c r="O829" s="42"/>
      <c r="P829" s="42"/>
      <c r="Q829" s="42"/>
      <c r="R829" s="42"/>
    </row>
    <row r="830" spans="15:18" x14ac:dyDescent="0.25">
      <c r="O830" s="42"/>
      <c r="P830" s="42"/>
      <c r="Q830" s="42"/>
      <c r="R830" s="42"/>
    </row>
    <row r="831" spans="15:18" x14ac:dyDescent="0.25">
      <c r="O831" s="42"/>
      <c r="P831" s="42"/>
      <c r="Q831" s="42"/>
      <c r="R831" s="42"/>
    </row>
    <row r="832" spans="15:18" x14ac:dyDescent="0.25">
      <c r="O832" s="42"/>
      <c r="P832" s="42"/>
      <c r="Q832" s="42"/>
      <c r="R832" s="42"/>
    </row>
    <row r="833" spans="15:18" x14ac:dyDescent="0.25">
      <c r="O833" s="42"/>
      <c r="P833" s="42"/>
      <c r="Q833" s="42"/>
      <c r="R833" s="42"/>
    </row>
    <row r="834" spans="15:18" x14ac:dyDescent="0.25">
      <c r="O834" s="42"/>
      <c r="P834" s="42"/>
      <c r="Q834" s="42"/>
      <c r="R834" s="42"/>
    </row>
    <row r="835" spans="15:18" x14ac:dyDescent="0.25">
      <c r="O835" s="42"/>
      <c r="P835" s="42"/>
      <c r="Q835" s="42"/>
      <c r="R835" s="42"/>
    </row>
    <row r="836" spans="15:18" x14ac:dyDescent="0.25">
      <c r="O836" s="42"/>
      <c r="P836" s="42"/>
      <c r="Q836" s="42"/>
      <c r="R836" s="42"/>
    </row>
    <row r="837" spans="15:18" x14ac:dyDescent="0.25">
      <c r="O837" s="42"/>
      <c r="P837" s="42"/>
      <c r="Q837" s="42"/>
      <c r="R837" s="42"/>
    </row>
    <row r="838" spans="15:18" x14ac:dyDescent="0.25">
      <c r="O838" s="42"/>
      <c r="P838" s="42"/>
      <c r="Q838" s="42"/>
      <c r="R838" s="42"/>
    </row>
    <row r="839" spans="15:18" x14ac:dyDescent="0.25">
      <c r="O839" s="42"/>
      <c r="P839" s="42"/>
      <c r="Q839" s="42"/>
      <c r="R839" s="42"/>
    </row>
    <row r="840" spans="15:18" x14ac:dyDescent="0.25">
      <c r="O840" s="42"/>
      <c r="P840" s="42"/>
      <c r="Q840" s="42"/>
      <c r="R840" s="42"/>
    </row>
    <row r="841" spans="15:18" x14ac:dyDescent="0.25">
      <c r="O841" s="42"/>
      <c r="P841" s="42"/>
      <c r="Q841" s="42"/>
      <c r="R841" s="42"/>
    </row>
    <row r="842" spans="15:18" x14ac:dyDescent="0.25">
      <c r="O842" s="42"/>
      <c r="P842" s="42"/>
      <c r="Q842" s="42"/>
      <c r="R842" s="42"/>
    </row>
    <row r="843" spans="15:18" x14ac:dyDescent="0.25">
      <c r="O843" s="42"/>
      <c r="P843" s="42"/>
      <c r="Q843" s="42"/>
      <c r="R843" s="42"/>
    </row>
    <row r="844" spans="15:18" x14ac:dyDescent="0.25">
      <c r="O844" s="42"/>
      <c r="P844" s="42"/>
      <c r="Q844" s="42"/>
      <c r="R844" s="42"/>
    </row>
    <row r="845" spans="15:18" x14ac:dyDescent="0.25">
      <c r="O845" s="42"/>
      <c r="P845" s="42"/>
      <c r="Q845" s="42"/>
      <c r="R845" s="42"/>
    </row>
    <row r="846" spans="15:18" x14ac:dyDescent="0.25">
      <c r="O846" s="42"/>
      <c r="P846" s="42"/>
      <c r="Q846" s="42"/>
      <c r="R846" s="42"/>
    </row>
    <row r="847" spans="15:18" x14ac:dyDescent="0.25">
      <c r="O847" s="42"/>
      <c r="P847" s="42"/>
      <c r="Q847" s="42"/>
      <c r="R847" s="42"/>
    </row>
    <row r="848" spans="15:18" x14ac:dyDescent="0.25">
      <c r="O848" s="42"/>
      <c r="P848" s="42"/>
      <c r="Q848" s="42"/>
      <c r="R848" s="42"/>
    </row>
    <row r="849" spans="15:18" x14ac:dyDescent="0.25">
      <c r="O849" s="42"/>
      <c r="P849" s="42"/>
      <c r="Q849" s="42"/>
      <c r="R849" s="42"/>
    </row>
    <row r="850" spans="15:18" x14ac:dyDescent="0.25">
      <c r="O850" s="42"/>
      <c r="P850" s="42"/>
      <c r="Q850" s="42"/>
      <c r="R850" s="42"/>
    </row>
    <row r="851" spans="15:18" x14ac:dyDescent="0.25">
      <c r="O851" s="42"/>
      <c r="P851" s="42"/>
      <c r="Q851" s="42"/>
      <c r="R851" s="42"/>
    </row>
    <row r="852" spans="15:18" x14ac:dyDescent="0.25">
      <c r="O852" s="42"/>
      <c r="P852" s="42"/>
      <c r="Q852" s="42"/>
      <c r="R852" s="42"/>
    </row>
    <row r="853" spans="15:18" x14ac:dyDescent="0.25">
      <c r="O853" s="42"/>
      <c r="P853" s="42"/>
      <c r="Q853" s="42"/>
      <c r="R853" s="42"/>
    </row>
    <row r="854" spans="15:18" x14ac:dyDescent="0.25">
      <c r="O854" s="42"/>
      <c r="P854" s="42"/>
      <c r="Q854" s="42"/>
      <c r="R854" s="42"/>
    </row>
    <row r="855" spans="15:18" x14ac:dyDescent="0.25">
      <c r="O855" s="42"/>
      <c r="P855" s="42"/>
      <c r="Q855" s="42"/>
      <c r="R855" s="42"/>
    </row>
    <row r="856" spans="15:18" x14ac:dyDescent="0.25">
      <c r="O856" s="42"/>
      <c r="P856" s="42"/>
      <c r="Q856" s="42"/>
      <c r="R856" s="42"/>
    </row>
    <row r="857" spans="15:18" x14ac:dyDescent="0.25">
      <c r="O857" s="42"/>
      <c r="P857" s="42"/>
      <c r="Q857" s="42"/>
      <c r="R857" s="42"/>
    </row>
    <row r="858" spans="15:18" x14ac:dyDescent="0.25">
      <c r="O858" s="42"/>
      <c r="P858" s="42"/>
      <c r="Q858" s="42"/>
      <c r="R858" s="42"/>
    </row>
    <row r="859" spans="15:18" x14ac:dyDescent="0.25">
      <c r="O859" s="42"/>
      <c r="P859" s="42"/>
      <c r="Q859" s="42"/>
      <c r="R859" s="42"/>
    </row>
    <row r="860" spans="15:18" x14ac:dyDescent="0.25">
      <c r="O860" s="42"/>
      <c r="P860" s="42"/>
      <c r="Q860" s="42"/>
      <c r="R860" s="42"/>
    </row>
    <row r="861" spans="15:18" x14ac:dyDescent="0.25">
      <c r="O861" s="42"/>
      <c r="P861" s="42"/>
      <c r="Q861" s="42"/>
      <c r="R861" s="42"/>
    </row>
    <row r="862" spans="15:18" x14ac:dyDescent="0.25">
      <c r="O862" s="42"/>
      <c r="P862" s="42"/>
      <c r="Q862" s="42"/>
      <c r="R862" s="42"/>
    </row>
    <row r="863" spans="15:18" x14ac:dyDescent="0.25">
      <c r="O863" s="42"/>
      <c r="P863" s="42"/>
      <c r="Q863" s="42"/>
      <c r="R863" s="42"/>
    </row>
    <row r="864" spans="15:18" x14ac:dyDescent="0.25">
      <c r="O864" s="42"/>
      <c r="P864" s="42"/>
      <c r="Q864" s="42"/>
      <c r="R864" s="42"/>
    </row>
    <row r="865" spans="15:18" x14ac:dyDescent="0.25">
      <c r="O865" s="42"/>
      <c r="P865" s="42"/>
      <c r="Q865" s="42"/>
      <c r="R865" s="42"/>
    </row>
    <row r="866" spans="15:18" x14ac:dyDescent="0.25">
      <c r="O866" s="42"/>
      <c r="P866" s="42"/>
      <c r="Q866" s="42"/>
      <c r="R866" s="42"/>
    </row>
    <row r="867" spans="15:18" x14ac:dyDescent="0.25">
      <c r="O867" s="42"/>
      <c r="P867" s="42"/>
      <c r="Q867" s="42"/>
      <c r="R867" s="42"/>
    </row>
    <row r="868" spans="15:18" x14ac:dyDescent="0.25">
      <c r="O868" s="42"/>
      <c r="P868" s="42"/>
      <c r="Q868" s="42"/>
      <c r="R868" s="42"/>
    </row>
    <row r="869" spans="15:18" x14ac:dyDescent="0.25">
      <c r="O869" s="42"/>
      <c r="P869" s="42"/>
      <c r="Q869" s="42"/>
      <c r="R869" s="42"/>
    </row>
    <row r="870" spans="15:18" x14ac:dyDescent="0.25">
      <c r="O870" s="42"/>
      <c r="P870" s="42"/>
      <c r="Q870" s="42"/>
      <c r="R870" s="42"/>
    </row>
    <row r="871" spans="15:18" x14ac:dyDescent="0.25">
      <c r="O871" s="42"/>
      <c r="P871" s="42"/>
      <c r="Q871" s="42"/>
      <c r="R871" s="42"/>
    </row>
    <row r="872" spans="15:18" x14ac:dyDescent="0.25">
      <c r="O872" s="42"/>
      <c r="P872" s="42"/>
      <c r="Q872" s="42"/>
      <c r="R872" s="42"/>
    </row>
    <row r="873" spans="15:18" x14ac:dyDescent="0.25">
      <c r="O873" s="42"/>
      <c r="P873" s="42"/>
      <c r="Q873" s="42"/>
      <c r="R873" s="42"/>
    </row>
    <row r="874" spans="15:18" x14ac:dyDescent="0.25">
      <c r="O874" s="42"/>
      <c r="P874" s="42"/>
      <c r="Q874" s="42"/>
      <c r="R874" s="42"/>
    </row>
    <row r="875" spans="15:18" x14ac:dyDescent="0.25">
      <c r="O875" s="42"/>
      <c r="P875" s="42"/>
      <c r="Q875" s="42"/>
      <c r="R875" s="42"/>
    </row>
    <row r="876" spans="15:18" x14ac:dyDescent="0.25">
      <c r="O876" s="42"/>
      <c r="P876" s="42"/>
      <c r="Q876" s="42"/>
      <c r="R876" s="42"/>
    </row>
    <row r="877" spans="15:18" x14ac:dyDescent="0.25">
      <c r="O877" s="42"/>
      <c r="P877" s="42"/>
      <c r="Q877" s="42"/>
      <c r="R877" s="42"/>
    </row>
  </sheetData>
  <sheetProtection sheet="1" objects="1" scenarios="1"/>
  <autoFilter ref="A1:T792"/>
  <sortState ref="A2:S532">
    <sortCondition ref="A2"/>
  </sortState>
  <phoneticPr fontId="14" type="noConversion"/>
  <printOptions horizontalCentered="1" gridLines="1"/>
  <pageMargins left="0.15748031496062992" right="0.15748031496062992" top="0.59055118110236227" bottom="0.39370078740157483" header="0.51181102362204722" footer="0.11811023622047245"/>
  <pageSetup paperSize="9" scale="45" fitToHeight="8" orientation="landscape" r:id="rId1"/>
  <headerFooter alignWithMargins="0">
    <oddFooter>&amp;L&amp;F&amp;CSida &amp;P av &amp;N&amp;R&amp;A</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0">
    <tabColor rgb="FFC00000"/>
  </sheetPr>
  <dimension ref="A1:H213"/>
  <sheetViews>
    <sheetView zoomScaleNormal="100" workbookViewId="0">
      <selection activeCell="D1" sqref="D1"/>
    </sheetView>
  </sheetViews>
  <sheetFormatPr defaultColWidth="8.85546875" defaultRowHeight="15" x14ac:dyDescent="0.25"/>
  <cols>
    <col min="2" max="2" width="44.5703125" customWidth="1"/>
    <col min="4" max="4" width="49.140625" customWidth="1"/>
    <col min="8" max="8" width="37.42578125" bestFit="1" customWidth="1"/>
  </cols>
  <sheetData>
    <row r="1" spans="1:8" s="1" customFormat="1" ht="14.25" x14ac:dyDescent="0.2">
      <c r="A1" s="1" t="s">
        <v>153</v>
      </c>
      <c r="B1" s="1" t="s">
        <v>157</v>
      </c>
      <c r="C1" s="1" t="s">
        <v>71</v>
      </c>
      <c r="G1" s="1" t="s">
        <v>1390</v>
      </c>
    </row>
    <row r="2" spans="1:8" s="1" customFormat="1" ht="14.25" x14ac:dyDescent="0.2">
      <c r="A2" s="1">
        <v>0</v>
      </c>
      <c r="B2" s="1">
        <v>0</v>
      </c>
      <c r="C2" s="1" t="s">
        <v>76</v>
      </c>
      <c r="G2" s="1" t="s">
        <v>1388</v>
      </c>
    </row>
    <row r="3" spans="1:8" x14ac:dyDescent="0.25">
      <c r="A3">
        <v>1001</v>
      </c>
      <c r="B3" s="11" t="s">
        <v>184</v>
      </c>
      <c r="C3" t="s">
        <v>72</v>
      </c>
      <c r="G3">
        <v>1620</v>
      </c>
      <c r="H3" s="11"/>
    </row>
    <row r="4" spans="1:8" x14ac:dyDescent="0.25">
      <c r="A4">
        <v>1010</v>
      </c>
      <c r="B4" s="11" t="s">
        <v>185</v>
      </c>
      <c r="C4" t="s">
        <v>72</v>
      </c>
      <c r="G4">
        <v>1630</v>
      </c>
      <c r="H4" s="12"/>
    </row>
    <row r="5" spans="1:8" x14ac:dyDescent="0.25">
      <c r="A5">
        <v>1020</v>
      </c>
      <c r="B5" s="11" t="s">
        <v>186</v>
      </c>
      <c r="C5" t="s">
        <v>72</v>
      </c>
      <c r="G5">
        <v>1640</v>
      </c>
      <c r="H5" s="11"/>
    </row>
    <row r="6" spans="1:8" x14ac:dyDescent="0.25">
      <c r="A6">
        <v>1030</v>
      </c>
      <c r="B6" s="11" t="s">
        <v>187</v>
      </c>
      <c r="C6" t="s">
        <v>72</v>
      </c>
      <c r="G6">
        <v>1650</v>
      </c>
      <c r="H6" s="11"/>
    </row>
    <row r="7" spans="1:8" x14ac:dyDescent="0.25">
      <c r="A7">
        <v>1040</v>
      </c>
      <c r="B7" s="13" t="s">
        <v>177</v>
      </c>
      <c r="C7" t="s">
        <v>72</v>
      </c>
      <c r="G7">
        <v>2180</v>
      </c>
      <c r="H7" s="11"/>
    </row>
    <row r="8" spans="1:8" x14ac:dyDescent="0.25">
      <c r="A8">
        <v>1400</v>
      </c>
      <c r="B8" s="11" t="s">
        <v>188</v>
      </c>
      <c r="C8" t="s">
        <v>72</v>
      </c>
      <c r="G8">
        <v>2193</v>
      </c>
      <c r="H8" s="11"/>
    </row>
    <row r="9" spans="1:8" x14ac:dyDescent="0.25">
      <c r="A9">
        <v>1620</v>
      </c>
      <c r="B9" s="13" t="s">
        <v>176</v>
      </c>
      <c r="C9" t="s">
        <v>72</v>
      </c>
      <c r="G9">
        <v>2200</v>
      </c>
      <c r="H9" s="11"/>
    </row>
    <row r="10" spans="1:8" x14ac:dyDescent="0.25">
      <c r="A10">
        <v>1630</v>
      </c>
      <c r="B10" s="13" t="s">
        <v>172</v>
      </c>
      <c r="C10" t="s">
        <v>72</v>
      </c>
      <c r="G10">
        <v>2220</v>
      </c>
      <c r="H10" s="11"/>
    </row>
    <row r="11" spans="1:8" x14ac:dyDescent="0.25">
      <c r="A11">
        <v>1640</v>
      </c>
      <c r="B11" s="13" t="s">
        <v>173</v>
      </c>
      <c r="C11" t="s">
        <v>72</v>
      </c>
      <c r="G11">
        <v>2271</v>
      </c>
      <c r="H11" s="13"/>
    </row>
    <row r="12" spans="1:8" x14ac:dyDescent="0.25">
      <c r="A12">
        <v>1650</v>
      </c>
      <c r="B12" s="11" t="s">
        <v>11</v>
      </c>
      <c r="C12" t="s">
        <v>72</v>
      </c>
      <c r="G12">
        <v>2272</v>
      </c>
      <c r="H12" s="11"/>
    </row>
    <row r="13" spans="1:8" x14ac:dyDescent="0.25">
      <c r="A13">
        <v>1660</v>
      </c>
      <c r="B13" s="11" t="s">
        <v>319</v>
      </c>
      <c r="C13" t="s">
        <v>72</v>
      </c>
      <c r="G13">
        <v>2300</v>
      </c>
      <c r="H13" s="13"/>
    </row>
    <row r="14" spans="1:8" x14ac:dyDescent="0.25">
      <c r="A14">
        <v>2000</v>
      </c>
      <c r="B14" s="11" t="s">
        <v>189</v>
      </c>
      <c r="C14" t="s">
        <v>73</v>
      </c>
      <c r="G14">
        <v>2340</v>
      </c>
      <c r="H14" s="11"/>
    </row>
    <row r="15" spans="1:8" x14ac:dyDescent="0.25">
      <c r="A15">
        <v>2001</v>
      </c>
      <c r="B15" s="11" t="s">
        <v>190</v>
      </c>
      <c r="C15" t="s">
        <v>73</v>
      </c>
      <c r="G15" s="31">
        <v>2360</v>
      </c>
      <c r="H15" s="11"/>
    </row>
    <row r="16" spans="1:8" x14ac:dyDescent="0.25">
      <c r="A16">
        <v>2011</v>
      </c>
      <c r="B16" s="11" t="s">
        <v>160</v>
      </c>
      <c r="C16" t="s">
        <v>73</v>
      </c>
      <c r="G16">
        <v>2500</v>
      </c>
      <c r="H16" s="11"/>
    </row>
    <row r="17" spans="1:8" x14ac:dyDescent="0.25">
      <c r="A17">
        <v>2050</v>
      </c>
      <c r="B17" s="11" t="s">
        <v>191</v>
      </c>
      <c r="C17" t="s">
        <v>73</v>
      </c>
      <c r="G17">
        <v>2750</v>
      </c>
      <c r="H17" s="11"/>
    </row>
    <row r="18" spans="1:8" x14ac:dyDescent="0.25">
      <c r="A18">
        <v>2160</v>
      </c>
      <c r="B18" s="11" t="s">
        <v>161</v>
      </c>
      <c r="C18" t="s">
        <v>73</v>
      </c>
      <c r="G18">
        <v>3306</v>
      </c>
      <c r="H18" s="11"/>
    </row>
    <row r="19" spans="1:8" x14ac:dyDescent="0.25">
      <c r="A19">
        <v>2170</v>
      </c>
      <c r="B19" s="60" t="s">
        <v>405</v>
      </c>
      <c r="C19" t="s">
        <v>73</v>
      </c>
      <c r="G19">
        <v>3850</v>
      </c>
      <c r="H19" s="11"/>
    </row>
    <row r="20" spans="1:8" x14ac:dyDescent="0.25">
      <c r="A20">
        <v>2180</v>
      </c>
      <c r="B20" s="11" t="s">
        <v>192</v>
      </c>
      <c r="C20" t="s">
        <v>73</v>
      </c>
      <c r="G20">
        <v>5100</v>
      </c>
      <c r="H20" s="11"/>
    </row>
    <row r="21" spans="1:8" x14ac:dyDescent="0.25">
      <c r="A21">
        <v>2190</v>
      </c>
      <c r="B21" s="11" t="s">
        <v>193</v>
      </c>
      <c r="C21" t="s">
        <v>73</v>
      </c>
      <c r="G21">
        <v>5160</v>
      </c>
      <c r="H21" s="11"/>
    </row>
    <row r="22" spans="1:8" x14ac:dyDescent="0.25">
      <c r="A22">
        <v>2191</v>
      </c>
      <c r="B22" s="11" t="s">
        <v>320</v>
      </c>
      <c r="C22" t="s">
        <v>73</v>
      </c>
      <c r="G22">
        <v>5400</v>
      </c>
      <c r="H22" s="11"/>
    </row>
    <row r="23" spans="1:8" x14ac:dyDescent="0.25">
      <c r="A23">
        <v>2192</v>
      </c>
      <c r="B23" s="11" t="s">
        <v>318</v>
      </c>
      <c r="C23" t="s">
        <v>73</v>
      </c>
      <c r="G23">
        <v>5410</v>
      </c>
      <c r="H23" s="11"/>
    </row>
    <row r="24" spans="1:8" x14ac:dyDescent="0.25">
      <c r="A24">
        <v>2193</v>
      </c>
      <c r="B24" s="60" t="s">
        <v>1130</v>
      </c>
      <c r="C24" t="s">
        <v>73</v>
      </c>
      <c r="G24">
        <v>5500</v>
      </c>
      <c r="H24" s="11"/>
    </row>
    <row r="25" spans="1:8" x14ac:dyDescent="0.25">
      <c r="A25">
        <v>2200</v>
      </c>
      <c r="B25" s="11" t="s">
        <v>194</v>
      </c>
      <c r="C25" t="s">
        <v>73</v>
      </c>
      <c r="G25">
        <v>5700</v>
      </c>
      <c r="H25" s="11"/>
    </row>
    <row r="26" spans="1:8" x14ac:dyDescent="0.25">
      <c r="A26">
        <v>2220</v>
      </c>
      <c r="B26" s="11" t="s">
        <v>195</v>
      </c>
      <c r="C26" t="s">
        <v>73</v>
      </c>
      <c r="G26">
        <v>5730</v>
      </c>
      <c r="H26" s="11"/>
    </row>
    <row r="27" spans="1:8" x14ac:dyDescent="0.25">
      <c r="A27">
        <v>2270</v>
      </c>
      <c r="B27" s="43" t="s">
        <v>786</v>
      </c>
      <c r="C27" t="s">
        <v>73</v>
      </c>
      <c r="G27">
        <v>5740</v>
      </c>
      <c r="H27" s="11"/>
    </row>
    <row r="28" spans="1:8" x14ac:dyDescent="0.25">
      <c r="A28">
        <v>2271</v>
      </c>
      <c r="B28" s="11" t="s">
        <v>196</v>
      </c>
      <c r="C28" t="s">
        <v>73</v>
      </c>
    </row>
    <row r="29" spans="1:8" x14ac:dyDescent="0.25">
      <c r="A29">
        <v>2272</v>
      </c>
      <c r="B29" s="11" t="s">
        <v>200</v>
      </c>
      <c r="C29" t="s">
        <v>73</v>
      </c>
    </row>
    <row r="30" spans="1:8" x14ac:dyDescent="0.25">
      <c r="A30">
        <v>2300</v>
      </c>
      <c r="B30" s="11" t="s">
        <v>197</v>
      </c>
      <c r="C30" t="s">
        <v>73</v>
      </c>
      <c r="H30" s="12"/>
    </row>
    <row r="31" spans="1:8" x14ac:dyDescent="0.25">
      <c r="A31">
        <v>2340</v>
      </c>
      <c r="B31" s="11" t="s">
        <v>198</v>
      </c>
      <c r="C31" t="s">
        <v>73</v>
      </c>
      <c r="H31" s="11"/>
    </row>
    <row r="32" spans="1:8" x14ac:dyDescent="0.25">
      <c r="A32" s="205">
        <v>2360</v>
      </c>
      <c r="B32" s="267" t="s">
        <v>199</v>
      </c>
      <c r="C32" s="205" t="s">
        <v>73</v>
      </c>
      <c r="D32" s="205" t="s">
        <v>1528</v>
      </c>
      <c r="H32" s="11"/>
    </row>
    <row r="33" spans="1:8" x14ac:dyDescent="0.25">
      <c r="A33">
        <v>2400</v>
      </c>
      <c r="B33" s="11" t="s">
        <v>201</v>
      </c>
      <c r="C33" t="s">
        <v>73</v>
      </c>
      <c r="H33" s="11"/>
    </row>
    <row r="34" spans="1:8" x14ac:dyDescent="0.25">
      <c r="A34">
        <v>2401</v>
      </c>
      <c r="B34" s="11" t="s">
        <v>202</v>
      </c>
      <c r="C34" t="s">
        <v>73</v>
      </c>
      <c r="H34" s="11"/>
    </row>
    <row r="35" spans="1:8" x14ac:dyDescent="0.25">
      <c r="A35">
        <v>2500</v>
      </c>
      <c r="B35" s="60" t="s">
        <v>2169</v>
      </c>
      <c r="C35" t="s">
        <v>73</v>
      </c>
      <c r="H35" s="11"/>
    </row>
    <row r="36" spans="1:8" x14ac:dyDescent="0.25">
      <c r="A36">
        <v>2600</v>
      </c>
      <c r="B36" s="11" t="s">
        <v>203</v>
      </c>
      <c r="C36" t="s">
        <v>73</v>
      </c>
      <c r="H36" s="11"/>
    </row>
    <row r="37" spans="1:8" x14ac:dyDescent="0.25">
      <c r="A37">
        <v>2700</v>
      </c>
      <c r="B37" s="11" t="s">
        <v>204</v>
      </c>
      <c r="C37" t="s">
        <v>73</v>
      </c>
      <c r="H37" s="11"/>
    </row>
    <row r="38" spans="1:8" x14ac:dyDescent="0.25">
      <c r="A38">
        <v>2750</v>
      </c>
      <c r="B38" s="11" t="s">
        <v>205</v>
      </c>
      <c r="C38" t="s">
        <v>73</v>
      </c>
      <c r="H38" s="11"/>
    </row>
    <row r="39" spans="1:8" x14ac:dyDescent="0.25">
      <c r="A39">
        <v>2800</v>
      </c>
      <c r="B39" s="11" t="s">
        <v>206</v>
      </c>
      <c r="C39" t="s">
        <v>73</v>
      </c>
      <c r="H39" s="13"/>
    </row>
    <row r="40" spans="1:8" x14ac:dyDescent="0.25">
      <c r="A40">
        <v>2850</v>
      </c>
      <c r="B40" s="13" t="s">
        <v>174</v>
      </c>
      <c r="C40" t="s">
        <v>73</v>
      </c>
      <c r="H40" s="11"/>
    </row>
    <row r="41" spans="1:8" x14ac:dyDescent="0.25">
      <c r="A41">
        <v>2880</v>
      </c>
      <c r="B41" s="11" t="s">
        <v>207</v>
      </c>
      <c r="C41" t="s">
        <v>73</v>
      </c>
      <c r="H41" s="11"/>
    </row>
    <row r="42" spans="1:8" x14ac:dyDescent="0.25">
      <c r="A42">
        <v>2900</v>
      </c>
      <c r="B42" s="11" t="s">
        <v>208</v>
      </c>
      <c r="C42" t="s">
        <v>73</v>
      </c>
      <c r="H42" s="11"/>
    </row>
    <row r="43" spans="1:8" x14ac:dyDescent="0.25">
      <c r="A43">
        <v>2905</v>
      </c>
      <c r="B43" s="11" t="s">
        <v>209</v>
      </c>
      <c r="C43" t="s">
        <v>73</v>
      </c>
      <c r="H43" s="11"/>
    </row>
    <row r="44" spans="1:8" x14ac:dyDescent="0.25">
      <c r="A44">
        <v>2910</v>
      </c>
      <c r="B44" s="11" t="s">
        <v>210</v>
      </c>
      <c r="C44" t="s">
        <v>73</v>
      </c>
      <c r="H44" s="13"/>
    </row>
    <row r="45" spans="1:8" x14ac:dyDescent="0.25">
      <c r="A45">
        <v>2911</v>
      </c>
      <c r="B45" s="11" t="s">
        <v>211</v>
      </c>
      <c r="C45" t="s">
        <v>73</v>
      </c>
      <c r="H45" s="11"/>
    </row>
    <row r="46" spans="1:8" x14ac:dyDescent="0.25">
      <c r="A46">
        <v>2912</v>
      </c>
      <c r="B46" s="11" t="s">
        <v>212</v>
      </c>
      <c r="C46" t="s">
        <v>73</v>
      </c>
      <c r="H46" s="11"/>
    </row>
    <row r="47" spans="1:8" x14ac:dyDescent="0.25">
      <c r="A47">
        <v>2913</v>
      </c>
      <c r="B47" s="11" t="s">
        <v>213</v>
      </c>
      <c r="C47" t="s">
        <v>73</v>
      </c>
      <c r="H47" s="11"/>
    </row>
    <row r="48" spans="1:8" x14ac:dyDescent="0.25">
      <c r="A48">
        <v>2914</v>
      </c>
      <c r="B48" s="11" t="s">
        <v>162</v>
      </c>
      <c r="C48" t="s">
        <v>73</v>
      </c>
      <c r="H48" s="12"/>
    </row>
    <row r="49" spans="1:8" x14ac:dyDescent="0.25">
      <c r="A49">
        <v>2915</v>
      </c>
      <c r="B49" s="12" t="s">
        <v>214</v>
      </c>
      <c r="C49" t="s">
        <v>73</v>
      </c>
      <c r="H49" s="12"/>
    </row>
    <row r="50" spans="1:8" x14ac:dyDescent="0.25">
      <c r="A50">
        <v>3000</v>
      </c>
      <c r="B50" s="11" t="s">
        <v>215</v>
      </c>
      <c r="C50" t="s">
        <v>74</v>
      </c>
      <c r="H50" s="11"/>
    </row>
    <row r="51" spans="1:8" x14ac:dyDescent="0.25">
      <c r="A51">
        <v>3001</v>
      </c>
      <c r="B51" s="11" t="s">
        <v>216</v>
      </c>
      <c r="C51" t="s">
        <v>74</v>
      </c>
      <c r="H51" s="11"/>
    </row>
    <row r="52" spans="1:8" x14ac:dyDescent="0.25">
      <c r="A52">
        <v>3003</v>
      </c>
      <c r="B52" s="11" t="s">
        <v>217</v>
      </c>
      <c r="C52" t="s">
        <v>74</v>
      </c>
      <c r="H52" s="11"/>
    </row>
    <row r="53" spans="1:8" x14ac:dyDescent="0.25">
      <c r="A53">
        <v>3005</v>
      </c>
      <c r="B53" s="12" t="s">
        <v>218</v>
      </c>
      <c r="C53" t="s">
        <v>74</v>
      </c>
      <c r="H53" s="11"/>
    </row>
    <row r="54" spans="1:8" x14ac:dyDescent="0.25">
      <c r="A54">
        <v>3010</v>
      </c>
      <c r="B54" s="11" t="s">
        <v>219</v>
      </c>
      <c r="C54" t="s">
        <v>74</v>
      </c>
      <c r="H54" s="11"/>
    </row>
    <row r="55" spans="1:8" x14ac:dyDescent="0.25">
      <c r="A55">
        <v>3030</v>
      </c>
      <c r="B55" s="11" t="s">
        <v>220</v>
      </c>
      <c r="C55" t="s">
        <v>74</v>
      </c>
      <c r="H55" s="11"/>
    </row>
    <row r="56" spans="1:8" x14ac:dyDescent="0.25">
      <c r="A56">
        <v>3100</v>
      </c>
      <c r="B56" s="11" t="s">
        <v>221</v>
      </c>
      <c r="C56" t="s">
        <v>74</v>
      </c>
      <c r="H56" s="11"/>
    </row>
    <row r="57" spans="1:8" x14ac:dyDescent="0.25">
      <c r="A57">
        <v>3101</v>
      </c>
      <c r="B57" s="11" t="s">
        <v>222</v>
      </c>
      <c r="C57" t="s">
        <v>74</v>
      </c>
      <c r="H57" s="11"/>
    </row>
    <row r="58" spans="1:8" x14ac:dyDescent="0.25">
      <c r="A58">
        <v>3102</v>
      </c>
      <c r="B58" s="11" t="s">
        <v>223</v>
      </c>
      <c r="C58" t="s">
        <v>74</v>
      </c>
      <c r="H58" s="11"/>
    </row>
    <row r="59" spans="1:8" x14ac:dyDescent="0.25">
      <c r="A59">
        <v>3103</v>
      </c>
      <c r="B59" s="11" t="s">
        <v>224</v>
      </c>
      <c r="C59" t="s">
        <v>74</v>
      </c>
      <c r="H59" s="11"/>
    </row>
    <row r="60" spans="1:8" x14ac:dyDescent="0.25">
      <c r="A60">
        <v>3104</v>
      </c>
      <c r="B60" s="11" t="s">
        <v>225</v>
      </c>
      <c r="C60" t="s">
        <v>74</v>
      </c>
      <c r="H60" s="11"/>
    </row>
    <row r="61" spans="1:8" x14ac:dyDescent="0.25">
      <c r="A61">
        <v>3105</v>
      </c>
      <c r="B61" s="11" t="s">
        <v>226</v>
      </c>
      <c r="C61" t="s">
        <v>74</v>
      </c>
      <c r="H61" s="11"/>
    </row>
    <row r="62" spans="1:8" x14ac:dyDescent="0.25">
      <c r="A62">
        <v>3106</v>
      </c>
      <c r="B62" s="11" t="s">
        <v>227</v>
      </c>
      <c r="C62" t="s">
        <v>74</v>
      </c>
      <c r="H62" s="11"/>
    </row>
    <row r="63" spans="1:8" x14ac:dyDescent="0.25">
      <c r="A63">
        <v>3107</v>
      </c>
      <c r="B63" s="11" t="s">
        <v>228</v>
      </c>
      <c r="C63" t="s">
        <v>74</v>
      </c>
      <c r="H63" s="11"/>
    </row>
    <row r="64" spans="1:8" x14ac:dyDescent="0.25">
      <c r="A64">
        <v>3108</v>
      </c>
      <c r="B64" s="11" t="s">
        <v>229</v>
      </c>
      <c r="C64" t="s">
        <v>74</v>
      </c>
      <c r="H64" s="11"/>
    </row>
    <row r="65" spans="1:8" x14ac:dyDescent="0.25">
      <c r="A65">
        <v>3150</v>
      </c>
      <c r="B65" s="11" t="s">
        <v>230</v>
      </c>
      <c r="C65" t="s">
        <v>74</v>
      </c>
      <c r="H65" s="11"/>
    </row>
    <row r="66" spans="1:8" x14ac:dyDescent="0.25">
      <c r="A66">
        <v>3151</v>
      </c>
      <c r="B66" s="11" t="s">
        <v>231</v>
      </c>
      <c r="C66" t="s">
        <v>74</v>
      </c>
      <c r="H66" s="11"/>
    </row>
    <row r="67" spans="1:8" x14ac:dyDescent="0.25">
      <c r="A67">
        <v>3152</v>
      </c>
      <c r="B67" s="11" t="s">
        <v>232</v>
      </c>
      <c r="C67" t="s">
        <v>74</v>
      </c>
      <c r="H67" s="11"/>
    </row>
    <row r="68" spans="1:8" x14ac:dyDescent="0.25">
      <c r="A68">
        <v>3153</v>
      </c>
      <c r="B68" s="11" t="s">
        <v>233</v>
      </c>
      <c r="C68" t="s">
        <v>74</v>
      </c>
      <c r="H68" s="13"/>
    </row>
    <row r="69" spans="1:8" x14ac:dyDescent="0.25">
      <c r="A69">
        <v>3154</v>
      </c>
      <c r="B69" s="12" t="s">
        <v>234</v>
      </c>
      <c r="C69" t="s">
        <v>74</v>
      </c>
      <c r="H69" s="13"/>
    </row>
    <row r="70" spans="1:8" x14ac:dyDescent="0.25">
      <c r="A70">
        <v>3220</v>
      </c>
      <c r="B70" s="11" t="s">
        <v>235</v>
      </c>
      <c r="C70" t="s">
        <v>74</v>
      </c>
      <c r="H70" s="12"/>
    </row>
    <row r="71" spans="1:8" x14ac:dyDescent="0.25">
      <c r="A71">
        <v>3221</v>
      </c>
      <c r="B71" s="13" t="s">
        <v>175</v>
      </c>
      <c r="C71" t="s">
        <v>74</v>
      </c>
      <c r="H71" s="11"/>
    </row>
    <row r="72" spans="1:8" x14ac:dyDescent="0.25">
      <c r="A72">
        <v>3250</v>
      </c>
      <c r="B72" s="11" t="s">
        <v>236</v>
      </c>
      <c r="C72" t="s">
        <v>74</v>
      </c>
      <c r="H72" s="13"/>
    </row>
    <row r="73" spans="1:8" x14ac:dyDescent="0.25">
      <c r="A73">
        <v>3251</v>
      </c>
      <c r="B73" s="11" t="s">
        <v>237</v>
      </c>
      <c r="C73" t="s">
        <v>74</v>
      </c>
      <c r="H73" s="11"/>
    </row>
    <row r="74" spans="1:8" x14ac:dyDescent="0.25">
      <c r="A74">
        <v>3252</v>
      </c>
      <c r="B74" s="11" t="s">
        <v>238</v>
      </c>
      <c r="C74" t="s">
        <v>74</v>
      </c>
      <c r="H74" s="11"/>
    </row>
    <row r="75" spans="1:8" x14ac:dyDescent="0.25">
      <c r="A75">
        <v>3254</v>
      </c>
      <c r="B75" s="11" t="s">
        <v>239</v>
      </c>
      <c r="C75" t="s">
        <v>74</v>
      </c>
      <c r="H75" s="11"/>
    </row>
    <row r="76" spans="1:8" x14ac:dyDescent="0.25">
      <c r="A76">
        <v>3255</v>
      </c>
      <c r="B76" s="11" t="s">
        <v>240</v>
      </c>
      <c r="C76" t="s">
        <v>74</v>
      </c>
      <c r="H76" s="11"/>
    </row>
    <row r="77" spans="1:8" x14ac:dyDescent="0.25">
      <c r="A77">
        <v>3256</v>
      </c>
      <c r="B77" s="11" t="s">
        <v>241</v>
      </c>
      <c r="C77" t="s">
        <v>74</v>
      </c>
      <c r="H77" s="11"/>
    </row>
    <row r="78" spans="1:8" x14ac:dyDescent="0.25">
      <c r="A78">
        <v>3258</v>
      </c>
      <c r="B78" s="11" t="s">
        <v>243</v>
      </c>
      <c r="C78" t="s">
        <v>74</v>
      </c>
      <c r="H78" s="12"/>
    </row>
    <row r="79" spans="1:8" x14ac:dyDescent="0.25">
      <c r="A79">
        <v>3300</v>
      </c>
      <c r="B79" s="11" t="s">
        <v>244</v>
      </c>
      <c r="C79" t="s">
        <v>74</v>
      </c>
      <c r="H79" s="11"/>
    </row>
    <row r="80" spans="1:8" x14ac:dyDescent="0.25">
      <c r="A80">
        <v>3301</v>
      </c>
      <c r="B80" s="11" t="s">
        <v>245</v>
      </c>
      <c r="C80" t="s">
        <v>74</v>
      </c>
      <c r="H80" s="11"/>
    </row>
    <row r="81" spans="1:8" x14ac:dyDescent="0.25">
      <c r="A81">
        <v>3302</v>
      </c>
      <c r="B81" s="11" t="s">
        <v>246</v>
      </c>
      <c r="C81" t="s">
        <v>74</v>
      </c>
      <c r="H81" s="11"/>
    </row>
    <row r="82" spans="1:8" x14ac:dyDescent="0.25">
      <c r="A82">
        <v>3303</v>
      </c>
      <c r="B82" s="11" t="s">
        <v>247</v>
      </c>
      <c r="C82" t="s">
        <v>74</v>
      </c>
      <c r="H82" s="11"/>
    </row>
    <row r="83" spans="1:8" x14ac:dyDescent="0.25">
      <c r="A83">
        <v>3304</v>
      </c>
      <c r="B83" s="11" t="s">
        <v>248</v>
      </c>
      <c r="C83" t="s">
        <v>74</v>
      </c>
      <c r="H83" s="11"/>
    </row>
    <row r="84" spans="1:8" x14ac:dyDescent="0.25">
      <c r="A84">
        <v>3305</v>
      </c>
      <c r="B84" s="11" t="s">
        <v>249</v>
      </c>
      <c r="C84" t="s">
        <v>74</v>
      </c>
      <c r="H84" s="11"/>
    </row>
    <row r="85" spans="1:8" x14ac:dyDescent="0.25">
      <c r="A85">
        <v>3306</v>
      </c>
      <c r="B85" s="60" t="s">
        <v>242</v>
      </c>
      <c r="C85" t="s">
        <v>74</v>
      </c>
      <c r="D85" t="s">
        <v>1149</v>
      </c>
      <c r="H85" s="11"/>
    </row>
    <row r="86" spans="1:8" x14ac:dyDescent="0.25">
      <c r="A86">
        <v>3350</v>
      </c>
      <c r="B86" s="11" t="s">
        <v>250</v>
      </c>
      <c r="C86" t="s">
        <v>74</v>
      </c>
      <c r="H86" s="11"/>
    </row>
    <row r="87" spans="1:8" x14ac:dyDescent="0.25">
      <c r="A87">
        <v>3351</v>
      </c>
      <c r="B87" s="11" t="s">
        <v>251</v>
      </c>
      <c r="C87" t="s">
        <v>74</v>
      </c>
      <c r="H87" s="11"/>
    </row>
    <row r="88" spans="1:8" x14ac:dyDescent="0.25">
      <c r="A88">
        <v>3352</v>
      </c>
      <c r="B88" s="11" t="s">
        <v>252</v>
      </c>
      <c r="C88" t="s">
        <v>74</v>
      </c>
      <c r="H88" s="11"/>
    </row>
    <row r="89" spans="1:8" x14ac:dyDescent="0.25">
      <c r="A89">
        <v>3353</v>
      </c>
      <c r="B89" s="11" t="s">
        <v>253</v>
      </c>
      <c r="C89" t="s">
        <v>74</v>
      </c>
      <c r="H89" s="11"/>
    </row>
    <row r="90" spans="1:8" x14ac:dyDescent="0.25">
      <c r="A90">
        <v>3400</v>
      </c>
      <c r="B90" s="11" t="s">
        <v>254</v>
      </c>
      <c r="C90" t="s">
        <v>74</v>
      </c>
      <c r="H90" s="11"/>
    </row>
    <row r="91" spans="1:8" x14ac:dyDescent="0.25">
      <c r="A91">
        <v>3401</v>
      </c>
      <c r="B91" s="11" t="s">
        <v>255</v>
      </c>
      <c r="C91" t="s">
        <v>74</v>
      </c>
      <c r="H91" s="11"/>
    </row>
    <row r="92" spans="1:8" x14ac:dyDescent="0.25">
      <c r="A92">
        <v>3402</v>
      </c>
      <c r="B92" s="11" t="s">
        <v>256</v>
      </c>
      <c r="C92" t="s">
        <v>74</v>
      </c>
      <c r="H92" s="11"/>
    </row>
    <row r="93" spans="1:8" x14ac:dyDescent="0.25">
      <c r="A93">
        <v>3403</v>
      </c>
      <c r="B93" s="11" t="s">
        <v>257</v>
      </c>
      <c r="C93" t="s">
        <v>74</v>
      </c>
      <c r="H93" s="11"/>
    </row>
    <row r="94" spans="1:8" x14ac:dyDescent="0.25">
      <c r="A94">
        <v>3405</v>
      </c>
      <c r="B94" s="11" t="s">
        <v>258</v>
      </c>
      <c r="C94" t="s">
        <v>74</v>
      </c>
      <c r="H94" s="11"/>
    </row>
    <row r="95" spans="1:8" x14ac:dyDescent="0.25">
      <c r="A95">
        <v>3450</v>
      </c>
      <c r="B95" s="11" t="s">
        <v>259</v>
      </c>
      <c r="C95" t="s">
        <v>74</v>
      </c>
      <c r="H95" s="11"/>
    </row>
    <row r="96" spans="1:8" x14ac:dyDescent="0.25">
      <c r="A96">
        <v>3451</v>
      </c>
      <c r="B96" s="11" t="s">
        <v>260</v>
      </c>
      <c r="C96" t="s">
        <v>74</v>
      </c>
      <c r="H96" s="11"/>
    </row>
    <row r="97" spans="1:8" x14ac:dyDescent="0.25">
      <c r="A97">
        <v>3452</v>
      </c>
      <c r="B97" s="11" t="s">
        <v>261</v>
      </c>
      <c r="C97" t="s">
        <v>74</v>
      </c>
      <c r="H97" s="11"/>
    </row>
    <row r="98" spans="1:8" x14ac:dyDescent="0.25">
      <c r="A98">
        <v>3453</v>
      </c>
      <c r="B98" s="11" t="s">
        <v>262</v>
      </c>
      <c r="C98" t="s">
        <v>74</v>
      </c>
      <c r="H98" s="11"/>
    </row>
    <row r="99" spans="1:8" x14ac:dyDescent="0.25">
      <c r="A99">
        <v>3454</v>
      </c>
      <c r="B99" s="11" t="s">
        <v>263</v>
      </c>
      <c r="C99" t="s">
        <v>74</v>
      </c>
      <c r="H99" s="11"/>
    </row>
    <row r="100" spans="1:8" x14ac:dyDescent="0.25">
      <c r="A100">
        <v>3455</v>
      </c>
      <c r="B100" s="11" t="s">
        <v>264</v>
      </c>
      <c r="C100" t="s">
        <v>74</v>
      </c>
      <c r="H100" s="11"/>
    </row>
    <row r="101" spans="1:8" x14ac:dyDescent="0.25">
      <c r="A101">
        <v>3456</v>
      </c>
      <c r="B101" s="11" t="s">
        <v>265</v>
      </c>
      <c r="C101" t="s">
        <v>74</v>
      </c>
      <c r="H101" s="11"/>
    </row>
    <row r="102" spans="1:8" x14ac:dyDescent="0.25">
      <c r="A102">
        <v>3500</v>
      </c>
      <c r="B102" s="11" t="s">
        <v>266</v>
      </c>
      <c r="C102" t="s">
        <v>74</v>
      </c>
      <c r="H102" s="11"/>
    </row>
    <row r="103" spans="1:8" x14ac:dyDescent="0.25">
      <c r="A103">
        <v>3550</v>
      </c>
      <c r="B103" s="11" t="s">
        <v>267</v>
      </c>
      <c r="C103" t="s">
        <v>74</v>
      </c>
      <c r="H103" s="13"/>
    </row>
    <row r="104" spans="1:8" x14ac:dyDescent="0.25">
      <c r="A104">
        <v>3600</v>
      </c>
      <c r="B104" s="11" t="s">
        <v>268</v>
      </c>
      <c r="C104" t="s">
        <v>74</v>
      </c>
      <c r="H104" s="11"/>
    </row>
    <row r="105" spans="1:8" x14ac:dyDescent="0.25">
      <c r="A105">
        <v>3601</v>
      </c>
      <c r="B105" s="11" t="s">
        <v>269</v>
      </c>
      <c r="C105" t="s">
        <v>74</v>
      </c>
      <c r="H105" s="11"/>
    </row>
    <row r="106" spans="1:8" x14ac:dyDescent="0.25">
      <c r="A106">
        <v>3602</v>
      </c>
      <c r="B106" s="11" t="s">
        <v>270</v>
      </c>
      <c r="C106" t="s">
        <v>74</v>
      </c>
      <c r="H106" s="11"/>
    </row>
    <row r="107" spans="1:8" x14ac:dyDescent="0.25">
      <c r="A107">
        <v>3603</v>
      </c>
      <c r="B107" s="11" t="s">
        <v>271</v>
      </c>
      <c r="C107" t="s">
        <v>74</v>
      </c>
      <c r="H107" s="11"/>
    </row>
    <row r="108" spans="1:8" x14ac:dyDescent="0.25">
      <c r="A108">
        <v>3700</v>
      </c>
      <c r="B108" s="11" t="s">
        <v>272</v>
      </c>
      <c r="C108" t="s">
        <v>74</v>
      </c>
      <c r="H108" s="11"/>
    </row>
    <row r="109" spans="1:8" x14ac:dyDescent="0.25">
      <c r="A109">
        <v>3701</v>
      </c>
      <c r="B109" s="11" t="s">
        <v>273</v>
      </c>
      <c r="C109" t="s">
        <v>74</v>
      </c>
      <c r="H109" s="11"/>
    </row>
    <row r="110" spans="1:8" x14ac:dyDescent="0.25">
      <c r="A110">
        <v>3702</v>
      </c>
      <c r="B110" s="11" t="s">
        <v>274</v>
      </c>
      <c r="C110" t="s">
        <v>74</v>
      </c>
      <c r="H110" s="11"/>
    </row>
    <row r="111" spans="1:8" x14ac:dyDescent="0.25">
      <c r="A111">
        <v>3703</v>
      </c>
      <c r="B111" s="11" t="s">
        <v>275</v>
      </c>
      <c r="C111" t="s">
        <v>74</v>
      </c>
      <c r="H111" s="11"/>
    </row>
    <row r="112" spans="1:8" x14ac:dyDescent="0.25">
      <c r="A112">
        <v>3705</v>
      </c>
      <c r="B112" s="11" t="s">
        <v>276</v>
      </c>
      <c r="C112" t="s">
        <v>74</v>
      </c>
      <c r="H112" s="11"/>
    </row>
    <row r="113" spans="1:8" x14ac:dyDescent="0.25">
      <c r="A113">
        <v>3706</v>
      </c>
      <c r="B113" s="11" t="s">
        <v>277</v>
      </c>
      <c r="C113" t="s">
        <v>74</v>
      </c>
      <c r="H113" s="11"/>
    </row>
    <row r="114" spans="1:8" x14ac:dyDescent="0.25">
      <c r="A114">
        <v>3707</v>
      </c>
      <c r="B114" s="11" t="s">
        <v>278</v>
      </c>
      <c r="C114" t="s">
        <v>74</v>
      </c>
      <c r="H114" s="11"/>
    </row>
    <row r="115" spans="1:8" x14ac:dyDescent="0.25">
      <c r="A115">
        <v>3708</v>
      </c>
      <c r="B115" s="11" t="s">
        <v>279</v>
      </c>
      <c r="C115" t="s">
        <v>74</v>
      </c>
      <c r="H115" s="11"/>
    </row>
    <row r="116" spans="1:8" x14ac:dyDescent="0.25">
      <c r="A116">
        <v>3709</v>
      </c>
      <c r="B116" s="11" t="s">
        <v>280</v>
      </c>
      <c r="C116" t="s">
        <v>74</v>
      </c>
      <c r="H116" s="11"/>
    </row>
    <row r="117" spans="1:8" x14ac:dyDescent="0.25">
      <c r="A117">
        <v>3710</v>
      </c>
      <c r="B117" s="11" t="s">
        <v>281</v>
      </c>
      <c r="C117" t="s">
        <v>74</v>
      </c>
      <c r="H117" s="11"/>
    </row>
    <row r="118" spans="1:8" x14ac:dyDescent="0.25">
      <c r="A118" s="295">
        <v>3850</v>
      </c>
      <c r="B118" s="60" t="s">
        <v>822</v>
      </c>
      <c r="C118" t="s">
        <v>74</v>
      </c>
      <c r="D118" t="s">
        <v>2221</v>
      </c>
      <c r="H118" s="11"/>
    </row>
    <row r="119" spans="1:8" x14ac:dyDescent="0.25">
      <c r="A119">
        <v>3900</v>
      </c>
      <c r="B119" s="11" t="s">
        <v>282</v>
      </c>
      <c r="C119" t="s">
        <v>74</v>
      </c>
      <c r="H119" s="11"/>
    </row>
    <row r="120" spans="1:8" x14ac:dyDescent="0.25">
      <c r="A120">
        <v>3910</v>
      </c>
      <c r="B120" s="11" t="s">
        <v>283</v>
      </c>
      <c r="C120" t="s">
        <v>74</v>
      </c>
      <c r="H120" s="11"/>
    </row>
    <row r="121" spans="1:8" x14ac:dyDescent="0.25">
      <c r="A121">
        <v>3920</v>
      </c>
      <c r="B121" s="13" t="s">
        <v>178</v>
      </c>
      <c r="C121" t="s">
        <v>74</v>
      </c>
      <c r="H121" s="11"/>
    </row>
    <row r="122" spans="1:8" x14ac:dyDescent="0.25">
      <c r="A122">
        <v>3921</v>
      </c>
      <c r="B122" s="13" t="s">
        <v>179</v>
      </c>
      <c r="C122" t="s">
        <v>74</v>
      </c>
      <c r="H122" s="11"/>
    </row>
    <row r="123" spans="1:8" x14ac:dyDescent="0.25">
      <c r="A123">
        <v>3922</v>
      </c>
      <c r="B123" s="13" t="s">
        <v>180</v>
      </c>
      <c r="C123" t="s">
        <v>74</v>
      </c>
      <c r="H123" s="11"/>
    </row>
    <row r="124" spans="1:8" x14ac:dyDescent="0.25">
      <c r="A124">
        <v>3923</v>
      </c>
      <c r="B124" s="13" t="s">
        <v>181</v>
      </c>
      <c r="C124" t="s">
        <v>74</v>
      </c>
      <c r="H124" s="11"/>
    </row>
    <row r="125" spans="1:8" x14ac:dyDescent="0.25">
      <c r="A125">
        <v>3960</v>
      </c>
      <c r="B125" s="11" t="s">
        <v>284</v>
      </c>
      <c r="C125" t="s">
        <v>74</v>
      </c>
      <c r="H125" s="11"/>
    </row>
    <row r="126" spans="1:8" x14ac:dyDescent="0.25">
      <c r="A126">
        <v>3962</v>
      </c>
      <c r="B126" s="11" t="s">
        <v>285</v>
      </c>
      <c r="C126" t="s">
        <v>74</v>
      </c>
      <c r="H126" s="11"/>
    </row>
    <row r="127" spans="1:8" x14ac:dyDescent="0.25">
      <c r="A127">
        <v>3964</v>
      </c>
      <c r="B127" s="11" t="s">
        <v>286</v>
      </c>
      <c r="C127" t="s">
        <v>74</v>
      </c>
      <c r="H127" s="11"/>
    </row>
    <row r="128" spans="1:8" x14ac:dyDescent="0.25">
      <c r="A128">
        <v>3966</v>
      </c>
      <c r="B128" s="11" t="s">
        <v>287</v>
      </c>
      <c r="C128" t="s">
        <v>74</v>
      </c>
      <c r="H128" s="12"/>
    </row>
    <row r="129" spans="1:8" x14ac:dyDescent="0.25">
      <c r="A129">
        <v>3968</v>
      </c>
      <c r="B129" s="11" t="s">
        <v>288</v>
      </c>
      <c r="C129" t="s">
        <v>74</v>
      </c>
      <c r="H129" s="11"/>
    </row>
    <row r="130" spans="1:8" x14ac:dyDescent="0.25">
      <c r="A130">
        <v>3970</v>
      </c>
      <c r="B130" s="11" t="s">
        <v>289</v>
      </c>
      <c r="C130" t="s">
        <v>74</v>
      </c>
      <c r="H130" s="12"/>
    </row>
    <row r="131" spans="1:8" x14ac:dyDescent="0.25">
      <c r="A131">
        <v>3972</v>
      </c>
      <c r="B131" s="11" t="s">
        <v>290</v>
      </c>
      <c r="C131" t="s">
        <v>74</v>
      </c>
      <c r="H131" s="11"/>
    </row>
    <row r="132" spans="1:8" x14ac:dyDescent="0.25">
      <c r="A132">
        <v>3974</v>
      </c>
      <c r="B132" s="11" t="s">
        <v>291</v>
      </c>
      <c r="C132" t="s">
        <v>74</v>
      </c>
      <c r="H132" s="11"/>
    </row>
    <row r="133" spans="1:8" x14ac:dyDescent="0.25">
      <c r="A133">
        <v>3976</v>
      </c>
      <c r="B133" s="11" t="s">
        <v>292</v>
      </c>
      <c r="C133" t="s">
        <v>74</v>
      </c>
      <c r="H133" s="11"/>
    </row>
    <row r="134" spans="1:8" x14ac:dyDescent="0.25">
      <c r="A134">
        <v>3978</v>
      </c>
      <c r="B134" s="11" t="s">
        <v>293</v>
      </c>
      <c r="C134" t="s">
        <v>74</v>
      </c>
      <c r="H134" s="11"/>
    </row>
    <row r="135" spans="1:8" x14ac:dyDescent="0.25">
      <c r="A135">
        <v>3980</v>
      </c>
      <c r="B135" s="11" t="s">
        <v>294</v>
      </c>
      <c r="C135" t="s">
        <v>74</v>
      </c>
      <c r="H135" s="11"/>
    </row>
    <row r="136" spans="1:8" x14ac:dyDescent="0.25">
      <c r="A136">
        <v>3982</v>
      </c>
      <c r="B136" s="11" t="s">
        <v>295</v>
      </c>
      <c r="C136" t="s">
        <v>74</v>
      </c>
      <c r="H136" s="11"/>
    </row>
    <row r="137" spans="1:8" x14ac:dyDescent="0.25">
      <c r="A137">
        <v>3984</v>
      </c>
      <c r="B137" s="11" t="s">
        <v>296</v>
      </c>
      <c r="C137" t="s">
        <v>74</v>
      </c>
      <c r="H137" s="11"/>
    </row>
    <row r="138" spans="1:8" x14ac:dyDescent="0.25">
      <c r="A138">
        <v>3986</v>
      </c>
      <c r="B138" s="11" t="s">
        <v>297</v>
      </c>
      <c r="C138" t="s">
        <v>74</v>
      </c>
      <c r="H138" s="11"/>
    </row>
    <row r="139" spans="1:8" x14ac:dyDescent="0.25">
      <c r="A139">
        <v>3988</v>
      </c>
      <c r="B139" s="11" t="s">
        <v>298</v>
      </c>
      <c r="C139" t="s">
        <v>74</v>
      </c>
      <c r="H139" s="11"/>
    </row>
    <row r="140" spans="1:8" x14ac:dyDescent="0.25">
      <c r="A140">
        <v>3990</v>
      </c>
      <c r="B140" s="11" t="s">
        <v>299</v>
      </c>
      <c r="C140" t="s">
        <v>74</v>
      </c>
      <c r="H140" s="11"/>
    </row>
    <row r="141" spans="1:8" x14ac:dyDescent="0.25">
      <c r="A141">
        <v>5000</v>
      </c>
      <c r="B141" s="11" t="s">
        <v>300</v>
      </c>
      <c r="C141" t="s">
        <v>75</v>
      </c>
      <c r="H141" s="11"/>
    </row>
    <row r="142" spans="1:8" x14ac:dyDescent="0.25">
      <c r="A142">
        <v>5005</v>
      </c>
      <c r="B142" s="11" t="s">
        <v>301</v>
      </c>
      <c r="C142" t="s">
        <v>75</v>
      </c>
      <c r="H142" s="11"/>
    </row>
    <row r="143" spans="1:8" x14ac:dyDescent="0.25">
      <c r="A143">
        <v>5008</v>
      </c>
      <c r="B143" s="11" t="s">
        <v>302</v>
      </c>
      <c r="C143" t="s">
        <v>75</v>
      </c>
      <c r="H143" s="11"/>
    </row>
    <row r="144" spans="1:8" x14ac:dyDescent="0.25">
      <c r="A144">
        <v>5009</v>
      </c>
      <c r="B144" s="12" t="s">
        <v>163</v>
      </c>
      <c r="C144" t="s">
        <v>75</v>
      </c>
      <c r="H144" s="11"/>
    </row>
    <row r="145" spans="1:8" x14ac:dyDescent="0.25">
      <c r="A145">
        <v>5016</v>
      </c>
      <c r="B145" s="11" t="s">
        <v>303</v>
      </c>
      <c r="C145" t="s">
        <v>75</v>
      </c>
      <c r="H145" s="11"/>
    </row>
    <row r="146" spans="1:8" x14ac:dyDescent="0.25">
      <c r="A146">
        <v>5100</v>
      </c>
      <c r="B146" s="12" t="s">
        <v>164</v>
      </c>
      <c r="C146" t="s">
        <v>75</v>
      </c>
      <c r="H146" s="11"/>
    </row>
    <row r="147" spans="1:8" x14ac:dyDescent="0.25">
      <c r="A147">
        <v>5121</v>
      </c>
      <c r="B147" s="11" t="s">
        <v>304</v>
      </c>
      <c r="C147" t="s">
        <v>75</v>
      </c>
      <c r="H147" s="11"/>
    </row>
    <row r="148" spans="1:8" x14ac:dyDescent="0.25">
      <c r="A148">
        <v>5160</v>
      </c>
      <c r="B148" s="11" t="s">
        <v>305</v>
      </c>
      <c r="C148" t="s">
        <v>75</v>
      </c>
      <c r="H148" s="11"/>
    </row>
    <row r="149" spans="1:8" x14ac:dyDescent="0.25">
      <c r="A149">
        <v>5161</v>
      </c>
      <c r="B149" s="11" t="s">
        <v>306</v>
      </c>
      <c r="C149" t="s">
        <v>75</v>
      </c>
      <c r="H149" s="13"/>
    </row>
    <row r="150" spans="1:8" x14ac:dyDescent="0.25">
      <c r="A150">
        <v>5220</v>
      </c>
      <c r="B150" s="11" t="s">
        <v>235</v>
      </c>
      <c r="C150" t="s">
        <v>75</v>
      </c>
      <c r="H150" s="11"/>
    </row>
    <row r="151" spans="1:8" x14ac:dyDescent="0.25">
      <c r="A151">
        <v>5310</v>
      </c>
      <c r="B151" s="11" t="s">
        <v>307</v>
      </c>
      <c r="C151" t="s">
        <v>75</v>
      </c>
      <c r="H151" s="11"/>
    </row>
    <row r="152" spans="1:8" x14ac:dyDescent="0.25">
      <c r="A152">
        <v>5400</v>
      </c>
      <c r="B152" s="11" t="s">
        <v>308</v>
      </c>
      <c r="C152" t="s">
        <v>75</v>
      </c>
      <c r="H152" s="11"/>
    </row>
    <row r="153" spans="1:8" x14ac:dyDescent="0.25">
      <c r="A153">
        <v>5410</v>
      </c>
      <c r="B153" s="60" t="s">
        <v>1105</v>
      </c>
      <c r="C153" t="s">
        <v>75</v>
      </c>
      <c r="H153" s="11"/>
    </row>
    <row r="154" spans="1:8" x14ac:dyDescent="0.25">
      <c r="A154">
        <v>5412</v>
      </c>
      <c r="B154" s="11" t="s">
        <v>309</v>
      </c>
      <c r="C154" t="s">
        <v>75</v>
      </c>
      <c r="H154" s="11"/>
    </row>
    <row r="155" spans="1:8" x14ac:dyDescent="0.25">
      <c r="A155">
        <v>5500</v>
      </c>
      <c r="B155" s="12" t="s">
        <v>165</v>
      </c>
      <c r="C155" t="s">
        <v>75</v>
      </c>
      <c r="H155" s="11"/>
    </row>
    <row r="156" spans="1:8" x14ac:dyDescent="0.25">
      <c r="A156">
        <v>5607</v>
      </c>
      <c r="B156" s="11" t="s">
        <v>310</v>
      </c>
      <c r="C156" t="s">
        <v>75</v>
      </c>
      <c r="H156" s="13"/>
    </row>
    <row r="157" spans="1:8" x14ac:dyDescent="0.25">
      <c r="A157">
        <v>5608</v>
      </c>
      <c r="B157" s="11" t="s">
        <v>311</v>
      </c>
      <c r="C157" t="s">
        <v>75</v>
      </c>
      <c r="H157" s="11"/>
    </row>
    <row r="158" spans="1:8" x14ac:dyDescent="0.25">
      <c r="A158">
        <v>5609</v>
      </c>
      <c r="B158" s="11" t="s">
        <v>312</v>
      </c>
      <c r="C158" t="s">
        <v>75</v>
      </c>
      <c r="H158" s="11"/>
    </row>
    <row r="159" spans="1:8" x14ac:dyDescent="0.25">
      <c r="A159">
        <v>5700</v>
      </c>
      <c r="B159" s="11" t="s">
        <v>313</v>
      </c>
      <c r="C159" t="s">
        <v>75</v>
      </c>
      <c r="H159" s="11"/>
    </row>
    <row r="160" spans="1:8" x14ac:dyDescent="0.25">
      <c r="A160">
        <v>5701</v>
      </c>
      <c r="B160" s="11" t="s">
        <v>314</v>
      </c>
      <c r="C160" t="s">
        <v>75</v>
      </c>
      <c r="H160" s="11"/>
    </row>
    <row r="161" spans="1:8" x14ac:dyDescent="0.25">
      <c r="A161">
        <v>5730</v>
      </c>
      <c r="B161" s="12" t="s">
        <v>166</v>
      </c>
      <c r="C161" t="s">
        <v>75</v>
      </c>
      <c r="H161" s="11"/>
    </row>
    <row r="162" spans="1:8" x14ac:dyDescent="0.25">
      <c r="A162">
        <v>5740</v>
      </c>
      <c r="B162" s="60" t="s">
        <v>461</v>
      </c>
      <c r="C162" t="s">
        <v>75</v>
      </c>
      <c r="H162" s="11"/>
    </row>
    <row r="163" spans="1:8" x14ac:dyDescent="0.25">
      <c r="A163">
        <v>6000</v>
      </c>
      <c r="B163" s="11" t="s">
        <v>315</v>
      </c>
      <c r="C163" s="39" t="s">
        <v>861</v>
      </c>
      <c r="H163" s="11"/>
    </row>
    <row r="164" spans="1:8" x14ac:dyDescent="0.25">
      <c r="A164">
        <v>6100</v>
      </c>
      <c r="B164" s="11" t="s">
        <v>316</v>
      </c>
      <c r="C164" t="s">
        <v>72</v>
      </c>
      <c r="H164" s="11"/>
    </row>
    <row r="165" spans="1:8" x14ac:dyDescent="0.25">
      <c r="A165">
        <v>6150</v>
      </c>
      <c r="B165" s="11" t="s">
        <v>317</v>
      </c>
      <c r="C165" t="s">
        <v>72</v>
      </c>
    </row>
    <row r="166" spans="1:8" x14ac:dyDescent="0.25">
      <c r="A166">
        <v>7000</v>
      </c>
      <c r="B166" s="11" t="s">
        <v>12</v>
      </c>
    </row>
    <row r="167" spans="1:8" x14ac:dyDescent="0.25">
      <c r="A167">
        <v>7001</v>
      </c>
      <c r="B167" s="12" t="s">
        <v>13</v>
      </c>
    </row>
    <row r="168" spans="1:8" x14ac:dyDescent="0.25">
      <c r="A168">
        <v>7002</v>
      </c>
      <c r="B168" s="12" t="s">
        <v>14</v>
      </c>
    </row>
    <row r="169" spans="1:8" x14ac:dyDescent="0.25">
      <c r="A169">
        <v>7006</v>
      </c>
      <c r="B169" s="11" t="s">
        <v>15</v>
      </c>
    </row>
    <row r="170" spans="1:8" x14ac:dyDescent="0.25">
      <c r="A170">
        <v>7008</v>
      </c>
      <c r="B170" s="11" t="s">
        <v>16</v>
      </c>
    </row>
    <row r="171" spans="1:8" x14ac:dyDescent="0.25">
      <c r="A171">
        <v>7050</v>
      </c>
      <c r="B171" s="12" t="s">
        <v>17</v>
      </c>
    </row>
    <row r="172" spans="1:8" x14ac:dyDescent="0.25">
      <c r="A172">
        <v>7055</v>
      </c>
      <c r="B172" s="12" t="s">
        <v>18</v>
      </c>
    </row>
    <row r="173" spans="1:8" x14ac:dyDescent="0.25">
      <c r="A173">
        <v>7101</v>
      </c>
      <c r="B173" s="11" t="s">
        <v>19</v>
      </c>
    </row>
    <row r="174" spans="1:8" x14ac:dyDescent="0.25">
      <c r="A174">
        <v>7103</v>
      </c>
      <c r="B174" s="11" t="s">
        <v>20</v>
      </c>
    </row>
    <row r="175" spans="1:8" x14ac:dyDescent="0.25">
      <c r="A175">
        <v>7300</v>
      </c>
      <c r="B175" s="11" t="s">
        <v>21</v>
      </c>
    </row>
    <row r="176" spans="1:8" x14ac:dyDescent="0.25">
      <c r="A176">
        <v>7400</v>
      </c>
      <c r="B176" s="11" t="s">
        <v>22</v>
      </c>
    </row>
    <row r="177" spans="1:2" x14ac:dyDescent="0.25">
      <c r="A177">
        <v>7401</v>
      </c>
      <c r="B177" s="11" t="s">
        <v>23</v>
      </c>
    </row>
    <row r="178" spans="1:2" x14ac:dyDescent="0.25">
      <c r="A178">
        <v>7460</v>
      </c>
      <c r="B178" s="11" t="s">
        <v>24</v>
      </c>
    </row>
    <row r="179" spans="1:2" x14ac:dyDescent="0.25">
      <c r="A179">
        <v>7500</v>
      </c>
      <c r="B179" s="11" t="s">
        <v>25</v>
      </c>
    </row>
    <row r="180" spans="1:2" x14ac:dyDescent="0.25">
      <c r="A180">
        <v>7504</v>
      </c>
      <c r="B180" s="11" t="s">
        <v>26</v>
      </c>
    </row>
    <row r="181" spans="1:2" x14ac:dyDescent="0.25">
      <c r="A181">
        <v>7508</v>
      </c>
      <c r="B181" s="11" t="s">
        <v>27</v>
      </c>
    </row>
    <row r="182" spans="1:2" x14ac:dyDescent="0.25">
      <c r="A182">
        <v>7510</v>
      </c>
      <c r="B182" s="11" t="s">
        <v>28</v>
      </c>
    </row>
    <row r="183" spans="1:2" x14ac:dyDescent="0.25">
      <c r="A183">
        <v>7512</v>
      </c>
      <c r="B183" s="11" t="s">
        <v>29</v>
      </c>
    </row>
    <row r="184" spans="1:2" x14ac:dyDescent="0.25">
      <c r="A184">
        <v>7514</v>
      </c>
      <c r="B184" s="11" t="s">
        <v>30</v>
      </c>
    </row>
    <row r="185" spans="1:2" x14ac:dyDescent="0.25">
      <c r="A185">
        <v>7516</v>
      </c>
      <c r="B185" s="11" t="s">
        <v>31</v>
      </c>
    </row>
    <row r="186" spans="1:2" x14ac:dyDescent="0.25">
      <c r="A186">
        <v>7518</v>
      </c>
      <c r="B186" s="11" t="s">
        <v>32</v>
      </c>
    </row>
    <row r="187" spans="1:2" x14ac:dyDescent="0.25">
      <c r="A187">
        <v>7522</v>
      </c>
      <c r="B187" s="11" t="s">
        <v>182</v>
      </c>
    </row>
    <row r="188" spans="1:2" x14ac:dyDescent="0.25">
      <c r="A188">
        <v>7524</v>
      </c>
      <c r="B188" s="13" t="s">
        <v>183</v>
      </c>
    </row>
    <row r="189" spans="1:2" x14ac:dyDescent="0.25">
      <c r="A189">
        <v>7526</v>
      </c>
      <c r="B189" s="11" t="s">
        <v>33</v>
      </c>
    </row>
    <row r="190" spans="1:2" x14ac:dyDescent="0.25">
      <c r="A190">
        <v>7530</v>
      </c>
      <c r="B190" s="12" t="s">
        <v>167</v>
      </c>
    </row>
    <row r="191" spans="1:2" x14ac:dyDescent="0.25">
      <c r="A191">
        <v>7531</v>
      </c>
      <c r="B191" s="12" t="s">
        <v>168</v>
      </c>
    </row>
    <row r="192" spans="1:2" x14ac:dyDescent="0.25">
      <c r="A192">
        <v>7600</v>
      </c>
      <c r="B192" s="11" t="s">
        <v>34</v>
      </c>
    </row>
    <row r="193" spans="1:2" x14ac:dyDescent="0.25">
      <c r="A193">
        <v>7602</v>
      </c>
      <c r="B193" s="12" t="s">
        <v>169</v>
      </c>
    </row>
    <row r="194" spans="1:2" x14ac:dyDescent="0.25">
      <c r="A194">
        <v>7605</v>
      </c>
      <c r="B194" s="11" t="s">
        <v>40</v>
      </c>
    </row>
    <row r="195" spans="1:2" x14ac:dyDescent="0.25">
      <c r="A195">
        <v>7610</v>
      </c>
      <c r="B195" s="11" t="s">
        <v>41</v>
      </c>
    </row>
    <row r="196" spans="1:2" x14ac:dyDescent="0.25">
      <c r="A196">
        <v>7615</v>
      </c>
      <c r="B196" s="11" t="s">
        <v>42</v>
      </c>
    </row>
    <row r="197" spans="1:2" x14ac:dyDescent="0.25">
      <c r="A197">
        <v>7620</v>
      </c>
      <c r="B197" s="11" t="s">
        <v>43</v>
      </c>
    </row>
    <row r="198" spans="1:2" x14ac:dyDescent="0.25">
      <c r="A198">
        <v>7625</v>
      </c>
      <c r="B198" s="11" t="s">
        <v>44</v>
      </c>
    </row>
    <row r="199" spans="1:2" x14ac:dyDescent="0.25">
      <c r="A199">
        <v>7630</v>
      </c>
      <c r="B199" s="11" t="s">
        <v>45</v>
      </c>
    </row>
    <row r="200" spans="1:2" x14ac:dyDescent="0.25">
      <c r="A200">
        <v>7635</v>
      </c>
      <c r="B200" s="11" t="s">
        <v>46</v>
      </c>
    </row>
    <row r="201" spans="1:2" x14ac:dyDescent="0.25">
      <c r="A201">
        <v>7640</v>
      </c>
      <c r="B201" s="11" t="s">
        <v>47</v>
      </c>
    </row>
    <row r="202" spans="1:2" x14ac:dyDescent="0.25">
      <c r="A202">
        <v>7642</v>
      </c>
      <c r="B202" s="12" t="s">
        <v>170</v>
      </c>
    </row>
    <row r="203" spans="1:2" x14ac:dyDescent="0.25">
      <c r="A203">
        <v>7645</v>
      </c>
      <c r="B203" s="11" t="s">
        <v>48</v>
      </c>
    </row>
    <row r="204" spans="1:2" x14ac:dyDescent="0.25">
      <c r="A204">
        <v>7650</v>
      </c>
      <c r="B204" s="11" t="s">
        <v>49</v>
      </c>
    </row>
    <row r="205" spans="1:2" x14ac:dyDescent="0.25">
      <c r="A205">
        <v>7655</v>
      </c>
      <c r="B205" s="11" t="s">
        <v>171</v>
      </c>
    </row>
    <row r="206" spans="1:2" x14ac:dyDescent="0.25">
      <c r="A206">
        <v>7998</v>
      </c>
      <c r="B206" s="11" t="s">
        <v>50</v>
      </c>
    </row>
    <row r="207" spans="1:2" x14ac:dyDescent="0.25">
      <c r="A207">
        <v>8540</v>
      </c>
      <c r="B207" s="14" t="s">
        <v>51</v>
      </c>
    </row>
    <row r="208" spans="1:2" x14ac:dyDescent="0.25">
      <c r="A208">
        <v>8560</v>
      </c>
      <c r="B208" s="11" t="s">
        <v>52</v>
      </c>
    </row>
    <row r="209" spans="1:2" x14ac:dyDescent="0.25">
      <c r="A209">
        <v>8600</v>
      </c>
      <c r="B209" s="11" t="s">
        <v>53</v>
      </c>
    </row>
    <row r="210" spans="1:2" x14ac:dyDescent="0.25">
      <c r="A210">
        <v>8610</v>
      </c>
      <c r="B210" s="11" t="s">
        <v>54</v>
      </c>
    </row>
    <row r="211" spans="1:2" x14ac:dyDescent="0.25">
      <c r="A211">
        <v>8620</v>
      </c>
      <c r="B211" s="11" t="s">
        <v>55</v>
      </c>
    </row>
    <row r="212" spans="1:2" x14ac:dyDescent="0.25">
      <c r="A212">
        <v>9890</v>
      </c>
      <c r="B212" s="11" t="s">
        <v>56</v>
      </c>
    </row>
    <row r="213" spans="1:2" x14ac:dyDescent="0.25">
      <c r="A213">
        <v>9891</v>
      </c>
      <c r="B213" s="11" t="s">
        <v>57</v>
      </c>
    </row>
  </sheetData>
  <sheetProtection sheet="1" objects="1" scenarios="1"/>
  <autoFilter ref="A1:G1"/>
  <sortState ref="A2:C211">
    <sortCondition ref="A2:A211"/>
  </sortState>
  <phoneticPr fontId="14" type="noConversion"/>
  <printOptions gridLines="1"/>
  <pageMargins left="0.74803149606299213" right="0.74803149606299213" top="0.39370078740157483" bottom="0.39370078740157483" header="0.51181102362204722" footer="0.51181102362204722"/>
  <pageSetup paperSize="9" orientation="portrait" verticalDpi="0"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tabColor rgb="FFC00000"/>
  </sheetPr>
  <dimension ref="A1:D67"/>
  <sheetViews>
    <sheetView zoomScaleNormal="100" workbookViewId="0">
      <selection activeCell="D1" sqref="D1"/>
    </sheetView>
  </sheetViews>
  <sheetFormatPr defaultColWidth="8.85546875" defaultRowHeight="15" x14ac:dyDescent="0.25"/>
  <cols>
    <col min="1" max="1" width="14" bestFit="1" customWidth="1"/>
    <col min="2" max="2" width="42.5703125" customWidth="1"/>
    <col min="3" max="3" width="5.5703125" customWidth="1"/>
    <col min="4" max="4" width="41.42578125" customWidth="1"/>
  </cols>
  <sheetData>
    <row r="1" spans="1:4" s="1" customFormat="1" ht="14.25" x14ac:dyDescent="0.2">
      <c r="A1" s="284" t="s">
        <v>105</v>
      </c>
      <c r="B1" s="284" t="s">
        <v>155</v>
      </c>
    </row>
    <row r="2" spans="1:4" x14ac:dyDescent="0.25">
      <c r="A2" s="285" t="s">
        <v>117</v>
      </c>
      <c r="B2" s="286" t="s">
        <v>124</v>
      </c>
    </row>
    <row r="3" spans="1:4" x14ac:dyDescent="0.25">
      <c r="A3" s="287" t="s">
        <v>358</v>
      </c>
      <c r="B3" s="286" t="s">
        <v>124</v>
      </c>
    </row>
    <row r="4" spans="1:4" x14ac:dyDescent="0.25">
      <c r="A4" s="287" t="s">
        <v>530</v>
      </c>
      <c r="B4" s="286" t="s">
        <v>124</v>
      </c>
    </row>
    <row r="5" spans="1:4" x14ac:dyDescent="0.25">
      <c r="A5" s="287" t="s">
        <v>356</v>
      </c>
      <c r="B5" s="286" t="s">
        <v>124</v>
      </c>
    </row>
    <row r="6" spans="1:4" x14ac:dyDescent="0.25">
      <c r="A6" s="287" t="s">
        <v>429</v>
      </c>
      <c r="B6" s="286" t="s">
        <v>124</v>
      </c>
    </row>
    <row r="7" spans="1:4" x14ac:dyDescent="0.25">
      <c r="A7" s="288" t="s">
        <v>357</v>
      </c>
      <c r="B7" s="289" t="s">
        <v>937</v>
      </c>
    </row>
    <row r="8" spans="1:4" x14ac:dyDescent="0.25">
      <c r="A8" s="288" t="s">
        <v>114</v>
      </c>
      <c r="B8" s="289" t="s">
        <v>936</v>
      </c>
    </row>
    <row r="9" spans="1:4" x14ac:dyDescent="0.25">
      <c r="A9" s="288" t="s">
        <v>122</v>
      </c>
      <c r="B9" s="289" t="s">
        <v>362</v>
      </c>
    </row>
    <row r="10" spans="1:4" x14ac:dyDescent="0.25">
      <c r="A10" s="288" t="s">
        <v>119</v>
      </c>
      <c r="B10" s="289" t="s">
        <v>363</v>
      </c>
    </row>
    <row r="11" spans="1:4" x14ac:dyDescent="0.25">
      <c r="A11" s="288" t="s">
        <v>118</v>
      </c>
      <c r="B11" s="289" t="s">
        <v>363</v>
      </c>
    </row>
    <row r="12" spans="1:4" x14ac:dyDescent="0.25">
      <c r="A12" s="290" t="s">
        <v>430</v>
      </c>
      <c r="B12" s="286" t="s">
        <v>124</v>
      </c>
    </row>
    <row r="13" spans="1:4" x14ac:dyDescent="0.25">
      <c r="A13" s="290" t="s">
        <v>482</v>
      </c>
      <c r="B13" s="289" t="s">
        <v>929</v>
      </c>
      <c r="D13" s="291" t="s">
        <v>531</v>
      </c>
    </row>
    <row r="14" spans="1:4" x14ac:dyDescent="0.25">
      <c r="A14" s="290" t="s">
        <v>483</v>
      </c>
      <c r="B14" s="289" t="s">
        <v>1368</v>
      </c>
      <c r="D14" s="291" t="s">
        <v>531</v>
      </c>
    </row>
    <row r="15" spans="1:4" x14ac:dyDescent="0.25">
      <c r="A15" s="290" t="s">
        <v>484</v>
      </c>
      <c r="B15" s="289" t="s">
        <v>926</v>
      </c>
      <c r="D15" s="291" t="s">
        <v>531</v>
      </c>
    </row>
    <row r="16" spans="1:4" x14ac:dyDescent="0.25">
      <c r="A16" s="290" t="s">
        <v>485</v>
      </c>
      <c r="B16" s="289" t="s">
        <v>925</v>
      </c>
      <c r="D16" s="291" t="s">
        <v>531</v>
      </c>
    </row>
    <row r="17" spans="1:4" x14ac:dyDescent="0.25">
      <c r="A17" s="290" t="s">
        <v>486</v>
      </c>
      <c r="B17" s="289" t="s">
        <v>927</v>
      </c>
      <c r="D17" s="291" t="s">
        <v>531</v>
      </c>
    </row>
    <row r="18" spans="1:4" x14ac:dyDescent="0.25">
      <c r="A18" s="290" t="s">
        <v>524</v>
      </c>
      <c r="B18" s="289" t="s">
        <v>928</v>
      </c>
      <c r="C18" s="18"/>
      <c r="D18" s="291" t="s">
        <v>531</v>
      </c>
    </row>
    <row r="19" spans="1:4" x14ac:dyDescent="0.25">
      <c r="A19" s="290" t="s">
        <v>629</v>
      </c>
      <c r="B19" s="289" t="s">
        <v>932</v>
      </c>
      <c r="C19" s="18"/>
      <c r="D19" s="229" t="s">
        <v>631</v>
      </c>
    </row>
    <row r="20" spans="1:4" x14ac:dyDescent="0.25">
      <c r="A20" s="290" t="s">
        <v>630</v>
      </c>
      <c r="B20" s="289" t="s">
        <v>933</v>
      </c>
      <c r="C20" s="18"/>
      <c r="D20" s="229" t="s">
        <v>632</v>
      </c>
    </row>
    <row r="21" spans="1:4" x14ac:dyDescent="0.25">
      <c r="A21" s="319" t="s">
        <v>1632</v>
      </c>
      <c r="B21" s="320" t="s">
        <v>1651</v>
      </c>
      <c r="C21" s="18"/>
      <c r="D21" s="229"/>
    </row>
    <row r="22" spans="1:4" x14ac:dyDescent="0.25">
      <c r="A22" s="285" t="s">
        <v>84</v>
      </c>
      <c r="B22" s="289" t="s">
        <v>1393</v>
      </c>
      <c r="C22" s="18"/>
    </row>
    <row r="23" spans="1:4" x14ac:dyDescent="0.25">
      <c r="A23" s="288" t="s">
        <v>116</v>
      </c>
      <c r="B23" s="289" t="s">
        <v>936</v>
      </c>
      <c r="C23" s="18"/>
    </row>
    <row r="24" spans="1:4" x14ac:dyDescent="0.25">
      <c r="A24" s="285" t="s">
        <v>120</v>
      </c>
      <c r="B24" s="289" t="s">
        <v>934</v>
      </c>
      <c r="C24" s="18"/>
    </row>
    <row r="25" spans="1:4" x14ac:dyDescent="0.25">
      <c r="A25" s="285" t="s">
        <v>115</v>
      </c>
      <c r="B25" s="289" t="s">
        <v>935</v>
      </c>
      <c r="C25" s="18"/>
    </row>
    <row r="26" spans="1:4" x14ac:dyDescent="0.25">
      <c r="A26" s="288" t="s">
        <v>85</v>
      </c>
      <c r="B26" s="289" t="s">
        <v>363</v>
      </c>
      <c r="C26" s="18"/>
    </row>
    <row r="27" spans="1:4" x14ac:dyDescent="0.25">
      <c r="A27" s="290" t="s">
        <v>627</v>
      </c>
      <c r="B27" s="289" t="s">
        <v>931</v>
      </c>
      <c r="C27" s="18"/>
      <c r="D27" s="39" t="s">
        <v>930</v>
      </c>
    </row>
    <row r="28" spans="1:4" x14ac:dyDescent="0.25">
      <c r="A28" s="290" t="s">
        <v>475</v>
      </c>
      <c r="B28" s="286" t="s">
        <v>124</v>
      </c>
      <c r="C28" s="18"/>
    </row>
    <row r="29" spans="1:4" x14ac:dyDescent="0.25">
      <c r="A29" s="290" t="s">
        <v>532</v>
      </c>
      <c r="B29" s="286" t="s">
        <v>124</v>
      </c>
      <c r="C29" s="18"/>
    </row>
    <row r="30" spans="1:4" x14ac:dyDescent="0.25">
      <c r="A30" s="285" t="s">
        <v>364</v>
      </c>
      <c r="B30" s="286" t="s">
        <v>124</v>
      </c>
      <c r="C30" s="18"/>
    </row>
    <row r="31" spans="1:4" x14ac:dyDescent="0.25">
      <c r="A31" s="287" t="s">
        <v>343</v>
      </c>
      <c r="B31" s="286" t="s">
        <v>343</v>
      </c>
      <c r="C31" s="18"/>
    </row>
    <row r="32" spans="1:4" x14ac:dyDescent="0.25">
      <c r="A32" s="285" t="s">
        <v>366</v>
      </c>
      <c r="B32" s="286" t="s">
        <v>124</v>
      </c>
      <c r="C32" s="18"/>
    </row>
    <row r="33" spans="1:3" x14ac:dyDescent="0.25">
      <c r="A33" s="285" t="s">
        <v>365</v>
      </c>
      <c r="B33" s="286" t="s">
        <v>124</v>
      </c>
      <c r="C33" s="18"/>
    </row>
    <row r="34" spans="1:3" x14ac:dyDescent="0.25">
      <c r="A34" s="285" t="s">
        <v>533</v>
      </c>
      <c r="B34" s="286" t="s">
        <v>124</v>
      </c>
      <c r="C34" s="18"/>
    </row>
    <row r="35" spans="1:3" x14ac:dyDescent="0.25">
      <c r="A35" s="18"/>
      <c r="B35" s="18"/>
      <c r="C35" s="18"/>
    </row>
    <row r="36" spans="1:3" x14ac:dyDescent="0.25">
      <c r="A36" s="18"/>
      <c r="B36" s="18"/>
      <c r="C36" s="18"/>
    </row>
    <row r="37" spans="1:3" x14ac:dyDescent="0.25">
      <c r="A37" s="18"/>
      <c r="B37" s="18"/>
      <c r="C37" s="18"/>
    </row>
    <row r="38" spans="1:3" x14ac:dyDescent="0.25">
      <c r="A38" s="18"/>
      <c r="B38" s="18"/>
      <c r="C38" s="18"/>
    </row>
    <row r="39" spans="1:3" x14ac:dyDescent="0.25">
      <c r="A39" s="18"/>
      <c r="B39" s="18"/>
      <c r="C39" s="18"/>
    </row>
    <row r="40" spans="1:3" x14ac:dyDescent="0.25">
      <c r="A40" s="18"/>
      <c r="B40" s="18"/>
      <c r="C40" s="18"/>
    </row>
    <row r="41" spans="1:3" x14ac:dyDescent="0.25">
      <c r="A41" s="18"/>
      <c r="B41" s="18"/>
      <c r="C41" s="18"/>
    </row>
    <row r="42" spans="1:3" x14ac:dyDescent="0.25">
      <c r="A42" s="18"/>
      <c r="B42" s="18"/>
      <c r="C42" s="18"/>
    </row>
    <row r="43" spans="1:3" x14ac:dyDescent="0.25">
      <c r="A43" s="18"/>
      <c r="B43" s="18"/>
      <c r="C43" s="18"/>
    </row>
    <row r="44" spans="1:3" x14ac:dyDescent="0.25">
      <c r="A44" s="18"/>
      <c r="B44" s="18"/>
      <c r="C44" s="18"/>
    </row>
    <row r="45" spans="1:3" x14ac:dyDescent="0.25">
      <c r="A45" s="18"/>
      <c r="B45" s="18"/>
      <c r="C45" s="18"/>
    </row>
    <row r="46" spans="1:3" x14ac:dyDescent="0.25">
      <c r="A46" s="18"/>
      <c r="B46" s="18"/>
      <c r="C46" s="18"/>
    </row>
    <row r="47" spans="1:3" x14ac:dyDescent="0.25">
      <c r="A47" s="18"/>
      <c r="B47" s="18"/>
      <c r="C47" s="18"/>
    </row>
    <row r="48" spans="1:3" x14ac:dyDescent="0.25">
      <c r="A48" s="18"/>
      <c r="B48" s="18"/>
      <c r="C48" s="18"/>
    </row>
    <row r="49" spans="1:3" x14ac:dyDescent="0.25">
      <c r="A49" s="18"/>
      <c r="B49" s="18"/>
      <c r="C49" s="18"/>
    </row>
    <row r="50" spans="1:3" x14ac:dyDescent="0.25">
      <c r="A50" s="18"/>
      <c r="B50" s="18"/>
      <c r="C50" s="18"/>
    </row>
    <row r="51" spans="1:3" x14ac:dyDescent="0.25">
      <c r="A51" s="18"/>
      <c r="B51" s="18"/>
      <c r="C51" s="18"/>
    </row>
    <row r="52" spans="1:3" x14ac:dyDescent="0.25">
      <c r="A52" s="18"/>
      <c r="B52" s="18"/>
      <c r="C52" s="18"/>
    </row>
    <row r="53" spans="1:3" x14ac:dyDescent="0.25">
      <c r="A53" s="18"/>
      <c r="B53" s="18"/>
      <c r="C53" s="18"/>
    </row>
    <row r="54" spans="1:3" x14ac:dyDescent="0.25">
      <c r="A54" s="18"/>
      <c r="B54" s="18"/>
      <c r="C54" s="18"/>
    </row>
    <row r="55" spans="1:3" x14ac:dyDescent="0.25">
      <c r="A55" s="18"/>
      <c r="B55" s="18"/>
      <c r="C55" s="18"/>
    </row>
    <row r="56" spans="1:3" x14ac:dyDescent="0.25">
      <c r="A56" s="18"/>
      <c r="B56" s="18"/>
      <c r="C56" s="18"/>
    </row>
    <row r="57" spans="1:3" x14ac:dyDescent="0.25">
      <c r="A57" s="18"/>
      <c r="B57" s="18"/>
    </row>
    <row r="58" spans="1:3" x14ac:dyDescent="0.25">
      <c r="A58" s="18"/>
      <c r="B58" s="18"/>
    </row>
    <row r="59" spans="1:3" x14ac:dyDescent="0.25">
      <c r="A59" s="18"/>
      <c r="B59" s="18"/>
    </row>
    <row r="60" spans="1:3" x14ac:dyDescent="0.25">
      <c r="A60" s="18"/>
      <c r="B60" s="18"/>
    </row>
    <row r="61" spans="1:3" x14ac:dyDescent="0.25">
      <c r="A61" s="18"/>
      <c r="B61" s="18"/>
    </row>
    <row r="62" spans="1:3" x14ac:dyDescent="0.25">
      <c r="A62" s="18"/>
      <c r="B62" s="18"/>
    </row>
    <row r="63" spans="1:3" x14ac:dyDescent="0.25">
      <c r="A63" s="18"/>
      <c r="B63" s="18"/>
    </row>
    <row r="64" spans="1:3" x14ac:dyDescent="0.25">
      <c r="A64" s="18"/>
      <c r="B64" s="18"/>
    </row>
    <row r="65" spans="1:2" x14ac:dyDescent="0.25">
      <c r="A65" s="18"/>
      <c r="B65" s="18"/>
    </row>
    <row r="66" spans="1:2" x14ac:dyDescent="0.25">
      <c r="A66" s="18"/>
      <c r="B66" s="18"/>
    </row>
    <row r="67" spans="1:2" x14ac:dyDescent="0.25">
      <c r="A67" s="18"/>
      <c r="B67" s="18"/>
    </row>
  </sheetData>
  <sheetProtection sheet="1" objects="1" scenarios="1"/>
  <sortState ref="A2:B56">
    <sortCondition ref="A33"/>
  </sortState>
  <phoneticPr fontId="14" type="noConversion"/>
  <pageMargins left="0.74803149606299213" right="0.74803149606299213" top="0.98425196850393704" bottom="0.98425196850393704" header="0.51181102362204722" footer="0.51181102362204722"/>
  <pageSetup paperSize="9" orientation="landscape" verticalDpi="0"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4">
    <tabColor rgb="FFFF0000"/>
  </sheetPr>
  <dimension ref="A1:C1010"/>
  <sheetViews>
    <sheetView zoomScaleNormal="100" workbookViewId="0">
      <selection activeCell="E2" sqref="E2"/>
    </sheetView>
  </sheetViews>
  <sheetFormatPr defaultColWidth="8.85546875" defaultRowHeight="15" x14ac:dyDescent="0.25"/>
  <cols>
    <col min="1" max="1" width="19.5703125" style="22" customWidth="1"/>
    <col min="2" max="2" width="11.42578125" style="22" bestFit="1" customWidth="1"/>
    <col min="3" max="3" width="30.5703125" style="22" customWidth="1"/>
    <col min="4" max="4" width="3.42578125" customWidth="1"/>
    <col min="5" max="5" width="17.42578125" customWidth="1"/>
  </cols>
  <sheetData>
    <row r="1" spans="1:3" s="1" customFormat="1" ht="14.25" x14ac:dyDescent="0.2">
      <c r="A1" s="235" t="s">
        <v>59</v>
      </c>
      <c r="B1" s="235" t="s">
        <v>153</v>
      </c>
      <c r="C1" s="16" t="s">
        <v>60</v>
      </c>
    </row>
    <row r="2" spans="1:3" s="1" customFormat="1" x14ac:dyDescent="0.25">
      <c r="A2" s="292" t="s">
        <v>1394</v>
      </c>
      <c r="B2" s="292">
        <v>1620</v>
      </c>
      <c r="C2" s="292" t="str">
        <f>VLOOKUP(B2,Orgenheter!$A$1:$B$213,2,0)</f>
        <v>Inst för språkstudier</v>
      </c>
    </row>
    <row r="3" spans="1:3" s="1" customFormat="1" x14ac:dyDescent="0.25">
      <c r="A3" s="292" t="s">
        <v>1396</v>
      </c>
      <c r="B3" s="292">
        <v>1620</v>
      </c>
      <c r="C3" s="292" t="str">
        <f>VLOOKUP(B3,Orgenheter!$A$1:$B$213,2,0)</f>
        <v>Inst för språkstudier</v>
      </c>
    </row>
    <row r="4" spans="1:3" s="1" customFormat="1" x14ac:dyDescent="0.25">
      <c r="A4" s="292" t="s">
        <v>1398</v>
      </c>
      <c r="B4" s="292">
        <v>1620</v>
      </c>
      <c r="C4" s="292" t="str">
        <f>VLOOKUP(B4,Orgenheter!$A$1:$B$213,2,0)</f>
        <v>Inst för språkstudier</v>
      </c>
    </row>
    <row r="5" spans="1:3" s="1" customFormat="1" x14ac:dyDescent="0.25">
      <c r="A5" s="292" t="s">
        <v>1505</v>
      </c>
      <c r="B5" s="292">
        <v>1620</v>
      </c>
      <c r="C5" s="292" t="str">
        <f>VLOOKUP(B5,Orgenheter!$A$1:$B$213,2,0)</f>
        <v>Inst för språkstudier</v>
      </c>
    </row>
    <row r="6" spans="1:3" s="1" customFormat="1" x14ac:dyDescent="0.25">
      <c r="A6" s="292" t="s">
        <v>1506</v>
      </c>
      <c r="B6" s="292">
        <v>1620</v>
      </c>
      <c r="C6" s="292" t="str">
        <f>VLOOKUP(B6,Orgenheter!$A$1:$B$213,2,0)</f>
        <v>Inst för språkstudier</v>
      </c>
    </row>
    <row r="7" spans="1:3" s="1" customFormat="1" x14ac:dyDescent="0.25">
      <c r="A7" s="292" t="s">
        <v>1507</v>
      </c>
      <c r="B7" s="292">
        <v>1630</v>
      </c>
      <c r="C7" s="292" t="str">
        <f>VLOOKUP(B7,Orgenheter!$A$1:$B$213,2,0)</f>
        <v>Inst för ide- o samhällsstudier</v>
      </c>
    </row>
    <row r="8" spans="1:3" s="1" customFormat="1" x14ac:dyDescent="0.25">
      <c r="A8" s="292" t="s">
        <v>1508</v>
      </c>
      <c r="B8" s="292">
        <v>1640</v>
      </c>
      <c r="C8" s="292" t="str">
        <f>VLOOKUP(B8,Orgenheter!$A$1:$B$213,2,0)</f>
        <v>Inst för kultur- o medievetenskap</v>
      </c>
    </row>
    <row r="9" spans="1:3" s="1" customFormat="1" x14ac:dyDescent="0.25">
      <c r="A9" s="292" t="s">
        <v>1095</v>
      </c>
      <c r="B9" s="292">
        <v>1640</v>
      </c>
      <c r="C9" s="292" t="str">
        <f>VLOOKUP(B9,Orgenheter!$A$1:$B$213,2,0)</f>
        <v>Inst för kultur- o medievetenskap</v>
      </c>
    </row>
    <row r="10" spans="1:3" s="1" customFormat="1" x14ac:dyDescent="0.25">
      <c r="A10" s="292" t="s">
        <v>1509</v>
      </c>
      <c r="B10" s="292">
        <v>1620</v>
      </c>
      <c r="C10" s="292" t="str">
        <f>VLOOKUP(B10,Orgenheter!$A$1:$B$213,2,0)</f>
        <v>Inst för språkstudier</v>
      </c>
    </row>
    <row r="11" spans="1:3" s="1" customFormat="1" x14ac:dyDescent="0.25">
      <c r="A11" s="292" t="s">
        <v>1510</v>
      </c>
      <c r="B11" s="292">
        <v>1620</v>
      </c>
      <c r="C11" s="292" t="str">
        <f>VLOOKUP(B11,Orgenheter!$A$1:$B$213,2,0)</f>
        <v>Inst för språkstudier</v>
      </c>
    </row>
    <row r="12" spans="1:3" s="1" customFormat="1" x14ac:dyDescent="0.25">
      <c r="A12" s="292" t="s">
        <v>1400</v>
      </c>
      <c r="B12" s="292">
        <v>1620</v>
      </c>
      <c r="C12" s="292" t="str">
        <f>VLOOKUP(B12,Orgenheter!$A$1:$B$213,2,0)</f>
        <v>Inst för språkstudier</v>
      </c>
    </row>
    <row r="13" spans="1:3" s="1" customFormat="1" x14ac:dyDescent="0.25">
      <c r="A13" s="292" t="s">
        <v>1511</v>
      </c>
      <c r="B13" s="292">
        <v>1620</v>
      </c>
      <c r="C13" s="292" t="str">
        <f>VLOOKUP(B13,Orgenheter!$A$1:$B$213,2,0)</f>
        <v>Inst för språkstudier</v>
      </c>
    </row>
    <row r="14" spans="1:3" s="1" customFormat="1" x14ac:dyDescent="0.25">
      <c r="A14" s="292" t="s">
        <v>1402</v>
      </c>
      <c r="B14" s="292">
        <v>1620</v>
      </c>
      <c r="C14" s="292" t="str">
        <f>VLOOKUP(B14,Orgenheter!$A$1:$B$213,2,0)</f>
        <v>Inst för språkstudier</v>
      </c>
    </row>
    <row r="15" spans="1:3" s="1" customFormat="1" x14ac:dyDescent="0.25">
      <c r="A15" s="438" t="s">
        <v>2064</v>
      </c>
      <c r="B15" s="436">
        <v>2180</v>
      </c>
      <c r="C15" s="292" t="str">
        <f>VLOOKUP(B15,Orgenheter!$A$1:$B$213,2,0)</f>
        <v xml:space="preserve">Pedagogik                     </v>
      </c>
    </row>
    <row r="16" spans="1:3" s="1" customFormat="1" x14ac:dyDescent="0.25">
      <c r="A16" s="438" t="s">
        <v>2048</v>
      </c>
      <c r="B16" s="436">
        <v>2180</v>
      </c>
      <c r="C16" s="292" t="str">
        <f>VLOOKUP(B16,Orgenheter!$A$1:$B$213,2,0)</f>
        <v xml:space="preserve">Pedagogik                     </v>
      </c>
    </row>
    <row r="17" spans="1:3" s="1" customFormat="1" x14ac:dyDescent="0.25">
      <c r="A17" s="292" t="s">
        <v>910</v>
      </c>
      <c r="B17" s="292">
        <v>2193</v>
      </c>
      <c r="C17" s="292" t="str">
        <f>VLOOKUP(B17,Orgenheter!$A$1:$B$213,2,0)</f>
        <v xml:space="preserve">TUV </v>
      </c>
    </row>
    <row r="18" spans="1:3" s="1" customFormat="1" x14ac:dyDescent="0.25">
      <c r="A18" s="292" t="s">
        <v>911</v>
      </c>
      <c r="B18" s="292">
        <v>2193</v>
      </c>
      <c r="C18" s="292" t="str">
        <f>VLOOKUP(B18,Orgenheter!$A$1:$B$213,2,0)</f>
        <v xml:space="preserve">TUV </v>
      </c>
    </row>
    <row r="19" spans="1:3" s="1" customFormat="1" x14ac:dyDescent="0.25">
      <c r="A19" s="292" t="s">
        <v>912</v>
      </c>
      <c r="B19" s="292">
        <v>2193</v>
      </c>
      <c r="C19" s="292" t="str">
        <f>VLOOKUP(B19,Orgenheter!$A$1:$B$213,2,0)</f>
        <v xml:space="preserve">TUV </v>
      </c>
    </row>
    <row r="20" spans="1:3" s="1" customFormat="1" x14ac:dyDescent="0.25">
      <c r="A20" s="292" t="s">
        <v>913</v>
      </c>
      <c r="B20" s="292">
        <v>2193</v>
      </c>
      <c r="C20" s="292" t="str">
        <f>VLOOKUP(B20,Orgenheter!$A$1:$B$213,2,0)</f>
        <v xml:space="preserve">TUV </v>
      </c>
    </row>
    <row r="21" spans="1:3" s="1" customFormat="1" x14ac:dyDescent="0.25">
      <c r="A21" s="292" t="s">
        <v>908</v>
      </c>
      <c r="B21" s="292">
        <v>2193</v>
      </c>
      <c r="C21" s="292" t="str">
        <f>VLOOKUP(B21,Orgenheter!$A$1:$B$213,2,0)</f>
        <v xml:space="preserve">TUV </v>
      </c>
    </row>
    <row r="22" spans="1:3" s="1" customFormat="1" x14ac:dyDescent="0.25">
      <c r="A22" s="292" t="s">
        <v>909</v>
      </c>
      <c r="B22" s="292">
        <v>2193</v>
      </c>
      <c r="C22" s="292" t="str">
        <f>VLOOKUP(B22,Orgenheter!$A$1:$B$213,2,0)</f>
        <v xml:space="preserve">TUV </v>
      </c>
    </row>
    <row r="23" spans="1:3" s="1" customFormat="1" x14ac:dyDescent="0.25">
      <c r="A23" s="292" t="s">
        <v>1512</v>
      </c>
      <c r="B23" s="292">
        <v>2340</v>
      </c>
      <c r="C23" s="292" t="str">
        <f>VLOOKUP(B23,Orgenheter!$A$1:$B$213,2,0)</f>
        <v xml:space="preserve">Statsvetenskap                </v>
      </c>
    </row>
    <row r="24" spans="1:3" s="1" customFormat="1" x14ac:dyDescent="0.25">
      <c r="A24" s="292" t="s">
        <v>1014</v>
      </c>
      <c r="B24" s="292">
        <v>5740</v>
      </c>
      <c r="C24" s="292" t="str">
        <f>VLOOKUP(B24,Orgenheter!$A$1:$B$213,2,0)</f>
        <v>NMD</v>
      </c>
    </row>
    <row r="25" spans="1:3" s="1" customFormat="1" x14ac:dyDescent="0.25">
      <c r="A25" s="292" t="s">
        <v>1015</v>
      </c>
      <c r="B25" s="292">
        <v>5740</v>
      </c>
      <c r="C25" s="292" t="str">
        <f>VLOOKUP(B25,Orgenheter!$A$1:$B$213,2,0)</f>
        <v>NMD</v>
      </c>
    </row>
    <row r="26" spans="1:3" s="1" customFormat="1" x14ac:dyDescent="0.25">
      <c r="A26" s="292" t="s">
        <v>1016</v>
      </c>
      <c r="B26" s="292">
        <v>5740</v>
      </c>
      <c r="C26" s="292" t="str">
        <f>VLOOKUP(B26,Orgenheter!$A$1:$B$213,2,0)</f>
        <v>NMD</v>
      </c>
    </row>
    <row r="27" spans="1:3" s="1" customFormat="1" x14ac:dyDescent="0.25">
      <c r="A27" s="317" t="s">
        <v>1262</v>
      </c>
      <c r="B27" s="292">
        <v>5740</v>
      </c>
      <c r="C27" s="292" t="str">
        <f>VLOOKUP(B27,Orgenheter!$A$1:$B$213,2,0)</f>
        <v>NMD</v>
      </c>
    </row>
    <row r="28" spans="1:3" s="1" customFormat="1" x14ac:dyDescent="0.25">
      <c r="A28" s="292" t="s">
        <v>1017</v>
      </c>
      <c r="B28" s="292">
        <v>5740</v>
      </c>
      <c r="C28" s="292" t="str">
        <f>VLOOKUP(B28,Orgenheter!$A$1:$B$213,2,0)</f>
        <v>NMD</v>
      </c>
    </row>
    <row r="29" spans="1:3" s="1" customFormat="1" x14ac:dyDescent="0.25">
      <c r="A29" s="292" t="s">
        <v>952</v>
      </c>
      <c r="B29" s="292">
        <v>5100</v>
      </c>
      <c r="C29" s="292" t="str">
        <f>VLOOKUP(B29,Orgenheter!$A$1:$B$213,2,0)</f>
        <v>EMG</v>
      </c>
    </row>
    <row r="30" spans="1:3" s="1" customFormat="1" x14ac:dyDescent="0.25">
      <c r="A30" s="292" t="s">
        <v>1018</v>
      </c>
      <c r="B30" s="292">
        <v>5160</v>
      </c>
      <c r="C30" s="292" t="str">
        <f>VLOOKUP(B30,Orgenheter!$A$1:$B$213,2,0)</f>
        <v xml:space="preserve">Inst för Fysiologisk botanik  </v>
      </c>
    </row>
    <row r="31" spans="1:3" s="1" customFormat="1" x14ac:dyDescent="0.25">
      <c r="A31" s="292" t="s">
        <v>951</v>
      </c>
      <c r="B31" s="292">
        <v>5100</v>
      </c>
      <c r="C31" s="292" t="str">
        <f>VLOOKUP(B31,Orgenheter!$A$1:$B$213,2,0)</f>
        <v>EMG</v>
      </c>
    </row>
    <row r="32" spans="1:3" s="1" customFormat="1" x14ac:dyDescent="0.25">
      <c r="A32" s="292" t="s">
        <v>953</v>
      </c>
      <c r="B32" s="292">
        <v>5100</v>
      </c>
      <c r="C32" s="292" t="str">
        <f>VLOOKUP(B32,Orgenheter!$A$1:$B$213,2,0)</f>
        <v>EMG</v>
      </c>
    </row>
    <row r="33" spans="1:3" s="1" customFormat="1" x14ac:dyDescent="0.25">
      <c r="A33" s="317" t="s">
        <v>1581</v>
      </c>
      <c r="B33" s="292">
        <v>5100</v>
      </c>
      <c r="C33" s="292" t="str">
        <f>VLOOKUP(B33,Orgenheter!$A$1:$B$213,2,0)</f>
        <v>EMG</v>
      </c>
    </row>
    <row r="34" spans="1:3" s="1" customFormat="1" x14ac:dyDescent="0.25">
      <c r="A34" s="317" t="s">
        <v>1580</v>
      </c>
      <c r="B34" s="292">
        <v>5100</v>
      </c>
      <c r="C34" s="292" t="str">
        <f>VLOOKUP(B34,Orgenheter!$A$1:$B$213,2,0)</f>
        <v>EMG</v>
      </c>
    </row>
    <row r="35" spans="1:3" s="1" customFormat="1" x14ac:dyDescent="0.25">
      <c r="A35" s="317" t="s">
        <v>1562</v>
      </c>
      <c r="B35" s="292">
        <v>5100</v>
      </c>
      <c r="C35" s="292" t="str">
        <f>VLOOKUP(B35,Orgenheter!$A$1:$B$213,2,0)</f>
        <v>EMG</v>
      </c>
    </row>
    <row r="36" spans="1:3" s="1" customFormat="1" x14ac:dyDescent="0.25">
      <c r="A36" s="317" t="s">
        <v>1563</v>
      </c>
      <c r="B36" s="292">
        <v>5100</v>
      </c>
      <c r="C36" s="292" t="str">
        <f>VLOOKUP(B36,Orgenheter!$A$1:$B$213,2,0)</f>
        <v>EMG</v>
      </c>
    </row>
    <row r="37" spans="1:3" s="1" customFormat="1" x14ac:dyDescent="0.25">
      <c r="A37" s="292" t="s">
        <v>2099</v>
      </c>
      <c r="B37" s="292">
        <v>5100</v>
      </c>
      <c r="C37" s="292" t="str">
        <f>VLOOKUP(B37,Orgenheter!$A$1:$B$213,2,0)</f>
        <v>EMG</v>
      </c>
    </row>
    <row r="38" spans="1:3" s="1" customFormat="1" x14ac:dyDescent="0.25">
      <c r="A38" s="317" t="s">
        <v>2098</v>
      </c>
      <c r="B38" s="292">
        <v>5100</v>
      </c>
      <c r="C38" s="292" t="str">
        <f>VLOOKUP(B38,Orgenheter!$A$1:$B$213,2,0)</f>
        <v>EMG</v>
      </c>
    </row>
    <row r="39" spans="1:3" s="1" customFormat="1" x14ac:dyDescent="0.25">
      <c r="A39" s="464" t="s">
        <v>2237</v>
      </c>
      <c r="B39" s="454">
        <v>5700</v>
      </c>
      <c r="C39" s="292" t="str">
        <f>VLOOKUP(B39,Orgenheter!$A$1:$B$213,2,0)</f>
        <v xml:space="preserve">Inst för datavetenskap        </v>
      </c>
    </row>
    <row r="40" spans="1:3" s="1" customFormat="1" x14ac:dyDescent="0.25">
      <c r="A40" s="292" t="s">
        <v>1019</v>
      </c>
      <c r="B40" s="292">
        <v>5410</v>
      </c>
      <c r="C40" s="292" t="str">
        <f>VLOOKUP(B40,Orgenheter!$A$1:$B$213,2,0)</f>
        <v>TFE</v>
      </c>
    </row>
    <row r="41" spans="1:3" s="1" customFormat="1" x14ac:dyDescent="0.25">
      <c r="A41" s="292" t="s">
        <v>1141</v>
      </c>
      <c r="B41" s="292">
        <v>5400</v>
      </c>
      <c r="C41" s="292" t="str">
        <f>VLOOKUP(B41,Orgenheter!$A$1:$B$213,2,0)</f>
        <v xml:space="preserve">Inst för Fysik                </v>
      </c>
    </row>
    <row r="42" spans="1:3" s="1" customFormat="1" x14ac:dyDescent="0.25">
      <c r="A42" s="292" t="s">
        <v>1020</v>
      </c>
      <c r="B42" s="292">
        <v>5400</v>
      </c>
      <c r="C42" s="292" t="str">
        <f>VLOOKUP(B42,Orgenheter!$A$1:$B$213,2,0)</f>
        <v xml:space="preserve">Inst för Fysik                </v>
      </c>
    </row>
    <row r="43" spans="1:3" s="1" customFormat="1" x14ac:dyDescent="0.25">
      <c r="A43" s="292" t="s">
        <v>1513</v>
      </c>
      <c r="B43" s="292">
        <v>5400</v>
      </c>
      <c r="C43" s="292" t="str">
        <f>VLOOKUP(B43,Orgenheter!$A$1:$B$213,2,0)</f>
        <v xml:space="preserve">Inst för Fysik                </v>
      </c>
    </row>
    <row r="44" spans="1:3" s="1" customFormat="1" x14ac:dyDescent="0.25">
      <c r="A44" s="292" t="s">
        <v>954</v>
      </c>
      <c r="B44" s="292">
        <v>5400</v>
      </c>
      <c r="C44" s="292" t="str">
        <f>VLOOKUP(B44,Orgenheter!$A$1:$B$213,2,0)</f>
        <v xml:space="preserve">Inst för Fysik                </v>
      </c>
    </row>
    <row r="45" spans="1:3" s="1" customFormat="1" x14ac:dyDescent="0.25">
      <c r="A45" s="317" t="s">
        <v>1583</v>
      </c>
      <c r="B45" s="292">
        <v>5400</v>
      </c>
      <c r="C45" s="292" t="str">
        <f>VLOOKUP(B45,Orgenheter!$A$1:$B$213,2,0)</f>
        <v xml:space="preserve">Inst för Fysik                </v>
      </c>
    </row>
    <row r="46" spans="1:3" s="1" customFormat="1" x14ac:dyDescent="0.25">
      <c r="A46" s="292" t="s">
        <v>349</v>
      </c>
      <c r="B46" s="292">
        <v>5400</v>
      </c>
      <c r="C46" s="292" t="str">
        <f>VLOOKUP(B46,Orgenheter!$A$1:$B$213,2,0)</f>
        <v xml:space="preserve">Inst för Fysik                </v>
      </c>
    </row>
    <row r="47" spans="1:3" s="1" customFormat="1" x14ac:dyDescent="0.25">
      <c r="A47" s="292" t="s">
        <v>1794</v>
      </c>
      <c r="B47" s="292">
        <v>5400</v>
      </c>
      <c r="C47" s="292" t="str">
        <f>VLOOKUP(B47,Orgenheter!$A$1:$B$213,2,0)</f>
        <v xml:space="preserve">Inst för Fysik                </v>
      </c>
    </row>
    <row r="48" spans="1:3" s="1" customFormat="1" x14ac:dyDescent="0.25">
      <c r="A48" s="292" t="s">
        <v>1021</v>
      </c>
      <c r="B48" s="292">
        <v>5400</v>
      </c>
      <c r="C48" s="292" t="str">
        <f>VLOOKUP(B48,Orgenheter!$A$1:$B$213,2,0)</f>
        <v xml:space="preserve">Inst för Fysik                </v>
      </c>
    </row>
    <row r="49" spans="1:3" s="1" customFormat="1" x14ac:dyDescent="0.25">
      <c r="A49" s="292" t="s">
        <v>1022</v>
      </c>
      <c r="B49" s="292">
        <v>5400</v>
      </c>
      <c r="C49" s="292" t="str">
        <f>VLOOKUP(B49,Orgenheter!$A$1:$B$213,2,0)</f>
        <v xml:space="preserve">Inst för Fysik                </v>
      </c>
    </row>
    <row r="50" spans="1:3" s="1" customFormat="1" x14ac:dyDescent="0.25">
      <c r="A50" s="292" t="s">
        <v>1142</v>
      </c>
      <c r="B50" s="292">
        <v>5400</v>
      </c>
      <c r="C50" s="292" t="str">
        <f>VLOOKUP(B50,Orgenheter!$A$1:$B$213,2,0)</f>
        <v xml:space="preserve">Inst för Fysik                </v>
      </c>
    </row>
    <row r="51" spans="1:3" s="1" customFormat="1" x14ac:dyDescent="0.25">
      <c r="A51" s="292" t="s">
        <v>1023</v>
      </c>
      <c r="B51" s="292">
        <v>5400</v>
      </c>
      <c r="C51" s="292" t="str">
        <f>VLOOKUP(B51,Orgenheter!$A$1:$B$213,2,0)</f>
        <v xml:space="preserve">Inst för Fysik                </v>
      </c>
    </row>
    <row r="52" spans="1:3" s="1" customFormat="1" x14ac:dyDescent="0.25">
      <c r="A52" s="292" t="s">
        <v>348</v>
      </c>
      <c r="B52" s="292">
        <v>5400</v>
      </c>
      <c r="C52" s="292" t="str">
        <f>VLOOKUP(B52,Orgenheter!$A$1:$B$213,2,0)</f>
        <v xml:space="preserve">Inst för Fysik                </v>
      </c>
    </row>
    <row r="53" spans="1:3" s="1" customFormat="1" x14ac:dyDescent="0.25">
      <c r="A53" s="454" t="s">
        <v>1795</v>
      </c>
      <c r="B53" s="292">
        <v>5400</v>
      </c>
      <c r="C53" s="292" t="str">
        <f>VLOOKUP(B53,Orgenheter!$A$1:$B$213,2,0)</f>
        <v xml:space="preserve">Inst för Fysik                </v>
      </c>
    </row>
    <row r="54" spans="1:3" s="1" customFormat="1" x14ac:dyDescent="0.25">
      <c r="A54" s="292" t="s">
        <v>1081</v>
      </c>
      <c r="B54" s="292">
        <v>5400</v>
      </c>
      <c r="C54" s="292" t="str">
        <f>VLOOKUP(B54,Orgenheter!$A$1:$B$213,2,0)</f>
        <v xml:space="preserve">Inst för Fysik                </v>
      </c>
    </row>
    <row r="55" spans="1:3" s="1" customFormat="1" x14ac:dyDescent="0.25">
      <c r="A55" s="292" t="s">
        <v>1082</v>
      </c>
      <c r="B55" s="292">
        <v>5400</v>
      </c>
      <c r="C55" s="292" t="str">
        <f>VLOOKUP(B55,Orgenheter!$A$1:$B$213,2,0)</f>
        <v xml:space="preserve">Inst för Fysik                </v>
      </c>
    </row>
    <row r="56" spans="1:3" s="1" customFormat="1" x14ac:dyDescent="0.25">
      <c r="A56" s="317" t="s">
        <v>1260</v>
      </c>
      <c r="B56" s="292">
        <v>5400</v>
      </c>
      <c r="C56" s="292" t="str">
        <f>VLOOKUP(B56,Orgenheter!$A$1:$B$213,2,0)</f>
        <v xml:space="preserve">Inst för Fysik                </v>
      </c>
    </row>
    <row r="57" spans="1:3" s="1" customFormat="1" x14ac:dyDescent="0.25">
      <c r="A57" s="292" t="s">
        <v>1143</v>
      </c>
      <c r="B57" s="292">
        <v>5400</v>
      </c>
      <c r="C57" s="292" t="str">
        <f>VLOOKUP(B57,Orgenheter!$A$1:$B$213,2,0)</f>
        <v xml:space="preserve">Inst för Fysik                </v>
      </c>
    </row>
    <row r="58" spans="1:3" s="1" customFormat="1" x14ac:dyDescent="0.25">
      <c r="A58" s="292" t="s">
        <v>1144</v>
      </c>
      <c r="B58" s="292">
        <v>5400</v>
      </c>
      <c r="C58" s="292" t="str">
        <f>VLOOKUP(B58,Orgenheter!$A$1:$B$213,2,0)</f>
        <v xml:space="preserve">Inst för Fysik                </v>
      </c>
    </row>
    <row r="59" spans="1:3" s="1" customFormat="1" x14ac:dyDescent="0.25">
      <c r="A59" s="292" t="s">
        <v>1746</v>
      </c>
      <c r="B59" s="292">
        <v>5400</v>
      </c>
      <c r="C59" s="292" t="str">
        <f>VLOOKUP(B59,Orgenheter!$A$1:$B$213,2,0)</f>
        <v xml:space="preserve">Inst för Fysik                </v>
      </c>
    </row>
    <row r="60" spans="1:3" s="1" customFormat="1" x14ac:dyDescent="0.25">
      <c r="A60" s="317" t="s">
        <v>1602</v>
      </c>
      <c r="B60" s="292">
        <v>5400</v>
      </c>
      <c r="C60" s="292" t="str">
        <f>VLOOKUP(B60,Orgenheter!$A$1:$B$213,2,0)</f>
        <v xml:space="preserve">Inst för Fysik                </v>
      </c>
    </row>
    <row r="61" spans="1:3" s="1" customFormat="1" x14ac:dyDescent="0.25">
      <c r="A61" s="428" t="s">
        <v>2233</v>
      </c>
      <c r="B61" s="419">
        <v>5400</v>
      </c>
      <c r="C61" s="292" t="str">
        <f>VLOOKUP(B61,Orgenheter!$A$1:$B$213,2,0)</f>
        <v xml:space="preserve">Inst för Fysik                </v>
      </c>
    </row>
    <row r="62" spans="1:3" s="1" customFormat="1" x14ac:dyDescent="0.25">
      <c r="A62" s="292" t="s">
        <v>2234</v>
      </c>
      <c r="B62" s="292">
        <v>5400</v>
      </c>
      <c r="C62" s="292" t="str">
        <f>VLOOKUP(B62,Orgenheter!$A$1:$B$213,2,0)</f>
        <v xml:space="preserve">Inst för Fysik                </v>
      </c>
    </row>
    <row r="63" spans="1:3" s="1" customFormat="1" x14ac:dyDescent="0.25">
      <c r="A63" s="464" t="s">
        <v>2191</v>
      </c>
      <c r="B63" s="454">
        <v>5400</v>
      </c>
      <c r="C63" s="292" t="str">
        <f>VLOOKUP(B63,Orgenheter!$A$1:$B$213,2,0)</f>
        <v xml:space="preserve">Inst för Fysik                </v>
      </c>
    </row>
    <row r="64" spans="1:3" s="1" customFormat="1" x14ac:dyDescent="0.25">
      <c r="A64" s="317" t="s">
        <v>1584</v>
      </c>
      <c r="B64" s="292">
        <v>5400</v>
      </c>
      <c r="C64" s="292" t="str">
        <f>VLOOKUP(B64,Orgenheter!$A$1:$B$213,2,0)</f>
        <v xml:space="preserve">Inst för Fysik                </v>
      </c>
    </row>
    <row r="65" spans="1:3" s="1" customFormat="1" x14ac:dyDescent="0.25">
      <c r="A65" s="292" t="s">
        <v>1024</v>
      </c>
      <c r="B65" s="292">
        <v>5500</v>
      </c>
      <c r="C65" s="292" t="str">
        <f>VLOOKUP(B65,Orgenheter!$A$1:$B$213,2,0)</f>
        <v xml:space="preserve">Kemiska institutionen         </v>
      </c>
    </row>
    <row r="66" spans="1:3" s="1" customFormat="1" x14ac:dyDescent="0.25">
      <c r="A66" s="292" t="s">
        <v>955</v>
      </c>
      <c r="B66" s="292">
        <v>5500</v>
      </c>
      <c r="C66" s="292" t="str">
        <f>VLOOKUP(B66,Orgenheter!$A$1:$B$213,2,0)</f>
        <v xml:space="preserve">Kemiska institutionen         </v>
      </c>
    </row>
    <row r="67" spans="1:3" s="1" customFormat="1" x14ac:dyDescent="0.25">
      <c r="A67" s="317" t="s">
        <v>1796</v>
      </c>
      <c r="B67" s="292">
        <v>5500</v>
      </c>
      <c r="C67" s="292" t="str">
        <f>VLOOKUP(B67,Orgenheter!$A$1:$B$213,2,0)</f>
        <v xml:space="preserve">Kemiska institutionen         </v>
      </c>
    </row>
    <row r="68" spans="1:3" s="1" customFormat="1" x14ac:dyDescent="0.25">
      <c r="A68" s="405" t="s">
        <v>1852</v>
      </c>
      <c r="B68" s="406">
        <v>5500</v>
      </c>
      <c r="C68" s="292" t="str">
        <f>VLOOKUP(B68,Orgenheter!$A$1:$B$213,2,0)</f>
        <v xml:space="preserve">Kemiska institutionen         </v>
      </c>
    </row>
    <row r="69" spans="1:3" s="1" customFormat="1" x14ac:dyDescent="0.25">
      <c r="A69" s="405" t="s">
        <v>1853</v>
      </c>
      <c r="B69" s="406">
        <v>5500</v>
      </c>
      <c r="C69" s="292" t="str">
        <f>VLOOKUP(B69,Orgenheter!$A$1:$B$213,2,0)</f>
        <v xml:space="preserve">Kemiska institutionen         </v>
      </c>
    </row>
    <row r="70" spans="1:3" s="1" customFormat="1" x14ac:dyDescent="0.25">
      <c r="A70" s="292" t="s">
        <v>1025</v>
      </c>
      <c r="B70" s="292">
        <v>5500</v>
      </c>
      <c r="C70" s="292" t="str">
        <f>VLOOKUP(B70,Orgenheter!$A$1:$B$213,2,0)</f>
        <v xml:space="preserve">Kemiska institutionen         </v>
      </c>
    </row>
    <row r="71" spans="1:3" s="1" customFormat="1" x14ac:dyDescent="0.25">
      <c r="A71" s="292" t="s">
        <v>956</v>
      </c>
      <c r="B71" s="292">
        <v>5500</v>
      </c>
      <c r="C71" s="292" t="str">
        <f>VLOOKUP(B71,Orgenheter!$A$1:$B$213,2,0)</f>
        <v xml:space="preserve">Kemiska institutionen         </v>
      </c>
    </row>
    <row r="72" spans="1:3" s="1" customFormat="1" x14ac:dyDescent="0.25">
      <c r="A72" s="454" t="s">
        <v>2238</v>
      </c>
      <c r="B72" s="454">
        <v>5500</v>
      </c>
      <c r="C72" s="292" t="str">
        <f>VLOOKUP(B72,Orgenheter!$A$1:$B$213,2,0)</f>
        <v xml:space="preserve">Kemiska institutionen         </v>
      </c>
    </row>
    <row r="73" spans="1:3" s="1" customFormat="1" x14ac:dyDescent="0.25">
      <c r="A73" s="292" t="s">
        <v>1306</v>
      </c>
      <c r="B73" s="292">
        <v>5500</v>
      </c>
      <c r="C73" s="292" t="str">
        <f>VLOOKUP(B73,Orgenheter!$A$1:$B$213,2,0)</f>
        <v xml:space="preserve">Kemiska institutionen         </v>
      </c>
    </row>
    <row r="74" spans="1:3" s="1" customFormat="1" x14ac:dyDescent="0.25">
      <c r="A74" s="406" t="s">
        <v>1854</v>
      </c>
      <c r="B74" s="406">
        <v>5500</v>
      </c>
      <c r="C74" s="292" t="str">
        <f>VLOOKUP(B74,Orgenheter!$A$1:$B$213,2,0)</f>
        <v xml:space="preserve">Kemiska institutionen         </v>
      </c>
    </row>
    <row r="75" spans="1:3" s="1" customFormat="1" x14ac:dyDescent="0.25">
      <c r="A75" s="419" t="s">
        <v>2001</v>
      </c>
      <c r="B75" s="419">
        <v>5500</v>
      </c>
      <c r="C75" s="292" t="str">
        <f>VLOOKUP(B75,Orgenheter!$A$1:$B$213,2,0)</f>
        <v xml:space="preserve">Kemiska institutionen         </v>
      </c>
    </row>
    <row r="76" spans="1:3" s="1" customFormat="1" x14ac:dyDescent="0.25">
      <c r="A76" s="464" t="s">
        <v>2193</v>
      </c>
      <c r="B76" s="419">
        <v>5500</v>
      </c>
      <c r="C76" s="292" t="str">
        <f>VLOOKUP(B76,Orgenheter!$A$1:$B$213,2,0)</f>
        <v xml:space="preserve">Kemiska institutionen         </v>
      </c>
    </row>
    <row r="77" spans="1:3" s="1" customFormat="1" x14ac:dyDescent="0.25">
      <c r="A77" s="317" t="s">
        <v>1582</v>
      </c>
      <c r="B77" s="292">
        <v>5730</v>
      </c>
      <c r="C77" s="292" t="str">
        <f>VLOOKUP(B77,Orgenheter!$A$1:$B$213,2,0)</f>
        <v>Inst för MA och MA statistik</v>
      </c>
    </row>
    <row r="78" spans="1:3" s="1" customFormat="1" x14ac:dyDescent="0.25">
      <c r="A78" s="464" t="s">
        <v>2195</v>
      </c>
      <c r="B78" s="454">
        <v>5730</v>
      </c>
      <c r="C78" s="292" t="str">
        <f>VLOOKUP(B78,Orgenheter!$A$1:$B$213,2,0)</f>
        <v>Inst för MA och MA statistik</v>
      </c>
    </row>
    <row r="79" spans="1:3" s="1" customFormat="1" x14ac:dyDescent="0.25">
      <c r="A79" s="292" t="s">
        <v>1529</v>
      </c>
      <c r="B79" s="292">
        <v>5730</v>
      </c>
      <c r="C79" s="292" t="str">
        <f>VLOOKUP(B79,Orgenheter!$A$1:$B$213,2,0)</f>
        <v>Inst för MA och MA statistik</v>
      </c>
    </row>
    <row r="80" spans="1:3" s="1" customFormat="1" x14ac:dyDescent="0.25">
      <c r="A80" s="292" t="s">
        <v>1530</v>
      </c>
      <c r="B80" s="292">
        <v>5730</v>
      </c>
      <c r="C80" s="292" t="str">
        <f>VLOOKUP(B80,Orgenheter!$A$1:$B$213,2,0)</f>
        <v>Inst för MA och MA statistik</v>
      </c>
    </row>
    <row r="81" spans="1:3" s="1" customFormat="1" x14ac:dyDescent="0.25">
      <c r="A81" s="292" t="s">
        <v>1026</v>
      </c>
      <c r="B81" s="292">
        <v>5740</v>
      </c>
      <c r="C81" s="292" t="str">
        <f>VLOOKUP(B81,Orgenheter!$A$1:$B$213,2,0)</f>
        <v>NMD</v>
      </c>
    </row>
    <row r="82" spans="1:3" s="1" customFormat="1" x14ac:dyDescent="0.25">
      <c r="A82" s="428" t="s">
        <v>2002</v>
      </c>
      <c r="B82" s="419">
        <v>6000</v>
      </c>
      <c r="C82" s="292" t="str">
        <f>VLOOKUP(B82,Orgenheter!$A$1:$B$213,2,0)</f>
        <v xml:space="preserve">Lärarutbildningarna gem       </v>
      </c>
    </row>
    <row r="83" spans="1:3" s="1" customFormat="1" x14ac:dyDescent="0.25">
      <c r="A83" s="317" t="s">
        <v>1263</v>
      </c>
      <c r="B83" s="292">
        <v>5100</v>
      </c>
      <c r="C83" s="292" t="str">
        <f>VLOOKUP(B83,Orgenheter!$A$1:$B$213,2,0)</f>
        <v>EMG</v>
      </c>
    </row>
    <row r="84" spans="1:3" ht="12.95" customHeight="1" x14ac:dyDescent="0.25">
      <c r="A84" s="347" t="s">
        <v>1264</v>
      </c>
      <c r="B84" s="292">
        <v>5100</v>
      </c>
      <c r="C84" s="292" t="str">
        <f>VLOOKUP(B84,Orgenheter!$A$1:$B$213,2,0)</f>
        <v>EMG</v>
      </c>
    </row>
    <row r="85" spans="1:3" ht="12.95" customHeight="1" x14ac:dyDescent="0.25">
      <c r="A85" s="292" t="s">
        <v>779</v>
      </c>
      <c r="B85" s="292">
        <v>5100</v>
      </c>
      <c r="C85" s="292" t="str">
        <f>VLOOKUP(B85,Orgenheter!$A$1:$B$213,2,0)</f>
        <v>EMG</v>
      </c>
    </row>
    <row r="86" spans="1:3" ht="12.95" customHeight="1" x14ac:dyDescent="0.25">
      <c r="A86" s="419" t="s">
        <v>1027</v>
      </c>
      <c r="B86" s="419">
        <v>5100</v>
      </c>
      <c r="C86" s="292" t="str">
        <f>VLOOKUP(B86,Orgenheter!$A$1:$B$213,2,0)</f>
        <v>EMG</v>
      </c>
    </row>
    <row r="87" spans="1:3" ht="12.95" customHeight="1" x14ac:dyDescent="0.25">
      <c r="A87" s="347" t="s">
        <v>1486</v>
      </c>
      <c r="B87" s="292">
        <v>5740</v>
      </c>
      <c r="C87" s="292" t="str">
        <f>VLOOKUP(B87,Orgenheter!$A$1:$B$213,2,0)</f>
        <v>NMD</v>
      </c>
    </row>
    <row r="88" spans="1:3" ht="12.95" customHeight="1" x14ac:dyDescent="0.25">
      <c r="A88" s="426" t="s">
        <v>2003</v>
      </c>
      <c r="B88" s="419">
        <v>5740</v>
      </c>
      <c r="C88" s="292" t="str">
        <f>VLOOKUP(B88,Orgenheter!$A$1:$B$213,2,0)</f>
        <v>NMD</v>
      </c>
    </row>
    <row r="89" spans="1:3" ht="12.95" customHeight="1" x14ac:dyDescent="0.25">
      <c r="A89" s="426" t="s">
        <v>1964</v>
      </c>
      <c r="B89" s="419">
        <v>5100</v>
      </c>
      <c r="C89" s="292" t="str">
        <f>VLOOKUP(B89,Orgenheter!$A$1:$B$213,2,0)</f>
        <v>EMG</v>
      </c>
    </row>
    <row r="90" spans="1:3" ht="12.95" customHeight="1" x14ac:dyDescent="0.25">
      <c r="A90" s="426" t="s">
        <v>1955</v>
      </c>
      <c r="B90" s="419">
        <v>5100</v>
      </c>
      <c r="C90" s="292" t="str">
        <f>VLOOKUP(B90,Orgenheter!$A$1:$B$213,2,0)</f>
        <v>EMG</v>
      </c>
    </row>
    <row r="91" spans="1:3" ht="15.75" x14ac:dyDescent="0.25">
      <c r="A91" s="296" t="s">
        <v>1496</v>
      </c>
      <c r="B91" s="294">
        <v>5740</v>
      </c>
      <c r="C91" s="292" t="str">
        <f>VLOOKUP(B91,Orgenheter!$A$1:$B$213,2,0)</f>
        <v>NMD</v>
      </c>
    </row>
    <row r="92" spans="1:3" ht="15.75" x14ac:dyDescent="0.25">
      <c r="A92" s="296" t="s">
        <v>1497</v>
      </c>
      <c r="B92" s="294">
        <v>5740</v>
      </c>
      <c r="C92" s="292" t="str">
        <f>VLOOKUP(B92,Orgenheter!$A$1:$B$213,2,0)</f>
        <v>NMD</v>
      </c>
    </row>
    <row r="93" spans="1:3" ht="15.75" x14ac:dyDescent="0.25">
      <c r="A93" s="296" t="s">
        <v>1498</v>
      </c>
      <c r="B93" s="294">
        <v>5740</v>
      </c>
      <c r="C93" s="292" t="str">
        <f>VLOOKUP(B93,Orgenheter!$A$1:$B$213,2,0)</f>
        <v>NMD</v>
      </c>
    </row>
    <row r="94" spans="1:3" ht="15.75" x14ac:dyDescent="0.25">
      <c r="A94" s="296" t="s">
        <v>1027</v>
      </c>
      <c r="B94" s="294">
        <v>5100</v>
      </c>
      <c r="C94" s="292" t="str">
        <f>VLOOKUP(B94,Orgenheter!$A$1:$B$213,2,0)</f>
        <v>EMG</v>
      </c>
    </row>
    <row r="95" spans="1:3" ht="15.75" x14ac:dyDescent="0.25">
      <c r="A95" s="296" t="s">
        <v>1403</v>
      </c>
      <c r="B95" s="294">
        <v>5740</v>
      </c>
      <c r="C95" s="292" t="str">
        <f>VLOOKUP(B95,Orgenheter!$A$1:$B$213,2,0)</f>
        <v>NMD</v>
      </c>
    </row>
    <row r="96" spans="1:3" ht="12.95" customHeight="1" x14ac:dyDescent="0.25">
      <c r="A96" s="347" t="s">
        <v>1404</v>
      </c>
      <c r="B96" s="292">
        <v>5740</v>
      </c>
      <c r="C96" s="292" t="str">
        <f>VLOOKUP(B96,Orgenheter!$A$1:$B$213,2,0)</f>
        <v>NMD</v>
      </c>
    </row>
    <row r="97" spans="1:3" ht="12.95" customHeight="1" x14ac:dyDescent="0.25">
      <c r="A97" s="347" t="s">
        <v>1405</v>
      </c>
      <c r="B97" s="292">
        <v>5740</v>
      </c>
      <c r="C97" s="292" t="str">
        <f>VLOOKUP(B97,Orgenheter!$A$1:$B$213,2,0)</f>
        <v>NMD</v>
      </c>
    </row>
    <row r="98" spans="1:3" ht="12.95" customHeight="1" x14ac:dyDescent="0.25">
      <c r="A98" s="347" t="s">
        <v>1406</v>
      </c>
      <c r="B98" s="292">
        <v>5740</v>
      </c>
      <c r="C98" s="292" t="str">
        <f>VLOOKUP(B98,Orgenheter!$A$1:$B$213,2,0)</f>
        <v>NMD</v>
      </c>
    </row>
    <row r="99" spans="1:3" ht="12.95" customHeight="1" x14ac:dyDescent="0.25">
      <c r="A99" s="438" t="s">
        <v>2049</v>
      </c>
      <c r="B99" s="436">
        <v>5700</v>
      </c>
      <c r="C99" s="292" t="str">
        <f>VLOOKUP(B99,Orgenheter!$A$1:$B$213,2,0)</f>
        <v xml:space="preserve">Inst för datavetenskap        </v>
      </c>
    </row>
    <row r="100" spans="1:3" ht="12.95" customHeight="1" x14ac:dyDescent="0.25">
      <c r="A100" s="298" t="s">
        <v>66</v>
      </c>
      <c r="B100" s="298">
        <v>1620</v>
      </c>
      <c r="C100" s="292" t="str">
        <f>VLOOKUP(B100,Orgenheter!$A$1:$B$213,2,0)</f>
        <v>Inst för språkstudier</v>
      </c>
    </row>
    <row r="101" spans="1:3" ht="12.95" customHeight="1" x14ac:dyDescent="0.25">
      <c r="A101" s="292" t="s">
        <v>89</v>
      </c>
      <c r="B101" s="292">
        <v>1620</v>
      </c>
      <c r="C101" s="292" t="str">
        <f>VLOOKUP(B101,Orgenheter!$A$1:$B$213,2,0)</f>
        <v>Inst för språkstudier</v>
      </c>
    </row>
    <row r="102" spans="1:3" ht="12.95" customHeight="1" x14ac:dyDescent="0.25">
      <c r="A102" s="298" t="s">
        <v>367</v>
      </c>
      <c r="B102" s="292">
        <v>1620</v>
      </c>
      <c r="C102" s="292" t="str">
        <f>VLOOKUP(B102,Orgenheter!$A$1:$B$213,2,0)</f>
        <v>Inst för språkstudier</v>
      </c>
    </row>
    <row r="103" spans="1:3" ht="12.95" customHeight="1" x14ac:dyDescent="0.25">
      <c r="A103" s="297" t="s">
        <v>487</v>
      </c>
      <c r="B103" s="294">
        <v>1620</v>
      </c>
      <c r="C103" s="292" t="str">
        <f>VLOOKUP(B103,Orgenheter!$A$1:$B$213,2,0)</f>
        <v>Inst för språkstudier</v>
      </c>
    </row>
    <row r="104" spans="1:3" ht="12.95" customHeight="1" x14ac:dyDescent="0.25">
      <c r="A104" s="297" t="s">
        <v>488</v>
      </c>
      <c r="B104" s="294">
        <v>1620</v>
      </c>
      <c r="C104" s="292" t="str">
        <f>VLOOKUP(B104,Orgenheter!$A$1:$B$213,2,0)</f>
        <v>Inst för språkstudier</v>
      </c>
    </row>
    <row r="105" spans="1:3" ht="12.95" customHeight="1" x14ac:dyDescent="0.25">
      <c r="A105" s="297" t="s">
        <v>489</v>
      </c>
      <c r="B105" s="294">
        <v>1620</v>
      </c>
      <c r="C105" s="292" t="str">
        <f>VLOOKUP(B105,Orgenheter!$A$1:$B$213,2,0)</f>
        <v>Inst för språkstudier</v>
      </c>
    </row>
    <row r="106" spans="1:3" ht="12.95" customHeight="1" x14ac:dyDescent="0.25">
      <c r="A106" s="297" t="s">
        <v>490</v>
      </c>
      <c r="B106" s="294">
        <v>1620</v>
      </c>
      <c r="C106" s="292" t="str">
        <f>VLOOKUP(B106,Orgenheter!$A$1:$B$213,2,0)</f>
        <v>Inst för språkstudier</v>
      </c>
    </row>
    <row r="107" spans="1:3" ht="12.95" customHeight="1" x14ac:dyDescent="0.25">
      <c r="A107" s="297" t="s">
        <v>580</v>
      </c>
      <c r="B107" s="294">
        <v>1620</v>
      </c>
      <c r="C107" s="292" t="str">
        <f>VLOOKUP(B107,Orgenheter!$A$1:$B$213,2,0)</f>
        <v>Inst för språkstudier</v>
      </c>
    </row>
    <row r="108" spans="1:3" ht="12.95" customHeight="1" x14ac:dyDescent="0.25">
      <c r="A108" s="297" t="s">
        <v>491</v>
      </c>
      <c r="B108" s="294">
        <v>1620</v>
      </c>
      <c r="C108" s="292" t="str">
        <f>VLOOKUP(B108,Orgenheter!$A$1:$B$213,2,0)</f>
        <v>Inst för språkstudier</v>
      </c>
    </row>
    <row r="109" spans="1:3" ht="15.75" x14ac:dyDescent="0.25">
      <c r="A109" s="297" t="s">
        <v>492</v>
      </c>
      <c r="B109" s="294">
        <v>1620</v>
      </c>
      <c r="C109" s="292" t="str">
        <f>VLOOKUP(B109,Orgenheter!$A$1:$B$213,2,0)</f>
        <v>Inst för språkstudier</v>
      </c>
    </row>
    <row r="110" spans="1:3" ht="15.75" x14ac:dyDescent="0.25">
      <c r="A110" s="297" t="s">
        <v>581</v>
      </c>
      <c r="B110" s="294">
        <v>1620</v>
      </c>
      <c r="C110" s="292" t="str">
        <f>VLOOKUP(B110,Orgenheter!$A$1:$B$213,2,0)</f>
        <v>Inst för språkstudier</v>
      </c>
    </row>
    <row r="111" spans="1:3" ht="15.75" x14ac:dyDescent="0.25">
      <c r="A111" s="297" t="s">
        <v>1028</v>
      </c>
      <c r="B111" s="294">
        <v>1620</v>
      </c>
      <c r="C111" s="292" t="str">
        <f>VLOOKUP(B111,Orgenheter!$A$1:$B$213,2,0)</f>
        <v>Inst för språkstudier</v>
      </c>
    </row>
    <row r="112" spans="1:3" ht="15.75" x14ac:dyDescent="0.25">
      <c r="A112" s="297" t="s">
        <v>1748</v>
      </c>
      <c r="B112" s="294">
        <v>1620</v>
      </c>
      <c r="C112" s="292" t="str">
        <f>VLOOKUP(B112,Orgenheter!$A$1:$B$213,2,0)</f>
        <v>Inst för språkstudier</v>
      </c>
    </row>
    <row r="113" spans="1:3" ht="15.75" x14ac:dyDescent="0.25">
      <c r="A113" s="297" t="s">
        <v>1749</v>
      </c>
      <c r="B113" s="294">
        <v>1620</v>
      </c>
      <c r="C113" s="292" t="str">
        <f>VLOOKUP(B113,Orgenheter!$A$1:$B$213,2,0)</f>
        <v>Inst för språkstudier</v>
      </c>
    </row>
    <row r="114" spans="1:3" x14ac:dyDescent="0.25">
      <c r="A114" s="265" t="s">
        <v>1897</v>
      </c>
      <c r="B114" s="294">
        <v>1620</v>
      </c>
      <c r="C114" s="292" t="str">
        <f>VLOOKUP(B114,Orgenheter!$A$1:$B$213,2,0)</f>
        <v>Inst för språkstudier</v>
      </c>
    </row>
    <row r="115" spans="1:3" ht="12.95" customHeight="1" x14ac:dyDescent="0.25">
      <c r="A115" s="297" t="s">
        <v>1918</v>
      </c>
      <c r="B115" s="294">
        <v>1620</v>
      </c>
      <c r="C115" s="292" t="str">
        <f>VLOOKUP(B115,Orgenheter!$A$1:$B$213,2,0)</f>
        <v>Inst för språkstudier</v>
      </c>
    </row>
    <row r="116" spans="1:3" ht="12.95" customHeight="1" x14ac:dyDescent="0.25">
      <c r="A116" s="297" t="s">
        <v>1919</v>
      </c>
      <c r="B116" s="294">
        <v>1620</v>
      </c>
      <c r="C116" s="292" t="str">
        <f>VLOOKUP(B116,Orgenheter!$A$1:$B$213,2,0)</f>
        <v>Inst för språkstudier</v>
      </c>
    </row>
    <row r="117" spans="1:3" ht="12.95" customHeight="1" x14ac:dyDescent="0.25">
      <c r="A117" s="433" t="s">
        <v>2045</v>
      </c>
      <c r="B117" s="434">
        <v>1620</v>
      </c>
      <c r="C117" s="292" t="str">
        <f>VLOOKUP(B117,Orgenheter!$A$1:$B$213,2,0)</f>
        <v>Inst för språkstudier</v>
      </c>
    </row>
    <row r="118" spans="1:3" ht="12.95" customHeight="1" x14ac:dyDescent="0.25">
      <c r="A118" s="433" t="s">
        <v>2046</v>
      </c>
      <c r="B118" s="434">
        <v>1620</v>
      </c>
      <c r="C118" s="292" t="str">
        <f>VLOOKUP(B118,Orgenheter!$A$1:$B$213,2,0)</f>
        <v>Inst för språkstudier</v>
      </c>
    </row>
    <row r="119" spans="1:3" ht="12.95" customHeight="1" x14ac:dyDescent="0.25">
      <c r="A119" s="433" t="s">
        <v>2047</v>
      </c>
      <c r="B119" s="434">
        <v>1620</v>
      </c>
      <c r="C119" s="292" t="str">
        <f>VLOOKUP(B119,Orgenheter!$A$1:$B$213,2,0)</f>
        <v>Inst för språkstudier</v>
      </c>
    </row>
    <row r="120" spans="1:3" ht="12.95" customHeight="1" x14ac:dyDescent="0.25">
      <c r="A120" s="436" t="s">
        <v>2253</v>
      </c>
      <c r="B120" s="436">
        <v>1620</v>
      </c>
      <c r="C120" s="292" t="str">
        <f>VLOOKUP(B120,Orgenheter!$A$1:$B$213,2,0)</f>
        <v>Inst för språkstudier</v>
      </c>
    </row>
    <row r="121" spans="1:3" ht="15.75" x14ac:dyDescent="0.25">
      <c r="A121" s="297" t="s">
        <v>1265</v>
      </c>
      <c r="B121" s="294">
        <v>1620</v>
      </c>
      <c r="C121" s="292" t="str">
        <f>VLOOKUP(B121,Orgenheter!$A$1:$B$213,2,0)</f>
        <v>Inst för språkstudier</v>
      </c>
    </row>
    <row r="122" spans="1:3" ht="12.95" customHeight="1" x14ac:dyDescent="0.25">
      <c r="A122" s="292" t="s">
        <v>67</v>
      </c>
      <c r="B122" s="292">
        <v>1650</v>
      </c>
      <c r="C122" s="292" t="str">
        <f>VLOOKUP(B122,Orgenheter!$A$1:$B$213,2,0)</f>
        <v xml:space="preserve">Estetiska ämnen               </v>
      </c>
    </row>
    <row r="123" spans="1:3" ht="12.95" customHeight="1" x14ac:dyDescent="0.25">
      <c r="A123" s="292" t="s">
        <v>83</v>
      </c>
      <c r="B123" s="292">
        <v>1650</v>
      </c>
      <c r="C123" s="292" t="str">
        <f>VLOOKUP(B123,Orgenheter!$A$1:$B$213,2,0)</f>
        <v xml:space="preserve">Estetiska ämnen               </v>
      </c>
    </row>
    <row r="124" spans="1:3" ht="12.95" customHeight="1" x14ac:dyDescent="0.25">
      <c r="A124" s="292" t="s">
        <v>336</v>
      </c>
      <c r="B124" s="292">
        <v>1650</v>
      </c>
      <c r="C124" s="292" t="str">
        <f>VLOOKUP(B124,Orgenheter!$A$1:$B$213,2,0)</f>
        <v xml:space="preserve">Estetiska ämnen               </v>
      </c>
    </row>
    <row r="125" spans="1:3" x14ac:dyDescent="0.25">
      <c r="A125" s="298" t="s">
        <v>65</v>
      </c>
      <c r="B125" s="292">
        <v>1650</v>
      </c>
      <c r="C125" s="292" t="str">
        <f>VLOOKUP(B125,Orgenheter!$A$1:$B$213,2,0)</f>
        <v xml:space="preserve">Estetiska ämnen               </v>
      </c>
    </row>
    <row r="126" spans="1:3" x14ac:dyDescent="0.25">
      <c r="A126" s="292" t="s">
        <v>400</v>
      </c>
      <c r="B126" s="292">
        <v>1650</v>
      </c>
      <c r="C126" s="292" t="str">
        <f>VLOOKUP(B126,Orgenheter!$A$1:$B$213,2,0)</f>
        <v xml:space="preserve">Estetiska ämnen               </v>
      </c>
    </row>
    <row r="127" spans="1:3" x14ac:dyDescent="0.25">
      <c r="A127" s="292" t="s">
        <v>476</v>
      </c>
      <c r="B127" s="292">
        <v>1650</v>
      </c>
      <c r="C127" s="292" t="str">
        <f>VLOOKUP(B127,Orgenheter!$A$1:$B$213,2,0)</f>
        <v xml:space="preserve">Estetiska ämnen               </v>
      </c>
    </row>
    <row r="128" spans="1:3" x14ac:dyDescent="0.25">
      <c r="A128" s="292" t="s">
        <v>525</v>
      </c>
      <c r="B128" s="292">
        <v>1650</v>
      </c>
      <c r="C128" s="292" t="str">
        <f>VLOOKUP(B128,Orgenheter!$A$1:$B$213,2,0)</f>
        <v xml:space="preserve">Estetiska ämnen               </v>
      </c>
    </row>
    <row r="129" spans="1:3" ht="15.75" x14ac:dyDescent="0.25">
      <c r="A129" s="297" t="s">
        <v>493</v>
      </c>
      <c r="B129" s="294">
        <v>1650</v>
      </c>
      <c r="C129" s="292" t="str">
        <f>VLOOKUP(B129,Orgenheter!$A$1:$B$213,2,0)</f>
        <v xml:space="preserve">Estetiska ämnen               </v>
      </c>
    </row>
    <row r="130" spans="1:3" ht="12.95" customHeight="1" x14ac:dyDescent="0.25">
      <c r="A130" s="297" t="s">
        <v>494</v>
      </c>
      <c r="B130" s="294">
        <v>1650</v>
      </c>
      <c r="C130" s="292" t="str">
        <f>VLOOKUP(B130,Orgenheter!$A$1:$B$213,2,0)</f>
        <v xml:space="preserve">Estetiska ämnen               </v>
      </c>
    </row>
    <row r="131" spans="1:3" ht="15.75" x14ac:dyDescent="0.25">
      <c r="A131" s="297" t="s">
        <v>582</v>
      </c>
      <c r="B131" s="294">
        <v>1650</v>
      </c>
      <c r="C131" s="292" t="str">
        <f>VLOOKUP(B131,Orgenheter!$A$1:$B$213,2,0)</f>
        <v xml:space="preserve">Estetiska ämnen               </v>
      </c>
    </row>
    <row r="132" spans="1:3" ht="15.75" x14ac:dyDescent="0.25">
      <c r="A132" s="297" t="s">
        <v>1029</v>
      </c>
      <c r="B132" s="294">
        <v>1650</v>
      </c>
      <c r="C132" s="292" t="str">
        <f>VLOOKUP(B132,Orgenheter!$A$1:$B$213,2,0)</f>
        <v xml:space="preserve">Estetiska ämnen               </v>
      </c>
    </row>
    <row r="133" spans="1:3" ht="12.95" customHeight="1" x14ac:dyDescent="0.25">
      <c r="A133" s="297" t="s">
        <v>1030</v>
      </c>
      <c r="B133" s="294">
        <v>1650</v>
      </c>
      <c r="C133" s="292" t="str">
        <f>VLOOKUP(B133,Orgenheter!$A$1:$B$213,2,0)</f>
        <v xml:space="preserve">Estetiska ämnen               </v>
      </c>
    </row>
    <row r="134" spans="1:3" ht="12.95" customHeight="1" x14ac:dyDescent="0.25">
      <c r="A134" s="297" t="s">
        <v>1266</v>
      </c>
      <c r="B134" s="294">
        <v>1650</v>
      </c>
      <c r="C134" s="292" t="str">
        <f>VLOOKUP(B134,Orgenheter!$A$1:$B$213,2,0)</f>
        <v xml:space="preserve">Estetiska ämnen               </v>
      </c>
    </row>
    <row r="135" spans="1:3" ht="15.75" x14ac:dyDescent="0.25">
      <c r="A135" s="297" t="s">
        <v>583</v>
      </c>
      <c r="B135" s="294">
        <v>1650</v>
      </c>
      <c r="C135" s="292" t="str">
        <f>VLOOKUP(B135,Orgenheter!$A$1:$B$213,2,0)</f>
        <v xml:space="preserve">Estetiska ämnen               </v>
      </c>
    </row>
    <row r="136" spans="1:3" ht="15.75" x14ac:dyDescent="0.25">
      <c r="A136" s="297" t="s">
        <v>836</v>
      </c>
      <c r="B136" s="294">
        <v>1650</v>
      </c>
      <c r="C136" s="292" t="str">
        <f>VLOOKUP(B136,Orgenheter!$A$1:$B$213,2,0)</f>
        <v xml:space="preserve">Estetiska ämnen               </v>
      </c>
    </row>
    <row r="137" spans="1:3" ht="15.75" x14ac:dyDescent="0.25">
      <c r="A137" s="297" t="s">
        <v>837</v>
      </c>
      <c r="B137" s="294">
        <v>1650</v>
      </c>
      <c r="C137" s="292" t="str">
        <f>VLOOKUP(B137,Orgenheter!$A$1:$B$213,2,0)</f>
        <v xml:space="preserve">Estetiska ämnen               </v>
      </c>
    </row>
    <row r="138" spans="1:3" ht="12.95" customHeight="1" x14ac:dyDescent="0.25">
      <c r="A138" s="297" t="s">
        <v>863</v>
      </c>
      <c r="B138" s="294">
        <v>1650</v>
      </c>
      <c r="C138" s="292" t="str">
        <f>VLOOKUP(B138,Orgenheter!$A$1:$B$213,2,0)</f>
        <v xml:space="preserve">Estetiska ämnen               </v>
      </c>
    </row>
    <row r="139" spans="1:3" ht="15.75" x14ac:dyDescent="0.25">
      <c r="A139" s="297" t="s">
        <v>864</v>
      </c>
      <c r="B139" s="294">
        <v>1650</v>
      </c>
      <c r="C139" s="292" t="str">
        <f>VLOOKUP(B139,Orgenheter!$A$1:$B$213,2,0)</f>
        <v xml:space="preserve">Estetiska ämnen               </v>
      </c>
    </row>
    <row r="140" spans="1:3" ht="15.75" x14ac:dyDescent="0.25">
      <c r="A140" s="297" t="s">
        <v>1031</v>
      </c>
      <c r="B140" s="294">
        <v>1650</v>
      </c>
      <c r="C140" s="292" t="str">
        <f>VLOOKUP(B140,Orgenheter!$A$1:$B$213,2,0)</f>
        <v xml:space="preserve">Estetiska ämnen               </v>
      </c>
    </row>
    <row r="141" spans="1:3" ht="12.95" customHeight="1" x14ac:dyDescent="0.25">
      <c r="A141" s="297" t="s">
        <v>1032</v>
      </c>
      <c r="B141" s="294">
        <v>1650</v>
      </c>
      <c r="C141" s="292" t="str">
        <f>VLOOKUP(B141,Orgenheter!$A$1:$B$213,2,0)</f>
        <v xml:space="preserve">Estetiska ämnen               </v>
      </c>
    </row>
    <row r="142" spans="1:3" ht="12.95" customHeight="1" x14ac:dyDescent="0.25">
      <c r="A142" s="297" t="s">
        <v>495</v>
      </c>
      <c r="B142" s="294">
        <v>1650</v>
      </c>
      <c r="C142" s="292" t="str">
        <f>VLOOKUP(B142,Orgenheter!$A$1:$B$213,2,0)</f>
        <v xml:space="preserve">Estetiska ämnen               </v>
      </c>
    </row>
    <row r="143" spans="1:3" ht="12.95" customHeight="1" x14ac:dyDescent="0.25">
      <c r="A143" s="296" t="s">
        <v>566</v>
      </c>
      <c r="B143" s="294">
        <v>1650</v>
      </c>
      <c r="C143" s="292" t="str">
        <f>VLOOKUP(B143,Orgenheter!$A$1:$B$213,2,0)</f>
        <v xml:space="preserve">Estetiska ämnen               </v>
      </c>
    </row>
    <row r="144" spans="1:3" ht="12.95" customHeight="1" x14ac:dyDescent="0.25">
      <c r="A144" s="309" t="s">
        <v>658</v>
      </c>
      <c r="B144" s="292">
        <v>1650</v>
      </c>
      <c r="C144" s="292" t="str">
        <f>VLOOKUP(B144,Orgenheter!$A$1:$B$213,2,0)</f>
        <v xml:space="preserve">Estetiska ämnen               </v>
      </c>
    </row>
    <row r="145" spans="1:3" ht="12.95" customHeight="1" x14ac:dyDescent="0.25">
      <c r="A145" s="309" t="s">
        <v>659</v>
      </c>
      <c r="B145" s="292">
        <v>1650</v>
      </c>
      <c r="C145" s="292" t="str">
        <f>VLOOKUP(B145,Orgenheter!$A$1:$B$213,2,0)</f>
        <v xml:space="preserve">Estetiska ämnen               </v>
      </c>
    </row>
    <row r="146" spans="1:3" ht="12.95" customHeight="1" x14ac:dyDescent="0.25">
      <c r="A146" s="296" t="s">
        <v>916</v>
      </c>
      <c r="B146" s="294">
        <v>1650</v>
      </c>
      <c r="C146" s="292" t="str">
        <f>VLOOKUP(B146,Orgenheter!$A$1:$B$213,2,0)</f>
        <v xml:space="preserve">Estetiska ämnen               </v>
      </c>
    </row>
    <row r="147" spans="1:3" ht="12.95" customHeight="1" x14ac:dyDescent="0.25">
      <c r="A147" s="296" t="s">
        <v>1359</v>
      </c>
      <c r="B147" s="294">
        <v>1650</v>
      </c>
      <c r="C147" s="292" t="str">
        <f>VLOOKUP(B147,Orgenheter!$A$1:$B$213,2,0)</f>
        <v xml:space="preserve">Estetiska ämnen               </v>
      </c>
    </row>
    <row r="148" spans="1:3" ht="12.95" customHeight="1" x14ac:dyDescent="0.25">
      <c r="A148" s="296" t="s">
        <v>1378</v>
      </c>
      <c r="B148" s="294">
        <v>1650</v>
      </c>
      <c r="C148" s="292" t="str">
        <f>VLOOKUP(B148,Orgenheter!$A$1:$B$213,2,0)</f>
        <v xml:space="preserve">Estetiska ämnen               </v>
      </c>
    </row>
    <row r="149" spans="1:3" ht="12.95" customHeight="1" x14ac:dyDescent="0.25">
      <c r="A149" s="296" t="s">
        <v>1379</v>
      </c>
      <c r="B149" s="294">
        <v>1650</v>
      </c>
      <c r="C149" s="292" t="str">
        <f>VLOOKUP(B149,Orgenheter!$A$1:$B$213,2,0)</f>
        <v xml:space="preserve">Estetiska ämnen               </v>
      </c>
    </row>
    <row r="150" spans="1:3" ht="12.95" customHeight="1" x14ac:dyDescent="0.25">
      <c r="A150" s="296" t="s">
        <v>1380</v>
      </c>
      <c r="B150" s="294">
        <v>1650</v>
      </c>
      <c r="C150" s="292" t="str">
        <f>VLOOKUP(B150,Orgenheter!$A$1:$B$213,2,0)</f>
        <v xml:space="preserve">Estetiska ämnen               </v>
      </c>
    </row>
    <row r="151" spans="1:3" ht="12.95" customHeight="1" x14ac:dyDescent="0.25">
      <c r="A151" s="314" t="s">
        <v>1636</v>
      </c>
      <c r="B151" s="292">
        <v>1650</v>
      </c>
      <c r="C151" s="292" t="str">
        <f>VLOOKUP(B151,Orgenheter!$A$1:$B$213,2,0)</f>
        <v xml:space="preserve">Estetiska ämnen               </v>
      </c>
    </row>
    <row r="152" spans="1:3" ht="12.95" customHeight="1" x14ac:dyDescent="0.25">
      <c r="A152" s="296" t="s">
        <v>1637</v>
      </c>
      <c r="B152" s="292">
        <v>1650</v>
      </c>
      <c r="C152" s="292" t="str">
        <f>VLOOKUP(B152,Orgenheter!$A$1:$B$213,2,0)</f>
        <v xml:space="preserve">Estetiska ämnen               </v>
      </c>
    </row>
    <row r="153" spans="1:3" ht="15" customHeight="1" x14ac:dyDescent="0.25">
      <c r="A153" s="318" t="s">
        <v>1568</v>
      </c>
      <c r="B153" s="292">
        <v>1650</v>
      </c>
      <c r="C153" s="292" t="str">
        <f>VLOOKUP(B153,Orgenheter!$A$1:$B$213,2,0)</f>
        <v xml:space="preserve">Estetiska ämnen               </v>
      </c>
    </row>
    <row r="154" spans="1:3" ht="12.95" customHeight="1" x14ac:dyDescent="0.25">
      <c r="A154" s="296" t="s">
        <v>1467</v>
      </c>
      <c r="B154" s="294">
        <v>1650</v>
      </c>
      <c r="C154" s="292" t="str">
        <f>VLOOKUP(B154,Orgenheter!$A$1:$B$213,2,0)</f>
        <v xml:space="preserve">Estetiska ämnen               </v>
      </c>
    </row>
    <row r="155" spans="1:3" ht="12.95" customHeight="1" x14ac:dyDescent="0.25">
      <c r="A155" s="296" t="s">
        <v>1468</v>
      </c>
      <c r="B155" s="294">
        <v>1650</v>
      </c>
      <c r="C155" s="292" t="str">
        <f>VLOOKUP(B155,Orgenheter!$A$1:$B$213,2,0)</f>
        <v xml:space="preserve">Estetiska ämnen               </v>
      </c>
    </row>
    <row r="156" spans="1:3" ht="12.95" customHeight="1" x14ac:dyDescent="0.25">
      <c r="A156" s="296" t="s">
        <v>1469</v>
      </c>
      <c r="B156" s="294">
        <v>1650</v>
      </c>
      <c r="C156" s="292" t="str">
        <f>VLOOKUP(B156,Orgenheter!$A$1:$B$213,2,0)</f>
        <v xml:space="preserve">Estetiska ämnen               </v>
      </c>
    </row>
    <row r="157" spans="1:3" ht="12.95" customHeight="1" x14ac:dyDescent="0.25">
      <c r="A157" s="296" t="s">
        <v>1633</v>
      </c>
      <c r="B157" s="294">
        <v>1650</v>
      </c>
      <c r="C157" s="292" t="str">
        <f>VLOOKUP(B157,Orgenheter!$A$1:$B$213,2,0)</f>
        <v xml:space="preserve">Estetiska ämnen               </v>
      </c>
    </row>
    <row r="158" spans="1:3" ht="15" customHeight="1" x14ac:dyDescent="0.25">
      <c r="A158" s="318" t="s">
        <v>1723</v>
      </c>
      <c r="B158" s="292">
        <v>1650</v>
      </c>
      <c r="C158" s="292" t="str">
        <f>VLOOKUP(B158,Orgenheter!$A$1:$B$213,2,0)</f>
        <v xml:space="preserve">Estetiska ämnen               </v>
      </c>
    </row>
    <row r="159" spans="1:3" ht="12.95" customHeight="1" x14ac:dyDescent="0.25">
      <c r="A159" s="296" t="s">
        <v>1671</v>
      </c>
      <c r="B159" s="294">
        <v>1650</v>
      </c>
      <c r="C159" s="292" t="str">
        <f>VLOOKUP(B159,Orgenheter!$A$1:$B$213,2,0)</f>
        <v xml:space="preserve">Estetiska ämnen               </v>
      </c>
    </row>
    <row r="160" spans="1:3" ht="12.95" customHeight="1" x14ac:dyDescent="0.25">
      <c r="A160" s="298" t="s">
        <v>1736</v>
      </c>
      <c r="B160" s="292">
        <v>1650</v>
      </c>
      <c r="C160" s="292" t="str">
        <f>VLOOKUP(B160,Orgenheter!$A$1:$B$213,2,0)</f>
        <v xml:space="preserve">Estetiska ämnen               </v>
      </c>
    </row>
    <row r="161" spans="1:3" ht="12.95" customHeight="1" x14ac:dyDescent="0.25">
      <c r="A161" s="296" t="s">
        <v>1729</v>
      </c>
      <c r="B161" s="294">
        <v>1650</v>
      </c>
      <c r="C161" s="292" t="str">
        <f>VLOOKUP(B161,Orgenheter!$A$1:$B$213,2,0)</f>
        <v xml:space="preserve">Estetiska ämnen               </v>
      </c>
    </row>
    <row r="162" spans="1:3" ht="12.95" customHeight="1" x14ac:dyDescent="0.25">
      <c r="A162" s="296" t="s">
        <v>1754</v>
      </c>
      <c r="B162" s="294">
        <v>1650</v>
      </c>
      <c r="C162" s="292" t="str">
        <f>VLOOKUP(B162,Orgenheter!$A$1:$B$213,2,0)</f>
        <v xml:space="preserve">Estetiska ämnen               </v>
      </c>
    </row>
    <row r="163" spans="1:3" ht="12.95" customHeight="1" x14ac:dyDescent="0.25">
      <c r="A163" s="296" t="s">
        <v>1821</v>
      </c>
      <c r="B163" s="294">
        <v>1650</v>
      </c>
      <c r="C163" s="292" t="str">
        <f>VLOOKUP(B163,Orgenheter!$A$1:$B$213,2,0)</f>
        <v xml:space="preserve">Estetiska ämnen               </v>
      </c>
    </row>
    <row r="164" spans="1:3" ht="12.95" customHeight="1" x14ac:dyDescent="0.25">
      <c r="A164" s="407" t="s">
        <v>1855</v>
      </c>
      <c r="B164" s="408">
        <v>1650</v>
      </c>
      <c r="C164" s="292" t="str">
        <f>VLOOKUP(B164,Orgenheter!$A$1:$B$213,2,0)</f>
        <v xml:space="preserve">Estetiska ämnen               </v>
      </c>
    </row>
    <row r="165" spans="1:3" ht="12.95" customHeight="1" x14ac:dyDescent="0.25">
      <c r="A165" s="298" t="s">
        <v>1883</v>
      </c>
      <c r="B165" s="292">
        <v>1650</v>
      </c>
      <c r="C165" s="292" t="str">
        <f>VLOOKUP(B165,Orgenheter!$A$1:$B$213,2,0)</f>
        <v xml:space="preserve">Estetiska ämnen               </v>
      </c>
    </row>
    <row r="166" spans="1:3" ht="12.95" customHeight="1" x14ac:dyDescent="0.25">
      <c r="A166" s="298" t="s">
        <v>1881</v>
      </c>
      <c r="B166" s="292">
        <v>1650</v>
      </c>
      <c r="C166" s="292" t="str">
        <f>VLOOKUP(B166,Orgenheter!$A$1:$B$213,2,0)</f>
        <v xml:space="preserve">Estetiska ämnen               </v>
      </c>
    </row>
    <row r="167" spans="1:3" ht="12.95" customHeight="1" x14ac:dyDescent="0.25">
      <c r="A167" s="298" t="s">
        <v>1882</v>
      </c>
      <c r="B167" s="292">
        <v>1650</v>
      </c>
      <c r="C167" s="292" t="str">
        <f>VLOOKUP(B167,Orgenheter!$A$1:$B$213,2,0)</f>
        <v xml:space="preserve">Estetiska ämnen               </v>
      </c>
    </row>
    <row r="168" spans="1:3" ht="12.95" customHeight="1" x14ac:dyDescent="0.25">
      <c r="A168" s="444" t="s">
        <v>2061</v>
      </c>
      <c r="B168" s="436">
        <v>1650</v>
      </c>
      <c r="C168" s="292" t="str">
        <f>VLOOKUP(B168,Orgenheter!$A$1:$B$213,2,0)</f>
        <v xml:space="preserve">Estetiska ämnen               </v>
      </c>
    </row>
    <row r="169" spans="1:3" ht="12.95" customHeight="1" x14ac:dyDescent="0.25">
      <c r="A169" s="453" t="s">
        <v>2118</v>
      </c>
      <c r="B169" s="454">
        <v>1650</v>
      </c>
      <c r="C169" s="292" t="str">
        <f>VLOOKUP(B169,Orgenheter!$A$1:$B$213,2,0)</f>
        <v xml:space="preserve">Estetiska ämnen               </v>
      </c>
    </row>
    <row r="170" spans="1:3" ht="12.95" customHeight="1" x14ac:dyDescent="0.25">
      <c r="A170" s="349" t="s">
        <v>2060</v>
      </c>
      <c r="B170" s="292">
        <v>1650</v>
      </c>
      <c r="C170" s="292" t="str">
        <f>VLOOKUP(B170,Orgenheter!$A$1:$B$213,2,0)</f>
        <v xml:space="preserve">Estetiska ämnen               </v>
      </c>
    </row>
    <row r="171" spans="1:3" ht="12.95" customHeight="1" x14ac:dyDescent="0.25">
      <c r="A171" s="31" t="s">
        <v>2200</v>
      </c>
      <c r="B171" s="292">
        <v>1650</v>
      </c>
      <c r="C171" s="292" t="str">
        <f>VLOOKUP(B171,Orgenheter!$A$1:$B$213,2,0)</f>
        <v xml:space="preserve">Estetiska ämnen               </v>
      </c>
    </row>
    <row r="172" spans="1:3" ht="12.95" customHeight="1" x14ac:dyDescent="0.25">
      <c r="A172" s="453" t="s">
        <v>2119</v>
      </c>
      <c r="B172" s="454">
        <v>1650</v>
      </c>
      <c r="C172" s="292" t="str">
        <f>VLOOKUP(B172,Orgenheter!$A$1:$B$213,2,0)</f>
        <v xml:space="preserve">Estetiska ämnen               </v>
      </c>
    </row>
    <row r="173" spans="1:3" ht="12.95" customHeight="1" x14ac:dyDescent="0.25">
      <c r="A173" s="453" t="s">
        <v>2120</v>
      </c>
      <c r="B173" s="454">
        <v>1650</v>
      </c>
      <c r="C173" s="292" t="str">
        <f>VLOOKUP(B173,Orgenheter!$A$1:$B$213,2,0)</f>
        <v xml:space="preserve">Estetiska ämnen               </v>
      </c>
    </row>
    <row r="174" spans="1:3" ht="15" customHeight="1" x14ac:dyDescent="0.25">
      <c r="A174" s="318" t="s">
        <v>2109</v>
      </c>
      <c r="B174" s="292">
        <v>1650</v>
      </c>
      <c r="C174" s="292" t="str">
        <f>VLOOKUP(B174,Orgenheter!$A$1:$B$213,2,0)</f>
        <v xml:space="preserve">Estetiska ämnen               </v>
      </c>
    </row>
    <row r="175" spans="1:3" ht="12.95" customHeight="1" x14ac:dyDescent="0.25">
      <c r="A175" s="453" t="s">
        <v>2121</v>
      </c>
      <c r="B175" s="454">
        <v>1650</v>
      </c>
      <c r="C175" s="292" t="str">
        <f>VLOOKUP(B175,Orgenheter!$A$1:$B$213,2,0)</f>
        <v xml:space="preserve">Estetiska ämnen               </v>
      </c>
    </row>
    <row r="176" spans="1:3" ht="12.95" customHeight="1" x14ac:dyDescent="0.25">
      <c r="A176" s="453" t="s">
        <v>2122</v>
      </c>
      <c r="B176" s="454">
        <v>1650</v>
      </c>
      <c r="C176" s="292" t="str">
        <f>VLOOKUP(B176,Orgenheter!$A$1:$B$213,2,0)</f>
        <v xml:space="preserve">Estetiska ämnen               </v>
      </c>
    </row>
    <row r="177" spans="1:3" ht="12.95" customHeight="1" x14ac:dyDescent="0.25">
      <c r="A177" s="298" t="s">
        <v>2178</v>
      </c>
      <c r="B177" s="292">
        <v>1650</v>
      </c>
      <c r="C177" s="292" t="str">
        <f>VLOOKUP(B177,Orgenheter!$A$1:$B$213,2,0)</f>
        <v xml:space="preserve">Estetiska ämnen               </v>
      </c>
    </row>
    <row r="178" spans="1:3" ht="15.75" x14ac:dyDescent="0.25">
      <c r="A178" s="297" t="s">
        <v>2157</v>
      </c>
      <c r="B178" s="294">
        <v>1650</v>
      </c>
      <c r="C178" s="292" t="str">
        <f>VLOOKUP(B178,Orgenheter!$A$1:$B$213,2,0)</f>
        <v xml:space="preserve">Estetiska ämnen               </v>
      </c>
    </row>
    <row r="179" spans="1:3" ht="12.95" customHeight="1" x14ac:dyDescent="0.25">
      <c r="A179" s="18" t="s">
        <v>2201</v>
      </c>
      <c r="B179" s="292">
        <v>1650</v>
      </c>
      <c r="C179" s="292" t="str">
        <f>VLOOKUP(B179,Orgenheter!$A$1:$B$213,2,0)</f>
        <v xml:space="preserve">Estetiska ämnen               </v>
      </c>
    </row>
    <row r="180" spans="1:3" ht="12.95" customHeight="1" x14ac:dyDescent="0.25">
      <c r="A180" s="443" t="s">
        <v>2183</v>
      </c>
      <c r="B180" s="292">
        <v>1650</v>
      </c>
      <c r="C180" s="292" t="str">
        <f>VLOOKUP(B180,Orgenheter!$A$1:$B$213,2,0)</f>
        <v xml:space="preserve">Estetiska ämnen               </v>
      </c>
    </row>
    <row r="181" spans="1:3" s="1" customFormat="1" x14ac:dyDescent="0.25">
      <c r="A181" s="419" t="s">
        <v>2105</v>
      </c>
      <c r="B181" s="419">
        <v>1650</v>
      </c>
      <c r="C181" s="292" t="str">
        <f>VLOOKUP(B181,Orgenheter!$A$1:$B$213,2,0)</f>
        <v xml:space="preserve">Estetiska ämnen               </v>
      </c>
    </row>
    <row r="182" spans="1:3" ht="12.95" customHeight="1" x14ac:dyDescent="0.25">
      <c r="A182" s="443" t="s">
        <v>2182</v>
      </c>
      <c r="B182" s="292">
        <v>1650</v>
      </c>
      <c r="C182" s="292" t="str">
        <f>VLOOKUP(B182,Orgenheter!$A$1:$B$213,2,0)</f>
        <v xml:space="preserve">Estetiska ämnen               </v>
      </c>
    </row>
    <row r="183" spans="1:3" ht="12.95" customHeight="1" x14ac:dyDescent="0.25">
      <c r="A183" s="455" t="s">
        <v>2196</v>
      </c>
      <c r="B183" s="454">
        <v>1650</v>
      </c>
      <c r="C183" s="292" t="str">
        <f>VLOOKUP(B183,Orgenheter!$A$1:$B$213,2,0)</f>
        <v xml:space="preserve">Estetiska ämnen               </v>
      </c>
    </row>
    <row r="184" spans="1:3" ht="12.95" customHeight="1" x14ac:dyDescent="0.25">
      <c r="A184" s="296" t="s">
        <v>523</v>
      </c>
      <c r="B184" s="292">
        <v>6000</v>
      </c>
      <c r="C184" s="292" t="str">
        <f>VLOOKUP(B184,Orgenheter!$A$1:$B$213,2,0)</f>
        <v xml:space="preserve">Lärarutbildningarna gem       </v>
      </c>
    </row>
    <row r="185" spans="1:3" ht="12.95" customHeight="1" x14ac:dyDescent="0.25">
      <c r="A185" s="296" t="s">
        <v>1267</v>
      </c>
      <c r="B185" s="292">
        <v>6000</v>
      </c>
      <c r="C185" s="292" t="str">
        <f>VLOOKUP(B185,Orgenheter!$A$1:$B$213,2,0)</f>
        <v xml:space="preserve">Lärarutbildningarna gem       </v>
      </c>
    </row>
    <row r="186" spans="1:3" ht="12.95" customHeight="1" x14ac:dyDescent="0.25">
      <c r="A186" s="296" t="s">
        <v>1797</v>
      </c>
      <c r="B186" s="292">
        <v>6000</v>
      </c>
      <c r="C186" s="292" t="str">
        <f>VLOOKUP(B186,Orgenheter!$A$1:$B$213,2,0)</f>
        <v xml:space="preserve">Lärarutbildningarna gem       </v>
      </c>
    </row>
    <row r="187" spans="1:3" ht="12.95" customHeight="1" x14ac:dyDescent="0.25">
      <c r="A187" s="298" t="s">
        <v>865</v>
      </c>
      <c r="B187" s="298">
        <v>1620</v>
      </c>
      <c r="C187" s="292" t="str">
        <f>VLOOKUP(B187,Orgenheter!$A$1:$B$213,2,0)</f>
        <v>Inst för språkstudier</v>
      </c>
    </row>
    <row r="188" spans="1:3" ht="12.95" customHeight="1" x14ac:dyDescent="0.25">
      <c r="A188" s="292" t="s">
        <v>88</v>
      </c>
      <c r="B188" s="292">
        <v>1620</v>
      </c>
      <c r="C188" s="292" t="str">
        <f>VLOOKUP(B188,Orgenheter!$A$1:$B$213,2,0)</f>
        <v>Inst för språkstudier</v>
      </c>
    </row>
    <row r="189" spans="1:3" ht="12.95" customHeight="1" x14ac:dyDescent="0.25">
      <c r="A189" s="348" t="s">
        <v>144</v>
      </c>
      <c r="B189" s="292">
        <v>1620</v>
      </c>
      <c r="C189" s="292" t="str">
        <f>VLOOKUP(B189,Orgenheter!$A$1:$B$213,2,0)</f>
        <v>Inst för språkstudier</v>
      </c>
    </row>
    <row r="190" spans="1:3" ht="12.95" customHeight="1" x14ac:dyDescent="0.25">
      <c r="A190" s="298" t="s">
        <v>866</v>
      </c>
      <c r="B190" s="292">
        <v>1620</v>
      </c>
      <c r="C190" s="292" t="str">
        <f>VLOOKUP(B190,Orgenheter!$A$1:$B$213,2,0)</f>
        <v>Inst för språkstudier</v>
      </c>
    </row>
    <row r="191" spans="1:3" ht="12.95" customHeight="1" x14ac:dyDescent="0.25">
      <c r="A191" s="298" t="s">
        <v>1033</v>
      </c>
      <c r="B191" s="292">
        <v>1620</v>
      </c>
      <c r="C191" s="292" t="str">
        <f>VLOOKUP(B191,Orgenheter!$A$1:$B$213,2,0)</f>
        <v>Inst för språkstudier</v>
      </c>
    </row>
    <row r="192" spans="1:3" ht="12.95" customHeight="1" x14ac:dyDescent="0.25">
      <c r="A192" s="409" t="s">
        <v>1902</v>
      </c>
      <c r="B192" s="406">
        <v>1620</v>
      </c>
      <c r="C192" s="292" t="str">
        <f>VLOOKUP(B192,Orgenheter!$A$1:$B$213,2,0)</f>
        <v>Inst för språkstudier</v>
      </c>
    </row>
    <row r="193" spans="1:3" ht="12.95" customHeight="1" x14ac:dyDescent="0.25">
      <c r="A193" s="18" t="s">
        <v>2202</v>
      </c>
      <c r="B193" s="292">
        <v>1620</v>
      </c>
      <c r="C193" s="292" t="str">
        <f>VLOOKUP(B193,Orgenheter!$A$1:$B$213,2,0)</f>
        <v>Inst för språkstudier</v>
      </c>
    </row>
    <row r="194" spans="1:3" ht="12.95" customHeight="1" x14ac:dyDescent="0.25">
      <c r="A194" s="298" t="s">
        <v>1790</v>
      </c>
      <c r="B194" s="292">
        <v>6000</v>
      </c>
      <c r="C194" s="292" t="str">
        <f>VLOOKUP(B194,Orgenheter!$A$1:$B$213,2,0)</f>
        <v xml:space="preserve">Lärarutbildningarna gem       </v>
      </c>
    </row>
    <row r="195" spans="1:3" ht="12.95" customHeight="1" x14ac:dyDescent="0.25">
      <c r="A195" s="298" t="s">
        <v>1845</v>
      </c>
      <c r="B195" s="292">
        <v>2180</v>
      </c>
      <c r="C195" s="292" t="str">
        <f>VLOOKUP(B195,Orgenheter!$A$1:$B$213,2,0)</f>
        <v xml:space="preserve">Pedagogik                     </v>
      </c>
    </row>
    <row r="196" spans="1:3" ht="12.95" customHeight="1" x14ac:dyDescent="0.25">
      <c r="A196" s="298" t="s">
        <v>1844</v>
      </c>
      <c r="B196" s="292">
        <v>1620</v>
      </c>
      <c r="C196" s="292" t="str">
        <f>VLOOKUP(B196,Orgenheter!$A$1:$B$213,2,0)</f>
        <v>Inst för språkstudier</v>
      </c>
    </row>
    <row r="197" spans="1:3" ht="12.95" customHeight="1" x14ac:dyDescent="0.25">
      <c r="A197" s="349" t="s">
        <v>2090</v>
      </c>
      <c r="B197" s="436">
        <v>1620</v>
      </c>
      <c r="C197" s="292" t="str">
        <f>VLOOKUP(B197,Orgenheter!$A$1:$B$213,2,0)</f>
        <v>Inst för språkstudier</v>
      </c>
    </row>
    <row r="198" spans="1:3" ht="12.95" customHeight="1" x14ac:dyDescent="0.25">
      <c r="A198" s="453" t="s">
        <v>2140</v>
      </c>
      <c r="B198" s="454">
        <v>1620</v>
      </c>
      <c r="C198" s="292" t="str">
        <f>VLOOKUP(B198,Orgenheter!$A$1:$B$213,2,0)</f>
        <v>Inst för språkstudier</v>
      </c>
    </row>
    <row r="199" spans="1:3" ht="12.95" customHeight="1" x14ac:dyDescent="0.25">
      <c r="A199" s="298" t="s">
        <v>867</v>
      </c>
      <c r="B199" s="292">
        <v>5400</v>
      </c>
      <c r="C199" s="292" t="str">
        <f>VLOOKUP(B199,Orgenheter!$A$1:$B$213,2,0)</f>
        <v xml:space="preserve">Inst för Fysik                </v>
      </c>
    </row>
    <row r="200" spans="1:3" ht="12.95" customHeight="1" x14ac:dyDescent="0.25">
      <c r="A200" s="298" t="s">
        <v>1034</v>
      </c>
      <c r="B200" s="292">
        <v>5400</v>
      </c>
      <c r="C200" s="292" t="str">
        <f>VLOOKUP(B200,Orgenheter!$A$1:$B$213,2,0)</f>
        <v xml:space="preserve">Inst för Fysik                </v>
      </c>
    </row>
    <row r="201" spans="1:3" ht="12.95" customHeight="1" x14ac:dyDescent="0.25">
      <c r="A201" s="298" t="s">
        <v>1489</v>
      </c>
      <c r="B201" s="292">
        <v>5740</v>
      </c>
      <c r="C201" s="292" t="str">
        <f>VLOOKUP(B201,Orgenheter!$A$1:$B$213,2,0)</f>
        <v>NMD</v>
      </c>
    </row>
    <row r="202" spans="1:3" ht="12.95" customHeight="1" x14ac:dyDescent="0.25">
      <c r="A202" s="298" t="s">
        <v>1747</v>
      </c>
      <c r="B202" s="292">
        <v>5400</v>
      </c>
      <c r="C202" s="292" t="str">
        <f>VLOOKUP(B202,Orgenheter!$A$1:$B$213,2,0)</f>
        <v xml:space="preserve">Inst för Fysik                </v>
      </c>
    </row>
    <row r="203" spans="1:3" ht="12.95" customHeight="1" x14ac:dyDescent="0.25">
      <c r="A203" s="298" t="s">
        <v>1856</v>
      </c>
      <c r="B203" s="406">
        <v>5400</v>
      </c>
      <c r="C203" s="292" t="str">
        <f>VLOOKUP(B203,Orgenheter!$A$1:$B$213,2,0)</f>
        <v xml:space="preserve">Inst för Fysik                </v>
      </c>
    </row>
    <row r="204" spans="1:3" ht="12.95" customHeight="1" x14ac:dyDescent="0.25">
      <c r="A204" s="409" t="s">
        <v>1857</v>
      </c>
      <c r="B204" s="406">
        <v>5400</v>
      </c>
      <c r="C204" s="292" t="str">
        <f>VLOOKUP(B204,Orgenheter!$A$1:$B$213,2,0)</f>
        <v xml:space="preserve">Inst för Fysik                </v>
      </c>
    </row>
    <row r="205" spans="1:3" ht="12.95" customHeight="1" x14ac:dyDescent="0.25">
      <c r="A205" s="296" t="s">
        <v>1502</v>
      </c>
      <c r="B205" s="294">
        <v>5740</v>
      </c>
      <c r="C205" s="292" t="str">
        <f>VLOOKUP(B205,Orgenheter!$A$1:$B$213,2,0)</f>
        <v>NMD</v>
      </c>
    </row>
    <row r="206" spans="1:3" ht="15.75" x14ac:dyDescent="0.25">
      <c r="A206" s="296" t="s">
        <v>1503</v>
      </c>
      <c r="B206" s="294">
        <v>5740</v>
      </c>
      <c r="C206" s="292" t="str">
        <f>VLOOKUP(B206,Orgenheter!$A$1:$B$213,2,0)</f>
        <v>NMD</v>
      </c>
    </row>
    <row r="207" spans="1:3" ht="12.95" customHeight="1" x14ac:dyDescent="0.25">
      <c r="A207" s="296" t="s">
        <v>1504</v>
      </c>
      <c r="B207" s="294">
        <v>5740</v>
      </c>
      <c r="C207" s="292" t="str">
        <f>VLOOKUP(B207,Orgenheter!$A$1:$B$213,2,0)</f>
        <v>NMD</v>
      </c>
    </row>
    <row r="208" spans="1:3" ht="12.95" customHeight="1" x14ac:dyDescent="0.25">
      <c r="A208" s="296" t="s">
        <v>1798</v>
      </c>
      <c r="B208" s="294">
        <v>2500</v>
      </c>
      <c r="C208" s="292" t="str">
        <f>VLOOKUP(B208,Orgenheter!$A$1:$B$213,2,0)</f>
        <v>Geografi</v>
      </c>
    </row>
    <row r="209" spans="1:3" ht="12.95" customHeight="1" x14ac:dyDescent="0.25">
      <c r="A209" s="424" t="s">
        <v>2004</v>
      </c>
      <c r="B209" s="425">
        <v>5100</v>
      </c>
      <c r="C209" s="292" t="str">
        <f>VLOOKUP(B209,Orgenheter!$A$1:$B$213,2,0)</f>
        <v>EMG</v>
      </c>
    </row>
    <row r="210" spans="1:3" ht="12.95" customHeight="1" x14ac:dyDescent="0.25">
      <c r="A210" s="292" t="s">
        <v>1957</v>
      </c>
      <c r="B210" s="292">
        <v>5100</v>
      </c>
      <c r="C210" s="292" t="str">
        <f>VLOOKUP(B210,Orgenheter!$A$1:$B$213,2,0)</f>
        <v>EMG</v>
      </c>
    </row>
    <row r="211" spans="1:3" ht="15.75" x14ac:dyDescent="0.25">
      <c r="A211" s="410" t="s">
        <v>1858</v>
      </c>
      <c r="B211" s="406">
        <v>5100</v>
      </c>
      <c r="C211" s="292" t="str">
        <f>VLOOKUP(B211,Orgenheter!$A$1:$B$213,2,0)</f>
        <v>EMG</v>
      </c>
    </row>
    <row r="212" spans="1:3" ht="12.95" customHeight="1" x14ac:dyDescent="0.25">
      <c r="A212" s="292" t="s">
        <v>1958</v>
      </c>
      <c r="B212" s="292">
        <v>5100</v>
      </c>
      <c r="C212" s="292" t="str">
        <f>VLOOKUP(B212,Orgenheter!$A$1:$B$213,2,0)</f>
        <v>EMG</v>
      </c>
    </row>
    <row r="213" spans="1:3" ht="12.95" customHeight="1" x14ac:dyDescent="0.25">
      <c r="A213" s="454" t="s">
        <v>2110</v>
      </c>
      <c r="B213" s="454">
        <v>5100</v>
      </c>
      <c r="C213" s="292" t="str">
        <f>VLOOKUP(B213,Orgenheter!$A$1:$B$213,2,0)</f>
        <v>EMG</v>
      </c>
    </row>
    <row r="214" spans="1:3" ht="12.95" customHeight="1" x14ac:dyDescent="0.25">
      <c r="A214" s="309" t="s">
        <v>95</v>
      </c>
      <c r="B214" s="292">
        <v>1630</v>
      </c>
      <c r="C214" s="292" t="str">
        <f>VLOOKUP(B214,Orgenheter!$A$1:$B$213,2,0)</f>
        <v>Inst för ide- o samhällsstudier</v>
      </c>
    </row>
    <row r="215" spans="1:3" ht="12.95" customHeight="1" x14ac:dyDescent="0.25">
      <c r="A215" s="292" t="s">
        <v>99</v>
      </c>
      <c r="B215" s="292">
        <v>1630</v>
      </c>
      <c r="C215" s="292" t="str">
        <f>VLOOKUP(B215,Orgenheter!$A$1:$B$213,2,0)</f>
        <v>Inst för ide- o samhällsstudier</v>
      </c>
    </row>
    <row r="216" spans="1:3" ht="12.95" customHeight="1" x14ac:dyDescent="0.25">
      <c r="A216" s="298" t="s">
        <v>391</v>
      </c>
      <c r="B216" s="298">
        <v>1630</v>
      </c>
      <c r="C216" s="292" t="str">
        <f>VLOOKUP(B216,Orgenheter!$A$1:$B$213,2,0)</f>
        <v>Inst för ide- o samhällsstudier</v>
      </c>
    </row>
    <row r="217" spans="1:3" ht="12.95" customHeight="1" x14ac:dyDescent="0.25">
      <c r="A217" s="298" t="s">
        <v>868</v>
      </c>
      <c r="B217" s="298">
        <v>1630</v>
      </c>
      <c r="C217" s="292" t="str">
        <f>VLOOKUP(B217,Orgenheter!$A$1:$B$213,2,0)</f>
        <v>Inst för ide- o samhällsstudier</v>
      </c>
    </row>
    <row r="218" spans="1:3" ht="15.75" x14ac:dyDescent="0.25">
      <c r="A218" s="296" t="s">
        <v>496</v>
      </c>
      <c r="B218" s="294">
        <v>1630</v>
      </c>
      <c r="C218" s="292" t="str">
        <f>VLOOKUP(B218,Orgenheter!$A$1:$B$213,2,0)</f>
        <v>Inst för ide- o samhällsstudier</v>
      </c>
    </row>
    <row r="219" spans="1:3" ht="15.75" x14ac:dyDescent="0.25">
      <c r="A219" s="296" t="s">
        <v>610</v>
      </c>
      <c r="B219" s="294">
        <v>1630</v>
      </c>
      <c r="C219" s="292" t="str">
        <f>VLOOKUP(B219,Orgenheter!$A$1:$B$213,2,0)</f>
        <v>Inst för ide- o samhällsstudier</v>
      </c>
    </row>
    <row r="220" spans="1:3" ht="12.95" customHeight="1" x14ac:dyDescent="0.25">
      <c r="A220" s="296" t="s">
        <v>784</v>
      </c>
      <c r="B220" s="294">
        <v>1630</v>
      </c>
      <c r="C220" s="292" t="str">
        <f>VLOOKUP(B220,Orgenheter!$A$1:$B$213,2,0)</f>
        <v>Inst för ide- o samhällsstudier</v>
      </c>
    </row>
    <row r="221" spans="1:3" ht="12.95" customHeight="1" x14ac:dyDescent="0.25">
      <c r="A221" s="296" t="s">
        <v>1268</v>
      </c>
      <c r="B221" s="294">
        <v>1630</v>
      </c>
      <c r="C221" s="292" t="str">
        <f>VLOOKUP(B221,Orgenheter!$A$1:$B$213,2,0)</f>
        <v>Inst för ide- o samhällsstudier</v>
      </c>
    </row>
    <row r="222" spans="1:3" ht="12.95" customHeight="1" x14ac:dyDescent="0.25">
      <c r="A222" s="296" t="s">
        <v>1035</v>
      </c>
      <c r="B222" s="294">
        <v>1630</v>
      </c>
      <c r="C222" s="292" t="str">
        <f>VLOOKUP(B222,Orgenheter!$A$1:$B$213,2,0)</f>
        <v>Inst för ide- o samhällsstudier</v>
      </c>
    </row>
    <row r="223" spans="1:3" ht="12.95" customHeight="1" x14ac:dyDescent="0.25">
      <c r="A223" s="296" t="s">
        <v>1083</v>
      </c>
      <c r="B223" s="294">
        <v>1630</v>
      </c>
      <c r="C223" s="292" t="str">
        <f>VLOOKUP(B223,Orgenheter!$A$1:$B$213,2,0)</f>
        <v>Inst för ide- o samhällsstudier</v>
      </c>
    </row>
    <row r="224" spans="1:3" ht="15.75" x14ac:dyDescent="0.25">
      <c r="A224" s="296" t="s">
        <v>1084</v>
      </c>
      <c r="B224" s="294">
        <v>1630</v>
      </c>
      <c r="C224" s="292" t="str">
        <f>VLOOKUP(B224,Orgenheter!$A$1:$B$213,2,0)</f>
        <v>Inst för ide- o samhällsstudier</v>
      </c>
    </row>
    <row r="225" spans="1:3" ht="15.75" x14ac:dyDescent="0.25">
      <c r="A225" s="296" t="s">
        <v>1476</v>
      </c>
      <c r="B225" s="294">
        <v>1630</v>
      </c>
      <c r="C225" s="292" t="str">
        <f>VLOOKUP(B225,Orgenheter!$A$1:$B$213,2,0)</f>
        <v>Inst för ide- o samhällsstudier</v>
      </c>
    </row>
    <row r="226" spans="1:3" ht="15.75" x14ac:dyDescent="0.25">
      <c r="A226" s="296" t="s">
        <v>981</v>
      </c>
      <c r="B226" s="294">
        <v>1630</v>
      </c>
      <c r="C226" s="292" t="str">
        <f>VLOOKUP(B226,Orgenheter!$A$1:$B$213,2,0)</f>
        <v>Inst för ide- o samhällsstudier</v>
      </c>
    </row>
    <row r="227" spans="1:3" ht="15.75" x14ac:dyDescent="0.25">
      <c r="A227" s="296" t="s">
        <v>1527</v>
      </c>
      <c r="B227" s="294">
        <v>1630</v>
      </c>
      <c r="C227" s="292" t="str">
        <f>VLOOKUP(B227,Orgenheter!$A$1:$B$213,2,0)</f>
        <v>Inst för ide- o samhällsstudier</v>
      </c>
    </row>
    <row r="228" spans="1:3" ht="15.75" x14ac:dyDescent="0.25">
      <c r="A228" s="424" t="s">
        <v>2005</v>
      </c>
      <c r="B228" s="425">
        <v>1630</v>
      </c>
      <c r="C228" s="292" t="str">
        <f>VLOOKUP(B228,Orgenheter!$A$1:$B$213,2,0)</f>
        <v>Inst för ide- o samhällsstudier</v>
      </c>
    </row>
    <row r="229" spans="1:3" ht="15.75" x14ac:dyDescent="0.25">
      <c r="A229" s="424" t="s">
        <v>1960</v>
      </c>
      <c r="B229" s="425">
        <v>1630</v>
      </c>
      <c r="C229" s="292" t="str">
        <f>VLOOKUP(B229,Orgenheter!$A$1:$B$213,2,0)</f>
        <v>Inst för ide- o samhällsstudier</v>
      </c>
    </row>
    <row r="230" spans="1:3" ht="15.75" x14ac:dyDescent="0.25">
      <c r="A230" s="450" t="s">
        <v>2111</v>
      </c>
      <c r="B230" s="451">
        <v>1630</v>
      </c>
      <c r="C230" s="292" t="str">
        <f>VLOOKUP(B230,Orgenheter!$A$1:$B$213,2,0)</f>
        <v>Inst för ide- o samhällsstudier</v>
      </c>
    </row>
    <row r="231" spans="1:3" ht="15.75" x14ac:dyDescent="0.25">
      <c r="A231" s="450" t="s">
        <v>2112</v>
      </c>
      <c r="B231" s="451">
        <v>1630</v>
      </c>
      <c r="C231" s="292" t="str">
        <f>VLOOKUP(B231,Orgenheter!$A$1:$B$213,2,0)</f>
        <v>Inst för ide- o samhällsstudier</v>
      </c>
    </row>
    <row r="232" spans="1:3" ht="15.75" x14ac:dyDescent="0.25">
      <c r="A232" s="296" t="s">
        <v>1036</v>
      </c>
      <c r="B232" s="294">
        <v>1630</v>
      </c>
      <c r="C232" s="292" t="str">
        <f>VLOOKUP(B232,Orgenheter!$A$1:$B$213,2,0)</f>
        <v>Inst för ide- o samhällsstudier</v>
      </c>
    </row>
    <row r="233" spans="1:3" ht="15.75" x14ac:dyDescent="0.25">
      <c r="A233" s="296" t="s">
        <v>92</v>
      </c>
      <c r="B233" s="294">
        <v>1630</v>
      </c>
      <c r="C233" s="292" t="str">
        <f>VLOOKUP(B233,Orgenheter!$A$1:$B$213,2,0)</f>
        <v>Inst för ide- o samhällsstudier</v>
      </c>
    </row>
    <row r="234" spans="1:3" ht="15.75" x14ac:dyDescent="0.25">
      <c r="A234" s="296" t="s">
        <v>1126</v>
      </c>
      <c r="B234" s="294">
        <v>2180</v>
      </c>
      <c r="C234" s="292" t="str">
        <f>VLOOKUP(B234,Orgenheter!$A$1:$B$213,2,0)</f>
        <v xml:space="preserve">Pedagogik                     </v>
      </c>
    </row>
    <row r="235" spans="1:3" ht="12.95" customHeight="1" x14ac:dyDescent="0.25">
      <c r="A235" s="296" t="s">
        <v>1127</v>
      </c>
      <c r="B235" s="294">
        <v>2180</v>
      </c>
      <c r="C235" s="292" t="str">
        <f>VLOOKUP(B235,Orgenheter!$A$1:$B$213,2,0)</f>
        <v xml:space="preserve">Pedagogik                     </v>
      </c>
    </row>
    <row r="236" spans="1:3" ht="12.95" customHeight="1" x14ac:dyDescent="0.25">
      <c r="A236" s="296" t="s">
        <v>1557</v>
      </c>
      <c r="B236" s="294">
        <v>2180</v>
      </c>
      <c r="C236" s="292" t="str">
        <f>VLOOKUP(B236,Orgenheter!$A$1:$B$213,2,0)</f>
        <v xml:space="preserve">Pedagogik                     </v>
      </c>
    </row>
    <row r="237" spans="1:3" ht="12.95" customHeight="1" x14ac:dyDescent="0.25">
      <c r="A237" s="296" t="s">
        <v>1482</v>
      </c>
      <c r="B237" s="294">
        <v>2180</v>
      </c>
      <c r="C237" s="292" t="str">
        <f>VLOOKUP(B237,Orgenheter!$A$1:$B$213,2,0)</f>
        <v xml:space="preserve">Pedagogik                     </v>
      </c>
    </row>
    <row r="238" spans="1:3" ht="12.95" customHeight="1" x14ac:dyDescent="0.25">
      <c r="A238" s="296" t="s">
        <v>1472</v>
      </c>
      <c r="B238" s="294">
        <v>2180</v>
      </c>
      <c r="C238" s="292" t="str">
        <f>VLOOKUP(B238,Orgenheter!$A$1:$B$213,2,0)</f>
        <v xml:space="preserve">Pedagogik                     </v>
      </c>
    </row>
    <row r="239" spans="1:3" ht="15.75" x14ac:dyDescent="0.25">
      <c r="A239" s="296" t="s">
        <v>1586</v>
      </c>
      <c r="B239" s="294">
        <v>2180</v>
      </c>
      <c r="C239" s="292" t="str">
        <f>VLOOKUP(B239,Orgenheter!$A$1:$B$213,2,0)</f>
        <v xml:space="preserve">Pedagogik                     </v>
      </c>
    </row>
    <row r="240" spans="1:3" ht="15.75" x14ac:dyDescent="0.25">
      <c r="A240" s="296" t="s">
        <v>1822</v>
      </c>
      <c r="B240" s="294">
        <v>2180</v>
      </c>
      <c r="C240" s="292" t="str">
        <f>VLOOKUP(B240,Orgenheter!$A$1:$B$213,2,0)</f>
        <v xml:space="preserve">Pedagogik                     </v>
      </c>
    </row>
    <row r="241" spans="1:3" ht="15.75" x14ac:dyDescent="0.25">
      <c r="A241" s="296" t="s">
        <v>497</v>
      </c>
      <c r="B241" s="294">
        <v>2180</v>
      </c>
      <c r="C241" s="292" t="str">
        <f>VLOOKUP(B241,Orgenheter!$A$1:$B$213,2,0)</f>
        <v xml:space="preserve">Pedagogik                     </v>
      </c>
    </row>
    <row r="242" spans="1:3" ht="15.75" x14ac:dyDescent="0.25">
      <c r="A242" s="296" t="s">
        <v>584</v>
      </c>
      <c r="B242" s="294">
        <v>2180</v>
      </c>
      <c r="C242" s="292" t="str">
        <f>VLOOKUP(B242,Orgenheter!$A$1:$B$213,2,0)</f>
        <v xml:space="preserve">Pedagogik                     </v>
      </c>
    </row>
    <row r="243" spans="1:3" ht="15.75" x14ac:dyDescent="0.25">
      <c r="A243" s="296" t="s">
        <v>585</v>
      </c>
      <c r="B243" s="294">
        <v>2180</v>
      </c>
      <c r="C243" s="292" t="str">
        <f>VLOOKUP(B243,Orgenheter!$A$1:$B$213,2,0)</f>
        <v xml:space="preserve">Pedagogik                     </v>
      </c>
    </row>
    <row r="244" spans="1:3" ht="15.75" x14ac:dyDescent="0.25">
      <c r="A244" s="296" t="s">
        <v>1037</v>
      </c>
      <c r="B244" s="294">
        <v>2180</v>
      </c>
      <c r="C244" s="292" t="str">
        <f>VLOOKUP(B244,Orgenheter!$A$1:$B$213,2,0)</f>
        <v xml:space="preserve">Pedagogik                     </v>
      </c>
    </row>
    <row r="245" spans="1:3" ht="12.95" customHeight="1" x14ac:dyDescent="0.25">
      <c r="A245" s="296" t="s">
        <v>1038</v>
      </c>
      <c r="B245" s="294">
        <v>2180</v>
      </c>
      <c r="C245" s="292" t="str">
        <f>VLOOKUP(B245,Orgenheter!$A$1:$B$213,2,0)</f>
        <v xml:space="preserve">Pedagogik                     </v>
      </c>
    </row>
    <row r="246" spans="1:3" ht="12.95" customHeight="1" x14ac:dyDescent="0.25">
      <c r="A246" s="296" t="s">
        <v>1039</v>
      </c>
      <c r="B246" s="294">
        <v>2180</v>
      </c>
      <c r="C246" s="292" t="str">
        <f>VLOOKUP(B246,Orgenheter!$A$1:$B$213,2,0)</f>
        <v xml:space="preserve">Pedagogik                     </v>
      </c>
    </row>
    <row r="247" spans="1:3" ht="12.95" customHeight="1" x14ac:dyDescent="0.25">
      <c r="A247" s="296" t="s">
        <v>869</v>
      </c>
      <c r="B247" s="294">
        <v>2180</v>
      </c>
      <c r="C247" s="292" t="str">
        <f>VLOOKUP(B247,Orgenheter!$A$1:$B$213,2,0)</f>
        <v xml:space="preserve">Pedagogik                     </v>
      </c>
    </row>
    <row r="248" spans="1:3" ht="12.95" customHeight="1" x14ac:dyDescent="0.25">
      <c r="A248" s="296" t="s">
        <v>870</v>
      </c>
      <c r="B248" s="294">
        <v>2180</v>
      </c>
      <c r="C248" s="292" t="str">
        <f>VLOOKUP(B248,Orgenheter!$A$1:$B$213,2,0)</f>
        <v xml:space="preserve">Pedagogik                     </v>
      </c>
    </row>
    <row r="249" spans="1:3" ht="12.95" customHeight="1" x14ac:dyDescent="0.25">
      <c r="A249" s="296" t="s">
        <v>586</v>
      </c>
      <c r="B249" s="294">
        <v>2180</v>
      </c>
      <c r="C249" s="292" t="str">
        <f>VLOOKUP(B249,Orgenheter!$A$1:$B$213,2,0)</f>
        <v xml:space="preserve">Pedagogik                     </v>
      </c>
    </row>
    <row r="250" spans="1:3" ht="12.95" customHeight="1" x14ac:dyDescent="0.25">
      <c r="A250" s="296" t="s">
        <v>1000</v>
      </c>
      <c r="B250" s="294">
        <v>2180</v>
      </c>
      <c r="C250" s="292" t="str">
        <f>VLOOKUP(B250,Orgenheter!$A$1:$B$213,2,0)</f>
        <v xml:space="preserve">Pedagogik                     </v>
      </c>
    </row>
    <row r="251" spans="1:3" ht="12.95" customHeight="1" x14ac:dyDescent="0.25">
      <c r="A251" s="296" t="s">
        <v>1001</v>
      </c>
      <c r="B251" s="294">
        <v>2180</v>
      </c>
      <c r="C251" s="292" t="str">
        <f>VLOOKUP(B251,Orgenheter!$A$1:$B$213,2,0)</f>
        <v xml:space="preserve">Pedagogik                     </v>
      </c>
    </row>
    <row r="252" spans="1:3" ht="12.95" customHeight="1" x14ac:dyDescent="0.25">
      <c r="A252" s="266" t="s">
        <v>1715</v>
      </c>
      <c r="B252" s="292">
        <v>2193</v>
      </c>
      <c r="C252" s="292" t="str">
        <f>VLOOKUP(B252,Orgenheter!$A$1:$B$213,2,0)</f>
        <v xml:space="preserve">TUV </v>
      </c>
    </row>
    <row r="253" spans="1:3" ht="12.95" customHeight="1" x14ac:dyDescent="0.25">
      <c r="A253" s="266" t="s">
        <v>1714</v>
      </c>
      <c r="B253" s="292">
        <v>2193</v>
      </c>
      <c r="C253" s="292" t="str">
        <f>VLOOKUP(B253,Orgenheter!$A$1:$B$213,2,0)</f>
        <v xml:space="preserve">TUV </v>
      </c>
    </row>
    <row r="254" spans="1:3" ht="12.95" customHeight="1" x14ac:dyDescent="0.25">
      <c r="A254" s="296" t="s">
        <v>965</v>
      </c>
      <c r="B254" s="294">
        <v>2300</v>
      </c>
      <c r="C254" s="292" t="str">
        <f>VLOOKUP(B254,Orgenheter!$A$1:$B$213,2,0)</f>
        <v xml:space="preserve">Juridiska institutionen       </v>
      </c>
    </row>
    <row r="255" spans="1:3" ht="12.95" customHeight="1" x14ac:dyDescent="0.25">
      <c r="A255" s="296" t="s">
        <v>1315</v>
      </c>
      <c r="B255" s="294">
        <v>1640</v>
      </c>
      <c r="C255" s="292" t="str">
        <f>VLOOKUP(B255,Orgenheter!$A$1:$B$213,2,0)</f>
        <v>Inst för kultur- o medievetenskap</v>
      </c>
    </row>
    <row r="256" spans="1:3" ht="12.95" customHeight="1" x14ac:dyDescent="0.25">
      <c r="A256" s="296" t="s">
        <v>1317</v>
      </c>
      <c r="B256" s="294">
        <v>1640</v>
      </c>
      <c r="C256" s="292" t="str">
        <f>VLOOKUP(B256,Orgenheter!$A$1:$B$213,2,0)</f>
        <v>Inst för kultur- o medievetenskap</v>
      </c>
    </row>
    <row r="257" spans="1:3" ht="12.95" customHeight="1" x14ac:dyDescent="0.25">
      <c r="A257" s="292" t="s">
        <v>871</v>
      </c>
      <c r="B257" s="292">
        <v>5500</v>
      </c>
      <c r="C257" s="292" t="str">
        <f>VLOOKUP(B257,Orgenheter!$A$1:$B$213,2,0)</f>
        <v xml:space="preserve">Kemiska institutionen         </v>
      </c>
    </row>
    <row r="258" spans="1:3" ht="12.95" customHeight="1" x14ac:dyDescent="0.25">
      <c r="A258" s="428" t="s">
        <v>2006</v>
      </c>
      <c r="B258" s="419">
        <v>5500</v>
      </c>
      <c r="C258" s="292" t="str">
        <f>VLOOKUP(B258,Orgenheter!$A$1:$B$213,2,0)</f>
        <v xml:space="preserve">Kemiska institutionen         </v>
      </c>
    </row>
    <row r="259" spans="1:3" ht="12.95" customHeight="1" x14ac:dyDescent="0.25">
      <c r="A259" s="348" t="s">
        <v>1269</v>
      </c>
      <c r="B259" s="292">
        <v>5500</v>
      </c>
      <c r="C259" s="292" t="str">
        <f>VLOOKUP(B259,Orgenheter!$A$1:$B$213,2,0)</f>
        <v xml:space="preserve">Kemiska institutionen         </v>
      </c>
    </row>
    <row r="260" spans="1:3" ht="12.95" customHeight="1" x14ac:dyDescent="0.25">
      <c r="A260" s="348" t="s">
        <v>1491</v>
      </c>
      <c r="B260" s="292">
        <v>5740</v>
      </c>
      <c r="C260" s="292" t="str">
        <f>VLOOKUP(B260,Orgenheter!$A$1:$B$213,2,0)</f>
        <v>NMD</v>
      </c>
    </row>
    <row r="261" spans="1:3" ht="12.95" customHeight="1" x14ac:dyDescent="0.25">
      <c r="A261" s="296" t="s">
        <v>1499</v>
      </c>
      <c r="B261" s="294">
        <v>5740</v>
      </c>
      <c r="C261" s="292" t="str">
        <f>VLOOKUP(B261,Orgenheter!$A$1:$B$213,2,0)</f>
        <v>NMD</v>
      </c>
    </row>
    <row r="262" spans="1:3" ht="15.75" x14ac:dyDescent="0.25">
      <c r="A262" s="296" t="s">
        <v>1500</v>
      </c>
      <c r="B262" s="294">
        <v>5740</v>
      </c>
      <c r="C262" s="292" t="str">
        <f>VLOOKUP(B262,Orgenheter!$A$1:$B$213,2,0)</f>
        <v>NMD</v>
      </c>
    </row>
    <row r="263" spans="1:3" ht="12.95" customHeight="1" x14ac:dyDescent="0.25">
      <c r="A263" s="296" t="s">
        <v>1501</v>
      </c>
      <c r="B263" s="294">
        <v>5740</v>
      </c>
      <c r="C263" s="292" t="str">
        <f>VLOOKUP(B263,Orgenheter!$A$1:$B$213,2,0)</f>
        <v>NMD</v>
      </c>
    </row>
    <row r="264" spans="1:3" ht="12.95" customHeight="1" x14ac:dyDescent="0.25">
      <c r="A264" s="292" t="s">
        <v>785</v>
      </c>
      <c r="B264" s="292">
        <v>2500</v>
      </c>
      <c r="C264" s="292" t="str">
        <f>VLOOKUP(B264,Orgenheter!$A$1:$B$213,2,0)</f>
        <v>Geografi</v>
      </c>
    </row>
    <row r="265" spans="1:3" ht="15.75" x14ac:dyDescent="0.25">
      <c r="A265" s="348" t="s">
        <v>949</v>
      </c>
      <c r="B265" s="292">
        <v>2500</v>
      </c>
      <c r="C265" s="292" t="str">
        <f>VLOOKUP(B265,Orgenheter!$A$1:$B$213,2,0)</f>
        <v>Geografi</v>
      </c>
    </row>
    <row r="266" spans="1:3" ht="12.95" customHeight="1" x14ac:dyDescent="0.25">
      <c r="A266" s="424" t="s">
        <v>2113</v>
      </c>
      <c r="B266" s="425">
        <v>2500</v>
      </c>
      <c r="C266" s="292" t="str">
        <f>VLOOKUP(B266,Orgenheter!$A$1:$B$213,2,0)</f>
        <v>Geografi</v>
      </c>
    </row>
    <row r="267" spans="1:3" ht="15.75" x14ac:dyDescent="0.25">
      <c r="A267" s="348" t="s">
        <v>1859</v>
      </c>
      <c r="B267" s="292">
        <v>2500</v>
      </c>
      <c r="C267" s="292" t="str">
        <f>VLOOKUP(B267,Orgenheter!$A$1:$B$213,2,0)</f>
        <v>Geografi</v>
      </c>
    </row>
    <row r="268" spans="1:3" x14ac:dyDescent="0.25">
      <c r="A268" s="266" t="s">
        <v>1860</v>
      </c>
      <c r="B268" s="292">
        <v>2500</v>
      </c>
      <c r="C268" s="292" t="str">
        <f>VLOOKUP(B268,Orgenheter!$A$1:$B$213,2,0)</f>
        <v>Geografi</v>
      </c>
    </row>
    <row r="269" spans="1:3" ht="15.75" x14ac:dyDescent="0.25">
      <c r="A269" s="348" t="s">
        <v>1956</v>
      </c>
      <c r="B269" s="292">
        <v>2500</v>
      </c>
      <c r="C269" s="292" t="str">
        <f>VLOOKUP(B269,Orgenheter!$A$1:$B$213,2,0)</f>
        <v>Geografi</v>
      </c>
    </row>
    <row r="270" spans="1:3" ht="15.75" x14ac:dyDescent="0.25">
      <c r="A270" s="348" t="s">
        <v>1959</v>
      </c>
      <c r="B270" s="292">
        <v>2500</v>
      </c>
      <c r="C270" s="292" t="str">
        <f>VLOOKUP(B270,Orgenheter!$A$1:$B$213,2,0)</f>
        <v>Geografi</v>
      </c>
    </row>
    <row r="271" spans="1:3" ht="12.95" customHeight="1" x14ac:dyDescent="0.25">
      <c r="A271" s="424" t="s">
        <v>2114</v>
      </c>
      <c r="B271" s="425">
        <v>2500</v>
      </c>
      <c r="C271" s="292" t="str">
        <f>VLOOKUP(B271,Orgenheter!$A$1:$B$213,2,0)</f>
        <v>Geografi</v>
      </c>
    </row>
    <row r="272" spans="1:3" ht="12.95" customHeight="1" x14ac:dyDescent="0.25">
      <c r="A272" s="424" t="s">
        <v>2186</v>
      </c>
      <c r="B272" s="425">
        <v>2500</v>
      </c>
      <c r="C272" s="292" t="str">
        <f>VLOOKUP(B272,Orgenheter!$A$1:$B$213,2,0)</f>
        <v>Geografi</v>
      </c>
    </row>
    <row r="273" spans="1:3" x14ac:dyDescent="0.25">
      <c r="A273" s="298" t="s">
        <v>104</v>
      </c>
      <c r="B273" s="298">
        <v>2750</v>
      </c>
      <c r="C273" s="292" t="str">
        <f>VLOOKUP(B273,Orgenheter!$A$1:$B$213,2,0)</f>
        <v xml:space="preserve">Kostvetenskap                 </v>
      </c>
    </row>
    <row r="274" spans="1:3" x14ac:dyDescent="0.25">
      <c r="A274" s="292" t="s">
        <v>329</v>
      </c>
      <c r="B274" s="292">
        <v>2750</v>
      </c>
      <c r="C274" s="292" t="str">
        <f>VLOOKUP(B274,Orgenheter!$A$1:$B$213,2,0)</f>
        <v xml:space="preserve">Kostvetenskap                 </v>
      </c>
    </row>
    <row r="275" spans="1:3" x14ac:dyDescent="0.25">
      <c r="A275" s="292" t="s">
        <v>872</v>
      </c>
      <c r="B275" s="292">
        <v>2750</v>
      </c>
      <c r="C275" s="292" t="str">
        <f>VLOOKUP(B275,Orgenheter!$A$1:$B$213,2,0)</f>
        <v xml:space="preserve">Kostvetenskap                 </v>
      </c>
    </row>
    <row r="276" spans="1:3" ht="15.75" x14ac:dyDescent="0.25">
      <c r="A276" s="296" t="s">
        <v>498</v>
      </c>
      <c r="B276" s="294">
        <v>2750</v>
      </c>
      <c r="C276" s="292" t="str">
        <f>VLOOKUP(B276,Orgenheter!$A$1:$B$213,2,0)</f>
        <v xml:space="preserve">Kostvetenskap                 </v>
      </c>
    </row>
    <row r="277" spans="1:3" x14ac:dyDescent="0.25">
      <c r="A277" s="298" t="s">
        <v>529</v>
      </c>
      <c r="B277" s="292">
        <v>2750</v>
      </c>
      <c r="C277" s="292" t="str">
        <f>VLOOKUP(B277,Orgenheter!$A$1:$B$213,2,0)</f>
        <v xml:space="preserve">Kostvetenskap                 </v>
      </c>
    </row>
    <row r="278" spans="1:3" x14ac:dyDescent="0.25">
      <c r="A278" s="309" t="s">
        <v>652</v>
      </c>
      <c r="B278" s="292">
        <v>2750</v>
      </c>
      <c r="C278" s="292" t="str">
        <f>VLOOKUP(B278,Orgenheter!$A$1:$B$213,2,0)</f>
        <v xml:space="preserve">Kostvetenskap                 </v>
      </c>
    </row>
    <row r="279" spans="1:3" x14ac:dyDescent="0.25">
      <c r="A279" s="318" t="s">
        <v>838</v>
      </c>
      <c r="B279" s="292">
        <v>2750</v>
      </c>
      <c r="C279" s="292" t="str">
        <f>VLOOKUP(B279,Orgenheter!$A$1:$B$213,2,0)</f>
        <v xml:space="preserve">Kostvetenskap                 </v>
      </c>
    </row>
    <row r="280" spans="1:3" x14ac:dyDescent="0.25">
      <c r="A280" s="310" t="s">
        <v>830</v>
      </c>
      <c r="B280" s="292">
        <v>2750</v>
      </c>
      <c r="C280" s="292" t="str">
        <f>VLOOKUP(B280,Orgenheter!$A$1:$B$213,2,0)</f>
        <v xml:space="preserve">Kostvetenskap                 </v>
      </c>
    </row>
    <row r="281" spans="1:3" x14ac:dyDescent="0.25">
      <c r="A281" s="310" t="s">
        <v>1098</v>
      </c>
      <c r="B281" s="292">
        <v>2750</v>
      </c>
      <c r="C281" s="292" t="str">
        <f>VLOOKUP(B281,Orgenheter!$A$1:$B$213,2,0)</f>
        <v xml:space="preserve">Kostvetenskap                 </v>
      </c>
    </row>
    <row r="282" spans="1:3" x14ac:dyDescent="0.25">
      <c r="A282" s="310" t="s">
        <v>1097</v>
      </c>
      <c r="B282" s="292">
        <v>2750</v>
      </c>
      <c r="C282" s="292" t="str">
        <f>VLOOKUP(B282,Orgenheter!$A$1:$B$213,2,0)</f>
        <v xml:space="preserve">Kostvetenskap                 </v>
      </c>
    </row>
    <row r="283" spans="1:3" x14ac:dyDescent="0.25">
      <c r="A283" s="310" t="s">
        <v>1319</v>
      </c>
      <c r="B283" s="292">
        <v>2750</v>
      </c>
      <c r="C283" s="292" t="str">
        <f>VLOOKUP(B283,Orgenheter!$A$1:$B$213,2,0)</f>
        <v xml:space="preserve">Kostvetenskap                 </v>
      </c>
    </row>
    <row r="284" spans="1:3" x14ac:dyDescent="0.25">
      <c r="A284" s="310" t="s">
        <v>1365</v>
      </c>
      <c r="B284" s="292">
        <v>2750</v>
      </c>
      <c r="C284" s="292" t="str">
        <f>VLOOKUP(B284,Orgenheter!$A$1:$B$213,2,0)</f>
        <v xml:space="preserve">Kostvetenskap                 </v>
      </c>
    </row>
    <row r="285" spans="1:3" x14ac:dyDescent="0.25">
      <c r="A285" s="310" t="s">
        <v>1451</v>
      </c>
      <c r="B285" s="292">
        <v>2750</v>
      </c>
      <c r="C285" s="292" t="str">
        <f>VLOOKUP(B285,Orgenheter!$A$1:$B$213,2,0)</f>
        <v xml:space="preserve">Kostvetenskap                 </v>
      </c>
    </row>
    <row r="286" spans="1:3" x14ac:dyDescent="0.25">
      <c r="A286" s="31" t="s">
        <v>2145</v>
      </c>
      <c r="B286" s="292">
        <v>2750</v>
      </c>
      <c r="C286" s="292" t="str">
        <f>VLOOKUP(B286,Orgenheter!$A$1:$B$213,2,0)</f>
        <v xml:space="preserve">Kostvetenskap                 </v>
      </c>
    </row>
    <row r="287" spans="1:3" ht="12.95" customHeight="1" x14ac:dyDescent="0.25">
      <c r="A287" s="310" t="s">
        <v>1040</v>
      </c>
      <c r="B287" s="292">
        <v>2750</v>
      </c>
      <c r="C287" s="292" t="str">
        <f>VLOOKUP(B287,Orgenheter!$A$1:$B$213,2,0)</f>
        <v xml:space="preserve">Kostvetenskap                 </v>
      </c>
    </row>
    <row r="288" spans="1:3" ht="12.95" customHeight="1" x14ac:dyDescent="0.25">
      <c r="A288" s="310" t="s">
        <v>963</v>
      </c>
      <c r="B288" s="292">
        <v>2750</v>
      </c>
      <c r="C288" s="292" t="str">
        <f>VLOOKUP(B288,Orgenheter!$A$1:$B$213,2,0)</f>
        <v xml:space="preserve">Kostvetenskap                 </v>
      </c>
    </row>
    <row r="289" spans="1:3" ht="12.95" customHeight="1" x14ac:dyDescent="0.25">
      <c r="A289" s="310" t="s">
        <v>1320</v>
      </c>
      <c r="B289" s="292">
        <v>1640</v>
      </c>
      <c r="C289" s="292" t="str">
        <f>VLOOKUP(B289,Orgenheter!$A$1:$B$213,2,0)</f>
        <v>Inst för kultur- o medievetenskap</v>
      </c>
    </row>
    <row r="290" spans="1:3" ht="12.95" customHeight="1" x14ac:dyDescent="0.25">
      <c r="A290" s="314" t="s">
        <v>1041</v>
      </c>
      <c r="B290" s="292">
        <v>2180</v>
      </c>
      <c r="C290" s="292" t="str">
        <f>VLOOKUP(B290,Orgenheter!$A$1:$B$213,2,0)</f>
        <v xml:space="preserve">Pedagogik                     </v>
      </c>
    </row>
    <row r="291" spans="1:3" ht="12.95" customHeight="1" x14ac:dyDescent="0.25">
      <c r="A291" s="314" t="s">
        <v>1042</v>
      </c>
      <c r="B291" s="292">
        <v>6000</v>
      </c>
      <c r="C291" s="292" t="str">
        <f>VLOOKUP(B291,Orgenheter!$A$1:$B$213,2,0)</f>
        <v xml:space="preserve">Lärarutbildningarna gem       </v>
      </c>
    </row>
    <row r="292" spans="1:3" ht="12.95" customHeight="1" x14ac:dyDescent="0.25">
      <c r="A292" s="502" t="s">
        <v>2256</v>
      </c>
      <c r="B292" s="454">
        <v>1650</v>
      </c>
      <c r="C292" s="292" t="str">
        <f>VLOOKUP(B292,Orgenheter!$A$1:$B$213,2,0)</f>
        <v xml:space="preserve">Estetiska ämnen               </v>
      </c>
    </row>
    <row r="293" spans="1:3" ht="12.95" customHeight="1" x14ac:dyDescent="0.25">
      <c r="A293" s="502" t="s">
        <v>2257</v>
      </c>
      <c r="B293" s="454">
        <v>1650</v>
      </c>
      <c r="C293" s="292" t="str">
        <f>VLOOKUP(B293,Orgenheter!$A$1:$B$213,2,0)</f>
        <v xml:space="preserve">Estetiska ämnen               </v>
      </c>
    </row>
    <row r="294" spans="1:3" ht="12.95" customHeight="1" x14ac:dyDescent="0.25">
      <c r="A294" s="350" t="s">
        <v>780</v>
      </c>
      <c r="B294" s="292">
        <v>1620</v>
      </c>
      <c r="C294" s="292" t="str">
        <f>VLOOKUP(B294,Orgenheter!$A$1:$B$213,2,0)</f>
        <v>Inst för språkstudier</v>
      </c>
    </row>
    <row r="295" spans="1:3" ht="12.95" customHeight="1" x14ac:dyDescent="0.25">
      <c r="A295" s="350" t="s">
        <v>1085</v>
      </c>
      <c r="B295" s="292">
        <v>1620</v>
      </c>
      <c r="C295" s="292" t="str">
        <f>VLOOKUP(B295,Orgenheter!$A$1:$B$213,2,0)</f>
        <v>Inst för språkstudier</v>
      </c>
    </row>
    <row r="296" spans="1:3" ht="12.95" customHeight="1" x14ac:dyDescent="0.25">
      <c r="A296" s="350" t="s">
        <v>1479</v>
      </c>
      <c r="B296" s="292">
        <v>1620</v>
      </c>
      <c r="C296" s="292" t="str">
        <f>VLOOKUP(B296,Orgenheter!$A$1:$B$213,2,0)</f>
        <v>Inst för språkstudier</v>
      </c>
    </row>
    <row r="297" spans="1:3" ht="15" customHeight="1" x14ac:dyDescent="0.25">
      <c r="A297" s="292" t="s">
        <v>1711</v>
      </c>
      <c r="B297" s="292">
        <v>1620</v>
      </c>
      <c r="C297" s="292" t="str">
        <f>VLOOKUP(B297,Orgenheter!$A$1:$B$213,2,0)</f>
        <v>Inst för språkstudier</v>
      </c>
    </row>
    <row r="298" spans="1:3" ht="15" customHeight="1" x14ac:dyDescent="0.25">
      <c r="A298" s="292" t="s">
        <v>1829</v>
      </c>
      <c r="B298" s="292">
        <v>1620</v>
      </c>
      <c r="C298" s="292" t="str">
        <f>VLOOKUP(B298,Orgenheter!$A$1:$B$213,2,0)</f>
        <v>Inst för språkstudier</v>
      </c>
    </row>
    <row r="299" spans="1:3" ht="15" customHeight="1" x14ac:dyDescent="0.25">
      <c r="A299" s="292" t="s">
        <v>1830</v>
      </c>
      <c r="B299" s="292">
        <v>1620</v>
      </c>
      <c r="C299" s="292" t="str">
        <f>VLOOKUP(B299,Orgenheter!$A$1:$B$213,2,0)</f>
        <v>Inst för språkstudier</v>
      </c>
    </row>
    <row r="300" spans="1:3" ht="12.95" customHeight="1" x14ac:dyDescent="0.25">
      <c r="A300" s="292" t="s">
        <v>1720</v>
      </c>
      <c r="B300" s="292">
        <v>1620</v>
      </c>
      <c r="C300" s="292" t="str">
        <f>VLOOKUP(B300,Orgenheter!$A$1:$B$213,2,0)</f>
        <v>Inst för språkstudier</v>
      </c>
    </row>
    <row r="301" spans="1:3" ht="12.95" customHeight="1" x14ac:dyDescent="0.25">
      <c r="A301" s="266" t="s">
        <v>1972</v>
      </c>
      <c r="B301" s="419">
        <v>1620</v>
      </c>
      <c r="C301" s="292" t="str">
        <f>VLOOKUP(B301,Orgenheter!$A$1:$B$213,2,0)</f>
        <v>Inst för språkstudier</v>
      </c>
    </row>
    <row r="302" spans="1:3" ht="15.75" x14ac:dyDescent="0.25">
      <c r="A302" s="296" t="s">
        <v>587</v>
      </c>
      <c r="B302" s="294">
        <v>1630</v>
      </c>
      <c r="C302" s="292" t="str">
        <f>VLOOKUP(B302,Orgenheter!$A$1:$B$213,2,0)</f>
        <v>Inst för ide- o samhällsstudier</v>
      </c>
    </row>
    <row r="303" spans="1:3" x14ac:dyDescent="0.25">
      <c r="A303" s="317" t="s">
        <v>470</v>
      </c>
      <c r="B303" s="292">
        <v>1630</v>
      </c>
      <c r="C303" s="292" t="str">
        <f>VLOOKUP(B303,Orgenheter!$A$1:$B$213,2,0)</f>
        <v>Inst för ide- o samhällsstudier</v>
      </c>
    </row>
    <row r="304" spans="1:3" x14ac:dyDescent="0.25">
      <c r="A304" s="317" t="s">
        <v>471</v>
      </c>
      <c r="B304" s="292">
        <v>1630</v>
      </c>
      <c r="C304" s="292" t="str">
        <f>VLOOKUP(B304,Orgenheter!$A$1:$B$213,2,0)</f>
        <v>Inst för ide- o samhällsstudier</v>
      </c>
    </row>
    <row r="305" spans="1:3" x14ac:dyDescent="0.25">
      <c r="A305" s="317" t="s">
        <v>873</v>
      </c>
      <c r="B305" s="292">
        <v>1630</v>
      </c>
      <c r="C305" s="292" t="str">
        <f>VLOOKUP(B305,Orgenheter!$A$1:$B$213,2,0)</f>
        <v>Inst för ide- o samhällsstudier</v>
      </c>
    </row>
    <row r="306" spans="1:3" ht="15" customHeight="1" x14ac:dyDescent="0.25">
      <c r="A306" s="351" t="s">
        <v>1152</v>
      </c>
      <c r="B306" s="352">
        <v>1630</v>
      </c>
      <c r="C306" s="292" t="str">
        <f>VLOOKUP(B306,Orgenheter!$A$1:$B$213,2,0)</f>
        <v>Inst för ide- o samhällsstudier</v>
      </c>
    </row>
    <row r="307" spans="1:3" ht="15" customHeight="1" x14ac:dyDescent="0.25">
      <c r="A307" s="351" t="s">
        <v>1154</v>
      </c>
      <c r="B307" s="352">
        <v>1630</v>
      </c>
      <c r="C307" s="292" t="str">
        <f>VLOOKUP(B307,Orgenheter!$A$1:$B$213,2,0)</f>
        <v>Inst för ide- o samhällsstudier</v>
      </c>
    </row>
    <row r="308" spans="1:3" x14ac:dyDescent="0.25">
      <c r="A308" s="292" t="s">
        <v>368</v>
      </c>
      <c r="B308" s="292">
        <v>1640</v>
      </c>
      <c r="C308" s="292" t="str">
        <f>VLOOKUP(B308,Orgenheter!$A$1:$B$213,2,0)</f>
        <v>Inst för kultur- o medievetenskap</v>
      </c>
    </row>
    <row r="309" spans="1:3" x14ac:dyDescent="0.25">
      <c r="A309" s="353" t="s">
        <v>1125</v>
      </c>
      <c r="B309" s="298">
        <v>1640</v>
      </c>
      <c r="C309" s="292" t="str">
        <f>VLOOKUP(B309,Orgenheter!$A$1:$B$213,2,0)</f>
        <v>Inst för kultur- o medievetenskap</v>
      </c>
    </row>
    <row r="310" spans="1:3" x14ac:dyDescent="0.25">
      <c r="A310" s="310" t="s">
        <v>1321</v>
      </c>
      <c r="B310" s="298">
        <v>1640</v>
      </c>
      <c r="C310" s="292" t="str">
        <f>VLOOKUP(B310,Orgenheter!$A$1:$B$213,2,0)</f>
        <v>Inst för kultur- o medievetenskap</v>
      </c>
    </row>
    <row r="311" spans="1:3" x14ac:dyDescent="0.25">
      <c r="A311" s="310" t="s">
        <v>1322</v>
      </c>
      <c r="B311" s="298">
        <v>1640</v>
      </c>
      <c r="C311" s="292" t="str">
        <f>VLOOKUP(B311,Orgenheter!$A$1:$B$213,2,0)</f>
        <v>Inst för kultur- o medievetenskap</v>
      </c>
    </row>
    <row r="312" spans="1:3" ht="12.95" customHeight="1" x14ac:dyDescent="0.25">
      <c r="A312" s="292" t="s">
        <v>143</v>
      </c>
      <c r="B312" s="292">
        <v>1620</v>
      </c>
      <c r="C312" s="292" t="str">
        <f>VLOOKUP(B312,Orgenheter!$A$1:$B$213,2,0)</f>
        <v>Inst för språkstudier</v>
      </c>
    </row>
    <row r="313" spans="1:3" ht="12.95" customHeight="1" x14ac:dyDescent="0.25">
      <c r="A313" s="292" t="s">
        <v>93</v>
      </c>
      <c r="B313" s="292">
        <v>2193</v>
      </c>
      <c r="C313" s="292" t="str">
        <f>VLOOKUP(B313,Orgenheter!$A$1:$B$213,2,0)</f>
        <v xml:space="preserve">TUV </v>
      </c>
    </row>
    <row r="314" spans="1:3" x14ac:dyDescent="0.25">
      <c r="A314" s="292" t="s">
        <v>94</v>
      </c>
      <c r="B314" s="292">
        <v>2193</v>
      </c>
      <c r="C314" s="292" t="str">
        <f>VLOOKUP(B314,Orgenheter!$A$1:$B$213,2,0)</f>
        <v xml:space="preserve">TUV </v>
      </c>
    </row>
    <row r="315" spans="1:3" ht="12.95" customHeight="1" x14ac:dyDescent="0.25">
      <c r="A315" s="298" t="s">
        <v>392</v>
      </c>
      <c r="B315" s="292">
        <v>2193</v>
      </c>
      <c r="C315" s="292" t="str">
        <f>VLOOKUP(B315,Orgenheter!$A$1:$B$213,2,0)</f>
        <v xml:space="preserve">TUV </v>
      </c>
    </row>
    <row r="316" spans="1:3" ht="12.95" customHeight="1" x14ac:dyDescent="0.25">
      <c r="A316" s="354" t="s">
        <v>833</v>
      </c>
      <c r="B316" s="292">
        <v>1620</v>
      </c>
      <c r="C316" s="292" t="str">
        <f>VLOOKUP(B316,Orgenheter!$A$1:$B$213,2,0)</f>
        <v>Inst för språkstudier</v>
      </c>
    </row>
    <row r="317" spans="1:3" ht="12.95" customHeight="1" x14ac:dyDescent="0.25">
      <c r="A317" s="298" t="s">
        <v>828</v>
      </c>
      <c r="B317" s="292">
        <v>1620</v>
      </c>
      <c r="C317" s="292" t="str">
        <f>VLOOKUP(B317,Orgenheter!$A$1:$B$213,2,0)</f>
        <v>Inst för språkstudier</v>
      </c>
    </row>
    <row r="318" spans="1:3" ht="12.95" customHeight="1" x14ac:dyDescent="0.25">
      <c r="A318" s="354" t="s">
        <v>834</v>
      </c>
      <c r="B318" s="292">
        <v>1620</v>
      </c>
      <c r="C318" s="292" t="str">
        <f>VLOOKUP(B318,Orgenheter!$A$1:$B$213,2,0)</f>
        <v>Inst för språkstudier</v>
      </c>
    </row>
    <row r="319" spans="1:3" x14ac:dyDescent="0.25">
      <c r="A319" s="298" t="s">
        <v>827</v>
      </c>
      <c r="B319" s="292">
        <v>1620</v>
      </c>
      <c r="C319" s="292" t="str">
        <f>VLOOKUP(B319,Orgenheter!$A$1:$B$213,2,0)</f>
        <v>Inst för språkstudier</v>
      </c>
    </row>
    <row r="320" spans="1:3" x14ac:dyDescent="0.25">
      <c r="A320" s="298" t="s">
        <v>989</v>
      </c>
      <c r="B320" s="292">
        <v>1620</v>
      </c>
      <c r="C320" s="292" t="str">
        <f>VLOOKUP(B320,Orgenheter!$A$1:$B$213,2,0)</f>
        <v>Inst för språkstudier</v>
      </c>
    </row>
    <row r="321" spans="1:3" x14ac:dyDescent="0.25">
      <c r="A321" s="298" t="s">
        <v>990</v>
      </c>
      <c r="B321" s="292">
        <v>1620</v>
      </c>
      <c r="C321" s="292" t="str">
        <f>VLOOKUP(B321,Orgenheter!$A$1:$B$213,2,0)</f>
        <v>Inst för språkstudier</v>
      </c>
    </row>
    <row r="322" spans="1:3" x14ac:dyDescent="0.25">
      <c r="A322" s="298" t="s">
        <v>1113</v>
      </c>
      <c r="B322" s="292">
        <v>1620</v>
      </c>
      <c r="C322" s="292" t="str">
        <f>VLOOKUP(B322,Orgenheter!$A$1:$B$213,2,0)</f>
        <v>Inst för språkstudier</v>
      </c>
    </row>
    <row r="323" spans="1:3" ht="15.75" x14ac:dyDescent="0.25">
      <c r="A323" s="297" t="s">
        <v>1308</v>
      </c>
      <c r="B323" s="294">
        <v>1620</v>
      </c>
      <c r="C323" s="292" t="str">
        <f>VLOOKUP(B323,Orgenheter!$A$1:$B$213,2,0)</f>
        <v>Inst för språkstudier</v>
      </c>
    </row>
    <row r="324" spans="1:3" ht="15.75" x14ac:dyDescent="0.25">
      <c r="A324" s="296" t="s">
        <v>1309</v>
      </c>
      <c r="B324" s="354">
        <v>1620</v>
      </c>
      <c r="C324" s="292" t="str">
        <f>VLOOKUP(B324,Orgenheter!$A$1:$B$213,2,0)</f>
        <v>Inst för språkstudier</v>
      </c>
    </row>
    <row r="325" spans="1:3" ht="15" customHeight="1" x14ac:dyDescent="0.25">
      <c r="A325" s="318" t="s">
        <v>1565</v>
      </c>
      <c r="B325" s="292">
        <v>1620</v>
      </c>
      <c r="C325" s="292" t="str">
        <f>VLOOKUP(B325,Orgenheter!$A$1:$B$213,2,0)</f>
        <v>Inst för språkstudier</v>
      </c>
    </row>
    <row r="326" spans="1:3" ht="15" customHeight="1" x14ac:dyDescent="0.25">
      <c r="A326" s="318" t="s">
        <v>1681</v>
      </c>
      <c r="B326" s="292">
        <v>1620</v>
      </c>
      <c r="C326" s="292" t="str">
        <f>VLOOKUP(B326,Orgenheter!$A$1:$B$213,2,0)</f>
        <v>Inst för språkstudier</v>
      </c>
    </row>
    <row r="327" spans="1:3" x14ac:dyDescent="0.25">
      <c r="A327" s="298" t="s">
        <v>90</v>
      </c>
      <c r="B327" s="292">
        <v>5730</v>
      </c>
      <c r="C327" s="292" t="str">
        <f>VLOOKUP(B327,Orgenheter!$A$1:$B$213,2,0)</f>
        <v>Inst för MA och MA statistik</v>
      </c>
    </row>
    <row r="328" spans="1:3" x14ac:dyDescent="0.25">
      <c r="A328" s="292" t="s">
        <v>571</v>
      </c>
      <c r="B328" s="298">
        <v>5730</v>
      </c>
      <c r="C328" s="292" t="str">
        <f>VLOOKUP(B328,Orgenheter!$A$1:$B$213,2,0)</f>
        <v>Inst för MA och MA statistik</v>
      </c>
    </row>
    <row r="329" spans="1:3" x14ac:dyDescent="0.25">
      <c r="A329" s="292" t="s">
        <v>355</v>
      </c>
      <c r="B329" s="298">
        <v>5730</v>
      </c>
      <c r="C329" s="292" t="str">
        <f>VLOOKUP(B329,Orgenheter!$A$1:$B$213,2,0)</f>
        <v>Inst för MA och MA statistik</v>
      </c>
    </row>
    <row r="330" spans="1:3" x14ac:dyDescent="0.25">
      <c r="A330" s="298" t="s">
        <v>338</v>
      </c>
      <c r="B330" s="298">
        <v>5730</v>
      </c>
      <c r="C330" s="292" t="str">
        <f>VLOOKUP(B330,Orgenheter!$A$1:$B$213,2,0)</f>
        <v>Inst för MA och MA statistik</v>
      </c>
    </row>
    <row r="331" spans="1:3" ht="12.95" customHeight="1" x14ac:dyDescent="0.25">
      <c r="A331" s="296" t="s">
        <v>570</v>
      </c>
      <c r="B331" s="294">
        <v>5730</v>
      </c>
      <c r="C331" s="292" t="str">
        <f>VLOOKUP(B331,Orgenheter!$A$1:$B$213,2,0)</f>
        <v>Inst för MA och MA statistik</v>
      </c>
    </row>
    <row r="332" spans="1:3" ht="12.95" customHeight="1" x14ac:dyDescent="0.25">
      <c r="A332" s="296" t="s">
        <v>572</v>
      </c>
      <c r="B332" s="294">
        <v>5730</v>
      </c>
      <c r="C332" s="292" t="str">
        <f>VLOOKUP(B332,Orgenheter!$A$1:$B$213,2,0)</f>
        <v>Inst för MA och MA statistik</v>
      </c>
    </row>
    <row r="333" spans="1:3" ht="15.75" x14ac:dyDescent="0.25">
      <c r="A333" s="296" t="s">
        <v>573</v>
      </c>
      <c r="B333" s="294">
        <v>5730</v>
      </c>
      <c r="C333" s="292" t="str">
        <f>VLOOKUP(B333,Orgenheter!$A$1:$B$213,2,0)</f>
        <v>Inst för MA och MA statistik</v>
      </c>
    </row>
    <row r="334" spans="1:3" ht="12.95" customHeight="1" x14ac:dyDescent="0.25">
      <c r="A334" s="296" t="s">
        <v>588</v>
      </c>
      <c r="B334" s="294">
        <v>5730</v>
      </c>
      <c r="C334" s="292" t="str">
        <f>VLOOKUP(B334,Orgenheter!$A$1:$B$213,2,0)</f>
        <v>Inst för MA och MA statistik</v>
      </c>
    </row>
    <row r="335" spans="1:3" ht="12.95" customHeight="1" x14ac:dyDescent="0.25">
      <c r="A335" s="296" t="s">
        <v>589</v>
      </c>
      <c r="B335" s="294">
        <v>5730</v>
      </c>
      <c r="C335" s="292" t="str">
        <f>VLOOKUP(B335,Orgenheter!$A$1:$B$213,2,0)</f>
        <v>Inst för MA och MA statistik</v>
      </c>
    </row>
    <row r="336" spans="1:3" ht="12.95" customHeight="1" x14ac:dyDescent="0.25">
      <c r="A336" s="296" t="s">
        <v>590</v>
      </c>
      <c r="B336" s="294">
        <v>5730</v>
      </c>
      <c r="C336" s="292" t="str">
        <f>VLOOKUP(B336,Orgenheter!$A$1:$B$213,2,0)</f>
        <v>Inst för MA och MA statistik</v>
      </c>
    </row>
    <row r="337" spans="1:3" ht="12.95" customHeight="1" x14ac:dyDescent="0.25">
      <c r="A337" s="309" t="s">
        <v>644</v>
      </c>
      <c r="B337" s="292">
        <v>5730</v>
      </c>
      <c r="C337" s="292" t="str">
        <f>VLOOKUP(B337,Orgenheter!$A$1:$B$213,2,0)</f>
        <v>Inst för MA och MA statistik</v>
      </c>
    </row>
    <row r="338" spans="1:3" ht="12.95" customHeight="1" x14ac:dyDescent="0.25">
      <c r="A338" s="309" t="s">
        <v>645</v>
      </c>
      <c r="B338" s="292">
        <v>5730</v>
      </c>
      <c r="C338" s="292" t="str">
        <f>VLOOKUP(B338,Orgenheter!$A$1:$B$213,2,0)</f>
        <v>Inst för MA och MA statistik</v>
      </c>
    </row>
    <row r="339" spans="1:3" ht="12.95" customHeight="1" x14ac:dyDescent="0.25">
      <c r="A339" s="309" t="s">
        <v>640</v>
      </c>
      <c r="B339" s="292">
        <v>5730</v>
      </c>
      <c r="C339" s="292" t="str">
        <f>VLOOKUP(B339,Orgenheter!$A$1:$B$213,2,0)</f>
        <v>Inst för MA och MA statistik</v>
      </c>
    </row>
    <row r="340" spans="1:3" ht="12.95" customHeight="1" x14ac:dyDescent="0.25">
      <c r="A340" s="309" t="s">
        <v>646</v>
      </c>
      <c r="B340" s="292">
        <v>5730</v>
      </c>
      <c r="C340" s="292" t="str">
        <f>VLOOKUP(B340,Orgenheter!$A$1:$B$213,2,0)</f>
        <v>Inst för MA och MA statistik</v>
      </c>
    </row>
    <row r="341" spans="1:3" ht="12.95" customHeight="1" x14ac:dyDescent="0.25">
      <c r="A341" s="296" t="s">
        <v>939</v>
      </c>
      <c r="B341" s="294">
        <v>5730</v>
      </c>
      <c r="C341" s="292" t="str">
        <f>VLOOKUP(B341,Orgenheter!$A$1:$B$213,2,0)</f>
        <v>Inst för MA och MA statistik</v>
      </c>
    </row>
    <row r="342" spans="1:3" ht="12.95" customHeight="1" x14ac:dyDescent="0.25">
      <c r="A342" s="309" t="s">
        <v>975</v>
      </c>
      <c r="B342" s="292">
        <v>5730</v>
      </c>
      <c r="C342" s="292" t="str">
        <f>VLOOKUP(B342,Orgenheter!$A$1:$B$213,2,0)</f>
        <v>Inst för MA och MA statistik</v>
      </c>
    </row>
    <row r="343" spans="1:3" ht="12.95" customHeight="1" x14ac:dyDescent="0.25">
      <c r="A343" s="309" t="s">
        <v>1313</v>
      </c>
      <c r="B343" s="292">
        <v>5730</v>
      </c>
      <c r="C343" s="292" t="str">
        <f>VLOOKUP(B343,Orgenheter!$A$1:$B$213,2,0)</f>
        <v>Inst för MA och MA statistik</v>
      </c>
    </row>
    <row r="344" spans="1:3" ht="12.95" customHeight="1" x14ac:dyDescent="0.25">
      <c r="A344" s="309" t="s">
        <v>1103</v>
      </c>
      <c r="B344" s="292">
        <v>5730</v>
      </c>
      <c r="C344" s="292" t="str">
        <f>VLOOKUP(B344,Orgenheter!$A$1:$B$213,2,0)</f>
        <v>Inst för MA och MA statistik</v>
      </c>
    </row>
    <row r="345" spans="1:3" ht="12.95" customHeight="1" x14ac:dyDescent="0.25">
      <c r="A345" s="309" t="s">
        <v>1117</v>
      </c>
      <c r="B345" s="292">
        <v>5730</v>
      </c>
      <c r="C345" s="292" t="str">
        <f>VLOOKUP(B345,Orgenheter!$A$1:$B$213,2,0)</f>
        <v>Inst för MA och MA statistik</v>
      </c>
    </row>
    <row r="346" spans="1:3" x14ac:dyDescent="0.25">
      <c r="A346" s="309" t="s">
        <v>1352</v>
      </c>
      <c r="B346" s="292">
        <v>5730</v>
      </c>
      <c r="C346" s="292" t="str">
        <f>VLOOKUP(B346,Orgenheter!$A$1:$B$213,2,0)</f>
        <v>Inst för MA och MA statistik</v>
      </c>
    </row>
    <row r="347" spans="1:3" ht="12.95" customHeight="1" x14ac:dyDescent="0.25">
      <c r="A347" s="296" t="s">
        <v>1353</v>
      </c>
      <c r="B347" s="294">
        <v>5730</v>
      </c>
      <c r="C347" s="292" t="str">
        <f>VLOOKUP(B347,Orgenheter!$A$1:$B$213,2,0)</f>
        <v>Inst för MA och MA statistik</v>
      </c>
    </row>
    <row r="348" spans="1:3" ht="12.95" customHeight="1" x14ac:dyDescent="0.25">
      <c r="A348" s="296" t="s">
        <v>1297</v>
      </c>
      <c r="B348" s="294">
        <v>5730</v>
      </c>
      <c r="C348" s="292" t="str">
        <f>VLOOKUP(B348,Orgenheter!$A$1:$B$213,2,0)</f>
        <v>Inst för MA och MA statistik</v>
      </c>
    </row>
    <row r="349" spans="1:3" ht="12.95" customHeight="1" x14ac:dyDescent="0.25">
      <c r="A349" s="296" t="s">
        <v>1455</v>
      </c>
      <c r="B349" s="294">
        <v>5730</v>
      </c>
      <c r="C349" s="292" t="str">
        <f>VLOOKUP(B349,Orgenheter!$A$1:$B$213,2,0)</f>
        <v>Inst för MA och MA statistik</v>
      </c>
    </row>
    <row r="350" spans="1:3" ht="12.95" customHeight="1" x14ac:dyDescent="0.25">
      <c r="A350" s="296" t="s">
        <v>1354</v>
      </c>
      <c r="B350" s="294">
        <v>5730</v>
      </c>
      <c r="C350" s="292" t="str">
        <f>VLOOKUP(B350,Orgenheter!$A$1:$B$213,2,0)</f>
        <v>Inst för MA och MA statistik</v>
      </c>
    </row>
    <row r="351" spans="1:3" ht="12.95" customHeight="1" x14ac:dyDescent="0.25">
      <c r="A351" s="296" t="s">
        <v>1579</v>
      </c>
      <c r="B351" s="294">
        <v>5730</v>
      </c>
      <c r="C351" s="292" t="str">
        <f>VLOOKUP(B351,Orgenheter!$A$1:$B$213,2,0)</f>
        <v>Inst för MA och MA statistik</v>
      </c>
    </row>
    <row r="352" spans="1:3" ht="12.95" customHeight="1" x14ac:dyDescent="0.25">
      <c r="A352" s="407" t="s">
        <v>1861</v>
      </c>
      <c r="B352" s="408">
        <v>5730</v>
      </c>
      <c r="C352" s="292" t="str">
        <f>VLOOKUP(B352,Orgenheter!$A$1:$B$213,2,0)</f>
        <v>Inst för MA och MA statistik</v>
      </c>
    </row>
    <row r="353" spans="1:3" ht="12.95" customHeight="1" x14ac:dyDescent="0.25">
      <c r="A353" s="407" t="s">
        <v>1862</v>
      </c>
      <c r="B353" s="408">
        <v>5730</v>
      </c>
      <c r="C353" s="292" t="str">
        <f>VLOOKUP(B353,Orgenheter!$A$1:$B$213,2,0)</f>
        <v>Inst för MA och MA statistik</v>
      </c>
    </row>
    <row r="354" spans="1:3" ht="12.95" customHeight="1" x14ac:dyDescent="0.25">
      <c r="A354" s="407" t="s">
        <v>1863</v>
      </c>
      <c r="B354" s="408">
        <v>5730</v>
      </c>
      <c r="C354" s="292" t="str">
        <f>VLOOKUP(B354,Orgenheter!$A$1:$B$213,2,0)</f>
        <v>Inst för MA och MA statistik</v>
      </c>
    </row>
    <row r="355" spans="1:3" ht="12.95" customHeight="1" x14ac:dyDescent="0.25">
      <c r="A355" s="424" t="s">
        <v>2007</v>
      </c>
      <c r="B355" s="425">
        <v>5730</v>
      </c>
      <c r="C355" s="292" t="str">
        <f>VLOOKUP(B355,Orgenheter!$A$1:$B$213,2,0)</f>
        <v>Inst för MA och MA statistik</v>
      </c>
    </row>
    <row r="356" spans="1:3" ht="12.95" customHeight="1" x14ac:dyDescent="0.25">
      <c r="A356" s="424" t="s">
        <v>2008</v>
      </c>
      <c r="B356" s="425">
        <v>5730</v>
      </c>
      <c r="C356" s="292" t="str">
        <f>VLOOKUP(B356,Orgenheter!$A$1:$B$213,2,0)</f>
        <v>Inst för MA och MA statistik</v>
      </c>
    </row>
    <row r="357" spans="1:3" ht="12.95" customHeight="1" x14ac:dyDescent="0.25">
      <c r="A357" s="424" t="s">
        <v>2009</v>
      </c>
      <c r="B357" s="425">
        <v>5730</v>
      </c>
      <c r="C357" s="292" t="str">
        <f>VLOOKUP(B357,Orgenheter!$A$1:$B$213,2,0)</f>
        <v>Inst för MA och MA statistik</v>
      </c>
    </row>
    <row r="358" spans="1:3" ht="12.95" customHeight="1" x14ac:dyDescent="0.25">
      <c r="A358" s="424" t="s">
        <v>1963</v>
      </c>
      <c r="B358" s="425">
        <v>5730</v>
      </c>
      <c r="C358" s="292" t="str">
        <f>VLOOKUP(B358,Orgenheter!$A$1:$B$213,2,0)</f>
        <v>Inst för MA och MA statistik</v>
      </c>
    </row>
    <row r="359" spans="1:3" ht="12.95" customHeight="1" x14ac:dyDescent="0.25">
      <c r="A359" s="440" t="s">
        <v>2050</v>
      </c>
      <c r="B359" s="434">
        <v>5730</v>
      </c>
      <c r="C359" s="292" t="str">
        <f>VLOOKUP(B359,Orgenheter!$A$1:$B$213,2,0)</f>
        <v>Inst för MA och MA statistik</v>
      </c>
    </row>
    <row r="360" spans="1:3" ht="12.95" customHeight="1" x14ac:dyDescent="0.25">
      <c r="A360" s="407" t="s">
        <v>1911</v>
      </c>
      <c r="B360" s="408">
        <v>5730</v>
      </c>
      <c r="C360" s="292" t="str">
        <f>VLOOKUP(B360,Orgenheter!$A$1:$B$213,2,0)</f>
        <v>Inst för MA och MA statistik</v>
      </c>
    </row>
    <row r="361" spans="1:3" ht="12.95" customHeight="1" x14ac:dyDescent="0.25">
      <c r="A361" s="424" t="s">
        <v>2010</v>
      </c>
      <c r="B361" s="425">
        <v>5730</v>
      </c>
      <c r="C361" s="292" t="str">
        <f>VLOOKUP(B361,Orgenheter!$A$1:$B$213,2,0)</f>
        <v>Inst för MA och MA statistik</v>
      </c>
    </row>
    <row r="362" spans="1:3" ht="12.95" customHeight="1" x14ac:dyDescent="0.25">
      <c r="A362" s="440" t="s">
        <v>2051</v>
      </c>
      <c r="B362" s="425">
        <v>5730</v>
      </c>
      <c r="C362" s="292" t="str">
        <f>VLOOKUP(B362,Orgenheter!$A$1:$B$213,2,0)</f>
        <v>Inst för MA och MA statistik</v>
      </c>
    </row>
    <row r="363" spans="1:3" x14ac:dyDescent="0.25">
      <c r="A363" s="309" t="s">
        <v>1043</v>
      </c>
      <c r="B363" s="292">
        <v>5730</v>
      </c>
      <c r="C363" s="292" t="str">
        <f>VLOOKUP(B363,Orgenheter!$A$1:$B$213,2,0)</f>
        <v>Inst för MA och MA statistik</v>
      </c>
    </row>
    <row r="364" spans="1:3" x14ac:dyDescent="0.25">
      <c r="A364" s="318" t="s">
        <v>1270</v>
      </c>
      <c r="B364" s="292">
        <v>5730</v>
      </c>
      <c r="C364" s="292" t="str">
        <f>VLOOKUP(B364,Orgenheter!$A$1:$B$213,2,0)</f>
        <v>Inst för MA och MA statistik</v>
      </c>
    </row>
    <row r="365" spans="1:3" x14ac:dyDescent="0.25">
      <c r="A365" s="432" t="s">
        <v>2011</v>
      </c>
      <c r="B365" s="419">
        <v>5730</v>
      </c>
      <c r="C365" s="292" t="str">
        <f>VLOOKUP(B365,Orgenheter!$A$1:$B$213,2,0)</f>
        <v>Inst för MA och MA statistik</v>
      </c>
    </row>
    <row r="366" spans="1:3" ht="12.95" customHeight="1" x14ac:dyDescent="0.25">
      <c r="A366" s="292" t="s">
        <v>344</v>
      </c>
      <c r="B366" s="292">
        <v>5740</v>
      </c>
      <c r="C366" s="292" t="str">
        <f>VLOOKUP(B366,Orgenheter!$A$1:$B$213,2,0)</f>
        <v>NMD</v>
      </c>
    </row>
    <row r="367" spans="1:3" ht="12.95" customHeight="1" x14ac:dyDescent="0.25">
      <c r="A367" s="292" t="s">
        <v>345</v>
      </c>
      <c r="B367" s="292">
        <v>5740</v>
      </c>
      <c r="C367" s="292" t="str">
        <f>VLOOKUP(B367,Orgenheter!$A$1:$B$213,2,0)</f>
        <v>NMD</v>
      </c>
    </row>
    <row r="368" spans="1:3" ht="12.95" customHeight="1" x14ac:dyDescent="0.25">
      <c r="A368" s="292" t="s">
        <v>346</v>
      </c>
      <c r="B368" s="292">
        <v>5740</v>
      </c>
      <c r="C368" s="292" t="str">
        <f>VLOOKUP(B368,Orgenheter!$A$1:$B$213,2,0)</f>
        <v>NMD</v>
      </c>
    </row>
    <row r="369" spans="1:3" ht="12.95" customHeight="1" x14ac:dyDescent="0.25">
      <c r="A369" s="309" t="s">
        <v>653</v>
      </c>
      <c r="B369" s="292">
        <v>5740</v>
      </c>
      <c r="C369" s="292" t="str">
        <f>VLOOKUP(B369,Orgenheter!$A$1:$B$213,2,0)</f>
        <v>NMD</v>
      </c>
    </row>
    <row r="370" spans="1:3" ht="15.75" x14ac:dyDescent="0.25">
      <c r="A370" s="296" t="s">
        <v>499</v>
      </c>
      <c r="B370" s="294">
        <v>5740</v>
      </c>
      <c r="C370" s="292" t="str">
        <f>VLOOKUP(B370,Orgenheter!$A$1:$B$213,2,0)</f>
        <v>NMD</v>
      </c>
    </row>
    <row r="371" spans="1:3" ht="15.75" x14ac:dyDescent="0.25">
      <c r="A371" s="296" t="s">
        <v>500</v>
      </c>
      <c r="B371" s="294">
        <v>5740</v>
      </c>
      <c r="C371" s="292" t="str">
        <f>VLOOKUP(B371,Orgenheter!$A$1:$B$213,2,0)</f>
        <v>NMD</v>
      </c>
    </row>
    <row r="372" spans="1:3" x14ac:dyDescent="0.25">
      <c r="A372" s="309" t="s">
        <v>654</v>
      </c>
      <c r="B372" s="292">
        <v>5740</v>
      </c>
      <c r="C372" s="292" t="str">
        <f>VLOOKUP(B372,Orgenheter!$A$1:$B$213,2,0)</f>
        <v>NMD</v>
      </c>
    </row>
    <row r="373" spans="1:3" x14ac:dyDescent="0.25">
      <c r="A373" s="309" t="s">
        <v>655</v>
      </c>
      <c r="B373" s="292">
        <v>5740</v>
      </c>
      <c r="C373" s="292" t="str">
        <f>VLOOKUP(B373,Orgenheter!$A$1:$B$213,2,0)</f>
        <v>NMD</v>
      </c>
    </row>
    <row r="374" spans="1:3" ht="15.75" x14ac:dyDescent="0.25">
      <c r="A374" s="296" t="s">
        <v>576</v>
      </c>
      <c r="B374" s="294">
        <v>5740</v>
      </c>
      <c r="C374" s="292" t="str">
        <f>VLOOKUP(B374,Orgenheter!$A$1:$B$213,2,0)</f>
        <v>NMD</v>
      </c>
    </row>
    <row r="375" spans="1:3" ht="15.75" x14ac:dyDescent="0.25">
      <c r="A375" s="296" t="s">
        <v>578</v>
      </c>
      <c r="B375" s="294">
        <v>5740</v>
      </c>
      <c r="C375" s="292" t="str">
        <f>VLOOKUP(B375,Orgenheter!$A$1:$B$213,2,0)</f>
        <v>NMD</v>
      </c>
    </row>
    <row r="376" spans="1:3" ht="15.75" x14ac:dyDescent="0.25">
      <c r="A376" s="296" t="s">
        <v>591</v>
      </c>
      <c r="B376" s="294">
        <v>5740</v>
      </c>
      <c r="C376" s="292" t="str">
        <f>VLOOKUP(B376,Orgenheter!$A$1:$B$213,2,0)</f>
        <v>NMD</v>
      </c>
    </row>
    <row r="377" spans="1:3" ht="15.75" x14ac:dyDescent="0.25">
      <c r="A377" s="296" t="s">
        <v>577</v>
      </c>
      <c r="B377" s="294">
        <v>5740</v>
      </c>
      <c r="C377" s="292" t="str">
        <f>VLOOKUP(B377,Orgenheter!$A$1:$B$213,2,0)</f>
        <v>NMD</v>
      </c>
    </row>
    <row r="378" spans="1:3" ht="12.95" customHeight="1" x14ac:dyDescent="0.25">
      <c r="A378" s="296" t="s">
        <v>579</v>
      </c>
      <c r="B378" s="294">
        <v>5740</v>
      </c>
      <c r="C378" s="292" t="str">
        <f>VLOOKUP(B378,Orgenheter!$A$1:$B$213,2,0)</f>
        <v>NMD</v>
      </c>
    </row>
    <row r="379" spans="1:3" ht="12.95" customHeight="1" x14ac:dyDescent="0.25">
      <c r="A379" s="296" t="s">
        <v>592</v>
      </c>
      <c r="B379" s="294">
        <v>5740</v>
      </c>
      <c r="C379" s="292" t="str">
        <f>VLOOKUP(B379,Orgenheter!$A$1:$B$213,2,0)</f>
        <v>NMD</v>
      </c>
    </row>
    <row r="380" spans="1:3" ht="15.75" x14ac:dyDescent="0.25">
      <c r="A380" s="296" t="s">
        <v>907</v>
      </c>
      <c r="B380" s="294">
        <v>5740</v>
      </c>
      <c r="C380" s="292" t="str">
        <f>VLOOKUP(B380,Orgenheter!$A$1:$B$213,2,0)</f>
        <v>NMD</v>
      </c>
    </row>
    <row r="381" spans="1:3" ht="12.95" customHeight="1" x14ac:dyDescent="0.25">
      <c r="A381" s="296" t="s">
        <v>1118</v>
      </c>
      <c r="B381" s="294">
        <v>5740</v>
      </c>
      <c r="C381" s="292" t="str">
        <f>VLOOKUP(B381,Orgenheter!$A$1:$B$213,2,0)</f>
        <v>NMD</v>
      </c>
    </row>
    <row r="382" spans="1:3" ht="15.75" x14ac:dyDescent="0.25">
      <c r="A382" s="296" t="s">
        <v>1119</v>
      </c>
      <c r="B382" s="294">
        <v>5740</v>
      </c>
      <c r="C382" s="292" t="str">
        <f>VLOOKUP(B382,Orgenheter!$A$1:$B$213,2,0)</f>
        <v>NMD</v>
      </c>
    </row>
    <row r="383" spans="1:3" ht="12.95" customHeight="1" x14ac:dyDescent="0.25">
      <c r="A383" s="296" t="s">
        <v>1120</v>
      </c>
      <c r="B383" s="294">
        <v>5740</v>
      </c>
      <c r="C383" s="292" t="str">
        <f>VLOOKUP(B383,Orgenheter!$A$1:$B$213,2,0)</f>
        <v>NMD</v>
      </c>
    </row>
    <row r="384" spans="1:3" ht="12.95" customHeight="1" x14ac:dyDescent="0.25">
      <c r="A384" s="424" t="s">
        <v>2012</v>
      </c>
      <c r="B384" s="425">
        <v>5740</v>
      </c>
      <c r="C384" s="292" t="str">
        <f>VLOOKUP(B384,Orgenheter!$A$1:$B$213,2,0)</f>
        <v>NMD</v>
      </c>
    </row>
    <row r="385" spans="1:3" ht="12.95" customHeight="1" x14ac:dyDescent="0.25">
      <c r="A385" s="296" t="s">
        <v>1357</v>
      </c>
      <c r="B385" s="294">
        <v>5740</v>
      </c>
      <c r="C385" s="292" t="str">
        <f>VLOOKUP(B385,Orgenheter!$A$1:$B$213,2,0)</f>
        <v>NMD</v>
      </c>
    </row>
    <row r="386" spans="1:3" ht="12.95" customHeight="1" x14ac:dyDescent="0.25">
      <c r="A386" s="296" t="s">
        <v>1457</v>
      </c>
      <c r="B386" s="294">
        <v>5740</v>
      </c>
      <c r="C386" s="292" t="str">
        <f>VLOOKUP(B386,Orgenheter!$A$1:$B$213,2,0)</f>
        <v>NMD</v>
      </c>
    </row>
    <row r="387" spans="1:3" ht="12.95" customHeight="1" x14ac:dyDescent="0.25">
      <c r="A387" s="296" t="s">
        <v>1459</v>
      </c>
      <c r="B387" s="294">
        <v>5740</v>
      </c>
      <c r="C387" s="292" t="str">
        <f>VLOOKUP(B387,Orgenheter!$A$1:$B$213,2,0)</f>
        <v>NMD</v>
      </c>
    </row>
    <row r="388" spans="1:3" ht="12.95" customHeight="1" x14ac:dyDescent="0.25">
      <c r="A388" s="296" t="s">
        <v>1461</v>
      </c>
      <c r="B388" s="294">
        <v>5740</v>
      </c>
      <c r="C388" s="292" t="str">
        <f>VLOOKUP(B388,Orgenheter!$A$1:$B$213,2,0)</f>
        <v>NMD</v>
      </c>
    </row>
    <row r="389" spans="1:3" ht="12.95" customHeight="1" x14ac:dyDescent="0.25">
      <c r="A389" s="296" t="s">
        <v>1463</v>
      </c>
      <c r="B389" s="294">
        <v>5740</v>
      </c>
      <c r="C389" s="292" t="str">
        <f>VLOOKUP(B389,Orgenheter!$A$1:$B$213,2,0)</f>
        <v>NMD</v>
      </c>
    </row>
    <row r="390" spans="1:3" ht="12.95" customHeight="1" x14ac:dyDescent="0.25">
      <c r="A390" s="296" t="s">
        <v>1465</v>
      </c>
      <c r="B390" s="294">
        <v>5740</v>
      </c>
      <c r="C390" s="292" t="str">
        <f>VLOOKUP(B390,Orgenheter!$A$1:$B$213,2,0)</f>
        <v>NMD</v>
      </c>
    </row>
    <row r="391" spans="1:3" ht="15" customHeight="1" x14ac:dyDescent="0.25">
      <c r="A391" s="318" t="s">
        <v>1566</v>
      </c>
      <c r="B391" s="292">
        <v>5740</v>
      </c>
      <c r="C391" s="292" t="str">
        <f>VLOOKUP(B391,Orgenheter!$A$1:$B$213,2,0)</f>
        <v>NMD</v>
      </c>
    </row>
    <row r="392" spans="1:3" ht="15" customHeight="1" x14ac:dyDescent="0.25">
      <c r="A392" s="318" t="s">
        <v>1654</v>
      </c>
      <c r="B392" s="292">
        <v>5740</v>
      </c>
      <c r="C392" s="292" t="str">
        <f>VLOOKUP(B392,Orgenheter!$A$1:$B$213,2,0)</f>
        <v>NMD</v>
      </c>
    </row>
    <row r="393" spans="1:3" ht="15" customHeight="1" x14ac:dyDescent="0.25">
      <c r="A393" s="318" t="s">
        <v>1655</v>
      </c>
      <c r="B393" s="292">
        <v>5740</v>
      </c>
      <c r="C393" s="292" t="str">
        <f>VLOOKUP(B393,Orgenheter!$A$1:$B$213,2,0)</f>
        <v>NMD</v>
      </c>
    </row>
    <row r="394" spans="1:3" ht="15" customHeight="1" x14ac:dyDescent="0.25">
      <c r="A394" s="318" t="s">
        <v>1652</v>
      </c>
      <c r="B394" s="292">
        <v>5740</v>
      </c>
      <c r="C394" s="292" t="str">
        <f>VLOOKUP(B394,Orgenheter!$A$1:$B$213,2,0)</f>
        <v>NMD</v>
      </c>
    </row>
    <row r="395" spans="1:3" ht="12.95" customHeight="1" x14ac:dyDescent="0.25">
      <c r="A395" s="424" t="s">
        <v>1953</v>
      </c>
      <c r="B395" s="425">
        <v>5740</v>
      </c>
      <c r="C395" s="292" t="str">
        <f>VLOOKUP(B395,Orgenheter!$A$1:$B$213,2,0)</f>
        <v>NMD</v>
      </c>
    </row>
    <row r="396" spans="1:3" ht="12.95" customHeight="1" x14ac:dyDescent="0.25">
      <c r="A396" s="424" t="s">
        <v>1962</v>
      </c>
      <c r="B396" s="425">
        <v>5740</v>
      </c>
      <c r="C396" s="292" t="str">
        <f>VLOOKUP(B396,Orgenheter!$A$1:$B$213,2,0)</f>
        <v>NMD</v>
      </c>
    </row>
    <row r="397" spans="1:3" ht="12.95" customHeight="1" x14ac:dyDescent="0.25">
      <c r="A397" s="309" t="s">
        <v>641</v>
      </c>
      <c r="B397" s="292">
        <v>5730</v>
      </c>
      <c r="C397" s="292" t="str">
        <f>VLOOKUP(B397,Orgenheter!$A$1:$B$213,2,0)</f>
        <v>Inst för MA och MA statistik</v>
      </c>
    </row>
    <row r="398" spans="1:3" ht="12.95" customHeight="1" x14ac:dyDescent="0.25">
      <c r="A398" s="427" t="s">
        <v>1961</v>
      </c>
      <c r="B398" s="419">
        <v>5730</v>
      </c>
      <c r="C398" s="292" t="str">
        <f>VLOOKUP(B398,Orgenheter!$A$1:$B$213,2,0)</f>
        <v>Inst för MA och MA statistik</v>
      </c>
    </row>
    <row r="399" spans="1:3" ht="12.95" customHeight="1" x14ac:dyDescent="0.25">
      <c r="A399" s="441" t="s">
        <v>2052</v>
      </c>
      <c r="B399" s="436">
        <v>5730</v>
      </c>
      <c r="C399" s="292" t="str">
        <f>VLOOKUP(B399,Orgenheter!$A$1:$B$213,2,0)</f>
        <v>Inst för MA och MA statistik</v>
      </c>
    </row>
    <row r="400" spans="1:3" x14ac:dyDescent="0.25">
      <c r="A400" s="292" t="s">
        <v>335</v>
      </c>
      <c r="B400" s="292">
        <v>1650</v>
      </c>
      <c r="C400" s="292" t="str">
        <f>VLOOKUP(B400,Orgenheter!$A$1:$B$213,2,0)</f>
        <v xml:space="preserve">Estetiska ämnen               </v>
      </c>
    </row>
    <row r="401" spans="1:3" ht="15.75" x14ac:dyDescent="0.25">
      <c r="A401" s="348" t="s">
        <v>151</v>
      </c>
      <c r="B401" s="292">
        <v>1650</v>
      </c>
      <c r="C401" s="292" t="str">
        <f>VLOOKUP(B401,Orgenheter!$A$1:$B$213,2,0)</f>
        <v xml:space="preserve">Estetiska ämnen               </v>
      </c>
    </row>
    <row r="402" spans="1:3" x14ac:dyDescent="0.25">
      <c r="A402" s="292" t="s">
        <v>414</v>
      </c>
      <c r="B402" s="292">
        <v>1650</v>
      </c>
      <c r="C402" s="292" t="str">
        <f>VLOOKUP(B402,Orgenheter!$A$1:$B$213,2,0)</f>
        <v xml:space="preserve">Estetiska ämnen               </v>
      </c>
    </row>
    <row r="403" spans="1:3" ht="12.95" customHeight="1" x14ac:dyDescent="0.25">
      <c r="A403" s="292" t="s">
        <v>478</v>
      </c>
      <c r="B403" s="292">
        <v>1650</v>
      </c>
      <c r="C403" s="292" t="str">
        <f>VLOOKUP(B403,Orgenheter!$A$1:$B$213,2,0)</f>
        <v xml:space="preserve">Estetiska ämnen               </v>
      </c>
    </row>
    <row r="404" spans="1:3" x14ac:dyDescent="0.25">
      <c r="A404" s="310" t="s">
        <v>526</v>
      </c>
      <c r="B404" s="298">
        <v>1650</v>
      </c>
      <c r="C404" s="292" t="str">
        <f>VLOOKUP(B404,Orgenheter!$A$1:$B$213,2,0)</f>
        <v xml:space="preserve">Estetiska ämnen               </v>
      </c>
    </row>
    <row r="405" spans="1:3" x14ac:dyDescent="0.25">
      <c r="A405" s="310" t="s">
        <v>769</v>
      </c>
      <c r="B405" s="298">
        <v>1650</v>
      </c>
      <c r="C405" s="292" t="str">
        <f>VLOOKUP(B405,Orgenheter!$A$1:$B$213,2,0)</f>
        <v xml:space="preserve">Estetiska ämnen               </v>
      </c>
    </row>
    <row r="406" spans="1:3" x14ac:dyDescent="0.25">
      <c r="A406" s="309" t="s">
        <v>874</v>
      </c>
      <c r="B406" s="292">
        <v>1650</v>
      </c>
      <c r="C406" s="292" t="str">
        <f>VLOOKUP(B406,Orgenheter!$A$1:$B$213,2,0)</f>
        <v xml:space="preserve">Estetiska ämnen               </v>
      </c>
    </row>
    <row r="407" spans="1:3" ht="12.95" customHeight="1" x14ac:dyDescent="0.25">
      <c r="A407" s="292" t="s">
        <v>567</v>
      </c>
      <c r="B407" s="298">
        <v>1650</v>
      </c>
      <c r="C407" s="292" t="str">
        <f>VLOOKUP(B407,Orgenheter!$A$1:$B$213,2,0)</f>
        <v xml:space="preserve">Estetiska ämnen               </v>
      </c>
    </row>
    <row r="408" spans="1:3" ht="12.95" customHeight="1" x14ac:dyDescent="0.25">
      <c r="A408" s="309" t="s">
        <v>647</v>
      </c>
      <c r="B408" s="292">
        <v>1650</v>
      </c>
      <c r="C408" s="292" t="str">
        <f>VLOOKUP(B408,Orgenheter!$A$1:$B$213,2,0)</f>
        <v xml:space="preserve">Estetiska ämnen               </v>
      </c>
    </row>
    <row r="409" spans="1:3" ht="12.95" customHeight="1" x14ac:dyDescent="0.25">
      <c r="A409" s="353" t="s">
        <v>1135</v>
      </c>
      <c r="B409" s="298">
        <v>1650</v>
      </c>
      <c r="C409" s="292" t="str">
        <f>VLOOKUP(B409,Orgenheter!$A$1:$B$213,2,0)</f>
        <v xml:space="preserve">Estetiska ämnen               </v>
      </c>
    </row>
    <row r="410" spans="1:3" ht="12.95" customHeight="1" x14ac:dyDescent="0.25">
      <c r="A410" s="355" t="s">
        <v>1324</v>
      </c>
      <c r="B410" s="298">
        <v>1650</v>
      </c>
      <c r="C410" s="292" t="str">
        <f>VLOOKUP(B410,Orgenheter!$A$1:$B$213,2,0)</f>
        <v xml:space="preserve">Estetiska ämnen               </v>
      </c>
    </row>
    <row r="411" spans="1:3" ht="12.95" customHeight="1" x14ac:dyDescent="0.25">
      <c r="A411" s="355" t="s">
        <v>1326</v>
      </c>
      <c r="B411" s="298">
        <v>1650</v>
      </c>
      <c r="C411" s="292" t="str">
        <f>VLOOKUP(B411,Orgenheter!$A$1:$B$213,2,0)</f>
        <v xml:space="preserve">Estetiska ämnen               </v>
      </c>
    </row>
    <row r="412" spans="1:3" ht="12.95" customHeight="1" x14ac:dyDescent="0.25">
      <c r="A412" s="292" t="s">
        <v>1362</v>
      </c>
      <c r="B412" s="292">
        <v>1650</v>
      </c>
      <c r="C412" s="292" t="str">
        <f>VLOOKUP(B412,Orgenheter!$A$1:$B$213,2,0)</f>
        <v xml:space="preserve">Estetiska ämnen               </v>
      </c>
    </row>
    <row r="413" spans="1:3" ht="12.95" customHeight="1" x14ac:dyDescent="0.25">
      <c r="A413" s="292" t="s">
        <v>1363</v>
      </c>
      <c r="B413" s="292">
        <v>1650</v>
      </c>
      <c r="C413" s="292" t="str">
        <f>VLOOKUP(B413,Orgenheter!$A$1:$B$213,2,0)</f>
        <v xml:space="preserve">Estetiska ämnen               </v>
      </c>
    </row>
    <row r="414" spans="1:3" ht="12.95" customHeight="1" x14ac:dyDescent="0.25">
      <c r="A414" s="317" t="s">
        <v>1585</v>
      </c>
      <c r="B414" s="298">
        <v>1650</v>
      </c>
      <c r="C414" s="292" t="str">
        <f>VLOOKUP(B414,Orgenheter!$A$1:$B$213,2,0)</f>
        <v xml:space="preserve">Estetiska ämnen               </v>
      </c>
    </row>
    <row r="415" spans="1:3" ht="12.95" customHeight="1" x14ac:dyDescent="0.25">
      <c r="A415" s="317" t="s">
        <v>1587</v>
      </c>
      <c r="B415" s="298">
        <v>1650</v>
      </c>
      <c r="C415" s="292" t="str">
        <f>VLOOKUP(B415,Orgenheter!$A$1:$B$213,2,0)</f>
        <v xml:space="preserve">Estetiska ämnen               </v>
      </c>
    </row>
    <row r="416" spans="1:3" ht="12.95" customHeight="1" x14ac:dyDescent="0.25">
      <c r="A416" s="295" t="s">
        <v>1738</v>
      </c>
      <c r="B416" s="292">
        <v>1650</v>
      </c>
      <c r="C416" s="292" t="str">
        <f>VLOOKUP(B416,Orgenheter!$A$1:$B$213,2,0)</f>
        <v xml:space="preserve">Estetiska ämnen               </v>
      </c>
    </row>
    <row r="417" spans="1:3" ht="12.95" customHeight="1" x14ac:dyDescent="0.25">
      <c r="A417" s="295" t="s">
        <v>1920</v>
      </c>
      <c r="B417" s="406">
        <v>1650</v>
      </c>
      <c r="C417" s="292" t="str">
        <f>VLOOKUP(B417,Orgenheter!$A$1:$B$213,2,0)</f>
        <v xml:space="preserve">Estetiska ämnen               </v>
      </c>
    </row>
    <row r="418" spans="1:3" x14ac:dyDescent="0.25">
      <c r="A418" s="39" t="s">
        <v>2180</v>
      </c>
      <c r="B418" s="292">
        <v>1650</v>
      </c>
      <c r="C418" s="292" t="str">
        <f>VLOOKUP(B418,Orgenheter!$A$1:$B$213,2,0)</f>
        <v xml:space="preserve">Estetiska ämnen               </v>
      </c>
    </row>
    <row r="419" spans="1:3" ht="12.95" customHeight="1" x14ac:dyDescent="0.25">
      <c r="A419" s="317" t="s">
        <v>2187</v>
      </c>
      <c r="B419" s="298">
        <v>1650</v>
      </c>
      <c r="C419" s="292" t="str">
        <f>VLOOKUP(B419,Orgenheter!$A$1:$B$213,2,0)</f>
        <v xml:space="preserve">Estetiska ämnen               </v>
      </c>
    </row>
    <row r="420" spans="1:3" ht="12.95" customHeight="1" x14ac:dyDescent="0.25">
      <c r="A420" s="298" t="s">
        <v>434</v>
      </c>
      <c r="B420" s="298">
        <v>2271</v>
      </c>
      <c r="C420" s="292" t="str">
        <f>VLOOKUP(B420,Orgenheter!$A$1:$B$213,2,0)</f>
        <v xml:space="preserve">Nationalekonomi               </v>
      </c>
    </row>
    <row r="421" spans="1:3" ht="12.95" customHeight="1" x14ac:dyDescent="0.25">
      <c r="A421" s="298" t="s">
        <v>1799</v>
      </c>
      <c r="B421" s="298">
        <v>5740</v>
      </c>
      <c r="C421" s="292" t="str">
        <f>VLOOKUP(B421,Orgenheter!$A$1:$B$213,2,0)</f>
        <v>NMD</v>
      </c>
    </row>
    <row r="422" spans="1:3" ht="12.95" customHeight="1" x14ac:dyDescent="0.25">
      <c r="A422" s="455" t="s">
        <v>2115</v>
      </c>
      <c r="B422" s="455">
        <v>5740</v>
      </c>
      <c r="C422" s="292" t="str">
        <f>VLOOKUP(B422,Orgenheter!$A$1:$B$213,2,0)</f>
        <v>NMD</v>
      </c>
    </row>
    <row r="423" spans="1:3" ht="12.95" customHeight="1" x14ac:dyDescent="0.25">
      <c r="A423" s="298" t="s">
        <v>1800</v>
      </c>
      <c r="B423" s="298">
        <v>5740</v>
      </c>
      <c r="C423" s="292" t="str">
        <f>VLOOKUP(B423,Orgenheter!$A$1:$B$213,2,0)</f>
        <v>NMD</v>
      </c>
    </row>
    <row r="424" spans="1:3" ht="12.95" customHeight="1" x14ac:dyDescent="0.25">
      <c r="A424" s="298" t="s">
        <v>1801</v>
      </c>
      <c r="B424" s="298">
        <v>5740</v>
      </c>
      <c r="C424" s="292" t="str">
        <f>VLOOKUP(B424,Orgenheter!$A$1:$B$213,2,0)</f>
        <v>NMD</v>
      </c>
    </row>
    <row r="425" spans="1:3" ht="12.95" customHeight="1" x14ac:dyDescent="0.25">
      <c r="A425" s="292" t="s">
        <v>103</v>
      </c>
      <c r="B425" s="292">
        <v>5740</v>
      </c>
      <c r="C425" s="292" t="str">
        <f>VLOOKUP(B425,Orgenheter!$A$1:$B$213,2,0)</f>
        <v>NMD</v>
      </c>
    </row>
    <row r="426" spans="1:3" ht="12.95" customHeight="1" x14ac:dyDescent="0.25">
      <c r="A426" s="309" t="s">
        <v>656</v>
      </c>
      <c r="B426" s="292">
        <v>5740</v>
      </c>
      <c r="C426" s="292" t="str">
        <f>VLOOKUP(B426,Orgenheter!$A$1:$B$213,2,0)</f>
        <v>NMD</v>
      </c>
    </row>
    <row r="427" spans="1:3" ht="12.95" customHeight="1" x14ac:dyDescent="0.25">
      <c r="A427" s="298" t="s">
        <v>875</v>
      </c>
      <c r="B427" s="292">
        <v>5740</v>
      </c>
      <c r="C427" s="292" t="str">
        <f>VLOOKUP(B427,Orgenheter!$A$1:$B$213,2,0)</f>
        <v>NMD</v>
      </c>
    </row>
    <row r="428" spans="1:3" ht="12.95" customHeight="1" x14ac:dyDescent="0.25">
      <c r="A428" s="298" t="s">
        <v>876</v>
      </c>
      <c r="B428" s="292">
        <v>5740</v>
      </c>
      <c r="C428" s="292" t="str">
        <f>VLOOKUP(B428,Orgenheter!$A$1:$B$213,2,0)</f>
        <v>NMD</v>
      </c>
    </row>
    <row r="429" spans="1:3" ht="12.95" customHeight="1" x14ac:dyDescent="0.25">
      <c r="A429" s="298" t="s">
        <v>905</v>
      </c>
      <c r="B429" s="292">
        <v>5740</v>
      </c>
      <c r="C429" s="292" t="str">
        <f>VLOOKUP(B429,Orgenheter!$A$1:$B$213,2,0)</f>
        <v>NMD</v>
      </c>
    </row>
    <row r="430" spans="1:3" ht="12.95" customHeight="1" x14ac:dyDescent="0.25">
      <c r="A430" s="298" t="s">
        <v>906</v>
      </c>
      <c r="B430" s="292">
        <v>5740</v>
      </c>
      <c r="C430" s="292" t="str">
        <f>VLOOKUP(B430,Orgenheter!$A$1:$B$213,2,0)</f>
        <v>NMD</v>
      </c>
    </row>
    <row r="431" spans="1:3" ht="12.95" customHeight="1" x14ac:dyDescent="0.25">
      <c r="A431" s="298" t="s">
        <v>1653</v>
      </c>
      <c r="B431" s="292">
        <v>5740</v>
      </c>
      <c r="C431" s="292" t="str">
        <f>VLOOKUP(B431,Orgenheter!$A$1:$B$213,2,0)</f>
        <v>NMD</v>
      </c>
    </row>
    <row r="432" spans="1:3" ht="12.95" customHeight="1" x14ac:dyDescent="0.25">
      <c r="A432" s="298" t="s">
        <v>1573</v>
      </c>
      <c r="B432" s="292">
        <v>5740</v>
      </c>
      <c r="C432" s="292" t="str">
        <f>VLOOKUP(B432,Orgenheter!$A$1:$B$213,2,0)</f>
        <v>NMD</v>
      </c>
    </row>
    <row r="433" spans="1:3" ht="12.95" customHeight="1" x14ac:dyDescent="0.25">
      <c r="A433" s="298" t="s">
        <v>1571</v>
      </c>
      <c r="B433" s="292">
        <v>5740</v>
      </c>
      <c r="C433" s="292" t="str">
        <f>VLOOKUP(B433,Orgenheter!$A$1:$B$213,2,0)</f>
        <v>NMD</v>
      </c>
    </row>
    <row r="434" spans="1:3" ht="12.95" customHeight="1" x14ac:dyDescent="0.25">
      <c r="A434" s="298" t="s">
        <v>1574</v>
      </c>
      <c r="B434" s="292">
        <v>5740</v>
      </c>
      <c r="C434" s="292" t="str">
        <f>VLOOKUP(B434,Orgenheter!$A$1:$B$213,2,0)</f>
        <v>NMD</v>
      </c>
    </row>
    <row r="435" spans="1:3" ht="12.95" customHeight="1" x14ac:dyDescent="0.25">
      <c r="A435" s="298" t="s">
        <v>1828</v>
      </c>
      <c r="B435" s="292">
        <v>5740</v>
      </c>
      <c r="C435" s="292" t="str">
        <f>VLOOKUP(B435,Orgenheter!$A$1:$B$213,2,0)</f>
        <v>NMD</v>
      </c>
    </row>
    <row r="436" spans="1:3" ht="12.95" customHeight="1" x14ac:dyDescent="0.25">
      <c r="A436" s="298" t="s">
        <v>1827</v>
      </c>
      <c r="B436" s="292">
        <v>5740</v>
      </c>
      <c r="C436" s="292" t="str">
        <f>VLOOKUP(B436,Orgenheter!$A$1:$B$213,2,0)</f>
        <v>NMD</v>
      </c>
    </row>
    <row r="437" spans="1:3" ht="15" customHeight="1" x14ac:dyDescent="0.25">
      <c r="A437" s="318" t="s">
        <v>1864</v>
      </c>
      <c r="B437" s="292">
        <v>5740</v>
      </c>
      <c r="C437" s="292" t="str">
        <f>VLOOKUP(B437,Orgenheter!$A$1:$B$213,2,0)</f>
        <v>NMD</v>
      </c>
    </row>
    <row r="438" spans="1:3" ht="15" customHeight="1" x14ac:dyDescent="0.25">
      <c r="A438" s="500" t="s">
        <v>2248</v>
      </c>
      <c r="B438" s="292">
        <v>5740</v>
      </c>
      <c r="C438" s="292" t="str">
        <f>VLOOKUP(B438,Orgenheter!$A$1:$B$213,2,0)</f>
        <v>NMD</v>
      </c>
    </row>
    <row r="439" spans="1:3" ht="12.95" customHeight="1" x14ac:dyDescent="0.25">
      <c r="A439" s="317" t="s">
        <v>877</v>
      </c>
      <c r="B439" s="292">
        <v>2180</v>
      </c>
      <c r="C439" s="292" t="str">
        <f>VLOOKUP(B439,Orgenheter!$A$1:$B$213,2,0)</f>
        <v xml:space="preserve">Pedagogik                     </v>
      </c>
    </row>
    <row r="440" spans="1:3" x14ac:dyDescent="0.25">
      <c r="A440" s="356" t="s">
        <v>436</v>
      </c>
      <c r="B440" s="292">
        <v>5740</v>
      </c>
      <c r="C440" s="292" t="str">
        <f>VLOOKUP(B440,Orgenheter!$A$1:$B$213,2,0)</f>
        <v>NMD</v>
      </c>
    </row>
    <row r="441" spans="1:3" x14ac:dyDescent="0.25">
      <c r="A441" s="356" t="s">
        <v>1044</v>
      </c>
      <c r="B441" s="292">
        <v>5740</v>
      </c>
      <c r="C441" s="292" t="str">
        <f>VLOOKUP(B441,Orgenheter!$A$1:$B$213,2,0)</f>
        <v>NMD</v>
      </c>
    </row>
    <row r="442" spans="1:3" ht="12.95" customHeight="1" x14ac:dyDescent="0.25">
      <c r="A442" s="350" t="s">
        <v>1045</v>
      </c>
      <c r="B442" s="292">
        <v>5740</v>
      </c>
      <c r="C442" s="292" t="str">
        <f>VLOOKUP(B442,Orgenheter!$A$1:$B$213,2,0)</f>
        <v>NMD</v>
      </c>
    </row>
    <row r="443" spans="1:3" ht="12.95" customHeight="1" x14ac:dyDescent="0.25">
      <c r="A443" s="292" t="s">
        <v>146</v>
      </c>
      <c r="B443" s="292">
        <v>5740</v>
      </c>
      <c r="C443" s="292" t="str">
        <f>VLOOKUP(B443,Orgenheter!$A$1:$B$213,2,0)</f>
        <v>NMD</v>
      </c>
    </row>
    <row r="444" spans="1:3" ht="12.95" customHeight="1" x14ac:dyDescent="0.25">
      <c r="A444" s="292" t="s">
        <v>147</v>
      </c>
      <c r="B444" s="292">
        <v>5740</v>
      </c>
      <c r="C444" s="292" t="str">
        <f>VLOOKUP(B444,Orgenheter!$A$1:$B$213,2,0)</f>
        <v>NMD</v>
      </c>
    </row>
    <row r="445" spans="1:3" ht="12.95" customHeight="1" x14ac:dyDescent="0.25">
      <c r="A445" s="292" t="s">
        <v>91</v>
      </c>
      <c r="B445" s="292">
        <v>2180</v>
      </c>
      <c r="C445" s="292" t="str">
        <f>VLOOKUP(B445,Orgenheter!$A$1:$B$213,2,0)</f>
        <v xml:space="preserve">Pedagogik                     </v>
      </c>
    </row>
    <row r="446" spans="1:3" ht="12.95" customHeight="1" x14ac:dyDescent="0.25">
      <c r="A446" s="292" t="s">
        <v>139</v>
      </c>
      <c r="B446" s="292">
        <v>2193</v>
      </c>
      <c r="C446" s="292" t="str">
        <f>VLOOKUP(B446,Orgenheter!$A$1:$B$213,2,0)</f>
        <v xml:space="preserve">TUV </v>
      </c>
    </row>
    <row r="447" spans="1:3" ht="12.95" customHeight="1" x14ac:dyDescent="0.25">
      <c r="A447" s="292" t="s">
        <v>140</v>
      </c>
      <c r="B447" s="292">
        <v>2193</v>
      </c>
      <c r="C447" s="292" t="str">
        <f>VLOOKUP(B447,Orgenheter!$A$1:$B$213,2,0)</f>
        <v xml:space="preserve">TUV </v>
      </c>
    </row>
    <row r="448" spans="1:3" x14ac:dyDescent="0.25">
      <c r="A448" s="292" t="s">
        <v>1046</v>
      </c>
      <c r="B448" s="292">
        <v>2180</v>
      </c>
      <c r="C448" s="292" t="str">
        <f>VLOOKUP(B448,Orgenheter!$A$1:$B$213,2,0)</f>
        <v xml:space="preserve">Pedagogik                     </v>
      </c>
    </row>
    <row r="449" spans="1:3" ht="15.75" x14ac:dyDescent="0.25">
      <c r="A449" s="296" t="s">
        <v>501</v>
      </c>
      <c r="B449" s="294">
        <v>1620</v>
      </c>
      <c r="C449" s="292" t="str">
        <f>VLOOKUP(B449,Orgenheter!$A$1:$B$213,2,0)</f>
        <v>Inst för språkstudier</v>
      </c>
    </row>
    <row r="450" spans="1:3" x14ac:dyDescent="0.25">
      <c r="A450" s="292" t="s">
        <v>129</v>
      </c>
      <c r="B450" s="292">
        <v>2180</v>
      </c>
      <c r="C450" s="292" t="str">
        <f>VLOOKUP(B450,Orgenheter!$A$1:$B$213,2,0)</f>
        <v xml:space="preserve">Pedagogik                     </v>
      </c>
    </row>
    <row r="451" spans="1:3" x14ac:dyDescent="0.25">
      <c r="A451" s="292" t="s">
        <v>334</v>
      </c>
      <c r="B451" s="292">
        <v>2180</v>
      </c>
      <c r="C451" s="292" t="str">
        <f>VLOOKUP(B451,Orgenheter!$A$1:$B$213,2,0)</f>
        <v xml:space="preserve">Pedagogik                     </v>
      </c>
    </row>
    <row r="452" spans="1:3" x14ac:dyDescent="0.25">
      <c r="A452" s="292" t="s">
        <v>121</v>
      </c>
      <c r="B452" s="292">
        <v>2193</v>
      </c>
      <c r="C452" s="292" t="str">
        <f>VLOOKUP(B452,Orgenheter!$A$1:$B$213,2,0)</f>
        <v xml:space="preserve">TUV </v>
      </c>
    </row>
    <row r="453" spans="1:3" x14ac:dyDescent="0.25">
      <c r="A453" s="298" t="s">
        <v>393</v>
      </c>
      <c r="B453" s="292">
        <v>5740</v>
      </c>
      <c r="C453" s="292" t="str">
        <f>VLOOKUP(B453,Orgenheter!$A$1:$B$213,2,0)</f>
        <v>NMD</v>
      </c>
    </row>
    <row r="454" spans="1:3" x14ac:dyDescent="0.25">
      <c r="A454" s="298" t="s">
        <v>369</v>
      </c>
      <c r="B454" s="292">
        <v>5740</v>
      </c>
      <c r="C454" s="292" t="str">
        <f>VLOOKUP(B454,Orgenheter!$A$1:$B$213,2,0)</f>
        <v>NMD</v>
      </c>
    </row>
    <row r="455" spans="1:3" x14ac:dyDescent="0.25">
      <c r="A455" s="298" t="s">
        <v>721</v>
      </c>
      <c r="B455" s="292">
        <v>2193</v>
      </c>
      <c r="C455" s="292" t="str">
        <f>VLOOKUP(B455,Orgenheter!$A$1:$B$213,2,0)</f>
        <v xml:space="preserve">TUV </v>
      </c>
    </row>
    <row r="456" spans="1:3" x14ac:dyDescent="0.25">
      <c r="A456" s="317" t="s">
        <v>370</v>
      </c>
      <c r="B456" s="292">
        <v>2180</v>
      </c>
      <c r="C456" s="292" t="str">
        <f>VLOOKUP(B456,Orgenheter!$A$1:$B$213,2,0)</f>
        <v xml:space="preserve">Pedagogik                     </v>
      </c>
    </row>
    <row r="457" spans="1:3" x14ac:dyDescent="0.25">
      <c r="A457" s="292" t="s">
        <v>593</v>
      </c>
      <c r="B457" s="292">
        <v>2193</v>
      </c>
      <c r="C457" s="292" t="str">
        <f>VLOOKUP(B457,Orgenheter!$A$1:$B$213,2,0)</f>
        <v xml:space="preserve">TUV </v>
      </c>
    </row>
    <row r="458" spans="1:3" x14ac:dyDescent="0.25">
      <c r="A458" s="292" t="s">
        <v>481</v>
      </c>
      <c r="B458" s="292">
        <v>2193</v>
      </c>
      <c r="C458" s="292" t="str">
        <f>VLOOKUP(B458,Orgenheter!$A$1:$B$213,2,0)</f>
        <v xml:space="preserve">TUV </v>
      </c>
    </row>
    <row r="459" spans="1:3" ht="12.95" customHeight="1" x14ac:dyDescent="0.25">
      <c r="A459" s="296" t="s">
        <v>502</v>
      </c>
      <c r="B459" s="294">
        <v>2193</v>
      </c>
      <c r="C459" s="292" t="str">
        <f>VLOOKUP(B459,Orgenheter!$A$1:$B$213,2,0)</f>
        <v xml:space="preserve">TUV </v>
      </c>
    </row>
    <row r="460" spans="1:3" ht="15.75" x14ac:dyDescent="0.25">
      <c r="A460" s="296" t="s">
        <v>594</v>
      </c>
      <c r="B460" s="354">
        <v>2193</v>
      </c>
      <c r="C460" s="292" t="str">
        <f>VLOOKUP(B460,Orgenheter!$A$1:$B$213,2,0)</f>
        <v xml:space="preserve">TUV </v>
      </c>
    </row>
    <row r="461" spans="1:3" ht="15.75" x14ac:dyDescent="0.25">
      <c r="A461" s="296" t="s">
        <v>503</v>
      </c>
      <c r="B461" s="294">
        <v>2193</v>
      </c>
      <c r="C461" s="292" t="str">
        <f>VLOOKUP(B461,Orgenheter!$A$1:$B$213,2,0)</f>
        <v xml:space="preserve">TUV </v>
      </c>
    </row>
    <row r="462" spans="1:3" ht="15.75" x14ac:dyDescent="0.25">
      <c r="A462" s="296" t="s">
        <v>595</v>
      </c>
      <c r="B462" s="354">
        <v>2193</v>
      </c>
      <c r="C462" s="292" t="str">
        <f>VLOOKUP(B462,Orgenheter!$A$1:$B$213,2,0)</f>
        <v xml:space="preserve">TUV </v>
      </c>
    </row>
    <row r="463" spans="1:3" ht="15.75" x14ac:dyDescent="0.25">
      <c r="A463" s="296" t="s">
        <v>596</v>
      </c>
      <c r="B463" s="354">
        <v>2193</v>
      </c>
      <c r="C463" s="292" t="str">
        <f>VLOOKUP(B463,Orgenheter!$A$1:$B$213,2,0)</f>
        <v xml:space="preserve">TUV </v>
      </c>
    </row>
    <row r="464" spans="1:3" ht="15.75" x14ac:dyDescent="0.25">
      <c r="A464" s="296" t="s">
        <v>597</v>
      </c>
      <c r="B464" s="354">
        <v>2193</v>
      </c>
      <c r="C464" s="292" t="str">
        <f>VLOOKUP(B464,Orgenheter!$A$1:$B$213,2,0)</f>
        <v xml:space="preserve">TUV </v>
      </c>
    </row>
    <row r="465" spans="1:3" ht="15.75" x14ac:dyDescent="0.25">
      <c r="A465" s="296" t="s">
        <v>878</v>
      </c>
      <c r="B465" s="354">
        <v>2193</v>
      </c>
      <c r="C465" s="292" t="str">
        <f>VLOOKUP(B465,Orgenheter!$A$1:$B$213,2,0)</f>
        <v xml:space="preserve">TUV </v>
      </c>
    </row>
    <row r="466" spans="1:3" ht="15.75" x14ac:dyDescent="0.25">
      <c r="A466" s="296" t="s">
        <v>879</v>
      </c>
      <c r="B466" s="354">
        <v>2193</v>
      </c>
      <c r="C466" s="292" t="str">
        <f>VLOOKUP(B466,Orgenheter!$A$1:$B$213,2,0)</f>
        <v xml:space="preserve">TUV </v>
      </c>
    </row>
    <row r="467" spans="1:3" ht="12.95" customHeight="1" x14ac:dyDescent="0.25">
      <c r="A467" s="296" t="s">
        <v>880</v>
      </c>
      <c r="B467" s="354">
        <v>2193</v>
      </c>
      <c r="C467" s="292" t="str">
        <f>VLOOKUP(B467,Orgenheter!$A$1:$B$213,2,0)</f>
        <v xml:space="preserve">TUV </v>
      </c>
    </row>
    <row r="468" spans="1:3" ht="15.75" x14ac:dyDescent="0.25">
      <c r="A468" s="296" t="s">
        <v>881</v>
      </c>
      <c r="B468" s="354">
        <v>2193</v>
      </c>
      <c r="C468" s="292" t="str">
        <f>VLOOKUP(B468,Orgenheter!$A$1:$B$213,2,0)</f>
        <v xml:space="preserve">TUV </v>
      </c>
    </row>
    <row r="469" spans="1:3" ht="15.75" x14ac:dyDescent="0.25">
      <c r="A469" s="296" t="s">
        <v>882</v>
      </c>
      <c r="B469" s="354">
        <v>2193</v>
      </c>
      <c r="C469" s="292" t="str">
        <f>VLOOKUP(B469,Orgenheter!$A$1:$B$213,2,0)</f>
        <v xml:space="preserve">TUV </v>
      </c>
    </row>
    <row r="470" spans="1:3" ht="15.75" x14ac:dyDescent="0.25">
      <c r="A470" s="296" t="s">
        <v>504</v>
      </c>
      <c r="B470" s="294">
        <v>2193</v>
      </c>
      <c r="C470" s="292" t="str">
        <f>VLOOKUP(B470,Orgenheter!$A$1:$B$213,2,0)</f>
        <v xml:space="preserve">TUV </v>
      </c>
    </row>
    <row r="471" spans="1:3" ht="15.75" x14ac:dyDescent="0.25">
      <c r="A471" s="296" t="s">
        <v>505</v>
      </c>
      <c r="B471" s="294">
        <v>2193</v>
      </c>
      <c r="C471" s="292" t="str">
        <f>VLOOKUP(B471,Orgenheter!$A$1:$B$213,2,0)</f>
        <v xml:space="preserve">TUV </v>
      </c>
    </row>
    <row r="472" spans="1:3" ht="12.95" customHeight="1" x14ac:dyDescent="0.25">
      <c r="A472" s="296" t="s">
        <v>506</v>
      </c>
      <c r="B472" s="294">
        <v>2193</v>
      </c>
      <c r="C472" s="292" t="str">
        <f>VLOOKUP(B472,Orgenheter!$A$1:$B$213,2,0)</f>
        <v xml:space="preserve">TUV </v>
      </c>
    </row>
    <row r="473" spans="1:3" ht="15.75" x14ac:dyDescent="0.25">
      <c r="A473" s="296" t="s">
        <v>507</v>
      </c>
      <c r="B473" s="294">
        <v>2193</v>
      </c>
      <c r="C473" s="292" t="str">
        <f>VLOOKUP(B473,Orgenheter!$A$1:$B$213,2,0)</f>
        <v xml:space="preserve">TUV </v>
      </c>
    </row>
    <row r="474" spans="1:3" ht="15.75" x14ac:dyDescent="0.25">
      <c r="A474" s="296" t="s">
        <v>508</v>
      </c>
      <c r="B474" s="294">
        <v>2193</v>
      </c>
      <c r="C474" s="292" t="str">
        <f>VLOOKUP(B474,Orgenheter!$A$1:$B$213,2,0)</f>
        <v xml:space="preserve">TUV </v>
      </c>
    </row>
    <row r="475" spans="1:3" ht="15.75" x14ac:dyDescent="0.25">
      <c r="A475" s="296" t="s">
        <v>509</v>
      </c>
      <c r="B475" s="294">
        <v>2193</v>
      </c>
      <c r="C475" s="292" t="str">
        <f>VLOOKUP(B475,Orgenheter!$A$1:$B$213,2,0)</f>
        <v xml:space="preserve">TUV </v>
      </c>
    </row>
    <row r="476" spans="1:3" ht="15.75" x14ac:dyDescent="0.25">
      <c r="A476" s="296" t="s">
        <v>598</v>
      </c>
      <c r="B476" s="354">
        <v>2193</v>
      </c>
      <c r="C476" s="292" t="str">
        <f>VLOOKUP(B476,Orgenheter!$A$1:$B$213,2,0)</f>
        <v xml:space="preserve">TUV </v>
      </c>
    </row>
    <row r="477" spans="1:3" ht="15.75" x14ac:dyDescent="0.25">
      <c r="A477" s="296" t="s">
        <v>599</v>
      </c>
      <c r="B477" s="354">
        <v>2193</v>
      </c>
      <c r="C477" s="292" t="str">
        <f>VLOOKUP(B477,Orgenheter!$A$1:$B$213,2,0)</f>
        <v xml:space="preserve">TUV </v>
      </c>
    </row>
    <row r="478" spans="1:3" ht="15.75" x14ac:dyDescent="0.25">
      <c r="A478" s="374" t="s">
        <v>883</v>
      </c>
      <c r="B478" s="354">
        <v>2193</v>
      </c>
      <c r="C478" s="292" t="str">
        <f>VLOOKUP(B478,Orgenheter!$A$1:$B$213,2,0)</f>
        <v xml:space="preserve">TUV </v>
      </c>
    </row>
    <row r="479" spans="1:3" ht="15.75" x14ac:dyDescent="0.25">
      <c r="A479" s="296" t="s">
        <v>884</v>
      </c>
      <c r="B479" s="354">
        <v>2193</v>
      </c>
      <c r="C479" s="292" t="str">
        <f>VLOOKUP(B479,Orgenheter!$A$1:$B$213,2,0)</f>
        <v xml:space="preserve">TUV </v>
      </c>
    </row>
    <row r="480" spans="1:3" ht="15.75" x14ac:dyDescent="0.25">
      <c r="A480" s="296" t="s">
        <v>1079</v>
      </c>
      <c r="B480" s="292">
        <v>2193</v>
      </c>
      <c r="C480" s="292" t="str">
        <f>VLOOKUP(B480,Orgenheter!$A$1:$B$213,2,0)</f>
        <v xml:space="preserve">TUV </v>
      </c>
    </row>
    <row r="481" spans="1:3" x14ac:dyDescent="0.25">
      <c r="A481" s="354" t="s">
        <v>638</v>
      </c>
      <c r="B481" s="292">
        <v>2180</v>
      </c>
      <c r="C481" s="292" t="str">
        <f>VLOOKUP(B481,Orgenheter!$A$1:$B$213,2,0)</f>
        <v xml:space="preserve">Pedagogik                     </v>
      </c>
    </row>
    <row r="482" spans="1:3" x14ac:dyDescent="0.25">
      <c r="A482" s="354" t="s">
        <v>633</v>
      </c>
      <c r="B482" s="292">
        <v>2180</v>
      </c>
      <c r="C482" s="292" t="str">
        <f>VLOOKUP(B482,Orgenheter!$A$1:$B$213,2,0)</f>
        <v xml:space="preserve">Pedagogik                     </v>
      </c>
    </row>
    <row r="483" spans="1:3" ht="15.75" x14ac:dyDescent="0.25">
      <c r="A483" s="296" t="s">
        <v>634</v>
      </c>
      <c r="B483" s="292">
        <v>2180</v>
      </c>
      <c r="C483" s="292" t="str">
        <f>VLOOKUP(B483,Orgenheter!$A$1:$B$213,2,0)</f>
        <v xml:space="preserve">Pedagogik                     </v>
      </c>
    </row>
    <row r="484" spans="1:3" x14ac:dyDescent="0.25">
      <c r="A484" s="354" t="s">
        <v>835</v>
      </c>
      <c r="B484" s="292">
        <v>2180</v>
      </c>
      <c r="C484" s="292" t="str">
        <f>VLOOKUP(B484,Orgenheter!$A$1:$B$213,2,0)</f>
        <v xml:space="preserve">Pedagogik                     </v>
      </c>
    </row>
    <row r="485" spans="1:3" x14ac:dyDescent="0.25">
      <c r="A485" s="354" t="s">
        <v>823</v>
      </c>
      <c r="B485" s="292">
        <v>5740</v>
      </c>
      <c r="C485" s="292" t="str">
        <f>VLOOKUP(B485,Orgenheter!$A$1:$B$213,2,0)</f>
        <v>NMD</v>
      </c>
    </row>
    <row r="486" spans="1:3" x14ac:dyDescent="0.25">
      <c r="A486" s="354" t="s">
        <v>824</v>
      </c>
      <c r="B486" s="292">
        <v>5740</v>
      </c>
      <c r="C486" s="292" t="str">
        <f>VLOOKUP(B486,Orgenheter!$A$1:$B$213,2,0)</f>
        <v>NMD</v>
      </c>
    </row>
    <row r="487" spans="1:3" x14ac:dyDescent="0.25">
      <c r="A487" s="354" t="s">
        <v>976</v>
      </c>
      <c r="B487" s="292">
        <v>2193</v>
      </c>
      <c r="C487" s="292" t="str">
        <f>VLOOKUP(B487,Orgenheter!$A$1:$B$213,2,0)</f>
        <v xml:space="preserve">TUV </v>
      </c>
    </row>
    <row r="488" spans="1:3" x14ac:dyDescent="0.25">
      <c r="A488" s="318" t="s">
        <v>920</v>
      </c>
      <c r="B488" s="292">
        <v>2193</v>
      </c>
      <c r="C488" s="292" t="str">
        <f>VLOOKUP(B488,Orgenheter!$A$1:$B$213,2,0)</f>
        <v xml:space="preserve">TUV </v>
      </c>
    </row>
    <row r="489" spans="1:3" x14ac:dyDescent="0.25">
      <c r="A489" s="318" t="s">
        <v>921</v>
      </c>
      <c r="B489" s="292">
        <v>2193</v>
      </c>
      <c r="C489" s="292" t="str">
        <f>VLOOKUP(B489,Orgenheter!$A$1:$B$213,2,0)</f>
        <v xml:space="preserve">TUV </v>
      </c>
    </row>
    <row r="490" spans="1:3" x14ac:dyDescent="0.25">
      <c r="A490" s="318" t="s">
        <v>946</v>
      </c>
      <c r="B490" s="292">
        <v>2180</v>
      </c>
      <c r="C490" s="292" t="str">
        <f>VLOOKUP(B490,Orgenheter!$A$1:$B$213,2,0)</f>
        <v xml:space="preserve">Pedagogik                     </v>
      </c>
    </row>
    <row r="491" spans="1:3" x14ac:dyDescent="0.25">
      <c r="A491" s="318" t="s">
        <v>1096</v>
      </c>
      <c r="B491" s="292">
        <v>2193</v>
      </c>
      <c r="C491" s="292" t="str">
        <f>VLOOKUP(B491,Orgenheter!$A$1:$B$213,2,0)</f>
        <v xml:space="preserve">TUV </v>
      </c>
    </row>
    <row r="492" spans="1:3" x14ac:dyDescent="0.25">
      <c r="A492" s="318" t="s">
        <v>977</v>
      </c>
      <c r="B492" s="292">
        <v>2193</v>
      </c>
      <c r="C492" s="292" t="str">
        <f>VLOOKUP(B492,Orgenheter!$A$1:$B$213,2,0)</f>
        <v xml:space="preserve">TUV </v>
      </c>
    </row>
    <row r="493" spans="1:3" x14ac:dyDescent="0.25">
      <c r="A493" s="318" t="s">
        <v>978</v>
      </c>
      <c r="B493" s="292">
        <v>2193</v>
      </c>
      <c r="C493" s="292" t="str">
        <f>VLOOKUP(B493,Orgenheter!$A$1:$B$213,2,0)</f>
        <v xml:space="preserve">TUV </v>
      </c>
    </row>
    <row r="494" spans="1:3" x14ac:dyDescent="0.25">
      <c r="A494" s="318" t="s">
        <v>985</v>
      </c>
      <c r="B494" s="292">
        <v>5740</v>
      </c>
      <c r="C494" s="292" t="str">
        <f>VLOOKUP(B494,Orgenheter!$A$1:$B$213,2,0)</f>
        <v>NMD</v>
      </c>
    </row>
    <row r="495" spans="1:3" x14ac:dyDescent="0.25">
      <c r="A495" s="318" t="s">
        <v>984</v>
      </c>
      <c r="B495" s="292">
        <v>5740</v>
      </c>
      <c r="C495" s="292" t="str">
        <f>VLOOKUP(B495,Orgenheter!$A$1:$B$213,2,0)</f>
        <v>NMD</v>
      </c>
    </row>
    <row r="496" spans="1:3" x14ac:dyDescent="0.25">
      <c r="A496" s="318" t="s">
        <v>979</v>
      </c>
      <c r="B496" s="292">
        <v>2180</v>
      </c>
      <c r="C496" s="292" t="str">
        <f>VLOOKUP(B496,Orgenheter!$A$1:$B$213,2,0)</f>
        <v xml:space="preserve">Pedagogik                     </v>
      </c>
    </row>
    <row r="497" spans="1:3" x14ac:dyDescent="0.25">
      <c r="A497" s="318" t="s">
        <v>1114</v>
      </c>
      <c r="B497" s="292">
        <v>2180</v>
      </c>
      <c r="C497" s="292" t="str">
        <f>VLOOKUP(B497,Orgenheter!$A$1:$B$213,2,0)</f>
        <v xml:space="preserve">Pedagogik                     </v>
      </c>
    </row>
    <row r="498" spans="1:3" ht="12.95" customHeight="1" x14ac:dyDescent="0.25">
      <c r="A498" s="292" t="s">
        <v>998</v>
      </c>
      <c r="B498" s="292">
        <v>5740</v>
      </c>
      <c r="C498" s="292" t="str">
        <f>VLOOKUP(B498,Orgenheter!$A$1:$B$213,2,0)</f>
        <v>NMD</v>
      </c>
    </row>
    <row r="499" spans="1:3" ht="12.95" customHeight="1" x14ac:dyDescent="0.25">
      <c r="A499" s="357" t="s">
        <v>1047</v>
      </c>
      <c r="B499" s="292">
        <v>5740</v>
      </c>
      <c r="C499" s="292" t="str">
        <f>VLOOKUP(B499,Orgenheter!$A$1:$B$213,2,0)</f>
        <v>NMD</v>
      </c>
    </row>
    <row r="500" spans="1:3" ht="12.95" customHeight="1" x14ac:dyDescent="0.25">
      <c r="A500" s="357" t="s">
        <v>1048</v>
      </c>
      <c r="B500" s="292">
        <v>5740</v>
      </c>
      <c r="C500" s="292" t="str">
        <f>VLOOKUP(B500,Orgenheter!$A$1:$B$213,2,0)</f>
        <v>NMD</v>
      </c>
    </row>
    <row r="501" spans="1:3" ht="12.95" customHeight="1" x14ac:dyDescent="0.25">
      <c r="A501" s="358" t="s">
        <v>993</v>
      </c>
      <c r="B501" s="292">
        <v>5740</v>
      </c>
      <c r="C501" s="292" t="str">
        <f>VLOOKUP(B501,Orgenheter!$A$1:$B$213,2,0)</f>
        <v>NMD</v>
      </c>
    </row>
    <row r="502" spans="1:3" ht="12.95" customHeight="1" x14ac:dyDescent="0.25">
      <c r="A502" s="358" t="s">
        <v>996</v>
      </c>
      <c r="B502" s="292">
        <v>5740</v>
      </c>
      <c r="C502" s="292" t="str">
        <f>VLOOKUP(B502,Orgenheter!$A$1:$B$213,2,0)</f>
        <v>NMD</v>
      </c>
    </row>
    <row r="503" spans="1:3" ht="12.95" customHeight="1" x14ac:dyDescent="0.25">
      <c r="A503" s="358" t="s">
        <v>1006</v>
      </c>
      <c r="B503" s="292">
        <v>2193</v>
      </c>
      <c r="C503" s="292" t="str">
        <f>VLOOKUP(B503,Orgenheter!$A$1:$B$213,2,0)</f>
        <v xml:space="preserve">TUV </v>
      </c>
    </row>
    <row r="504" spans="1:3" ht="12.95" customHeight="1" x14ac:dyDescent="0.25">
      <c r="A504" s="358" t="s">
        <v>1007</v>
      </c>
      <c r="B504" s="292">
        <v>2193</v>
      </c>
      <c r="C504" s="292" t="str">
        <f>VLOOKUP(B504,Orgenheter!$A$1:$B$213,2,0)</f>
        <v xml:space="preserve">TUV </v>
      </c>
    </row>
    <row r="505" spans="1:3" ht="12.95" customHeight="1" x14ac:dyDescent="0.25">
      <c r="A505" s="358" t="s">
        <v>1008</v>
      </c>
      <c r="B505" s="292">
        <v>2180</v>
      </c>
      <c r="C505" s="292" t="str">
        <f>VLOOKUP(B505,Orgenheter!$A$1:$B$213,2,0)</f>
        <v xml:space="preserve">Pedagogik                     </v>
      </c>
    </row>
    <row r="506" spans="1:3" ht="12.95" customHeight="1" x14ac:dyDescent="0.25">
      <c r="A506" s="358" t="s">
        <v>1009</v>
      </c>
      <c r="B506" s="292">
        <v>2180</v>
      </c>
      <c r="C506" s="292" t="str">
        <f>VLOOKUP(B506,Orgenheter!$A$1:$B$213,2,0)</f>
        <v xml:space="preserve">Pedagogik                     </v>
      </c>
    </row>
    <row r="507" spans="1:3" ht="12.95" customHeight="1" x14ac:dyDescent="0.25">
      <c r="A507" s="310" t="s">
        <v>1271</v>
      </c>
      <c r="B507" s="292">
        <v>5740</v>
      </c>
      <c r="C507" s="292" t="str">
        <f>VLOOKUP(B507,Orgenheter!$A$1:$B$213,2,0)</f>
        <v>NMD</v>
      </c>
    </row>
    <row r="508" spans="1:3" ht="12.95" customHeight="1" x14ac:dyDescent="0.25">
      <c r="A508" s="296" t="s">
        <v>1327</v>
      </c>
      <c r="B508" s="294">
        <v>5740</v>
      </c>
      <c r="C508" s="292" t="str">
        <f>VLOOKUP(B508,Orgenheter!$A$1:$B$213,2,0)</f>
        <v>NMD</v>
      </c>
    </row>
    <row r="509" spans="1:3" ht="12.95" customHeight="1" x14ac:dyDescent="0.25">
      <c r="A509" s="296" t="s">
        <v>1328</v>
      </c>
      <c r="B509" s="294">
        <v>5740</v>
      </c>
      <c r="C509" s="292" t="str">
        <f>VLOOKUP(B509,Orgenheter!$A$1:$B$213,2,0)</f>
        <v>NMD</v>
      </c>
    </row>
    <row r="510" spans="1:3" ht="12.95" customHeight="1" x14ac:dyDescent="0.25">
      <c r="A510" s="296" t="s">
        <v>1329</v>
      </c>
      <c r="B510" s="294">
        <v>5740</v>
      </c>
      <c r="C510" s="292" t="str">
        <f>VLOOKUP(B510,Orgenheter!$A$1:$B$213,2,0)</f>
        <v>NMD</v>
      </c>
    </row>
    <row r="511" spans="1:3" ht="12.95" customHeight="1" x14ac:dyDescent="0.25">
      <c r="A511" s="296" t="s">
        <v>1330</v>
      </c>
      <c r="B511" s="294">
        <v>5740</v>
      </c>
      <c r="C511" s="292" t="str">
        <f>VLOOKUP(B511,Orgenheter!$A$1:$B$213,2,0)</f>
        <v>NMD</v>
      </c>
    </row>
    <row r="512" spans="1:3" ht="12.95" customHeight="1" x14ac:dyDescent="0.25">
      <c r="A512" s="296" t="s">
        <v>1331</v>
      </c>
      <c r="B512" s="294">
        <v>5740</v>
      </c>
      <c r="C512" s="292" t="str">
        <f>VLOOKUP(B512,Orgenheter!$A$1:$B$213,2,0)</f>
        <v>NMD</v>
      </c>
    </row>
    <row r="513" spans="1:3" ht="12.95" customHeight="1" x14ac:dyDescent="0.25">
      <c r="A513" s="296" t="s">
        <v>1332</v>
      </c>
      <c r="B513" s="294">
        <v>5740</v>
      </c>
      <c r="C513" s="292" t="str">
        <f>VLOOKUP(B513,Orgenheter!$A$1:$B$213,2,0)</f>
        <v>NMD</v>
      </c>
    </row>
    <row r="514" spans="1:3" ht="12.95" customHeight="1" x14ac:dyDescent="0.25">
      <c r="A514" s="296" t="s">
        <v>1333</v>
      </c>
      <c r="B514" s="294">
        <v>5740</v>
      </c>
      <c r="C514" s="292" t="str">
        <f>VLOOKUP(B514,Orgenheter!$A$1:$B$213,2,0)</f>
        <v>NMD</v>
      </c>
    </row>
    <row r="515" spans="1:3" ht="12.95" customHeight="1" x14ac:dyDescent="0.25">
      <c r="A515" s="296" t="s">
        <v>1334</v>
      </c>
      <c r="B515" s="294">
        <v>5740</v>
      </c>
      <c r="C515" s="292" t="str">
        <f>VLOOKUP(B515,Orgenheter!$A$1:$B$213,2,0)</f>
        <v>NMD</v>
      </c>
    </row>
    <row r="516" spans="1:3" ht="12.95" customHeight="1" x14ac:dyDescent="0.25">
      <c r="A516" s="296" t="s">
        <v>1335</v>
      </c>
      <c r="B516" s="294">
        <v>5740</v>
      </c>
      <c r="C516" s="292" t="str">
        <f>VLOOKUP(B516,Orgenheter!$A$1:$B$213,2,0)</f>
        <v>NMD</v>
      </c>
    </row>
    <row r="517" spans="1:3" ht="12.95" customHeight="1" x14ac:dyDescent="0.25">
      <c r="A517" s="296" t="s">
        <v>1108</v>
      </c>
      <c r="B517" s="294">
        <v>2193</v>
      </c>
      <c r="C517" s="292" t="str">
        <f>VLOOKUP(B517,Orgenheter!$A$1:$B$213,2,0)</f>
        <v xml:space="preserve">TUV </v>
      </c>
    </row>
    <row r="518" spans="1:3" ht="12.95" customHeight="1" x14ac:dyDescent="0.25">
      <c r="A518" s="296" t="s">
        <v>1111</v>
      </c>
      <c r="B518" s="294">
        <v>2180</v>
      </c>
      <c r="C518" s="292" t="str">
        <f>VLOOKUP(B518,Orgenheter!$A$1:$B$213,2,0)</f>
        <v xml:space="preserve">Pedagogik                     </v>
      </c>
    </row>
    <row r="519" spans="1:3" ht="12.95" customHeight="1" x14ac:dyDescent="0.25">
      <c r="A519" s="296" t="s">
        <v>1109</v>
      </c>
      <c r="B519" s="294">
        <v>5740</v>
      </c>
      <c r="C519" s="292" t="str">
        <f>VLOOKUP(B519,Orgenheter!$A$1:$B$213,2,0)</f>
        <v>NMD</v>
      </c>
    </row>
    <row r="520" spans="1:3" ht="12.95" customHeight="1" x14ac:dyDescent="0.25">
      <c r="A520" s="296" t="s">
        <v>1110</v>
      </c>
      <c r="B520" s="294">
        <v>5740</v>
      </c>
      <c r="C520" s="292" t="str">
        <f>VLOOKUP(B520,Orgenheter!$A$1:$B$213,2,0)</f>
        <v>NMD</v>
      </c>
    </row>
    <row r="521" spans="1:3" ht="12.95" customHeight="1" x14ac:dyDescent="0.25">
      <c r="A521" s="296" t="s">
        <v>1124</v>
      </c>
      <c r="B521" s="294">
        <v>5740</v>
      </c>
      <c r="C521" s="292" t="str">
        <f>VLOOKUP(B521,Orgenheter!$A$1:$B$213,2,0)</f>
        <v>NMD</v>
      </c>
    </row>
    <row r="522" spans="1:3" ht="12.95" customHeight="1" x14ac:dyDescent="0.25">
      <c r="A522" s="296" t="s">
        <v>1112</v>
      </c>
      <c r="B522" s="294">
        <v>2193</v>
      </c>
      <c r="C522" s="292" t="str">
        <f>VLOOKUP(B522,Orgenheter!$A$1:$B$213,2,0)</f>
        <v xml:space="preserve">TUV </v>
      </c>
    </row>
    <row r="523" spans="1:3" ht="12.95" customHeight="1" x14ac:dyDescent="0.25">
      <c r="A523" s="296" t="s">
        <v>1411</v>
      </c>
      <c r="B523" s="354">
        <v>2193</v>
      </c>
      <c r="C523" s="292" t="str">
        <f>VLOOKUP(B523,Orgenheter!$A$1:$B$213,2,0)</f>
        <v xml:space="preserve">TUV </v>
      </c>
    </row>
    <row r="524" spans="1:3" ht="12.95" customHeight="1" x14ac:dyDescent="0.25">
      <c r="A524" s="296" t="s">
        <v>1412</v>
      </c>
      <c r="B524" s="354">
        <v>2193</v>
      </c>
      <c r="C524" s="292" t="str">
        <f>VLOOKUP(B524,Orgenheter!$A$1:$B$213,2,0)</f>
        <v xml:space="preserve">TUV </v>
      </c>
    </row>
    <row r="525" spans="1:3" ht="12.95" customHeight="1" x14ac:dyDescent="0.25">
      <c r="A525" s="296" t="s">
        <v>1413</v>
      </c>
      <c r="B525" s="354">
        <v>2193</v>
      </c>
      <c r="C525" s="292" t="str">
        <f>VLOOKUP(B525,Orgenheter!$A$1:$B$213,2,0)</f>
        <v xml:space="preserve">TUV </v>
      </c>
    </row>
    <row r="526" spans="1:3" ht="12.95" customHeight="1" x14ac:dyDescent="0.25">
      <c r="A526" s="296" t="s">
        <v>1414</v>
      </c>
      <c r="B526" s="354">
        <v>2180</v>
      </c>
      <c r="C526" s="292" t="str">
        <f>VLOOKUP(B526,Orgenheter!$A$1:$B$213,2,0)</f>
        <v xml:space="preserve">Pedagogik                     </v>
      </c>
    </row>
    <row r="527" spans="1:3" ht="12.95" customHeight="1" x14ac:dyDescent="0.25">
      <c r="A527" s="296" t="s">
        <v>1415</v>
      </c>
      <c r="B527" s="354">
        <v>2180</v>
      </c>
      <c r="C527" s="292" t="str">
        <f>VLOOKUP(B527,Orgenheter!$A$1:$B$213,2,0)</f>
        <v xml:space="preserve">Pedagogik                     </v>
      </c>
    </row>
    <row r="528" spans="1:3" ht="12.95" customHeight="1" x14ac:dyDescent="0.25">
      <c r="A528" s="296" t="s">
        <v>1421</v>
      </c>
      <c r="B528" s="354">
        <v>2180</v>
      </c>
      <c r="C528" s="292" t="str">
        <f>VLOOKUP(B528,Orgenheter!$A$1:$B$213,2,0)</f>
        <v xml:space="preserve">Pedagogik                     </v>
      </c>
    </row>
    <row r="529" spans="1:3" ht="12.95" customHeight="1" x14ac:dyDescent="0.25">
      <c r="A529" s="353" t="s">
        <v>1131</v>
      </c>
      <c r="B529" s="298">
        <v>5740</v>
      </c>
      <c r="C529" s="292" t="str">
        <f>VLOOKUP(B529,Orgenheter!$A$1:$B$213,2,0)</f>
        <v>NMD</v>
      </c>
    </row>
    <row r="530" spans="1:3" ht="15" customHeight="1" x14ac:dyDescent="0.25">
      <c r="A530" s="359" t="s">
        <v>1150</v>
      </c>
      <c r="B530" s="292">
        <v>2193</v>
      </c>
      <c r="C530" s="292" t="str">
        <f>VLOOKUP(B530,Orgenheter!$A$1:$B$213,2,0)</f>
        <v xml:space="preserve">TUV </v>
      </c>
    </row>
    <row r="531" spans="1:3" ht="15" customHeight="1" x14ac:dyDescent="0.25">
      <c r="A531" s="359" t="s">
        <v>1151</v>
      </c>
      <c r="B531" s="292">
        <v>2193</v>
      </c>
      <c r="C531" s="292" t="str">
        <f>VLOOKUP(B531,Orgenheter!$A$1:$B$213,2,0)</f>
        <v xml:space="preserve">TUV </v>
      </c>
    </row>
    <row r="532" spans="1:3" ht="15" customHeight="1" x14ac:dyDescent="0.25">
      <c r="A532" s="349" t="s">
        <v>1287</v>
      </c>
      <c r="B532" s="292">
        <v>2180</v>
      </c>
      <c r="C532" s="292" t="str">
        <f>VLOOKUP(B532,Orgenheter!$A$1:$B$213,2,0)</f>
        <v xml:space="preserve">Pedagogik                     </v>
      </c>
    </row>
    <row r="533" spans="1:3" ht="15" customHeight="1" x14ac:dyDescent="0.25">
      <c r="A533" s="349" t="s">
        <v>1288</v>
      </c>
      <c r="B533" s="292">
        <v>2180</v>
      </c>
      <c r="C533" s="292" t="str">
        <f>VLOOKUP(B533,Orgenheter!$A$1:$B$213,2,0)</f>
        <v xml:space="preserve">Pedagogik                     </v>
      </c>
    </row>
    <row r="534" spans="1:3" ht="15" customHeight="1" x14ac:dyDescent="0.25">
      <c r="A534" s="349" t="s">
        <v>1285</v>
      </c>
      <c r="B534" s="292">
        <v>2180</v>
      </c>
      <c r="C534" s="292" t="str">
        <f>VLOOKUP(B534,Orgenheter!$A$1:$B$213,2,0)</f>
        <v xml:space="preserve">Pedagogik                     </v>
      </c>
    </row>
    <row r="535" spans="1:3" ht="15" customHeight="1" x14ac:dyDescent="0.25">
      <c r="A535" s="349" t="s">
        <v>1286</v>
      </c>
      <c r="B535" s="292">
        <v>5740</v>
      </c>
      <c r="C535" s="292" t="str">
        <f>VLOOKUP(B535,Orgenheter!$A$1:$B$213,2,0)</f>
        <v>NMD</v>
      </c>
    </row>
    <row r="536" spans="1:3" ht="15" customHeight="1" x14ac:dyDescent="0.25">
      <c r="A536" s="349" t="s">
        <v>1336</v>
      </c>
      <c r="B536" s="292">
        <v>2193</v>
      </c>
      <c r="C536" s="292" t="str">
        <f>VLOOKUP(B536,Orgenheter!$A$1:$B$213,2,0)</f>
        <v xml:space="preserve">TUV </v>
      </c>
    </row>
    <row r="537" spans="1:3" ht="15" customHeight="1" x14ac:dyDescent="0.25">
      <c r="A537" s="349" t="s">
        <v>1338</v>
      </c>
      <c r="B537" s="292">
        <v>2193</v>
      </c>
      <c r="C537" s="292" t="str">
        <f>VLOOKUP(B537,Orgenheter!$A$1:$B$213,2,0)</f>
        <v xml:space="preserve">TUV </v>
      </c>
    </row>
    <row r="538" spans="1:3" ht="15" customHeight="1" x14ac:dyDescent="0.25">
      <c r="A538" s="349" t="s">
        <v>1370</v>
      </c>
      <c r="B538" s="292">
        <v>2180</v>
      </c>
      <c r="C538" s="292" t="str">
        <f>VLOOKUP(B538,Orgenheter!$A$1:$B$213,2,0)</f>
        <v xml:space="preserve">Pedagogik                     </v>
      </c>
    </row>
    <row r="539" spans="1:3" ht="15" customHeight="1" x14ac:dyDescent="0.25">
      <c r="A539" s="349" t="s">
        <v>1372</v>
      </c>
      <c r="B539" s="292">
        <v>2180</v>
      </c>
      <c r="C539" s="292" t="str">
        <f>VLOOKUP(B539,Orgenheter!$A$1:$B$213,2,0)</f>
        <v xml:space="preserve">Pedagogik                     </v>
      </c>
    </row>
    <row r="540" spans="1:3" ht="15" customHeight="1" x14ac:dyDescent="0.25">
      <c r="A540" s="349" t="s">
        <v>1371</v>
      </c>
      <c r="B540" s="292">
        <v>2180</v>
      </c>
      <c r="C540" s="292" t="str">
        <f>VLOOKUP(B540,Orgenheter!$A$1:$B$213,2,0)</f>
        <v xml:space="preserve">Pedagogik                     </v>
      </c>
    </row>
    <row r="541" spans="1:3" ht="15" customHeight="1" x14ac:dyDescent="0.25">
      <c r="A541" s="349" t="s">
        <v>1373</v>
      </c>
      <c r="B541" s="292">
        <v>2180</v>
      </c>
      <c r="C541" s="292" t="str">
        <f>VLOOKUP(B541,Orgenheter!$A$1:$B$213,2,0)</f>
        <v xml:space="preserve">Pedagogik                     </v>
      </c>
    </row>
    <row r="542" spans="1:3" ht="15" customHeight="1" x14ac:dyDescent="0.25">
      <c r="A542" s="349" t="s">
        <v>1539</v>
      </c>
      <c r="B542" s="292">
        <v>5740</v>
      </c>
      <c r="C542" s="292" t="str">
        <f>VLOOKUP(B542,Orgenheter!$A$1:$B$213,2,0)</f>
        <v>NMD</v>
      </c>
    </row>
    <row r="543" spans="1:3" ht="15" customHeight="1" x14ac:dyDescent="0.25">
      <c r="A543" s="349" t="s">
        <v>1540</v>
      </c>
      <c r="B543" s="292">
        <v>5740</v>
      </c>
      <c r="C543" s="292" t="str">
        <f>VLOOKUP(B543,Orgenheter!$A$1:$B$213,2,0)</f>
        <v>NMD</v>
      </c>
    </row>
    <row r="544" spans="1:3" ht="15" customHeight="1" x14ac:dyDescent="0.25">
      <c r="A544" s="349" t="s">
        <v>1541</v>
      </c>
      <c r="B544" s="292">
        <v>5740</v>
      </c>
      <c r="C544" s="292" t="str">
        <f>VLOOKUP(B544,Orgenheter!$A$1:$B$213,2,0)</f>
        <v>NMD</v>
      </c>
    </row>
    <row r="545" spans="1:3" ht="15" customHeight="1" x14ac:dyDescent="0.25">
      <c r="A545" s="349" t="s">
        <v>1439</v>
      </c>
      <c r="B545" s="292">
        <v>2180</v>
      </c>
      <c r="C545" s="292" t="str">
        <f>VLOOKUP(B545,Orgenheter!$A$1:$B$213,2,0)</f>
        <v xml:space="preserve">Pedagogik                     </v>
      </c>
    </row>
    <row r="546" spans="1:3" ht="15" customHeight="1" x14ac:dyDescent="0.25">
      <c r="A546" s="318" t="s">
        <v>1443</v>
      </c>
      <c r="B546" s="292">
        <v>2193</v>
      </c>
      <c r="C546" s="292" t="str">
        <f>VLOOKUP(B546,Orgenheter!$A$1:$B$213,2,0)</f>
        <v xml:space="preserve">TUV </v>
      </c>
    </row>
    <row r="547" spans="1:3" ht="15" customHeight="1" x14ac:dyDescent="0.25">
      <c r="A547" s="318" t="s">
        <v>1444</v>
      </c>
      <c r="B547" s="292">
        <v>2193</v>
      </c>
      <c r="C547" s="292" t="str">
        <f>VLOOKUP(B547,Orgenheter!$A$1:$B$213,2,0)</f>
        <v xml:space="preserve">TUV </v>
      </c>
    </row>
    <row r="548" spans="1:3" x14ac:dyDescent="0.25">
      <c r="A548" s="298" t="s">
        <v>1445</v>
      </c>
      <c r="B548" s="292">
        <v>5740</v>
      </c>
      <c r="C548" s="292" t="str">
        <f>VLOOKUP(B548,Orgenheter!$A$1:$B$213,2,0)</f>
        <v>NMD</v>
      </c>
    </row>
    <row r="549" spans="1:3" x14ac:dyDescent="0.25">
      <c r="A549" s="298" t="s">
        <v>1514</v>
      </c>
      <c r="B549" s="292">
        <v>2180</v>
      </c>
      <c r="C549" s="292" t="str">
        <f>VLOOKUP(B549,Orgenheter!$A$1:$B$213,2,0)</f>
        <v xml:space="preserve">Pedagogik                     </v>
      </c>
    </row>
    <row r="550" spans="1:3" x14ac:dyDescent="0.25">
      <c r="A550" s="298" t="s">
        <v>1485</v>
      </c>
      <c r="B550" s="292">
        <v>5740</v>
      </c>
      <c r="C550" s="292" t="str">
        <f>VLOOKUP(B550,Orgenheter!$A$1:$B$213,2,0)</f>
        <v>NMD</v>
      </c>
    </row>
    <row r="551" spans="1:3" x14ac:dyDescent="0.25">
      <c r="A551" s="298" t="s">
        <v>1515</v>
      </c>
      <c r="B551" s="292">
        <v>2193</v>
      </c>
      <c r="C551" s="292" t="str">
        <f>VLOOKUP(B551,Orgenheter!$A$1:$B$213,2,0)</f>
        <v xml:space="preserve">TUV </v>
      </c>
    </row>
    <row r="552" spans="1:3" x14ac:dyDescent="0.25">
      <c r="A552" s="418" t="s">
        <v>1927</v>
      </c>
      <c r="B552" s="419">
        <v>2193</v>
      </c>
      <c r="C552" s="292" t="str">
        <f>VLOOKUP(B552,Orgenheter!$A$1:$B$213,2,0)</f>
        <v xml:space="preserve">TUV </v>
      </c>
    </row>
    <row r="553" spans="1:3" x14ac:dyDescent="0.25">
      <c r="A553" s="298" t="s">
        <v>1481</v>
      </c>
      <c r="B553" s="292">
        <v>2180</v>
      </c>
      <c r="C553" s="292" t="str">
        <f>VLOOKUP(B553,Orgenheter!$A$1:$B$213,2,0)</f>
        <v xml:space="preserve">Pedagogik                     </v>
      </c>
    </row>
    <row r="554" spans="1:3" x14ac:dyDescent="0.25">
      <c r="A554" s="298" t="s">
        <v>1483</v>
      </c>
      <c r="B554" s="292">
        <v>5740</v>
      </c>
      <c r="C554" s="292" t="str">
        <f>VLOOKUP(B554,Orgenheter!$A$1:$B$213,2,0)</f>
        <v>NMD</v>
      </c>
    </row>
    <row r="555" spans="1:3" x14ac:dyDescent="0.25">
      <c r="A555" s="298" t="s">
        <v>1484</v>
      </c>
      <c r="B555" s="292">
        <v>5740</v>
      </c>
      <c r="C555" s="292" t="str">
        <f>VLOOKUP(B555,Orgenheter!$A$1:$B$213,2,0)</f>
        <v>NMD</v>
      </c>
    </row>
    <row r="556" spans="1:3" ht="15.75" x14ac:dyDescent="0.25">
      <c r="A556" s="296" t="s">
        <v>1474</v>
      </c>
      <c r="B556" s="292">
        <v>2180</v>
      </c>
      <c r="C556" s="292" t="str">
        <f>VLOOKUP(B556,Orgenheter!$A$1:$B$213,2,0)</f>
        <v xml:space="preserve">Pedagogik                     </v>
      </c>
    </row>
    <row r="557" spans="1:3" ht="15.75" x14ac:dyDescent="0.25">
      <c r="A557" s="296" t="s">
        <v>1526</v>
      </c>
      <c r="B557" s="292">
        <v>5740</v>
      </c>
      <c r="C557" s="292" t="str">
        <f>VLOOKUP(B557,Orgenheter!$A$1:$B$213,2,0)</f>
        <v>NMD</v>
      </c>
    </row>
    <row r="558" spans="1:3" ht="15" customHeight="1" x14ac:dyDescent="0.25">
      <c r="A558" s="318" t="s">
        <v>1538</v>
      </c>
      <c r="B558" s="292">
        <v>5740</v>
      </c>
      <c r="C558" s="292" t="str">
        <f>VLOOKUP(B558,Orgenheter!$A$1:$B$213,2,0)</f>
        <v>NMD</v>
      </c>
    </row>
    <row r="559" spans="1:3" ht="15" customHeight="1" x14ac:dyDescent="0.25">
      <c r="A559" s="318" t="s">
        <v>1621</v>
      </c>
      <c r="B559" s="292">
        <v>2193</v>
      </c>
      <c r="C559" s="292" t="str">
        <f>VLOOKUP(B559,Orgenheter!$A$1:$B$213,2,0)</f>
        <v xml:space="preserve">TUV </v>
      </c>
    </row>
    <row r="560" spans="1:3" ht="15" customHeight="1" x14ac:dyDescent="0.25">
      <c r="A560" s="318" t="s">
        <v>1624</v>
      </c>
      <c r="B560" s="292">
        <v>2193</v>
      </c>
      <c r="C560" s="292" t="str">
        <f>VLOOKUP(B560,Orgenheter!$A$1:$B$213,2,0)</f>
        <v xml:space="preserve">TUV </v>
      </c>
    </row>
    <row r="561" spans="1:3" ht="15" customHeight="1" x14ac:dyDescent="0.25">
      <c r="A561" s="318" t="s">
        <v>1570</v>
      </c>
      <c r="B561" s="292">
        <v>2193</v>
      </c>
      <c r="C561" s="292" t="str">
        <f>VLOOKUP(B561,Orgenheter!$A$1:$B$213,2,0)</f>
        <v xml:space="preserve">TUV </v>
      </c>
    </row>
    <row r="562" spans="1:3" ht="15" customHeight="1" x14ac:dyDescent="0.25">
      <c r="A562" s="318" t="s">
        <v>1567</v>
      </c>
      <c r="B562" s="292">
        <v>2193</v>
      </c>
      <c r="C562" s="292" t="str">
        <f>VLOOKUP(B562,Orgenheter!$A$1:$B$213,2,0)</f>
        <v xml:space="preserve">TUV </v>
      </c>
    </row>
    <row r="563" spans="1:3" ht="15" customHeight="1" x14ac:dyDescent="0.25">
      <c r="A563" s="318" t="s">
        <v>1559</v>
      </c>
      <c r="B563" s="292">
        <v>2180</v>
      </c>
      <c r="C563" s="292" t="str">
        <f>VLOOKUP(B563,Orgenheter!$A$1:$B$213,2,0)</f>
        <v xml:space="preserve">Pedagogik                     </v>
      </c>
    </row>
    <row r="564" spans="1:3" ht="15" customHeight="1" x14ac:dyDescent="0.25">
      <c r="A564" s="318" t="s">
        <v>1657</v>
      </c>
      <c r="B564" s="292">
        <v>2180</v>
      </c>
      <c r="C564" s="292" t="str">
        <f>VLOOKUP(B564,Orgenheter!$A$1:$B$213,2,0)</f>
        <v xml:space="preserve">Pedagogik                     </v>
      </c>
    </row>
    <row r="565" spans="1:3" ht="15" customHeight="1" x14ac:dyDescent="0.25">
      <c r="A565" s="318" t="s">
        <v>1576</v>
      </c>
      <c r="B565" s="292">
        <v>2180</v>
      </c>
      <c r="C565" s="292" t="str">
        <f>VLOOKUP(B565,Orgenheter!$A$1:$B$213,2,0)</f>
        <v xml:space="preserve">Pedagogik                     </v>
      </c>
    </row>
    <row r="566" spans="1:3" ht="15" customHeight="1" x14ac:dyDescent="0.25">
      <c r="A566" s="318" t="s">
        <v>1577</v>
      </c>
      <c r="B566" s="292">
        <v>2180</v>
      </c>
      <c r="C566" s="292" t="str">
        <f>VLOOKUP(B566,Orgenheter!$A$1:$B$213,2,0)</f>
        <v xml:space="preserve">Pedagogik                     </v>
      </c>
    </row>
    <row r="567" spans="1:3" ht="15" customHeight="1" x14ac:dyDescent="0.25">
      <c r="A567" s="318" t="s">
        <v>1689</v>
      </c>
      <c r="B567" s="292">
        <v>2180</v>
      </c>
      <c r="C567" s="292" t="str">
        <f>VLOOKUP(B567,Orgenheter!$A$1:$B$213,2,0)</f>
        <v xml:space="preserve">Pedagogik                     </v>
      </c>
    </row>
    <row r="568" spans="1:3" ht="15" customHeight="1" x14ac:dyDescent="0.25">
      <c r="A568" s="318" t="s">
        <v>1626</v>
      </c>
      <c r="B568" s="292">
        <v>2180</v>
      </c>
      <c r="C568" s="292" t="str">
        <f>VLOOKUP(B568,Orgenheter!$A$1:$B$213,2,0)</f>
        <v xml:space="preserve">Pedagogik                     </v>
      </c>
    </row>
    <row r="569" spans="1:3" ht="15" customHeight="1" x14ac:dyDescent="0.25">
      <c r="A569" s="318" t="s">
        <v>1572</v>
      </c>
      <c r="B569" s="292">
        <v>2193</v>
      </c>
      <c r="C569" s="292" t="str">
        <f>VLOOKUP(B569,Orgenheter!$A$1:$B$213,2,0)</f>
        <v xml:space="preserve">TUV </v>
      </c>
    </row>
    <row r="570" spans="1:3" ht="16.5" customHeight="1" x14ac:dyDescent="0.25">
      <c r="A570" s="318" t="s">
        <v>1575</v>
      </c>
      <c r="B570" s="292">
        <v>2193</v>
      </c>
      <c r="C570" s="292" t="str">
        <f>VLOOKUP(B570,Orgenheter!$A$1:$B$213,2,0)</f>
        <v xml:space="preserve">TUV </v>
      </c>
    </row>
    <row r="571" spans="1:3" ht="15" customHeight="1" x14ac:dyDescent="0.25">
      <c r="A571" s="318" t="s">
        <v>1589</v>
      </c>
      <c r="B571" s="292">
        <v>5740</v>
      </c>
      <c r="C571" s="292" t="str">
        <f>VLOOKUP(B571,Orgenheter!$A$1:$B$213,2,0)</f>
        <v>NMD</v>
      </c>
    </row>
    <row r="572" spans="1:3" ht="15" customHeight="1" x14ac:dyDescent="0.25">
      <c r="A572" s="318" t="s">
        <v>1588</v>
      </c>
      <c r="B572" s="292">
        <v>5740</v>
      </c>
      <c r="C572" s="292" t="str">
        <f>VLOOKUP(B572,Orgenheter!$A$1:$B$213,2,0)</f>
        <v>NMD</v>
      </c>
    </row>
    <row r="573" spans="1:3" ht="15" customHeight="1" x14ac:dyDescent="0.25">
      <c r="A573" s="318" t="s">
        <v>1578</v>
      </c>
      <c r="B573" s="292">
        <v>5740</v>
      </c>
      <c r="C573" s="292" t="str">
        <f>VLOOKUP(B573,Orgenheter!$A$1:$B$213,2,0)</f>
        <v>NMD</v>
      </c>
    </row>
    <row r="574" spans="1:3" ht="15" customHeight="1" x14ac:dyDescent="0.25">
      <c r="A574" s="318" t="s">
        <v>1569</v>
      </c>
      <c r="B574" s="292">
        <v>5740</v>
      </c>
      <c r="C574" s="292" t="str">
        <f>VLOOKUP(B574,Orgenheter!$A$1:$B$213,2,0)</f>
        <v>NMD</v>
      </c>
    </row>
    <row r="575" spans="1:3" ht="15" customHeight="1" x14ac:dyDescent="0.25">
      <c r="A575" s="318" t="s">
        <v>1706</v>
      </c>
      <c r="B575" s="292">
        <v>5740</v>
      </c>
      <c r="C575" s="292" t="str">
        <f>VLOOKUP(B575,Orgenheter!$A$1:$B$213,2,0)</f>
        <v>NMD</v>
      </c>
    </row>
    <row r="576" spans="1:3" ht="12.95" customHeight="1" x14ac:dyDescent="0.25">
      <c r="A576" s="292" t="s">
        <v>1710</v>
      </c>
      <c r="B576" s="292">
        <v>2193</v>
      </c>
      <c r="C576" s="292" t="str">
        <f>VLOOKUP(B576,Orgenheter!$A$1:$B$213,2,0)</f>
        <v xml:space="preserve">TUV </v>
      </c>
    </row>
    <row r="577" spans="1:3" ht="12.95" customHeight="1" x14ac:dyDescent="0.25">
      <c r="A577" s="295" t="s">
        <v>1739</v>
      </c>
      <c r="B577" s="292">
        <v>5740</v>
      </c>
      <c r="C577" s="292" t="str">
        <f>VLOOKUP(B577,Orgenheter!$A$1:$B$213,2,0)</f>
        <v>NMD</v>
      </c>
    </row>
    <row r="578" spans="1:3" ht="15" customHeight="1" x14ac:dyDescent="0.25">
      <c r="A578" s="266" t="s">
        <v>1712</v>
      </c>
      <c r="B578" s="292">
        <v>2193</v>
      </c>
      <c r="C578" s="292" t="str">
        <f>VLOOKUP(B578,Orgenheter!$A$1:$B$213,2,0)</f>
        <v xml:space="preserve">TUV </v>
      </c>
    </row>
    <row r="579" spans="1:3" x14ac:dyDescent="0.25">
      <c r="A579" s="266" t="s">
        <v>1713</v>
      </c>
      <c r="B579" s="292">
        <v>2193</v>
      </c>
      <c r="C579" s="292" t="str">
        <f>VLOOKUP(B579,Orgenheter!$A$1:$B$213,2,0)</f>
        <v xml:space="preserve">TUV </v>
      </c>
    </row>
    <row r="580" spans="1:3" ht="12.95" customHeight="1" x14ac:dyDescent="0.25">
      <c r="A580" s="292" t="s">
        <v>1716</v>
      </c>
      <c r="B580" s="292">
        <v>2193</v>
      </c>
      <c r="C580" s="292" t="str">
        <f>VLOOKUP(B580,Orgenheter!$A$1:$B$213,2,0)</f>
        <v xml:space="preserve">TUV </v>
      </c>
    </row>
    <row r="581" spans="1:3" ht="12.95" customHeight="1" x14ac:dyDescent="0.25">
      <c r="A581" s="295" t="s">
        <v>1740</v>
      </c>
      <c r="B581" s="292">
        <v>2193</v>
      </c>
      <c r="C581" s="292" t="str">
        <f>VLOOKUP(B581,Orgenheter!$A$1:$B$213,2,0)</f>
        <v xml:space="preserve">TUV </v>
      </c>
    </row>
    <row r="582" spans="1:3" ht="12.95" customHeight="1" x14ac:dyDescent="0.25">
      <c r="A582" s="18" t="s">
        <v>2211</v>
      </c>
      <c r="B582" s="292">
        <v>2193</v>
      </c>
      <c r="C582" s="292" t="str">
        <f>VLOOKUP(B582,Orgenheter!$A$1:$B$213,2,0)</f>
        <v xml:space="preserve">TUV </v>
      </c>
    </row>
    <row r="583" spans="1:3" ht="12.95" customHeight="1" x14ac:dyDescent="0.25">
      <c r="A583" s="18" t="s">
        <v>2212</v>
      </c>
      <c r="B583" s="292">
        <v>2193</v>
      </c>
      <c r="C583" s="292" t="str">
        <f>VLOOKUP(B583,Orgenheter!$A$1:$B$213,2,0)</f>
        <v xml:space="preserve">TUV </v>
      </c>
    </row>
    <row r="584" spans="1:3" ht="12.95" customHeight="1" x14ac:dyDescent="0.25">
      <c r="A584" s="292" t="s">
        <v>1730</v>
      </c>
      <c r="B584" s="292">
        <v>2180</v>
      </c>
      <c r="C584" s="292" t="str">
        <f>VLOOKUP(B584,Orgenheter!$A$1:$B$213,2,0)</f>
        <v xml:space="preserve">Pedagogik                     </v>
      </c>
    </row>
    <row r="585" spans="1:3" ht="15" customHeight="1" x14ac:dyDescent="0.25">
      <c r="A585" s="318" t="s">
        <v>1732</v>
      </c>
      <c r="B585" s="292">
        <v>2193</v>
      </c>
      <c r="C585" s="292" t="str">
        <f>VLOOKUP(B585,Orgenheter!$A$1:$B$213,2,0)</f>
        <v xml:space="preserve">TUV </v>
      </c>
    </row>
    <row r="586" spans="1:3" ht="15" customHeight="1" x14ac:dyDescent="0.25">
      <c r="A586" s="318" t="s">
        <v>1755</v>
      </c>
      <c r="B586" s="292">
        <v>2193</v>
      </c>
      <c r="C586" s="292" t="str">
        <f>VLOOKUP(B586,Orgenheter!$A$1:$B$213,2,0)</f>
        <v xml:space="preserve">TUV </v>
      </c>
    </row>
    <row r="587" spans="1:3" ht="15" customHeight="1" x14ac:dyDescent="0.25">
      <c r="A587" s="318" t="s">
        <v>1734</v>
      </c>
      <c r="B587" s="292">
        <v>2193</v>
      </c>
      <c r="C587" s="292" t="str">
        <f>VLOOKUP(B587,Orgenheter!$A$1:$B$213,2,0)</f>
        <v xml:space="preserve">TUV </v>
      </c>
    </row>
    <row r="588" spans="1:3" ht="15.75" x14ac:dyDescent="0.25">
      <c r="A588" s="296" t="s">
        <v>1725</v>
      </c>
      <c r="B588" s="354">
        <v>2193</v>
      </c>
      <c r="C588" s="292" t="str">
        <f>VLOOKUP(B588,Orgenheter!$A$1:$B$213,2,0)</f>
        <v xml:space="preserve">TUV </v>
      </c>
    </row>
    <row r="589" spans="1:3" ht="12.95" customHeight="1" x14ac:dyDescent="0.25">
      <c r="A589" s="296" t="s">
        <v>1727</v>
      </c>
      <c r="B589" s="354">
        <v>2193</v>
      </c>
      <c r="C589" s="292" t="str">
        <f>VLOOKUP(B589,Orgenheter!$A$1:$B$213,2,0)</f>
        <v xml:space="preserve">TUV </v>
      </c>
    </row>
    <row r="590" spans="1:3" ht="12.95" customHeight="1" x14ac:dyDescent="0.25">
      <c r="A590" s="296" t="s">
        <v>1786</v>
      </c>
      <c r="B590" s="354">
        <v>2193</v>
      </c>
      <c r="C590" s="292" t="str">
        <f>VLOOKUP(B590,Orgenheter!$A$1:$B$213,2,0)</f>
        <v xml:space="preserve">TUV </v>
      </c>
    </row>
    <row r="591" spans="1:3" ht="12.95" customHeight="1" x14ac:dyDescent="0.25">
      <c r="A591" s="296" t="s">
        <v>1765</v>
      </c>
      <c r="B591" s="354">
        <v>5740</v>
      </c>
      <c r="C591" s="292" t="str">
        <f>VLOOKUP(B591,Orgenheter!$A$1:$B$213,2,0)</f>
        <v>NMD</v>
      </c>
    </row>
    <row r="592" spans="1:3" ht="12.95" customHeight="1" x14ac:dyDescent="0.25">
      <c r="A592" s="296" t="s">
        <v>1753</v>
      </c>
      <c r="B592" s="354">
        <v>5740</v>
      </c>
      <c r="C592" s="292" t="str">
        <f>VLOOKUP(B592,Orgenheter!$A$1:$B$213,2,0)</f>
        <v>NMD</v>
      </c>
    </row>
    <row r="593" spans="1:3" ht="12.95" customHeight="1" x14ac:dyDescent="0.25">
      <c r="A593" s="296" t="s">
        <v>1752</v>
      </c>
      <c r="B593" s="354">
        <v>5740</v>
      </c>
      <c r="C593" s="292" t="str">
        <f>VLOOKUP(B593,Orgenheter!$A$1:$B$213,2,0)</f>
        <v>NMD</v>
      </c>
    </row>
    <row r="594" spans="1:3" ht="12.95" customHeight="1" x14ac:dyDescent="0.25">
      <c r="A594" s="296" t="s">
        <v>1783</v>
      </c>
      <c r="B594" s="354">
        <v>2193</v>
      </c>
      <c r="C594" s="292" t="str">
        <f>VLOOKUP(B594,Orgenheter!$A$1:$B$213,2,0)</f>
        <v xml:space="preserve">TUV </v>
      </c>
    </row>
    <row r="595" spans="1:3" ht="15" customHeight="1" x14ac:dyDescent="0.25">
      <c r="A595" s="62" t="s">
        <v>1865</v>
      </c>
      <c r="B595" s="292">
        <v>2193</v>
      </c>
      <c r="C595" s="292" t="str">
        <f>VLOOKUP(B595,Orgenheter!$A$1:$B$213,2,0)</f>
        <v xml:space="preserve">TUV </v>
      </c>
    </row>
    <row r="596" spans="1:3" ht="15" customHeight="1" x14ac:dyDescent="0.25">
      <c r="A596" s="411" t="s">
        <v>1866</v>
      </c>
      <c r="B596" s="406">
        <v>2193</v>
      </c>
      <c r="C596" s="292" t="str">
        <f>VLOOKUP(B596,Orgenheter!$A$1:$B$213,2,0)</f>
        <v xml:space="preserve">TUV </v>
      </c>
    </row>
    <row r="597" spans="1:3" ht="15" customHeight="1" x14ac:dyDescent="0.25">
      <c r="A597" s="411" t="s">
        <v>1867</v>
      </c>
      <c r="B597" s="406">
        <v>2193</v>
      </c>
      <c r="C597" s="292" t="str">
        <f>VLOOKUP(B597,Orgenheter!$A$1:$B$213,2,0)</f>
        <v xml:space="preserve">TUV </v>
      </c>
    </row>
    <row r="598" spans="1:3" ht="12.95" customHeight="1" x14ac:dyDescent="0.25">
      <c r="A598" s="298" t="s">
        <v>1907</v>
      </c>
      <c r="B598" s="292">
        <v>2193</v>
      </c>
      <c r="C598" s="292" t="str">
        <f>VLOOKUP(B598,Orgenheter!$A$1:$B$213,2,0)</f>
        <v xml:space="preserve">TUV </v>
      </c>
    </row>
    <row r="599" spans="1:3" ht="15" customHeight="1" x14ac:dyDescent="0.25">
      <c r="A599" s="349" t="s">
        <v>1889</v>
      </c>
      <c r="B599" s="292">
        <v>5740</v>
      </c>
      <c r="C599" s="292" t="str">
        <f>VLOOKUP(B599,Orgenheter!$A$1:$B$213,2,0)</f>
        <v>NMD</v>
      </c>
    </row>
    <row r="600" spans="1:3" ht="12.95" customHeight="1" x14ac:dyDescent="0.25">
      <c r="A600" s="296" t="s">
        <v>1887</v>
      </c>
      <c r="B600" s="294">
        <v>5740</v>
      </c>
      <c r="C600" s="292" t="str">
        <f>VLOOKUP(B600,Orgenheter!$A$1:$B$213,2,0)</f>
        <v>NMD</v>
      </c>
    </row>
    <row r="601" spans="1:3" ht="12.95" customHeight="1" x14ac:dyDescent="0.25">
      <c r="A601" s="296" t="s">
        <v>1888</v>
      </c>
      <c r="B601" s="294">
        <v>5740</v>
      </c>
      <c r="C601" s="292" t="str">
        <f>VLOOKUP(B601,Orgenheter!$A$1:$B$213,2,0)</f>
        <v>NMD</v>
      </c>
    </row>
    <row r="602" spans="1:3" ht="12.95" customHeight="1" x14ac:dyDescent="0.25">
      <c r="A602" s="407" t="s">
        <v>1912</v>
      </c>
      <c r="B602" s="408">
        <v>5740</v>
      </c>
      <c r="C602" s="292" t="str">
        <f>VLOOKUP(B602,Orgenheter!$A$1:$B$213,2,0)</f>
        <v>NMD</v>
      </c>
    </row>
    <row r="603" spans="1:3" ht="15" customHeight="1" x14ac:dyDescent="0.25">
      <c r="A603" s="349" t="s">
        <v>1891</v>
      </c>
      <c r="B603" s="292">
        <v>5740</v>
      </c>
      <c r="C603" s="292" t="str">
        <f>VLOOKUP(B603,Orgenheter!$A$1:$B$213,2,0)</f>
        <v>NMD</v>
      </c>
    </row>
    <row r="604" spans="1:3" ht="12.95" customHeight="1" x14ac:dyDescent="0.25">
      <c r="A604" s="347" t="s">
        <v>2123</v>
      </c>
      <c r="B604" s="292">
        <v>5740</v>
      </c>
      <c r="C604" s="292" t="str">
        <f>VLOOKUP(B604,Orgenheter!$A$1:$B$213,2,0)</f>
        <v>NMD</v>
      </c>
    </row>
    <row r="605" spans="1:3" ht="15" customHeight="1" x14ac:dyDescent="0.25">
      <c r="A605" s="429" t="s">
        <v>2013</v>
      </c>
      <c r="B605" s="419">
        <v>2180</v>
      </c>
      <c r="C605" s="292" t="str">
        <f>VLOOKUP(B605,Orgenheter!$A$1:$B$213,2,0)</f>
        <v xml:space="preserve">Pedagogik                     </v>
      </c>
    </row>
    <row r="606" spans="1:3" ht="15.75" x14ac:dyDescent="0.25">
      <c r="A606" s="296" t="s">
        <v>2014</v>
      </c>
      <c r="B606" s="294">
        <v>2180</v>
      </c>
      <c r="C606" s="292" t="str">
        <f>VLOOKUP(B606,Orgenheter!$A$1:$B$213,2,0)</f>
        <v xml:space="preserve">Pedagogik                     </v>
      </c>
    </row>
    <row r="607" spans="1:3" ht="12.95" customHeight="1" x14ac:dyDescent="0.25">
      <c r="A607" s="436" t="s">
        <v>2190</v>
      </c>
      <c r="B607" s="436">
        <v>2180</v>
      </c>
      <c r="C607" s="292" t="str">
        <f>VLOOKUP(B607,Orgenheter!$A$1:$B$213,2,0)</f>
        <v xml:space="preserve">Pedagogik                     </v>
      </c>
    </row>
    <row r="608" spans="1:3" ht="12.95" customHeight="1" x14ac:dyDescent="0.25">
      <c r="A608" s="349" t="s">
        <v>2184</v>
      </c>
      <c r="B608" s="436">
        <v>2180</v>
      </c>
      <c r="C608" s="292" t="str">
        <f>VLOOKUP(B608,Orgenheter!$A$1:$B$213,2,0)</f>
        <v xml:space="preserve">Pedagogik                     </v>
      </c>
    </row>
    <row r="609" spans="1:3" ht="12.95" customHeight="1" x14ac:dyDescent="0.25">
      <c r="A609" s="18" t="s">
        <v>2207</v>
      </c>
      <c r="B609" s="292">
        <v>2193</v>
      </c>
      <c r="C609" s="292" t="str">
        <f>VLOOKUP(B609,Orgenheter!$A$1:$B$213,2,0)</f>
        <v xml:space="preserve">TUV </v>
      </c>
    </row>
    <row r="610" spans="1:3" ht="12.95" customHeight="1" x14ac:dyDescent="0.25">
      <c r="A610" s="18" t="s">
        <v>2209</v>
      </c>
      <c r="B610" s="292">
        <v>2193</v>
      </c>
      <c r="C610" s="292" t="str">
        <f>VLOOKUP(B610,Orgenheter!$A$1:$B$213,2,0)</f>
        <v xml:space="preserve">TUV </v>
      </c>
    </row>
    <row r="611" spans="1:3" ht="12.95" customHeight="1" x14ac:dyDescent="0.25">
      <c r="A611" s="419" t="s">
        <v>2148</v>
      </c>
      <c r="B611" s="419">
        <v>5740</v>
      </c>
      <c r="C611" s="292" t="str">
        <f>VLOOKUP(B611,Orgenheter!$A$1:$B$213,2,0)</f>
        <v>NMD</v>
      </c>
    </row>
    <row r="612" spans="1:3" ht="12.95" customHeight="1" x14ac:dyDescent="0.25">
      <c r="A612" s="453" t="s">
        <v>2185</v>
      </c>
      <c r="B612" s="454">
        <v>2193</v>
      </c>
      <c r="C612" s="292" t="str">
        <f>VLOOKUP(B612,Orgenheter!$A$1:$B$213,2,0)</f>
        <v xml:space="preserve">TUV </v>
      </c>
    </row>
    <row r="613" spans="1:3" ht="15.75" x14ac:dyDescent="0.25">
      <c r="A613" s="450" t="s">
        <v>2146</v>
      </c>
      <c r="B613" s="451">
        <v>5740</v>
      </c>
      <c r="C613" s="292" t="str">
        <f>VLOOKUP(B613,Orgenheter!$A$1:$B$213,2,0)</f>
        <v>NMD</v>
      </c>
    </row>
    <row r="614" spans="1:3" ht="15.75" x14ac:dyDescent="0.25">
      <c r="A614" s="450" t="s">
        <v>2149</v>
      </c>
      <c r="B614" s="451">
        <v>5740</v>
      </c>
      <c r="C614" s="292" t="str">
        <f>VLOOKUP(B614,Orgenheter!$A$1:$B$213,2,0)</f>
        <v>NMD</v>
      </c>
    </row>
    <row r="615" spans="1:3" x14ac:dyDescent="0.25">
      <c r="A615" s="349" t="s">
        <v>472</v>
      </c>
      <c r="B615" s="292">
        <v>2180</v>
      </c>
      <c r="C615" s="292" t="str">
        <f>VLOOKUP(B615,Orgenheter!$A$1:$B$213,2,0)</f>
        <v xml:space="preserve">Pedagogik                     </v>
      </c>
    </row>
    <row r="616" spans="1:3" x14ac:dyDescent="0.25">
      <c r="A616" s="349" t="s">
        <v>600</v>
      </c>
      <c r="B616" s="292">
        <v>2180</v>
      </c>
      <c r="C616" s="292" t="str">
        <f>VLOOKUP(B616,Orgenheter!$A$1:$B$213,2,0)</f>
        <v xml:space="preserve">Pedagogik                     </v>
      </c>
    </row>
    <row r="617" spans="1:3" x14ac:dyDescent="0.25">
      <c r="A617" s="349" t="s">
        <v>832</v>
      </c>
      <c r="B617" s="292">
        <v>2180</v>
      </c>
      <c r="C617" s="292" t="str">
        <f>VLOOKUP(B617,Orgenheter!$A$1:$B$213,2,0)</f>
        <v xml:space="preserve">Pedagogik                     </v>
      </c>
    </row>
    <row r="618" spans="1:3" x14ac:dyDescent="0.25">
      <c r="A618" s="349" t="s">
        <v>844</v>
      </c>
      <c r="B618" s="292">
        <v>2180</v>
      </c>
      <c r="C618" s="292" t="str">
        <f>VLOOKUP(B618,Orgenheter!$A$1:$B$213,2,0)</f>
        <v xml:space="preserve">Pedagogik                     </v>
      </c>
    </row>
    <row r="619" spans="1:3" x14ac:dyDescent="0.25">
      <c r="A619" s="349" t="s">
        <v>845</v>
      </c>
      <c r="B619" s="292">
        <v>2180</v>
      </c>
      <c r="C619" s="292" t="str">
        <f>VLOOKUP(B619,Orgenheter!$A$1:$B$213,2,0)</f>
        <v xml:space="preserve">Pedagogik                     </v>
      </c>
    </row>
    <row r="620" spans="1:3" ht="12.95" customHeight="1" x14ac:dyDescent="0.25">
      <c r="A620" s="349" t="s">
        <v>846</v>
      </c>
      <c r="B620" s="292">
        <v>2180</v>
      </c>
      <c r="C620" s="292" t="str">
        <f>VLOOKUP(B620,Orgenheter!$A$1:$B$213,2,0)</f>
        <v xml:space="preserve">Pedagogik                     </v>
      </c>
    </row>
    <row r="621" spans="1:3" ht="12.95" customHeight="1" x14ac:dyDescent="0.25">
      <c r="A621" s="349" t="s">
        <v>847</v>
      </c>
      <c r="B621" s="292">
        <v>2180</v>
      </c>
      <c r="C621" s="292" t="str">
        <f>VLOOKUP(B621,Orgenheter!$A$1:$B$213,2,0)</f>
        <v xml:space="preserve">Pedagogik                     </v>
      </c>
    </row>
    <row r="622" spans="1:3" x14ac:dyDescent="0.25">
      <c r="A622" s="349" t="s">
        <v>848</v>
      </c>
      <c r="B622" s="292">
        <v>2180</v>
      </c>
      <c r="C622" s="292" t="str">
        <f>VLOOKUP(B622,Orgenheter!$A$1:$B$213,2,0)</f>
        <v xml:space="preserve">Pedagogik                     </v>
      </c>
    </row>
    <row r="623" spans="1:3" x14ac:dyDescent="0.25">
      <c r="A623" s="349" t="s">
        <v>849</v>
      </c>
      <c r="B623" s="292">
        <v>2180</v>
      </c>
      <c r="C623" s="292" t="str">
        <f>VLOOKUP(B623,Orgenheter!$A$1:$B$213,2,0)</f>
        <v xml:space="preserve">Pedagogik                     </v>
      </c>
    </row>
    <row r="624" spans="1:3" x14ac:dyDescent="0.25">
      <c r="A624" s="349" t="s">
        <v>885</v>
      </c>
      <c r="B624" s="292">
        <v>2180</v>
      </c>
      <c r="C624" s="292" t="str">
        <f>VLOOKUP(B624,Orgenheter!$A$1:$B$213,2,0)</f>
        <v xml:space="preserve">Pedagogik                     </v>
      </c>
    </row>
    <row r="625" spans="1:3" x14ac:dyDescent="0.25">
      <c r="A625" s="298" t="s">
        <v>394</v>
      </c>
      <c r="B625" s="298">
        <v>2200</v>
      </c>
      <c r="C625" s="292" t="str">
        <f>VLOOKUP(B625,Orgenheter!$A$1:$B$213,2,0)</f>
        <v xml:space="preserve">Inst för psykologi            </v>
      </c>
    </row>
    <row r="626" spans="1:3" x14ac:dyDescent="0.25">
      <c r="A626" s="298" t="s">
        <v>395</v>
      </c>
      <c r="B626" s="298">
        <v>2200</v>
      </c>
      <c r="C626" s="292" t="str">
        <f>VLOOKUP(B626,Orgenheter!$A$1:$B$213,2,0)</f>
        <v xml:space="preserve">Inst för psykologi            </v>
      </c>
    </row>
    <row r="627" spans="1:3" x14ac:dyDescent="0.25">
      <c r="A627" s="292" t="s">
        <v>142</v>
      </c>
      <c r="B627" s="292">
        <v>1630</v>
      </c>
      <c r="C627" s="292" t="str">
        <f>VLOOKUP(B627,Orgenheter!$A$1:$B$213,2,0)</f>
        <v>Inst för ide- o samhällsstudier</v>
      </c>
    </row>
    <row r="628" spans="1:3" x14ac:dyDescent="0.25">
      <c r="A628" s="292" t="s">
        <v>141</v>
      </c>
      <c r="B628" s="292">
        <v>1630</v>
      </c>
      <c r="C628" s="292" t="str">
        <f>VLOOKUP(B628,Orgenheter!$A$1:$B$213,2,0)</f>
        <v>Inst för ide- o samhällsstudier</v>
      </c>
    </row>
    <row r="629" spans="1:3" x14ac:dyDescent="0.25">
      <c r="A629" s="292" t="s">
        <v>96</v>
      </c>
      <c r="B629" s="292">
        <v>1630</v>
      </c>
      <c r="C629" s="292" t="str">
        <f>VLOOKUP(B629,Orgenheter!$A$1:$B$213,2,0)</f>
        <v>Inst för ide- o samhällsstudier</v>
      </c>
    </row>
    <row r="630" spans="1:3" x14ac:dyDescent="0.25">
      <c r="A630" s="292" t="s">
        <v>435</v>
      </c>
      <c r="B630" s="292">
        <v>1630</v>
      </c>
      <c r="C630" s="292" t="str">
        <f>VLOOKUP(B630,Orgenheter!$A$1:$B$213,2,0)</f>
        <v>Inst för ide- o samhällsstudier</v>
      </c>
    </row>
    <row r="631" spans="1:3" ht="15.75" x14ac:dyDescent="0.25">
      <c r="A631" s="296" t="s">
        <v>510</v>
      </c>
      <c r="B631" s="294">
        <v>1630</v>
      </c>
      <c r="C631" s="292" t="str">
        <f>VLOOKUP(B631,Orgenheter!$A$1:$B$213,2,0)</f>
        <v>Inst för ide- o samhällsstudier</v>
      </c>
    </row>
    <row r="632" spans="1:3" ht="15.75" x14ac:dyDescent="0.25">
      <c r="A632" s="296" t="s">
        <v>511</v>
      </c>
      <c r="B632" s="294">
        <v>1630</v>
      </c>
      <c r="C632" s="292" t="str">
        <f>VLOOKUP(B632,Orgenheter!$A$1:$B$213,2,0)</f>
        <v>Inst för ide- o samhällsstudier</v>
      </c>
    </row>
    <row r="633" spans="1:3" ht="15.75" x14ac:dyDescent="0.25">
      <c r="A633" s="296" t="s">
        <v>601</v>
      </c>
      <c r="B633" s="294">
        <v>1630</v>
      </c>
      <c r="C633" s="292" t="str">
        <f>VLOOKUP(B633,Orgenheter!$A$1:$B$213,2,0)</f>
        <v>Inst för ide- o samhällsstudier</v>
      </c>
    </row>
    <row r="634" spans="1:3" ht="15.75" x14ac:dyDescent="0.25">
      <c r="A634" s="296" t="s">
        <v>602</v>
      </c>
      <c r="B634" s="294">
        <v>1630</v>
      </c>
      <c r="C634" s="292" t="str">
        <f>VLOOKUP(B634,Orgenheter!$A$1:$B$213,2,0)</f>
        <v>Inst för ide- o samhällsstudier</v>
      </c>
    </row>
    <row r="635" spans="1:3" ht="15.75" x14ac:dyDescent="0.25">
      <c r="A635" s="296" t="s">
        <v>1049</v>
      </c>
      <c r="B635" s="294">
        <v>1630</v>
      </c>
      <c r="C635" s="292" t="str">
        <f>VLOOKUP(B635,Orgenheter!$A$1:$B$213,2,0)</f>
        <v>Inst för ide- o samhällsstudier</v>
      </c>
    </row>
    <row r="636" spans="1:3" ht="15.75" x14ac:dyDescent="0.25">
      <c r="A636" s="296" t="s">
        <v>1272</v>
      </c>
      <c r="B636" s="294">
        <v>1630</v>
      </c>
      <c r="C636" s="292" t="str">
        <f>VLOOKUP(B636,Orgenheter!$A$1:$B$213,2,0)</f>
        <v>Inst för ide- o samhällsstudier</v>
      </c>
    </row>
    <row r="637" spans="1:3" ht="15.75" x14ac:dyDescent="0.25">
      <c r="A637" s="296" t="s">
        <v>1273</v>
      </c>
      <c r="B637" s="294">
        <v>1630</v>
      </c>
      <c r="C637" s="292" t="str">
        <f>VLOOKUP(B637,Orgenheter!$A$1:$B$213,2,0)</f>
        <v>Inst för ide- o samhällsstudier</v>
      </c>
    </row>
    <row r="638" spans="1:3" x14ac:dyDescent="0.25">
      <c r="A638" s="292" t="s">
        <v>972</v>
      </c>
      <c r="B638" s="292">
        <v>1630</v>
      </c>
      <c r="C638" s="292" t="str">
        <f>VLOOKUP(B638,Orgenheter!$A$1:$B$213,2,0)</f>
        <v>Inst för ide- o samhällsstudier</v>
      </c>
    </row>
    <row r="639" spans="1:3" ht="15.75" x14ac:dyDescent="0.25">
      <c r="A639" s="348" t="s">
        <v>986</v>
      </c>
      <c r="B639" s="292">
        <v>1630</v>
      </c>
      <c r="C639" s="292" t="str">
        <f>VLOOKUP(B639,Orgenheter!$A$1:$B$213,2,0)</f>
        <v>Inst för ide- o samhällsstudier</v>
      </c>
    </row>
    <row r="640" spans="1:3" ht="15.75" x14ac:dyDescent="0.25">
      <c r="A640" s="348" t="s">
        <v>1564</v>
      </c>
      <c r="B640" s="292">
        <v>1630</v>
      </c>
      <c r="C640" s="292" t="str">
        <f>VLOOKUP(B640,Orgenheter!$A$1:$B$213,2,0)</f>
        <v>Inst för ide- o samhällsstudier</v>
      </c>
    </row>
    <row r="641" spans="1:3" ht="15.75" x14ac:dyDescent="0.25">
      <c r="A641" s="348" t="s">
        <v>1448</v>
      </c>
      <c r="B641" s="292">
        <v>1630</v>
      </c>
      <c r="C641" s="292" t="str">
        <f>VLOOKUP(B641,Orgenheter!$A$1:$B$213,2,0)</f>
        <v>Inst för ide- o samhällsstudier</v>
      </c>
    </row>
    <row r="642" spans="1:3" ht="12.95" customHeight="1" x14ac:dyDescent="0.25">
      <c r="A642" s="298" t="s">
        <v>1683</v>
      </c>
      <c r="B642" s="292">
        <v>1630</v>
      </c>
      <c r="C642" s="292" t="str">
        <f>VLOOKUP(B642,Orgenheter!$A$1:$B$213,2,0)</f>
        <v>Inst för ide- o samhällsstudier</v>
      </c>
    </row>
    <row r="643" spans="1:3" ht="12.95" customHeight="1" x14ac:dyDescent="0.25">
      <c r="A643" s="298" t="s">
        <v>1684</v>
      </c>
      <c r="B643" s="292">
        <v>1630</v>
      </c>
      <c r="C643" s="292" t="str">
        <f>VLOOKUP(B643,Orgenheter!$A$1:$B$213,2,0)</f>
        <v>Inst för ide- o samhällsstudier</v>
      </c>
    </row>
    <row r="644" spans="1:3" ht="12.95" customHeight="1" x14ac:dyDescent="0.25">
      <c r="A644" s="298" t="s">
        <v>1685</v>
      </c>
      <c r="B644" s="292">
        <v>1630</v>
      </c>
      <c r="C644" s="292" t="str">
        <f>VLOOKUP(B644,Orgenheter!$A$1:$B$213,2,0)</f>
        <v>Inst för ide- o samhällsstudier</v>
      </c>
    </row>
    <row r="645" spans="1:3" ht="12.95" customHeight="1" x14ac:dyDescent="0.25">
      <c r="A645" s="298" t="s">
        <v>1686</v>
      </c>
      <c r="B645" s="292">
        <v>1630</v>
      </c>
      <c r="C645" s="292" t="str">
        <f>VLOOKUP(B645,Orgenheter!$A$1:$B$213,2,0)</f>
        <v>Inst för ide- o samhällsstudier</v>
      </c>
    </row>
    <row r="646" spans="1:3" ht="12.95" customHeight="1" x14ac:dyDescent="0.25">
      <c r="A646" s="298" t="s">
        <v>1687</v>
      </c>
      <c r="B646" s="292">
        <v>1630</v>
      </c>
      <c r="C646" s="292" t="str">
        <f>VLOOKUP(B646,Orgenheter!$A$1:$B$213,2,0)</f>
        <v>Inst för ide- o samhällsstudier</v>
      </c>
    </row>
    <row r="647" spans="1:3" ht="12.95" customHeight="1" x14ac:dyDescent="0.25">
      <c r="A647" s="298" t="s">
        <v>1802</v>
      </c>
      <c r="B647" s="292">
        <v>1630</v>
      </c>
      <c r="C647" s="292" t="str">
        <f>VLOOKUP(B647,Orgenheter!$A$1:$B$213,2,0)</f>
        <v>Inst för ide- o samhällsstudier</v>
      </c>
    </row>
    <row r="648" spans="1:3" ht="12.95" customHeight="1" x14ac:dyDescent="0.25">
      <c r="A648" s="418" t="s">
        <v>2015</v>
      </c>
      <c r="B648" s="419">
        <v>1630</v>
      </c>
      <c r="C648" s="292" t="str">
        <f>VLOOKUP(B648,Orgenheter!$A$1:$B$213,2,0)</f>
        <v>Inst för ide- o samhällsstudier</v>
      </c>
    </row>
    <row r="649" spans="1:3" ht="12.95" customHeight="1" x14ac:dyDescent="0.25">
      <c r="A649" s="418" t="s">
        <v>1965</v>
      </c>
      <c r="B649" s="419">
        <v>1630</v>
      </c>
      <c r="C649" s="292" t="str">
        <f>VLOOKUP(B649,Orgenheter!$A$1:$B$213,2,0)</f>
        <v>Inst för ide- o samhällsstudier</v>
      </c>
    </row>
    <row r="650" spans="1:3" ht="12.95" customHeight="1" x14ac:dyDescent="0.25">
      <c r="A650" s="455" t="s">
        <v>2116</v>
      </c>
      <c r="B650" s="454">
        <v>1630</v>
      </c>
      <c r="C650" s="292" t="str">
        <f>VLOOKUP(B650,Orgenheter!$A$1:$B$213,2,0)</f>
        <v>Inst för ide- o samhällsstudier</v>
      </c>
    </row>
    <row r="651" spans="1:3" ht="12.95" customHeight="1" x14ac:dyDescent="0.25">
      <c r="A651" s="455" t="s">
        <v>2117</v>
      </c>
      <c r="B651" s="454">
        <v>1630</v>
      </c>
      <c r="C651" s="292" t="str">
        <f>VLOOKUP(B651,Orgenheter!$A$1:$B$213,2,0)</f>
        <v>Inst för ide- o samhällsstudier</v>
      </c>
    </row>
    <row r="652" spans="1:3" ht="12.95" customHeight="1" x14ac:dyDescent="0.25">
      <c r="A652" s="453" t="s">
        <v>2158</v>
      </c>
      <c r="B652" s="454">
        <v>1630</v>
      </c>
      <c r="C652" s="292" t="str">
        <f>VLOOKUP(B652,Orgenheter!$A$1:$B$213,2,0)</f>
        <v>Inst för ide- o samhällsstudier</v>
      </c>
    </row>
    <row r="653" spans="1:3" x14ac:dyDescent="0.25">
      <c r="A653" s="292" t="s">
        <v>886</v>
      </c>
      <c r="B653" s="292">
        <v>1620</v>
      </c>
      <c r="C653" s="292" t="str">
        <f>VLOOKUP(B653,Orgenheter!$A$1:$B$213,2,0)</f>
        <v>Inst för språkstudier</v>
      </c>
    </row>
    <row r="654" spans="1:3" x14ac:dyDescent="0.25">
      <c r="A654" s="292" t="s">
        <v>887</v>
      </c>
      <c r="B654" s="292">
        <v>1620</v>
      </c>
      <c r="C654" s="292" t="str">
        <f>VLOOKUP(B654,Orgenheter!$A$1:$B$213,2,0)</f>
        <v>Inst för språkstudier</v>
      </c>
    </row>
    <row r="655" spans="1:3" x14ac:dyDescent="0.25">
      <c r="A655" s="292" t="s">
        <v>1050</v>
      </c>
      <c r="B655" s="292">
        <v>1620</v>
      </c>
      <c r="C655" s="292" t="str">
        <f>VLOOKUP(B655,Orgenheter!$A$1:$B$213,2,0)</f>
        <v>Inst för språkstudier</v>
      </c>
    </row>
    <row r="656" spans="1:3" x14ac:dyDescent="0.25">
      <c r="A656" s="292" t="s">
        <v>1750</v>
      </c>
      <c r="B656" s="292">
        <v>1620</v>
      </c>
      <c r="C656" s="292" t="str">
        <f>VLOOKUP(B656,Orgenheter!$A$1:$B$213,2,0)</f>
        <v>Inst för språkstudier</v>
      </c>
    </row>
    <row r="657" spans="1:3" x14ac:dyDescent="0.25">
      <c r="A657" s="292" t="s">
        <v>1751</v>
      </c>
      <c r="B657" s="292">
        <v>1620</v>
      </c>
      <c r="C657" s="292" t="str">
        <f>VLOOKUP(B657,Orgenheter!$A$1:$B$213,2,0)</f>
        <v>Inst för språkstudier</v>
      </c>
    </row>
    <row r="658" spans="1:3" x14ac:dyDescent="0.25">
      <c r="A658" s="62" t="s">
        <v>1898</v>
      </c>
      <c r="B658" s="292">
        <v>1620</v>
      </c>
      <c r="C658" s="292" t="str">
        <f>VLOOKUP(B658,Orgenheter!$A$1:$B$213,2,0)</f>
        <v>Inst för språkstudier</v>
      </c>
    </row>
    <row r="659" spans="1:3" x14ac:dyDescent="0.25">
      <c r="A659" s="487" t="s">
        <v>2239</v>
      </c>
      <c r="B659" s="454">
        <v>1620</v>
      </c>
      <c r="C659" s="292" t="str">
        <f>VLOOKUP(B659,Orgenheter!$A$1:$B$213,2,0)</f>
        <v>Inst för språkstudier</v>
      </c>
    </row>
    <row r="660" spans="1:3" ht="15.75" x14ac:dyDescent="0.25">
      <c r="A660" s="348" t="s">
        <v>643</v>
      </c>
      <c r="B660" s="292">
        <v>1620</v>
      </c>
      <c r="C660" s="292" t="str">
        <f>VLOOKUP(B660,Orgenheter!$A$1:$B$213,2,0)</f>
        <v>Inst för språkstudier</v>
      </c>
    </row>
    <row r="661" spans="1:3" ht="15.75" x14ac:dyDescent="0.25">
      <c r="A661" s="348" t="s">
        <v>642</v>
      </c>
      <c r="B661" s="292">
        <v>1620</v>
      </c>
      <c r="C661" s="292" t="str">
        <f>VLOOKUP(B661,Orgenheter!$A$1:$B$213,2,0)</f>
        <v>Inst för språkstudier</v>
      </c>
    </row>
    <row r="662" spans="1:3" ht="15.75" x14ac:dyDescent="0.25">
      <c r="A662" s="348" t="s">
        <v>1274</v>
      </c>
      <c r="B662" s="292">
        <v>1620</v>
      </c>
      <c r="C662" s="292" t="str">
        <f>VLOOKUP(B662,Orgenheter!$A$1:$B$213,2,0)</f>
        <v>Inst för språkstudier</v>
      </c>
    </row>
    <row r="663" spans="1:3" ht="15.75" x14ac:dyDescent="0.25">
      <c r="A663" s="348" t="s">
        <v>1302</v>
      </c>
      <c r="B663" s="292">
        <v>1620</v>
      </c>
      <c r="C663" s="292" t="str">
        <f>VLOOKUP(B663,Orgenheter!$A$1:$B$213,2,0)</f>
        <v>Inst för språkstudier</v>
      </c>
    </row>
    <row r="664" spans="1:3" ht="12.95" customHeight="1" x14ac:dyDescent="0.25">
      <c r="A664" s="292" t="s">
        <v>1381</v>
      </c>
      <c r="B664" s="292">
        <v>1620</v>
      </c>
      <c r="C664" s="292" t="str">
        <f>VLOOKUP(B664,Orgenheter!$A$1:$B$213,2,0)</f>
        <v>Inst för språkstudier</v>
      </c>
    </row>
    <row r="665" spans="1:3" ht="12.95" customHeight="1" x14ac:dyDescent="0.25">
      <c r="A665" s="292" t="s">
        <v>1823</v>
      </c>
      <c r="B665" s="292">
        <v>1620</v>
      </c>
      <c r="C665" s="292" t="str">
        <f>VLOOKUP(B665,Orgenheter!$A$1:$B$213,2,0)</f>
        <v>Inst för språkstudier</v>
      </c>
    </row>
    <row r="666" spans="1:3" ht="12.95" customHeight="1" x14ac:dyDescent="0.25">
      <c r="A666" s="348" t="s">
        <v>1660</v>
      </c>
      <c r="B666" s="292">
        <v>1620</v>
      </c>
      <c r="C666" s="292" t="str">
        <f>VLOOKUP(B666,Orgenheter!$A$1:$B$213,2,0)</f>
        <v>Inst för språkstudier</v>
      </c>
    </row>
    <row r="667" spans="1:3" ht="12.95" customHeight="1" x14ac:dyDescent="0.25">
      <c r="A667" s="445" t="s">
        <v>2062</v>
      </c>
      <c r="B667" s="292">
        <v>1620</v>
      </c>
      <c r="C667" s="292" t="str">
        <f>VLOOKUP(B667,Orgenheter!$A$1:$B$213,2,0)</f>
        <v>Inst för språkstudier</v>
      </c>
    </row>
    <row r="668" spans="1:3" ht="12.95" customHeight="1" x14ac:dyDescent="0.25">
      <c r="A668" s="445" t="s">
        <v>2063</v>
      </c>
      <c r="B668" s="292">
        <v>1620</v>
      </c>
      <c r="C668" s="292" t="str">
        <f>VLOOKUP(B668,Orgenheter!$A$1:$B$213,2,0)</f>
        <v>Inst för språkstudier</v>
      </c>
    </row>
    <row r="669" spans="1:3" ht="12.95" customHeight="1" x14ac:dyDescent="0.25">
      <c r="A669" s="292" t="s">
        <v>2104</v>
      </c>
      <c r="B669" s="292">
        <v>1620</v>
      </c>
      <c r="C669" s="292" t="str">
        <f>VLOOKUP(B669,Orgenheter!$A$1:$B$213,2,0)</f>
        <v>Inst för språkstudier</v>
      </c>
    </row>
    <row r="670" spans="1:3" ht="12.95" customHeight="1" x14ac:dyDescent="0.25">
      <c r="A670" s="419" t="s">
        <v>2151</v>
      </c>
      <c r="B670" s="419">
        <v>1620</v>
      </c>
      <c r="C670" s="292" t="str">
        <f>VLOOKUP(B670,Orgenheter!$A$1:$B$213,2,0)</f>
        <v>Inst för språkstudier</v>
      </c>
    </row>
    <row r="671" spans="1:3" ht="12.95" customHeight="1" x14ac:dyDescent="0.25">
      <c r="A671" s="59" t="s">
        <v>2152</v>
      </c>
      <c r="B671" s="419">
        <v>1620</v>
      </c>
      <c r="C671" s="292" t="str">
        <f>VLOOKUP(B671,Orgenheter!$A$1:$B$213,2,0)</f>
        <v>Inst för språkstudier</v>
      </c>
    </row>
    <row r="672" spans="1:3" x14ac:dyDescent="0.25">
      <c r="A672" s="292" t="s">
        <v>138</v>
      </c>
      <c r="B672" s="292">
        <v>2340</v>
      </c>
      <c r="C672" s="292" t="str">
        <f>VLOOKUP(B672,Orgenheter!$A$1:$B$213,2,0)</f>
        <v xml:space="preserve">Statsvetenskap                </v>
      </c>
    </row>
    <row r="673" spans="1:3" ht="12.95" customHeight="1" x14ac:dyDescent="0.25">
      <c r="A673" s="292" t="s">
        <v>98</v>
      </c>
      <c r="B673" s="292">
        <v>2340</v>
      </c>
      <c r="C673" s="292" t="str">
        <f>VLOOKUP(B673,Orgenheter!$A$1:$B$213,2,0)</f>
        <v xml:space="preserve">Statsvetenskap                </v>
      </c>
    </row>
    <row r="674" spans="1:3" x14ac:dyDescent="0.25">
      <c r="A674" s="292" t="s">
        <v>97</v>
      </c>
      <c r="B674" s="292">
        <v>2340</v>
      </c>
      <c r="C674" s="292" t="str">
        <f>VLOOKUP(B674,Orgenheter!$A$1:$B$213,2,0)</f>
        <v xml:space="preserve">Statsvetenskap                </v>
      </c>
    </row>
    <row r="675" spans="1:3" ht="12.95" customHeight="1" x14ac:dyDescent="0.25">
      <c r="A675" s="296" t="s">
        <v>512</v>
      </c>
      <c r="B675" s="294">
        <v>2340</v>
      </c>
      <c r="C675" s="292" t="str">
        <f>VLOOKUP(B675,Orgenheter!$A$1:$B$213,2,0)</f>
        <v xml:space="preserve">Statsvetenskap                </v>
      </c>
    </row>
    <row r="676" spans="1:3" ht="12.95" customHeight="1" x14ac:dyDescent="0.25">
      <c r="A676" s="296" t="s">
        <v>513</v>
      </c>
      <c r="B676" s="294">
        <v>2340</v>
      </c>
      <c r="C676" s="292" t="str">
        <f>VLOOKUP(B676,Orgenheter!$A$1:$B$213,2,0)</f>
        <v xml:space="preserve">Statsvetenskap                </v>
      </c>
    </row>
    <row r="677" spans="1:3" ht="15.75" x14ac:dyDescent="0.25">
      <c r="A677" s="296" t="s">
        <v>603</v>
      </c>
      <c r="B677" s="294">
        <v>2340</v>
      </c>
      <c r="C677" s="292" t="str">
        <f>VLOOKUP(B677,Orgenheter!$A$1:$B$213,2,0)</f>
        <v xml:space="preserve">Statsvetenskap                </v>
      </c>
    </row>
    <row r="678" spans="1:3" ht="15.75" x14ac:dyDescent="0.25">
      <c r="A678" s="296" t="s">
        <v>1051</v>
      </c>
      <c r="B678" s="294">
        <v>2340</v>
      </c>
      <c r="C678" s="292" t="str">
        <f>VLOOKUP(B678,Orgenheter!$A$1:$B$213,2,0)</f>
        <v xml:space="preserve">Statsvetenskap                </v>
      </c>
    </row>
    <row r="679" spans="1:3" ht="15.75" x14ac:dyDescent="0.25">
      <c r="A679" s="296" t="s">
        <v>1052</v>
      </c>
      <c r="B679" s="294">
        <v>2340</v>
      </c>
      <c r="C679" s="292" t="str">
        <f>VLOOKUP(B679,Orgenheter!$A$1:$B$213,2,0)</f>
        <v xml:space="preserve">Statsvetenskap                </v>
      </c>
    </row>
    <row r="680" spans="1:3" ht="15.75" x14ac:dyDescent="0.25">
      <c r="A680" s="296" t="s">
        <v>1053</v>
      </c>
      <c r="B680" s="294">
        <v>2340</v>
      </c>
      <c r="C680" s="292" t="str">
        <f>VLOOKUP(B680,Orgenheter!$A$1:$B$213,2,0)</f>
        <v xml:space="preserve">Statsvetenskap                </v>
      </c>
    </row>
    <row r="681" spans="1:3" x14ac:dyDescent="0.25">
      <c r="A681" s="292" t="s">
        <v>80</v>
      </c>
      <c r="B681" s="292">
        <v>1650</v>
      </c>
      <c r="C681" s="292" t="str">
        <f>VLOOKUP(B681,Orgenheter!$A$1:$B$213,2,0)</f>
        <v xml:space="preserve">Estetiska ämnen               </v>
      </c>
    </row>
    <row r="682" spans="1:3" x14ac:dyDescent="0.25">
      <c r="A682" s="292" t="s">
        <v>68</v>
      </c>
      <c r="B682" s="292">
        <v>1650</v>
      </c>
      <c r="C682" s="292" t="str">
        <f>VLOOKUP(B682,Orgenheter!$A$1:$B$213,2,0)</f>
        <v xml:space="preserve">Estetiska ämnen               </v>
      </c>
    </row>
    <row r="683" spans="1:3" ht="15.75" x14ac:dyDescent="0.25">
      <c r="A683" s="348" t="s">
        <v>333</v>
      </c>
      <c r="B683" s="292">
        <v>1650</v>
      </c>
      <c r="C683" s="292" t="str">
        <f>VLOOKUP(B683,Orgenheter!$A$1:$B$213,2,0)</f>
        <v xml:space="preserve">Estetiska ämnen               </v>
      </c>
    </row>
    <row r="684" spans="1:3" x14ac:dyDescent="0.25">
      <c r="A684" s="292" t="s">
        <v>152</v>
      </c>
      <c r="B684" s="292">
        <v>1650</v>
      </c>
      <c r="C684" s="292" t="str">
        <f>VLOOKUP(B684,Orgenheter!$A$1:$B$213,2,0)</f>
        <v xml:space="preserve">Estetiska ämnen               </v>
      </c>
    </row>
    <row r="685" spans="1:3" ht="12.95" customHeight="1" x14ac:dyDescent="0.25">
      <c r="A685" s="292" t="s">
        <v>82</v>
      </c>
      <c r="B685" s="292">
        <v>1650</v>
      </c>
      <c r="C685" s="292" t="str">
        <f>VLOOKUP(B685,Orgenheter!$A$1:$B$213,2,0)</f>
        <v xml:space="preserve">Estetiska ämnen               </v>
      </c>
    </row>
    <row r="686" spans="1:3" x14ac:dyDescent="0.25">
      <c r="A686" s="292" t="s">
        <v>479</v>
      </c>
      <c r="B686" s="292">
        <v>1650</v>
      </c>
      <c r="C686" s="292" t="str">
        <f>VLOOKUP(B686,Orgenheter!$A$1:$B$213,2,0)</f>
        <v xml:space="preserve">Estetiska ämnen               </v>
      </c>
    </row>
    <row r="687" spans="1:3" x14ac:dyDescent="0.25">
      <c r="A687" s="309" t="s">
        <v>527</v>
      </c>
      <c r="B687" s="292">
        <v>1650</v>
      </c>
      <c r="C687" s="292" t="str">
        <f>VLOOKUP(B687,Orgenheter!$A$1:$B$213,2,0)</f>
        <v xml:space="preserve">Estetiska ämnen               </v>
      </c>
    </row>
    <row r="688" spans="1:3" ht="12.95" customHeight="1" x14ac:dyDescent="0.25">
      <c r="A688" s="309" t="s">
        <v>649</v>
      </c>
      <c r="B688" s="292">
        <v>1650</v>
      </c>
      <c r="C688" s="292" t="str">
        <f>VLOOKUP(B688,Orgenheter!$A$1:$B$213,2,0)</f>
        <v xml:space="preserve">Estetiska ämnen               </v>
      </c>
    </row>
    <row r="689" spans="1:3" ht="12.95" customHeight="1" x14ac:dyDescent="0.25">
      <c r="A689" s="309" t="s">
        <v>770</v>
      </c>
      <c r="B689" s="292">
        <v>1650</v>
      </c>
      <c r="C689" s="292" t="str">
        <f>VLOOKUP(B689,Orgenheter!$A$1:$B$213,2,0)</f>
        <v xml:space="preserve">Estetiska ämnen               </v>
      </c>
    </row>
    <row r="690" spans="1:3" ht="12.95" customHeight="1" x14ac:dyDescent="0.25">
      <c r="A690" s="309" t="s">
        <v>569</v>
      </c>
      <c r="B690" s="292">
        <v>1650</v>
      </c>
      <c r="C690" s="292" t="str">
        <f>VLOOKUP(B690,Orgenheter!$A$1:$B$213,2,0)</f>
        <v xml:space="preserve">Estetiska ämnen               </v>
      </c>
    </row>
    <row r="691" spans="1:3" ht="12.95" customHeight="1" x14ac:dyDescent="0.25">
      <c r="A691" s="309" t="s">
        <v>648</v>
      </c>
      <c r="B691" s="292">
        <v>1650</v>
      </c>
      <c r="C691" s="292" t="str">
        <f>VLOOKUP(B691,Orgenheter!$A$1:$B$213,2,0)</f>
        <v xml:space="preserve">Estetiska ämnen               </v>
      </c>
    </row>
    <row r="692" spans="1:3" ht="12.95" customHeight="1" x14ac:dyDescent="0.25">
      <c r="A692" s="309" t="s">
        <v>1133</v>
      </c>
      <c r="B692" s="298">
        <v>1650</v>
      </c>
      <c r="C692" s="292" t="str">
        <f>VLOOKUP(B692,Orgenheter!$A$1:$B$213,2,0)</f>
        <v xml:space="preserve">Estetiska ämnen               </v>
      </c>
    </row>
    <row r="693" spans="1:3" ht="12.95" customHeight="1" x14ac:dyDescent="0.25">
      <c r="A693" s="298" t="s">
        <v>1771</v>
      </c>
      <c r="B693" s="292">
        <v>1650</v>
      </c>
      <c r="C693" s="292" t="str">
        <f>VLOOKUP(B693,Orgenheter!$A$1:$B$213,2,0)</f>
        <v xml:space="preserve">Estetiska ämnen               </v>
      </c>
    </row>
    <row r="694" spans="1:3" ht="12.95" customHeight="1" x14ac:dyDescent="0.25">
      <c r="A694" s="309" t="s">
        <v>1638</v>
      </c>
      <c r="B694" s="298">
        <v>1650</v>
      </c>
      <c r="C694" s="292" t="str">
        <f>VLOOKUP(B694,Orgenheter!$A$1:$B$213,2,0)</f>
        <v xml:space="preserve">Estetiska ämnen               </v>
      </c>
    </row>
    <row r="695" spans="1:3" ht="12.95" customHeight="1" x14ac:dyDescent="0.25">
      <c r="A695" s="309" t="s">
        <v>1639</v>
      </c>
      <c r="B695" s="298">
        <v>1650</v>
      </c>
      <c r="C695" s="292" t="str">
        <f>VLOOKUP(B695,Orgenheter!$A$1:$B$213,2,0)</f>
        <v xml:space="preserve">Estetiska ämnen               </v>
      </c>
    </row>
    <row r="696" spans="1:3" ht="12.95" customHeight="1" x14ac:dyDescent="0.25">
      <c r="A696" s="309" t="s">
        <v>1635</v>
      </c>
      <c r="B696" s="298">
        <v>1650</v>
      </c>
      <c r="C696" s="292" t="str">
        <f>VLOOKUP(B696,Orgenheter!$A$1:$B$213,2,0)</f>
        <v xml:space="preserve">Estetiska ämnen               </v>
      </c>
    </row>
    <row r="697" spans="1:3" ht="12.95" customHeight="1" x14ac:dyDescent="0.25">
      <c r="A697" s="31" t="s">
        <v>1868</v>
      </c>
      <c r="B697" s="298">
        <v>1650</v>
      </c>
      <c r="C697" s="292" t="str">
        <f>VLOOKUP(B697,Orgenheter!$A$1:$B$213,2,0)</f>
        <v xml:space="preserve">Estetiska ämnen               </v>
      </c>
    </row>
    <row r="698" spans="1:3" ht="12.95" customHeight="1" x14ac:dyDescent="0.25">
      <c r="A698" s="298" t="s">
        <v>1879</v>
      </c>
      <c r="B698" s="292">
        <v>1650</v>
      </c>
      <c r="C698" s="292" t="str">
        <f>VLOOKUP(B698,Orgenheter!$A$1:$B$213,2,0)</f>
        <v xml:space="preserve">Estetiska ämnen               </v>
      </c>
    </row>
    <row r="699" spans="1:3" ht="12.95" customHeight="1" x14ac:dyDescent="0.25">
      <c r="A699" s="309" t="s">
        <v>1531</v>
      </c>
      <c r="B699" s="298">
        <v>1620</v>
      </c>
      <c r="C699" s="292" t="str">
        <f>VLOOKUP(B699,Orgenheter!$A$1:$B$213,2,0)</f>
        <v>Inst för språkstudier</v>
      </c>
    </row>
    <row r="700" spans="1:3" ht="12.95" customHeight="1" x14ac:dyDescent="0.25">
      <c r="A700" s="309" t="s">
        <v>1532</v>
      </c>
      <c r="B700" s="298">
        <v>1620</v>
      </c>
      <c r="C700" s="292" t="str">
        <f>VLOOKUP(B700,Orgenheter!$A$1:$B$213,2,0)</f>
        <v>Inst för språkstudier</v>
      </c>
    </row>
    <row r="701" spans="1:3" ht="12.95" customHeight="1" x14ac:dyDescent="0.25">
      <c r="A701" s="309" t="s">
        <v>1777</v>
      </c>
      <c r="B701" s="298">
        <v>1620</v>
      </c>
      <c r="C701" s="292" t="str">
        <f>VLOOKUP(B701,Orgenheter!$A$1:$B$213,2,0)</f>
        <v>Inst för språkstudier</v>
      </c>
    </row>
    <row r="702" spans="1:3" ht="12.95" customHeight="1" x14ac:dyDescent="0.25">
      <c r="A702" s="309" t="s">
        <v>1778</v>
      </c>
      <c r="B702" s="298">
        <v>1620</v>
      </c>
      <c r="C702" s="292" t="str">
        <f>VLOOKUP(B702,Orgenheter!$A$1:$B$213,2,0)</f>
        <v>Inst för språkstudier</v>
      </c>
    </row>
    <row r="703" spans="1:3" ht="12.95" customHeight="1" x14ac:dyDescent="0.25">
      <c r="A703" s="309" t="s">
        <v>1779</v>
      </c>
      <c r="B703" s="298">
        <v>1620</v>
      </c>
      <c r="C703" s="292" t="str">
        <f>VLOOKUP(B703,Orgenheter!$A$1:$B$213,2,0)</f>
        <v>Inst för språkstudier</v>
      </c>
    </row>
    <row r="704" spans="1:3" ht="12.95" customHeight="1" x14ac:dyDescent="0.25">
      <c r="A704" s="292" t="s">
        <v>1775</v>
      </c>
      <c r="B704" s="292">
        <v>1620</v>
      </c>
      <c r="C704" s="292" t="str">
        <f>VLOOKUP(B704,Orgenheter!$A$1:$B$213,2,0)</f>
        <v>Inst för språkstudier</v>
      </c>
    </row>
    <row r="705" spans="1:3" ht="12.95" customHeight="1" x14ac:dyDescent="0.25">
      <c r="A705" s="438" t="s">
        <v>2067</v>
      </c>
      <c r="B705" s="436">
        <v>2750</v>
      </c>
      <c r="C705" s="292" t="str">
        <f>VLOOKUP(B705,Orgenheter!$A$1:$B$213,2,0)</f>
        <v xml:space="preserve">Kostvetenskap                 </v>
      </c>
    </row>
    <row r="706" spans="1:3" ht="12.95" customHeight="1" x14ac:dyDescent="0.25">
      <c r="A706" s="436" t="s">
        <v>2068</v>
      </c>
      <c r="B706" s="436">
        <v>1620</v>
      </c>
      <c r="C706" s="292" t="str">
        <f>VLOOKUP(B706,Orgenheter!$A$1:$B$213,2,0)</f>
        <v>Inst för språkstudier</v>
      </c>
    </row>
    <row r="707" spans="1:3" x14ac:dyDescent="0.25">
      <c r="A707" s="309" t="s">
        <v>339</v>
      </c>
      <c r="B707" s="292">
        <v>2193</v>
      </c>
      <c r="C707" s="292" t="str">
        <f>VLOOKUP(B707,Orgenheter!$A$1:$B$213,2,0)</f>
        <v xml:space="preserve">TUV </v>
      </c>
    </row>
    <row r="708" spans="1:3" x14ac:dyDescent="0.25">
      <c r="A708" s="298" t="s">
        <v>372</v>
      </c>
      <c r="B708" s="292">
        <v>2193</v>
      </c>
      <c r="C708" s="292" t="str">
        <f>VLOOKUP(B708,Orgenheter!$A$1:$B$213,2,0)</f>
        <v xml:space="preserve">TUV </v>
      </c>
    </row>
    <row r="709" spans="1:3" ht="12.95" customHeight="1" x14ac:dyDescent="0.25">
      <c r="A709" s="296" t="s">
        <v>514</v>
      </c>
      <c r="B709" s="294">
        <v>2180</v>
      </c>
      <c r="C709" s="292" t="str">
        <f>VLOOKUP(B709,Orgenheter!$A$1:$B$213,2,0)</f>
        <v xml:space="preserve">Pedagogik                     </v>
      </c>
    </row>
    <row r="710" spans="1:3" ht="12.95" customHeight="1" x14ac:dyDescent="0.25">
      <c r="A710" s="296" t="s">
        <v>1284</v>
      </c>
      <c r="B710" s="294">
        <v>2180</v>
      </c>
      <c r="C710" s="292" t="str">
        <f>VLOOKUP(B710,Orgenheter!$A$1:$B$213,2,0)</f>
        <v xml:space="preserve">Pedagogik                     </v>
      </c>
    </row>
    <row r="711" spans="1:3" ht="12.95" customHeight="1" x14ac:dyDescent="0.25">
      <c r="A711" s="292" t="s">
        <v>1944</v>
      </c>
      <c r="B711" s="292">
        <v>2180</v>
      </c>
      <c r="C711" s="292" t="str">
        <f>VLOOKUP(B711,Orgenheter!$A$1:$B$213,2,0)</f>
        <v xml:space="preserve">Pedagogik                     </v>
      </c>
    </row>
    <row r="712" spans="1:3" ht="12.95" customHeight="1" x14ac:dyDescent="0.25">
      <c r="A712" s="292" t="s">
        <v>1947</v>
      </c>
      <c r="B712" s="292">
        <v>2180</v>
      </c>
      <c r="C712" s="292" t="str">
        <f>VLOOKUP(B712,Orgenheter!$A$1:$B$213,2,0)</f>
        <v xml:space="preserve">Pedagogik                     </v>
      </c>
    </row>
    <row r="713" spans="1:3" ht="12.95" customHeight="1" x14ac:dyDescent="0.25">
      <c r="A713" s="419" t="s">
        <v>1946</v>
      </c>
      <c r="B713" s="419">
        <v>2193</v>
      </c>
      <c r="C713" s="292" t="str">
        <f>VLOOKUP(B713,Orgenheter!$A$1:$B$213,2,0)</f>
        <v xml:space="preserve">TUV </v>
      </c>
    </row>
    <row r="714" spans="1:3" ht="12.95" customHeight="1" x14ac:dyDescent="0.25">
      <c r="A714" s="292" t="s">
        <v>2100</v>
      </c>
      <c r="B714" s="292">
        <v>2180</v>
      </c>
      <c r="C714" s="292" t="str">
        <f>VLOOKUP(B714,Orgenheter!$A$1:$B$213,2,0)</f>
        <v xml:space="preserve">Pedagogik                     </v>
      </c>
    </row>
    <row r="715" spans="1:3" ht="12.95" customHeight="1" x14ac:dyDescent="0.25">
      <c r="A715" s="296" t="s">
        <v>2102</v>
      </c>
      <c r="B715" s="294">
        <v>2180</v>
      </c>
      <c r="C715" s="292" t="str">
        <f>VLOOKUP(B715,Orgenheter!$A$1:$B$213,2,0)</f>
        <v xml:space="preserve">Pedagogik                     </v>
      </c>
    </row>
    <row r="716" spans="1:3" ht="12.95" customHeight="1" x14ac:dyDescent="0.25">
      <c r="A716" s="296" t="s">
        <v>2101</v>
      </c>
      <c r="B716" s="294">
        <v>2180</v>
      </c>
      <c r="C716" s="292" t="str">
        <f>VLOOKUP(B716,Orgenheter!$A$1:$B$213,2,0)</f>
        <v xml:space="preserve">Pedagogik                     </v>
      </c>
    </row>
    <row r="717" spans="1:3" ht="12.95" customHeight="1" x14ac:dyDescent="0.25">
      <c r="A717" s="444" t="s">
        <v>2181</v>
      </c>
      <c r="B717" s="436">
        <v>2193</v>
      </c>
      <c r="C717" s="292" t="str">
        <f>VLOOKUP(B717,Orgenheter!$A$1:$B$213,2,0)</f>
        <v xml:space="preserve">TUV </v>
      </c>
    </row>
    <row r="718" spans="1:3" ht="12.95" customHeight="1" x14ac:dyDescent="0.25">
      <c r="A718" s="450" t="s">
        <v>2103</v>
      </c>
      <c r="B718" s="451">
        <v>2193</v>
      </c>
      <c r="C718" s="292" t="str">
        <f>VLOOKUP(B718,Orgenheter!$A$1:$B$213,2,0)</f>
        <v xml:space="preserve">TUV </v>
      </c>
    </row>
    <row r="719" spans="1:3" ht="12.95" customHeight="1" x14ac:dyDescent="0.25">
      <c r="A719" s="31" t="s">
        <v>2135</v>
      </c>
      <c r="B719" s="419">
        <v>2180</v>
      </c>
      <c r="C719" s="292" t="str">
        <f>VLOOKUP(B719,Orgenheter!$A$1:$B$213,2,0)</f>
        <v xml:space="preserve">Pedagogik                     </v>
      </c>
    </row>
    <row r="720" spans="1:3" ht="12.95" customHeight="1" x14ac:dyDescent="0.25">
      <c r="A720" s="31" t="s">
        <v>2139</v>
      </c>
      <c r="B720" s="419">
        <v>2180</v>
      </c>
      <c r="C720" s="292" t="str">
        <f>VLOOKUP(B720,Orgenheter!$A$1:$B$213,2,0)</f>
        <v xml:space="preserve">Pedagogik                     </v>
      </c>
    </row>
    <row r="721" spans="1:3" ht="12.95" customHeight="1" x14ac:dyDescent="0.25">
      <c r="A721" s="31" t="s">
        <v>2137</v>
      </c>
      <c r="B721" s="419">
        <v>2180</v>
      </c>
      <c r="C721" s="292" t="str">
        <f>VLOOKUP(B721,Orgenheter!$A$1:$B$213,2,0)</f>
        <v xml:space="preserve">Pedagogik                     </v>
      </c>
    </row>
    <row r="722" spans="1:3" ht="12.95" customHeight="1" x14ac:dyDescent="0.25">
      <c r="A722" s="292" t="s">
        <v>101</v>
      </c>
      <c r="B722" s="292">
        <v>2340</v>
      </c>
      <c r="C722" s="292" t="str">
        <f>VLOOKUP(B722,Orgenheter!$A$1:$B$213,2,0)</f>
        <v xml:space="preserve">Statsvetenskap                </v>
      </c>
    </row>
    <row r="723" spans="1:3" ht="12.95" customHeight="1" x14ac:dyDescent="0.25">
      <c r="A723" s="298" t="s">
        <v>102</v>
      </c>
      <c r="B723" s="298">
        <v>2340</v>
      </c>
      <c r="C723" s="292" t="str">
        <f>VLOOKUP(B723,Orgenheter!$A$1:$B$213,2,0)</f>
        <v xml:space="preserve">Statsvetenskap                </v>
      </c>
    </row>
    <row r="724" spans="1:3" ht="12.95" customHeight="1" x14ac:dyDescent="0.25">
      <c r="A724" s="298" t="s">
        <v>128</v>
      </c>
      <c r="B724" s="298">
        <v>2340</v>
      </c>
      <c r="C724" s="292" t="str">
        <f>VLOOKUP(B724,Orgenheter!$A$1:$B$213,2,0)</f>
        <v xml:space="preserve">Statsvetenskap                </v>
      </c>
    </row>
    <row r="725" spans="1:3" ht="12.95" customHeight="1" x14ac:dyDescent="0.25">
      <c r="A725" s="298" t="s">
        <v>353</v>
      </c>
      <c r="B725" s="298">
        <v>2340</v>
      </c>
      <c r="C725" s="292" t="str">
        <f>VLOOKUP(B725,Orgenheter!$A$1:$B$213,2,0)</f>
        <v xml:space="preserve">Statsvetenskap                </v>
      </c>
    </row>
    <row r="726" spans="1:3" ht="12.95" customHeight="1" x14ac:dyDescent="0.25">
      <c r="A726" s="298" t="s">
        <v>127</v>
      </c>
      <c r="B726" s="298">
        <v>2340</v>
      </c>
      <c r="C726" s="292" t="str">
        <f>VLOOKUP(B726,Orgenheter!$A$1:$B$213,2,0)</f>
        <v xml:space="preserve">Statsvetenskap                </v>
      </c>
    </row>
    <row r="727" spans="1:3" ht="12.95" customHeight="1" x14ac:dyDescent="0.25">
      <c r="A727" s="292" t="s">
        <v>888</v>
      </c>
      <c r="B727" s="292">
        <v>2340</v>
      </c>
      <c r="C727" s="292" t="str">
        <f>VLOOKUP(B727,Orgenheter!$A$1:$B$213,2,0)</f>
        <v xml:space="preserve">Statsvetenskap                </v>
      </c>
    </row>
    <row r="728" spans="1:3" ht="12.95" customHeight="1" x14ac:dyDescent="0.25">
      <c r="A728" s="292" t="s">
        <v>515</v>
      </c>
      <c r="B728" s="292">
        <v>2340</v>
      </c>
      <c r="C728" s="292" t="str">
        <f>VLOOKUP(B728,Orgenheter!$A$1:$B$213,2,0)</f>
        <v xml:space="preserve">Statsvetenskap                </v>
      </c>
    </row>
    <row r="729" spans="1:3" ht="12.95" customHeight="1" x14ac:dyDescent="0.25">
      <c r="A729" s="292" t="s">
        <v>100</v>
      </c>
      <c r="B729" s="292">
        <v>1640</v>
      </c>
      <c r="C729" s="292" t="str">
        <f>VLOOKUP(B729,Orgenheter!$A$1:$B$213,2,0)</f>
        <v>Inst för kultur- o medievetenskap</v>
      </c>
    </row>
    <row r="730" spans="1:3" ht="12.95" customHeight="1" x14ac:dyDescent="0.25">
      <c r="A730" s="296" t="s">
        <v>516</v>
      </c>
      <c r="B730" s="294">
        <v>1620</v>
      </c>
      <c r="C730" s="292" t="str">
        <f>VLOOKUP(B730,Orgenheter!$A$1:$B$213,2,0)</f>
        <v>Inst för språkstudier</v>
      </c>
    </row>
    <row r="731" spans="1:3" ht="12.95" customHeight="1" x14ac:dyDescent="0.25">
      <c r="A731" s="296" t="s">
        <v>517</v>
      </c>
      <c r="B731" s="294">
        <v>1620</v>
      </c>
      <c r="C731" s="292" t="str">
        <f>VLOOKUP(B731,Orgenheter!$A$1:$B$213,2,0)</f>
        <v>Inst för språkstudier</v>
      </c>
    </row>
    <row r="732" spans="1:3" ht="12.95" customHeight="1" x14ac:dyDescent="0.25">
      <c r="A732" s="296" t="s">
        <v>518</v>
      </c>
      <c r="B732" s="294">
        <v>1620</v>
      </c>
      <c r="C732" s="292" t="str">
        <f>VLOOKUP(B732,Orgenheter!$A$1:$B$213,2,0)</f>
        <v>Inst för språkstudier</v>
      </c>
    </row>
    <row r="733" spans="1:3" ht="12.95" customHeight="1" x14ac:dyDescent="0.25">
      <c r="A733" s="296" t="s">
        <v>604</v>
      </c>
      <c r="B733" s="294">
        <v>1620</v>
      </c>
      <c r="C733" s="292" t="str">
        <f>VLOOKUP(B733,Orgenheter!$A$1:$B$213,2,0)</f>
        <v>Inst för språkstudier</v>
      </c>
    </row>
    <row r="734" spans="1:3" ht="15.75" x14ac:dyDescent="0.25">
      <c r="A734" s="296" t="s">
        <v>519</v>
      </c>
      <c r="B734" s="294">
        <v>1620</v>
      </c>
      <c r="C734" s="292" t="str">
        <f>VLOOKUP(B734,Orgenheter!$A$1:$B$213,2,0)</f>
        <v>Inst för språkstudier</v>
      </c>
    </row>
    <row r="735" spans="1:3" ht="15.75" x14ac:dyDescent="0.25">
      <c r="A735" s="296" t="s">
        <v>520</v>
      </c>
      <c r="B735" s="294">
        <v>1620</v>
      </c>
      <c r="C735" s="292" t="str">
        <f>VLOOKUP(B735,Orgenheter!$A$1:$B$213,2,0)</f>
        <v>Inst för språkstudier</v>
      </c>
    </row>
    <row r="736" spans="1:3" ht="12.95" customHeight="1" x14ac:dyDescent="0.25">
      <c r="A736" s="296" t="s">
        <v>605</v>
      </c>
      <c r="B736" s="294">
        <v>1620</v>
      </c>
      <c r="C736" s="292" t="str">
        <f>VLOOKUP(B736,Orgenheter!$A$1:$B$213,2,0)</f>
        <v>Inst för språkstudier</v>
      </c>
    </row>
    <row r="737" spans="1:3" ht="15.75" x14ac:dyDescent="0.25">
      <c r="A737" s="296" t="s">
        <v>521</v>
      </c>
      <c r="B737" s="294">
        <v>1620</v>
      </c>
      <c r="C737" s="292" t="str">
        <f>VLOOKUP(B737,Orgenheter!$A$1:$B$213,2,0)</f>
        <v>Inst för språkstudier</v>
      </c>
    </row>
    <row r="738" spans="1:3" ht="15.75" x14ac:dyDescent="0.25">
      <c r="A738" s="296" t="s">
        <v>606</v>
      </c>
      <c r="B738" s="294">
        <v>1620</v>
      </c>
      <c r="C738" s="292" t="str">
        <f>VLOOKUP(B738,Orgenheter!$A$1:$B$213,2,0)</f>
        <v>Inst för språkstudier</v>
      </c>
    </row>
    <row r="739" spans="1:3" x14ac:dyDescent="0.25">
      <c r="A739" s="309" t="s">
        <v>889</v>
      </c>
      <c r="B739" s="292">
        <v>1620</v>
      </c>
      <c r="C739" s="292" t="str">
        <f>VLOOKUP(B739,Orgenheter!$A$1:$B$213,2,0)</f>
        <v>Inst för språkstudier</v>
      </c>
    </row>
    <row r="740" spans="1:3" x14ac:dyDescent="0.25">
      <c r="A740" s="309" t="s">
        <v>890</v>
      </c>
      <c r="B740" s="292">
        <v>1620</v>
      </c>
      <c r="C740" s="292" t="str">
        <f>VLOOKUP(B740,Orgenheter!$A$1:$B$213,2,0)</f>
        <v>Inst för språkstudier</v>
      </c>
    </row>
    <row r="741" spans="1:3" x14ac:dyDescent="0.25">
      <c r="A741" s="309" t="s">
        <v>1054</v>
      </c>
      <c r="B741" s="292">
        <v>1620</v>
      </c>
      <c r="C741" s="292" t="str">
        <f>VLOOKUP(B741,Orgenheter!$A$1:$B$213,2,0)</f>
        <v>Inst för språkstudier</v>
      </c>
    </row>
    <row r="742" spans="1:3" ht="15.75" x14ac:dyDescent="0.25">
      <c r="A742" s="296" t="s">
        <v>948</v>
      </c>
      <c r="B742" s="354">
        <v>1620</v>
      </c>
      <c r="C742" s="292" t="str">
        <f>VLOOKUP(B742,Orgenheter!$A$1:$B$213,2,0)</f>
        <v>Inst för språkstudier</v>
      </c>
    </row>
    <row r="743" spans="1:3" ht="15.75" x14ac:dyDescent="0.25">
      <c r="A743" s="296" t="s">
        <v>1094</v>
      </c>
      <c r="B743" s="354">
        <v>1620</v>
      </c>
      <c r="C743" s="292" t="str">
        <f>VLOOKUP(B743,Orgenheter!$A$1:$B$213,2,0)</f>
        <v>Inst för språkstudier</v>
      </c>
    </row>
    <row r="744" spans="1:3" ht="15.75" x14ac:dyDescent="0.25">
      <c r="A744" s="296" t="s">
        <v>1080</v>
      </c>
      <c r="B744" s="354">
        <v>1620</v>
      </c>
      <c r="C744" s="292" t="str">
        <f>VLOOKUP(B744,Orgenheter!$A$1:$B$213,2,0)</f>
        <v>Inst för språkstudier</v>
      </c>
    </row>
    <row r="745" spans="1:3" ht="15.75" x14ac:dyDescent="0.25">
      <c r="A745" s="296" t="s">
        <v>1086</v>
      </c>
      <c r="B745" s="354">
        <v>1620</v>
      </c>
      <c r="C745" s="292" t="str">
        <f>VLOOKUP(B745,Orgenheter!$A$1:$B$213,2,0)</f>
        <v>Inst för språkstudier</v>
      </c>
    </row>
    <row r="746" spans="1:3" ht="15.75" x14ac:dyDescent="0.25">
      <c r="A746" s="296" t="s">
        <v>1824</v>
      </c>
      <c r="B746" s="354">
        <v>1620</v>
      </c>
      <c r="C746" s="292" t="str">
        <f>VLOOKUP(B746,Orgenheter!$A$1:$B$213,2,0)</f>
        <v>Inst för språkstudier</v>
      </c>
    </row>
    <row r="747" spans="1:3" ht="12.95" customHeight="1" x14ac:dyDescent="0.25">
      <c r="A747" s="292" t="s">
        <v>1383</v>
      </c>
      <c r="B747" s="292">
        <v>1620</v>
      </c>
      <c r="C747" s="292" t="str">
        <f>VLOOKUP(B747,Orgenheter!$A$1:$B$213,2,0)</f>
        <v>Inst för språkstudier</v>
      </c>
    </row>
    <row r="748" spans="1:3" ht="12.95" customHeight="1" x14ac:dyDescent="0.25">
      <c r="A748" s="292" t="s">
        <v>1384</v>
      </c>
      <c r="B748" s="292">
        <v>1620</v>
      </c>
      <c r="C748" s="292" t="str">
        <f>VLOOKUP(B748,Orgenheter!$A$1:$B$213,2,0)</f>
        <v>Inst för språkstudier</v>
      </c>
    </row>
    <row r="749" spans="1:3" ht="12.95" customHeight="1" x14ac:dyDescent="0.25">
      <c r="A749" s="292" t="s">
        <v>1386</v>
      </c>
      <c r="B749" s="292">
        <v>1620</v>
      </c>
      <c r="C749" s="292" t="str">
        <f>VLOOKUP(B749,Orgenheter!$A$1:$B$213,2,0)</f>
        <v>Inst för språkstudier</v>
      </c>
    </row>
    <row r="750" spans="1:3" ht="12.95" customHeight="1" x14ac:dyDescent="0.25">
      <c r="A750" s="292" t="s">
        <v>1658</v>
      </c>
      <c r="B750" s="292">
        <v>1620</v>
      </c>
      <c r="C750" s="292" t="str">
        <f>VLOOKUP(B750,Orgenheter!$A$1:$B$213,2,0)</f>
        <v>Inst för språkstudier</v>
      </c>
    </row>
    <row r="751" spans="1:3" ht="12.95" customHeight="1" x14ac:dyDescent="0.25">
      <c r="A751" s="292" t="s">
        <v>1825</v>
      </c>
      <c r="B751" s="292">
        <v>1620</v>
      </c>
      <c r="C751" s="292" t="str">
        <f>VLOOKUP(B751,Orgenheter!$A$1:$B$213,2,0)</f>
        <v>Inst för språkstudier</v>
      </c>
    </row>
    <row r="752" spans="1:3" ht="12.95" customHeight="1" x14ac:dyDescent="0.25">
      <c r="A752" s="292" t="s">
        <v>1659</v>
      </c>
      <c r="B752" s="292">
        <v>1620</v>
      </c>
      <c r="C752" s="292" t="str">
        <f>VLOOKUP(B752,Orgenheter!$A$1:$B$213,2,0)</f>
        <v>Inst för språkstudier</v>
      </c>
    </row>
    <row r="753" spans="1:3" ht="12.95" customHeight="1" x14ac:dyDescent="0.25">
      <c r="A753" s="292" t="s">
        <v>1826</v>
      </c>
      <c r="B753" s="292">
        <v>1620</v>
      </c>
      <c r="C753" s="292" t="str">
        <f>VLOOKUP(B753,Orgenheter!$A$1:$B$213,2,0)</f>
        <v>Inst för språkstudier</v>
      </c>
    </row>
    <row r="754" spans="1:3" x14ac:dyDescent="0.25">
      <c r="A754" s="266" t="s">
        <v>1900</v>
      </c>
      <c r="B754" s="354">
        <v>1620</v>
      </c>
      <c r="C754" s="292" t="str">
        <f>VLOOKUP(B754,Orgenheter!$A$1:$B$213,2,0)</f>
        <v>Inst för språkstudier</v>
      </c>
    </row>
    <row r="755" spans="1:3" x14ac:dyDescent="0.25">
      <c r="A755" s="266" t="s">
        <v>1899</v>
      </c>
      <c r="B755" s="294">
        <v>1620</v>
      </c>
      <c r="C755" s="292" t="str">
        <f>VLOOKUP(B755,Orgenheter!$A$1:$B$213,2,0)</f>
        <v>Inst för språkstudier</v>
      </c>
    </row>
    <row r="756" spans="1:3" ht="15.75" x14ac:dyDescent="0.25">
      <c r="A756" s="296" t="s">
        <v>2053</v>
      </c>
      <c r="B756" s="354">
        <v>1620</v>
      </c>
      <c r="C756" s="292" t="str">
        <f>VLOOKUP(B756,Orgenheter!$A$1:$B$213,2,0)</f>
        <v>Inst för språkstudier</v>
      </c>
    </row>
    <row r="757" spans="1:3" ht="15.75" x14ac:dyDescent="0.25">
      <c r="A757" s="296" t="s">
        <v>2054</v>
      </c>
      <c r="B757" s="354">
        <v>1620</v>
      </c>
      <c r="C757" s="292" t="str">
        <f>VLOOKUP(B757,Orgenheter!$A$1:$B$213,2,0)</f>
        <v>Inst för språkstudier</v>
      </c>
    </row>
    <row r="758" spans="1:3" ht="15.75" x14ac:dyDescent="0.25">
      <c r="A758" s="440" t="s">
        <v>2055</v>
      </c>
      <c r="B758" s="354">
        <v>1620</v>
      </c>
      <c r="C758" s="292" t="str">
        <f>VLOOKUP(B758,Orgenheter!$A$1:$B$213,2,0)</f>
        <v>Inst för språkstudier</v>
      </c>
    </row>
    <row r="759" spans="1:3" ht="15.75" x14ac:dyDescent="0.25">
      <c r="A759" s="440" t="s">
        <v>2056</v>
      </c>
      <c r="B759" s="354">
        <v>1620</v>
      </c>
      <c r="C759" s="292" t="str">
        <f>VLOOKUP(B759,Orgenheter!$A$1:$B$213,2,0)</f>
        <v>Inst för språkstudier</v>
      </c>
    </row>
    <row r="760" spans="1:3" ht="15.75" x14ac:dyDescent="0.25">
      <c r="A760" s="440" t="s">
        <v>2057</v>
      </c>
      <c r="B760" s="354">
        <v>1620</v>
      </c>
      <c r="C760" s="292" t="str">
        <f>VLOOKUP(B760,Orgenheter!$A$1:$B$213,2,0)</f>
        <v>Inst för språkstudier</v>
      </c>
    </row>
    <row r="761" spans="1:3" ht="15.75" x14ac:dyDescent="0.25">
      <c r="A761" s="440" t="s">
        <v>2058</v>
      </c>
      <c r="B761" s="354">
        <v>1620</v>
      </c>
      <c r="C761" s="292" t="str">
        <f>VLOOKUP(B761,Orgenheter!$A$1:$B$213,2,0)</f>
        <v>Inst för språkstudier</v>
      </c>
    </row>
    <row r="762" spans="1:3" ht="15.75" x14ac:dyDescent="0.25">
      <c r="A762" s="440" t="s">
        <v>2059</v>
      </c>
      <c r="B762" s="442">
        <v>1620</v>
      </c>
      <c r="C762" s="292" t="str">
        <f>VLOOKUP(B762,Orgenheter!$A$1:$B$213,2,0)</f>
        <v>Inst för språkstudier</v>
      </c>
    </row>
    <row r="763" spans="1:3" ht="15.75" x14ac:dyDescent="0.25">
      <c r="A763" s="450" t="s">
        <v>2217</v>
      </c>
      <c r="B763" s="442">
        <v>1620</v>
      </c>
      <c r="C763" s="292" t="str">
        <f>VLOOKUP(B763,Orgenheter!$A$1:$B$213,2,0)</f>
        <v>Inst för språkstudier</v>
      </c>
    </row>
    <row r="764" spans="1:3" ht="15.75" x14ac:dyDescent="0.25">
      <c r="A764" s="450" t="s">
        <v>2218</v>
      </c>
      <c r="B764" s="442">
        <v>1620</v>
      </c>
      <c r="C764" s="292" t="str">
        <f>VLOOKUP(B764,Orgenheter!$A$1:$B$213,2,0)</f>
        <v>Inst för språkstudier</v>
      </c>
    </row>
    <row r="765" spans="1:3" ht="12.95" customHeight="1" x14ac:dyDescent="0.25">
      <c r="A765" s="436" t="s">
        <v>2252</v>
      </c>
      <c r="B765" s="436">
        <v>1620</v>
      </c>
      <c r="C765" s="292" t="str">
        <f>VLOOKUP(B765,Orgenheter!$A$1:$B$213,2,0)</f>
        <v>Inst för språkstudier</v>
      </c>
    </row>
    <row r="766" spans="1:3" x14ac:dyDescent="0.25">
      <c r="A766" s="292" t="s">
        <v>148</v>
      </c>
      <c r="B766" s="292">
        <v>2193</v>
      </c>
      <c r="C766" s="292" t="str">
        <f>VLOOKUP(B766,Orgenheter!$A$1:$B$213,2,0)</f>
        <v xml:space="preserve">TUV </v>
      </c>
    </row>
    <row r="767" spans="1:3" ht="12.95" customHeight="1" x14ac:dyDescent="0.25">
      <c r="A767" s="292" t="s">
        <v>150</v>
      </c>
      <c r="B767" s="292">
        <v>2193</v>
      </c>
      <c r="C767" s="292" t="str">
        <f>VLOOKUP(B767,Orgenheter!$A$1:$B$213,2,0)</f>
        <v xml:space="preserve">TUV </v>
      </c>
    </row>
    <row r="768" spans="1:3" ht="12.95" customHeight="1" x14ac:dyDescent="0.25">
      <c r="A768" s="292" t="s">
        <v>354</v>
      </c>
      <c r="B768" s="292">
        <v>2180</v>
      </c>
      <c r="C768" s="292" t="str">
        <f>VLOOKUP(B768,Orgenheter!$A$1:$B$213,2,0)</f>
        <v xml:space="preserve">Pedagogik                     </v>
      </c>
    </row>
    <row r="769" spans="1:3" ht="12.95" customHeight="1" x14ac:dyDescent="0.25">
      <c r="A769" s="292" t="s">
        <v>341</v>
      </c>
      <c r="B769" s="292">
        <v>2193</v>
      </c>
      <c r="C769" s="292" t="str">
        <f>VLOOKUP(B769,Orgenheter!$A$1:$B$213,2,0)</f>
        <v xml:space="preserve">TUV </v>
      </c>
    </row>
    <row r="770" spans="1:3" ht="12.95" customHeight="1" x14ac:dyDescent="0.25">
      <c r="A770" s="292" t="s">
        <v>378</v>
      </c>
      <c r="B770" s="292">
        <v>2193</v>
      </c>
      <c r="C770" s="292" t="str">
        <f>VLOOKUP(B770,Orgenheter!$A$1:$B$213,2,0)</f>
        <v xml:space="preserve">TUV </v>
      </c>
    </row>
    <row r="771" spans="1:3" ht="12.95" customHeight="1" x14ac:dyDescent="0.25">
      <c r="A771" s="298" t="s">
        <v>396</v>
      </c>
      <c r="B771" s="292">
        <v>2193</v>
      </c>
      <c r="C771" s="292" t="str">
        <f>VLOOKUP(B771,Orgenheter!$A$1:$B$213,2,0)</f>
        <v xml:space="preserve">TUV </v>
      </c>
    </row>
    <row r="772" spans="1:3" ht="12.95" customHeight="1" x14ac:dyDescent="0.25">
      <c r="A772" s="292" t="s">
        <v>340</v>
      </c>
      <c r="B772" s="292">
        <v>2193</v>
      </c>
      <c r="C772" s="292" t="str">
        <f>VLOOKUP(B772,Orgenheter!$A$1:$B$213,2,0)</f>
        <v xml:space="preserve">TUV </v>
      </c>
    </row>
    <row r="773" spans="1:3" ht="12.95" customHeight="1" x14ac:dyDescent="0.25">
      <c r="A773" s="292" t="s">
        <v>1</v>
      </c>
      <c r="B773" s="292">
        <v>2193</v>
      </c>
      <c r="C773" s="292" t="str">
        <f>VLOOKUP(B773,Orgenheter!$A$1:$B$213,2,0)</f>
        <v xml:space="preserve">TUV </v>
      </c>
    </row>
    <row r="774" spans="1:3" ht="12.95" customHeight="1" x14ac:dyDescent="0.25">
      <c r="A774" s="292" t="s">
        <v>377</v>
      </c>
      <c r="B774" s="292">
        <v>2193</v>
      </c>
      <c r="C774" s="292" t="str">
        <f>VLOOKUP(B774,Orgenheter!$A$1:$B$213,2,0)</f>
        <v xml:space="preserve">TUV </v>
      </c>
    </row>
    <row r="775" spans="1:3" ht="12.95" customHeight="1" x14ac:dyDescent="0.25">
      <c r="A775" s="317" t="s">
        <v>607</v>
      </c>
      <c r="B775" s="292">
        <v>2193</v>
      </c>
      <c r="C775" s="292" t="str">
        <f>VLOOKUP(B775,Orgenheter!$A$1:$B$213,2,0)</f>
        <v xml:space="preserve">TUV </v>
      </c>
    </row>
    <row r="776" spans="1:3" ht="12.95" customHeight="1" x14ac:dyDescent="0.25">
      <c r="A776" s="317" t="s">
        <v>432</v>
      </c>
      <c r="B776" s="292">
        <v>2193</v>
      </c>
      <c r="C776" s="292" t="str">
        <f>VLOOKUP(B776,Orgenheter!$A$1:$B$213,2,0)</f>
        <v xml:space="preserve">TUV </v>
      </c>
    </row>
    <row r="777" spans="1:3" ht="15" customHeight="1" x14ac:dyDescent="0.25">
      <c r="A777" s="317" t="s">
        <v>901</v>
      </c>
      <c r="B777" s="292">
        <v>2193</v>
      </c>
      <c r="C777" s="292" t="str">
        <f>VLOOKUP(B777,Orgenheter!$A$1:$B$213,2,0)</f>
        <v xml:space="preserve">TUV </v>
      </c>
    </row>
    <row r="778" spans="1:3" ht="15" customHeight="1" x14ac:dyDescent="0.25">
      <c r="A778" s="317" t="s">
        <v>903</v>
      </c>
      <c r="B778" s="292">
        <v>2193</v>
      </c>
      <c r="C778" s="292" t="str">
        <f>VLOOKUP(B778,Orgenheter!$A$1:$B$213,2,0)</f>
        <v xml:space="preserve">TUV </v>
      </c>
    </row>
    <row r="779" spans="1:3" ht="15" customHeight="1" x14ac:dyDescent="0.25">
      <c r="A779" s="317" t="s">
        <v>904</v>
      </c>
      <c r="B779" s="292">
        <v>2193</v>
      </c>
      <c r="C779" s="292" t="str">
        <f>VLOOKUP(B779,Orgenheter!$A$1:$B$213,2,0)</f>
        <v xml:space="preserve">TUV </v>
      </c>
    </row>
    <row r="780" spans="1:3" ht="15" customHeight="1" x14ac:dyDescent="0.25">
      <c r="A780" s="317" t="s">
        <v>902</v>
      </c>
      <c r="B780" s="292">
        <v>2193</v>
      </c>
      <c r="C780" s="292" t="str">
        <f>VLOOKUP(B780,Orgenheter!$A$1:$B$213,2,0)</f>
        <v xml:space="preserve">TUV </v>
      </c>
    </row>
    <row r="781" spans="1:3" ht="15" customHeight="1" x14ac:dyDescent="0.25">
      <c r="A781" s="317" t="s">
        <v>900</v>
      </c>
      <c r="B781" s="292">
        <v>2180</v>
      </c>
      <c r="C781" s="292" t="str">
        <f>VLOOKUP(B781,Orgenheter!$A$1:$B$213,2,0)</f>
        <v xml:space="preserve">Pedagogik                     </v>
      </c>
    </row>
    <row r="782" spans="1:3" ht="15" customHeight="1" x14ac:dyDescent="0.25">
      <c r="A782" s="317" t="s">
        <v>942</v>
      </c>
      <c r="B782" s="292">
        <v>2193</v>
      </c>
      <c r="C782" s="292" t="str">
        <f>VLOOKUP(B782,Orgenheter!$A$1:$B$213,2,0)</f>
        <v xml:space="preserve">TUV </v>
      </c>
    </row>
    <row r="783" spans="1:3" ht="15" customHeight="1" x14ac:dyDescent="0.25">
      <c r="A783" s="317" t="s">
        <v>943</v>
      </c>
      <c r="B783" s="292">
        <v>2193</v>
      </c>
      <c r="C783" s="292" t="str">
        <f>VLOOKUP(B783,Orgenheter!$A$1:$B$213,2,0)</f>
        <v xml:space="preserve">TUV </v>
      </c>
    </row>
    <row r="784" spans="1:3" ht="15" customHeight="1" x14ac:dyDescent="0.25">
      <c r="A784" s="317" t="s">
        <v>944</v>
      </c>
      <c r="B784" s="292">
        <v>2193</v>
      </c>
      <c r="C784" s="292" t="str">
        <f>VLOOKUP(B784,Orgenheter!$A$1:$B$213,2,0)</f>
        <v xml:space="preserve">TUV </v>
      </c>
    </row>
    <row r="785" spans="1:3" ht="15" customHeight="1" x14ac:dyDescent="0.25">
      <c r="A785" s="317" t="s">
        <v>987</v>
      </c>
      <c r="B785" s="292">
        <v>2180</v>
      </c>
      <c r="C785" s="292" t="str">
        <f>VLOOKUP(B785,Orgenheter!$A$1:$B$213,2,0)</f>
        <v xml:space="preserve">Pedagogik                     </v>
      </c>
    </row>
    <row r="786" spans="1:3" ht="12.95" customHeight="1" x14ac:dyDescent="0.25">
      <c r="A786" s="292" t="s">
        <v>1351</v>
      </c>
      <c r="B786" s="292">
        <v>2193</v>
      </c>
      <c r="C786" s="292" t="str">
        <f>VLOOKUP(B786,Orgenheter!$A$1:$B$213,2,0)</f>
        <v xml:space="preserve">TUV </v>
      </c>
    </row>
    <row r="787" spans="1:3" ht="12.95" customHeight="1" x14ac:dyDescent="0.25">
      <c r="A787" s="292" t="s">
        <v>1620</v>
      </c>
      <c r="B787" s="292">
        <v>2193</v>
      </c>
      <c r="C787" s="292" t="str">
        <f>VLOOKUP(B787,Orgenheter!$A$1:$B$213,2,0)</f>
        <v xml:space="preserve">TUV </v>
      </c>
    </row>
    <row r="788" spans="1:3" ht="15" customHeight="1" x14ac:dyDescent="0.25">
      <c r="A788" s="309" t="s">
        <v>657</v>
      </c>
      <c r="B788" s="292">
        <v>5740</v>
      </c>
      <c r="C788" s="292" t="str">
        <f>VLOOKUP(B788,Orgenheter!$A$1:$B$213,2,0)</f>
        <v>NMD</v>
      </c>
    </row>
    <row r="789" spans="1:3" ht="15" customHeight="1" x14ac:dyDescent="0.25">
      <c r="A789" s="309" t="s">
        <v>947</v>
      </c>
      <c r="B789" s="292">
        <v>5740</v>
      </c>
      <c r="C789" s="292" t="str">
        <f>VLOOKUP(B789,Orgenheter!$A$1:$B$213,2,0)</f>
        <v>NMD</v>
      </c>
    </row>
    <row r="790" spans="1:3" ht="15" customHeight="1" x14ac:dyDescent="0.25">
      <c r="A790" s="309" t="s">
        <v>87</v>
      </c>
      <c r="B790" s="292">
        <v>1650</v>
      </c>
      <c r="C790" s="292" t="str">
        <f>VLOOKUP(B790,Orgenheter!$A$1:$B$213,2,0)</f>
        <v xml:space="preserve">Estetiska ämnen               </v>
      </c>
    </row>
    <row r="791" spans="1:3" ht="15" customHeight="1" x14ac:dyDescent="0.25">
      <c r="A791" s="309" t="s">
        <v>891</v>
      </c>
      <c r="B791" s="292">
        <v>1650</v>
      </c>
      <c r="C791" s="292" t="str">
        <f>VLOOKUP(B791,Orgenheter!$A$1:$B$213,2,0)</f>
        <v xml:space="preserve">Estetiska ämnen               </v>
      </c>
    </row>
    <row r="792" spans="1:3" ht="15" customHeight="1" x14ac:dyDescent="0.25">
      <c r="A792" s="292" t="s">
        <v>86</v>
      </c>
      <c r="B792" s="292">
        <v>1650</v>
      </c>
      <c r="C792" s="292" t="str">
        <f>VLOOKUP(B792,Orgenheter!$A$1:$B$213,2,0)</f>
        <v xml:space="preserve">Estetiska ämnen               </v>
      </c>
    </row>
    <row r="793" spans="1:3" ht="15" customHeight="1" x14ac:dyDescent="0.25">
      <c r="A793" s="292" t="s">
        <v>332</v>
      </c>
      <c r="B793" s="292">
        <v>1650</v>
      </c>
      <c r="C793" s="292" t="str">
        <f>VLOOKUP(B793,Orgenheter!$A$1:$B$213,2,0)</f>
        <v xml:space="preserve">Estetiska ämnen               </v>
      </c>
    </row>
    <row r="794" spans="1:3" ht="15" customHeight="1" x14ac:dyDescent="0.25">
      <c r="A794" s="292" t="s">
        <v>81</v>
      </c>
      <c r="B794" s="292">
        <v>1650</v>
      </c>
      <c r="C794" s="292" t="str">
        <f>VLOOKUP(B794,Orgenheter!$A$1:$B$213,2,0)</f>
        <v xml:space="preserve">Estetiska ämnen               </v>
      </c>
    </row>
    <row r="795" spans="1:3" ht="15" customHeight="1" x14ac:dyDescent="0.25">
      <c r="A795" s="292" t="s">
        <v>1055</v>
      </c>
      <c r="B795" s="292">
        <v>1650</v>
      </c>
      <c r="C795" s="292" t="str">
        <f>VLOOKUP(B795,Orgenheter!$A$1:$B$213,2,0)</f>
        <v xml:space="preserve">Estetiska ämnen               </v>
      </c>
    </row>
    <row r="796" spans="1:3" ht="15" customHeight="1" x14ac:dyDescent="0.25">
      <c r="A796" s="292" t="s">
        <v>480</v>
      </c>
      <c r="B796" s="292">
        <v>1650</v>
      </c>
      <c r="C796" s="292" t="str">
        <f>VLOOKUP(B796,Orgenheter!$A$1:$B$213,2,0)</f>
        <v xml:space="preserve">Estetiska ämnen               </v>
      </c>
    </row>
    <row r="797" spans="1:3" ht="15" customHeight="1" x14ac:dyDescent="0.25">
      <c r="A797" s="310" t="s">
        <v>528</v>
      </c>
      <c r="B797" s="298">
        <v>1650</v>
      </c>
      <c r="C797" s="292" t="str">
        <f>VLOOKUP(B797,Orgenheter!$A$1:$B$213,2,0)</f>
        <v xml:space="preserve">Estetiska ämnen               </v>
      </c>
    </row>
    <row r="798" spans="1:3" ht="15" customHeight="1" x14ac:dyDescent="0.25">
      <c r="A798" s="292" t="s">
        <v>568</v>
      </c>
      <c r="B798" s="298">
        <v>1650</v>
      </c>
      <c r="C798" s="292" t="str">
        <f>VLOOKUP(B798,Orgenheter!$A$1:$B$213,2,0)</f>
        <v xml:space="preserve">Estetiska ämnen               </v>
      </c>
    </row>
    <row r="799" spans="1:3" ht="15" customHeight="1" x14ac:dyDescent="0.25">
      <c r="A799" s="292" t="s">
        <v>522</v>
      </c>
      <c r="B799" s="292">
        <v>1650</v>
      </c>
      <c r="C799" s="292" t="str">
        <f>VLOOKUP(B799,Orgenheter!$A$1:$B$213,2,0)</f>
        <v xml:space="preserve">Estetiska ämnen               </v>
      </c>
    </row>
    <row r="800" spans="1:3" ht="15" customHeight="1" x14ac:dyDescent="0.25">
      <c r="A800" s="309" t="s">
        <v>650</v>
      </c>
      <c r="B800" s="292">
        <v>1650</v>
      </c>
      <c r="C800" s="292" t="str">
        <f>VLOOKUP(B800,Orgenheter!$A$1:$B$213,2,0)</f>
        <v xml:space="preserve">Estetiska ämnen               </v>
      </c>
    </row>
    <row r="801" spans="1:3" ht="15" customHeight="1" x14ac:dyDescent="0.25">
      <c r="A801" s="309" t="s">
        <v>651</v>
      </c>
      <c r="B801" s="292">
        <v>1650</v>
      </c>
      <c r="C801" s="292" t="str">
        <f>VLOOKUP(B801,Orgenheter!$A$1:$B$213,2,0)</f>
        <v xml:space="preserve">Estetiska ämnen               </v>
      </c>
    </row>
    <row r="802" spans="1:3" ht="15" customHeight="1" x14ac:dyDescent="0.25">
      <c r="A802" s="318" t="s">
        <v>842</v>
      </c>
      <c r="B802" s="292">
        <v>1650</v>
      </c>
      <c r="C802" s="292" t="str">
        <f>VLOOKUP(B802,Orgenheter!$A$1:$B$213,2,0)</f>
        <v xml:space="preserve">Estetiska ämnen               </v>
      </c>
    </row>
    <row r="803" spans="1:3" ht="12.95" customHeight="1" x14ac:dyDescent="0.25">
      <c r="A803" s="353" t="s">
        <v>1134</v>
      </c>
      <c r="B803" s="298">
        <v>1650</v>
      </c>
      <c r="C803" s="292" t="str">
        <f>VLOOKUP(B803,Orgenheter!$A$1:$B$213,2,0)</f>
        <v xml:space="preserve">Estetiska ämnen               </v>
      </c>
    </row>
    <row r="804" spans="1:3" ht="12.95" customHeight="1" x14ac:dyDescent="0.25">
      <c r="A804" s="486" t="s">
        <v>2213</v>
      </c>
      <c r="B804" s="455">
        <v>1650</v>
      </c>
      <c r="C804" s="292" t="str">
        <f>VLOOKUP(B804,Orgenheter!$A$1:$B$213,2,0)</f>
        <v xml:space="preserve">Estetiska ämnen               </v>
      </c>
    </row>
    <row r="805" spans="1:3" ht="12.95" customHeight="1" x14ac:dyDescent="0.25">
      <c r="A805" s="298" t="s">
        <v>1770</v>
      </c>
      <c r="B805" s="292">
        <v>1650</v>
      </c>
      <c r="C805" s="292" t="str">
        <f>VLOOKUP(B805,Orgenheter!$A$1:$B$213,2,0)</f>
        <v xml:space="preserve">Estetiska ämnen               </v>
      </c>
    </row>
    <row r="806" spans="1:3" ht="12.95" customHeight="1" x14ac:dyDescent="0.25">
      <c r="A806" s="295" t="s">
        <v>1742</v>
      </c>
      <c r="B806" s="292">
        <v>1650</v>
      </c>
      <c r="C806" s="292" t="str">
        <f>VLOOKUP(B806,Orgenheter!$A$1:$B$213,2,0)</f>
        <v xml:space="preserve">Estetiska ämnen               </v>
      </c>
    </row>
    <row r="807" spans="1:3" ht="12.95" customHeight="1" x14ac:dyDescent="0.25">
      <c r="A807" s="295" t="s">
        <v>1741</v>
      </c>
      <c r="B807" s="292">
        <v>1650</v>
      </c>
      <c r="C807" s="292" t="str">
        <f>VLOOKUP(B807,Orgenheter!$A$1:$B$213,2,0)</f>
        <v xml:space="preserve">Estetiska ämnen               </v>
      </c>
    </row>
    <row r="808" spans="1:3" ht="12.95" customHeight="1" x14ac:dyDescent="0.25">
      <c r="A808" s="298" t="s">
        <v>1772</v>
      </c>
      <c r="B808" s="292">
        <v>1650</v>
      </c>
      <c r="C808" s="292" t="str">
        <f>VLOOKUP(B808,Orgenheter!$A$1:$B$213,2,0)</f>
        <v xml:space="preserve">Estetiska ämnen               </v>
      </c>
    </row>
    <row r="809" spans="1:3" ht="12.95" customHeight="1" x14ac:dyDescent="0.25">
      <c r="A809" s="186" t="s">
        <v>2215</v>
      </c>
      <c r="B809" s="454">
        <v>1650</v>
      </c>
      <c r="C809" s="292" t="str">
        <f>VLOOKUP(B809,Orgenheter!$A$1:$B$213,2,0)</f>
        <v xml:space="preserve">Estetiska ämnen               </v>
      </c>
    </row>
    <row r="810" spans="1:3" ht="12.95" customHeight="1" x14ac:dyDescent="0.25">
      <c r="A810" s="266" t="s">
        <v>1869</v>
      </c>
      <c r="B810" s="292">
        <v>1650</v>
      </c>
      <c r="C810" s="292" t="str">
        <f>VLOOKUP(B810,Orgenheter!$A$1:$B$213,2,0)</f>
        <v xml:space="preserve">Estetiska ämnen               </v>
      </c>
    </row>
    <row r="811" spans="1:3" ht="12.95" customHeight="1" x14ac:dyDescent="0.25">
      <c r="A811" s="298" t="s">
        <v>1880</v>
      </c>
      <c r="B811" s="292">
        <v>1650</v>
      </c>
      <c r="C811" s="292" t="str">
        <f>VLOOKUP(B811,Orgenheter!$A$1:$B$213,2,0)</f>
        <v xml:space="preserve">Estetiska ämnen               </v>
      </c>
    </row>
    <row r="812" spans="1:3" ht="15" customHeight="1" x14ac:dyDescent="0.25">
      <c r="A812" s="347" t="s">
        <v>2188</v>
      </c>
      <c r="B812" s="292">
        <v>1650</v>
      </c>
      <c r="C812" s="292" t="str">
        <f>VLOOKUP(B812,Orgenheter!$A$1:$B$213,2,0)</f>
        <v xml:space="preserve">Estetiska ämnen               </v>
      </c>
    </row>
    <row r="813" spans="1:3" ht="15" customHeight="1" x14ac:dyDescent="0.25">
      <c r="A813" s="318" t="s">
        <v>892</v>
      </c>
      <c r="B813" s="292">
        <v>1620</v>
      </c>
      <c r="C813" s="292" t="str">
        <f>VLOOKUP(B813,Orgenheter!$A$1:$B$213,2,0)</f>
        <v>Inst för språkstudier</v>
      </c>
    </row>
    <row r="814" spans="1:3" ht="15" customHeight="1" x14ac:dyDescent="0.25">
      <c r="A814" s="318" t="s">
        <v>893</v>
      </c>
      <c r="B814" s="292">
        <v>1620</v>
      </c>
      <c r="C814" s="292" t="str">
        <f>VLOOKUP(B814,Orgenheter!$A$1:$B$213,2,0)</f>
        <v>Inst för språkstudier</v>
      </c>
    </row>
    <row r="815" spans="1:3" ht="15" customHeight="1" x14ac:dyDescent="0.25">
      <c r="A815" s="318" t="s">
        <v>1056</v>
      </c>
      <c r="B815" s="292">
        <v>1620</v>
      </c>
      <c r="C815" s="292" t="str">
        <f>VLOOKUP(B815,Orgenheter!$A$1:$B$213,2,0)</f>
        <v>Inst för språkstudier</v>
      </c>
    </row>
    <row r="816" spans="1:3" ht="12.95" customHeight="1" x14ac:dyDescent="0.25">
      <c r="A816" s="292" t="s">
        <v>1709</v>
      </c>
      <c r="B816" s="292">
        <v>1620</v>
      </c>
      <c r="C816" s="292" t="str">
        <f>VLOOKUP(B816,Orgenheter!$A$1:$B$213,2,0)</f>
        <v>Inst för språkstudier</v>
      </c>
    </row>
    <row r="817" spans="1:3" ht="12.95" customHeight="1" x14ac:dyDescent="0.25">
      <c r="A817" s="266" t="s">
        <v>1901</v>
      </c>
      <c r="B817" s="292">
        <v>1620</v>
      </c>
      <c r="C817" s="292" t="str">
        <f>VLOOKUP(B817,Orgenheter!$A$1:$B$213,2,0)</f>
        <v>Inst för språkstudier</v>
      </c>
    </row>
    <row r="818" spans="1:3" ht="12.95" customHeight="1" x14ac:dyDescent="0.25">
      <c r="A818" s="266" t="s">
        <v>2240</v>
      </c>
      <c r="B818" s="292">
        <v>1620</v>
      </c>
      <c r="C818" s="292" t="str">
        <f>VLOOKUP(B818,Orgenheter!$A$1:$B$213,2,0)</f>
        <v>Inst för språkstudier</v>
      </c>
    </row>
    <row r="819" spans="1:3" ht="15" customHeight="1" x14ac:dyDescent="0.25">
      <c r="A819" s="318" t="s">
        <v>1534</v>
      </c>
      <c r="B819" s="292">
        <v>5740</v>
      </c>
      <c r="C819" s="292" t="str">
        <f>VLOOKUP(B819,Orgenheter!$A$1:$B$213,2,0)</f>
        <v>NMD</v>
      </c>
    </row>
    <row r="820" spans="1:3" ht="15" customHeight="1" x14ac:dyDescent="0.25">
      <c r="A820" s="318" t="s">
        <v>1546</v>
      </c>
      <c r="B820" s="292">
        <v>2193</v>
      </c>
      <c r="C820" s="292" t="str">
        <f>VLOOKUP(B820,Orgenheter!$A$1:$B$213,2,0)</f>
        <v xml:space="preserve">TUV </v>
      </c>
    </row>
    <row r="821" spans="1:3" ht="15" customHeight="1" x14ac:dyDescent="0.25">
      <c r="A821" s="318" t="s">
        <v>1547</v>
      </c>
      <c r="B821" s="292">
        <v>2193</v>
      </c>
      <c r="C821" s="292" t="str">
        <f>VLOOKUP(B821,Orgenheter!$A$1:$B$213,2,0)</f>
        <v xml:space="preserve">TUV </v>
      </c>
    </row>
    <row r="822" spans="1:3" ht="15" customHeight="1" x14ac:dyDescent="0.25">
      <c r="A822" s="318" t="s">
        <v>1548</v>
      </c>
      <c r="B822" s="292">
        <v>1650</v>
      </c>
      <c r="C822" s="292" t="str">
        <f>VLOOKUP(B822,Orgenheter!$A$1:$B$213,2,0)</f>
        <v xml:space="preserve">Estetiska ämnen               </v>
      </c>
    </row>
    <row r="823" spans="1:3" ht="15" customHeight="1" x14ac:dyDescent="0.25">
      <c r="A823" s="318" t="s">
        <v>1549</v>
      </c>
      <c r="B823" s="292">
        <v>2180</v>
      </c>
      <c r="C823" s="292" t="str">
        <f>VLOOKUP(B823,Orgenheter!$A$1:$B$213,2,0)</f>
        <v xml:space="preserve">Pedagogik                     </v>
      </c>
    </row>
    <row r="824" spans="1:3" ht="15" customHeight="1" x14ac:dyDescent="0.25">
      <c r="A824" s="318" t="s">
        <v>1533</v>
      </c>
      <c r="B824" s="292">
        <v>2180</v>
      </c>
      <c r="C824" s="292" t="str">
        <f>VLOOKUP(B824,Orgenheter!$A$1:$B$213,2,0)</f>
        <v xml:space="preserve">Pedagogik                     </v>
      </c>
    </row>
    <row r="825" spans="1:3" ht="15" customHeight="1" x14ac:dyDescent="0.25">
      <c r="A825" s="318" t="s">
        <v>1550</v>
      </c>
      <c r="B825" s="292">
        <v>2180</v>
      </c>
      <c r="C825" s="292" t="str">
        <f>VLOOKUP(B825,Orgenheter!$A$1:$B$213,2,0)</f>
        <v xml:space="preserve">Pedagogik                     </v>
      </c>
    </row>
    <row r="826" spans="1:3" ht="15" customHeight="1" x14ac:dyDescent="0.25">
      <c r="A826" s="292" t="s">
        <v>63</v>
      </c>
      <c r="B826" s="292">
        <v>2193</v>
      </c>
      <c r="C826" s="292" t="str">
        <f>VLOOKUP(B826,Orgenheter!$A$1:$B$213,2,0)</f>
        <v xml:space="preserve">TUV </v>
      </c>
    </row>
    <row r="827" spans="1:3" ht="15" customHeight="1" x14ac:dyDescent="0.25">
      <c r="A827" s="292" t="s">
        <v>64</v>
      </c>
      <c r="B827" s="292">
        <v>1650</v>
      </c>
      <c r="C827" s="292" t="str">
        <f>VLOOKUP(B827,Orgenheter!$A$1:$B$213,2,0)</f>
        <v xml:space="preserve">Estetiska ämnen               </v>
      </c>
    </row>
    <row r="828" spans="1:3" ht="15" customHeight="1" x14ac:dyDescent="0.25">
      <c r="A828" s="298" t="s">
        <v>397</v>
      </c>
      <c r="B828" s="298">
        <v>1650</v>
      </c>
      <c r="C828" s="292" t="str">
        <f>VLOOKUP(B828,Orgenheter!$A$1:$B$213,2,0)</f>
        <v xml:space="preserve">Estetiska ämnen               </v>
      </c>
    </row>
    <row r="829" spans="1:3" ht="15" customHeight="1" x14ac:dyDescent="0.25">
      <c r="A829" s="354" t="s">
        <v>371</v>
      </c>
      <c r="B829" s="298">
        <v>2193</v>
      </c>
      <c r="C829" s="292" t="str">
        <f>VLOOKUP(B829,Orgenheter!$A$1:$B$213,2,0)</f>
        <v xml:space="preserve">TUV </v>
      </c>
    </row>
    <row r="830" spans="1:3" ht="15" customHeight="1" x14ac:dyDescent="0.25">
      <c r="A830" s="292" t="s">
        <v>331</v>
      </c>
      <c r="B830" s="292">
        <v>6000</v>
      </c>
      <c r="C830" s="292" t="str">
        <f>VLOOKUP(B830,Orgenheter!$A$1:$B$213,2,0)</f>
        <v xml:space="preserve">Lärarutbildningarna gem       </v>
      </c>
    </row>
    <row r="831" spans="1:3" ht="15" customHeight="1" x14ac:dyDescent="0.25">
      <c r="A831" s="292"/>
      <c r="B831" s="292"/>
      <c r="C831" s="292">
        <f>VLOOKUP(B831,Orgenheter!$A$1:$B$213,2,0)</f>
        <v>0</v>
      </c>
    </row>
    <row r="832" spans="1:3" ht="15" customHeight="1" x14ac:dyDescent="0.25">
      <c r="A832" s="292"/>
      <c r="B832" s="292"/>
      <c r="C832" s="292">
        <f>VLOOKUP(B832,Orgenheter!$A$1:$B$213,2,0)</f>
        <v>0</v>
      </c>
    </row>
    <row r="833" spans="1:3" ht="15" customHeight="1" x14ac:dyDescent="0.25">
      <c r="A833" s="292"/>
      <c r="B833" s="292"/>
      <c r="C833" s="292">
        <f>VLOOKUP(B833,Orgenheter!$A$1:$B$213,2,0)</f>
        <v>0</v>
      </c>
    </row>
    <row r="834" spans="1:3" ht="15" customHeight="1" x14ac:dyDescent="0.25">
      <c r="A834" s="292"/>
      <c r="B834" s="292"/>
      <c r="C834" s="292">
        <f>VLOOKUP(B834,Orgenheter!$A$1:$B$213,2,0)</f>
        <v>0</v>
      </c>
    </row>
    <row r="835" spans="1:3" ht="15" customHeight="1" x14ac:dyDescent="0.25">
      <c r="A835" s="292"/>
      <c r="B835" s="292"/>
      <c r="C835" s="292">
        <f>VLOOKUP(B835,Orgenheter!$A$1:$B$213,2,0)</f>
        <v>0</v>
      </c>
    </row>
    <row r="836" spans="1:3" ht="15" customHeight="1" x14ac:dyDescent="0.25">
      <c r="A836" s="292"/>
      <c r="B836" s="292"/>
      <c r="C836" s="292">
        <f>VLOOKUP(B836,Orgenheter!$A$1:$B$213,2,0)</f>
        <v>0</v>
      </c>
    </row>
    <row r="837" spans="1:3" ht="15" customHeight="1" x14ac:dyDescent="0.25">
      <c r="A837" s="292"/>
      <c r="B837" s="292"/>
      <c r="C837" s="292">
        <f>VLOOKUP(B837,Orgenheter!$A$1:$B$213,2,0)</f>
        <v>0</v>
      </c>
    </row>
    <row r="838" spans="1:3" ht="15" customHeight="1" x14ac:dyDescent="0.25">
      <c r="A838" s="292"/>
      <c r="B838" s="292"/>
      <c r="C838" s="292">
        <f>VLOOKUP(B838,Orgenheter!$A$1:$B$213,2,0)</f>
        <v>0</v>
      </c>
    </row>
    <row r="839" spans="1:3" ht="15" customHeight="1" x14ac:dyDescent="0.25">
      <c r="A839" s="292"/>
      <c r="B839" s="292"/>
      <c r="C839" s="292">
        <f>VLOOKUP(B839,Orgenheter!$A$1:$B$213,2,0)</f>
        <v>0</v>
      </c>
    </row>
    <row r="840" spans="1:3" ht="15" customHeight="1" x14ac:dyDescent="0.25">
      <c r="A840" s="292"/>
      <c r="B840" s="292"/>
      <c r="C840" s="292">
        <f>VLOOKUP(B840,Orgenheter!$A$1:$B$213,2,0)</f>
        <v>0</v>
      </c>
    </row>
    <row r="841" spans="1:3" ht="15" customHeight="1" x14ac:dyDescent="0.25">
      <c r="A841" s="292"/>
      <c r="B841" s="292"/>
      <c r="C841" s="292">
        <f>VLOOKUP(B841,Orgenheter!$A$1:$B$213,2,0)</f>
        <v>0</v>
      </c>
    </row>
    <row r="842" spans="1:3" ht="15" customHeight="1" x14ac:dyDescent="0.25">
      <c r="A842" s="292"/>
      <c r="B842" s="292"/>
      <c r="C842" s="292">
        <f>VLOOKUP(B842,Orgenheter!$A$1:$B$213,2,0)</f>
        <v>0</v>
      </c>
    </row>
    <row r="843" spans="1:3" ht="15" customHeight="1" x14ac:dyDescent="0.25">
      <c r="A843" s="292"/>
      <c r="B843" s="292"/>
      <c r="C843" s="292">
        <f>VLOOKUP(B843,Orgenheter!$A$1:$B$213,2,0)</f>
        <v>0</v>
      </c>
    </row>
    <row r="844" spans="1:3" ht="15" customHeight="1" x14ac:dyDescent="0.25">
      <c r="A844" s="292"/>
      <c r="B844" s="292"/>
      <c r="C844" s="292">
        <f>VLOOKUP(B844,Orgenheter!$A$1:$B$213,2,0)</f>
        <v>0</v>
      </c>
    </row>
    <row r="845" spans="1:3" ht="15" customHeight="1" x14ac:dyDescent="0.25">
      <c r="A845" s="292"/>
      <c r="B845" s="292"/>
      <c r="C845" s="292">
        <f>VLOOKUP(B845,Orgenheter!$A$1:$B$213,2,0)</f>
        <v>0</v>
      </c>
    </row>
    <row r="846" spans="1:3" ht="15" customHeight="1" x14ac:dyDescent="0.25">
      <c r="A846" s="292"/>
      <c r="B846" s="292"/>
      <c r="C846" s="292">
        <f>VLOOKUP(B846,Orgenheter!$A$1:$B$213,2,0)</f>
        <v>0</v>
      </c>
    </row>
    <row r="847" spans="1:3" ht="15" customHeight="1" x14ac:dyDescent="0.25">
      <c r="A847" s="292"/>
      <c r="B847" s="292"/>
      <c r="C847" s="292">
        <f>VLOOKUP(B847,Orgenheter!$A$1:$B$213,2,0)</f>
        <v>0</v>
      </c>
    </row>
    <row r="848" spans="1:3" ht="15" customHeight="1" x14ac:dyDescent="0.25">
      <c r="A848" s="292"/>
      <c r="B848" s="292"/>
      <c r="C848" s="292">
        <f>VLOOKUP(B848,Orgenheter!$A$1:$B$213,2,0)</f>
        <v>0</v>
      </c>
    </row>
    <row r="849" spans="1:3" ht="15" customHeight="1" x14ac:dyDescent="0.25">
      <c r="A849" s="292"/>
      <c r="B849" s="292"/>
      <c r="C849" s="292">
        <f>VLOOKUP(B849,Orgenheter!$A$1:$B$213,2,0)</f>
        <v>0</v>
      </c>
    </row>
    <row r="850" spans="1:3" ht="15" customHeight="1" x14ac:dyDescent="0.25">
      <c r="A850" s="292"/>
      <c r="B850" s="292"/>
      <c r="C850" s="292">
        <f>VLOOKUP(B850,Orgenheter!$A$1:$B$213,2,0)</f>
        <v>0</v>
      </c>
    </row>
    <row r="851" spans="1:3" ht="15" customHeight="1" x14ac:dyDescent="0.25">
      <c r="A851" s="292"/>
      <c r="B851" s="292"/>
      <c r="C851" s="292">
        <f>VLOOKUP(B851,Orgenheter!$A$1:$B$213,2,0)</f>
        <v>0</v>
      </c>
    </row>
    <row r="852" spans="1:3" ht="15" customHeight="1" x14ac:dyDescent="0.25">
      <c r="A852" s="292"/>
      <c r="B852" s="292"/>
      <c r="C852" s="292">
        <f>VLOOKUP(B852,Orgenheter!$A$1:$B$213,2,0)</f>
        <v>0</v>
      </c>
    </row>
    <row r="853" spans="1:3" ht="15" customHeight="1" x14ac:dyDescent="0.25">
      <c r="A853" s="292"/>
      <c r="B853" s="292"/>
      <c r="C853" s="292">
        <f>VLOOKUP(B853,Orgenheter!$A$1:$B$213,2,0)</f>
        <v>0</v>
      </c>
    </row>
    <row r="854" spans="1:3" ht="15" customHeight="1" x14ac:dyDescent="0.25">
      <c r="A854" s="292"/>
      <c r="B854" s="292"/>
      <c r="C854" s="292">
        <f>VLOOKUP(B854,Orgenheter!$A$1:$B$213,2,0)</f>
        <v>0</v>
      </c>
    </row>
    <row r="855" spans="1:3" ht="15" customHeight="1" x14ac:dyDescent="0.25">
      <c r="A855" s="292"/>
      <c r="B855" s="292"/>
      <c r="C855" s="292">
        <f>VLOOKUP(B855,Orgenheter!$A$1:$B$213,2,0)</f>
        <v>0</v>
      </c>
    </row>
    <row r="856" spans="1:3" ht="15" customHeight="1" x14ac:dyDescent="0.25">
      <c r="A856" s="292"/>
      <c r="B856" s="292"/>
      <c r="C856" s="292">
        <f>VLOOKUP(B856,Orgenheter!$A$1:$B$213,2,0)</f>
        <v>0</v>
      </c>
    </row>
    <row r="857" spans="1:3" ht="15" customHeight="1" x14ac:dyDescent="0.25">
      <c r="A857" s="292"/>
      <c r="B857" s="292"/>
      <c r="C857" s="292">
        <f>VLOOKUP(B857,Orgenheter!$A$1:$B$213,2,0)</f>
        <v>0</v>
      </c>
    </row>
    <row r="858" spans="1:3" ht="15" customHeight="1" x14ac:dyDescent="0.25">
      <c r="A858" s="292"/>
      <c r="B858" s="292"/>
      <c r="C858" s="292">
        <f>VLOOKUP(B858,Orgenheter!$A$1:$B$213,2,0)</f>
        <v>0</v>
      </c>
    </row>
    <row r="859" spans="1:3" ht="15" customHeight="1" x14ac:dyDescent="0.25">
      <c r="A859" s="292"/>
      <c r="B859" s="292"/>
      <c r="C859" s="292">
        <f>VLOOKUP(B859,Orgenheter!$A$1:$B$213,2,0)</f>
        <v>0</v>
      </c>
    </row>
    <row r="860" spans="1:3" ht="15" customHeight="1" x14ac:dyDescent="0.25">
      <c r="A860" s="292"/>
      <c r="B860" s="292"/>
      <c r="C860" s="292">
        <f>VLOOKUP(B860,Orgenheter!$A$1:$B$213,2,0)</f>
        <v>0</v>
      </c>
    </row>
    <row r="861" spans="1:3" ht="15" customHeight="1" x14ac:dyDescent="0.25">
      <c r="A861" s="292"/>
      <c r="B861" s="292"/>
      <c r="C861" s="292">
        <f>VLOOKUP(B861,Orgenheter!$A$1:$B$213,2,0)</f>
        <v>0</v>
      </c>
    </row>
    <row r="862" spans="1:3" ht="15" customHeight="1" x14ac:dyDescent="0.25">
      <c r="A862" s="292"/>
      <c r="B862" s="292"/>
      <c r="C862" s="292">
        <f>VLOOKUP(B862,Orgenheter!$A$1:$B$213,2,0)</f>
        <v>0</v>
      </c>
    </row>
    <row r="863" spans="1:3" ht="15" customHeight="1" x14ac:dyDescent="0.25">
      <c r="A863" s="292"/>
      <c r="B863" s="292"/>
      <c r="C863" s="292">
        <f>VLOOKUP(B863,Orgenheter!$A$1:$B$213,2,0)</f>
        <v>0</v>
      </c>
    </row>
    <row r="864" spans="1:3" ht="15" customHeight="1" x14ac:dyDescent="0.25">
      <c r="A864" s="292"/>
      <c r="B864" s="292"/>
      <c r="C864" s="292">
        <f>VLOOKUP(B864,Orgenheter!$A$1:$B$213,2,0)</f>
        <v>0</v>
      </c>
    </row>
    <row r="865" spans="1:3" ht="15" customHeight="1" x14ac:dyDescent="0.25">
      <c r="A865" s="292"/>
      <c r="B865" s="292"/>
      <c r="C865" s="292">
        <f>VLOOKUP(B865,Orgenheter!$A$1:$B$213,2,0)</f>
        <v>0</v>
      </c>
    </row>
    <row r="866" spans="1:3" ht="15" customHeight="1" x14ac:dyDescent="0.25">
      <c r="A866" s="292"/>
      <c r="B866" s="292"/>
      <c r="C866" s="292">
        <f>VLOOKUP(B866,Orgenheter!$A$1:$B$213,2,0)</f>
        <v>0</v>
      </c>
    </row>
    <row r="867" spans="1:3" ht="15" customHeight="1" x14ac:dyDescent="0.25">
      <c r="A867" s="292"/>
      <c r="B867" s="292"/>
      <c r="C867" s="292">
        <f>VLOOKUP(B867,Orgenheter!$A$1:$B$213,2,0)</f>
        <v>0</v>
      </c>
    </row>
    <row r="868" spans="1:3" ht="15" customHeight="1" x14ac:dyDescent="0.25">
      <c r="A868" s="292"/>
      <c r="B868" s="292"/>
      <c r="C868" s="292">
        <f>VLOOKUP(B868,Orgenheter!$A$1:$B$213,2,0)</f>
        <v>0</v>
      </c>
    </row>
    <row r="869" spans="1:3" ht="15" customHeight="1" x14ac:dyDescent="0.25">
      <c r="A869" s="292"/>
      <c r="B869" s="292"/>
      <c r="C869" s="292">
        <f>VLOOKUP(B869,Orgenheter!$A$1:$B$213,2,0)</f>
        <v>0</v>
      </c>
    </row>
    <row r="870" spans="1:3" ht="15" customHeight="1" x14ac:dyDescent="0.25">
      <c r="A870" s="292"/>
      <c r="B870" s="292"/>
      <c r="C870" s="292">
        <f>VLOOKUP(B870,Orgenheter!$A$1:$B$213,2,0)</f>
        <v>0</v>
      </c>
    </row>
    <row r="871" spans="1:3" ht="15" customHeight="1" x14ac:dyDescent="0.25">
      <c r="A871" s="292"/>
      <c r="B871" s="292"/>
      <c r="C871" s="292">
        <f>VLOOKUP(B871,Orgenheter!$A$1:$B$213,2,0)</f>
        <v>0</v>
      </c>
    </row>
    <row r="872" spans="1:3" ht="15" customHeight="1" x14ac:dyDescent="0.25">
      <c r="A872" s="292"/>
      <c r="B872" s="292"/>
      <c r="C872" s="292">
        <f>VLOOKUP(B872,Orgenheter!$A$1:$B$213,2,0)</f>
        <v>0</v>
      </c>
    </row>
    <row r="873" spans="1:3" ht="15" customHeight="1" x14ac:dyDescent="0.25">
      <c r="A873" s="292"/>
      <c r="B873" s="292"/>
      <c r="C873" s="292">
        <f>VLOOKUP(B873,Orgenheter!$A$1:$B$213,2,0)</f>
        <v>0</v>
      </c>
    </row>
    <row r="874" spans="1:3" ht="15" customHeight="1" x14ac:dyDescent="0.25">
      <c r="A874" s="292"/>
      <c r="B874" s="292"/>
      <c r="C874" s="292">
        <f>VLOOKUP(B874,Orgenheter!$A$1:$B$213,2,0)</f>
        <v>0</v>
      </c>
    </row>
    <row r="875" spans="1:3" ht="15" customHeight="1" x14ac:dyDescent="0.25">
      <c r="A875" s="292"/>
      <c r="B875" s="292"/>
      <c r="C875" s="292">
        <f>VLOOKUP(B875,Orgenheter!$A$1:$B$213,2,0)</f>
        <v>0</v>
      </c>
    </row>
    <row r="876" spans="1:3" ht="15" customHeight="1" x14ac:dyDescent="0.25">
      <c r="A876" s="292"/>
      <c r="B876" s="292"/>
      <c r="C876" s="292">
        <f>VLOOKUP(B876,Orgenheter!$A$1:$B$213,2,0)</f>
        <v>0</v>
      </c>
    </row>
    <row r="877" spans="1:3" ht="15" customHeight="1" x14ac:dyDescent="0.25">
      <c r="A877" s="292"/>
      <c r="B877" s="292"/>
      <c r="C877" s="292">
        <f>VLOOKUP(B877,Orgenheter!$A$1:$B$213,2,0)</f>
        <v>0</v>
      </c>
    </row>
    <row r="878" spans="1:3" ht="15" customHeight="1" x14ac:dyDescent="0.25">
      <c r="A878" s="292"/>
      <c r="B878" s="292"/>
      <c r="C878" s="292">
        <f>VLOOKUP(B878,Orgenheter!$A$1:$B$213,2,0)</f>
        <v>0</v>
      </c>
    </row>
    <row r="879" spans="1:3" ht="15" customHeight="1" x14ac:dyDescent="0.25">
      <c r="A879" s="292"/>
      <c r="B879" s="292"/>
      <c r="C879" s="292">
        <f>VLOOKUP(B879,Orgenheter!$A$1:$B$213,2,0)</f>
        <v>0</v>
      </c>
    </row>
    <row r="880" spans="1:3" ht="15" customHeight="1" x14ac:dyDescent="0.25">
      <c r="A880" s="292"/>
      <c r="B880" s="292"/>
      <c r="C880" s="292">
        <f>VLOOKUP(B880,Orgenheter!$A$1:$B$213,2,0)</f>
        <v>0</v>
      </c>
    </row>
    <row r="881" spans="1:3" ht="15" customHeight="1" x14ac:dyDescent="0.25">
      <c r="A881" s="292"/>
      <c r="B881" s="292"/>
      <c r="C881" s="292">
        <f>VLOOKUP(B881,Orgenheter!$A$1:$B$213,2,0)</f>
        <v>0</v>
      </c>
    </row>
    <row r="882" spans="1:3" ht="15" customHeight="1" x14ac:dyDescent="0.25">
      <c r="A882" s="292"/>
      <c r="B882" s="292"/>
      <c r="C882" s="292">
        <f>VLOOKUP(B882,Orgenheter!$A$1:$B$213,2,0)</f>
        <v>0</v>
      </c>
    </row>
    <row r="883" spans="1:3" ht="15" customHeight="1" x14ac:dyDescent="0.25">
      <c r="A883" s="292"/>
      <c r="B883" s="292"/>
      <c r="C883" s="292">
        <f>VLOOKUP(B883,Orgenheter!$A$1:$B$213,2,0)</f>
        <v>0</v>
      </c>
    </row>
    <row r="884" spans="1:3" ht="15" customHeight="1" x14ac:dyDescent="0.25">
      <c r="A884" s="292"/>
      <c r="B884" s="292"/>
      <c r="C884" s="292">
        <f>VLOOKUP(B884,Orgenheter!$A$1:$B$213,2,0)</f>
        <v>0</v>
      </c>
    </row>
    <row r="885" spans="1:3" ht="15" customHeight="1" x14ac:dyDescent="0.25">
      <c r="A885" s="292"/>
      <c r="B885" s="292"/>
      <c r="C885" s="292">
        <f>VLOOKUP(B885,Orgenheter!$A$1:$B$213,2,0)</f>
        <v>0</v>
      </c>
    </row>
    <row r="886" spans="1:3" ht="15" customHeight="1" x14ac:dyDescent="0.25">
      <c r="A886" s="292"/>
      <c r="B886" s="292"/>
      <c r="C886" s="292">
        <f>VLOOKUP(B886,Orgenheter!$A$1:$B$213,2,0)</f>
        <v>0</v>
      </c>
    </row>
    <row r="887" spans="1:3" ht="15" customHeight="1" x14ac:dyDescent="0.25">
      <c r="A887" s="292"/>
      <c r="B887" s="292"/>
      <c r="C887" s="292">
        <f>VLOOKUP(B887,Orgenheter!$A$1:$B$213,2,0)</f>
        <v>0</v>
      </c>
    </row>
    <row r="888" spans="1:3" ht="15" customHeight="1" x14ac:dyDescent="0.25">
      <c r="A888" s="292"/>
      <c r="B888" s="292"/>
      <c r="C888" s="292">
        <f>VLOOKUP(B888,Orgenheter!$A$1:$B$213,2,0)</f>
        <v>0</v>
      </c>
    </row>
    <row r="889" spans="1:3" ht="15" customHeight="1" x14ac:dyDescent="0.25">
      <c r="A889" s="292"/>
      <c r="B889" s="292"/>
      <c r="C889" s="292">
        <f>VLOOKUP(B889,Orgenheter!$A$1:$B$213,2,0)</f>
        <v>0</v>
      </c>
    </row>
    <row r="890" spans="1:3" ht="15" customHeight="1" x14ac:dyDescent="0.25">
      <c r="A890" s="292"/>
      <c r="B890" s="292"/>
      <c r="C890" s="292">
        <f>VLOOKUP(B890,Orgenheter!$A$1:$B$213,2,0)</f>
        <v>0</v>
      </c>
    </row>
    <row r="891" spans="1:3" ht="15" customHeight="1" x14ac:dyDescent="0.25">
      <c r="A891" s="292"/>
      <c r="B891" s="292"/>
      <c r="C891" s="292">
        <f>VLOOKUP(B891,Orgenheter!$A$1:$B$213,2,0)</f>
        <v>0</v>
      </c>
    </row>
    <row r="892" spans="1:3" ht="15" customHeight="1" x14ac:dyDescent="0.25">
      <c r="A892" s="292"/>
      <c r="B892" s="292"/>
      <c r="C892" s="292">
        <f>VLOOKUP(B892,Orgenheter!$A$1:$B$213,2,0)</f>
        <v>0</v>
      </c>
    </row>
    <row r="893" spans="1:3" ht="15" customHeight="1" x14ac:dyDescent="0.25">
      <c r="A893" s="292"/>
      <c r="B893" s="292"/>
      <c r="C893" s="292">
        <f>VLOOKUP(B893,Orgenheter!$A$1:$B$213,2,0)</f>
        <v>0</v>
      </c>
    </row>
    <row r="894" spans="1:3" ht="15" customHeight="1" x14ac:dyDescent="0.25">
      <c r="A894" s="292"/>
      <c r="B894" s="292"/>
      <c r="C894" s="292">
        <f>VLOOKUP(B894,Orgenheter!$A$1:$B$213,2,0)</f>
        <v>0</v>
      </c>
    </row>
    <row r="895" spans="1:3" ht="15" customHeight="1" x14ac:dyDescent="0.25">
      <c r="A895" s="292"/>
      <c r="B895" s="292"/>
      <c r="C895" s="292">
        <f>VLOOKUP(B895,Orgenheter!$A$1:$B$213,2,0)</f>
        <v>0</v>
      </c>
    </row>
    <row r="896" spans="1:3" ht="15" customHeight="1" x14ac:dyDescent="0.25">
      <c r="A896" s="292"/>
      <c r="B896" s="292"/>
      <c r="C896" s="292">
        <f>VLOOKUP(B896,Orgenheter!$A$1:$B$213,2,0)</f>
        <v>0</v>
      </c>
    </row>
    <row r="897" spans="1:3" ht="15" customHeight="1" x14ac:dyDescent="0.25">
      <c r="A897" s="292"/>
      <c r="B897" s="292"/>
      <c r="C897" s="292">
        <f>VLOOKUP(B897,Orgenheter!$A$1:$B$213,2,0)</f>
        <v>0</v>
      </c>
    </row>
    <row r="898" spans="1:3" ht="15" customHeight="1" x14ac:dyDescent="0.25">
      <c r="A898" s="292"/>
      <c r="B898" s="292"/>
      <c r="C898" s="292">
        <f>VLOOKUP(B898,Orgenheter!$A$1:$B$213,2,0)</f>
        <v>0</v>
      </c>
    </row>
    <row r="899" spans="1:3" ht="15" customHeight="1" x14ac:dyDescent="0.25">
      <c r="A899" s="292"/>
      <c r="B899" s="292"/>
      <c r="C899" s="292">
        <f>VLOOKUP(B899,Orgenheter!$A$1:$B$213,2,0)</f>
        <v>0</v>
      </c>
    </row>
    <row r="900" spans="1:3" ht="15" customHeight="1" x14ac:dyDescent="0.25">
      <c r="A900" s="292"/>
      <c r="B900" s="292"/>
      <c r="C900" s="292">
        <f>VLOOKUP(B900,Orgenheter!$A$1:$B$213,2,0)</f>
        <v>0</v>
      </c>
    </row>
    <row r="901" spans="1:3" ht="15" customHeight="1" x14ac:dyDescent="0.25">
      <c r="A901" s="292"/>
      <c r="B901" s="292"/>
      <c r="C901" s="292">
        <f>VLOOKUP(B901,Orgenheter!$A$1:$B$213,2,0)</f>
        <v>0</v>
      </c>
    </row>
    <row r="902" spans="1:3" ht="15" customHeight="1" x14ac:dyDescent="0.25">
      <c r="A902" s="292"/>
      <c r="B902" s="292"/>
      <c r="C902" s="292">
        <f>VLOOKUP(B902,Orgenheter!$A$1:$B$213,2,0)</f>
        <v>0</v>
      </c>
    </row>
    <row r="903" spans="1:3" ht="15" customHeight="1" x14ac:dyDescent="0.25">
      <c r="A903" s="292"/>
      <c r="B903" s="292"/>
      <c r="C903" s="292">
        <f>VLOOKUP(B903,Orgenheter!$A$1:$B$213,2,0)</f>
        <v>0</v>
      </c>
    </row>
    <row r="904" spans="1:3" ht="15" customHeight="1" x14ac:dyDescent="0.25">
      <c r="A904" s="292"/>
      <c r="B904" s="292"/>
      <c r="C904" s="292">
        <f>VLOOKUP(B904,Orgenheter!$A$1:$B$213,2,0)</f>
        <v>0</v>
      </c>
    </row>
    <row r="905" spans="1:3" ht="15" customHeight="1" x14ac:dyDescent="0.25">
      <c r="A905" s="292"/>
      <c r="B905" s="292"/>
      <c r="C905" s="292">
        <f>VLOOKUP(B905,Orgenheter!$A$1:$B$213,2,0)</f>
        <v>0</v>
      </c>
    </row>
    <row r="906" spans="1:3" ht="15" customHeight="1" x14ac:dyDescent="0.25">
      <c r="A906" s="292"/>
      <c r="B906" s="292"/>
      <c r="C906" s="292">
        <f>VLOOKUP(B906,Orgenheter!$A$1:$B$213,2,0)</f>
        <v>0</v>
      </c>
    </row>
    <row r="907" spans="1:3" ht="15" customHeight="1" x14ac:dyDescent="0.25">
      <c r="A907" s="292"/>
      <c r="B907" s="292"/>
      <c r="C907" s="292">
        <f>VLOOKUP(B907,Orgenheter!$A$1:$B$213,2,0)</f>
        <v>0</v>
      </c>
    </row>
    <row r="908" spans="1:3" ht="15" customHeight="1" x14ac:dyDescent="0.25">
      <c r="A908" s="292"/>
      <c r="B908" s="292"/>
      <c r="C908" s="292">
        <f>VLOOKUP(B908,Orgenheter!$A$1:$B$213,2,0)</f>
        <v>0</v>
      </c>
    </row>
    <row r="909" spans="1:3" ht="15" customHeight="1" x14ac:dyDescent="0.25">
      <c r="A909" s="292"/>
      <c r="B909" s="292"/>
      <c r="C909" s="292">
        <f>VLOOKUP(B909,Orgenheter!$A$1:$B$213,2,0)</f>
        <v>0</v>
      </c>
    </row>
    <row r="910" spans="1:3" ht="15" customHeight="1" x14ac:dyDescent="0.25">
      <c r="A910" s="292"/>
      <c r="B910" s="292"/>
      <c r="C910" s="292">
        <f>VLOOKUP(B910,Orgenheter!$A$1:$B$213,2,0)</f>
        <v>0</v>
      </c>
    </row>
    <row r="911" spans="1:3" ht="15" customHeight="1" x14ac:dyDescent="0.25">
      <c r="A911" s="292"/>
      <c r="B911" s="292"/>
      <c r="C911" s="292">
        <f>VLOOKUP(B911,Orgenheter!$A$1:$B$213,2,0)</f>
        <v>0</v>
      </c>
    </row>
    <row r="912" spans="1:3" ht="15" customHeight="1" x14ac:dyDescent="0.25">
      <c r="A912" s="292"/>
      <c r="B912" s="292"/>
      <c r="C912" s="292">
        <f>VLOOKUP(B912,Orgenheter!$A$1:$B$213,2,0)</f>
        <v>0</v>
      </c>
    </row>
    <row r="913" spans="1:3" ht="15" customHeight="1" x14ac:dyDescent="0.25">
      <c r="A913" s="292"/>
      <c r="B913" s="292"/>
      <c r="C913" s="292">
        <f>VLOOKUP(B913,Orgenheter!$A$1:$B$213,2,0)</f>
        <v>0</v>
      </c>
    </row>
    <row r="914" spans="1:3" ht="15" customHeight="1" x14ac:dyDescent="0.25">
      <c r="A914" s="292"/>
      <c r="B914" s="292"/>
      <c r="C914" s="292">
        <f>VLOOKUP(B914,Orgenheter!$A$1:$B$213,2,0)</f>
        <v>0</v>
      </c>
    </row>
    <row r="915" spans="1:3" ht="15" customHeight="1" x14ac:dyDescent="0.25">
      <c r="A915" s="292"/>
      <c r="B915" s="292"/>
      <c r="C915" s="292">
        <f>VLOOKUP(B915,Orgenheter!$A$1:$B$213,2,0)</f>
        <v>0</v>
      </c>
    </row>
    <row r="916" spans="1:3" ht="15" customHeight="1" x14ac:dyDescent="0.25">
      <c r="A916" s="292"/>
      <c r="B916" s="292"/>
      <c r="C916" s="292">
        <f>VLOOKUP(B916,Orgenheter!$A$1:$B$213,2,0)</f>
        <v>0</v>
      </c>
    </row>
    <row r="917" spans="1:3" ht="15" customHeight="1" x14ac:dyDescent="0.25">
      <c r="A917" s="292"/>
      <c r="B917" s="292"/>
      <c r="C917" s="292">
        <f>VLOOKUP(B917,Orgenheter!$A$1:$B$213,2,0)</f>
        <v>0</v>
      </c>
    </row>
    <row r="918" spans="1:3" ht="15" customHeight="1" x14ac:dyDescent="0.25">
      <c r="A918" s="292"/>
      <c r="B918" s="292"/>
      <c r="C918" s="292">
        <f>VLOOKUP(B918,Orgenheter!$A$1:$B$213,2,0)</f>
        <v>0</v>
      </c>
    </row>
    <row r="919" spans="1:3" ht="15" customHeight="1" x14ac:dyDescent="0.25">
      <c r="A919" s="292"/>
      <c r="B919" s="292"/>
      <c r="C919" s="292">
        <f>VLOOKUP(B919,Orgenheter!$A$1:$B$213,2,0)</f>
        <v>0</v>
      </c>
    </row>
    <row r="920" spans="1:3" ht="15" customHeight="1" x14ac:dyDescent="0.25">
      <c r="A920" s="292"/>
      <c r="B920" s="292"/>
      <c r="C920" s="292">
        <f>VLOOKUP(B920,Orgenheter!$A$1:$B$213,2,0)</f>
        <v>0</v>
      </c>
    </row>
    <row r="921" spans="1:3" ht="15" customHeight="1" x14ac:dyDescent="0.25">
      <c r="A921" s="292"/>
      <c r="B921" s="292"/>
      <c r="C921" s="292">
        <f>VLOOKUP(B921,Orgenheter!$A$1:$B$213,2,0)</f>
        <v>0</v>
      </c>
    </row>
    <row r="922" spans="1:3" ht="15" customHeight="1" x14ac:dyDescent="0.25">
      <c r="A922" s="292"/>
      <c r="B922" s="292"/>
      <c r="C922" s="292">
        <f>VLOOKUP(B922,Orgenheter!$A$1:$B$213,2,0)</f>
        <v>0</v>
      </c>
    </row>
    <row r="923" spans="1:3" ht="15" customHeight="1" x14ac:dyDescent="0.25">
      <c r="A923" s="292"/>
      <c r="B923" s="292"/>
      <c r="C923" s="292">
        <f>VLOOKUP(B923,Orgenheter!$A$1:$B$213,2,0)</f>
        <v>0</v>
      </c>
    </row>
    <row r="924" spans="1:3" ht="15" customHeight="1" x14ac:dyDescent="0.25">
      <c r="A924" s="292"/>
      <c r="B924" s="292"/>
      <c r="C924" s="292">
        <f>VLOOKUP(B924,Orgenheter!$A$1:$B$213,2,0)</f>
        <v>0</v>
      </c>
    </row>
    <row r="925" spans="1:3" ht="15" customHeight="1" x14ac:dyDescent="0.25">
      <c r="A925" s="292"/>
      <c r="B925" s="292"/>
      <c r="C925" s="292">
        <f>VLOOKUP(B925,Orgenheter!$A$1:$B$213,2,0)</f>
        <v>0</v>
      </c>
    </row>
    <row r="926" spans="1:3" ht="15" customHeight="1" x14ac:dyDescent="0.25">
      <c r="A926" s="292"/>
      <c r="B926" s="292"/>
      <c r="C926" s="292">
        <f>VLOOKUP(B926,Orgenheter!$A$1:$B$213,2,0)</f>
        <v>0</v>
      </c>
    </row>
    <row r="927" spans="1:3" ht="15" customHeight="1" x14ac:dyDescent="0.25">
      <c r="A927" s="292"/>
      <c r="B927" s="292"/>
      <c r="C927" s="292">
        <f>VLOOKUP(B927,Orgenheter!$A$1:$B$213,2,0)</f>
        <v>0</v>
      </c>
    </row>
    <row r="928" spans="1:3" ht="15" customHeight="1" x14ac:dyDescent="0.25">
      <c r="A928" s="292"/>
      <c r="B928" s="292"/>
      <c r="C928" s="292">
        <f>VLOOKUP(B928,Orgenheter!$A$1:$B$213,2,0)</f>
        <v>0</v>
      </c>
    </row>
    <row r="929" spans="1:3" ht="15" customHeight="1" x14ac:dyDescent="0.25">
      <c r="A929" s="292"/>
      <c r="B929" s="292"/>
      <c r="C929" s="292">
        <f>VLOOKUP(B929,Orgenheter!$A$1:$B$213,2,0)</f>
        <v>0</v>
      </c>
    </row>
    <row r="930" spans="1:3" ht="15" customHeight="1" x14ac:dyDescent="0.25">
      <c r="A930" s="292"/>
      <c r="B930" s="292"/>
      <c r="C930" s="292">
        <f>VLOOKUP(B930,Orgenheter!$A$1:$B$213,2,0)</f>
        <v>0</v>
      </c>
    </row>
    <row r="931" spans="1:3" ht="15" customHeight="1" x14ac:dyDescent="0.25">
      <c r="A931" s="292"/>
      <c r="B931" s="292"/>
      <c r="C931" s="292">
        <f>VLOOKUP(B931,Orgenheter!$A$1:$B$213,2,0)</f>
        <v>0</v>
      </c>
    </row>
    <row r="932" spans="1:3" ht="15" customHeight="1" x14ac:dyDescent="0.25">
      <c r="A932" s="292"/>
      <c r="B932" s="292"/>
      <c r="C932" s="292">
        <f>VLOOKUP(B932,Orgenheter!$A$1:$B$213,2,0)</f>
        <v>0</v>
      </c>
    </row>
    <row r="933" spans="1:3" ht="15" customHeight="1" x14ac:dyDescent="0.25">
      <c r="A933" s="292"/>
      <c r="B933" s="292"/>
      <c r="C933" s="292">
        <f>VLOOKUP(B933,Orgenheter!$A$1:$B$213,2,0)</f>
        <v>0</v>
      </c>
    </row>
    <row r="934" spans="1:3" ht="15" customHeight="1" x14ac:dyDescent="0.25">
      <c r="A934" s="292"/>
      <c r="B934" s="292"/>
      <c r="C934" s="292">
        <f>VLOOKUP(B934,Orgenheter!$A$1:$B$213,2,0)</f>
        <v>0</v>
      </c>
    </row>
    <row r="935" spans="1:3" ht="15" customHeight="1" x14ac:dyDescent="0.25">
      <c r="A935" s="292"/>
      <c r="B935" s="292"/>
      <c r="C935" s="292">
        <f>VLOOKUP(B935,Orgenheter!$A$1:$B$213,2,0)</f>
        <v>0</v>
      </c>
    </row>
    <row r="936" spans="1:3" ht="15" customHeight="1" x14ac:dyDescent="0.25">
      <c r="A936" s="292"/>
      <c r="B936" s="292"/>
      <c r="C936" s="292">
        <f>VLOOKUP(B936,Orgenheter!$A$1:$B$213,2,0)</f>
        <v>0</v>
      </c>
    </row>
    <row r="937" spans="1:3" ht="15" customHeight="1" x14ac:dyDescent="0.25">
      <c r="A937" s="292"/>
      <c r="B937" s="292"/>
      <c r="C937" s="292">
        <f>VLOOKUP(B937,Orgenheter!$A$1:$B$213,2,0)</f>
        <v>0</v>
      </c>
    </row>
    <row r="938" spans="1:3" ht="15" customHeight="1" x14ac:dyDescent="0.25">
      <c r="A938" s="292"/>
      <c r="B938" s="292"/>
      <c r="C938" s="292">
        <f>VLOOKUP(B938,Orgenheter!$A$1:$B$213,2,0)</f>
        <v>0</v>
      </c>
    </row>
    <row r="939" spans="1:3" ht="15" customHeight="1" x14ac:dyDescent="0.25">
      <c r="A939" s="292"/>
      <c r="B939" s="292"/>
      <c r="C939" s="292">
        <f>VLOOKUP(B939,Orgenheter!$A$1:$B$213,2,0)</f>
        <v>0</v>
      </c>
    </row>
    <row r="940" spans="1:3" ht="15" customHeight="1" x14ac:dyDescent="0.25">
      <c r="A940" s="292"/>
      <c r="B940" s="292"/>
      <c r="C940" s="292">
        <f>VLOOKUP(B940,Orgenheter!$A$1:$B$213,2,0)</f>
        <v>0</v>
      </c>
    </row>
    <row r="941" spans="1:3" ht="15" customHeight="1" x14ac:dyDescent="0.25">
      <c r="A941" s="292"/>
      <c r="B941" s="292"/>
      <c r="C941" s="292">
        <f>VLOOKUP(B941,Orgenheter!$A$1:$B$213,2,0)</f>
        <v>0</v>
      </c>
    </row>
    <row r="942" spans="1:3" ht="15" customHeight="1" x14ac:dyDescent="0.25">
      <c r="A942" s="292"/>
      <c r="B942" s="292"/>
      <c r="C942" s="292">
        <f>VLOOKUP(B942,Orgenheter!$A$1:$B$213,2,0)</f>
        <v>0</v>
      </c>
    </row>
    <row r="943" spans="1:3" ht="15" customHeight="1" x14ac:dyDescent="0.25">
      <c r="A943" s="292"/>
      <c r="B943" s="292"/>
      <c r="C943" s="292">
        <f>VLOOKUP(B943,Orgenheter!$A$1:$B$213,2,0)</f>
        <v>0</v>
      </c>
    </row>
    <row r="944" spans="1:3" ht="15" customHeight="1" x14ac:dyDescent="0.25">
      <c r="A944" s="292"/>
      <c r="B944" s="292"/>
      <c r="C944" s="292">
        <f>VLOOKUP(B944,Orgenheter!$A$1:$B$213,2,0)</f>
        <v>0</v>
      </c>
    </row>
    <row r="945" spans="1:3" ht="15" customHeight="1" x14ac:dyDescent="0.25">
      <c r="A945" s="292"/>
      <c r="B945" s="292"/>
      <c r="C945" s="292">
        <f>VLOOKUP(B945,Orgenheter!$A$1:$B$213,2,0)</f>
        <v>0</v>
      </c>
    </row>
    <row r="946" spans="1:3" ht="15" customHeight="1" x14ac:dyDescent="0.25">
      <c r="A946" s="292"/>
      <c r="B946" s="292"/>
      <c r="C946" s="292">
        <f>VLOOKUP(B946,Orgenheter!$A$1:$B$213,2,0)</f>
        <v>0</v>
      </c>
    </row>
    <row r="947" spans="1:3" ht="15" customHeight="1" x14ac:dyDescent="0.25">
      <c r="A947" s="292"/>
      <c r="B947" s="292"/>
      <c r="C947" s="292">
        <f>VLOOKUP(B947,Orgenheter!$A$1:$B$213,2,0)</f>
        <v>0</v>
      </c>
    </row>
    <row r="948" spans="1:3" ht="15" customHeight="1" x14ac:dyDescent="0.25">
      <c r="A948" s="292"/>
      <c r="B948" s="292"/>
      <c r="C948" s="292">
        <f>VLOOKUP(B948,Orgenheter!$A$1:$B$213,2,0)</f>
        <v>0</v>
      </c>
    </row>
    <row r="949" spans="1:3" ht="15" customHeight="1" x14ac:dyDescent="0.25">
      <c r="A949" s="292"/>
      <c r="B949" s="292"/>
      <c r="C949" s="292">
        <f>VLOOKUP(B949,Orgenheter!$A$1:$B$213,2,0)</f>
        <v>0</v>
      </c>
    </row>
    <row r="950" spans="1:3" ht="15" customHeight="1" x14ac:dyDescent="0.25">
      <c r="A950" s="292"/>
      <c r="B950" s="292"/>
      <c r="C950" s="292">
        <f>VLOOKUP(B950,Orgenheter!$A$1:$B$213,2,0)</f>
        <v>0</v>
      </c>
    </row>
    <row r="951" spans="1:3" ht="15" customHeight="1" x14ac:dyDescent="0.25">
      <c r="A951" s="292"/>
      <c r="B951" s="292"/>
      <c r="C951" s="292">
        <f>VLOOKUP(B951,Orgenheter!$A$1:$B$213,2,0)</f>
        <v>0</v>
      </c>
    </row>
    <row r="952" spans="1:3" ht="15" customHeight="1" x14ac:dyDescent="0.25">
      <c r="A952" s="292"/>
      <c r="B952" s="292"/>
      <c r="C952" s="292">
        <f>VLOOKUP(B952,Orgenheter!$A$1:$B$213,2,0)</f>
        <v>0</v>
      </c>
    </row>
    <row r="953" spans="1:3" ht="15" customHeight="1" x14ac:dyDescent="0.25">
      <c r="A953" s="292"/>
      <c r="B953" s="292"/>
      <c r="C953" s="292">
        <f>VLOOKUP(B953,Orgenheter!$A$1:$B$213,2,0)</f>
        <v>0</v>
      </c>
    </row>
    <row r="954" spans="1:3" ht="15" customHeight="1" x14ac:dyDescent="0.25">
      <c r="A954" s="292"/>
      <c r="B954" s="292"/>
      <c r="C954" s="292">
        <f>VLOOKUP(B954,Orgenheter!$A$1:$B$213,2,0)</f>
        <v>0</v>
      </c>
    </row>
    <row r="955" spans="1:3" ht="15" customHeight="1" x14ac:dyDescent="0.25">
      <c r="A955" s="292"/>
      <c r="B955" s="292"/>
      <c r="C955" s="292">
        <f>VLOOKUP(B955,Orgenheter!$A$1:$B$213,2,0)</f>
        <v>0</v>
      </c>
    </row>
    <row r="956" spans="1:3" ht="15" customHeight="1" x14ac:dyDescent="0.25">
      <c r="A956" s="292"/>
      <c r="B956" s="292"/>
      <c r="C956" s="292">
        <f>VLOOKUP(B956,Orgenheter!$A$1:$B$213,2,0)</f>
        <v>0</v>
      </c>
    </row>
    <row r="957" spans="1:3" ht="15" customHeight="1" x14ac:dyDescent="0.25">
      <c r="A957" s="292"/>
      <c r="B957" s="292"/>
      <c r="C957" s="292">
        <f>VLOOKUP(B957,Orgenheter!$A$1:$B$213,2,0)</f>
        <v>0</v>
      </c>
    </row>
    <row r="958" spans="1:3" ht="15" customHeight="1" x14ac:dyDescent="0.25">
      <c r="A958" s="292"/>
      <c r="B958" s="292"/>
      <c r="C958" s="292">
        <f>VLOOKUP(B958,Orgenheter!$A$1:$B$213,2,0)</f>
        <v>0</v>
      </c>
    </row>
    <row r="959" spans="1:3" ht="15" customHeight="1" x14ac:dyDescent="0.25">
      <c r="A959" s="292"/>
      <c r="B959" s="292"/>
      <c r="C959" s="292">
        <f>VLOOKUP(B959,Orgenheter!$A$1:$B$213,2,0)</f>
        <v>0</v>
      </c>
    </row>
    <row r="960" spans="1:3" x14ac:dyDescent="0.25">
      <c r="A960" s="292"/>
      <c r="B960" s="292"/>
      <c r="C960" s="292">
        <f>VLOOKUP(B960,Orgenheter!$A$1:$B$213,2,0)</f>
        <v>0</v>
      </c>
    </row>
    <row r="961" spans="1:3" x14ac:dyDescent="0.25">
      <c r="A961" s="292"/>
      <c r="B961" s="292"/>
      <c r="C961" s="292">
        <f>VLOOKUP(B961,Orgenheter!$A$1:$B$213,2,0)</f>
        <v>0</v>
      </c>
    </row>
    <row r="962" spans="1:3" x14ac:dyDescent="0.25">
      <c r="A962" s="292"/>
      <c r="B962" s="292"/>
      <c r="C962" s="292">
        <f>VLOOKUP(B962,Orgenheter!$A$1:$B$213,2,0)</f>
        <v>0</v>
      </c>
    </row>
    <row r="963" spans="1:3" x14ac:dyDescent="0.25">
      <c r="A963" s="292"/>
      <c r="B963" s="292"/>
      <c r="C963" s="292">
        <f>VLOOKUP(B963,Orgenheter!$A$1:$B$213,2,0)</f>
        <v>0</v>
      </c>
    </row>
    <row r="964" spans="1:3" x14ac:dyDescent="0.25">
      <c r="A964" s="292"/>
      <c r="B964" s="292"/>
      <c r="C964" s="292">
        <f>VLOOKUP(B964,Orgenheter!$A$1:$B$213,2,0)</f>
        <v>0</v>
      </c>
    </row>
    <row r="965" spans="1:3" x14ac:dyDescent="0.25">
      <c r="A965" s="292"/>
      <c r="B965" s="292"/>
      <c r="C965" s="292">
        <f>VLOOKUP(B965,Orgenheter!$A$1:$B$213,2,0)</f>
        <v>0</v>
      </c>
    </row>
    <row r="966" spans="1:3" x14ac:dyDescent="0.25">
      <c r="A966" s="292"/>
      <c r="B966" s="292"/>
      <c r="C966" s="292">
        <f>VLOOKUP(B966,Orgenheter!$A$1:$B$213,2,0)</f>
        <v>0</v>
      </c>
    </row>
    <row r="967" spans="1:3" x14ac:dyDescent="0.25">
      <c r="A967" s="292"/>
      <c r="B967" s="292"/>
      <c r="C967" s="292">
        <f>VLOOKUP(B967,Orgenheter!$A$1:$B$213,2,0)</f>
        <v>0</v>
      </c>
    </row>
    <row r="968" spans="1:3" x14ac:dyDescent="0.25">
      <c r="A968" s="292"/>
      <c r="B968" s="292"/>
      <c r="C968" s="292">
        <f>VLOOKUP(B968,Orgenheter!$A$1:$B$213,2,0)</f>
        <v>0</v>
      </c>
    </row>
    <row r="969" spans="1:3" x14ac:dyDescent="0.25">
      <c r="A969" s="292"/>
      <c r="B969" s="292"/>
      <c r="C969" s="292">
        <f>VLOOKUP(B969,Orgenheter!$A$1:$B$213,2,0)</f>
        <v>0</v>
      </c>
    </row>
    <row r="970" spans="1:3" x14ac:dyDescent="0.25">
      <c r="A970" s="292"/>
      <c r="B970" s="292"/>
      <c r="C970" s="292">
        <f>VLOOKUP(B970,Orgenheter!$A$1:$B$213,2,0)</f>
        <v>0</v>
      </c>
    </row>
    <row r="971" spans="1:3" x14ac:dyDescent="0.25">
      <c r="A971" s="292"/>
      <c r="B971" s="292"/>
      <c r="C971" s="292">
        <f>VLOOKUP(B971,Orgenheter!$A$1:$B$213,2,0)</f>
        <v>0</v>
      </c>
    </row>
    <row r="972" spans="1:3" x14ac:dyDescent="0.25">
      <c r="A972" s="292"/>
      <c r="B972" s="292"/>
      <c r="C972" s="292">
        <f>VLOOKUP(B972,Orgenheter!$A$1:$B$213,2,0)</f>
        <v>0</v>
      </c>
    </row>
    <row r="973" spans="1:3" x14ac:dyDescent="0.25">
      <c r="A973" s="292"/>
      <c r="B973" s="292"/>
      <c r="C973" s="292">
        <f>VLOOKUP(B973,Orgenheter!$A$1:$B$213,2,0)</f>
        <v>0</v>
      </c>
    </row>
    <row r="974" spans="1:3" x14ac:dyDescent="0.25">
      <c r="C974" s="346">
        <f>VLOOKUP(B974,Orgenheter!$A$1:$B$213,2,0)</f>
        <v>0</v>
      </c>
    </row>
    <row r="975" spans="1:3" x14ac:dyDescent="0.25">
      <c r="C975" s="61">
        <f>VLOOKUP(B975,Orgenheter!$A$1:$B$213,2,0)</f>
        <v>0</v>
      </c>
    </row>
    <row r="976" spans="1:3" x14ac:dyDescent="0.25">
      <c r="C976" s="61">
        <f>VLOOKUP(B976,Orgenheter!$A$1:$B$213,2,0)</f>
        <v>0</v>
      </c>
    </row>
    <row r="977" spans="3:3" x14ac:dyDescent="0.25">
      <c r="C977" s="61">
        <f>VLOOKUP(B977,Orgenheter!$A$1:$B$213,2,0)</f>
        <v>0</v>
      </c>
    </row>
    <row r="978" spans="3:3" x14ac:dyDescent="0.25">
      <c r="C978" s="61">
        <f>VLOOKUP(B978,Orgenheter!$A$1:$B$213,2,0)</f>
        <v>0</v>
      </c>
    </row>
    <row r="979" spans="3:3" x14ac:dyDescent="0.25">
      <c r="C979" s="61">
        <f>VLOOKUP(B979,Orgenheter!$A$1:$B$213,2,0)</f>
        <v>0</v>
      </c>
    </row>
    <row r="980" spans="3:3" x14ac:dyDescent="0.25">
      <c r="C980" s="61">
        <f>VLOOKUP(B980,Orgenheter!$A$1:$B$213,2,0)</f>
        <v>0</v>
      </c>
    </row>
    <row r="981" spans="3:3" x14ac:dyDescent="0.25">
      <c r="C981" s="61">
        <f>VLOOKUP(B981,Orgenheter!$A$1:$B$213,2,0)</f>
        <v>0</v>
      </c>
    </row>
    <row r="982" spans="3:3" x14ac:dyDescent="0.25">
      <c r="C982" s="61">
        <f>VLOOKUP(B982,Orgenheter!$A$1:$B$213,2,0)</f>
        <v>0</v>
      </c>
    </row>
    <row r="983" spans="3:3" x14ac:dyDescent="0.25">
      <c r="C983" s="61">
        <f>VLOOKUP(B983,Orgenheter!$A$1:$B$213,2,0)</f>
        <v>0</v>
      </c>
    </row>
    <row r="984" spans="3:3" x14ac:dyDescent="0.25">
      <c r="C984" s="61">
        <f>VLOOKUP(B984,Orgenheter!$A$1:$B$213,2,0)</f>
        <v>0</v>
      </c>
    </row>
    <row r="985" spans="3:3" x14ac:dyDescent="0.25">
      <c r="C985" s="61">
        <f>VLOOKUP(B985,Orgenheter!$A$1:$B$213,2,0)</f>
        <v>0</v>
      </c>
    </row>
    <row r="986" spans="3:3" x14ac:dyDescent="0.25">
      <c r="C986" s="61">
        <f>VLOOKUP(B986,Orgenheter!$A$1:$B$213,2,0)</f>
        <v>0</v>
      </c>
    </row>
    <row r="987" spans="3:3" x14ac:dyDescent="0.25">
      <c r="C987" s="61">
        <f>VLOOKUP(B987,Orgenheter!$A$1:$B$213,2,0)</f>
        <v>0</v>
      </c>
    </row>
    <row r="988" spans="3:3" x14ac:dyDescent="0.25">
      <c r="C988" s="61">
        <f>VLOOKUP(B988,Orgenheter!$A$1:$B$213,2,0)</f>
        <v>0</v>
      </c>
    </row>
    <row r="989" spans="3:3" x14ac:dyDescent="0.25">
      <c r="C989" s="61">
        <f>VLOOKUP(B989,Orgenheter!$A$1:$B$213,2,0)</f>
        <v>0</v>
      </c>
    </row>
    <row r="990" spans="3:3" x14ac:dyDescent="0.25">
      <c r="C990" s="61">
        <f>VLOOKUP(B990,Orgenheter!$A$1:$B$213,2,0)</f>
        <v>0</v>
      </c>
    </row>
    <row r="991" spans="3:3" x14ac:dyDescent="0.25">
      <c r="C991" s="61">
        <f>VLOOKUP(B991,Orgenheter!$A$1:$B$213,2,0)</f>
        <v>0</v>
      </c>
    </row>
    <row r="992" spans="3:3" x14ac:dyDescent="0.25">
      <c r="C992" s="61">
        <f>VLOOKUP(B992,Orgenheter!$A$1:$B$213,2,0)</f>
        <v>0</v>
      </c>
    </row>
    <row r="993" spans="3:3" x14ac:dyDescent="0.25">
      <c r="C993" s="61">
        <f>VLOOKUP(B993,Orgenheter!$A$1:$B$213,2,0)</f>
        <v>0</v>
      </c>
    </row>
    <row r="994" spans="3:3" x14ac:dyDescent="0.25">
      <c r="C994" s="61">
        <f>VLOOKUP(B994,Orgenheter!$A$1:$B$213,2,0)</f>
        <v>0</v>
      </c>
    </row>
    <row r="995" spans="3:3" x14ac:dyDescent="0.25">
      <c r="C995" s="61">
        <f>VLOOKUP(B995,Orgenheter!$A$1:$B$213,2,0)</f>
        <v>0</v>
      </c>
    </row>
    <row r="996" spans="3:3" x14ac:dyDescent="0.25">
      <c r="C996" s="61">
        <f>VLOOKUP(B996,Orgenheter!$A$1:$B$213,2,0)</f>
        <v>0</v>
      </c>
    </row>
    <row r="997" spans="3:3" x14ac:dyDescent="0.25">
      <c r="C997" s="61">
        <f>VLOOKUP(B997,Orgenheter!$A$1:$B$213,2,0)</f>
        <v>0</v>
      </c>
    </row>
    <row r="998" spans="3:3" x14ac:dyDescent="0.25">
      <c r="C998" s="61">
        <f>VLOOKUP(B998,Orgenheter!$A$1:$B$213,2,0)</f>
        <v>0</v>
      </c>
    </row>
    <row r="999" spans="3:3" x14ac:dyDescent="0.25">
      <c r="C999" s="61">
        <f>VLOOKUP(B999,Orgenheter!$A$1:$B$213,2,0)</f>
        <v>0</v>
      </c>
    </row>
    <row r="1000" spans="3:3" x14ac:dyDescent="0.25">
      <c r="C1000" s="61">
        <f>VLOOKUP(B1000,Orgenheter!$A$1:$B$213,2,0)</f>
        <v>0</v>
      </c>
    </row>
    <row r="1001" spans="3:3" x14ac:dyDescent="0.25">
      <c r="C1001" s="61">
        <f>VLOOKUP(B1001,Orgenheter!$A$1:$B$213,2,0)</f>
        <v>0</v>
      </c>
    </row>
    <row r="1002" spans="3:3" x14ac:dyDescent="0.25">
      <c r="C1002" s="61">
        <f>VLOOKUP(B1002,Orgenheter!$A$1:$B$213,2,0)</f>
        <v>0</v>
      </c>
    </row>
    <row r="1003" spans="3:3" x14ac:dyDescent="0.25">
      <c r="C1003" s="61">
        <f>VLOOKUP(B1003,Orgenheter!$A$1:$B$213,2,0)</f>
        <v>0</v>
      </c>
    </row>
    <row r="1004" spans="3:3" x14ac:dyDescent="0.25">
      <c r="C1004" s="61">
        <f>VLOOKUP(B1004,Orgenheter!$A$1:$B$213,2,0)</f>
        <v>0</v>
      </c>
    </row>
    <row r="1005" spans="3:3" x14ac:dyDescent="0.25">
      <c r="C1005" s="61">
        <f>VLOOKUP(B1005,Orgenheter!$A$1:$B$213,2,0)</f>
        <v>0</v>
      </c>
    </row>
    <row r="1006" spans="3:3" x14ac:dyDescent="0.25">
      <c r="C1006" s="61">
        <f>VLOOKUP(B1006,Orgenheter!$A$1:$B$213,2,0)</f>
        <v>0</v>
      </c>
    </row>
    <row r="1007" spans="3:3" x14ac:dyDescent="0.25">
      <c r="C1007" s="61">
        <f>VLOOKUP(B1007,Orgenheter!$A$1:$B$213,2,0)</f>
        <v>0</v>
      </c>
    </row>
    <row r="1008" spans="3:3" x14ac:dyDescent="0.25">
      <c r="C1008" s="61">
        <f>VLOOKUP(B1008,Orgenheter!$A$1:$B$213,2,0)</f>
        <v>0</v>
      </c>
    </row>
    <row r="1009" spans="3:3" x14ac:dyDescent="0.25">
      <c r="C1009" s="61">
        <f>VLOOKUP(B1009,Orgenheter!$A$1:$B$213,2,0)</f>
        <v>0</v>
      </c>
    </row>
    <row r="1010" spans="3:3" x14ac:dyDescent="0.25">
      <c r="C1010" s="61">
        <f>VLOOKUP(B1010,Orgenheter!$A$1:$B$213,2,0)</f>
        <v>0</v>
      </c>
    </row>
  </sheetData>
  <sheetProtection sheet="1" objects="1" scenarios="1"/>
  <autoFilter ref="A1:C865">
    <sortState ref="A2:C497">
      <sortCondition ref="A1:A497"/>
    </sortState>
  </autoFilter>
  <sortState ref="A2:C439">
    <sortCondition ref="A2:A439"/>
  </sortState>
  <phoneticPr fontId="42" type="noConversion"/>
  <printOptions horizontalCentered="1" gridLines="1"/>
  <pageMargins left="0.55118110236220474" right="0.55118110236220474" top="0.19685039370078741" bottom="0.47244094488188981" header="0.51181102362204722" footer="7.874015748031496E-2"/>
  <pageSetup paperSize="9" orientation="portrait" r:id="rId1"/>
  <headerFooter alignWithMargins="0">
    <oddFooter>Sida &amp;P av &amp;N</oddFooter>
  </headerFooter>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4:D404"/>
  <sheetViews>
    <sheetView zoomScaleNormal="100" workbookViewId="0">
      <selection activeCell="E2" sqref="E2"/>
    </sheetView>
  </sheetViews>
  <sheetFormatPr defaultColWidth="8.85546875" defaultRowHeight="15" x14ac:dyDescent="0.25"/>
  <cols>
    <col min="1" max="1" width="15.140625" customWidth="1"/>
    <col min="2" max="3" width="7.42578125" customWidth="1"/>
    <col min="4" max="4" width="23" bestFit="1" customWidth="1"/>
    <col min="5" max="6" width="23.85546875" customWidth="1"/>
    <col min="7" max="7" width="23.140625" customWidth="1"/>
    <col min="8" max="8" width="13.140625" customWidth="1"/>
  </cols>
  <sheetData>
    <row r="4" spans="1:4" x14ac:dyDescent="0.25">
      <c r="A4" s="382"/>
      <c r="B4" s="383" t="s">
        <v>4</v>
      </c>
      <c r="C4" s="384"/>
      <c r="D4" s="385"/>
    </row>
    <row r="5" spans="1:4" x14ac:dyDescent="0.25">
      <c r="A5" s="383" t="s">
        <v>59</v>
      </c>
      <c r="B5" s="382" t="s">
        <v>445</v>
      </c>
      <c r="C5" s="386" t="s">
        <v>446</v>
      </c>
      <c r="D5" s="387" t="s">
        <v>860</v>
      </c>
    </row>
    <row r="6" spans="1:4" x14ac:dyDescent="0.25">
      <c r="A6" s="382" t="s">
        <v>2064</v>
      </c>
      <c r="B6" s="388">
        <v>0</v>
      </c>
      <c r="C6" s="389">
        <v>0</v>
      </c>
      <c r="D6" s="390">
        <v>0</v>
      </c>
    </row>
    <row r="7" spans="1:4" x14ac:dyDescent="0.25">
      <c r="A7" s="391" t="s">
        <v>908</v>
      </c>
      <c r="B7" s="392">
        <v>0</v>
      </c>
      <c r="C7" s="293">
        <v>0</v>
      </c>
      <c r="D7" s="393">
        <v>0</v>
      </c>
    </row>
    <row r="8" spans="1:4" x14ac:dyDescent="0.25">
      <c r="A8" s="391" t="s">
        <v>1018</v>
      </c>
      <c r="B8" s="392">
        <v>2.25</v>
      </c>
      <c r="C8" s="293">
        <v>1.9124999999999996</v>
      </c>
      <c r="D8" s="393">
        <v>159430.72499999998</v>
      </c>
    </row>
    <row r="9" spans="1:4" x14ac:dyDescent="0.25">
      <c r="A9" s="391" t="s">
        <v>1581</v>
      </c>
      <c r="B9" s="392">
        <v>0.25</v>
      </c>
      <c r="C9" s="293">
        <v>0.21249999999999999</v>
      </c>
      <c r="D9" s="393">
        <v>17714.525000000001</v>
      </c>
    </row>
    <row r="10" spans="1:4" x14ac:dyDescent="0.25">
      <c r="A10" s="391" t="s">
        <v>1562</v>
      </c>
      <c r="B10" s="392">
        <v>2.25</v>
      </c>
      <c r="C10" s="293">
        <v>1.9125000000000001</v>
      </c>
      <c r="D10" s="393">
        <v>159430.72500000001</v>
      </c>
    </row>
    <row r="11" spans="1:4" x14ac:dyDescent="0.25">
      <c r="A11" s="391" t="s">
        <v>2099</v>
      </c>
      <c r="B11" s="392">
        <v>2.5</v>
      </c>
      <c r="C11" s="293">
        <v>2.125</v>
      </c>
      <c r="D11" s="393">
        <v>177145.25</v>
      </c>
    </row>
    <row r="12" spans="1:4" x14ac:dyDescent="0.25">
      <c r="A12" s="391" t="s">
        <v>2098</v>
      </c>
      <c r="B12" s="392">
        <v>3</v>
      </c>
      <c r="C12" s="293">
        <v>2.5499999999999998</v>
      </c>
      <c r="D12" s="393">
        <v>212574.3</v>
      </c>
    </row>
    <row r="13" spans="1:4" x14ac:dyDescent="0.25">
      <c r="A13" s="391" t="s">
        <v>2237</v>
      </c>
      <c r="B13" s="392">
        <v>0.125</v>
      </c>
      <c r="C13" s="293">
        <v>0.10625</v>
      </c>
      <c r="D13" s="393">
        <v>8857.2625000000007</v>
      </c>
    </row>
    <row r="14" spans="1:4" x14ac:dyDescent="0.25">
      <c r="A14" s="391" t="s">
        <v>1019</v>
      </c>
      <c r="B14" s="392">
        <v>0.1</v>
      </c>
      <c r="C14" s="293">
        <v>8.5000000000000006E-2</v>
      </c>
      <c r="D14" s="393">
        <v>7085.81</v>
      </c>
    </row>
    <row r="15" spans="1:4" x14ac:dyDescent="0.25">
      <c r="A15" s="391" t="s">
        <v>1141</v>
      </c>
      <c r="B15" s="392">
        <v>0.1</v>
      </c>
      <c r="C15" s="293">
        <v>8.5000000000000006E-2</v>
      </c>
      <c r="D15" s="393">
        <v>7085.81</v>
      </c>
    </row>
    <row r="16" spans="1:4" x14ac:dyDescent="0.25">
      <c r="A16" s="391" t="s">
        <v>348</v>
      </c>
      <c r="B16" s="392">
        <v>0.625</v>
      </c>
      <c r="C16" s="293">
        <v>0.53125</v>
      </c>
      <c r="D16" s="393">
        <v>44286.3125</v>
      </c>
    </row>
    <row r="17" spans="1:4" x14ac:dyDescent="0.25">
      <c r="A17" s="391" t="s">
        <v>1513</v>
      </c>
      <c r="B17" s="392">
        <v>0.25</v>
      </c>
      <c r="C17" s="293">
        <v>0.21249999999999999</v>
      </c>
      <c r="D17" s="393">
        <v>17714.525000000001</v>
      </c>
    </row>
    <row r="18" spans="1:4" x14ac:dyDescent="0.25">
      <c r="A18" s="391" t="s">
        <v>954</v>
      </c>
      <c r="B18" s="392">
        <v>0.15</v>
      </c>
      <c r="C18" s="293">
        <v>0.1275</v>
      </c>
      <c r="D18" s="393">
        <v>10628.715</v>
      </c>
    </row>
    <row r="19" spans="1:4" x14ac:dyDescent="0.25">
      <c r="A19" s="391" t="s">
        <v>1583</v>
      </c>
      <c r="B19" s="392">
        <v>0.4</v>
      </c>
      <c r="C19" s="293">
        <v>0.34</v>
      </c>
      <c r="D19" s="393">
        <v>28343.24</v>
      </c>
    </row>
    <row r="20" spans="1:4" x14ac:dyDescent="0.25">
      <c r="A20" s="391" t="s">
        <v>1794</v>
      </c>
      <c r="B20" s="392">
        <v>0.1</v>
      </c>
      <c r="C20" s="293">
        <v>8.5000000000000006E-2</v>
      </c>
      <c r="D20" s="393">
        <v>7085.81</v>
      </c>
    </row>
    <row r="21" spans="1:4" x14ac:dyDescent="0.25">
      <c r="A21" s="391" t="s">
        <v>1795</v>
      </c>
      <c r="B21" s="392">
        <v>0.1</v>
      </c>
      <c r="C21" s="293">
        <v>8.5000000000000006E-2</v>
      </c>
      <c r="D21" s="393">
        <v>7085.81</v>
      </c>
    </row>
    <row r="22" spans="1:4" x14ac:dyDescent="0.25">
      <c r="A22" s="391" t="s">
        <v>1143</v>
      </c>
      <c r="B22" s="392">
        <v>0</v>
      </c>
      <c r="C22" s="293">
        <v>0</v>
      </c>
      <c r="D22" s="393">
        <v>0</v>
      </c>
    </row>
    <row r="23" spans="1:4" x14ac:dyDescent="0.25">
      <c r="A23" s="391" t="s">
        <v>1602</v>
      </c>
      <c r="B23" s="392">
        <v>7.5000000000000011E-2</v>
      </c>
      <c r="C23" s="293">
        <v>6.3750000000000001E-2</v>
      </c>
      <c r="D23" s="393">
        <v>5314.3575000000001</v>
      </c>
    </row>
    <row r="24" spans="1:4" x14ac:dyDescent="0.25">
      <c r="A24" s="391" t="s">
        <v>2233</v>
      </c>
      <c r="B24" s="392">
        <v>0.25</v>
      </c>
      <c r="C24" s="293">
        <v>0.21249999999999999</v>
      </c>
      <c r="D24" s="393">
        <v>17714.525000000001</v>
      </c>
    </row>
    <row r="25" spans="1:4" x14ac:dyDescent="0.25">
      <c r="A25" s="391" t="s">
        <v>2234</v>
      </c>
      <c r="B25" s="392">
        <v>0.25</v>
      </c>
      <c r="C25" s="293">
        <v>0.21249999999999999</v>
      </c>
      <c r="D25" s="393">
        <v>17714.525000000001</v>
      </c>
    </row>
    <row r="26" spans="1:4" x14ac:dyDescent="0.25">
      <c r="A26" s="391" t="s">
        <v>2191</v>
      </c>
      <c r="B26" s="392">
        <v>7.4999999999999997E-2</v>
      </c>
      <c r="C26" s="293">
        <v>6.3750000000000001E-2</v>
      </c>
      <c r="D26" s="393">
        <v>5314.3575000000001</v>
      </c>
    </row>
    <row r="27" spans="1:4" x14ac:dyDescent="0.25">
      <c r="A27" s="391" t="s">
        <v>1024</v>
      </c>
      <c r="B27" s="392">
        <v>0.25</v>
      </c>
      <c r="C27" s="293">
        <v>0.21249999999999999</v>
      </c>
      <c r="D27" s="393">
        <v>17714.525000000001</v>
      </c>
    </row>
    <row r="28" spans="1:4" x14ac:dyDescent="0.25">
      <c r="A28" s="391" t="s">
        <v>955</v>
      </c>
      <c r="B28" s="392">
        <v>0.5</v>
      </c>
      <c r="C28" s="293">
        <v>0.42499999999999999</v>
      </c>
      <c r="D28" s="393">
        <v>35429.050000000003</v>
      </c>
    </row>
    <row r="29" spans="1:4" x14ac:dyDescent="0.25">
      <c r="A29" s="391" t="s">
        <v>1796</v>
      </c>
      <c r="B29" s="392">
        <v>0.5</v>
      </c>
      <c r="C29" s="293">
        <v>0.42499999999999999</v>
      </c>
      <c r="D29" s="393">
        <v>35429.050000000003</v>
      </c>
    </row>
    <row r="30" spans="1:4" x14ac:dyDescent="0.25">
      <c r="A30" s="391" t="s">
        <v>1852</v>
      </c>
      <c r="B30" s="392">
        <v>0.125</v>
      </c>
      <c r="C30" s="293">
        <v>0.10625</v>
      </c>
      <c r="D30" s="393">
        <v>8857.2625000000007</v>
      </c>
    </row>
    <row r="31" spans="1:4" x14ac:dyDescent="0.25">
      <c r="A31" s="391" t="s">
        <v>1853</v>
      </c>
      <c r="B31" s="392">
        <v>0.125</v>
      </c>
      <c r="C31" s="293">
        <v>0.10625</v>
      </c>
      <c r="D31" s="393">
        <v>8857.2625000000007</v>
      </c>
    </row>
    <row r="32" spans="1:4" x14ac:dyDescent="0.25">
      <c r="A32" s="391" t="s">
        <v>2238</v>
      </c>
      <c r="B32" s="392">
        <v>1</v>
      </c>
      <c r="C32" s="293">
        <v>0.85</v>
      </c>
      <c r="D32" s="393">
        <v>70858.100000000006</v>
      </c>
    </row>
    <row r="33" spans="1:4" x14ac:dyDescent="0.25">
      <c r="A33" s="391" t="s">
        <v>1854</v>
      </c>
      <c r="B33" s="392">
        <v>1.25</v>
      </c>
      <c r="C33" s="293">
        <v>1.0625</v>
      </c>
      <c r="D33" s="393">
        <v>88572.625</v>
      </c>
    </row>
    <row r="34" spans="1:4" x14ac:dyDescent="0.25">
      <c r="A34" s="391" t="s">
        <v>2001</v>
      </c>
      <c r="B34" s="392">
        <v>0.25</v>
      </c>
      <c r="C34" s="293">
        <v>0.21249999999999999</v>
      </c>
      <c r="D34" s="393">
        <v>17714.525000000001</v>
      </c>
    </row>
    <row r="35" spans="1:4" x14ac:dyDescent="0.25">
      <c r="A35" s="391" t="s">
        <v>2193</v>
      </c>
      <c r="B35" s="392">
        <v>0.5</v>
      </c>
      <c r="C35" s="293">
        <v>0.42499999999999999</v>
      </c>
      <c r="D35" s="393">
        <v>35429.050000000003</v>
      </c>
    </row>
    <row r="36" spans="1:4" x14ac:dyDescent="0.25">
      <c r="A36" s="391" t="s">
        <v>1582</v>
      </c>
      <c r="B36" s="392">
        <v>0.125</v>
      </c>
      <c r="C36" s="293">
        <v>0.10625</v>
      </c>
      <c r="D36" s="393">
        <v>8857.2625000000007</v>
      </c>
    </row>
    <row r="37" spans="1:4" x14ac:dyDescent="0.25">
      <c r="A37" s="391" t="s">
        <v>2195</v>
      </c>
      <c r="B37" s="392">
        <v>0.25</v>
      </c>
      <c r="C37" s="293">
        <v>0.21249999999999999</v>
      </c>
      <c r="D37" s="393">
        <v>17714.525000000001</v>
      </c>
    </row>
    <row r="38" spans="1:4" x14ac:dyDescent="0.25">
      <c r="A38" s="391" t="s">
        <v>1486</v>
      </c>
      <c r="B38" s="392">
        <v>1.125</v>
      </c>
      <c r="C38" s="293">
        <v>0.95624999999999982</v>
      </c>
      <c r="D38" s="393">
        <v>79715.362499999988</v>
      </c>
    </row>
    <row r="39" spans="1:4" x14ac:dyDescent="0.25">
      <c r="A39" s="391" t="s">
        <v>2003</v>
      </c>
      <c r="B39" s="392">
        <v>1.125</v>
      </c>
      <c r="C39" s="293">
        <v>0.95624999999999993</v>
      </c>
      <c r="D39" s="393">
        <v>53968.612499999996</v>
      </c>
    </row>
    <row r="40" spans="1:4" x14ac:dyDescent="0.25">
      <c r="A40" s="391" t="s">
        <v>1964</v>
      </c>
      <c r="B40" s="392">
        <v>0.75</v>
      </c>
      <c r="C40" s="293">
        <v>0.63749999999999996</v>
      </c>
      <c r="D40" s="393">
        <v>53143.575000000004</v>
      </c>
    </row>
    <row r="41" spans="1:4" x14ac:dyDescent="0.25">
      <c r="A41" s="391" t="s">
        <v>1955</v>
      </c>
      <c r="B41" s="392">
        <v>2</v>
      </c>
      <c r="C41" s="293">
        <v>1.7</v>
      </c>
      <c r="D41" s="393">
        <v>141716.20000000001</v>
      </c>
    </row>
    <row r="42" spans="1:4" x14ac:dyDescent="0.25">
      <c r="A42" s="391" t="s">
        <v>1496</v>
      </c>
      <c r="B42" s="392">
        <v>0</v>
      </c>
      <c r="C42" s="293">
        <v>0</v>
      </c>
      <c r="D42" s="393">
        <v>0</v>
      </c>
    </row>
    <row r="43" spans="1:4" x14ac:dyDescent="0.25">
      <c r="A43" s="391" t="s">
        <v>1497</v>
      </c>
      <c r="B43" s="392">
        <v>1</v>
      </c>
      <c r="C43" s="293">
        <v>0.85</v>
      </c>
      <c r="D43" s="393">
        <v>70858.100000000006</v>
      </c>
    </row>
    <row r="44" spans="1:4" x14ac:dyDescent="0.25">
      <c r="A44" s="391" t="s">
        <v>1498</v>
      </c>
      <c r="B44" s="392">
        <v>1</v>
      </c>
      <c r="C44" s="293">
        <v>0.85</v>
      </c>
      <c r="D44" s="393">
        <v>70858.100000000006</v>
      </c>
    </row>
    <row r="45" spans="1:4" x14ac:dyDescent="0.25">
      <c r="A45" s="391" t="s">
        <v>2049</v>
      </c>
      <c r="B45" s="392">
        <v>1.25</v>
      </c>
      <c r="C45" s="293">
        <v>1</v>
      </c>
      <c r="D45" s="393">
        <v>86397.25</v>
      </c>
    </row>
    <row r="46" spans="1:4" x14ac:dyDescent="0.25">
      <c r="A46" s="391" t="s">
        <v>487</v>
      </c>
      <c r="B46" s="392">
        <v>18.5</v>
      </c>
      <c r="C46" s="293">
        <v>15.674999999999999</v>
      </c>
      <c r="D46" s="393">
        <v>695034.27500000002</v>
      </c>
    </row>
    <row r="47" spans="1:4" x14ac:dyDescent="0.25">
      <c r="A47" s="391" t="s">
        <v>1748</v>
      </c>
      <c r="B47" s="392">
        <v>12.5</v>
      </c>
      <c r="C47" s="293">
        <v>10.574999999999999</v>
      </c>
      <c r="D47" s="393">
        <v>469361.97499999998</v>
      </c>
    </row>
    <row r="48" spans="1:4" x14ac:dyDescent="0.25">
      <c r="A48" s="391" t="s">
        <v>1749</v>
      </c>
      <c r="B48" s="392">
        <v>20.5</v>
      </c>
      <c r="C48" s="293">
        <v>17.374999999999996</v>
      </c>
      <c r="D48" s="393">
        <v>770258.37500000012</v>
      </c>
    </row>
    <row r="49" spans="1:4" x14ac:dyDescent="0.25">
      <c r="A49" s="391" t="s">
        <v>1897</v>
      </c>
      <c r="B49" s="392">
        <v>1.9000000000000004</v>
      </c>
      <c r="C49" s="293">
        <v>1.615</v>
      </c>
      <c r="D49" s="393">
        <v>91146.99000000002</v>
      </c>
    </row>
    <row r="50" spans="1:4" x14ac:dyDescent="0.25">
      <c r="A50" s="391" t="s">
        <v>1918</v>
      </c>
      <c r="B50" s="392">
        <v>5.875</v>
      </c>
      <c r="C50" s="293">
        <v>4.9937499999999995</v>
      </c>
      <c r="D50" s="393">
        <v>220970.79375000001</v>
      </c>
    </row>
    <row r="51" spans="1:4" x14ac:dyDescent="0.25">
      <c r="A51" s="391" t="s">
        <v>1919</v>
      </c>
      <c r="B51" s="392">
        <v>3.25</v>
      </c>
      <c r="C51" s="293">
        <v>2.7624999999999997</v>
      </c>
      <c r="D51" s="393">
        <v>122239.16250000001</v>
      </c>
    </row>
    <row r="52" spans="1:4" x14ac:dyDescent="0.25">
      <c r="A52" s="391" t="s">
        <v>2045</v>
      </c>
      <c r="B52" s="392">
        <v>5.5</v>
      </c>
      <c r="C52" s="293">
        <v>4.6749999999999998</v>
      </c>
      <c r="D52" s="393">
        <v>206866.27499999999</v>
      </c>
    </row>
    <row r="53" spans="1:4" x14ac:dyDescent="0.25">
      <c r="A53" s="391" t="s">
        <v>2046</v>
      </c>
      <c r="B53" s="392">
        <v>2.625</v>
      </c>
      <c r="C53" s="293">
        <v>2.2312499999999997</v>
      </c>
      <c r="D53" s="393">
        <v>98731.631250000006</v>
      </c>
    </row>
    <row r="54" spans="1:4" x14ac:dyDescent="0.25">
      <c r="A54" s="391" t="s">
        <v>2047</v>
      </c>
      <c r="B54" s="392">
        <v>7</v>
      </c>
      <c r="C54" s="293">
        <v>5.95</v>
      </c>
      <c r="D54" s="393">
        <v>263284.34999999998</v>
      </c>
    </row>
    <row r="55" spans="1:4" x14ac:dyDescent="0.25">
      <c r="A55" s="391" t="s">
        <v>2253</v>
      </c>
      <c r="B55" s="392">
        <v>3.375</v>
      </c>
      <c r="C55" s="293">
        <v>2.7</v>
      </c>
      <c r="D55" s="393">
        <v>124278.97500000001</v>
      </c>
    </row>
    <row r="56" spans="1:4" x14ac:dyDescent="0.25">
      <c r="A56" s="391" t="s">
        <v>400</v>
      </c>
      <c r="B56" s="392">
        <v>8.75</v>
      </c>
      <c r="C56" s="293">
        <v>7</v>
      </c>
      <c r="D56" s="393">
        <v>1147363</v>
      </c>
    </row>
    <row r="57" spans="1:4" x14ac:dyDescent="0.25">
      <c r="A57" s="391" t="s">
        <v>582</v>
      </c>
      <c r="B57" s="392">
        <v>1</v>
      </c>
      <c r="C57" s="293">
        <v>0.85</v>
      </c>
      <c r="D57" s="393">
        <v>165412.1</v>
      </c>
    </row>
    <row r="58" spans="1:4" x14ac:dyDescent="0.25">
      <c r="A58" s="391" t="s">
        <v>1029</v>
      </c>
      <c r="B58" s="392">
        <v>3.375</v>
      </c>
      <c r="C58" s="293">
        <v>2.8687499999999999</v>
      </c>
      <c r="D58" s="393">
        <v>161905.83749999999</v>
      </c>
    </row>
    <row r="59" spans="1:4" x14ac:dyDescent="0.25">
      <c r="A59" s="391" t="s">
        <v>1030</v>
      </c>
      <c r="B59" s="392">
        <v>2.25</v>
      </c>
      <c r="C59" s="293">
        <v>1.9124999999999999</v>
      </c>
      <c r="D59" s="393">
        <v>84627.112499999988</v>
      </c>
    </row>
    <row r="60" spans="1:4" x14ac:dyDescent="0.25">
      <c r="A60" s="391" t="s">
        <v>566</v>
      </c>
      <c r="B60" s="392">
        <v>3</v>
      </c>
      <c r="C60" s="293">
        <v>2.4000000000000004</v>
      </c>
      <c r="D60" s="393">
        <v>487685.4</v>
      </c>
    </row>
    <row r="61" spans="1:4" x14ac:dyDescent="0.25">
      <c r="A61" s="391" t="s">
        <v>1378</v>
      </c>
      <c r="B61" s="392">
        <v>5.5</v>
      </c>
      <c r="C61" s="293">
        <v>4.6749999999999998</v>
      </c>
      <c r="D61" s="393">
        <v>263846.55</v>
      </c>
    </row>
    <row r="62" spans="1:4" x14ac:dyDescent="0.25">
      <c r="A62" s="391" t="s">
        <v>1379</v>
      </c>
      <c r="B62" s="392">
        <v>5.75</v>
      </c>
      <c r="C62" s="293">
        <v>4.8874999999999993</v>
      </c>
      <c r="D62" s="393">
        <v>275839.57499999995</v>
      </c>
    </row>
    <row r="63" spans="1:4" x14ac:dyDescent="0.25">
      <c r="A63" s="391" t="s">
        <v>1380</v>
      </c>
      <c r="B63" s="392">
        <v>4</v>
      </c>
      <c r="C63" s="293">
        <v>3.3999999999999995</v>
      </c>
      <c r="D63" s="393">
        <v>215636.39999999997</v>
      </c>
    </row>
    <row r="64" spans="1:4" x14ac:dyDescent="0.25">
      <c r="A64" s="391" t="s">
        <v>1636</v>
      </c>
      <c r="B64" s="392">
        <v>1.5</v>
      </c>
      <c r="C64" s="293">
        <v>1.2000000000000002</v>
      </c>
      <c r="D64" s="393">
        <v>243842.7</v>
      </c>
    </row>
    <row r="65" spans="1:4" x14ac:dyDescent="0.25">
      <c r="A65" s="391" t="s">
        <v>1637</v>
      </c>
      <c r="B65" s="392">
        <v>0.625</v>
      </c>
      <c r="C65" s="293">
        <v>0.5</v>
      </c>
      <c r="D65" s="393">
        <v>23014.625</v>
      </c>
    </row>
    <row r="66" spans="1:4" x14ac:dyDescent="0.25">
      <c r="A66" s="391" t="s">
        <v>1568</v>
      </c>
      <c r="B66" s="392">
        <v>10.375</v>
      </c>
      <c r="C66" s="293">
        <v>8.8187499999999996</v>
      </c>
      <c r="D66" s="393">
        <v>581343.41249999998</v>
      </c>
    </row>
    <row r="67" spans="1:4" x14ac:dyDescent="0.25">
      <c r="A67" s="391" t="s">
        <v>1469</v>
      </c>
      <c r="B67" s="392">
        <v>1.75</v>
      </c>
      <c r="C67" s="293">
        <v>1.4875</v>
      </c>
      <c r="D67" s="393">
        <v>98057.925000000003</v>
      </c>
    </row>
    <row r="68" spans="1:4" x14ac:dyDescent="0.25">
      <c r="A68" s="391" t="s">
        <v>1723</v>
      </c>
      <c r="B68" s="392">
        <v>1.5</v>
      </c>
      <c r="C68" s="293">
        <v>1.2749999999999999</v>
      </c>
      <c r="D68" s="393">
        <v>84049.65</v>
      </c>
    </row>
    <row r="69" spans="1:4" x14ac:dyDescent="0.25">
      <c r="A69" s="391" t="s">
        <v>1736</v>
      </c>
      <c r="B69" s="392">
        <v>0.625</v>
      </c>
      <c r="C69" s="293">
        <v>0.5</v>
      </c>
      <c r="D69" s="393">
        <v>23014.625</v>
      </c>
    </row>
    <row r="70" spans="1:4" x14ac:dyDescent="0.25">
      <c r="A70" s="391" t="s">
        <v>1729</v>
      </c>
      <c r="B70" s="392">
        <v>0.25</v>
      </c>
      <c r="C70" s="293">
        <v>0.21249999999999999</v>
      </c>
      <c r="D70" s="393">
        <v>11993.025</v>
      </c>
    </row>
    <row r="71" spans="1:4" x14ac:dyDescent="0.25">
      <c r="A71" s="391" t="s">
        <v>1821</v>
      </c>
      <c r="B71" s="392">
        <v>7.5</v>
      </c>
      <c r="C71" s="293">
        <v>6</v>
      </c>
      <c r="D71" s="393">
        <v>1219213.5</v>
      </c>
    </row>
    <row r="72" spans="1:4" x14ac:dyDescent="0.25">
      <c r="A72" s="391" t="s">
        <v>1883</v>
      </c>
      <c r="B72" s="392">
        <v>0.625</v>
      </c>
      <c r="C72" s="293">
        <v>0.5</v>
      </c>
      <c r="D72" s="393">
        <v>23014.625</v>
      </c>
    </row>
    <row r="73" spans="1:4" x14ac:dyDescent="0.25">
      <c r="A73" s="391" t="s">
        <v>1881</v>
      </c>
      <c r="B73" s="392">
        <v>0.5</v>
      </c>
      <c r="C73" s="293">
        <v>0.4</v>
      </c>
      <c r="D73" s="393">
        <v>81280.899999999994</v>
      </c>
    </row>
    <row r="74" spans="1:4" x14ac:dyDescent="0.25">
      <c r="A74" s="391" t="s">
        <v>2061</v>
      </c>
      <c r="B74" s="392">
        <v>0.5</v>
      </c>
      <c r="C74" s="293">
        <v>0.4</v>
      </c>
      <c r="D74" s="393">
        <v>18411.7</v>
      </c>
    </row>
    <row r="75" spans="1:4" x14ac:dyDescent="0.25">
      <c r="A75" s="391" t="s">
        <v>2060</v>
      </c>
      <c r="B75" s="392">
        <v>1</v>
      </c>
      <c r="C75" s="293">
        <v>0.8</v>
      </c>
      <c r="D75" s="393">
        <v>162561.79999999999</v>
      </c>
    </row>
    <row r="76" spans="1:4" x14ac:dyDescent="0.25">
      <c r="A76" s="391" t="s">
        <v>2200</v>
      </c>
      <c r="B76" s="392">
        <v>2</v>
      </c>
      <c r="C76" s="293">
        <v>1.6</v>
      </c>
      <c r="D76" s="393">
        <v>325123.59999999998</v>
      </c>
    </row>
    <row r="77" spans="1:4" x14ac:dyDescent="0.25">
      <c r="A77" s="391" t="s">
        <v>2119</v>
      </c>
      <c r="B77" s="392">
        <v>3.75</v>
      </c>
      <c r="C77" s="293">
        <v>3.1875</v>
      </c>
      <c r="D77" s="393">
        <v>620295.375</v>
      </c>
    </row>
    <row r="78" spans="1:4" x14ac:dyDescent="0.25">
      <c r="A78" s="391" t="s">
        <v>2120</v>
      </c>
      <c r="B78" s="392">
        <v>3.75</v>
      </c>
      <c r="C78" s="293">
        <v>3.1875</v>
      </c>
      <c r="D78" s="393">
        <v>620295.375</v>
      </c>
    </row>
    <row r="79" spans="1:4" x14ac:dyDescent="0.25">
      <c r="A79" s="391" t="s">
        <v>2109</v>
      </c>
      <c r="B79" s="392">
        <v>21</v>
      </c>
      <c r="C79" s="293">
        <v>17.850000000000001</v>
      </c>
      <c r="D79" s="393">
        <v>1176695.1000000001</v>
      </c>
    </row>
    <row r="80" spans="1:4" x14ac:dyDescent="0.25">
      <c r="A80" s="391" t="s">
        <v>2121</v>
      </c>
      <c r="B80" s="392">
        <v>0.4</v>
      </c>
      <c r="C80" s="293">
        <v>0.34</v>
      </c>
      <c r="D80" s="393">
        <v>19188.84</v>
      </c>
    </row>
    <row r="81" spans="1:4" x14ac:dyDescent="0.25">
      <c r="A81" s="391" t="s">
        <v>2122</v>
      </c>
      <c r="B81" s="392">
        <v>0.4</v>
      </c>
      <c r="C81" s="293">
        <v>0.34</v>
      </c>
      <c r="D81" s="393">
        <v>19188.84</v>
      </c>
    </row>
    <row r="82" spans="1:4" x14ac:dyDescent="0.25">
      <c r="A82" s="391" t="s">
        <v>2178</v>
      </c>
      <c r="B82" s="392">
        <v>1.75</v>
      </c>
      <c r="C82" s="293">
        <v>1.4000000000000001</v>
      </c>
      <c r="D82" s="393">
        <v>64440.95</v>
      </c>
    </row>
    <row r="83" spans="1:4" x14ac:dyDescent="0.25">
      <c r="A83" s="391" t="s">
        <v>2157</v>
      </c>
      <c r="B83" s="392">
        <v>8</v>
      </c>
      <c r="C83" s="293">
        <v>6.8</v>
      </c>
      <c r="D83" s="393">
        <v>1323296.8</v>
      </c>
    </row>
    <row r="84" spans="1:4" x14ac:dyDescent="0.25">
      <c r="A84" s="391" t="s">
        <v>2201</v>
      </c>
      <c r="B84" s="392">
        <v>0.5</v>
      </c>
      <c r="C84" s="293">
        <v>0.4</v>
      </c>
      <c r="D84" s="393">
        <v>81280.899999999994</v>
      </c>
    </row>
    <row r="85" spans="1:4" x14ac:dyDescent="0.25">
      <c r="A85" s="391" t="s">
        <v>2183</v>
      </c>
      <c r="B85" s="392">
        <v>1.875</v>
      </c>
      <c r="C85" s="293">
        <v>1.5</v>
      </c>
      <c r="D85" s="393">
        <v>69043.875</v>
      </c>
    </row>
    <row r="86" spans="1:4" x14ac:dyDescent="0.25">
      <c r="A86" s="391" t="s">
        <v>2105</v>
      </c>
      <c r="B86" s="392">
        <v>2.5</v>
      </c>
      <c r="C86" s="293">
        <v>2.125</v>
      </c>
      <c r="D86" s="393">
        <v>413530.25</v>
      </c>
    </row>
    <row r="87" spans="1:4" x14ac:dyDescent="0.25">
      <c r="A87" s="391" t="s">
        <v>2182</v>
      </c>
      <c r="B87" s="392">
        <v>0.5</v>
      </c>
      <c r="C87" s="293">
        <v>0.4</v>
      </c>
      <c r="D87" s="393">
        <v>81280.899999999994</v>
      </c>
    </row>
    <row r="88" spans="1:4" x14ac:dyDescent="0.25">
      <c r="A88" s="391" t="s">
        <v>2196</v>
      </c>
      <c r="B88" s="392">
        <v>1</v>
      </c>
      <c r="C88" s="293">
        <v>0.85</v>
      </c>
      <c r="D88" s="393">
        <v>165412.1</v>
      </c>
    </row>
    <row r="89" spans="1:4" x14ac:dyDescent="0.25">
      <c r="A89" s="391" t="s">
        <v>866</v>
      </c>
      <c r="B89" s="392">
        <v>0.5</v>
      </c>
      <c r="C89" s="293">
        <v>0.4</v>
      </c>
      <c r="D89" s="393">
        <v>18411.7</v>
      </c>
    </row>
    <row r="90" spans="1:4" x14ac:dyDescent="0.25">
      <c r="A90" s="391" t="s">
        <v>2202</v>
      </c>
      <c r="B90" s="392">
        <v>1</v>
      </c>
      <c r="C90" s="293">
        <v>0.8</v>
      </c>
      <c r="D90" s="393">
        <v>36823.4</v>
      </c>
    </row>
    <row r="91" spans="1:4" x14ac:dyDescent="0.25">
      <c r="A91" s="391" t="s">
        <v>1845</v>
      </c>
      <c r="B91" s="392">
        <v>0.625</v>
      </c>
      <c r="C91" s="293">
        <v>0.5</v>
      </c>
      <c r="D91" s="393">
        <v>23014.625</v>
      </c>
    </row>
    <row r="92" spans="1:4" x14ac:dyDescent="0.25">
      <c r="A92" s="391" t="s">
        <v>1844</v>
      </c>
      <c r="B92" s="392">
        <v>3.75</v>
      </c>
      <c r="C92" s="293">
        <v>3</v>
      </c>
      <c r="D92" s="393">
        <v>138087.75</v>
      </c>
    </row>
    <row r="93" spans="1:4" x14ac:dyDescent="0.25">
      <c r="A93" s="391" t="s">
        <v>2090</v>
      </c>
      <c r="B93" s="392">
        <v>0</v>
      </c>
      <c r="C93" s="293">
        <v>0</v>
      </c>
      <c r="D93" s="393">
        <v>0</v>
      </c>
    </row>
    <row r="94" spans="1:4" x14ac:dyDescent="0.25">
      <c r="A94" s="391" t="s">
        <v>2140</v>
      </c>
      <c r="B94" s="392">
        <v>0</v>
      </c>
      <c r="C94" s="293">
        <v>0</v>
      </c>
      <c r="D94" s="393">
        <v>0</v>
      </c>
    </row>
    <row r="95" spans="1:4" x14ac:dyDescent="0.25">
      <c r="A95" s="391" t="s">
        <v>1489</v>
      </c>
      <c r="B95" s="392">
        <v>0.25</v>
      </c>
      <c r="C95" s="293">
        <v>0.21249999999999999</v>
      </c>
      <c r="D95" s="393">
        <v>17714.525000000001</v>
      </c>
    </row>
    <row r="96" spans="1:4" x14ac:dyDescent="0.25">
      <c r="A96" s="391" t="s">
        <v>1747</v>
      </c>
      <c r="B96" s="392">
        <v>1.125</v>
      </c>
      <c r="C96" s="293">
        <v>0.95624999999999982</v>
      </c>
      <c r="D96" s="393">
        <v>79715.362500000003</v>
      </c>
    </row>
    <row r="97" spans="1:4" x14ac:dyDescent="0.25">
      <c r="A97" s="391" t="s">
        <v>1857</v>
      </c>
      <c r="B97" s="392">
        <v>0.375</v>
      </c>
      <c r="C97" s="293">
        <v>0.31874999999999998</v>
      </c>
      <c r="D97" s="393">
        <v>26571.787500000002</v>
      </c>
    </row>
    <row r="98" spans="1:4" x14ac:dyDescent="0.25">
      <c r="A98" s="391" t="s">
        <v>1503</v>
      </c>
      <c r="B98" s="392">
        <v>0.75</v>
      </c>
      <c r="C98" s="293">
        <v>0.625</v>
      </c>
      <c r="D98" s="393">
        <v>52708.500000000007</v>
      </c>
    </row>
    <row r="99" spans="1:4" x14ac:dyDescent="0.25">
      <c r="A99" s="391" t="s">
        <v>1504</v>
      </c>
      <c r="B99" s="392">
        <v>0.75</v>
      </c>
      <c r="C99" s="293">
        <v>0.625</v>
      </c>
      <c r="D99" s="393">
        <v>52708.500000000007</v>
      </c>
    </row>
    <row r="100" spans="1:4" x14ac:dyDescent="0.25">
      <c r="A100" s="391" t="s">
        <v>1957</v>
      </c>
      <c r="B100" s="392">
        <v>0.625</v>
      </c>
      <c r="C100" s="293">
        <v>0.53125</v>
      </c>
      <c r="D100" s="393">
        <v>44286.3125</v>
      </c>
    </row>
    <row r="101" spans="1:4" x14ac:dyDescent="0.25">
      <c r="A101" s="391" t="s">
        <v>1858</v>
      </c>
      <c r="B101" s="392">
        <v>0.875</v>
      </c>
      <c r="C101" s="293">
        <v>0.74375000000000002</v>
      </c>
      <c r="D101" s="393">
        <v>62000.837500000001</v>
      </c>
    </row>
    <row r="102" spans="1:4" x14ac:dyDescent="0.25">
      <c r="A102" s="391" t="s">
        <v>1958</v>
      </c>
      <c r="B102" s="392">
        <v>1</v>
      </c>
      <c r="C102" s="293">
        <v>0.85</v>
      </c>
      <c r="D102" s="393">
        <v>70858.100000000006</v>
      </c>
    </row>
    <row r="103" spans="1:4" x14ac:dyDescent="0.25">
      <c r="A103" s="391" t="s">
        <v>2110</v>
      </c>
      <c r="B103" s="392">
        <v>0.625</v>
      </c>
      <c r="C103" s="293">
        <v>0.53125</v>
      </c>
      <c r="D103" s="393">
        <v>44286.3125</v>
      </c>
    </row>
    <row r="104" spans="1:4" x14ac:dyDescent="0.25">
      <c r="A104" s="391" t="s">
        <v>610</v>
      </c>
      <c r="B104" s="392">
        <v>1.5</v>
      </c>
      <c r="C104" s="293">
        <v>1.2749999999999999</v>
      </c>
      <c r="D104" s="393">
        <v>56418.075000000004</v>
      </c>
    </row>
    <row r="105" spans="1:4" x14ac:dyDescent="0.25">
      <c r="A105" s="391" t="s">
        <v>1083</v>
      </c>
      <c r="B105" s="392">
        <v>4.125</v>
      </c>
      <c r="C105" s="293">
        <v>3.5062500000000001</v>
      </c>
      <c r="D105" s="393">
        <v>197884.91250000001</v>
      </c>
    </row>
    <row r="106" spans="1:4" x14ac:dyDescent="0.25">
      <c r="A106" s="391" t="s">
        <v>1476</v>
      </c>
      <c r="B106" s="392">
        <v>2.25</v>
      </c>
      <c r="C106" s="293">
        <v>1.9124999999999999</v>
      </c>
      <c r="D106" s="393">
        <v>84627.112500000003</v>
      </c>
    </row>
    <row r="107" spans="1:4" x14ac:dyDescent="0.25">
      <c r="A107" s="391" t="s">
        <v>2005</v>
      </c>
      <c r="B107" s="392">
        <v>1.5000000000000002</v>
      </c>
      <c r="C107" s="293">
        <v>1.2750000000000001</v>
      </c>
      <c r="D107" s="393">
        <v>71958.150000000009</v>
      </c>
    </row>
    <row r="108" spans="1:4" x14ac:dyDescent="0.25">
      <c r="A108" s="391" t="s">
        <v>1960</v>
      </c>
      <c r="B108" s="392">
        <v>10.5</v>
      </c>
      <c r="C108" s="293">
        <v>8.9250000000000007</v>
      </c>
      <c r="D108" s="393">
        <v>394926.52500000002</v>
      </c>
    </row>
    <row r="109" spans="1:4" x14ac:dyDescent="0.25">
      <c r="A109" s="391" t="s">
        <v>2111</v>
      </c>
      <c r="B109" s="392">
        <v>12.5</v>
      </c>
      <c r="C109" s="293">
        <v>10.625</v>
      </c>
      <c r="D109" s="393">
        <v>470150.625</v>
      </c>
    </row>
    <row r="110" spans="1:4" x14ac:dyDescent="0.25">
      <c r="A110" s="391" t="s">
        <v>2112</v>
      </c>
      <c r="B110" s="392">
        <v>12</v>
      </c>
      <c r="C110" s="293">
        <v>10.199999999999999</v>
      </c>
      <c r="D110" s="393">
        <v>451344.6</v>
      </c>
    </row>
    <row r="111" spans="1:4" x14ac:dyDescent="0.25">
      <c r="A111" s="391" t="s">
        <v>1557</v>
      </c>
      <c r="B111" s="392">
        <v>7.625</v>
      </c>
      <c r="C111" s="293">
        <v>6.4812499999999993</v>
      </c>
      <c r="D111" s="393">
        <v>286791.88124999998</v>
      </c>
    </row>
    <row r="112" spans="1:4" x14ac:dyDescent="0.25">
      <c r="A112" s="391" t="s">
        <v>1482</v>
      </c>
      <c r="B112" s="392">
        <v>3.5</v>
      </c>
      <c r="C112" s="293">
        <v>2.9125000000000001</v>
      </c>
      <c r="D112" s="393">
        <v>194432.97500000001</v>
      </c>
    </row>
    <row r="113" spans="1:4" x14ac:dyDescent="0.25">
      <c r="A113" s="391" t="s">
        <v>1472</v>
      </c>
      <c r="B113" s="392">
        <v>5.75</v>
      </c>
      <c r="C113" s="293">
        <v>4.8249999999999993</v>
      </c>
      <c r="D113" s="393">
        <v>320507.45</v>
      </c>
    </row>
    <row r="114" spans="1:4" x14ac:dyDescent="0.25">
      <c r="A114" s="391" t="s">
        <v>1586</v>
      </c>
      <c r="B114" s="392">
        <v>14.5</v>
      </c>
      <c r="C114" s="293">
        <v>12.225</v>
      </c>
      <c r="D114" s="393">
        <v>1538905.075</v>
      </c>
    </row>
    <row r="115" spans="1:4" x14ac:dyDescent="0.25">
      <c r="A115" s="391" t="s">
        <v>1822</v>
      </c>
      <c r="B115" s="392">
        <v>11</v>
      </c>
      <c r="C115" s="293">
        <v>9.2750000000000004</v>
      </c>
      <c r="D115" s="393">
        <v>1167472.425</v>
      </c>
    </row>
    <row r="116" spans="1:4" x14ac:dyDescent="0.25">
      <c r="A116" s="391" t="s">
        <v>586</v>
      </c>
      <c r="B116" s="392">
        <v>15</v>
      </c>
      <c r="C116" s="293">
        <v>12.625</v>
      </c>
      <c r="D116" s="393">
        <v>1591290.875</v>
      </c>
    </row>
    <row r="117" spans="1:4" x14ac:dyDescent="0.25">
      <c r="A117" s="391" t="s">
        <v>1715</v>
      </c>
      <c r="B117" s="392">
        <v>3.75</v>
      </c>
      <c r="C117" s="293">
        <v>3</v>
      </c>
      <c r="D117" s="393">
        <v>138087.75</v>
      </c>
    </row>
    <row r="118" spans="1:4" x14ac:dyDescent="0.25">
      <c r="A118" s="391" t="s">
        <v>1714</v>
      </c>
      <c r="B118" s="392">
        <v>3.75</v>
      </c>
      <c r="C118" s="293">
        <v>3</v>
      </c>
      <c r="D118" s="393">
        <v>138087.75</v>
      </c>
    </row>
    <row r="119" spans="1:4" x14ac:dyDescent="0.25">
      <c r="A119" s="391" t="s">
        <v>1491</v>
      </c>
      <c r="B119" s="392">
        <v>0.125</v>
      </c>
      <c r="C119" s="293">
        <v>0.10625</v>
      </c>
      <c r="D119" s="393">
        <v>8857.2625000000007</v>
      </c>
    </row>
    <row r="120" spans="1:4" x14ac:dyDescent="0.25">
      <c r="A120" s="391" t="s">
        <v>1500</v>
      </c>
      <c r="B120" s="392">
        <v>0.375</v>
      </c>
      <c r="C120" s="293">
        <v>0.31874999999999998</v>
      </c>
      <c r="D120" s="393">
        <v>26571.787500000002</v>
      </c>
    </row>
    <row r="121" spans="1:4" x14ac:dyDescent="0.25">
      <c r="A121" s="391" t="s">
        <v>1501</v>
      </c>
      <c r="B121" s="392">
        <v>0.25</v>
      </c>
      <c r="C121" s="293">
        <v>0.21249999999999999</v>
      </c>
      <c r="D121" s="393">
        <v>17714.525000000001</v>
      </c>
    </row>
    <row r="122" spans="1:4" x14ac:dyDescent="0.25">
      <c r="A122" s="391" t="s">
        <v>2113</v>
      </c>
      <c r="B122" s="392">
        <v>1.25</v>
      </c>
      <c r="C122" s="293">
        <v>1.0625</v>
      </c>
      <c r="D122" s="393">
        <v>57404.453125</v>
      </c>
    </row>
    <row r="123" spans="1:4" x14ac:dyDescent="0.25">
      <c r="A123" s="391" t="s">
        <v>1859</v>
      </c>
      <c r="B123" s="392">
        <v>0.75</v>
      </c>
      <c r="C123" s="293">
        <v>0.63749999999999996</v>
      </c>
      <c r="D123" s="393">
        <v>28209.037500000002</v>
      </c>
    </row>
    <row r="124" spans="1:4" x14ac:dyDescent="0.25">
      <c r="A124" s="391" t="s">
        <v>1860</v>
      </c>
      <c r="B124" s="392">
        <v>1.5</v>
      </c>
      <c r="C124" s="293">
        <v>1.2749999999999999</v>
      </c>
      <c r="D124" s="393">
        <v>68885.34375</v>
      </c>
    </row>
    <row r="125" spans="1:4" x14ac:dyDescent="0.25">
      <c r="A125" s="391" t="s">
        <v>1956</v>
      </c>
      <c r="B125" s="392">
        <v>0.875</v>
      </c>
      <c r="C125" s="293">
        <v>0.74375000000000002</v>
      </c>
      <c r="D125" s="393">
        <v>47455.690625000003</v>
      </c>
    </row>
    <row r="126" spans="1:4" x14ac:dyDescent="0.25">
      <c r="A126" s="391" t="s">
        <v>1959</v>
      </c>
      <c r="B126" s="392">
        <v>0.875</v>
      </c>
      <c r="C126" s="293">
        <v>0.74375000000000002</v>
      </c>
      <c r="D126" s="393">
        <v>32910.543749999997</v>
      </c>
    </row>
    <row r="127" spans="1:4" x14ac:dyDescent="0.25">
      <c r="A127" s="391" t="s">
        <v>2114</v>
      </c>
      <c r="B127" s="392">
        <v>0.625</v>
      </c>
      <c r="C127" s="293">
        <v>0.53125</v>
      </c>
      <c r="D127" s="393">
        <v>23507.53125</v>
      </c>
    </row>
    <row r="128" spans="1:4" x14ac:dyDescent="0.25">
      <c r="A128" s="391" t="s">
        <v>652</v>
      </c>
      <c r="B128" s="392">
        <v>12.5</v>
      </c>
      <c r="C128" s="293">
        <v>10</v>
      </c>
      <c r="D128" s="393">
        <v>863972.5</v>
      </c>
    </row>
    <row r="129" spans="1:4" x14ac:dyDescent="0.25">
      <c r="A129" s="391" t="s">
        <v>1097</v>
      </c>
      <c r="B129" s="392">
        <v>10</v>
      </c>
      <c r="C129" s="293">
        <v>8</v>
      </c>
      <c r="D129" s="393">
        <v>691178</v>
      </c>
    </row>
    <row r="130" spans="1:4" x14ac:dyDescent="0.25">
      <c r="A130" s="391" t="s">
        <v>1319</v>
      </c>
      <c r="B130" s="392">
        <v>5.5</v>
      </c>
      <c r="C130" s="293">
        <v>4.4000000000000004</v>
      </c>
      <c r="D130" s="393">
        <v>202528.7</v>
      </c>
    </row>
    <row r="131" spans="1:4" x14ac:dyDescent="0.25">
      <c r="A131" s="391" t="s">
        <v>1451</v>
      </c>
      <c r="B131" s="392">
        <v>0.375</v>
      </c>
      <c r="C131" s="293">
        <v>0.31874999999999998</v>
      </c>
      <c r="D131" s="393">
        <v>14104.518749999999</v>
      </c>
    </row>
    <row r="132" spans="1:4" x14ac:dyDescent="0.25">
      <c r="A132" s="391" t="s">
        <v>2145</v>
      </c>
      <c r="B132" s="392">
        <v>17.5</v>
      </c>
      <c r="C132" s="293">
        <v>14</v>
      </c>
      <c r="D132" s="393">
        <v>1209561.5</v>
      </c>
    </row>
    <row r="133" spans="1:4" x14ac:dyDescent="0.25">
      <c r="A133" s="391" t="s">
        <v>2256</v>
      </c>
      <c r="B133" s="392">
        <v>3.5</v>
      </c>
      <c r="C133" s="293">
        <v>2.8000000000000003</v>
      </c>
      <c r="D133" s="393">
        <v>216658.05</v>
      </c>
    </row>
    <row r="134" spans="1:4" x14ac:dyDescent="0.25">
      <c r="A134" s="391" t="s">
        <v>2257</v>
      </c>
      <c r="B134" s="392">
        <v>1.75</v>
      </c>
      <c r="C134" s="293">
        <v>1.4000000000000001</v>
      </c>
      <c r="D134" s="393">
        <v>165167.625</v>
      </c>
    </row>
    <row r="135" spans="1:4" x14ac:dyDescent="0.25">
      <c r="A135" s="391" t="s">
        <v>1711</v>
      </c>
      <c r="B135" s="392">
        <v>5.1666666666666661</v>
      </c>
      <c r="C135" s="293">
        <v>4.1333333333333337</v>
      </c>
      <c r="D135" s="393">
        <v>190254.23333333334</v>
      </c>
    </row>
    <row r="136" spans="1:4" x14ac:dyDescent="0.25">
      <c r="A136" s="391" t="s">
        <v>1829</v>
      </c>
      <c r="B136" s="392">
        <v>0</v>
      </c>
      <c r="C136" s="293">
        <v>0</v>
      </c>
      <c r="D136" s="393">
        <v>0</v>
      </c>
    </row>
    <row r="137" spans="1:4" x14ac:dyDescent="0.25">
      <c r="A137" s="391" t="s">
        <v>1830</v>
      </c>
      <c r="B137" s="392">
        <v>1.75</v>
      </c>
      <c r="C137" s="293">
        <v>1.4</v>
      </c>
      <c r="D137" s="393">
        <v>64440.95</v>
      </c>
    </row>
    <row r="138" spans="1:4" x14ac:dyDescent="0.25">
      <c r="A138" s="391" t="s">
        <v>1972</v>
      </c>
      <c r="B138" s="392">
        <v>9</v>
      </c>
      <c r="C138" s="293">
        <v>7.6499999999999995</v>
      </c>
      <c r="D138" s="393">
        <v>338508.45</v>
      </c>
    </row>
    <row r="139" spans="1:4" x14ac:dyDescent="0.25">
      <c r="A139" s="391" t="s">
        <v>470</v>
      </c>
      <c r="B139" s="392">
        <v>13.049999999999999</v>
      </c>
      <c r="C139" s="293">
        <v>11.092499999999999</v>
      </c>
      <c r="D139" s="393">
        <v>703513.755</v>
      </c>
    </row>
    <row r="140" spans="1:4" x14ac:dyDescent="0.25">
      <c r="A140" s="391" t="s">
        <v>471</v>
      </c>
      <c r="B140" s="392">
        <v>16.166666666666664</v>
      </c>
      <c r="C140" s="293">
        <v>13.741666666666665</v>
      </c>
      <c r="D140" s="393">
        <v>871530.45</v>
      </c>
    </row>
    <row r="141" spans="1:4" x14ac:dyDescent="0.25">
      <c r="A141" s="391" t="s">
        <v>873</v>
      </c>
      <c r="B141" s="392">
        <v>7</v>
      </c>
      <c r="C141" s="293">
        <v>5.9499999999999993</v>
      </c>
      <c r="D141" s="393">
        <v>263284.35000000003</v>
      </c>
    </row>
    <row r="142" spans="1:4" x14ac:dyDescent="0.25">
      <c r="A142" s="391" t="s">
        <v>1152</v>
      </c>
      <c r="B142" s="392">
        <v>40.465000000000003</v>
      </c>
      <c r="C142" s="293">
        <v>34.39524999999999</v>
      </c>
      <c r="D142" s="393">
        <v>2181431.7314999993</v>
      </c>
    </row>
    <row r="143" spans="1:4" x14ac:dyDescent="0.25">
      <c r="A143" s="391" t="s">
        <v>1154</v>
      </c>
      <c r="B143" s="392">
        <v>40.158750000000005</v>
      </c>
      <c r="C143" s="293">
        <v>34.134937499999992</v>
      </c>
      <c r="D143" s="393">
        <v>2164922.0696249995</v>
      </c>
    </row>
    <row r="144" spans="1:4" x14ac:dyDescent="0.25">
      <c r="A144" s="391" t="s">
        <v>828</v>
      </c>
      <c r="B144" s="392">
        <v>2.9000000000000004</v>
      </c>
      <c r="C144" s="293">
        <v>2.4650000000000003</v>
      </c>
      <c r="D144" s="393">
        <v>139119.09000000003</v>
      </c>
    </row>
    <row r="145" spans="1:4" x14ac:dyDescent="0.25">
      <c r="A145" s="391" t="s">
        <v>827</v>
      </c>
      <c r="B145" s="392">
        <v>2.9000000000000004</v>
      </c>
      <c r="C145" s="293">
        <v>2.4650000000000003</v>
      </c>
      <c r="D145" s="393">
        <v>139119.09000000003</v>
      </c>
    </row>
    <row r="146" spans="1:4" x14ac:dyDescent="0.25">
      <c r="A146" s="391" t="s">
        <v>1308</v>
      </c>
      <c r="B146" s="392">
        <v>4.875</v>
      </c>
      <c r="C146" s="293">
        <v>4.1437499999999998</v>
      </c>
      <c r="D146" s="393">
        <v>233863.98749999999</v>
      </c>
    </row>
    <row r="147" spans="1:4" x14ac:dyDescent="0.25">
      <c r="A147" s="391" t="s">
        <v>1309</v>
      </c>
      <c r="B147" s="392">
        <v>4.125</v>
      </c>
      <c r="C147" s="293">
        <v>3.5062500000000001</v>
      </c>
      <c r="D147" s="393">
        <v>197884.91250000001</v>
      </c>
    </row>
    <row r="148" spans="1:4" x14ac:dyDescent="0.25">
      <c r="A148" s="391" t="s">
        <v>1565</v>
      </c>
      <c r="B148" s="392">
        <v>21.75</v>
      </c>
      <c r="C148" s="293">
        <v>18.487500000000001</v>
      </c>
      <c r="D148" s="393">
        <v>818062.08749999991</v>
      </c>
    </row>
    <row r="149" spans="1:4" x14ac:dyDescent="0.25">
      <c r="A149" s="391" t="s">
        <v>1681</v>
      </c>
      <c r="B149" s="392">
        <v>3.125</v>
      </c>
      <c r="C149" s="293">
        <v>2.65625</v>
      </c>
      <c r="D149" s="393">
        <v>117537.65625</v>
      </c>
    </row>
    <row r="150" spans="1:4" x14ac:dyDescent="0.25">
      <c r="A150" s="391" t="s">
        <v>1313</v>
      </c>
      <c r="B150" s="392">
        <v>3</v>
      </c>
      <c r="C150" s="293">
        <v>2.5500000000000003</v>
      </c>
      <c r="D150" s="393">
        <v>143916.29999999999</v>
      </c>
    </row>
    <row r="151" spans="1:4" x14ac:dyDescent="0.25">
      <c r="A151" s="391" t="s">
        <v>1297</v>
      </c>
      <c r="B151" s="392">
        <v>2.375</v>
      </c>
      <c r="C151" s="293">
        <v>2.0062500000000001</v>
      </c>
      <c r="D151" s="393">
        <v>167852.91250000003</v>
      </c>
    </row>
    <row r="152" spans="1:4" x14ac:dyDescent="0.25">
      <c r="A152" s="391" t="s">
        <v>1455</v>
      </c>
      <c r="B152" s="392">
        <v>5.5</v>
      </c>
      <c r="C152" s="293">
        <v>4.6749999999999998</v>
      </c>
      <c r="D152" s="393">
        <v>389719.55</v>
      </c>
    </row>
    <row r="153" spans="1:4" x14ac:dyDescent="0.25">
      <c r="A153" s="391" t="s">
        <v>1354</v>
      </c>
      <c r="B153" s="392">
        <v>3.25</v>
      </c>
      <c r="C153" s="293">
        <v>2.7624999999999997</v>
      </c>
      <c r="D153" s="393">
        <v>230288.82500000001</v>
      </c>
    </row>
    <row r="154" spans="1:4" x14ac:dyDescent="0.25">
      <c r="A154" s="391" t="s">
        <v>1861</v>
      </c>
      <c r="B154" s="392">
        <v>2.25</v>
      </c>
      <c r="C154" s="293">
        <v>1.8687499999999999</v>
      </c>
      <c r="D154" s="393">
        <v>157907.96249999999</v>
      </c>
    </row>
    <row r="155" spans="1:4" x14ac:dyDescent="0.25">
      <c r="A155" s="391" t="s">
        <v>1862</v>
      </c>
      <c r="B155" s="392">
        <v>1.5</v>
      </c>
      <c r="C155" s="293">
        <v>1.25</v>
      </c>
      <c r="D155" s="393">
        <v>105417</v>
      </c>
    </row>
    <row r="156" spans="1:4" x14ac:dyDescent="0.25">
      <c r="A156" s="391" t="s">
        <v>1863</v>
      </c>
      <c r="B156" s="392">
        <v>2</v>
      </c>
      <c r="C156" s="293">
        <v>1.6625000000000001</v>
      </c>
      <c r="D156" s="393">
        <v>140410.97500000001</v>
      </c>
    </row>
    <row r="157" spans="1:4" x14ac:dyDescent="0.25">
      <c r="A157" s="391" t="s">
        <v>2007</v>
      </c>
      <c r="B157" s="392">
        <v>3.125</v>
      </c>
      <c r="C157" s="293">
        <v>2.6</v>
      </c>
      <c r="D157" s="393">
        <v>219473.72499999998</v>
      </c>
    </row>
    <row r="158" spans="1:4" x14ac:dyDescent="0.25">
      <c r="A158" s="391" t="s">
        <v>2008</v>
      </c>
      <c r="B158" s="392">
        <v>2.375</v>
      </c>
      <c r="C158" s="293">
        <v>1.9937499999999999</v>
      </c>
      <c r="D158" s="393">
        <v>167417.83749999999</v>
      </c>
    </row>
    <row r="159" spans="1:4" x14ac:dyDescent="0.25">
      <c r="A159" s="391" t="s">
        <v>2009</v>
      </c>
      <c r="B159" s="392">
        <v>2.375</v>
      </c>
      <c r="C159" s="293">
        <v>1.9874999999999998</v>
      </c>
      <c r="D159" s="393">
        <v>167200.29999999999</v>
      </c>
    </row>
    <row r="160" spans="1:4" x14ac:dyDescent="0.25">
      <c r="A160" s="391" t="s">
        <v>1963</v>
      </c>
      <c r="B160" s="392">
        <v>1.625</v>
      </c>
      <c r="C160" s="293">
        <v>1.3687499999999999</v>
      </c>
      <c r="D160" s="393">
        <v>114709.33750000001</v>
      </c>
    </row>
    <row r="161" spans="1:4" x14ac:dyDescent="0.25">
      <c r="A161" s="391" t="s">
        <v>2050</v>
      </c>
      <c r="B161" s="392">
        <v>0.625</v>
      </c>
      <c r="C161" s="293">
        <v>0.51875000000000004</v>
      </c>
      <c r="D161" s="393">
        <v>43851.237500000003</v>
      </c>
    </row>
    <row r="162" spans="1:4" x14ac:dyDescent="0.25">
      <c r="A162" s="391" t="s">
        <v>1911</v>
      </c>
      <c r="B162" s="392">
        <v>2.5</v>
      </c>
      <c r="C162" s="293">
        <v>2.0750000000000002</v>
      </c>
      <c r="D162" s="393">
        <v>175404.95</v>
      </c>
    </row>
    <row r="163" spans="1:4" x14ac:dyDescent="0.25">
      <c r="A163" s="391" t="s">
        <v>2010</v>
      </c>
      <c r="B163" s="392">
        <v>1.7000000000000002</v>
      </c>
      <c r="C163" s="293">
        <v>1.4450000000000001</v>
      </c>
      <c r="D163" s="393">
        <v>81552.570000000007</v>
      </c>
    </row>
    <row r="164" spans="1:4" x14ac:dyDescent="0.25">
      <c r="A164" s="391" t="s">
        <v>2051</v>
      </c>
      <c r="B164" s="392">
        <v>0.5</v>
      </c>
      <c r="C164" s="293">
        <v>0.41249999999999998</v>
      </c>
      <c r="D164" s="393">
        <v>34993.975000000006</v>
      </c>
    </row>
    <row r="165" spans="1:4" x14ac:dyDescent="0.25">
      <c r="A165" s="391" t="s">
        <v>2012</v>
      </c>
      <c r="B165" s="392">
        <v>0.875</v>
      </c>
      <c r="C165" s="293">
        <v>0.74374999999999991</v>
      </c>
      <c r="D165" s="393">
        <v>62000.837499999994</v>
      </c>
    </row>
    <row r="166" spans="1:4" x14ac:dyDescent="0.25">
      <c r="A166" s="391" t="s">
        <v>1357</v>
      </c>
      <c r="B166" s="392">
        <v>5.75</v>
      </c>
      <c r="C166" s="293">
        <v>4.8875000000000002</v>
      </c>
      <c r="D166" s="393">
        <v>407434.07500000001</v>
      </c>
    </row>
    <row r="167" spans="1:4" x14ac:dyDescent="0.25">
      <c r="A167" s="391" t="s">
        <v>1457</v>
      </c>
      <c r="B167" s="392">
        <v>5.625</v>
      </c>
      <c r="C167" s="293">
        <v>4.78125</v>
      </c>
      <c r="D167" s="393">
        <v>398576.8125</v>
      </c>
    </row>
    <row r="168" spans="1:4" x14ac:dyDescent="0.25">
      <c r="A168" s="391" t="s">
        <v>1459</v>
      </c>
      <c r="B168" s="392">
        <v>4.5</v>
      </c>
      <c r="C168" s="293">
        <v>3.8250000000000002</v>
      </c>
      <c r="D168" s="393">
        <v>318861.45</v>
      </c>
    </row>
    <row r="169" spans="1:4" x14ac:dyDescent="0.25">
      <c r="A169" s="391" t="s">
        <v>1461</v>
      </c>
      <c r="B169" s="392">
        <v>2.625</v>
      </c>
      <c r="C169" s="293">
        <v>2.2312499999999997</v>
      </c>
      <c r="D169" s="393">
        <v>186002.51250000001</v>
      </c>
    </row>
    <row r="170" spans="1:4" x14ac:dyDescent="0.25">
      <c r="A170" s="391" t="s">
        <v>1463</v>
      </c>
      <c r="B170" s="392">
        <v>2.625</v>
      </c>
      <c r="C170" s="293">
        <v>2.2312499999999997</v>
      </c>
      <c r="D170" s="393">
        <v>186002.51250000001</v>
      </c>
    </row>
    <row r="171" spans="1:4" x14ac:dyDescent="0.25">
      <c r="A171" s="391" t="s">
        <v>1465</v>
      </c>
      <c r="B171" s="392">
        <v>3.5</v>
      </c>
      <c r="C171" s="293">
        <v>2.9750000000000001</v>
      </c>
      <c r="D171" s="393">
        <v>248003.35</v>
      </c>
    </row>
    <row r="172" spans="1:4" x14ac:dyDescent="0.25">
      <c r="A172" s="391" t="s">
        <v>1566</v>
      </c>
      <c r="B172" s="392">
        <v>10.625</v>
      </c>
      <c r="C172" s="293">
        <v>9.03125</v>
      </c>
      <c r="D172" s="393">
        <v>752867.3125</v>
      </c>
    </row>
    <row r="173" spans="1:4" x14ac:dyDescent="0.25">
      <c r="A173" s="391" t="s">
        <v>1654</v>
      </c>
      <c r="B173" s="392">
        <v>1.5</v>
      </c>
      <c r="C173" s="293">
        <v>1.2000000000000002</v>
      </c>
      <c r="D173" s="393">
        <v>103676.70000000001</v>
      </c>
    </row>
    <row r="174" spans="1:4" x14ac:dyDescent="0.25">
      <c r="A174" s="391" t="s">
        <v>1655</v>
      </c>
      <c r="B174" s="392">
        <v>1.5</v>
      </c>
      <c r="C174" s="293">
        <v>1.2000000000000002</v>
      </c>
      <c r="D174" s="393">
        <v>103676.70000000001</v>
      </c>
    </row>
    <row r="175" spans="1:4" x14ac:dyDescent="0.25">
      <c r="A175" s="391" t="s">
        <v>1652</v>
      </c>
      <c r="B175" s="392">
        <v>2</v>
      </c>
      <c r="C175" s="293">
        <v>1.6</v>
      </c>
      <c r="D175" s="393">
        <v>138235.6</v>
      </c>
    </row>
    <row r="176" spans="1:4" x14ac:dyDescent="0.25">
      <c r="A176" s="391" t="s">
        <v>1953</v>
      </c>
      <c r="B176" s="392">
        <v>1.875</v>
      </c>
      <c r="C176" s="293">
        <v>1.5687500000000001</v>
      </c>
      <c r="D176" s="393">
        <v>131988.78749999998</v>
      </c>
    </row>
    <row r="177" spans="1:4" x14ac:dyDescent="0.25">
      <c r="A177" s="391" t="s">
        <v>1962</v>
      </c>
      <c r="B177" s="392">
        <v>2.375</v>
      </c>
      <c r="C177" s="293">
        <v>1.9874999999999998</v>
      </c>
      <c r="D177" s="393">
        <v>167200.30000000002</v>
      </c>
    </row>
    <row r="178" spans="1:4" x14ac:dyDescent="0.25">
      <c r="A178" s="391" t="s">
        <v>1961</v>
      </c>
      <c r="B178" s="392">
        <v>1.625</v>
      </c>
      <c r="C178" s="293">
        <v>1.3687499999999999</v>
      </c>
      <c r="D178" s="393">
        <v>114709.33750000001</v>
      </c>
    </row>
    <row r="179" spans="1:4" x14ac:dyDescent="0.25">
      <c r="A179" s="391" t="s">
        <v>2052</v>
      </c>
      <c r="B179" s="392">
        <v>0.625</v>
      </c>
      <c r="C179" s="293">
        <v>0.51875000000000004</v>
      </c>
      <c r="D179" s="393">
        <v>43851.237500000003</v>
      </c>
    </row>
    <row r="180" spans="1:4" x14ac:dyDescent="0.25">
      <c r="A180" s="391" t="s">
        <v>414</v>
      </c>
      <c r="B180" s="392">
        <v>3.5</v>
      </c>
      <c r="C180" s="293">
        <v>2.8</v>
      </c>
      <c r="D180" s="393">
        <v>531788.6</v>
      </c>
    </row>
    <row r="181" spans="1:4" x14ac:dyDescent="0.25">
      <c r="A181" s="391" t="s">
        <v>478</v>
      </c>
      <c r="B181" s="392">
        <v>2.5</v>
      </c>
      <c r="C181" s="293">
        <v>2</v>
      </c>
      <c r="D181" s="393">
        <v>379849</v>
      </c>
    </row>
    <row r="182" spans="1:4" x14ac:dyDescent="0.25">
      <c r="A182" s="391" t="s">
        <v>526</v>
      </c>
      <c r="B182" s="392">
        <v>2</v>
      </c>
      <c r="C182" s="293">
        <v>1.6</v>
      </c>
      <c r="D182" s="393">
        <v>303879.2</v>
      </c>
    </row>
    <row r="183" spans="1:4" x14ac:dyDescent="0.25">
      <c r="A183" s="391" t="s">
        <v>769</v>
      </c>
      <c r="B183" s="392">
        <v>2.5</v>
      </c>
      <c r="C183" s="293">
        <v>2.125</v>
      </c>
      <c r="D183" s="393">
        <v>387823.625</v>
      </c>
    </row>
    <row r="184" spans="1:4" x14ac:dyDescent="0.25">
      <c r="A184" s="391" t="s">
        <v>874</v>
      </c>
      <c r="B184" s="392">
        <v>1.5</v>
      </c>
      <c r="C184" s="293">
        <v>1.2749999999999999</v>
      </c>
      <c r="D184" s="393">
        <v>232694.17499999999</v>
      </c>
    </row>
    <row r="185" spans="1:4" x14ac:dyDescent="0.25">
      <c r="A185" s="391" t="s">
        <v>567</v>
      </c>
      <c r="B185" s="392">
        <v>2.5</v>
      </c>
      <c r="C185" s="293">
        <v>2</v>
      </c>
      <c r="D185" s="393">
        <v>379849</v>
      </c>
    </row>
    <row r="186" spans="1:4" x14ac:dyDescent="0.25">
      <c r="A186" s="391" t="s">
        <v>647</v>
      </c>
      <c r="B186" s="392">
        <v>1.25</v>
      </c>
      <c r="C186" s="293">
        <v>1</v>
      </c>
      <c r="D186" s="393">
        <v>189924.5</v>
      </c>
    </row>
    <row r="187" spans="1:4" x14ac:dyDescent="0.25">
      <c r="A187" s="391" t="s">
        <v>1135</v>
      </c>
      <c r="B187" s="392">
        <v>0</v>
      </c>
      <c r="C187" s="293">
        <v>0</v>
      </c>
      <c r="D187" s="393">
        <v>0</v>
      </c>
    </row>
    <row r="188" spans="1:4" x14ac:dyDescent="0.25">
      <c r="A188" s="391" t="s">
        <v>1326</v>
      </c>
      <c r="B188" s="392">
        <v>2</v>
      </c>
      <c r="C188" s="293">
        <v>1.6</v>
      </c>
      <c r="D188" s="393">
        <v>303879.2</v>
      </c>
    </row>
    <row r="189" spans="1:4" x14ac:dyDescent="0.25">
      <c r="A189" s="391" t="s">
        <v>1362</v>
      </c>
      <c r="B189" s="392">
        <v>0</v>
      </c>
      <c r="C189" s="293">
        <v>0</v>
      </c>
      <c r="D189" s="393">
        <v>0</v>
      </c>
    </row>
    <row r="190" spans="1:4" x14ac:dyDescent="0.25">
      <c r="A190" s="391" t="s">
        <v>1587</v>
      </c>
      <c r="B190" s="392">
        <v>2.5</v>
      </c>
      <c r="C190" s="293">
        <v>2.125</v>
      </c>
      <c r="D190" s="393">
        <v>387823.625</v>
      </c>
    </row>
    <row r="191" spans="1:4" x14ac:dyDescent="0.25">
      <c r="A191" s="391" t="s">
        <v>2180</v>
      </c>
      <c r="B191" s="392">
        <v>2.5</v>
      </c>
      <c r="C191" s="293">
        <v>2.125</v>
      </c>
      <c r="D191" s="393">
        <v>387823.625</v>
      </c>
    </row>
    <row r="192" spans="1:4" x14ac:dyDescent="0.25">
      <c r="A192" s="391" t="s">
        <v>2187</v>
      </c>
      <c r="B192" s="392">
        <v>2.5</v>
      </c>
      <c r="C192" s="293">
        <v>2.125</v>
      </c>
      <c r="D192" s="393">
        <v>387823.625</v>
      </c>
    </row>
    <row r="193" spans="1:4" x14ac:dyDescent="0.25">
      <c r="A193" s="391" t="s">
        <v>434</v>
      </c>
      <c r="B193" s="392">
        <v>3.625</v>
      </c>
      <c r="C193" s="293">
        <v>3.0812499999999998</v>
      </c>
      <c r="D193" s="393">
        <v>136343.68124999999</v>
      </c>
    </row>
    <row r="194" spans="1:4" x14ac:dyDescent="0.25">
      <c r="A194" s="391" t="s">
        <v>1799</v>
      </c>
      <c r="B194" s="392">
        <v>0.1</v>
      </c>
      <c r="C194" s="293">
        <v>8.5000000000000006E-2</v>
      </c>
      <c r="D194" s="393">
        <v>4797.21</v>
      </c>
    </row>
    <row r="195" spans="1:4" x14ac:dyDescent="0.25">
      <c r="A195" s="391" t="s">
        <v>2115</v>
      </c>
      <c r="B195" s="392">
        <v>0.375</v>
      </c>
      <c r="C195" s="293">
        <v>0.31874999999999998</v>
      </c>
      <c r="D195" s="393">
        <v>26571.787499999999</v>
      </c>
    </row>
    <row r="196" spans="1:4" x14ac:dyDescent="0.25">
      <c r="A196" s="391" t="s">
        <v>1800</v>
      </c>
      <c r="B196" s="392">
        <v>0.25</v>
      </c>
      <c r="C196" s="293">
        <v>0.20624999999999999</v>
      </c>
      <c r="D196" s="393">
        <v>17496.987500000003</v>
      </c>
    </row>
    <row r="197" spans="1:4" x14ac:dyDescent="0.25">
      <c r="A197" s="391" t="s">
        <v>1801</v>
      </c>
      <c r="B197" s="392">
        <v>0.25</v>
      </c>
      <c r="C197" s="293">
        <v>0.20624999999999999</v>
      </c>
      <c r="D197" s="393">
        <v>17496.987500000003</v>
      </c>
    </row>
    <row r="198" spans="1:4" x14ac:dyDescent="0.25">
      <c r="A198" s="391" t="s">
        <v>875</v>
      </c>
      <c r="B198" s="392">
        <v>0</v>
      </c>
      <c r="C198" s="293">
        <v>0</v>
      </c>
      <c r="D198" s="393">
        <v>0</v>
      </c>
    </row>
    <row r="199" spans="1:4" x14ac:dyDescent="0.25">
      <c r="A199" s="391" t="s">
        <v>905</v>
      </c>
      <c r="B199" s="392">
        <v>2</v>
      </c>
      <c r="C199" s="293">
        <v>1.6</v>
      </c>
      <c r="D199" s="393">
        <v>138235.6</v>
      </c>
    </row>
    <row r="200" spans="1:4" x14ac:dyDescent="0.25">
      <c r="A200" s="391" t="s">
        <v>1573</v>
      </c>
      <c r="B200" s="392">
        <v>3.25</v>
      </c>
      <c r="C200" s="293">
        <v>2.7624999999999997</v>
      </c>
      <c r="D200" s="393">
        <v>230288.82500000001</v>
      </c>
    </row>
    <row r="201" spans="1:4" x14ac:dyDescent="0.25">
      <c r="A201" s="391" t="s">
        <v>1571</v>
      </c>
      <c r="B201" s="392">
        <v>9.75</v>
      </c>
      <c r="C201" s="293">
        <v>8.2874999999999996</v>
      </c>
      <c r="D201" s="393">
        <v>690866.47499999998</v>
      </c>
    </row>
    <row r="202" spans="1:4" x14ac:dyDescent="0.25">
      <c r="A202" s="391" t="s">
        <v>1574</v>
      </c>
      <c r="B202" s="392">
        <v>5.5</v>
      </c>
      <c r="C202" s="293">
        <v>4.6749999999999998</v>
      </c>
      <c r="D202" s="393">
        <v>389719.55</v>
      </c>
    </row>
    <row r="203" spans="1:4" x14ac:dyDescent="0.25">
      <c r="A203" s="391" t="s">
        <v>1828</v>
      </c>
      <c r="B203" s="392">
        <v>0</v>
      </c>
      <c r="C203" s="293">
        <v>0</v>
      </c>
      <c r="D203" s="393">
        <v>0</v>
      </c>
    </row>
    <row r="204" spans="1:4" x14ac:dyDescent="0.25">
      <c r="A204" s="391" t="s">
        <v>1827</v>
      </c>
      <c r="B204" s="392">
        <v>0.375</v>
      </c>
      <c r="C204" s="293">
        <v>0.30000000000000004</v>
      </c>
      <c r="D204" s="393">
        <v>25919.175000000003</v>
      </c>
    </row>
    <row r="205" spans="1:4" x14ac:dyDescent="0.25">
      <c r="A205" s="391" t="s">
        <v>1864</v>
      </c>
      <c r="B205" s="392">
        <v>13.75</v>
      </c>
      <c r="C205" s="293">
        <v>11.6875</v>
      </c>
      <c r="D205" s="393">
        <v>974298.87500000012</v>
      </c>
    </row>
    <row r="206" spans="1:4" x14ac:dyDescent="0.25">
      <c r="A206" s="391" t="s">
        <v>2248</v>
      </c>
      <c r="B206" s="392">
        <v>2.125</v>
      </c>
      <c r="C206" s="293">
        <v>1.7000000000000002</v>
      </c>
      <c r="D206" s="393">
        <v>146875.32500000001</v>
      </c>
    </row>
    <row r="207" spans="1:4" x14ac:dyDescent="0.25">
      <c r="A207" s="391" t="s">
        <v>140</v>
      </c>
      <c r="B207" s="392">
        <v>18.25</v>
      </c>
      <c r="C207" s="293">
        <v>15.512499999999999</v>
      </c>
      <c r="D207" s="393">
        <v>686419.91249999998</v>
      </c>
    </row>
    <row r="208" spans="1:4" x14ac:dyDescent="0.25">
      <c r="A208" s="391" t="s">
        <v>506</v>
      </c>
      <c r="B208" s="392">
        <v>3.125</v>
      </c>
      <c r="C208" s="293">
        <v>2.65625</v>
      </c>
      <c r="D208" s="393">
        <v>117537.65625</v>
      </c>
    </row>
    <row r="209" spans="1:4" x14ac:dyDescent="0.25">
      <c r="A209" s="391" t="s">
        <v>884</v>
      </c>
      <c r="B209" s="392">
        <v>6</v>
      </c>
      <c r="C209" s="293">
        <v>5.0999999999999996</v>
      </c>
      <c r="D209" s="393">
        <v>225672.30000000002</v>
      </c>
    </row>
    <row r="210" spans="1:4" x14ac:dyDescent="0.25">
      <c r="A210" s="391" t="s">
        <v>835</v>
      </c>
      <c r="B210" s="392">
        <v>11.25</v>
      </c>
      <c r="C210" s="293">
        <v>9.5625</v>
      </c>
      <c r="D210" s="393">
        <v>606477.375</v>
      </c>
    </row>
    <row r="211" spans="1:4" x14ac:dyDescent="0.25">
      <c r="A211" s="391" t="s">
        <v>976</v>
      </c>
      <c r="B211" s="392">
        <v>2.25</v>
      </c>
      <c r="C211" s="293">
        <v>1.8</v>
      </c>
      <c r="D211" s="393">
        <v>82852.649999999994</v>
      </c>
    </row>
    <row r="212" spans="1:4" x14ac:dyDescent="0.25">
      <c r="A212" s="391" t="s">
        <v>920</v>
      </c>
      <c r="B212" s="392">
        <v>4.3333333333333339</v>
      </c>
      <c r="C212" s="293">
        <v>3.6833333333333331</v>
      </c>
      <c r="D212" s="393">
        <v>233606.1</v>
      </c>
    </row>
    <row r="213" spans="1:4" x14ac:dyDescent="0.25">
      <c r="A213" s="391" t="s">
        <v>921</v>
      </c>
      <c r="B213" s="392">
        <v>1.9166666666666665</v>
      </c>
      <c r="C213" s="293">
        <v>1.6291666666666664</v>
      </c>
      <c r="D213" s="393">
        <v>103325.77499999999</v>
      </c>
    </row>
    <row r="214" spans="1:4" x14ac:dyDescent="0.25">
      <c r="A214" s="391" t="s">
        <v>1096</v>
      </c>
      <c r="B214" s="392">
        <v>7.5</v>
      </c>
      <c r="C214" s="293">
        <v>6</v>
      </c>
      <c r="D214" s="393">
        <v>276175.5</v>
      </c>
    </row>
    <row r="215" spans="1:4" x14ac:dyDescent="0.25">
      <c r="A215" s="391" t="s">
        <v>1114</v>
      </c>
      <c r="B215" s="392">
        <v>9.5</v>
      </c>
      <c r="C215" s="293">
        <v>8.0749999999999993</v>
      </c>
      <c r="D215" s="393">
        <v>357314.47499999998</v>
      </c>
    </row>
    <row r="216" spans="1:4" x14ac:dyDescent="0.25">
      <c r="A216" s="391" t="s">
        <v>1131</v>
      </c>
      <c r="B216" s="392">
        <v>1.75</v>
      </c>
      <c r="C216" s="293">
        <v>1.4249999999999998</v>
      </c>
      <c r="D216" s="393">
        <v>121826.29999999999</v>
      </c>
    </row>
    <row r="217" spans="1:4" x14ac:dyDescent="0.25">
      <c r="A217" s="391" t="s">
        <v>1150</v>
      </c>
      <c r="B217" s="392">
        <v>8</v>
      </c>
      <c r="C217" s="293">
        <v>6.8</v>
      </c>
      <c r="D217" s="393">
        <v>431272.8</v>
      </c>
    </row>
    <row r="218" spans="1:4" x14ac:dyDescent="0.25">
      <c r="A218" s="391" t="s">
        <v>1151</v>
      </c>
      <c r="B218" s="392">
        <v>1.8787500000000001</v>
      </c>
      <c r="C218" s="293">
        <v>1.5969375000000001</v>
      </c>
      <c r="D218" s="393">
        <v>90127.582874999993</v>
      </c>
    </row>
    <row r="219" spans="1:4" x14ac:dyDescent="0.25">
      <c r="A219" s="391" t="s">
        <v>1287</v>
      </c>
      <c r="B219" s="392">
        <v>15.400000000000002</v>
      </c>
      <c r="C219" s="293">
        <v>13.090000000000002</v>
      </c>
      <c r="D219" s="393">
        <v>830200.14</v>
      </c>
    </row>
    <row r="220" spans="1:4" x14ac:dyDescent="0.25">
      <c r="A220" s="391" t="s">
        <v>1288</v>
      </c>
      <c r="B220" s="392">
        <v>3.8750000000000004</v>
      </c>
      <c r="C220" s="293">
        <v>3.2937500000000006</v>
      </c>
      <c r="D220" s="393">
        <v>185891.88750000001</v>
      </c>
    </row>
    <row r="221" spans="1:4" x14ac:dyDescent="0.25">
      <c r="A221" s="391" t="s">
        <v>1285</v>
      </c>
      <c r="B221" s="392">
        <v>40.931249999999999</v>
      </c>
      <c r="C221" s="293">
        <v>34.791562499999991</v>
      </c>
      <c r="D221" s="393">
        <v>2206566.8493749993</v>
      </c>
    </row>
    <row r="222" spans="1:4" x14ac:dyDescent="0.25">
      <c r="A222" s="391" t="s">
        <v>1370</v>
      </c>
      <c r="B222" s="392">
        <v>4.375</v>
      </c>
      <c r="C222" s="293">
        <v>3.5</v>
      </c>
      <c r="D222" s="393">
        <v>195400.27499999999</v>
      </c>
    </row>
    <row r="223" spans="1:4" x14ac:dyDescent="0.25">
      <c r="A223" s="391" t="s">
        <v>1372</v>
      </c>
      <c r="B223" s="392">
        <v>5.75</v>
      </c>
      <c r="C223" s="293">
        <v>4.5999999999999996</v>
      </c>
      <c r="D223" s="393">
        <v>211734.55</v>
      </c>
    </row>
    <row r="224" spans="1:4" x14ac:dyDescent="0.25">
      <c r="A224" s="391" t="s">
        <v>1371</v>
      </c>
      <c r="B224" s="392">
        <v>7.25</v>
      </c>
      <c r="C224" s="293">
        <v>5.8</v>
      </c>
      <c r="D224" s="393">
        <v>266969.65000000002</v>
      </c>
    </row>
    <row r="225" spans="1:4" x14ac:dyDescent="0.25">
      <c r="A225" s="391" t="s">
        <v>1373</v>
      </c>
      <c r="B225" s="392">
        <v>1.875</v>
      </c>
      <c r="C225" s="293">
        <v>1.5</v>
      </c>
      <c r="D225" s="393">
        <v>69043.875</v>
      </c>
    </row>
    <row r="226" spans="1:4" x14ac:dyDescent="0.25">
      <c r="A226" s="391" t="s">
        <v>1539</v>
      </c>
      <c r="B226" s="392">
        <v>1.0666666666666667</v>
      </c>
      <c r="C226" s="293">
        <v>0.90666666666666662</v>
      </c>
      <c r="D226" s="393">
        <v>75581.973333333328</v>
      </c>
    </row>
    <row r="227" spans="1:4" x14ac:dyDescent="0.25">
      <c r="A227" s="391" t="s">
        <v>1540</v>
      </c>
      <c r="B227" s="392">
        <v>1.6</v>
      </c>
      <c r="C227" s="293">
        <v>1.36</v>
      </c>
      <c r="D227" s="393">
        <v>113372.96</v>
      </c>
    </row>
    <row r="228" spans="1:4" x14ac:dyDescent="0.25">
      <c r="A228" s="391" t="s">
        <v>1541</v>
      </c>
      <c r="B228" s="392">
        <v>1.3333333333333333</v>
      </c>
      <c r="C228" s="293">
        <v>1.1333333333333333</v>
      </c>
      <c r="D228" s="393">
        <v>94477.46666666666</v>
      </c>
    </row>
    <row r="229" spans="1:4" x14ac:dyDescent="0.25">
      <c r="A229" s="391" t="s">
        <v>1439</v>
      </c>
      <c r="B229" s="392">
        <v>5.625</v>
      </c>
      <c r="C229" s="293">
        <v>4.78125</v>
      </c>
      <c r="D229" s="393">
        <v>269843.0625</v>
      </c>
    </row>
    <row r="230" spans="1:4" x14ac:dyDescent="0.25">
      <c r="A230" s="391" t="s">
        <v>1443</v>
      </c>
      <c r="B230" s="392">
        <v>16.5</v>
      </c>
      <c r="C230" s="293">
        <v>14.025</v>
      </c>
      <c r="D230" s="393">
        <v>620598.82499999995</v>
      </c>
    </row>
    <row r="231" spans="1:4" x14ac:dyDescent="0.25">
      <c r="A231" s="391" t="s">
        <v>1444</v>
      </c>
      <c r="B231" s="392">
        <v>5.333333333333333</v>
      </c>
      <c r="C231" s="293">
        <v>4.5333333333333332</v>
      </c>
      <c r="D231" s="393">
        <v>200597.6</v>
      </c>
    </row>
    <row r="232" spans="1:4" x14ac:dyDescent="0.25">
      <c r="A232" s="391" t="s">
        <v>1514</v>
      </c>
      <c r="B232" s="392">
        <v>1.875</v>
      </c>
      <c r="C232" s="293">
        <v>1.59375</v>
      </c>
      <c r="D232" s="393">
        <v>89947.6875</v>
      </c>
    </row>
    <row r="233" spans="1:4" x14ac:dyDescent="0.25">
      <c r="A233" s="391" t="s">
        <v>1485</v>
      </c>
      <c r="B233" s="392">
        <v>4.375</v>
      </c>
      <c r="C233" s="293">
        <v>3.71875</v>
      </c>
      <c r="D233" s="393">
        <v>310004.1875</v>
      </c>
    </row>
    <row r="234" spans="1:4" x14ac:dyDescent="0.25">
      <c r="A234" s="391" t="s">
        <v>1515</v>
      </c>
      <c r="B234" s="392">
        <v>3.25</v>
      </c>
      <c r="C234" s="293">
        <v>2.7624999999999997</v>
      </c>
      <c r="D234" s="393">
        <v>155909.32500000001</v>
      </c>
    </row>
    <row r="235" spans="1:4" x14ac:dyDescent="0.25">
      <c r="A235" s="391" t="s">
        <v>1927</v>
      </c>
      <c r="B235" s="392">
        <v>5</v>
      </c>
      <c r="C235" s="293">
        <v>4.25</v>
      </c>
      <c r="D235" s="393">
        <v>188060.25</v>
      </c>
    </row>
    <row r="236" spans="1:4" x14ac:dyDescent="0.25">
      <c r="A236" s="391" t="s">
        <v>1481</v>
      </c>
      <c r="B236" s="392">
        <v>9.75</v>
      </c>
      <c r="C236" s="293">
        <v>8.2874999999999996</v>
      </c>
      <c r="D236" s="393">
        <v>467727.97499999998</v>
      </c>
    </row>
    <row r="237" spans="1:4" x14ac:dyDescent="0.25">
      <c r="A237" s="391" t="s">
        <v>1483</v>
      </c>
      <c r="B237" s="392">
        <v>22.75</v>
      </c>
      <c r="C237" s="293">
        <v>19.337499999999999</v>
      </c>
      <c r="D237" s="393">
        <v>1612021.7750000004</v>
      </c>
    </row>
    <row r="238" spans="1:4" x14ac:dyDescent="0.25">
      <c r="A238" s="391" t="s">
        <v>1484</v>
      </c>
      <c r="B238" s="392">
        <v>13</v>
      </c>
      <c r="C238" s="293">
        <v>11.049999999999999</v>
      </c>
      <c r="D238" s="393">
        <v>921155.29999999981</v>
      </c>
    </row>
    <row r="239" spans="1:4" x14ac:dyDescent="0.25">
      <c r="A239" s="391" t="s">
        <v>1474</v>
      </c>
      <c r="B239" s="392">
        <v>8.4</v>
      </c>
      <c r="C239" s="293">
        <v>7.14</v>
      </c>
      <c r="D239" s="393">
        <v>444358.40399999998</v>
      </c>
    </row>
    <row r="240" spans="1:4" x14ac:dyDescent="0.25">
      <c r="A240" s="391" t="s">
        <v>1538</v>
      </c>
      <c r="B240" s="392">
        <v>7.125</v>
      </c>
      <c r="C240" s="293">
        <v>6.0562499999999995</v>
      </c>
      <c r="D240" s="393">
        <v>384102.33750000002</v>
      </c>
    </row>
    <row r="241" spans="1:4" x14ac:dyDescent="0.25">
      <c r="A241" s="391" t="s">
        <v>1621</v>
      </c>
      <c r="B241" s="392">
        <v>7</v>
      </c>
      <c r="C241" s="293">
        <v>5.95</v>
      </c>
      <c r="D241" s="393">
        <v>377363.7</v>
      </c>
    </row>
    <row r="242" spans="1:4" x14ac:dyDescent="0.25">
      <c r="A242" s="391" t="s">
        <v>1624</v>
      </c>
      <c r="B242" s="392">
        <v>7</v>
      </c>
      <c r="C242" s="293">
        <v>5.95</v>
      </c>
      <c r="D242" s="393">
        <v>377363.7</v>
      </c>
    </row>
    <row r="243" spans="1:4" x14ac:dyDescent="0.25">
      <c r="A243" s="391" t="s">
        <v>1570</v>
      </c>
      <c r="B243" s="392">
        <v>10.399999999999999</v>
      </c>
      <c r="C243" s="293">
        <v>8.8399999999999981</v>
      </c>
      <c r="D243" s="393">
        <v>560654.6399999999</v>
      </c>
    </row>
    <row r="244" spans="1:4" x14ac:dyDescent="0.25">
      <c r="A244" s="391" t="s">
        <v>1567</v>
      </c>
      <c r="B244" s="392">
        <v>7.8000000000000007</v>
      </c>
      <c r="C244" s="293">
        <v>6.63</v>
      </c>
      <c r="D244" s="393">
        <v>420490.98</v>
      </c>
    </row>
    <row r="245" spans="1:4" x14ac:dyDescent="0.25">
      <c r="A245" s="391" t="s">
        <v>1559</v>
      </c>
      <c r="B245" s="392">
        <v>7.0833333333333321</v>
      </c>
      <c r="C245" s="293">
        <v>6.0083333333333329</v>
      </c>
      <c r="D245" s="393">
        <v>381496.29999999993</v>
      </c>
    </row>
    <row r="246" spans="1:4" x14ac:dyDescent="0.25">
      <c r="A246" s="391" t="s">
        <v>1657</v>
      </c>
      <c r="B246" s="392">
        <v>9.0833333333333357</v>
      </c>
      <c r="C246" s="293">
        <v>7.7000000000000011</v>
      </c>
      <c r="D246" s="393">
        <v>489074.61666666658</v>
      </c>
    </row>
    <row r="247" spans="1:4" x14ac:dyDescent="0.25">
      <c r="A247" s="391" t="s">
        <v>1576</v>
      </c>
      <c r="B247" s="392">
        <v>2</v>
      </c>
      <c r="C247" s="293">
        <v>1.7</v>
      </c>
      <c r="D247" s="393">
        <v>107818.2</v>
      </c>
    </row>
    <row r="248" spans="1:4" x14ac:dyDescent="0.25">
      <c r="A248" s="391" t="s">
        <v>1577</v>
      </c>
      <c r="B248" s="392">
        <v>9.4666666666666686</v>
      </c>
      <c r="C248" s="293">
        <v>8.0466666666666669</v>
      </c>
      <c r="D248" s="393">
        <v>510339.48</v>
      </c>
    </row>
    <row r="249" spans="1:4" x14ac:dyDescent="0.25">
      <c r="A249" s="391" t="s">
        <v>1689</v>
      </c>
      <c r="B249" s="392">
        <v>13.600000000000001</v>
      </c>
      <c r="C249" s="293">
        <v>11.559999999999999</v>
      </c>
      <c r="D249" s="393">
        <v>733163.76000000013</v>
      </c>
    </row>
    <row r="250" spans="1:4" x14ac:dyDescent="0.25">
      <c r="A250" s="391" t="s">
        <v>1626</v>
      </c>
      <c r="B250" s="392">
        <v>7</v>
      </c>
      <c r="C250" s="293">
        <v>5.95</v>
      </c>
      <c r="D250" s="393">
        <v>377363.7</v>
      </c>
    </row>
    <row r="251" spans="1:4" x14ac:dyDescent="0.25">
      <c r="A251" s="391" t="s">
        <v>1572</v>
      </c>
      <c r="B251" s="392">
        <v>6.5</v>
      </c>
      <c r="C251" s="293">
        <v>5.5250000000000004</v>
      </c>
      <c r="D251" s="393">
        <v>244478.32500000001</v>
      </c>
    </row>
    <row r="252" spans="1:4" x14ac:dyDescent="0.25">
      <c r="A252" s="391" t="s">
        <v>1575</v>
      </c>
      <c r="B252" s="392">
        <v>2.75</v>
      </c>
      <c r="C252" s="293">
        <v>2.3374999999999999</v>
      </c>
      <c r="D252" s="393">
        <v>131923.27499999999</v>
      </c>
    </row>
    <row r="253" spans="1:4" x14ac:dyDescent="0.25">
      <c r="A253" s="391" t="s">
        <v>1589</v>
      </c>
      <c r="B253" s="392">
        <v>18.524999999999999</v>
      </c>
      <c r="C253" s="293">
        <v>15.746249999999998</v>
      </c>
      <c r="D253" s="393">
        <v>888683.15250000008</v>
      </c>
    </row>
    <row r="254" spans="1:4" x14ac:dyDescent="0.25">
      <c r="A254" s="391" t="s">
        <v>1588</v>
      </c>
      <c r="B254" s="392">
        <v>10.25</v>
      </c>
      <c r="C254" s="293">
        <v>8.7124999999999986</v>
      </c>
      <c r="D254" s="393">
        <v>552568.27500000002</v>
      </c>
    </row>
    <row r="255" spans="1:4" x14ac:dyDescent="0.25">
      <c r="A255" s="391" t="s">
        <v>1578</v>
      </c>
      <c r="B255" s="392">
        <v>14.849999999999998</v>
      </c>
      <c r="C255" s="293">
        <v>12.622499999999999</v>
      </c>
      <c r="D255" s="393">
        <v>800550.13500000001</v>
      </c>
    </row>
    <row r="256" spans="1:4" x14ac:dyDescent="0.25">
      <c r="A256" s="391" t="s">
        <v>1569</v>
      </c>
      <c r="B256" s="392">
        <v>11.233333333333334</v>
      </c>
      <c r="C256" s="293">
        <v>9.548333333333332</v>
      </c>
      <c r="D256" s="393">
        <v>605578.89</v>
      </c>
    </row>
    <row r="257" spans="1:4" x14ac:dyDescent="0.25">
      <c r="A257" s="391" t="s">
        <v>1706</v>
      </c>
      <c r="B257" s="392">
        <v>18.7</v>
      </c>
      <c r="C257" s="293">
        <v>15.895000000000001</v>
      </c>
      <c r="D257" s="393">
        <v>1008100.17</v>
      </c>
    </row>
    <row r="258" spans="1:4" x14ac:dyDescent="0.25">
      <c r="A258" s="391" t="s">
        <v>1710</v>
      </c>
      <c r="B258" s="392">
        <v>0</v>
      </c>
      <c r="C258" s="293">
        <v>0</v>
      </c>
      <c r="D258" s="393">
        <v>0</v>
      </c>
    </row>
    <row r="259" spans="1:4" x14ac:dyDescent="0.25">
      <c r="A259" s="391" t="s">
        <v>1739</v>
      </c>
      <c r="B259" s="392">
        <v>2.5</v>
      </c>
      <c r="C259" s="293">
        <v>2</v>
      </c>
      <c r="D259" s="393">
        <v>172794.5</v>
      </c>
    </row>
    <row r="260" spans="1:4" x14ac:dyDescent="0.25">
      <c r="A260" s="391" t="s">
        <v>1712</v>
      </c>
      <c r="B260" s="392">
        <v>7.5</v>
      </c>
      <c r="C260" s="293">
        <v>6</v>
      </c>
      <c r="D260" s="393">
        <v>276175.5</v>
      </c>
    </row>
    <row r="261" spans="1:4" x14ac:dyDescent="0.25">
      <c r="A261" s="391" t="s">
        <v>1713</v>
      </c>
      <c r="B261" s="392">
        <v>15</v>
      </c>
      <c r="C261" s="293">
        <v>12</v>
      </c>
      <c r="D261" s="393">
        <v>552351</v>
      </c>
    </row>
    <row r="262" spans="1:4" x14ac:dyDescent="0.25">
      <c r="A262" s="391" t="s">
        <v>1716</v>
      </c>
      <c r="B262" s="392">
        <v>10</v>
      </c>
      <c r="C262" s="293">
        <v>8</v>
      </c>
      <c r="D262" s="393">
        <v>368234</v>
      </c>
    </row>
    <row r="263" spans="1:4" x14ac:dyDescent="0.25">
      <c r="A263" s="391" t="s">
        <v>1740</v>
      </c>
      <c r="B263" s="392">
        <v>5</v>
      </c>
      <c r="C263" s="293">
        <v>4</v>
      </c>
      <c r="D263" s="393">
        <v>184117</v>
      </c>
    </row>
    <row r="264" spans="1:4" x14ac:dyDescent="0.25">
      <c r="A264" s="391" t="s">
        <v>2211</v>
      </c>
      <c r="B264" s="392">
        <v>1.125</v>
      </c>
      <c r="C264" s="293">
        <v>0.9</v>
      </c>
      <c r="D264" s="393">
        <v>41426.324999999997</v>
      </c>
    </row>
    <row r="265" spans="1:4" x14ac:dyDescent="0.25">
      <c r="A265" s="391" t="s">
        <v>2212</v>
      </c>
      <c r="B265" s="392">
        <v>1.625</v>
      </c>
      <c r="C265" s="293">
        <v>1.3</v>
      </c>
      <c r="D265" s="393">
        <v>59838.025000000001</v>
      </c>
    </row>
    <row r="266" spans="1:4" x14ac:dyDescent="0.25">
      <c r="A266" s="391" t="s">
        <v>1730</v>
      </c>
      <c r="B266" s="392">
        <v>0.45833333333333331</v>
      </c>
      <c r="C266" s="293">
        <v>0.38958333333333328</v>
      </c>
      <c r="D266" s="393">
        <v>21987.212500000001</v>
      </c>
    </row>
    <row r="267" spans="1:4" x14ac:dyDescent="0.25">
      <c r="A267" s="391" t="s">
        <v>1732</v>
      </c>
      <c r="B267" s="392">
        <v>2</v>
      </c>
      <c r="C267" s="293">
        <v>1.7</v>
      </c>
      <c r="D267" s="393">
        <v>75224.099999999991</v>
      </c>
    </row>
    <row r="268" spans="1:4" x14ac:dyDescent="0.25">
      <c r="A268" s="391" t="s">
        <v>1755</v>
      </c>
      <c r="B268" s="392">
        <v>11</v>
      </c>
      <c r="C268" s="293">
        <v>9.35</v>
      </c>
      <c r="D268" s="393">
        <v>527693.1</v>
      </c>
    </row>
    <row r="269" spans="1:4" x14ac:dyDescent="0.25">
      <c r="A269" s="391" t="s">
        <v>1734</v>
      </c>
      <c r="B269" s="392">
        <v>12.666666666666666</v>
      </c>
      <c r="C269" s="293">
        <v>10.766666666666666</v>
      </c>
      <c r="D269" s="393">
        <v>476419.29999999993</v>
      </c>
    </row>
    <row r="270" spans="1:4" x14ac:dyDescent="0.25">
      <c r="A270" s="391" t="s">
        <v>1725</v>
      </c>
      <c r="B270" s="392">
        <v>9.8999999999999986</v>
      </c>
      <c r="C270" s="293">
        <v>8.4149999999999991</v>
      </c>
      <c r="D270" s="393">
        <v>474923.79000000004</v>
      </c>
    </row>
    <row r="271" spans="1:4" x14ac:dyDescent="0.25">
      <c r="A271" s="391" t="s">
        <v>1727</v>
      </c>
      <c r="B271" s="392">
        <v>10.625</v>
      </c>
      <c r="C271" s="293">
        <v>9.0312499999999982</v>
      </c>
      <c r="D271" s="393">
        <v>509703.5625</v>
      </c>
    </row>
    <row r="272" spans="1:4" x14ac:dyDescent="0.25">
      <c r="A272" s="391" t="s">
        <v>1786</v>
      </c>
      <c r="B272" s="392">
        <v>22</v>
      </c>
      <c r="C272" s="293">
        <v>18.699999999999996</v>
      </c>
      <c r="D272" s="393">
        <v>827465.1</v>
      </c>
    </row>
    <row r="273" spans="1:4" x14ac:dyDescent="0.25">
      <c r="A273" s="391" t="s">
        <v>1765</v>
      </c>
      <c r="B273" s="392">
        <v>6.25</v>
      </c>
      <c r="C273" s="293">
        <v>5.3125</v>
      </c>
      <c r="D273" s="393">
        <v>336931.875</v>
      </c>
    </row>
    <row r="274" spans="1:4" x14ac:dyDescent="0.25">
      <c r="A274" s="391" t="s">
        <v>1753</v>
      </c>
      <c r="B274" s="392">
        <v>15</v>
      </c>
      <c r="C274" s="293">
        <v>12.749999999999998</v>
      </c>
      <c r="D274" s="393">
        <v>719581.5</v>
      </c>
    </row>
    <row r="275" spans="1:4" x14ac:dyDescent="0.25">
      <c r="A275" s="391" t="s">
        <v>1752</v>
      </c>
      <c r="B275" s="392">
        <v>9.375</v>
      </c>
      <c r="C275" s="293">
        <v>7.96875</v>
      </c>
      <c r="D275" s="393">
        <v>449738.4375</v>
      </c>
    </row>
    <row r="276" spans="1:4" x14ac:dyDescent="0.25">
      <c r="A276" s="391" t="s">
        <v>1783</v>
      </c>
      <c r="B276" s="392">
        <v>2.625</v>
      </c>
      <c r="C276" s="293">
        <v>2.2312499999999997</v>
      </c>
      <c r="D276" s="393">
        <v>125926.76249999998</v>
      </c>
    </row>
    <row r="277" spans="1:4" x14ac:dyDescent="0.25">
      <c r="A277" s="391" t="s">
        <v>1865</v>
      </c>
      <c r="B277" s="392">
        <v>21.5</v>
      </c>
      <c r="C277" s="293">
        <v>18.274999999999999</v>
      </c>
      <c r="D277" s="393">
        <v>808659.07499999984</v>
      </c>
    </row>
    <row r="278" spans="1:4" x14ac:dyDescent="0.25">
      <c r="A278" s="391" t="s">
        <v>1866</v>
      </c>
      <c r="B278" s="392">
        <v>10.875</v>
      </c>
      <c r="C278" s="293">
        <v>9.2437499999999986</v>
      </c>
      <c r="D278" s="393">
        <v>586261.46249999991</v>
      </c>
    </row>
    <row r="279" spans="1:4" x14ac:dyDescent="0.25">
      <c r="A279" s="391" t="s">
        <v>1867</v>
      </c>
      <c r="B279" s="392">
        <v>2.75</v>
      </c>
      <c r="C279" s="293">
        <v>2.3374999999999999</v>
      </c>
      <c r="D279" s="393">
        <v>148250.02499999999</v>
      </c>
    </row>
    <row r="280" spans="1:4" x14ac:dyDescent="0.25">
      <c r="A280" s="391" t="s">
        <v>1907</v>
      </c>
      <c r="B280" s="392">
        <v>0</v>
      </c>
      <c r="C280" s="293">
        <v>0</v>
      </c>
      <c r="D280" s="393">
        <v>0</v>
      </c>
    </row>
    <row r="281" spans="1:4" x14ac:dyDescent="0.25">
      <c r="A281" s="391" t="s">
        <v>1889</v>
      </c>
      <c r="B281" s="392">
        <v>11.5</v>
      </c>
      <c r="C281" s="293">
        <v>9.7750000000000004</v>
      </c>
      <c r="D281" s="393">
        <v>619954.65</v>
      </c>
    </row>
    <row r="282" spans="1:4" x14ac:dyDescent="0.25">
      <c r="A282" s="391" t="s">
        <v>1887</v>
      </c>
      <c r="B282" s="392">
        <v>3.375</v>
      </c>
      <c r="C282" s="293">
        <v>2.8687499999999999</v>
      </c>
      <c r="D282" s="393">
        <v>181943.21249999999</v>
      </c>
    </row>
    <row r="283" spans="1:4" x14ac:dyDescent="0.25">
      <c r="A283" s="391" t="s">
        <v>1888</v>
      </c>
      <c r="B283" s="392">
        <v>5.875</v>
      </c>
      <c r="C283" s="293">
        <v>4.9937499999999995</v>
      </c>
      <c r="D283" s="393">
        <v>316715.96249999997</v>
      </c>
    </row>
    <row r="284" spans="1:4" x14ac:dyDescent="0.25">
      <c r="A284" s="391" t="s">
        <v>1912</v>
      </c>
      <c r="B284" s="392">
        <v>7.25</v>
      </c>
      <c r="C284" s="293">
        <v>6.1624999999999996</v>
      </c>
      <c r="D284" s="393">
        <v>390840.97499999998</v>
      </c>
    </row>
    <row r="285" spans="1:4" x14ac:dyDescent="0.25">
      <c r="A285" s="391" t="s">
        <v>1891</v>
      </c>
      <c r="B285" s="392">
        <v>2.6924999999999999</v>
      </c>
      <c r="C285" s="293">
        <v>2.2886250000000001</v>
      </c>
      <c r="D285" s="393">
        <v>129164.87925000003</v>
      </c>
    </row>
    <row r="286" spans="1:4" x14ac:dyDescent="0.25">
      <c r="A286" s="391" t="s">
        <v>2123</v>
      </c>
      <c r="B286" s="392">
        <v>0.4</v>
      </c>
      <c r="C286" s="293">
        <v>0.34</v>
      </c>
      <c r="D286" s="393">
        <v>19188.84</v>
      </c>
    </row>
    <row r="287" spans="1:4" x14ac:dyDescent="0.25">
      <c r="A287" s="391" t="s">
        <v>2013</v>
      </c>
      <c r="B287" s="392">
        <v>1.7000000000000002</v>
      </c>
      <c r="C287" s="293">
        <v>1.4450000000000001</v>
      </c>
      <c r="D287" s="393">
        <v>81552.570000000007</v>
      </c>
    </row>
    <row r="288" spans="1:4" x14ac:dyDescent="0.25">
      <c r="A288" s="391" t="s">
        <v>2014</v>
      </c>
      <c r="B288" s="392">
        <v>0.8</v>
      </c>
      <c r="C288" s="293">
        <v>0.68</v>
      </c>
      <c r="D288" s="393">
        <v>38377.68</v>
      </c>
    </row>
    <row r="289" spans="1:4" x14ac:dyDescent="0.25">
      <c r="A289" s="391" t="s">
        <v>2190</v>
      </c>
      <c r="B289" s="392">
        <v>2.75</v>
      </c>
      <c r="C289" s="293">
        <v>2.2000000000000002</v>
      </c>
      <c r="D289" s="393">
        <v>101264.35</v>
      </c>
    </row>
    <row r="290" spans="1:4" x14ac:dyDescent="0.25">
      <c r="A290" s="391" t="s">
        <v>2184</v>
      </c>
      <c r="B290" s="392">
        <v>0.125</v>
      </c>
      <c r="C290" s="293">
        <v>0.1</v>
      </c>
      <c r="D290" s="393">
        <v>4602.9250000000002</v>
      </c>
    </row>
    <row r="291" spans="1:4" x14ac:dyDescent="0.25">
      <c r="A291" s="391" t="s">
        <v>2207</v>
      </c>
      <c r="B291" s="392">
        <v>27.5</v>
      </c>
      <c r="C291" s="293">
        <v>22</v>
      </c>
      <c r="D291" s="393">
        <v>1012643.5</v>
      </c>
    </row>
    <row r="292" spans="1:4" x14ac:dyDescent="0.25">
      <c r="A292" s="391" t="s">
        <v>2209</v>
      </c>
      <c r="B292" s="392">
        <v>11.875</v>
      </c>
      <c r="C292" s="293">
        <v>9.5</v>
      </c>
      <c r="D292" s="393">
        <v>437277.875</v>
      </c>
    </row>
    <row r="293" spans="1:4" x14ac:dyDescent="0.25">
      <c r="A293" s="391" t="s">
        <v>2148</v>
      </c>
      <c r="B293" s="392">
        <v>2</v>
      </c>
      <c r="C293" s="293">
        <v>1.7</v>
      </c>
      <c r="D293" s="393">
        <v>141716.20000000001</v>
      </c>
    </row>
    <row r="294" spans="1:4" x14ac:dyDescent="0.25">
      <c r="A294" s="391" t="s">
        <v>2185</v>
      </c>
      <c r="B294" s="392">
        <v>7.5</v>
      </c>
      <c r="C294" s="293">
        <v>6</v>
      </c>
      <c r="D294" s="393">
        <v>276175.5</v>
      </c>
    </row>
    <row r="295" spans="1:4" x14ac:dyDescent="0.25">
      <c r="A295" s="391" t="s">
        <v>2146</v>
      </c>
      <c r="B295" s="392">
        <v>4.875</v>
      </c>
      <c r="C295" s="293">
        <v>4.1437499999999998</v>
      </c>
      <c r="D295" s="393">
        <v>345433.23749999999</v>
      </c>
    </row>
    <row r="296" spans="1:4" x14ac:dyDescent="0.25">
      <c r="A296" s="391" t="s">
        <v>2149</v>
      </c>
      <c r="B296" s="392">
        <v>2</v>
      </c>
      <c r="C296" s="293">
        <v>1.7</v>
      </c>
      <c r="D296" s="393">
        <v>141716.20000000001</v>
      </c>
    </row>
    <row r="297" spans="1:4" x14ac:dyDescent="0.25">
      <c r="A297" s="391" t="s">
        <v>600</v>
      </c>
      <c r="B297" s="392">
        <v>11</v>
      </c>
      <c r="C297" s="293">
        <v>9.3499999999999979</v>
      </c>
      <c r="D297" s="393">
        <v>593000.1</v>
      </c>
    </row>
    <row r="298" spans="1:4" x14ac:dyDescent="0.25">
      <c r="A298" s="391" t="s">
        <v>511</v>
      </c>
      <c r="B298" s="392">
        <v>1</v>
      </c>
      <c r="C298" s="293">
        <v>0.85</v>
      </c>
      <c r="D298" s="393">
        <v>37612.050000000003</v>
      </c>
    </row>
    <row r="299" spans="1:4" x14ac:dyDescent="0.25">
      <c r="A299" s="391" t="s">
        <v>1564</v>
      </c>
      <c r="B299" s="392">
        <v>1.625</v>
      </c>
      <c r="C299" s="293">
        <v>1.3812499999999999</v>
      </c>
      <c r="D299" s="393">
        <v>61119.581249999996</v>
      </c>
    </row>
    <row r="300" spans="1:4" x14ac:dyDescent="0.25">
      <c r="A300" s="391" t="s">
        <v>1802</v>
      </c>
      <c r="B300" s="392">
        <v>1.125</v>
      </c>
      <c r="C300" s="293">
        <v>0.95624999999999993</v>
      </c>
      <c r="D300" s="393">
        <v>53968.612499999996</v>
      </c>
    </row>
    <row r="301" spans="1:4" x14ac:dyDescent="0.25">
      <c r="A301" s="391" t="s">
        <v>2015</v>
      </c>
      <c r="B301" s="392">
        <v>0.5</v>
      </c>
      <c r="C301" s="293">
        <v>0.42500000000000004</v>
      </c>
      <c r="D301" s="393">
        <v>23986.05</v>
      </c>
    </row>
    <row r="302" spans="1:4" x14ac:dyDescent="0.25">
      <c r="A302" s="391" t="s">
        <v>1965</v>
      </c>
      <c r="B302" s="392">
        <v>6.5</v>
      </c>
      <c r="C302" s="293">
        <v>5.5249999999999995</v>
      </c>
      <c r="D302" s="393">
        <v>244478.32499999998</v>
      </c>
    </row>
    <row r="303" spans="1:4" x14ac:dyDescent="0.25">
      <c r="A303" s="391" t="s">
        <v>2116</v>
      </c>
      <c r="B303" s="392">
        <v>7.5</v>
      </c>
      <c r="C303" s="293">
        <v>6.375</v>
      </c>
      <c r="D303" s="393">
        <v>282090.375</v>
      </c>
    </row>
    <row r="304" spans="1:4" x14ac:dyDescent="0.25">
      <c r="A304" s="391" t="s">
        <v>2117</v>
      </c>
      <c r="B304" s="392">
        <v>6</v>
      </c>
      <c r="C304" s="293">
        <v>5.0999999999999996</v>
      </c>
      <c r="D304" s="393">
        <v>225672.3</v>
      </c>
    </row>
    <row r="305" spans="1:4" x14ac:dyDescent="0.25">
      <c r="A305" s="391" t="s">
        <v>2158</v>
      </c>
      <c r="B305" s="392">
        <v>5</v>
      </c>
      <c r="C305" s="293">
        <v>4.25</v>
      </c>
      <c r="D305" s="393">
        <v>188060.25</v>
      </c>
    </row>
    <row r="306" spans="1:4" x14ac:dyDescent="0.25">
      <c r="A306" s="391" t="s">
        <v>886</v>
      </c>
      <c r="B306" s="392">
        <v>2.5</v>
      </c>
      <c r="C306" s="293">
        <v>2.1</v>
      </c>
      <c r="D306" s="393">
        <v>93635.800000000017</v>
      </c>
    </row>
    <row r="307" spans="1:4" x14ac:dyDescent="0.25">
      <c r="A307" s="391" t="s">
        <v>1750</v>
      </c>
      <c r="B307" s="392">
        <v>1.5</v>
      </c>
      <c r="C307" s="293">
        <v>1.2749999999999999</v>
      </c>
      <c r="D307" s="393">
        <v>56418.074999999997</v>
      </c>
    </row>
    <row r="308" spans="1:4" x14ac:dyDescent="0.25">
      <c r="A308" s="391" t="s">
        <v>1751</v>
      </c>
      <c r="B308" s="392">
        <v>1</v>
      </c>
      <c r="C308" s="293">
        <v>0.8</v>
      </c>
      <c r="D308" s="393">
        <v>36823.4</v>
      </c>
    </row>
    <row r="309" spans="1:4" x14ac:dyDescent="0.25">
      <c r="A309" s="391" t="s">
        <v>1898</v>
      </c>
      <c r="B309" s="392">
        <v>0.2</v>
      </c>
      <c r="C309" s="293">
        <v>0.17</v>
      </c>
      <c r="D309" s="393">
        <v>9594.42</v>
      </c>
    </row>
    <row r="310" spans="1:4" x14ac:dyDescent="0.25">
      <c r="A310" s="391" t="s">
        <v>2239</v>
      </c>
      <c r="B310" s="392">
        <v>2.5</v>
      </c>
      <c r="C310" s="293">
        <v>2.125</v>
      </c>
      <c r="D310" s="393">
        <v>94030.125</v>
      </c>
    </row>
    <row r="311" spans="1:4" x14ac:dyDescent="0.25">
      <c r="A311" s="391" t="s">
        <v>1274</v>
      </c>
      <c r="B311" s="392">
        <v>6</v>
      </c>
      <c r="C311" s="293">
        <v>5.0999999999999996</v>
      </c>
      <c r="D311" s="393">
        <v>225672.30000000002</v>
      </c>
    </row>
    <row r="312" spans="1:4" x14ac:dyDescent="0.25">
      <c r="A312" s="391" t="s">
        <v>1302</v>
      </c>
      <c r="B312" s="392">
        <v>6.625</v>
      </c>
      <c r="C312" s="293">
        <v>5.6312500000000005</v>
      </c>
      <c r="D312" s="393">
        <v>249179.83124999999</v>
      </c>
    </row>
    <row r="313" spans="1:4" x14ac:dyDescent="0.25">
      <c r="A313" s="391" t="s">
        <v>1381</v>
      </c>
      <c r="B313" s="392">
        <v>0.75</v>
      </c>
      <c r="C313" s="293">
        <v>0.60000000000000009</v>
      </c>
      <c r="D313" s="393">
        <v>27617.550000000003</v>
      </c>
    </row>
    <row r="314" spans="1:4" x14ac:dyDescent="0.25">
      <c r="A314" s="391" t="s">
        <v>1823</v>
      </c>
      <c r="B314" s="392">
        <v>0</v>
      </c>
      <c r="C314" s="293">
        <v>0</v>
      </c>
      <c r="D314" s="393">
        <v>0</v>
      </c>
    </row>
    <row r="315" spans="1:4" x14ac:dyDescent="0.25">
      <c r="A315" s="391" t="s">
        <v>2062</v>
      </c>
      <c r="B315" s="392">
        <v>2.5</v>
      </c>
      <c r="C315" s="293">
        <v>2</v>
      </c>
      <c r="D315" s="393">
        <v>92058.5</v>
      </c>
    </row>
    <row r="316" spans="1:4" x14ac:dyDescent="0.25">
      <c r="A316" s="391" t="s">
        <v>2063</v>
      </c>
      <c r="B316" s="392">
        <v>0</v>
      </c>
      <c r="C316" s="293">
        <v>0</v>
      </c>
      <c r="D316" s="393">
        <v>0</v>
      </c>
    </row>
    <row r="317" spans="1:4" x14ac:dyDescent="0.25">
      <c r="A317" s="391" t="s">
        <v>2104</v>
      </c>
      <c r="B317" s="392">
        <v>8.5</v>
      </c>
      <c r="C317" s="293">
        <v>7.2249999999999996</v>
      </c>
      <c r="D317" s="393">
        <v>319702.42500000005</v>
      </c>
    </row>
    <row r="318" spans="1:4" x14ac:dyDescent="0.25">
      <c r="A318" s="391" t="s">
        <v>2151</v>
      </c>
      <c r="B318" s="392">
        <v>4</v>
      </c>
      <c r="C318" s="293">
        <v>3.4</v>
      </c>
      <c r="D318" s="393">
        <v>150448.20000000001</v>
      </c>
    </row>
    <row r="319" spans="1:4" x14ac:dyDescent="0.25">
      <c r="A319" s="391" t="s">
        <v>2152</v>
      </c>
      <c r="B319" s="392">
        <v>1</v>
      </c>
      <c r="C319" s="293">
        <v>0.85</v>
      </c>
      <c r="D319" s="393">
        <v>37612.050000000003</v>
      </c>
    </row>
    <row r="320" spans="1:4" x14ac:dyDescent="0.25">
      <c r="A320" s="391" t="s">
        <v>512</v>
      </c>
      <c r="B320" s="392">
        <v>11</v>
      </c>
      <c r="C320" s="293">
        <v>9.35</v>
      </c>
      <c r="D320" s="393">
        <v>413732.54999999993</v>
      </c>
    </row>
    <row r="321" spans="1:4" x14ac:dyDescent="0.25">
      <c r="A321" s="391" t="s">
        <v>513</v>
      </c>
      <c r="B321" s="392">
        <v>10.5</v>
      </c>
      <c r="C321" s="293">
        <v>8.9249999999999989</v>
      </c>
      <c r="D321" s="393">
        <v>394926.52500000002</v>
      </c>
    </row>
    <row r="322" spans="1:4" x14ac:dyDescent="0.25">
      <c r="A322" s="391" t="s">
        <v>603</v>
      </c>
      <c r="B322" s="392">
        <v>6.5</v>
      </c>
      <c r="C322" s="293">
        <v>5.5250000000000004</v>
      </c>
      <c r="D322" s="393">
        <v>244478.32500000001</v>
      </c>
    </row>
    <row r="323" spans="1:4" x14ac:dyDescent="0.25">
      <c r="A323" s="391" t="s">
        <v>1051</v>
      </c>
      <c r="B323" s="392">
        <v>7</v>
      </c>
      <c r="C323" s="293">
        <v>5.9499999999999993</v>
      </c>
      <c r="D323" s="393">
        <v>263284.35000000003</v>
      </c>
    </row>
    <row r="324" spans="1:4" x14ac:dyDescent="0.25">
      <c r="A324" s="391" t="s">
        <v>1052</v>
      </c>
      <c r="B324" s="392">
        <v>8.25</v>
      </c>
      <c r="C324" s="293">
        <v>7.0125000000000002</v>
      </c>
      <c r="D324" s="393">
        <v>444750.07500000001</v>
      </c>
    </row>
    <row r="325" spans="1:4" x14ac:dyDescent="0.25">
      <c r="A325" s="391" t="s">
        <v>569</v>
      </c>
      <c r="B325" s="392">
        <v>5.5</v>
      </c>
      <c r="C325" s="293">
        <v>4.4000000000000004</v>
      </c>
      <c r="D325" s="393">
        <v>380147.9</v>
      </c>
    </row>
    <row r="326" spans="1:4" x14ac:dyDescent="0.25">
      <c r="A326" s="391" t="s">
        <v>648</v>
      </c>
      <c r="B326" s="392">
        <v>2.75</v>
      </c>
      <c r="C326" s="293">
        <v>2.2000000000000002</v>
      </c>
      <c r="D326" s="393">
        <v>190073.95</v>
      </c>
    </row>
    <row r="327" spans="1:4" x14ac:dyDescent="0.25">
      <c r="A327" s="391" t="s">
        <v>1133</v>
      </c>
      <c r="B327" s="392">
        <v>0</v>
      </c>
      <c r="C327" s="293">
        <v>0</v>
      </c>
      <c r="D327" s="393">
        <v>0</v>
      </c>
    </row>
    <row r="328" spans="1:4" x14ac:dyDescent="0.25">
      <c r="A328" s="391" t="s">
        <v>1771</v>
      </c>
      <c r="B328" s="392">
        <v>15.25</v>
      </c>
      <c r="C328" s="293">
        <v>12.2</v>
      </c>
      <c r="D328" s="393">
        <v>1054046.45</v>
      </c>
    </row>
    <row r="329" spans="1:4" x14ac:dyDescent="0.25">
      <c r="A329" s="391" t="s">
        <v>1638</v>
      </c>
      <c r="B329" s="392">
        <v>2</v>
      </c>
      <c r="C329" s="293">
        <v>1.6</v>
      </c>
      <c r="D329" s="393">
        <v>138235.6</v>
      </c>
    </row>
    <row r="330" spans="1:4" x14ac:dyDescent="0.25">
      <c r="A330" s="391" t="s">
        <v>1639</v>
      </c>
      <c r="B330" s="392">
        <v>1.5</v>
      </c>
      <c r="C330" s="293">
        <v>1.2000000000000002</v>
      </c>
      <c r="D330" s="393">
        <v>103676.70000000001</v>
      </c>
    </row>
    <row r="331" spans="1:4" x14ac:dyDescent="0.25">
      <c r="A331" s="391" t="s">
        <v>1635</v>
      </c>
      <c r="B331" s="392">
        <v>1.75</v>
      </c>
      <c r="C331" s="293">
        <v>1.4000000000000001</v>
      </c>
      <c r="D331" s="393">
        <v>120956.15</v>
      </c>
    </row>
    <row r="332" spans="1:4" x14ac:dyDescent="0.25">
      <c r="A332" s="391" t="s">
        <v>1775</v>
      </c>
      <c r="B332" s="392">
        <v>1.25</v>
      </c>
      <c r="C332" s="293">
        <v>1</v>
      </c>
      <c r="D332" s="393">
        <v>68358.5</v>
      </c>
    </row>
    <row r="333" spans="1:4" x14ac:dyDescent="0.25">
      <c r="A333" s="391" t="s">
        <v>2067</v>
      </c>
      <c r="B333" s="392">
        <v>0</v>
      </c>
      <c r="C333" s="293">
        <v>0</v>
      </c>
      <c r="D333" s="393">
        <v>0</v>
      </c>
    </row>
    <row r="334" spans="1:4" x14ac:dyDescent="0.25">
      <c r="A334" s="391" t="s">
        <v>1944</v>
      </c>
      <c r="B334" s="392">
        <v>10.625</v>
      </c>
      <c r="C334" s="293">
        <v>9.03125</v>
      </c>
      <c r="D334" s="393">
        <v>399628.03125000006</v>
      </c>
    </row>
    <row r="335" spans="1:4" x14ac:dyDescent="0.25">
      <c r="A335" s="391" t="s">
        <v>1947</v>
      </c>
      <c r="B335" s="392">
        <v>11.45</v>
      </c>
      <c r="C335" s="293">
        <v>9.6700000000000017</v>
      </c>
      <c r="D335" s="393">
        <v>429672.16</v>
      </c>
    </row>
    <row r="336" spans="1:4" x14ac:dyDescent="0.25">
      <c r="A336" s="391" t="s">
        <v>1946</v>
      </c>
      <c r="B336" s="392">
        <v>20.574999999999999</v>
      </c>
      <c r="C336" s="293">
        <v>17.48875</v>
      </c>
      <c r="D336" s="393">
        <v>1408735.8897500001</v>
      </c>
    </row>
    <row r="337" spans="1:4" x14ac:dyDescent="0.25">
      <c r="A337" s="391" t="s">
        <v>2100</v>
      </c>
      <c r="B337" s="392">
        <v>15</v>
      </c>
      <c r="C337" s="293">
        <v>12.731249999999999</v>
      </c>
      <c r="D337" s="393">
        <v>563885.00624999998</v>
      </c>
    </row>
    <row r="338" spans="1:4" x14ac:dyDescent="0.25">
      <c r="A338" s="391" t="s">
        <v>2102</v>
      </c>
      <c r="B338" s="392">
        <v>0.75</v>
      </c>
      <c r="C338" s="293">
        <v>0.63749999999999996</v>
      </c>
      <c r="D338" s="393">
        <v>28209.037499999999</v>
      </c>
    </row>
    <row r="339" spans="1:4" x14ac:dyDescent="0.25">
      <c r="A339" s="391" t="s">
        <v>2101</v>
      </c>
      <c r="B339" s="392">
        <v>0.75</v>
      </c>
      <c r="C339" s="293">
        <v>0.63749999999999996</v>
      </c>
      <c r="D339" s="393">
        <v>28209.037499999999</v>
      </c>
    </row>
    <row r="340" spans="1:4" x14ac:dyDescent="0.25">
      <c r="A340" s="391" t="s">
        <v>2181</v>
      </c>
      <c r="B340" s="392">
        <v>21.75</v>
      </c>
      <c r="C340" s="293">
        <v>17.399999999999999</v>
      </c>
      <c r="D340" s="393">
        <v>800908.95</v>
      </c>
    </row>
    <row r="341" spans="1:4" x14ac:dyDescent="0.25">
      <c r="A341" s="391" t="s">
        <v>2103</v>
      </c>
      <c r="B341" s="392">
        <v>4.875</v>
      </c>
      <c r="C341" s="293">
        <v>4.1437499999999998</v>
      </c>
      <c r="D341" s="393">
        <v>183358.74374999999</v>
      </c>
    </row>
    <row r="342" spans="1:4" x14ac:dyDescent="0.25">
      <c r="A342" s="391" t="s">
        <v>2135</v>
      </c>
      <c r="B342" s="392">
        <v>7.5</v>
      </c>
      <c r="C342" s="293">
        <v>6.375</v>
      </c>
      <c r="D342" s="393">
        <v>282090.37499999994</v>
      </c>
    </row>
    <row r="343" spans="1:4" x14ac:dyDescent="0.25">
      <c r="A343" s="391" t="s">
        <v>2139</v>
      </c>
      <c r="B343" s="392">
        <v>0.75</v>
      </c>
      <c r="C343" s="293">
        <v>0.63749999999999996</v>
      </c>
      <c r="D343" s="393">
        <v>28209.037499999999</v>
      </c>
    </row>
    <row r="344" spans="1:4" x14ac:dyDescent="0.25">
      <c r="A344" s="391" t="s">
        <v>2137</v>
      </c>
      <c r="B344" s="392">
        <v>9.5</v>
      </c>
      <c r="C344" s="293">
        <v>8.0749999999999993</v>
      </c>
      <c r="D344" s="393">
        <v>357314.47500000003</v>
      </c>
    </row>
    <row r="345" spans="1:4" x14ac:dyDescent="0.25">
      <c r="A345" s="391" t="s">
        <v>101</v>
      </c>
      <c r="B345" s="392">
        <v>11.25</v>
      </c>
      <c r="C345" s="293">
        <v>9.5625</v>
      </c>
      <c r="D345" s="393">
        <v>423135.5625</v>
      </c>
    </row>
    <row r="346" spans="1:4" x14ac:dyDescent="0.25">
      <c r="A346" s="391" t="s">
        <v>102</v>
      </c>
      <c r="B346" s="392">
        <v>5.5</v>
      </c>
      <c r="C346" s="293">
        <v>4.6749999999999998</v>
      </c>
      <c r="D346" s="393">
        <v>206866.27500000002</v>
      </c>
    </row>
    <row r="347" spans="1:4" x14ac:dyDescent="0.25">
      <c r="A347" s="391" t="s">
        <v>516</v>
      </c>
      <c r="B347" s="392">
        <v>13.5</v>
      </c>
      <c r="C347" s="293">
        <v>11.475</v>
      </c>
      <c r="D347" s="393">
        <v>507762.67499999999</v>
      </c>
    </row>
    <row r="348" spans="1:4" x14ac:dyDescent="0.25">
      <c r="A348" s="391" t="s">
        <v>517</v>
      </c>
      <c r="B348" s="392">
        <v>11.75</v>
      </c>
      <c r="C348" s="293">
        <v>9.9874999999999989</v>
      </c>
      <c r="D348" s="393">
        <v>441941.58750000002</v>
      </c>
    </row>
    <row r="349" spans="1:4" x14ac:dyDescent="0.25">
      <c r="A349" s="391" t="s">
        <v>518</v>
      </c>
      <c r="B349" s="392">
        <v>5.5</v>
      </c>
      <c r="C349" s="293">
        <v>4.6749999999999998</v>
      </c>
      <c r="D349" s="393">
        <v>206866.27499999999</v>
      </c>
    </row>
    <row r="350" spans="1:4" x14ac:dyDescent="0.25">
      <c r="A350" s="391" t="s">
        <v>604</v>
      </c>
      <c r="B350" s="392">
        <v>4.5</v>
      </c>
      <c r="C350" s="293">
        <v>3.8250000000000002</v>
      </c>
      <c r="D350" s="393">
        <v>169254.22500000001</v>
      </c>
    </row>
    <row r="351" spans="1:4" x14ac:dyDescent="0.25">
      <c r="A351" s="391" t="s">
        <v>519</v>
      </c>
      <c r="B351" s="392">
        <v>6.75</v>
      </c>
      <c r="C351" s="293">
        <v>5.7374999999999998</v>
      </c>
      <c r="D351" s="393">
        <v>253881.33749999999</v>
      </c>
    </row>
    <row r="352" spans="1:4" x14ac:dyDescent="0.25">
      <c r="A352" s="391" t="s">
        <v>520</v>
      </c>
      <c r="B352" s="392">
        <v>2.625</v>
      </c>
      <c r="C352" s="293">
        <v>2.2312499999999997</v>
      </c>
      <c r="D352" s="393">
        <v>98731.631250000006</v>
      </c>
    </row>
    <row r="353" spans="1:4" x14ac:dyDescent="0.25">
      <c r="A353" s="391" t="s">
        <v>605</v>
      </c>
      <c r="B353" s="392">
        <v>3.5</v>
      </c>
      <c r="C353" s="293">
        <v>2.9750000000000001</v>
      </c>
      <c r="D353" s="393">
        <v>131642.17499999999</v>
      </c>
    </row>
    <row r="354" spans="1:4" x14ac:dyDescent="0.25">
      <c r="A354" s="391" t="s">
        <v>521</v>
      </c>
      <c r="B354" s="392">
        <v>13</v>
      </c>
      <c r="C354" s="293">
        <v>11.05</v>
      </c>
      <c r="D354" s="393">
        <v>488956.65</v>
      </c>
    </row>
    <row r="355" spans="1:4" x14ac:dyDescent="0.25">
      <c r="A355" s="391" t="s">
        <v>606</v>
      </c>
      <c r="B355" s="392">
        <v>7</v>
      </c>
      <c r="C355" s="293">
        <v>5.95</v>
      </c>
      <c r="D355" s="393">
        <v>263284.34999999998</v>
      </c>
    </row>
    <row r="356" spans="1:4" x14ac:dyDescent="0.25">
      <c r="A356" s="391" t="s">
        <v>1900</v>
      </c>
      <c r="B356" s="392">
        <v>0.1</v>
      </c>
      <c r="C356" s="293">
        <v>8.5000000000000006E-2</v>
      </c>
      <c r="D356" s="393">
        <v>4797.21</v>
      </c>
    </row>
    <row r="357" spans="1:4" x14ac:dyDescent="0.25">
      <c r="A357" s="391" t="s">
        <v>1899</v>
      </c>
      <c r="B357" s="392">
        <v>1.1000000000000001</v>
      </c>
      <c r="C357" s="293">
        <v>0.93500000000000005</v>
      </c>
      <c r="D357" s="393">
        <v>52769.31</v>
      </c>
    </row>
    <row r="358" spans="1:4" x14ac:dyDescent="0.25">
      <c r="A358" s="391" t="s">
        <v>2053</v>
      </c>
      <c r="B358" s="392">
        <v>3</v>
      </c>
      <c r="C358" s="293">
        <v>2.4000000000000004</v>
      </c>
      <c r="D358" s="393">
        <v>110470.20000000001</v>
      </c>
    </row>
    <row r="359" spans="1:4" x14ac:dyDescent="0.25">
      <c r="A359" s="391" t="s">
        <v>2054</v>
      </c>
      <c r="B359" s="392">
        <v>4</v>
      </c>
      <c r="C359" s="293">
        <v>3.2</v>
      </c>
      <c r="D359" s="393">
        <v>147293.6</v>
      </c>
    </row>
    <row r="360" spans="1:4" x14ac:dyDescent="0.25">
      <c r="A360" s="391" t="s">
        <v>2055</v>
      </c>
      <c r="B360" s="392">
        <v>0.5</v>
      </c>
      <c r="C360" s="293">
        <v>0.4</v>
      </c>
      <c r="D360" s="393">
        <v>18411.7</v>
      </c>
    </row>
    <row r="361" spans="1:4" x14ac:dyDescent="0.25">
      <c r="A361" s="391" t="s">
        <v>2056</v>
      </c>
      <c r="B361" s="392">
        <v>0.5</v>
      </c>
      <c r="C361" s="293">
        <v>0.4</v>
      </c>
      <c r="D361" s="393">
        <v>18411.7</v>
      </c>
    </row>
    <row r="362" spans="1:4" x14ac:dyDescent="0.25">
      <c r="A362" s="391" t="s">
        <v>2057</v>
      </c>
      <c r="B362" s="392">
        <v>13.5</v>
      </c>
      <c r="C362" s="293">
        <v>11.475000000000001</v>
      </c>
      <c r="D362" s="393">
        <v>507762.6750000001</v>
      </c>
    </row>
    <row r="363" spans="1:4" x14ac:dyDescent="0.25">
      <c r="A363" s="391" t="s">
        <v>2058</v>
      </c>
      <c r="B363" s="392">
        <v>12.5</v>
      </c>
      <c r="C363" s="293">
        <v>10.574999999999999</v>
      </c>
      <c r="D363" s="393">
        <v>469361.97500000003</v>
      </c>
    </row>
    <row r="364" spans="1:4" x14ac:dyDescent="0.25">
      <c r="A364" s="391" t="s">
        <v>2059</v>
      </c>
      <c r="B364" s="392">
        <v>3.5</v>
      </c>
      <c r="C364" s="293">
        <v>2.9749999999999996</v>
      </c>
      <c r="D364" s="393">
        <v>131642.17499999999</v>
      </c>
    </row>
    <row r="365" spans="1:4" x14ac:dyDescent="0.25">
      <c r="A365" s="391" t="s">
        <v>2217</v>
      </c>
      <c r="B365" s="392">
        <v>3.75</v>
      </c>
      <c r="C365" s="293">
        <v>3</v>
      </c>
      <c r="D365" s="393">
        <v>138087.75</v>
      </c>
    </row>
    <row r="366" spans="1:4" x14ac:dyDescent="0.25">
      <c r="A366" s="391" t="s">
        <v>2218</v>
      </c>
      <c r="B366" s="392">
        <v>4</v>
      </c>
      <c r="C366" s="293">
        <v>3.2</v>
      </c>
      <c r="D366" s="393">
        <v>147293.6</v>
      </c>
    </row>
    <row r="367" spans="1:4" x14ac:dyDescent="0.25">
      <c r="A367" s="391" t="s">
        <v>2252</v>
      </c>
      <c r="B367" s="392">
        <v>3</v>
      </c>
      <c r="C367" s="293">
        <v>2.4000000000000004</v>
      </c>
      <c r="D367" s="393">
        <v>110470.20000000001</v>
      </c>
    </row>
    <row r="368" spans="1:4" x14ac:dyDescent="0.25">
      <c r="A368" s="391" t="s">
        <v>148</v>
      </c>
      <c r="B368" s="392">
        <v>15.5</v>
      </c>
      <c r="C368" s="293">
        <v>13.175000000000001</v>
      </c>
      <c r="D368" s="393">
        <v>702554.86</v>
      </c>
    </row>
    <row r="369" spans="1:4" x14ac:dyDescent="0.25">
      <c r="A369" s="391" t="s">
        <v>150</v>
      </c>
      <c r="B369" s="392">
        <v>7.1400000000000006</v>
      </c>
      <c r="C369" s="293">
        <v>6.0690000000000008</v>
      </c>
      <c r="D369" s="393">
        <v>268550.03700000001</v>
      </c>
    </row>
    <row r="370" spans="1:4" x14ac:dyDescent="0.25">
      <c r="A370" s="391" t="s">
        <v>378</v>
      </c>
      <c r="B370" s="392">
        <v>7.1666666666666661</v>
      </c>
      <c r="C370" s="293">
        <v>6.0916666666666668</v>
      </c>
      <c r="D370" s="393">
        <v>269553.02500000002</v>
      </c>
    </row>
    <row r="371" spans="1:4" x14ac:dyDescent="0.25">
      <c r="A371" s="391" t="s">
        <v>396</v>
      </c>
      <c r="B371" s="392">
        <v>18.25</v>
      </c>
      <c r="C371" s="293">
        <v>15.512499999999999</v>
      </c>
      <c r="D371" s="393">
        <v>897592.57874999975</v>
      </c>
    </row>
    <row r="372" spans="1:4" x14ac:dyDescent="0.25">
      <c r="A372" s="391" t="s">
        <v>901</v>
      </c>
      <c r="B372" s="392">
        <v>8.25</v>
      </c>
      <c r="C372" s="293">
        <v>7.0124999999999993</v>
      </c>
      <c r="D372" s="393">
        <v>310299.41249999998</v>
      </c>
    </row>
    <row r="373" spans="1:4" x14ac:dyDescent="0.25">
      <c r="A373" s="391" t="s">
        <v>903</v>
      </c>
      <c r="B373" s="392">
        <v>10.166666666666668</v>
      </c>
      <c r="C373" s="293">
        <v>8.6416666666666657</v>
      </c>
      <c r="D373" s="393">
        <v>460815.55333333329</v>
      </c>
    </row>
    <row r="374" spans="1:4" x14ac:dyDescent="0.25">
      <c r="A374" s="391" t="s">
        <v>904</v>
      </c>
      <c r="B374" s="392">
        <v>12.84375</v>
      </c>
      <c r="C374" s="293">
        <v>10.917187500000001</v>
      </c>
      <c r="D374" s="393">
        <v>483079.76718750002</v>
      </c>
    </row>
    <row r="375" spans="1:4" x14ac:dyDescent="0.25">
      <c r="A375" s="391" t="s">
        <v>902</v>
      </c>
      <c r="B375" s="392">
        <v>7.3312499999999998</v>
      </c>
      <c r="C375" s="293">
        <v>6.231562499999999</v>
      </c>
      <c r="D375" s="393">
        <v>501958.44431250001</v>
      </c>
    </row>
    <row r="376" spans="1:4" x14ac:dyDescent="0.25">
      <c r="A376" s="391" t="s">
        <v>900</v>
      </c>
      <c r="B376" s="392">
        <v>5.375</v>
      </c>
      <c r="C376" s="293">
        <v>4.5687499999999996</v>
      </c>
      <c r="D376" s="393">
        <v>202164.76874999999</v>
      </c>
    </row>
    <row r="377" spans="1:4" x14ac:dyDescent="0.25">
      <c r="A377" s="391" t="s">
        <v>942</v>
      </c>
      <c r="B377" s="392">
        <v>6.875</v>
      </c>
      <c r="C377" s="293">
        <v>5.84375</v>
      </c>
      <c r="D377" s="393">
        <v>258582.84375</v>
      </c>
    </row>
    <row r="378" spans="1:4" x14ac:dyDescent="0.25">
      <c r="A378" s="391" t="s">
        <v>943</v>
      </c>
      <c r="B378" s="392">
        <v>4</v>
      </c>
      <c r="C378" s="293">
        <v>3.4</v>
      </c>
      <c r="D378" s="393">
        <v>150448.20000000001</v>
      </c>
    </row>
    <row r="379" spans="1:4" x14ac:dyDescent="0.25">
      <c r="A379" s="391" t="s">
        <v>944</v>
      </c>
      <c r="B379" s="392">
        <v>5.0599999999999996</v>
      </c>
      <c r="C379" s="293">
        <v>4.3009999999999993</v>
      </c>
      <c r="D379" s="393">
        <v>190316.973</v>
      </c>
    </row>
    <row r="380" spans="1:4" x14ac:dyDescent="0.25">
      <c r="A380" s="391" t="s">
        <v>987</v>
      </c>
      <c r="B380" s="392">
        <v>3.875</v>
      </c>
      <c r="C380" s="293">
        <v>3.2937499999999997</v>
      </c>
      <c r="D380" s="393">
        <v>145746.69374999998</v>
      </c>
    </row>
    <row r="381" spans="1:4" x14ac:dyDescent="0.25">
      <c r="A381" s="391" t="s">
        <v>1351</v>
      </c>
      <c r="B381" s="392">
        <v>13.666666666666666</v>
      </c>
      <c r="C381" s="293">
        <v>11.616666666666665</v>
      </c>
      <c r="D381" s="393">
        <v>751239.00249999994</v>
      </c>
    </row>
    <row r="382" spans="1:4" x14ac:dyDescent="0.25">
      <c r="A382" s="391" t="s">
        <v>1620</v>
      </c>
      <c r="B382" s="392">
        <v>7.3687500000000004</v>
      </c>
      <c r="C382" s="293">
        <v>6.2634375000000002</v>
      </c>
      <c r="D382" s="393">
        <v>277153.79343750002</v>
      </c>
    </row>
    <row r="383" spans="1:4" x14ac:dyDescent="0.25">
      <c r="A383" s="391" t="s">
        <v>657</v>
      </c>
      <c r="B383" s="392">
        <v>0</v>
      </c>
      <c r="C383" s="293">
        <v>0</v>
      </c>
      <c r="D383" s="393">
        <v>0</v>
      </c>
    </row>
    <row r="384" spans="1:4" x14ac:dyDescent="0.25">
      <c r="A384" s="391" t="s">
        <v>86</v>
      </c>
      <c r="B384" s="392">
        <v>4</v>
      </c>
      <c r="C384" s="293">
        <v>3.2</v>
      </c>
      <c r="D384" s="393">
        <v>236064.4</v>
      </c>
    </row>
    <row r="385" spans="1:4" x14ac:dyDescent="0.25">
      <c r="A385" s="391" t="s">
        <v>568</v>
      </c>
      <c r="B385" s="392">
        <v>8</v>
      </c>
      <c r="C385" s="293">
        <v>6.4</v>
      </c>
      <c r="D385" s="393">
        <v>552942.4</v>
      </c>
    </row>
    <row r="386" spans="1:4" x14ac:dyDescent="0.25">
      <c r="A386" s="391" t="s">
        <v>522</v>
      </c>
      <c r="B386" s="392">
        <v>1</v>
      </c>
      <c r="C386" s="293">
        <v>0.85</v>
      </c>
      <c r="D386" s="393">
        <v>70858.100000000006</v>
      </c>
    </row>
    <row r="387" spans="1:4" x14ac:dyDescent="0.25">
      <c r="A387" s="391" t="s">
        <v>650</v>
      </c>
      <c r="B387" s="392">
        <v>2.75</v>
      </c>
      <c r="C387" s="293">
        <v>2.2000000000000002</v>
      </c>
      <c r="D387" s="393">
        <v>190073.95</v>
      </c>
    </row>
    <row r="388" spans="1:4" x14ac:dyDescent="0.25">
      <c r="A388" s="391" t="s">
        <v>651</v>
      </c>
      <c r="B388" s="392">
        <v>4.5</v>
      </c>
      <c r="C388" s="293">
        <v>3.6</v>
      </c>
      <c r="D388" s="393">
        <v>246090.6</v>
      </c>
    </row>
    <row r="389" spans="1:4" x14ac:dyDescent="0.25">
      <c r="A389" s="391" t="s">
        <v>1134</v>
      </c>
      <c r="B389" s="392">
        <v>2.5</v>
      </c>
      <c r="C389" s="293">
        <v>2</v>
      </c>
      <c r="D389" s="393">
        <v>172794.5</v>
      </c>
    </row>
    <row r="390" spans="1:4" x14ac:dyDescent="0.25">
      <c r="A390" s="391" t="s">
        <v>2213</v>
      </c>
      <c r="B390" s="392">
        <v>4.5</v>
      </c>
      <c r="C390" s="293">
        <v>3.6</v>
      </c>
      <c r="D390" s="393">
        <v>311030.09999999998</v>
      </c>
    </row>
    <row r="391" spans="1:4" x14ac:dyDescent="0.25">
      <c r="A391" s="391" t="s">
        <v>1770</v>
      </c>
      <c r="B391" s="392">
        <v>17.5</v>
      </c>
      <c r="C391" s="293">
        <v>14</v>
      </c>
      <c r="D391" s="393">
        <v>1209561.5</v>
      </c>
    </row>
    <row r="392" spans="1:4" x14ac:dyDescent="0.25">
      <c r="A392" s="391" t="s">
        <v>1742</v>
      </c>
      <c r="B392" s="392">
        <v>2</v>
      </c>
      <c r="C392" s="293">
        <v>1.6</v>
      </c>
      <c r="D392" s="393">
        <v>138235.6</v>
      </c>
    </row>
    <row r="393" spans="1:4" x14ac:dyDescent="0.25">
      <c r="A393" s="391" t="s">
        <v>1741</v>
      </c>
      <c r="B393" s="392">
        <v>1</v>
      </c>
      <c r="C393" s="293">
        <v>0.8</v>
      </c>
      <c r="D393" s="393">
        <v>69117.8</v>
      </c>
    </row>
    <row r="394" spans="1:4" x14ac:dyDescent="0.25">
      <c r="A394" s="391" t="s">
        <v>1772</v>
      </c>
      <c r="B394" s="392">
        <v>1.875</v>
      </c>
      <c r="C394" s="293">
        <v>1.5</v>
      </c>
      <c r="D394" s="393">
        <v>129595.875</v>
      </c>
    </row>
    <row r="395" spans="1:4" x14ac:dyDescent="0.25">
      <c r="A395" s="391" t="s">
        <v>2215</v>
      </c>
      <c r="B395" s="392">
        <v>1.5</v>
      </c>
      <c r="C395" s="293">
        <v>1.2000000000000002</v>
      </c>
      <c r="D395" s="393">
        <v>55235.100000000006</v>
      </c>
    </row>
    <row r="396" spans="1:4" x14ac:dyDescent="0.25">
      <c r="A396" s="391" t="s">
        <v>1869</v>
      </c>
      <c r="B396" s="392">
        <v>2</v>
      </c>
      <c r="C396" s="293">
        <v>1.7</v>
      </c>
      <c r="D396" s="393">
        <v>141716.20000000001</v>
      </c>
    </row>
    <row r="397" spans="1:4" x14ac:dyDescent="0.25">
      <c r="A397" s="391" t="s">
        <v>1880</v>
      </c>
      <c r="B397" s="392">
        <v>0</v>
      </c>
      <c r="C397" s="293">
        <v>0</v>
      </c>
      <c r="D397" s="393">
        <v>0</v>
      </c>
    </row>
    <row r="398" spans="1:4" x14ac:dyDescent="0.25">
      <c r="A398" s="391" t="s">
        <v>2188</v>
      </c>
      <c r="B398" s="392">
        <v>1</v>
      </c>
      <c r="C398" s="293">
        <v>0.85</v>
      </c>
      <c r="D398" s="393">
        <v>70858.100000000006</v>
      </c>
    </row>
    <row r="399" spans="1:4" x14ac:dyDescent="0.25">
      <c r="A399" s="391" t="s">
        <v>892</v>
      </c>
      <c r="B399" s="392">
        <v>0</v>
      </c>
      <c r="C399" s="293">
        <v>0</v>
      </c>
      <c r="D399" s="393">
        <v>0</v>
      </c>
    </row>
    <row r="400" spans="1:4" x14ac:dyDescent="0.25">
      <c r="A400" s="391" t="s">
        <v>893</v>
      </c>
      <c r="B400" s="392">
        <v>0.5</v>
      </c>
      <c r="C400" s="293">
        <v>0.4</v>
      </c>
      <c r="D400" s="393">
        <v>18411.7</v>
      </c>
    </row>
    <row r="401" spans="1:4" x14ac:dyDescent="0.25">
      <c r="A401" s="391" t="s">
        <v>1056</v>
      </c>
      <c r="B401" s="392">
        <v>1</v>
      </c>
      <c r="C401" s="293">
        <v>0.82499999999999996</v>
      </c>
      <c r="D401" s="393">
        <v>37217.725000000006</v>
      </c>
    </row>
    <row r="402" spans="1:4" x14ac:dyDescent="0.25">
      <c r="A402" s="391" t="s">
        <v>1901</v>
      </c>
      <c r="B402" s="392">
        <v>0.1</v>
      </c>
      <c r="C402" s="293">
        <v>8.5000000000000006E-2</v>
      </c>
      <c r="D402" s="393">
        <v>4797.21</v>
      </c>
    </row>
    <row r="403" spans="1:4" x14ac:dyDescent="0.25">
      <c r="A403" s="391" t="s">
        <v>2240</v>
      </c>
      <c r="B403" s="392">
        <v>0.5</v>
      </c>
      <c r="C403" s="293">
        <v>0.42499999999999999</v>
      </c>
      <c r="D403" s="393">
        <v>18806.025000000001</v>
      </c>
    </row>
    <row r="404" spans="1:4" x14ac:dyDescent="0.25">
      <c r="A404" s="394" t="s">
        <v>781</v>
      </c>
      <c r="B404" s="395">
        <v>1990.3533333333339</v>
      </c>
      <c r="C404" s="396">
        <v>1671.6586666666667</v>
      </c>
      <c r="D404" s="397">
        <v>107287166.71089582</v>
      </c>
    </row>
  </sheetData>
  <sheetProtection sheet="1" objects="1" scenarios="1"/>
  <printOptions horizontalCentered="1" gridLines="1"/>
  <pageMargins left="0.70866141732283472" right="0.70866141732283472" top="0.35433070866141736" bottom="0.35433070866141736" header="0.31496062992125984" footer="0.11811023622047245"/>
  <pageSetup paperSize="9" orientation="portrait" r:id="rId2"/>
  <headerFooter>
    <oddFooter>Sida &amp;P av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tabColor rgb="FF92D050"/>
    <pageSetUpPr autoPageBreaks="0" fitToPage="1"/>
  </sheetPr>
  <dimension ref="A1:V109"/>
  <sheetViews>
    <sheetView workbookViewId="0"/>
  </sheetViews>
  <sheetFormatPr defaultColWidth="8.85546875" defaultRowHeight="15" x14ac:dyDescent="0.25"/>
  <cols>
    <col min="1" max="1" width="6.42578125" style="6" customWidth="1"/>
    <col min="2" max="2" width="77.85546875" style="6" bestFit="1" customWidth="1"/>
    <col min="3" max="3" width="16.42578125" style="6" bestFit="1" customWidth="1"/>
    <col min="4" max="4" width="12.5703125" style="6" bestFit="1" customWidth="1"/>
    <col min="5" max="5" width="14.42578125" style="6" customWidth="1"/>
    <col min="6" max="6" width="10.5703125" style="6" bestFit="1" customWidth="1"/>
    <col min="7" max="7" width="12.42578125" style="6" bestFit="1" customWidth="1"/>
    <col min="8" max="9" width="13.5703125" style="6" customWidth="1"/>
    <col min="10" max="17" width="8.85546875" style="6"/>
    <col min="18" max="18" width="20.42578125" style="6" bestFit="1" customWidth="1"/>
    <col min="19" max="19" width="16.140625" style="6" bestFit="1" customWidth="1"/>
    <col min="20" max="16384" width="8.85546875" style="6"/>
  </cols>
  <sheetData>
    <row r="1" spans="1:22" ht="20.25" x14ac:dyDescent="0.3">
      <c r="B1" s="2" t="s">
        <v>635</v>
      </c>
      <c r="M1" s="8"/>
      <c r="N1" s="8"/>
      <c r="O1" s="8"/>
      <c r="P1" s="8"/>
      <c r="Q1" s="8"/>
      <c r="R1" s="8"/>
      <c r="S1" s="8"/>
      <c r="T1" s="8"/>
    </row>
    <row r="2" spans="1:22" ht="7.5" customHeight="1" x14ac:dyDescent="0.25">
      <c r="M2" s="8"/>
      <c r="N2" s="8"/>
      <c r="O2" s="8"/>
      <c r="P2" s="8"/>
      <c r="Q2" s="8"/>
      <c r="R2" s="8"/>
      <c r="S2" s="8"/>
      <c r="T2" s="8"/>
    </row>
    <row r="3" spans="1:22" s="3" customFormat="1" ht="15.75" x14ac:dyDescent="0.25">
      <c r="B3" s="5" t="s">
        <v>2321</v>
      </c>
      <c r="M3" s="7"/>
      <c r="N3" s="7"/>
      <c r="O3" s="7"/>
      <c r="P3" s="7"/>
      <c r="Q3" s="7"/>
      <c r="R3" s="7"/>
      <c r="S3" s="7"/>
      <c r="T3" s="7"/>
    </row>
    <row r="4" spans="1:22" s="3" customFormat="1" ht="15.75" x14ac:dyDescent="0.25">
      <c r="M4" s="7"/>
      <c r="N4" s="7"/>
      <c r="O4" s="7"/>
      <c r="P4" s="7"/>
      <c r="Q4" s="7"/>
      <c r="R4" s="7"/>
      <c r="S4" s="7"/>
      <c r="T4" s="7"/>
    </row>
    <row r="5" spans="1:22" s="3" customFormat="1" ht="19.5" thickBot="1" x14ac:dyDescent="0.35">
      <c r="B5" s="4" t="s">
        <v>156</v>
      </c>
      <c r="C5" s="23">
        <v>2019</v>
      </c>
      <c r="M5" s="7"/>
      <c r="N5" s="7"/>
      <c r="O5" s="7"/>
      <c r="P5" s="7"/>
      <c r="Q5" s="7"/>
      <c r="R5" s="7"/>
      <c r="S5" s="7"/>
      <c r="T5" s="7"/>
    </row>
    <row r="6" spans="1:22" s="3" customFormat="1" ht="21.75" customHeight="1" thickTop="1" thickBot="1" x14ac:dyDescent="0.3">
      <c r="B6" s="20" t="s">
        <v>58</v>
      </c>
      <c r="C6" s="181">
        <v>1620</v>
      </c>
      <c r="M6" s="7"/>
      <c r="N6" s="7"/>
      <c r="O6" s="7"/>
      <c r="P6" s="7"/>
      <c r="Q6" s="7"/>
      <c r="R6" s="7"/>
      <c r="S6" s="7"/>
      <c r="T6" s="7"/>
    </row>
    <row r="7" spans="1:22" s="3" customFormat="1" ht="21.75" customHeight="1" thickTop="1" thickBot="1" x14ac:dyDescent="0.3">
      <c r="B7" s="371" t="s">
        <v>71</v>
      </c>
      <c r="C7" s="180" t="str">
        <f>VLOOKUP($C$6,Orgenheter!$A$1:$C$165,3,FALSE)</f>
        <v>Hum</v>
      </c>
      <c r="N7" s="7"/>
      <c r="O7" s="7"/>
      <c r="P7" s="7"/>
      <c r="Q7" s="7"/>
      <c r="R7" s="7"/>
      <c r="S7" s="7"/>
      <c r="T7" s="7"/>
      <c r="U7" s="7"/>
    </row>
    <row r="8" spans="1:22" s="3" customFormat="1" ht="15.75" x14ac:dyDescent="0.25">
      <c r="N8" s="7"/>
      <c r="O8" s="7"/>
      <c r="P8" s="7"/>
      <c r="Q8" s="7"/>
      <c r="R8" s="7"/>
      <c r="S8" s="7"/>
      <c r="T8" s="7"/>
      <c r="U8" s="7"/>
    </row>
    <row r="9" spans="1:22" ht="26.25" customHeight="1" x14ac:dyDescent="0.25">
      <c r="B9" s="529" t="str">
        <f>VLOOKUP(C6,Orgenheter!A2:B213,2,FALSE)</f>
        <v>Inst för språkstudier</v>
      </c>
      <c r="C9" s="530"/>
      <c r="D9" s="368" t="s">
        <v>61</v>
      </c>
      <c r="E9" s="368" t="s">
        <v>62</v>
      </c>
      <c r="G9" s="46"/>
      <c r="H9" s="46" t="str">
        <f>IF($C$6=1650,"MUSIK","")</f>
        <v/>
      </c>
      <c r="I9" s="46" t="str">
        <f>IF($C$6=1650,"DESIGN","")</f>
        <v/>
      </c>
      <c r="N9" s="8"/>
      <c r="O9" s="8"/>
      <c r="P9" s="8"/>
      <c r="Q9" s="8"/>
      <c r="R9" s="8"/>
      <c r="S9" s="8"/>
      <c r="T9" s="8"/>
      <c r="U9" s="8"/>
    </row>
    <row r="10" spans="1:22" ht="15.75" x14ac:dyDescent="0.25">
      <c r="B10" s="83"/>
      <c r="C10" s="24"/>
      <c r="D10" s="360"/>
      <c r="E10" s="360"/>
      <c r="G10" s="46"/>
      <c r="H10" s="46"/>
      <c r="I10" s="46"/>
      <c r="N10" s="8"/>
      <c r="O10" s="8"/>
      <c r="P10" s="8"/>
      <c r="Q10" s="8"/>
      <c r="R10" s="8"/>
      <c r="S10" s="8"/>
      <c r="T10" s="8"/>
      <c r="U10" s="8"/>
    </row>
    <row r="11" spans="1:22" ht="19.5" thickBot="1" x14ac:dyDescent="0.35">
      <c r="B11" s="230" t="s">
        <v>416</v>
      </c>
      <c r="C11" s="278">
        <f>VLOOKUP($C$6,'Totalt per inst'!$B$4:$S$40,4,FALSE)</f>
        <v>9743841.2804166749</v>
      </c>
      <c r="D11" s="361">
        <f>VLOOKUP($B$9,'Totalt per inst'!$C$4:$S$40,4,FALSE)</f>
        <v>299.86666666666667</v>
      </c>
      <c r="E11" s="362">
        <f>VLOOKUP($B$9,'Totalt per inst'!$C$4:$S$40,5,FALSE)</f>
        <v>252.62208333333362</v>
      </c>
      <c r="G11" s="46" t="str">
        <f>IF($C$6=1650,"HST","")</f>
        <v/>
      </c>
      <c r="H11" s="280" t="str">
        <f>IF($C$6=1650,'kurser alla'!AZ1282,"")</f>
        <v/>
      </c>
      <c r="I11" s="280" t="str">
        <f>IF($C$6=1650,'kurser alla'!AR1282,"")</f>
        <v/>
      </c>
      <c r="N11" s="8"/>
      <c r="O11" s="8"/>
      <c r="P11" s="8"/>
      <c r="Q11" s="8"/>
      <c r="R11" s="8"/>
      <c r="S11" s="8"/>
      <c r="T11" s="8"/>
      <c r="U11" s="8"/>
    </row>
    <row r="12" spans="1:22" s="3" customFormat="1" ht="19.5" thickBot="1" x14ac:dyDescent="0.35">
      <c r="B12" s="230" t="s">
        <v>418</v>
      </c>
      <c r="C12" s="278">
        <f>VLOOKUP($C$6,'Totalt per inst'!$B$4:$S$40,8,FALSE)</f>
        <v>960318.86118000001</v>
      </c>
      <c r="D12" s="361">
        <f>VLOOKUP($B$9,'Totalt per inst'!$C$4:$S$40,8,FALSE)</f>
        <v>22.872499999999999</v>
      </c>
      <c r="E12" s="362">
        <f>VLOOKUP($B$9,'Totalt per inst'!$C$4:$S$40,9,FALSE)</f>
        <v>19.441624999999998</v>
      </c>
      <c r="G12" s="46" t="str">
        <f>IF($C$6=1650,"HPR","")</f>
        <v/>
      </c>
      <c r="H12" s="280" t="str">
        <f>IF($C$6=1650,'kurser alla'!BA1282,"")</f>
        <v/>
      </c>
      <c r="I12" s="280" t="str">
        <f>IF($C$6=1650,'kurser alla'!AS1282,"")</f>
        <v/>
      </c>
      <c r="O12" s="7"/>
      <c r="P12" s="7"/>
      <c r="Q12" s="7"/>
      <c r="R12" s="7"/>
      <c r="S12" s="7"/>
      <c r="T12" s="7"/>
      <c r="U12" s="7"/>
      <c r="V12" s="7"/>
    </row>
    <row r="13" spans="1:22" ht="19.5" thickBot="1" x14ac:dyDescent="0.35">
      <c r="B13" s="230" t="s">
        <v>417</v>
      </c>
      <c r="C13" s="278">
        <f>VLOOKUP($C$6,'Totalt per inst'!$B$4:$S$40,12,FALSE)</f>
        <v>-957095.46513749997</v>
      </c>
      <c r="D13" s="361">
        <f>VLOOKUP($B$9,'Totalt per inst'!$C$4:$S$40,12,FALSE)</f>
        <v>-31.575000000000003</v>
      </c>
      <c r="E13" s="362">
        <f>VLOOKUP($B$9,'Totalt per inst'!$C$4:$S$40,13,FALSE)</f>
        <v>-26.838750000000005</v>
      </c>
      <c r="G13" s="46"/>
      <c r="H13" s="46"/>
      <c r="I13" s="46"/>
      <c r="N13" s="8"/>
      <c r="O13" s="8"/>
      <c r="P13" s="8"/>
      <c r="Q13" s="8"/>
      <c r="R13" s="8"/>
      <c r="S13" s="8"/>
      <c r="T13" s="8"/>
      <c r="U13" s="8"/>
    </row>
    <row r="14" spans="1:22" ht="19.5" thickBot="1" x14ac:dyDescent="0.35">
      <c r="B14" s="231" t="s">
        <v>466</v>
      </c>
      <c r="C14" s="282">
        <f>IF(C6=1650,H16+I16,0)</f>
        <v>0</v>
      </c>
      <c r="D14" s="361"/>
      <c r="E14" s="362"/>
      <c r="G14" s="46"/>
      <c r="H14" s="46"/>
      <c r="I14" s="46"/>
      <c r="N14" s="8"/>
      <c r="O14" s="8"/>
      <c r="P14" s="8"/>
      <c r="Q14" s="8"/>
      <c r="R14" s="8"/>
      <c r="S14" s="8"/>
      <c r="T14" s="8"/>
      <c r="U14" s="8"/>
    </row>
    <row r="15" spans="1:22" ht="16.5" thickBot="1" x14ac:dyDescent="0.3">
      <c r="A15" s="97"/>
      <c r="B15" s="83"/>
      <c r="C15" s="278"/>
      <c r="D15" s="363"/>
      <c r="E15" s="364"/>
      <c r="G15" s="46" t="str">
        <f>IF($C$6=1650,"Avdrag","")</f>
        <v/>
      </c>
      <c r="H15" s="46"/>
      <c r="I15" s="46"/>
      <c r="N15" s="8"/>
      <c r="O15" s="8"/>
      <c r="P15" s="8"/>
      <c r="Q15" s="8"/>
      <c r="R15" s="8"/>
      <c r="S15" s="8"/>
      <c r="T15" s="8"/>
      <c r="U15" s="8"/>
    </row>
    <row r="16" spans="1:22" ht="19.5" thickBot="1" x14ac:dyDescent="0.35">
      <c r="B16" s="84" t="s">
        <v>452</v>
      </c>
      <c r="C16" s="278">
        <f>SUM(C11:C15)</f>
        <v>9747064.6764591746</v>
      </c>
      <c r="D16" s="363">
        <f>SUM(D11:D15)</f>
        <v>291.16416666666669</v>
      </c>
      <c r="E16" s="364">
        <f>SUM(E11:E15)</f>
        <v>245.22495833333363</v>
      </c>
      <c r="G16" s="46" t="str">
        <f>IF($C$6=1650,"Kursintäkter","")</f>
        <v/>
      </c>
      <c r="H16" s="281" t="str">
        <f>IF($C$6=1650,'kurser alla'!AZ1283+'kurser alla'!BA1283,"")</f>
        <v/>
      </c>
      <c r="I16" s="281" t="str">
        <f>IF($C$6=1650,'kurser alla'!AR1283+'kurser alla'!AS1283,"")</f>
        <v/>
      </c>
      <c r="J16" s="155"/>
      <c r="N16" s="8"/>
      <c r="O16" s="8"/>
      <c r="P16" s="8"/>
      <c r="Q16" s="8"/>
      <c r="R16" s="8"/>
      <c r="S16" s="8"/>
      <c r="T16" s="8"/>
      <c r="U16" s="8"/>
    </row>
    <row r="17" spans="2:21" ht="19.5" thickBot="1" x14ac:dyDescent="0.35">
      <c r="B17" s="84"/>
      <c r="C17" s="278"/>
      <c r="D17" s="365"/>
      <c r="E17" s="366"/>
      <c r="G17" s="46" t="str">
        <f>IF($C$6=1650,"Lokalintäkter","")</f>
        <v/>
      </c>
      <c r="H17" s="281" t="str">
        <f>IF($C$6=1650,'kurser alla'!AZ1284,"")</f>
        <v/>
      </c>
      <c r="I17" s="281" t="str">
        <f>IF($C$6=1650,'kurser alla'!AR1284,"")</f>
        <v/>
      </c>
      <c r="J17" s="155"/>
      <c r="N17" s="8"/>
      <c r="O17" s="8"/>
      <c r="P17" s="8"/>
      <c r="Q17" s="8"/>
      <c r="R17" s="8"/>
      <c r="S17" s="8"/>
      <c r="T17" s="8"/>
      <c r="U17" s="8"/>
    </row>
    <row r="18" spans="2:21" ht="19.5" thickBot="1" x14ac:dyDescent="0.35">
      <c r="B18" s="84" t="s">
        <v>454</v>
      </c>
      <c r="C18" s="278">
        <f>VLOOKUP($C$6,'Totalt per inst'!$B$4:$S$40,15,FALSE)</f>
        <v>1676533.1666666665</v>
      </c>
      <c r="D18" s="365"/>
      <c r="E18" s="366"/>
      <c r="H18" s="155"/>
      <c r="I18" s="155"/>
      <c r="J18" s="155"/>
      <c r="N18" s="8"/>
      <c r="O18" s="8"/>
      <c r="P18" s="8"/>
      <c r="Q18" s="8"/>
      <c r="R18" s="8"/>
      <c r="S18" s="8"/>
      <c r="T18" s="8"/>
      <c r="U18" s="8"/>
    </row>
    <row r="19" spans="2:21" ht="19.5" thickBot="1" x14ac:dyDescent="0.35">
      <c r="B19" s="231" t="s">
        <v>466</v>
      </c>
      <c r="C19" s="282">
        <f>IF(C6=1650,H17+I17,0)</f>
        <v>0</v>
      </c>
      <c r="D19" s="365"/>
      <c r="E19" s="366"/>
      <c r="H19" s="155"/>
      <c r="I19" s="155"/>
      <c r="J19" s="155"/>
      <c r="N19" s="8"/>
      <c r="O19" s="8"/>
      <c r="P19" s="8"/>
      <c r="Q19" s="8"/>
      <c r="R19" s="8"/>
      <c r="S19" s="8"/>
      <c r="T19" s="8"/>
      <c r="U19" s="8"/>
    </row>
    <row r="20" spans="2:21" ht="19.5" thickBot="1" x14ac:dyDescent="0.35">
      <c r="B20" s="84"/>
      <c r="C20" s="278"/>
      <c r="D20" s="365"/>
      <c r="E20" s="366"/>
      <c r="N20" s="8"/>
      <c r="O20" s="8"/>
      <c r="P20" s="8"/>
      <c r="Q20" s="8"/>
      <c r="R20" s="8"/>
      <c r="S20" s="8"/>
      <c r="T20" s="8"/>
      <c r="U20" s="8"/>
    </row>
    <row r="21" spans="2:21" ht="19.5" thickBot="1" x14ac:dyDescent="0.35">
      <c r="B21" s="84" t="s">
        <v>456</v>
      </c>
      <c r="C21" s="278">
        <f>IF($C$7="Sam",$C$16,$C$16+$C$18+$C$19)</f>
        <v>11423597.843125841</v>
      </c>
      <c r="D21" s="365"/>
      <c r="E21" s="366"/>
      <c r="N21" s="8"/>
      <c r="O21" s="8"/>
      <c r="P21" s="8"/>
      <c r="Q21" s="8"/>
      <c r="R21" s="8"/>
      <c r="S21" s="8"/>
      <c r="T21" s="8"/>
      <c r="U21" s="8"/>
    </row>
    <row r="22" spans="2:21" ht="18.75" x14ac:dyDescent="0.3">
      <c r="B22" s="84"/>
      <c r="C22" s="30"/>
      <c r="D22" s="366"/>
      <c r="E22" s="366"/>
      <c r="N22" s="8"/>
      <c r="O22" s="8"/>
      <c r="P22" s="8"/>
      <c r="Q22" s="8"/>
      <c r="R22" s="8"/>
      <c r="S22" s="8"/>
      <c r="T22" s="8"/>
      <c r="U22" s="8"/>
    </row>
    <row r="23" spans="2:21" x14ac:dyDescent="0.25">
      <c r="B23" s="86"/>
      <c r="C23" s="85"/>
      <c r="D23" s="367"/>
      <c r="E23" s="367"/>
      <c r="N23" s="8"/>
      <c r="O23" s="8"/>
      <c r="P23" s="8"/>
      <c r="Q23" s="8"/>
      <c r="R23" s="8"/>
      <c r="S23" s="8"/>
      <c r="T23" s="8"/>
      <c r="U23" s="8"/>
    </row>
    <row r="24" spans="2:21" x14ac:dyDescent="0.25">
      <c r="N24" s="8"/>
      <c r="O24" s="8"/>
      <c r="P24" s="8"/>
      <c r="Q24" s="8"/>
      <c r="R24" s="8"/>
      <c r="S24" s="8"/>
      <c r="T24" s="8"/>
      <c r="U24" s="8"/>
    </row>
    <row r="25" spans="2:21" x14ac:dyDescent="0.25">
      <c r="B25" s="46" t="s">
        <v>636</v>
      </c>
      <c r="M25" s="8"/>
      <c r="N25" s="8"/>
      <c r="O25" s="8"/>
      <c r="P25" s="8"/>
      <c r="Q25" s="8"/>
      <c r="R25" s="8"/>
      <c r="S25" s="8"/>
      <c r="T25" s="8"/>
    </row>
    <row r="26" spans="2:21" x14ac:dyDescent="0.25">
      <c r="B26" s="93" t="s">
        <v>637</v>
      </c>
      <c r="M26" s="8"/>
      <c r="N26" s="8"/>
      <c r="O26" s="8"/>
      <c r="P26" s="8"/>
      <c r="Q26" s="8"/>
      <c r="R26" s="8"/>
      <c r="S26" s="8"/>
      <c r="T26" s="8"/>
    </row>
    <row r="27" spans="2:21" ht="34.5" customHeight="1" x14ac:dyDescent="0.25">
      <c r="H27" s="531" t="str">
        <f>IF(C7="Sam","Till Samfak lokalintäkter per månad","")</f>
        <v/>
      </c>
      <c r="I27" s="531"/>
      <c r="M27" s="8"/>
      <c r="N27" s="8"/>
      <c r="O27" s="8"/>
      <c r="P27" s="8"/>
      <c r="Q27" s="8"/>
      <c r="R27" s="8"/>
      <c r="S27" s="8"/>
      <c r="T27" s="8"/>
    </row>
    <row r="28" spans="2:21" ht="16.5" thickBot="1" x14ac:dyDescent="0.3">
      <c r="F28" s="24"/>
      <c r="I28" s="279" t="str">
        <f>IF(C7="Sam",($C$18-D30)/4,"")</f>
        <v/>
      </c>
      <c r="J28" s="100"/>
      <c r="M28" s="8"/>
      <c r="N28" s="8"/>
      <c r="O28" s="8"/>
      <c r="P28" s="8"/>
      <c r="Q28" s="8"/>
      <c r="R28" s="8"/>
      <c r="S28" s="8"/>
      <c r="T28" s="8"/>
    </row>
    <row r="29" spans="2:21" ht="16.5" thickBot="1" x14ac:dyDescent="0.3">
      <c r="B29" s="88" t="s">
        <v>321</v>
      </c>
      <c r="C29" s="89" t="s">
        <v>375</v>
      </c>
      <c r="D29" s="89" t="s">
        <v>149</v>
      </c>
      <c r="E29" s="90" t="s">
        <v>455</v>
      </c>
      <c r="F29" s="369"/>
      <c r="J29" s="100"/>
      <c r="M29" s="8"/>
      <c r="N29" s="8"/>
      <c r="O29" s="8"/>
      <c r="P29" s="8"/>
      <c r="Q29" s="8"/>
      <c r="R29" s="8"/>
      <c r="S29" s="8"/>
      <c r="T29" s="8"/>
    </row>
    <row r="30" spans="2:21" ht="25.5" customHeight="1" thickBot="1" x14ac:dyDescent="0.3">
      <c r="B30" s="499" t="s">
        <v>2322</v>
      </c>
      <c r="C30" s="498">
        <f>VLOOKUP(C6,'Utfördelat tom aug'!$A$3:$L$28,10,FALSE)</f>
        <v>6721155.8239793517</v>
      </c>
      <c r="D30" s="498">
        <f>VLOOKUP($C$6,'Utfördelat tom aug'!$A$3:$L$28,11,FALSE)</f>
        <v>1153096.253968254</v>
      </c>
      <c r="E30" s="498">
        <f>SUM(C30:D30)</f>
        <v>7874252.0779476054</v>
      </c>
      <c r="F30" s="370"/>
      <c r="J30" s="100"/>
      <c r="M30" s="8"/>
      <c r="N30" s="8"/>
      <c r="O30" s="8"/>
      <c r="P30" s="8"/>
      <c r="Q30" s="8"/>
      <c r="R30" s="8"/>
      <c r="S30" s="8"/>
      <c r="T30" s="8"/>
    </row>
    <row r="31" spans="2:21" ht="27" customHeight="1" thickBot="1" x14ac:dyDescent="0.3">
      <c r="B31" s="185" t="s">
        <v>2323</v>
      </c>
      <c r="C31" s="278">
        <f>($C$16-C30)/4</f>
        <v>756477.21311995573</v>
      </c>
      <c r="D31" s="278">
        <f>(IF($C$7="Sam",0,($C$18+$C$19-D30))/4)</f>
        <v>130859.22817460314</v>
      </c>
      <c r="E31" s="278">
        <f>SUM(C31:D31)</f>
        <v>887336.44129455881</v>
      </c>
      <c r="F31" s="370"/>
      <c r="H31" s="100"/>
      <c r="N31" s="8"/>
      <c r="O31" s="8"/>
      <c r="P31" s="8"/>
      <c r="Q31" s="8"/>
      <c r="R31" s="8"/>
      <c r="S31" s="8"/>
      <c r="T31" s="8"/>
      <c r="U31" s="8"/>
    </row>
    <row r="32" spans="2:21" ht="16.5" thickBot="1" x14ac:dyDescent="0.3">
      <c r="B32" s="87"/>
      <c r="C32" s="156"/>
      <c r="D32" s="156"/>
      <c r="E32" s="157"/>
      <c r="F32" s="370"/>
      <c r="H32" s="100"/>
      <c r="N32" s="8"/>
      <c r="O32" s="8"/>
      <c r="P32" s="8"/>
      <c r="Q32" s="8"/>
      <c r="R32" s="8"/>
      <c r="S32" s="8"/>
      <c r="T32" s="8"/>
      <c r="U32" s="8"/>
    </row>
    <row r="33" spans="2:21" ht="16.5" thickBot="1" x14ac:dyDescent="0.3">
      <c r="B33" s="87"/>
      <c r="C33" s="156"/>
      <c r="D33" s="156"/>
      <c r="E33" s="157"/>
      <c r="F33" s="370"/>
      <c r="H33" s="100"/>
      <c r="I33" s="100"/>
      <c r="N33" s="8"/>
      <c r="O33" s="8"/>
      <c r="P33" s="8"/>
      <c r="Q33" s="8"/>
      <c r="R33" s="8"/>
      <c r="S33" s="10"/>
      <c r="T33" s="7"/>
      <c r="U33" s="7"/>
    </row>
    <row r="34" spans="2:21" ht="15.75" x14ac:dyDescent="0.25">
      <c r="F34" s="24"/>
      <c r="M34" s="8"/>
      <c r="N34" s="8"/>
      <c r="O34" s="8"/>
      <c r="P34" s="8"/>
      <c r="Q34" s="8"/>
      <c r="R34" s="8"/>
      <c r="S34" s="7"/>
      <c r="T34" s="7"/>
    </row>
    <row r="35" spans="2:21" ht="15.75" x14ac:dyDescent="0.25">
      <c r="M35" s="8"/>
      <c r="N35" s="8"/>
      <c r="O35" s="8"/>
      <c r="P35" s="8"/>
      <c r="Q35" s="8"/>
      <c r="R35" s="7"/>
      <c r="S35" s="7"/>
      <c r="T35" s="7"/>
    </row>
    <row r="36" spans="2:21" ht="15.75" x14ac:dyDescent="0.25">
      <c r="M36" s="8"/>
      <c r="N36" s="8"/>
      <c r="O36" s="8"/>
      <c r="P36" s="8"/>
      <c r="Q36" s="8"/>
      <c r="R36" s="8"/>
      <c r="S36" s="7"/>
      <c r="T36" s="7"/>
    </row>
    <row r="37" spans="2:21" ht="15.75" x14ac:dyDescent="0.25">
      <c r="M37" s="8"/>
      <c r="N37" s="8"/>
      <c r="O37" s="8"/>
      <c r="P37" s="8"/>
      <c r="Q37" s="8"/>
      <c r="R37" s="8"/>
      <c r="S37" s="7"/>
      <c r="T37" s="7"/>
    </row>
    <row r="38" spans="2:21" x14ac:dyDescent="0.25">
      <c r="M38" s="8"/>
      <c r="N38" s="8"/>
      <c r="O38" s="8"/>
      <c r="P38" s="8"/>
      <c r="Q38" s="8"/>
      <c r="R38" s="8"/>
      <c r="S38" s="8"/>
      <c r="T38" s="8"/>
    </row>
    <row r="39" spans="2:21" x14ac:dyDescent="0.25">
      <c r="M39" s="8"/>
      <c r="N39" s="8"/>
      <c r="O39" s="8"/>
      <c r="P39" s="8"/>
      <c r="Q39" s="8"/>
      <c r="R39" s="8"/>
      <c r="S39" s="8"/>
      <c r="T39" s="8"/>
    </row>
    <row r="40" spans="2:21" ht="15.75" x14ac:dyDescent="0.25">
      <c r="M40" s="8"/>
      <c r="N40" s="8"/>
      <c r="O40" s="8"/>
      <c r="P40" s="8"/>
      <c r="Q40" s="8"/>
      <c r="R40" s="7"/>
      <c r="S40" s="17"/>
      <c r="T40" s="17"/>
    </row>
    <row r="41" spans="2:21" ht="15.75" x14ac:dyDescent="0.25">
      <c r="M41" s="8"/>
      <c r="N41" s="8"/>
      <c r="O41" s="8"/>
      <c r="P41" s="8"/>
      <c r="Q41" s="8"/>
      <c r="R41" s="7"/>
      <c r="S41" s="8"/>
      <c r="T41" s="8"/>
    </row>
    <row r="42" spans="2:21" x14ac:dyDescent="0.25">
      <c r="M42" s="8"/>
      <c r="N42" s="8"/>
      <c r="O42" s="8"/>
      <c r="P42" s="8"/>
      <c r="Q42" s="8"/>
      <c r="R42" s="8"/>
      <c r="S42" s="8"/>
      <c r="T42" s="8"/>
    </row>
    <row r="43" spans="2:21" x14ac:dyDescent="0.25">
      <c r="M43" s="8"/>
      <c r="N43" s="8"/>
      <c r="O43" s="8"/>
      <c r="P43" s="8"/>
      <c r="Q43" s="8"/>
      <c r="R43" s="8"/>
      <c r="S43" s="8"/>
      <c r="T43" s="8"/>
    </row>
    <row r="44" spans="2:21" x14ac:dyDescent="0.25">
      <c r="M44" s="8"/>
      <c r="N44" s="8"/>
      <c r="O44" s="8"/>
      <c r="P44" s="8"/>
      <c r="Q44" s="8"/>
      <c r="R44" s="8"/>
      <c r="S44" s="8"/>
      <c r="T44" s="8"/>
    </row>
    <row r="45" spans="2:21" ht="15.75" x14ac:dyDescent="0.25">
      <c r="M45" s="8"/>
      <c r="N45" s="8"/>
      <c r="O45" s="8"/>
      <c r="P45" s="8"/>
      <c r="Q45" s="8"/>
      <c r="R45" s="7"/>
      <c r="S45" s="8"/>
      <c r="T45" s="8"/>
    </row>
    <row r="46" spans="2:21" ht="15.75" x14ac:dyDescent="0.25">
      <c r="M46" s="8"/>
      <c r="N46" s="8"/>
      <c r="O46" s="8"/>
      <c r="P46" s="8"/>
      <c r="Q46" s="8"/>
      <c r="R46" s="7"/>
      <c r="S46" s="8"/>
      <c r="T46" s="8"/>
    </row>
    <row r="47" spans="2:21" x14ac:dyDescent="0.25">
      <c r="M47" s="8"/>
      <c r="N47" s="8"/>
      <c r="O47" s="8"/>
      <c r="P47" s="8"/>
      <c r="Q47" s="8"/>
      <c r="R47" s="8"/>
      <c r="S47" s="8"/>
      <c r="T47" s="8"/>
    </row>
    <row r="48" spans="2:21" x14ac:dyDescent="0.25">
      <c r="M48" s="8"/>
      <c r="N48" s="8"/>
      <c r="O48" s="8"/>
      <c r="P48" s="8"/>
      <c r="Q48" s="8"/>
      <c r="R48" s="8"/>
      <c r="S48" s="8"/>
      <c r="T48" s="8"/>
    </row>
    <row r="49" spans="13:20" x14ac:dyDescent="0.25">
      <c r="M49" s="8"/>
      <c r="N49" s="8"/>
      <c r="O49" s="8"/>
      <c r="P49" s="8"/>
      <c r="Q49" s="8"/>
      <c r="R49" s="17"/>
      <c r="S49" s="8"/>
      <c r="T49" s="8"/>
    </row>
    <row r="50" spans="13:20" x14ac:dyDescent="0.25">
      <c r="M50" s="8"/>
      <c r="N50" s="8"/>
      <c r="O50" s="8"/>
      <c r="P50" s="8"/>
      <c r="Q50" s="8"/>
      <c r="R50" s="21"/>
      <c r="S50" s="17"/>
      <c r="T50" s="8"/>
    </row>
    <row r="51" spans="13:20" x14ac:dyDescent="0.25">
      <c r="M51" s="8"/>
      <c r="N51" s="8"/>
      <c r="O51" s="8"/>
      <c r="P51" s="8"/>
      <c r="Q51" s="8"/>
      <c r="R51" s="22"/>
      <c r="S51" s="8"/>
      <c r="T51" s="8"/>
    </row>
    <row r="52" spans="13:20" x14ac:dyDescent="0.25">
      <c r="M52" s="8"/>
      <c r="N52" s="8"/>
      <c r="O52" s="8"/>
      <c r="P52" s="8"/>
      <c r="Q52" s="8"/>
      <c r="R52" s="22"/>
      <c r="S52" s="8"/>
      <c r="T52" s="8"/>
    </row>
    <row r="53" spans="13:20" x14ac:dyDescent="0.25">
      <c r="M53" s="8"/>
      <c r="N53" s="8"/>
      <c r="O53" s="8"/>
      <c r="P53" s="8"/>
      <c r="Q53" s="8"/>
      <c r="R53" s="22"/>
      <c r="S53" s="22"/>
      <c r="T53" s="8"/>
    </row>
    <row r="54" spans="13:20" x14ac:dyDescent="0.25">
      <c r="M54" s="8"/>
      <c r="N54" s="8"/>
      <c r="O54" s="8"/>
      <c r="P54" s="8"/>
      <c r="Q54" s="8"/>
      <c r="R54" s="22"/>
      <c r="S54" s="22"/>
      <c r="T54" s="8"/>
    </row>
    <row r="55" spans="13:20" x14ac:dyDescent="0.25">
      <c r="M55" s="8"/>
      <c r="N55" s="8"/>
      <c r="O55" s="8"/>
      <c r="P55" s="8"/>
      <c r="Q55" s="8"/>
      <c r="R55" s="22"/>
      <c r="S55" s="8"/>
      <c r="T55" s="8"/>
    </row>
    <row r="56" spans="13:20" x14ac:dyDescent="0.25">
      <c r="M56" s="8"/>
      <c r="N56" s="8"/>
      <c r="O56" s="8"/>
      <c r="P56" s="8"/>
      <c r="Q56" s="8"/>
      <c r="R56" s="22"/>
      <c r="S56" s="8"/>
      <c r="T56" s="8"/>
    </row>
    <row r="57" spans="13:20" x14ac:dyDescent="0.25">
      <c r="M57" s="8"/>
      <c r="N57" s="8"/>
      <c r="O57" s="8"/>
      <c r="P57" s="8"/>
      <c r="Q57" s="8"/>
      <c r="R57" s="22"/>
      <c r="S57" s="8"/>
      <c r="T57" s="8"/>
    </row>
    <row r="58" spans="13:20" x14ac:dyDescent="0.25">
      <c r="M58" s="8"/>
      <c r="N58" s="8"/>
      <c r="O58" s="8"/>
      <c r="P58" s="8"/>
      <c r="Q58" s="8"/>
      <c r="R58" s="22"/>
      <c r="S58" s="22"/>
      <c r="T58" s="8"/>
    </row>
    <row r="59" spans="13:20" x14ac:dyDescent="0.25">
      <c r="M59" s="8"/>
      <c r="N59" s="8"/>
      <c r="O59" s="8"/>
      <c r="P59" s="8"/>
      <c r="Q59" s="8"/>
      <c r="R59" s="22"/>
      <c r="S59" s="22"/>
      <c r="T59" s="8"/>
    </row>
    <row r="60" spans="13:20" x14ac:dyDescent="0.25">
      <c r="M60" s="8"/>
      <c r="N60" s="8"/>
      <c r="O60" s="8"/>
      <c r="P60" s="8"/>
      <c r="Q60" s="8"/>
      <c r="R60" s="22"/>
      <c r="S60" s="22"/>
      <c r="T60" s="8"/>
    </row>
    <row r="61" spans="13:20" x14ac:dyDescent="0.25">
      <c r="M61" s="8"/>
      <c r="N61" s="8"/>
      <c r="O61" s="8"/>
      <c r="P61" s="8"/>
      <c r="Q61" s="8"/>
      <c r="R61" s="22"/>
      <c r="S61" s="22"/>
      <c r="T61" s="8"/>
    </row>
    <row r="62" spans="13:20" x14ac:dyDescent="0.25">
      <c r="M62" s="8"/>
      <c r="N62" s="8"/>
      <c r="O62" s="8"/>
      <c r="P62" s="8"/>
      <c r="Q62" s="8"/>
      <c r="R62" s="22"/>
      <c r="S62" s="22"/>
      <c r="T62" s="8"/>
    </row>
    <row r="63" spans="13:20" x14ac:dyDescent="0.25">
      <c r="M63" s="8"/>
      <c r="N63" s="8"/>
      <c r="O63" s="8"/>
      <c r="P63" s="8"/>
      <c r="Q63" s="8"/>
      <c r="R63" s="22"/>
      <c r="S63" s="22"/>
      <c r="T63" s="8"/>
    </row>
    <row r="64" spans="13:20" x14ac:dyDescent="0.25">
      <c r="M64" s="8"/>
      <c r="N64" s="8"/>
      <c r="O64" s="8"/>
      <c r="P64" s="8"/>
      <c r="Q64" s="8"/>
      <c r="R64" s="22"/>
      <c r="S64" s="22"/>
      <c r="T64" s="8"/>
    </row>
    <row r="65" spans="13:20" x14ac:dyDescent="0.25">
      <c r="M65" s="8"/>
      <c r="N65" s="8"/>
      <c r="O65" s="8"/>
      <c r="P65" s="8"/>
      <c r="Q65" s="8"/>
      <c r="R65" s="22"/>
      <c r="S65" s="22"/>
      <c r="T65" s="8"/>
    </row>
    <row r="66" spans="13:20" x14ac:dyDescent="0.25">
      <c r="M66" s="8"/>
      <c r="N66" s="8"/>
      <c r="O66" s="8"/>
      <c r="P66" s="8"/>
      <c r="Q66" s="8"/>
      <c r="R66" s="22"/>
      <c r="S66" s="22"/>
      <c r="T66" s="8"/>
    </row>
    <row r="67" spans="13:20" x14ac:dyDescent="0.25">
      <c r="M67" s="8"/>
      <c r="N67" s="8"/>
      <c r="O67" s="8"/>
      <c r="P67" s="8"/>
      <c r="Q67" s="8"/>
      <c r="R67" s="22"/>
      <c r="S67" s="22"/>
      <c r="T67" s="8"/>
    </row>
    <row r="68" spans="13:20" x14ac:dyDescent="0.25">
      <c r="M68" s="8"/>
      <c r="N68" s="8"/>
      <c r="O68" s="8"/>
      <c r="P68" s="8"/>
      <c r="Q68" s="8"/>
      <c r="R68" s="22"/>
      <c r="S68" s="22"/>
      <c r="T68" s="8"/>
    </row>
    <row r="69" spans="13:20" x14ac:dyDescent="0.25">
      <c r="M69" s="8"/>
      <c r="N69" s="8"/>
      <c r="O69" s="8"/>
      <c r="P69" s="8"/>
      <c r="Q69" s="8"/>
      <c r="R69" s="22"/>
      <c r="S69" s="22"/>
      <c r="T69" s="8"/>
    </row>
    <row r="70" spans="13:20" x14ac:dyDescent="0.25">
      <c r="M70" s="8"/>
      <c r="N70" s="8"/>
      <c r="O70" s="8"/>
      <c r="P70" s="8"/>
      <c r="Q70" s="8"/>
      <c r="R70" s="22"/>
      <c r="S70" s="22"/>
      <c r="T70" s="8"/>
    </row>
    <row r="71" spans="13:20" x14ac:dyDescent="0.25">
      <c r="M71" s="8"/>
      <c r="N71" s="8"/>
      <c r="O71" s="8"/>
      <c r="P71" s="8"/>
      <c r="Q71" s="8"/>
      <c r="R71" s="22"/>
      <c r="S71" s="22"/>
      <c r="T71" s="8"/>
    </row>
    <row r="72" spans="13:20" x14ac:dyDescent="0.25">
      <c r="M72" s="8"/>
      <c r="N72" s="8"/>
      <c r="O72" s="8"/>
      <c r="P72" s="8"/>
      <c r="Q72" s="8"/>
      <c r="R72" s="8"/>
      <c r="S72" s="22"/>
      <c r="T72" s="8"/>
    </row>
    <row r="73" spans="13:20" x14ac:dyDescent="0.25">
      <c r="M73" s="8"/>
      <c r="N73" s="8"/>
      <c r="O73" s="8"/>
      <c r="P73" s="8"/>
      <c r="Q73" s="8"/>
      <c r="R73" s="8"/>
      <c r="S73" s="22"/>
      <c r="T73" s="8"/>
    </row>
    <row r="74" spans="13:20" x14ac:dyDescent="0.25">
      <c r="M74" s="8"/>
      <c r="N74" s="8"/>
      <c r="O74" s="8"/>
      <c r="P74" s="8"/>
      <c r="Q74" s="8"/>
      <c r="R74" s="17"/>
      <c r="S74" s="22"/>
      <c r="T74" s="8"/>
    </row>
    <row r="75" spans="13:20" x14ac:dyDescent="0.25">
      <c r="M75" s="8"/>
      <c r="N75" s="8"/>
      <c r="O75" s="8"/>
      <c r="P75" s="8"/>
      <c r="Q75" s="8"/>
      <c r="R75" s="22"/>
      <c r="S75" s="22"/>
      <c r="T75" s="8"/>
    </row>
    <row r="76" spans="13:20" x14ac:dyDescent="0.25">
      <c r="M76" s="8"/>
      <c r="N76" s="8"/>
      <c r="O76" s="8"/>
      <c r="P76" s="8"/>
      <c r="Q76" s="8"/>
      <c r="R76" s="22"/>
      <c r="S76" s="22"/>
      <c r="T76" s="8"/>
    </row>
    <row r="77" spans="13:20" x14ac:dyDescent="0.25">
      <c r="M77" s="8"/>
      <c r="N77" s="8"/>
      <c r="O77" s="8"/>
      <c r="P77" s="8"/>
      <c r="Q77" s="8"/>
      <c r="R77" s="22"/>
      <c r="S77" s="22"/>
      <c r="T77" s="8"/>
    </row>
    <row r="78" spans="13:20" x14ac:dyDescent="0.25">
      <c r="M78" s="8"/>
      <c r="N78" s="8"/>
      <c r="O78" s="8"/>
      <c r="P78" s="8"/>
      <c r="Q78" s="8"/>
      <c r="R78" s="22"/>
      <c r="S78" s="22"/>
      <c r="T78" s="8"/>
    </row>
    <row r="79" spans="13:20" x14ac:dyDescent="0.25">
      <c r="M79" s="8"/>
      <c r="N79" s="8"/>
      <c r="O79" s="8"/>
      <c r="P79" s="8"/>
      <c r="Q79" s="8"/>
      <c r="R79" s="22"/>
      <c r="S79" s="22"/>
      <c r="T79" s="8"/>
    </row>
    <row r="80" spans="13:20" x14ac:dyDescent="0.25">
      <c r="M80" s="8"/>
      <c r="N80" s="8"/>
      <c r="O80" s="8"/>
      <c r="P80" s="8"/>
      <c r="Q80" s="8"/>
      <c r="R80" s="17"/>
      <c r="S80" s="22"/>
      <c r="T80" s="8"/>
    </row>
    <row r="81" spans="13:20" x14ac:dyDescent="0.25">
      <c r="M81" s="8"/>
      <c r="N81" s="8"/>
      <c r="O81" s="8"/>
      <c r="P81" s="8"/>
      <c r="Q81" s="8"/>
      <c r="R81" s="8"/>
      <c r="S81" s="22"/>
      <c r="T81" s="8"/>
    </row>
    <row r="82" spans="13:20" x14ac:dyDescent="0.25">
      <c r="M82" s="8"/>
      <c r="N82" s="8"/>
      <c r="O82" s="8"/>
      <c r="P82" s="8"/>
      <c r="Q82" s="8"/>
      <c r="R82" s="22"/>
      <c r="S82" s="22"/>
      <c r="T82" s="8"/>
    </row>
    <row r="83" spans="13:20" x14ac:dyDescent="0.25">
      <c r="M83" s="8"/>
      <c r="N83" s="8"/>
      <c r="O83" s="8"/>
      <c r="P83" s="8"/>
      <c r="Q83" s="8"/>
      <c r="R83" s="22"/>
      <c r="S83" s="22"/>
      <c r="T83" s="8"/>
    </row>
    <row r="84" spans="13:20" x14ac:dyDescent="0.25">
      <c r="M84" s="8"/>
      <c r="N84" s="8"/>
      <c r="O84" s="8"/>
      <c r="P84" s="8"/>
      <c r="Q84" s="8"/>
      <c r="R84" s="22"/>
      <c r="S84" s="22"/>
      <c r="T84" s="8"/>
    </row>
    <row r="85" spans="13:20" x14ac:dyDescent="0.25">
      <c r="M85" s="8"/>
      <c r="N85" s="8"/>
      <c r="O85" s="8"/>
      <c r="P85" s="8"/>
      <c r="Q85" s="8"/>
      <c r="R85" s="22"/>
      <c r="S85" s="22"/>
      <c r="T85" s="8"/>
    </row>
    <row r="86" spans="13:20" x14ac:dyDescent="0.25">
      <c r="M86" s="8"/>
      <c r="N86" s="8"/>
      <c r="O86" s="8"/>
      <c r="P86" s="8"/>
      <c r="Q86" s="8"/>
      <c r="R86" s="17"/>
      <c r="S86" s="22"/>
      <c r="T86" s="8"/>
    </row>
    <row r="87" spans="13:20" x14ac:dyDescent="0.25">
      <c r="M87" s="8"/>
      <c r="N87" s="8"/>
      <c r="O87" s="8"/>
      <c r="P87" s="8"/>
      <c r="Q87" s="8"/>
      <c r="R87" s="8"/>
      <c r="S87" s="22"/>
      <c r="T87" s="8"/>
    </row>
    <row r="88" spans="13:20" x14ac:dyDescent="0.25">
      <c r="M88" s="8"/>
      <c r="N88" s="8"/>
      <c r="O88" s="8"/>
      <c r="P88" s="8"/>
      <c r="Q88" s="8"/>
      <c r="R88" s="22"/>
      <c r="S88" s="22"/>
      <c r="T88" s="8"/>
    </row>
    <row r="89" spans="13:20" x14ac:dyDescent="0.25">
      <c r="M89" s="8"/>
      <c r="N89" s="8"/>
      <c r="O89" s="8"/>
      <c r="P89" s="8"/>
      <c r="Q89" s="8"/>
      <c r="R89" s="22"/>
      <c r="S89" s="22"/>
      <c r="T89" s="8"/>
    </row>
    <row r="90" spans="13:20" x14ac:dyDescent="0.25">
      <c r="M90" s="8"/>
      <c r="N90" s="8"/>
      <c r="O90" s="8"/>
      <c r="P90" s="8"/>
      <c r="Q90" s="8"/>
      <c r="R90" s="22"/>
      <c r="S90" s="22"/>
      <c r="T90" s="8"/>
    </row>
    <row r="91" spans="13:20" x14ac:dyDescent="0.25">
      <c r="M91" s="8"/>
      <c r="N91" s="8"/>
      <c r="O91" s="8"/>
      <c r="P91" s="8"/>
      <c r="Q91" s="8"/>
      <c r="R91" s="22"/>
      <c r="S91" s="22"/>
      <c r="T91" s="8"/>
    </row>
    <row r="92" spans="13:20" x14ac:dyDescent="0.25">
      <c r="M92" s="8"/>
      <c r="N92" s="8"/>
      <c r="O92" s="8"/>
      <c r="P92" s="8"/>
      <c r="Q92" s="8"/>
      <c r="R92" s="22"/>
      <c r="S92" s="22"/>
      <c r="T92" s="8"/>
    </row>
    <row r="93" spans="13:20" x14ac:dyDescent="0.25">
      <c r="M93" s="8"/>
      <c r="N93" s="8"/>
      <c r="O93" s="8"/>
      <c r="P93" s="8"/>
      <c r="Q93" s="8"/>
      <c r="R93" s="22"/>
      <c r="S93" s="22"/>
      <c r="T93" s="8"/>
    </row>
    <row r="94" spans="13:20" x14ac:dyDescent="0.25">
      <c r="M94" s="8"/>
      <c r="N94" s="8"/>
      <c r="O94" s="8"/>
      <c r="P94" s="8"/>
      <c r="Q94" s="8"/>
      <c r="R94" s="22"/>
      <c r="S94" s="22"/>
      <c r="T94" s="8"/>
    </row>
    <row r="95" spans="13:20" x14ac:dyDescent="0.25">
      <c r="M95" s="8"/>
      <c r="N95" s="8"/>
      <c r="O95" s="8"/>
      <c r="P95" s="8"/>
      <c r="Q95" s="8"/>
      <c r="R95" s="22"/>
      <c r="S95" s="22"/>
      <c r="T95" s="8"/>
    </row>
    <row r="96" spans="13:20" x14ac:dyDescent="0.25">
      <c r="M96" s="8"/>
      <c r="N96" s="8"/>
      <c r="O96" s="8"/>
      <c r="P96" s="8"/>
      <c r="Q96" s="8"/>
      <c r="R96" s="22"/>
      <c r="S96" s="22"/>
      <c r="T96" s="8"/>
    </row>
    <row r="97" spans="13:20" x14ac:dyDescent="0.25">
      <c r="M97" s="8"/>
      <c r="N97" s="8"/>
      <c r="O97" s="8"/>
      <c r="P97" s="8"/>
      <c r="Q97" s="8"/>
      <c r="R97" s="22"/>
      <c r="S97" s="22"/>
      <c r="T97" s="8"/>
    </row>
    <row r="98" spans="13:20" x14ac:dyDescent="0.25">
      <c r="M98" s="8"/>
      <c r="N98" s="8"/>
      <c r="O98" s="8"/>
      <c r="P98" s="8"/>
      <c r="Q98" s="8"/>
      <c r="R98" s="22"/>
      <c r="S98" s="22"/>
      <c r="T98" s="8"/>
    </row>
    <row r="99" spans="13:20" x14ac:dyDescent="0.25">
      <c r="M99" s="8"/>
      <c r="N99" s="8"/>
      <c r="O99" s="8"/>
      <c r="P99" s="8"/>
      <c r="Q99" s="8"/>
      <c r="R99" s="22"/>
      <c r="S99" s="22"/>
      <c r="T99" s="8"/>
    </row>
    <row r="100" spans="13:20" x14ac:dyDescent="0.25">
      <c r="M100" s="8"/>
      <c r="N100" s="8"/>
      <c r="O100" s="8"/>
      <c r="P100" s="8"/>
      <c r="Q100" s="8"/>
      <c r="R100" s="22"/>
      <c r="S100" s="22"/>
      <c r="T100" s="8"/>
    </row>
    <row r="101" spans="13:20" x14ac:dyDescent="0.25">
      <c r="M101" s="8"/>
      <c r="N101" s="8"/>
      <c r="O101" s="8"/>
      <c r="P101" s="8"/>
      <c r="Q101" s="8"/>
      <c r="R101" s="22"/>
      <c r="S101" s="22"/>
      <c r="T101" s="8"/>
    </row>
    <row r="102" spans="13:20" x14ac:dyDescent="0.25">
      <c r="M102" s="8"/>
      <c r="N102" s="8"/>
      <c r="O102" s="8"/>
      <c r="P102" s="8"/>
      <c r="Q102" s="8"/>
      <c r="R102" s="22"/>
      <c r="S102" s="22"/>
      <c r="T102" s="8"/>
    </row>
    <row r="103" spans="13:20" x14ac:dyDescent="0.25">
      <c r="M103" s="8"/>
      <c r="N103" s="8"/>
      <c r="O103" s="8"/>
      <c r="P103" s="8"/>
      <c r="Q103" s="8"/>
      <c r="R103" s="22"/>
      <c r="S103" s="22"/>
      <c r="T103" s="8"/>
    </row>
    <row r="104" spans="13:20" x14ac:dyDescent="0.25">
      <c r="M104" s="8"/>
      <c r="N104" s="8"/>
      <c r="O104" s="8"/>
      <c r="P104" s="8"/>
      <c r="Q104" s="8"/>
      <c r="R104" s="22"/>
      <c r="S104" s="22"/>
      <c r="T104" s="8"/>
    </row>
    <row r="105" spans="13:20" x14ac:dyDescent="0.25">
      <c r="M105" s="8"/>
      <c r="N105" s="8"/>
      <c r="O105" s="8"/>
      <c r="P105" s="8"/>
      <c r="Q105" s="8"/>
      <c r="R105" s="22"/>
      <c r="S105" s="22"/>
      <c r="T105" s="8"/>
    </row>
    <row r="106" spans="13:20" x14ac:dyDescent="0.25">
      <c r="M106" s="8"/>
      <c r="N106" s="8"/>
      <c r="O106" s="8"/>
      <c r="P106" s="8"/>
      <c r="Q106" s="8"/>
      <c r="R106" s="22"/>
      <c r="S106" s="22"/>
      <c r="T106" s="8"/>
    </row>
    <row r="107" spans="13:20" x14ac:dyDescent="0.25">
      <c r="M107" s="8"/>
      <c r="N107" s="8"/>
      <c r="O107" s="8"/>
      <c r="P107" s="8"/>
      <c r="Q107" s="8"/>
      <c r="R107" s="22"/>
      <c r="S107" s="22"/>
      <c r="T107" s="8"/>
    </row>
    <row r="108" spans="13:20" x14ac:dyDescent="0.25">
      <c r="M108" s="8"/>
      <c r="N108" s="8"/>
      <c r="O108" s="8"/>
      <c r="P108" s="8"/>
      <c r="Q108" s="8"/>
      <c r="R108" s="22"/>
      <c r="S108" s="22"/>
      <c r="T108" s="8"/>
    </row>
    <row r="109" spans="13:20" x14ac:dyDescent="0.25">
      <c r="M109" s="8"/>
      <c r="N109" s="8"/>
      <c r="O109" s="8"/>
      <c r="P109" s="8"/>
      <c r="Q109" s="8"/>
      <c r="R109" s="22"/>
      <c r="S109" s="22"/>
      <c r="T109" s="8"/>
    </row>
  </sheetData>
  <sheetProtection sheet="1" objects="1" scenarios="1"/>
  <dataConsolidate link="1"/>
  <mergeCells count="2">
    <mergeCell ref="B9:C9"/>
    <mergeCell ref="H27:I27"/>
  </mergeCells>
  <phoneticPr fontId="14" type="noConversion"/>
  <printOptions horizontalCentered="1"/>
  <pageMargins left="0.55118110236220474" right="0.39370078740157483" top="0.98425196850393704" bottom="0.78740157480314965" header="0.51181102362204722" footer="0.51181102362204722"/>
  <pageSetup paperSize="9" scale="73"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Orgenheter!$G$3:$G$27</xm:f>
          </x14:formula1>
          <xm:sqref>C6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E136"/>
  <sheetViews>
    <sheetView zoomScaleNormal="100" workbookViewId="0">
      <selection activeCell="B21" sqref="B21"/>
    </sheetView>
  </sheetViews>
  <sheetFormatPr defaultRowHeight="15" x14ac:dyDescent="0.25"/>
  <cols>
    <col min="1" max="1" width="17.5703125" customWidth="1"/>
    <col min="2" max="2" width="51.42578125" customWidth="1"/>
    <col min="3" max="3" width="29.42578125" customWidth="1"/>
    <col min="4" max="4" width="34.85546875" customWidth="1"/>
    <col min="5" max="5" width="10.85546875" bestFit="1" customWidth="1"/>
  </cols>
  <sheetData>
    <row r="3" spans="1:5" x14ac:dyDescent="0.25">
      <c r="A3" s="63" t="s">
        <v>59</v>
      </c>
      <c r="B3" s="63" t="s">
        <v>158</v>
      </c>
      <c r="C3" s="63" t="s">
        <v>2</v>
      </c>
      <c r="D3" s="63" t="s">
        <v>326</v>
      </c>
      <c r="E3" s="63" t="s">
        <v>10</v>
      </c>
    </row>
    <row r="4" spans="1:5" x14ac:dyDescent="0.25">
      <c r="A4" t="s">
        <v>1568</v>
      </c>
      <c r="B4" t="s">
        <v>1606</v>
      </c>
      <c r="C4" t="s">
        <v>11</v>
      </c>
      <c r="D4" t="s">
        <v>192</v>
      </c>
      <c r="E4" s="52">
        <v>0.2</v>
      </c>
    </row>
    <row r="5" spans="1:5" x14ac:dyDescent="0.25">
      <c r="D5" t="s">
        <v>1130</v>
      </c>
      <c r="E5" s="52">
        <v>0.2</v>
      </c>
    </row>
    <row r="6" spans="1:5" x14ac:dyDescent="0.25">
      <c r="A6" t="s">
        <v>784</v>
      </c>
      <c r="B6" t="s">
        <v>787</v>
      </c>
      <c r="C6" t="s">
        <v>172</v>
      </c>
      <c r="D6" t="s">
        <v>199</v>
      </c>
      <c r="E6" s="52">
        <v>0.25</v>
      </c>
    </row>
    <row r="7" spans="1:5" x14ac:dyDescent="0.25">
      <c r="A7" t="s">
        <v>2112</v>
      </c>
      <c r="B7" t="s">
        <v>2129</v>
      </c>
      <c r="C7" t="s">
        <v>172</v>
      </c>
      <c r="D7" t="s">
        <v>199</v>
      </c>
      <c r="E7" s="52">
        <v>0.25</v>
      </c>
    </row>
    <row r="8" spans="1:5" x14ac:dyDescent="0.25">
      <c r="A8" t="s">
        <v>1586</v>
      </c>
      <c r="B8" t="s">
        <v>1607</v>
      </c>
      <c r="C8" t="s">
        <v>192</v>
      </c>
      <c r="D8" t="s">
        <v>242</v>
      </c>
      <c r="E8" s="52">
        <v>0.25</v>
      </c>
    </row>
    <row r="9" spans="1:5" x14ac:dyDescent="0.25">
      <c r="D9" t="s">
        <v>205</v>
      </c>
      <c r="E9" s="52">
        <v>0.15</v>
      </c>
    </row>
    <row r="10" spans="1:5" x14ac:dyDescent="0.25">
      <c r="A10" t="s">
        <v>1822</v>
      </c>
      <c r="B10" t="s">
        <v>1832</v>
      </c>
      <c r="C10" t="s">
        <v>192</v>
      </c>
      <c r="D10" t="s">
        <v>822</v>
      </c>
      <c r="E10" s="52">
        <v>0.16666666666666666</v>
      </c>
    </row>
    <row r="11" spans="1:5" x14ac:dyDescent="0.25">
      <c r="A11" t="s">
        <v>584</v>
      </c>
      <c r="B11" t="s">
        <v>611</v>
      </c>
      <c r="C11" t="s">
        <v>192</v>
      </c>
      <c r="D11" t="s">
        <v>822</v>
      </c>
      <c r="E11" s="52">
        <v>0.16666666666666666</v>
      </c>
    </row>
    <row r="12" spans="1:5" x14ac:dyDescent="0.25">
      <c r="A12" t="s">
        <v>586</v>
      </c>
      <c r="B12" t="s">
        <v>678</v>
      </c>
      <c r="C12" t="s">
        <v>192</v>
      </c>
      <c r="D12" t="s">
        <v>242</v>
      </c>
      <c r="E12" s="52">
        <v>0.25</v>
      </c>
    </row>
    <row r="13" spans="1:5" x14ac:dyDescent="0.25">
      <c r="A13" t="s">
        <v>949</v>
      </c>
      <c r="B13" t="s">
        <v>1178</v>
      </c>
      <c r="C13" t="s">
        <v>2169</v>
      </c>
      <c r="D13" t="s">
        <v>164</v>
      </c>
      <c r="E13" s="52">
        <v>0.5</v>
      </c>
    </row>
    <row r="14" spans="1:5" x14ac:dyDescent="0.25">
      <c r="A14" t="s">
        <v>1859</v>
      </c>
      <c r="B14" t="s">
        <v>1814</v>
      </c>
      <c r="C14" t="s">
        <v>2169</v>
      </c>
      <c r="D14" t="s">
        <v>164</v>
      </c>
      <c r="E14" s="52">
        <v>0.5</v>
      </c>
    </row>
    <row r="15" spans="1:5" x14ac:dyDescent="0.25">
      <c r="A15" t="s">
        <v>1956</v>
      </c>
      <c r="B15" t="s">
        <v>1818</v>
      </c>
      <c r="C15" t="s">
        <v>2169</v>
      </c>
      <c r="D15" t="s">
        <v>164</v>
      </c>
      <c r="E15" s="52">
        <v>0.5</v>
      </c>
    </row>
    <row r="16" spans="1:5" x14ac:dyDescent="0.25">
      <c r="A16" t="s">
        <v>780</v>
      </c>
      <c r="B16" t="s">
        <v>1180</v>
      </c>
      <c r="C16" t="s">
        <v>176</v>
      </c>
      <c r="D16" t="s">
        <v>461</v>
      </c>
      <c r="E16" s="52">
        <v>0.5</v>
      </c>
    </row>
    <row r="17" spans="1:5" x14ac:dyDescent="0.25">
      <c r="A17" t="s">
        <v>1972</v>
      </c>
      <c r="B17" t="s">
        <v>1180</v>
      </c>
      <c r="C17" t="s">
        <v>176</v>
      </c>
      <c r="D17" t="s">
        <v>461</v>
      </c>
      <c r="E17" s="52">
        <v>0.5</v>
      </c>
    </row>
    <row r="18" spans="1:5" x14ac:dyDescent="0.25">
      <c r="A18" t="s">
        <v>470</v>
      </c>
      <c r="B18" t="s">
        <v>473</v>
      </c>
      <c r="C18" t="s">
        <v>172</v>
      </c>
      <c r="D18" t="s">
        <v>173</v>
      </c>
      <c r="E18" s="52">
        <v>0.5</v>
      </c>
    </row>
    <row r="19" spans="1:5" x14ac:dyDescent="0.25">
      <c r="A19" t="s">
        <v>471</v>
      </c>
      <c r="B19" t="s">
        <v>474</v>
      </c>
      <c r="C19" t="s">
        <v>172</v>
      </c>
      <c r="D19" t="s">
        <v>194</v>
      </c>
      <c r="E19" s="52">
        <v>0.2</v>
      </c>
    </row>
    <row r="20" spans="1:5" x14ac:dyDescent="0.25">
      <c r="D20" t="s">
        <v>200</v>
      </c>
      <c r="E20" s="52">
        <v>0.05</v>
      </c>
    </row>
    <row r="21" spans="1:5" x14ac:dyDescent="0.25">
      <c r="A21" t="s">
        <v>873</v>
      </c>
      <c r="B21" t="s">
        <v>1181</v>
      </c>
      <c r="C21" t="s">
        <v>172</v>
      </c>
      <c r="D21" t="s">
        <v>192</v>
      </c>
      <c r="E21" s="52">
        <v>0.5</v>
      </c>
    </row>
    <row r="22" spans="1:5" x14ac:dyDescent="0.25">
      <c r="D22" t="s">
        <v>2169</v>
      </c>
      <c r="E22" s="52">
        <v>0.16666666666666666</v>
      </c>
    </row>
    <row r="23" spans="1:5" x14ac:dyDescent="0.25">
      <c r="A23" t="s">
        <v>1152</v>
      </c>
      <c r="B23" t="s">
        <v>1138</v>
      </c>
      <c r="C23" t="s">
        <v>172</v>
      </c>
      <c r="D23" t="s">
        <v>192</v>
      </c>
      <c r="E23" s="52">
        <v>0.13333333333333333</v>
      </c>
    </row>
    <row r="24" spans="1:5" x14ac:dyDescent="0.25">
      <c r="D24" t="s">
        <v>200</v>
      </c>
      <c r="E24" s="52">
        <v>0.2</v>
      </c>
    </row>
    <row r="25" spans="1:5" x14ac:dyDescent="0.25">
      <c r="A25" t="s">
        <v>1154</v>
      </c>
      <c r="B25" t="s">
        <v>1139</v>
      </c>
      <c r="C25" t="s">
        <v>172</v>
      </c>
      <c r="D25" t="s">
        <v>173</v>
      </c>
      <c r="E25" s="52">
        <v>0.46666666666666667</v>
      </c>
    </row>
    <row r="26" spans="1:5" x14ac:dyDescent="0.25">
      <c r="A26" t="s">
        <v>828</v>
      </c>
      <c r="B26" t="s">
        <v>621</v>
      </c>
      <c r="C26" t="s">
        <v>176</v>
      </c>
      <c r="D26" t="s">
        <v>461</v>
      </c>
      <c r="E26" s="52">
        <v>0.33333333333333331</v>
      </c>
    </row>
    <row r="27" spans="1:5" x14ac:dyDescent="0.25">
      <c r="A27" t="s">
        <v>827</v>
      </c>
      <c r="B27" t="s">
        <v>620</v>
      </c>
      <c r="C27" t="s">
        <v>176</v>
      </c>
      <c r="D27" t="s">
        <v>461</v>
      </c>
      <c r="E27" s="52">
        <v>0.33333333333333331</v>
      </c>
    </row>
    <row r="28" spans="1:5" x14ac:dyDescent="0.25">
      <c r="A28" t="s">
        <v>1565</v>
      </c>
      <c r="B28" t="s">
        <v>1599</v>
      </c>
      <c r="C28" t="s">
        <v>176</v>
      </c>
      <c r="D28" t="s">
        <v>1130</v>
      </c>
      <c r="E28" s="52">
        <v>0.2</v>
      </c>
    </row>
    <row r="29" spans="1:5" x14ac:dyDescent="0.25">
      <c r="A29" t="s">
        <v>1681</v>
      </c>
      <c r="B29" t="s">
        <v>1682</v>
      </c>
      <c r="C29" t="s">
        <v>176</v>
      </c>
      <c r="D29" t="s">
        <v>1130</v>
      </c>
      <c r="E29" s="52">
        <v>0.33333333333333331</v>
      </c>
    </row>
    <row r="30" spans="1:5" x14ac:dyDescent="0.25">
      <c r="A30" t="s">
        <v>1459</v>
      </c>
      <c r="B30" t="s">
        <v>1460</v>
      </c>
      <c r="C30" t="s">
        <v>461</v>
      </c>
      <c r="D30" t="s">
        <v>166</v>
      </c>
      <c r="E30" s="52">
        <v>0.33333333333333331</v>
      </c>
    </row>
    <row r="31" spans="1:5" x14ac:dyDescent="0.25">
      <c r="A31" t="s">
        <v>1463</v>
      </c>
      <c r="B31" t="s">
        <v>1464</v>
      </c>
      <c r="C31" t="s">
        <v>461</v>
      </c>
      <c r="D31" t="s">
        <v>166</v>
      </c>
      <c r="E31" s="52">
        <v>0.33333333333333331</v>
      </c>
    </row>
    <row r="32" spans="1:5" x14ac:dyDescent="0.25">
      <c r="A32" t="s">
        <v>1465</v>
      </c>
      <c r="B32" t="s">
        <v>1466</v>
      </c>
      <c r="C32" t="s">
        <v>461</v>
      </c>
      <c r="D32" t="s">
        <v>166</v>
      </c>
      <c r="E32" s="52">
        <v>0.33333333333333331</v>
      </c>
    </row>
    <row r="33" spans="1:5" x14ac:dyDescent="0.25">
      <c r="A33" t="s">
        <v>1566</v>
      </c>
      <c r="B33" t="s">
        <v>1425</v>
      </c>
      <c r="C33" t="s">
        <v>461</v>
      </c>
      <c r="D33" t="s">
        <v>1130</v>
      </c>
      <c r="E33" s="52">
        <v>0.26666666666666666</v>
      </c>
    </row>
    <row r="34" spans="1:5" x14ac:dyDescent="0.25">
      <c r="A34" t="s">
        <v>1864</v>
      </c>
      <c r="B34" t="s">
        <v>1877</v>
      </c>
      <c r="C34" t="s">
        <v>461</v>
      </c>
      <c r="D34" t="s">
        <v>1130</v>
      </c>
      <c r="E34" s="52">
        <v>0.2</v>
      </c>
    </row>
    <row r="35" spans="1:5" x14ac:dyDescent="0.25">
      <c r="A35" t="s">
        <v>593</v>
      </c>
      <c r="B35" t="s">
        <v>1492</v>
      </c>
      <c r="C35" t="s">
        <v>1130</v>
      </c>
      <c r="D35" t="s">
        <v>192</v>
      </c>
      <c r="E35" s="52">
        <v>0.4</v>
      </c>
    </row>
    <row r="36" spans="1:5" x14ac:dyDescent="0.25">
      <c r="A36" t="s">
        <v>502</v>
      </c>
      <c r="B36" t="s">
        <v>553</v>
      </c>
      <c r="C36" t="s">
        <v>1130</v>
      </c>
      <c r="D36" t="s">
        <v>11</v>
      </c>
      <c r="E36" s="52">
        <v>7.4999999999999997E-2</v>
      </c>
    </row>
    <row r="37" spans="1:5" x14ac:dyDescent="0.25">
      <c r="D37" t="s">
        <v>176</v>
      </c>
      <c r="E37" s="52">
        <v>0.2</v>
      </c>
    </row>
    <row r="38" spans="1:5" x14ac:dyDescent="0.25">
      <c r="D38" t="s">
        <v>461</v>
      </c>
      <c r="E38" s="52">
        <v>9.166666666666666E-2</v>
      </c>
    </row>
    <row r="39" spans="1:5" x14ac:dyDescent="0.25">
      <c r="D39" t="s">
        <v>192</v>
      </c>
      <c r="E39" s="52">
        <v>7.4999999999999997E-2</v>
      </c>
    </row>
    <row r="40" spans="1:5" x14ac:dyDescent="0.25">
      <c r="A40" t="s">
        <v>594</v>
      </c>
      <c r="B40" t="s">
        <v>1493</v>
      </c>
      <c r="C40" t="s">
        <v>1130</v>
      </c>
      <c r="D40" t="s">
        <v>192</v>
      </c>
      <c r="E40" s="52">
        <v>0.5</v>
      </c>
    </row>
    <row r="41" spans="1:5" x14ac:dyDescent="0.25">
      <c r="A41" t="s">
        <v>597</v>
      </c>
      <c r="B41" t="s">
        <v>614</v>
      </c>
      <c r="C41" t="s">
        <v>1130</v>
      </c>
      <c r="D41" t="s">
        <v>461</v>
      </c>
      <c r="E41" s="52">
        <v>0.46666666666666667</v>
      </c>
    </row>
    <row r="42" spans="1:5" x14ac:dyDescent="0.25">
      <c r="D42" t="s">
        <v>192</v>
      </c>
      <c r="E42" s="52">
        <v>0.15</v>
      </c>
    </row>
    <row r="43" spans="1:5" x14ac:dyDescent="0.25">
      <c r="A43" t="s">
        <v>878</v>
      </c>
      <c r="B43" t="s">
        <v>895</v>
      </c>
      <c r="C43" t="s">
        <v>1130</v>
      </c>
      <c r="D43" t="s">
        <v>11</v>
      </c>
      <c r="E43" s="52">
        <v>0.8</v>
      </c>
    </row>
    <row r="44" spans="1:5" x14ac:dyDescent="0.25">
      <c r="D44" t="s">
        <v>192</v>
      </c>
      <c r="E44" s="52">
        <v>0.1</v>
      </c>
    </row>
    <row r="45" spans="1:5" x14ac:dyDescent="0.25">
      <c r="A45" t="s">
        <v>881</v>
      </c>
      <c r="B45" t="s">
        <v>1495</v>
      </c>
      <c r="C45" t="s">
        <v>1130</v>
      </c>
      <c r="D45" t="s">
        <v>192</v>
      </c>
      <c r="E45" s="52">
        <v>0.46666666666666667</v>
      </c>
    </row>
    <row r="46" spans="1:5" x14ac:dyDescent="0.25">
      <c r="A46" t="s">
        <v>882</v>
      </c>
      <c r="B46" t="s">
        <v>896</v>
      </c>
      <c r="C46" t="s">
        <v>1130</v>
      </c>
      <c r="D46" t="s">
        <v>192</v>
      </c>
      <c r="E46" s="52">
        <v>0.46666666666666667</v>
      </c>
    </row>
    <row r="47" spans="1:5" x14ac:dyDescent="0.25">
      <c r="A47" t="s">
        <v>506</v>
      </c>
      <c r="B47" t="s">
        <v>555</v>
      </c>
      <c r="C47" t="s">
        <v>1130</v>
      </c>
      <c r="D47" t="s">
        <v>11</v>
      </c>
      <c r="E47" s="52">
        <v>0.4</v>
      </c>
    </row>
    <row r="48" spans="1:5" x14ac:dyDescent="0.25">
      <c r="A48" t="s">
        <v>598</v>
      </c>
      <c r="B48" t="s">
        <v>615</v>
      </c>
      <c r="C48" t="s">
        <v>1130</v>
      </c>
      <c r="D48" t="s">
        <v>192</v>
      </c>
      <c r="E48" s="52">
        <v>0.33333333333333331</v>
      </c>
    </row>
    <row r="49" spans="1:5" x14ac:dyDescent="0.25">
      <c r="A49" t="s">
        <v>835</v>
      </c>
      <c r="B49" t="s">
        <v>1202</v>
      </c>
      <c r="C49" t="s">
        <v>192</v>
      </c>
      <c r="D49" t="s">
        <v>1130</v>
      </c>
      <c r="E49" s="52">
        <v>0.4</v>
      </c>
    </row>
    <row r="50" spans="1:5" x14ac:dyDescent="0.25">
      <c r="A50" t="s">
        <v>824</v>
      </c>
      <c r="B50" t="s">
        <v>826</v>
      </c>
      <c r="C50" t="s">
        <v>461</v>
      </c>
      <c r="D50" t="s">
        <v>192</v>
      </c>
      <c r="E50" s="52">
        <v>0.17857142857142858</v>
      </c>
    </row>
    <row r="51" spans="1:5" x14ac:dyDescent="0.25">
      <c r="D51" t="s">
        <v>1130</v>
      </c>
      <c r="E51" s="52">
        <v>0.17857142857142858</v>
      </c>
    </row>
    <row r="52" spans="1:5" x14ac:dyDescent="0.25">
      <c r="A52" t="s">
        <v>920</v>
      </c>
      <c r="B52" t="s">
        <v>1257</v>
      </c>
      <c r="C52" t="s">
        <v>1130</v>
      </c>
      <c r="D52" t="s">
        <v>192</v>
      </c>
      <c r="E52" s="52">
        <v>0.4</v>
      </c>
    </row>
    <row r="53" spans="1:5" x14ac:dyDescent="0.25">
      <c r="A53" t="s">
        <v>921</v>
      </c>
      <c r="B53" t="s">
        <v>1258</v>
      </c>
      <c r="C53" t="s">
        <v>1130</v>
      </c>
      <c r="D53" t="s">
        <v>192</v>
      </c>
      <c r="E53" s="52">
        <v>0.4</v>
      </c>
    </row>
    <row r="54" spans="1:5" x14ac:dyDescent="0.25">
      <c r="A54" t="s">
        <v>985</v>
      </c>
      <c r="B54" t="s">
        <v>1206</v>
      </c>
      <c r="C54" t="s">
        <v>461</v>
      </c>
      <c r="D54" t="s">
        <v>176</v>
      </c>
      <c r="E54" s="52">
        <v>0.35555555555555557</v>
      </c>
    </row>
    <row r="55" spans="1:5" x14ac:dyDescent="0.25">
      <c r="D55" t="s">
        <v>192</v>
      </c>
      <c r="E55" s="52">
        <v>0.13333333333333333</v>
      </c>
    </row>
    <row r="56" spans="1:5" x14ac:dyDescent="0.25">
      <c r="A56" t="s">
        <v>984</v>
      </c>
      <c r="B56" t="s">
        <v>1207</v>
      </c>
      <c r="C56" t="s">
        <v>461</v>
      </c>
      <c r="D56" t="s">
        <v>176</v>
      </c>
      <c r="E56" s="52">
        <v>0.48888888888888887</v>
      </c>
    </row>
    <row r="57" spans="1:5" x14ac:dyDescent="0.25">
      <c r="A57" t="s">
        <v>979</v>
      </c>
      <c r="B57" t="s">
        <v>1259</v>
      </c>
      <c r="C57" t="s">
        <v>192</v>
      </c>
      <c r="D57" t="s">
        <v>1130</v>
      </c>
      <c r="E57" s="52">
        <v>0.5</v>
      </c>
    </row>
    <row r="58" spans="1:5" x14ac:dyDescent="0.25">
      <c r="A58" t="s">
        <v>998</v>
      </c>
      <c r="B58" t="s">
        <v>1209</v>
      </c>
      <c r="C58" t="s">
        <v>461</v>
      </c>
      <c r="D58" t="s">
        <v>11</v>
      </c>
      <c r="E58" s="52">
        <v>0.26666666666666666</v>
      </c>
    </row>
    <row r="59" spans="1:5" x14ac:dyDescent="0.25">
      <c r="D59" t="s">
        <v>192</v>
      </c>
      <c r="E59" s="52">
        <v>0.2</v>
      </c>
    </row>
    <row r="60" spans="1:5" x14ac:dyDescent="0.25">
      <c r="D60" t="s">
        <v>1130</v>
      </c>
      <c r="E60" s="52">
        <v>0.2</v>
      </c>
    </row>
    <row r="61" spans="1:5" x14ac:dyDescent="0.25">
      <c r="A61" t="s">
        <v>1150</v>
      </c>
      <c r="B61" t="s">
        <v>1227</v>
      </c>
      <c r="C61" t="s">
        <v>1130</v>
      </c>
      <c r="D61" t="s">
        <v>197</v>
      </c>
      <c r="E61" s="52">
        <v>0.25</v>
      </c>
    </row>
    <row r="62" spans="1:5" x14ac:dyDescent="0.25">
      <c r="A62" t="s">
        <v>1287</v>
      </c>
      <c r="B62" t="s">
        <v>1292</v>
      </c>
      <c r="C62" t="s">
        <v>192</v>
      </c>
      <c r="D62" t="s">
        <v>197</v>
      </c>
      <c r="E62" s="52">
        <v>0.25</v>
      </c>
    </row>
    <row r="63" spans="1:5" x14ac:dyDescent="0.25">
      <c r="A63" t="s">
        <v>1285</v>
      </c>
      <c r="B63" t="s">
        <v>1291</v>
      </c>
      <c r="C63" t="s">
        <v>192</v>
      </c>
      <c r="D63" t="s">
        <v>194</v>
      </c>
      <c r="E63" s="52">
        <v>0.4</v>
      </c>
    </row>
    <row r="64" spans="1:5" x14ac:dyDescent="0.25">
      <c r="A64" t="s">
        <v>1443</v>
      </c>
      <c r="B64" t="s">
        <v>1423</v>
      </c>
      <c r="C64" t="s">
        <v>1130</v>
      </c>
      <c r="D64" t="s">
        <v>192</v>
      </c>
      <c r="E64" s="52">
        <v>0.2</v>
      </c>
    </row>
    <row r="65" spans="1:5" x14ac:dyDescent="0.25">
      <c r="A65" t="s">
        <v>1481</v>
      </c>
      <c r="B65" t="s">
        <v>1480</v>
      </c>
      <c r="C65" t="s">
        <v>192</v>
      </c>
      <c r="D65" t="s">
        <v>1130</v>
      </c>
      <c r="E65" s="52">
        <v>0.5</v>
      </c>
    </row>
    <row r="66" spans="1:5" x14ac:dyDescent="0.25">
      <c r="A66" t="s">
        <v>1526</v>
      </c>
      <c r="B66" t="s">
        <v>1735</v>
      </c>
      <c r="C66" t="s">
        <v>461</v>
      </c>
      <c r="D66" t="s">
        <v>172</v>
      </c>
      <c r="E66" s="52">
        <v>0.33333333333333331</v>
      </c>
    </row>
    <row r="67" spans="1:5" x14ac:dyDescent="0.25">
      <c r="A67" t="s">
        <v>1538</v>
      </c>
      <c r="B67" t="s">
        <v>1553</v>
      </c>
      <c r="C67" t="s">
        <v>461</v>
      </c>
      <c r="D67" t="s">
        <v>192</v>
      </c>
      <c r="E67" s="52">
        <v>0.26666666666666666</v>
      </c>
    </row>
    <row r="68" spans="1:5" x14ac:dyDescent="0.25">
      <c r="D68" t="s">
        <v>1130</v>
      </c>
      <c r="E68" s="52">
        <v>0.26666666666666666</v>
      </c>
    </row>
    <row r="69" spans="1:5" x14ac:dyDescent="0.25">
      <c r="A69" t="s">
        <v>1621</v>
      </c>
      <c r="B69" t="s">
        <v>1622</v>
      </c>
      <c r="C69" t="s">
        <v>1130</v>
      </c>
      <c r="D69" t="s">
        <v>198</v>
      </c>
      <c r="E69" s="52">
        <v>0.2</v>
      </c>
    </row>
    <row r="70" spans="1:5" x14ac:dyDescent="0.25">
      <c r="A70" t="s">
        <v>1624</v>
      </c>
      <c r="B70" t="s">
        <v>1625</v>
      </c>
      <c r="C70" t="s">
        <v>1130</v>
      </c>
      <c r="D70" t="s">
        <v>192</v>
      </c>
      <c r="E70" s="52">
        <v>0.26666666666666666</v>
      </c>
    </row>
    <row r="71" spans="1:5" x14ac:dyDescent="0.25">
      <c r="A71" t="s">
        <v>1570</v>
      </c>
      <c r="B71" t="s">
        <v>1615</v>
      </c>
      <c r="C71" t="s">
        <v>1130</v>
      </c>
      <c r="D71" t="s">
        <v>194</v>
      </c>
      <c r="E71" s="52">
        <v>0.25</v>
      </c>
    </row>
    <row r="72" spans="1:5" x14ac:dyDescent="0.25">
      <c r="D72" t="s">
        <v>192</v>
      </c>
      <c r="E72" s="52">
        <v>0.125</v>
      </c>
    </row>
    <row r="73" spans="1:5" x14ac:dyDescent="0.25">
      <c r="A73" t="s">
        <v>1567</v>
      </c>
      <c r="B73" t="s">
        <v>1614</v>
      </c>
      <c r="C73" t="s">
        <v>1130</v>
      </c>
      <c r="D73" t="s">
        <v>194</v>
      </c>
      <c r="E73" s="52">
        <v>8.3333333333333329E-2</v>
      </c>
    </row>
    <row r="74" spans="1:5" x14ac:dyDescent="0.25">
      <c r="D74" t="s">
        <v>192</v>
      </c>
      <c r="E74" s="52">
        <v>0.41666666666666669</v>
      </c>
    </row>
    <row r="75" spans="1:5" x14ac:dyDescent="0.25">
      <c r="A75" t="s">
        <v>1559</v>
      </c>
      <c r="B75" t="s">
        <v>1560</v>
      </c>
      <c r="C75" t="s">
        <v>192</v>
      </c>
      <c r="D75" t="s">
        <v>194</v>
      </c>
      <c r="E75" s="52">
        <v>0.1</v>
      </c>
    </row>
    <row r="76" spans="1:5" x14ac:dyDescent="0.25">
      <c r="D76" t="s">
        <v>1130</v>
      </c>
      <c r="E76" s="52">
        <v>0.4</v>
      </c>
    </row>
    <row r="77" spans="1:5" x14ac:dyDescent="0.25">
      <c r="A77" t="s">
        <v>1657</v>
      </c>
      <c r="B77" t="s">
        <v>1678</v>
      </c>
      <c r="C77" t="s">
        <v>192</v>
      </c>
      <c r="D77" t="s">
        <v>194</v>
      </c>
      <c r="E77" s="52">
        <v>0.1</v>
      </c>
    </row>
    <row r="78" spans="1:5" x14ac:dyDescent="0.25">
      <c r="D78" t="s">
        <v>1130</v>
      </c>
      <c r="E78" s="52">
        <v>0.4</v>
      </c>
    </row>
    <row r="79" spans="1:5" x14ac:dyDescent="0.25">
      <c r="A79" t="s">
        <v>1576</v>
      </c>
      <c r="B79" t="s">
        <v>1616</v>
      </c>
      <c r="C79" t="s">
        <v>192</v>
      </c>
      <c r="D79" t="s">
        <v>194</v>
      </c>
      <c r="E79" s="52">
        <v>0.25</v>
      </c>
    </row>
    <row r="80" spans="1:5" x14ac:dyDescent="0.25">
      <c r="D80" t="s">
        <v>1130</v>
      </c>
      <c r="E80" s="52">
        <v>0.375</v>
      </c>
    </row>
    <row r="81" spans="1:5" x14ac:dyDescent="0.25">
      <c r="A81" t="s">
        <v>1577</v>
      </c>
      <c r="B81" t="s">
        <v>1617</v>
      </c>
      <c r="C81" t="s">
        <v>192</v>
      </c>
      <c r="D81" t="s">
        <v>194</v>
      </c>
      <c r="E81" s="52">
        <v>0.25</v>
      </c>
    </row>
    <row r="82" spans="1:5" x14ac:dyDescent="0.25">
      <c r="D82" t="s">
        <v>461</v>
      </c>
      <c r="E82" s="52">
        <v>0.375</v>
      </c>
    </row>
    <row r="83" spans="1:5" x14ac:dyDescent="0.25">
      <c r="A83" t="s">
        <v>1689</v>
      </c>
      <c r="B83" t="s">
        <v>1690</v>
      </c>
      <c r="C83" t="s">
        <v>192</v>
      </c>
      <c r="D83" t="s">
        <v>194</v>
      </c>
      <c r="E83" s="52">
        <v>0.25</v>
      </c>
    </row>
    <row r="84" spans="1:5" x14ac:dyDescent="0.25">
      <c r="D84" t="s">
        <v>461</v>
      </c>
      <c r="E84" s="52">
        <v>0.125</v>
      </c>
    </row>
    <row r="85" spans="1:5" x14ac:dyDescent="0.25">
      <c r="A85" t="s">
        <v>1626</v>
      </c>
      <c r="B85" t="s">
        <v>1627</v>
      </c>
      <c r="C85" t="s">
        <v>192</v>
      </c>
      <c r="D85" t="s">
        <v>1130</v>
      </c>
      <c r="E85" s="52">
        <v>0.26666666666666666</v>
      </c>
    </row>
    <row r="86" spans="1:5" x14ac:dyDescent="0.25">
      <c r="A86" t="s">
        <v>1572</v>
      </c>
      <c r="B86" t="s">
        <v>1429</v>
      </c>
      <c r="C86" t="s">
        <v>1130</v>
      </c>
      <c r="D86" t="s">
        <v>192</v>
      </c>
      <c r="E86" s="52">
        <v>0.2</v>
      </c>
    </row>
    <row r="87" spans="1:5" x14ac:dyDescent="0.25">
      <c r="A87" t="s">
        <v>1578</v>
      </c>
      <c r="B87" t="s">
        <v>1618</v>
      </c>
      <c r="C87" t="s">
        <v>461</v>
      </c>
      <c r="D87" t="s">
        <v>192</v>
      </c>
      <c r="E87" s="52">
        <v>0.22727272727272727</v>
      </c>
    </row>
    <row r="88" spans="1:5" x14ac:dyDescent="0.25">
      <c r="D88" t="s">
        <v>1130</v>
      </c>
      <c r="E88" s="52">
        <v>0.22727272727272727</v>
      </c>
    </row>
    <row r="89" spans="1:5" x14ac:dyDescent="0.25">
      <c r="D89" t="s">
        <v>197</v>
      </c>
      <c r="E89" s="52">
        <v>9.0909090909090912E-2</v>
      </c>
    </row>
    <row r="90" spans="1:5" x14ac:dyDescent="0.25">
      <c r="A90" t="s">
        <v>1569</v>
      </c>
      <c r="B90" t="s">
        <v>1619</v>
      </c>
      <c r="C90" t="s">
        <v>461</v>
      </c>
      <c r="D90" t="s">
        <v>1130</v>
      </c>
      <c r="E90" s="52">
        <v>0.3</v>
      </c>
    </row>
    <row r="91" spans="1:5" x14ac:dyDescent="0.25">
      <c r="D91" t="s">
        <v>197</v>
      </c>
      <c r="E91" s="52">
        <v>0.1</v>
      </c>
    </row>
    <row r="92" spans="1:5" x14ac:dyDescent="0.25">
      <c r="A92" t="s">
        <v>1706</v>
      </c>
      <c r="B92" t="s">
        <v>1707</v>
      </c>
      <c r="C92" t="s">
        <v>461</v>
      </c>
      <c r="D92" t="s">
        <v>192</v>
      </c>
      <c r="E92" s="52">
        <v>0.22727272727272727</v>
      </c>
    </row>
    <row r="93" spans="1:5" x14ac:dyDescent="0.25">
      <c r="D93" t="s">
        <v>1130</v>
      </c>
      <c r="E93" s="52">
        <v>0.22727272727272727</v>
      </c>
    </row>
    <row r="94" spans="1:5" x14ac:dyDescent="0.25">
      <c r="D94" t="s">
        <v>197</v>
      </c>
      <c r="E94" s="52">
        <v>9.0909090909090912E-2</v>
      </c>
    </row>
    <row r="95" spans="1:5" x14ac:dyDescent="0.25">
      <c r="A95" t="s">
        <v>1765</v>
      </c>
      <c r="B95" t="s">
        <v>1766</v>
      </c>
      <c r="C95" t="s">
        <v>461</v>
      </c>
      <c r="D95" t="s">
        <v>11</v>
      </c>
      <c r="E95" s="52">
        <v>0.26666666666666666</v>
      </c>
    </row>
    <row r="96" spans="1:5" x14ac:dyDescent="0.25">
      <c r="D96" t="s">
        <v>192</v>
      </c>
      <c r="E96" s="52">
        <v>0.2</v>
      </c>
    </row>
    <row r="97" spans="1:5" x14ac:dyDescent="0.25">
      <c r="D97" t="s">
        <v>1130</v>
      </c>
      <c r="E97" s="52">
        <v>0.2</v>
      </c>
    </row>
    <row r="98" spans="1:5" x14ac:dyDescent="0.25">
      <c r="A98" t="s">
        <v>1753</v>
      </c>
      <c r="B98" t="s">
        <v>1761</v>
      </c>
      <c r="C98" t="s">
        <v>461</v>
      </c>
      <c r="D98" t="s">
        <v>176</v>
      </c>
      <c r="E98" s="52">
        <v>0.35555555555555557</v>
      </c>
    </row>
    <row r="99" spans="1:5" x14ac:dyDescent="0.25">
      <c r="D99" t="s">
        <v>192</v>
      </c>
      <c r="E99" s="52">
        <v>0.13333333333333333</v>
      </c>
    </row>
    <row r="100" spans="1:5" x14ac:dyDescent="0.25">
      <c r="A100" t="s">
        <v>1752</v>
      </c>
      <c r="B100" t="s">
        <v>1760</v>
      </c>
      <c r="C100" t="s">
        <v>461</v>
      </c>
      <c r="D100" t="s">
        <v>176</v>
      </c>
      <c r="E100" s="52">
        <v>0.4</v>
      </c>
    </row>
    <row r="101" spans="1:5" x14ac:dyDescent="0.25">
      <c r="A101" t="s">
        <v>1865</v>
      </c>
      <c r="B101" t="s">
        <v>1427</v>
      </c>
      <c r="C101" t="s">
        <v>1130</v>
      </c>
      <c r="D101" t="s">
        <v>461</v>
      </c>
      <c r="E101" s="52">
        <v>0.13333333333333333</v>
      </c>
    </row>
    <row r="102" spans="1:5" x14ac:dyDescent="0.25">
      <c r="D102" t="s">
        <v>192</v>
      </c>
      <c r="E102" s="52">
        <v>0.3</v>
      </c>
    </row>
    <row r="103" spans="1:5" x14ac:dyDescent="0.25">
      <c r="A103" t="s">
        <v>1866</v>
      </c>
      <c r="B103" t="s">
        <v>1495</v>
      </c>
      <c r="C103" t="s">
        <v>1130</v>
      </c>
      <c r="D103" t="s">
        <v>192</v>
      </c>
      <c r="E103" s="52">
        <v>0.46666666666666667</v>
      </c>
    </row>
    <row r="104" spans="1:5" x14ac:dyDescent="0.25">
      <c r="A104" t="s">
        <v>1867</v>
      </c>
      <c r="B104" t="s">
        <v>1878</v>
      </c>
      <c r="C104" t="s">
        <v>1130</v>
      </c>
      <c r="D104" t="s">
        <v>192</v>
      </c>
      <c r="E104" s="52">
        <v>0.46666666666666667</v>
      </c>
    </row>
    <row r="105" spans="1:5" x14ac:dyDescent="0.25">
      <c r="A105" t="s">
        <v>1889</v>
      </c>
      <c r="B105" t="s">
        <v>1890</v>
      </c>
      <c r="C105" t="s">
        <v>461</v>
      </c>
      <c r="D105" t="s">
        <v>11</v>
      </c>
      <c r="E105" s="52">
        <v>0.16666666666666666</v>
      </c>
    </row>
    <row r="106" spans="1:5" x14ac:dyDescent="0.25">
      <c r="D106" t="s">
        <v>176</v>
      </c>
      <c r="E106" s="52">
        <v>0.41666666666666669</v>
      </c>
    </row>
    <row r="107" spans="1:5" x14ac:dyDescent="0.25">
      <c r="A107" t="s">
        <v>1887</v>
      </c>
      <c r="B107" t="s">
        <v>1220</v>
      </c>
      <c r="C107" t="s">
        <v>461</v>
      </c>
      <c r="D107" t="s">
        <v>176</v>
      </c>
      <c r="E107" s="52">
        <v>0.4</v>
      </c>
    </row>
    <row r="108" spans="1:5" x14ac:dyDescent="0.25">
      <c r="A108" t="s">
        <v>1888</v>
      </c>
      <c r="B108" t="s">
        <v>1221</v>
      </c>
      <c r="C108" t="s">
        <v>461</v>
      </c>
      <c r="D108" t="s">
        <v>176</v>
      </c>
      <c r="E108" s="52">
        <v>0.4</v>
      </c>
    </row>
    <row r="109" spans="1:5" x14ac:dyDescent="0.25">
      <c r="A109" t="s">
        <v>1891</v>
      </c>
      <c r="B109" t="s">
        <v>1294</v>
      </c>
      <c r="C109" t="s">
        <v>461</v>
      </c>
      <c r="D109" t="s">
        <v>11</v>
      </c>
      <c r="E109" s="52">
        <v>0.33333333333333331</v>
      </c>
    </row>
    <row r="110" spans="1:5" x14ac:dyDescent="0.25">
      <c r="D110" t="s">
        <v>176</v>
      </c>
      <c r="E110" s="52">
        <v>0.33333333333333331</v>
      </c>
    </row>
    <row r="111" spans="1:5" x14ac:dyDescent="0.25">
      <c r="A111" t="s">
        <v>2146</v>
      </c>
      <c r="B111" t="s">
        <v>2147</v>
      </c>
      <c r="C111" t="s">
        <v>461</v>
      </c>
      <c r="D111" t="s">
        <v>176</v>
      </c>
      <c r="E111" s="52">
        <v>0.46666666666666667</v>
      </c>
    </row>
    <row r="112" spans="1:5" x14ac:dyDescent="0.25">
      <c r="A112" t="s">
        <v>600</v>
      </c>
      <c r="B112" t="s">
        <v>726</v>
      </c>
      <c r="C112" t="s">
        <v>192</v>
      </c>
      <c r="D112" t="s">
        <v>1130</v>
      </c>
      <c r="E112" s="52">
        <v>0.4</v>
      </c>
    </row>
    <row r="113" spans="1:5" x14ac:dyDescent="0.25">
      <c r="A113" t="s">
        <v>1274</v>
      </c>
      <c r="B113" t="s">
        <v>1283</v>
      </c>
      <c r="C113" t="s">
        <v>176</v>
      </c>
      <c r="D113" t="s">
        <v>173</v>
      </c>
      <c r="E113" s="52">
        <v>0.5</v>
      </c>
    </row>
    <row r="114" spans="1:5" x14ac:dyDescent="0.25">
      <c r="A114" t="s">
        <v>512</v>
      </c>
      <c r="B114" t="s">
        <v>558</v>
      </c>
      <c r="C114" t="s">
        <v>198</v>
      </c>
      <c r="D114" t="s">
        <v>199</v>
      </c>
      <c r="E114" s="52">
        <v>0.16</v>
      </c>
    </row>
    <row r="115" spans="1:5" x14ac:dyDescent="0.25">
      <c r="D115" t="s">
        <v>196</v>
      </c>
      <c r="E115" s="52">
        <v>0.24000000000000002</v>
      </c>
    </row>
    <row r="116" spans="1:5" x14ac:dyDescent="0.25">
      <c r="D116" t="s">
        <v>192</v>
      </c>
      <c r="E116" s="52">
        <v>0.2</v>
      </c>
    </row>
    <row r="117" spans="1:5" x14ac:dyDescent="0.25">
      <c r="A117" t="s">
        <v>513</v>
      </c>
      <c r="B117" t="s">
        <v>559</v>
      </c>
      <c r="C117" t="s">
        <v>198</v>
      </c>
      <c r="D117" t="s">
        <v>192</v>
      </c>
      <c r="E117" s="52">
        <v>0.2</v>
      </c>
    </row>
    <row r="118" spans="1:5" x14ac:dyDescent="0.25">
      <c r="D118" t="s">
        <v>195</v>
      </c>
      <c r="E118" s="52">
        <v>0.4</v>
      </c>
    </row>
    <row r="119" spans="1:5" x14ac:dyDescent="0.25">
      <c r="A119" t="s">
        <v>603</v>
      </c>
      <c r="B119" t="s">
        <v>618</v>
      </c>
      <c r="C119" t="s">
        <v>198</v>
      </c>
      <c r="D119" t="s">
        <v>199</v>
      </c>
      <c r="E119" s="52">
        <v>0.18000000000000002</v>
      </c>
    </row>
    <row r="120" spans="1:5" x14ac:dyDescent="0.25">
      <c r="D120" t="s">
        <v>196</v>
      </c>
      <c r="E120" s="52">
        <v>0.26999999999999996</v>
      </c>
    </row>
    <row r="121" spans="1:5" x14ac:dyDescent="0.25">
      <c r="D121" t="s">
        <v>192</v>
      </c>
      <c r="E121" s="52">
        <v>0.05</v>
      </c>
    </row>
    <row r="122" spans="1:5" x14ac:dyDescent="0.25">
      <c r="A122" t="s">
        <v>1052</v>
      </c>
      <c r="B122" t="s">
        <v>1219</v>
      </c>
      <c r="C122" t="s">
        <v>198</v>
      </c>
      <c r="D122" t="s">
        <v>197</v>
      </c>
      <c r="E122" s="52">
        <v>0.5</v>
      </c>
    </row>
    <row r="123" spans="1:5" x14ac:dyDescent="0.25">
      <c r="A123" t="s">
        <v>1944</v>
      </c>
      <c r="B123" t="s">
        <v>1945</v>
      </c>
      <c r="C123" t="s">
        <v>192</v>
      </c>
      <c r="D123" t="s">
        <v>194</v>
      </c>
      <c r="E123" s="52">
        <v>0.2</v>
      </c>
    </row>
    <row r="124" spans="1:5" x14ac:dyDescent="0.25">
      <c r="D124" t="s">
        <v>176</v>
      </c>
      <c r="E124" s="52">
        <v>0.2</v>
      </c>
    </row>
    <row r="125" spans="1:5" x14ac:dyDescent="0.25">
      <c r="A125" t="s">
        <v>1947</v>
      </c>
      <c r="B125" t="s">
        <v>1948</v>
      </c>
      <c r="C125" t="s">
        <v>192</v>
      </c>
      <c r="D125" t="s">
        <v>194</v>
      </c>
      <c r="E125" s="52">
        <v>0.26666666666666666</v>
      </c>
    </row>
    <row r="126" spans="1:5" x14ac:dyDescent="0.25">
      <c r="D126" t="s">
        <v>1130</v>
      </c>
      <c r="E126" s="52">
        <v>0.26666666666666666</v>
      </c>
    </row>
    <row r="127" spans="1:5" x14ac:dyDescent="0.25">
      <c r="A127" t="s">
        <v>1946</v>
      </c>
      <c r="B127" t="s">
        <v>1949</v>
      </c>
      <c r="C127" t="s">
        <v>1130</v>
      </c>
      <c r="D127" t="s">
        <v>192</v>
      </c>
      <c r="E127" s="52">
        <v>0.33333333333333331</v>
      </c>
    </row>
    <row r="128" spans="1:5" x14ac:dyDescent="0.25">
      <c r="A128" t="s">
        <v>2100</v>
      </c>
      <c r="B128" t="s">
        <v>442</v>
      </c>
      <c r="C128" t="s">
        <v>192</v>
      </c>
      <c r="D128" t="s">
        <v>194</v>
      </c>
      <c r="E128" s="52">
        <v>0.5</v>
      </c>
    </row>
    <row r="129" spans="1:5" x14ac:dyDescent="0.25">
      <c r="A129" t="s">
        <v>516</v>
      </c>
      <c r="B129" t="s">
        <v>535</v>
      </c>
      <c r="C129" t="s">
        <v>176</v>
      </c>
      <c r="D129" t="s">
        <v>173</v>
      </c>
      <c r="E129" s="52">
        <v>0.5</v>
      </c>
    </row>
    <row r="130" spans="1:5" x14ac:dyDescent="0.25">
      <c r="A130" t="s">
        <v>521</v>
      </c>
      <c r="B130" t="s">
        <v>536</v>
      </c>
      <c r="C130" t="s">
        <v>176</v>
      </c>
      <c r="D130" t="s">
        <v>173</v>
      </c>
      <c r="E130" s="52">
        <v>0.5</v>
      </c>
    </row>
    <row r="131" spans="1:5" x14ac:dyDescent="0.25">
      <c r="A131" t="s">
        <v>606</v>
      </c>
      <c r="B131" t="s">
        <v>624</v>
      </c>
      <c r="C131" t="s">
        <v>176</v>
      </c>
      <c r="D131" t="s">
        <v>173</v>
      </c>
      <c r="E131" s="52">
        <v>0.5</v>
      </c>
    </row>
    <row r="132" spans="1:5" x14ac:dyDescent="0.25">
      <c r="A132" t="s">
        <v>944</v>
      </c>
      <c r="B132" t="s">
        <v>753</v>
      </c>
      <c r="C132" t="s">
        <v>1130</v>
      </c>
      <c r="D132" t="s">
        <v>192</v>
      </c>
      <c r="E132" s="52">
        <v>0.3</v>
      </c>
    </row>
    <row r="133" spans="1:5" x14ac:dyDescent="0.25">
      <c r="D133" t="s">
        <v>198</v>
      </c>
      <c r="E133" s="52">
        <v>0.7</v>
      </c>
    </row>
    <row r="134" spans="1:5" x14ac:dyDescent="0.25">
      <c r="A134" t="s">
        <v>1620</v>
      </c>
      <c r="B134" t="s">
        <v>1196</v>
      </c>
      <c r="C134" t="s">
        <v>1130</v>
      </c>
      <c r="D134" t="s">
        <v>192</v>
      </c>
      <c r="E134" s="52">
        <v>0.6</v>
      </c>
    </row>
    <row r="135" spans="1:5" x14ac:dyDescent="0.25">
      <c r="A135" t="s">
        <v>374</v>
      </c>
      <c r="B135" t="s">
        <v>374</v>
      </c>
      <c r="C135" t="s">
        <v>374</v>
      </c>
      <c r="D135" t="s">
        <v>374</v>
      </c>
      <c r="E135" s="52" t="s">
        <v>374</v>
      </c>
    </row>
    <row r="136" spans="1:5" x14ac:dyDescent="0.25">
      <c r="A136" t="s">
        <v>781</v>
      </c>
    </row>
  </sheetData>
  <pageMargins left="0.70866141732283472" right="0.70866141732283472" top="0.74803149606299213" bottom="0.74803149606299213" header="0.31496062992125984" footer="0.31496062992125984"/>
  <pageSetup paperSize="9" scale="67" fitToHeight="2" orientation="landscape" r:id="rId2"/>
  <headerFooter>
    <oddFooter>&amp;L&amp;F&amp;R&amp;P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E133"/>
  <sheetViews>
    <sheetView zoomScaleNormal="100" workbookViewId="0">
      <selection activeCell="B17" sqref="B17"/>
    </sheetView>
  </sheetViews>
  <sheetFormatPr defaultRowHeight="15" x14ac:dyDescent="0.25"/>
  <cols>
    <col min="1" max="1" width="73.140625" customWidth="1"/>
    <col min="2" max="2" width="15.5703125" customWidth="1"/>
    <col min="3" max="3" width="29.42578125" customWidth="1"/>
    <col min="4" max="4" width="34.85546875" customWidth="1"/>
    <col min="5" max="5" width="10.85546875" bestFit="1" customWidth="1"/>
  </cols>
  <sheetData>
    <row r="3" spans="1:5" x14ac:dyDescent="0.25">
      <c r="A3" s="63" t="s">
        <v>158</v>
      </c>
      <c r="B3" s="63" t="s">
        <v>59</v>
      </c>
      <c r="C3" s="63" t="s">
        <v>2</v>
      </c>
      <c r="D3" s="63" t="s">
        <v>326</v>
      </c>
      <c r="E3" s="63" t="s">
        <v>10</v>
      </c>
    </row>
    <row r="4" spans="1:5" x14ac:dyDescent="0.25">
      <c r="A4" t="s">
        <v>620</v>
      </c>
      <c r="B4" t="s">
        <v>827</v>
      </c>
      <c r="C4" t="s">
        <v>176</v>
      </c>
      <c r="D4" t="s">
        <v>461</v>
      </c>
      <c r="E4" s="236">
        <v>0.33333333333333331</v>
      </c>
    </row>
    <row r="5" spans="1:5" x14ac:dyDescent="0.25">
      <c r="A5" t="s">
        <v>621</v>
      </c>
      <c r="B5" t="s">
        <v>828</v>
      </c>
      <c r="C5" t="s">
        <v>176</v>
      </c>
      <c r="D5" t="s">
        <v>461</v>
      </c>
      <c r="E5" s="236">
        <v>0.33333333333333331</v>
      </c>
    </row>
    <row r="6" spans="1:5" x14ac:dyDescent="0.25">
      <c r="A6" t="s">
        <v>1294</v>
      </c>
      <c r="B6" t="s">
        <v>1891</v>
      </c>
      <c r="C6" t="s">
        <v>461</v>
      </c>
      <c r="D6" t="s">
        <v>11</v>
      </c>
      <c r="E6" s="236">
        <v>0.33333333333333331</v>
      </c>
    </row>
    <row r="7" spans="1:5" x14ac:dyDescent="0.25">
      <c r="D7" t="s">
        <v>176</v>
      </c>
      <c r="E7" s="236">
        <v>0.33333333333333331</v>
      </c>
    </row>
    <row r="8" spans="1:5" x14ac:dyDescent="0.25">
      <c r="A8" t="s">
        <v>1429</v>
      </c>
      <c r="B8" t="s">
        <v>1572</v>
      </c>
      <c r="C8" t="s">
        <v>1130</v>
      </c>
      <c r="D8" t="s">
        <v>192</v>
      </c>
      <c r="E8" s="236">
        <v>0.2</v>
      </c>
    </row>
    <row r="9" spans="1:5" x14ac:dyDescent="0.25">
      <c r="A9" t="s">
        <v>1423</v>
      </c>
      <c r="B9" t="s">
        <v>1443</v>
      </c>
      <c r="C9" t="s">
        <v>1130</v>
      </c>
      <c r="D9" t="s">
        <v>192</v>
      </c>
      <c r="E9" s="236">
        <v>0.2</v>
      </c>
    </row>
    <row r="10" spans="1:5" x14ac:dyDescent="0.25">
      <c r="A10" t="s">
        <v>1553</v>
      </c>
      <c r="B10" t="s">
        <v>1538</v>
      </c>
      <c r="C10" t="s">
        <v>461</v>
      </c>
      <c r="D10" t="s">
        <v>192</v>
      </c>
      <c r="E10" s="236">
        <v>0.26666666666666666</v>
      </c>
    </row>
    <row r="11" spans="1:5" x14ac:dyDescent="0.25">
      <c r="D11" t="s">
        <v>1130</v>
      </c>
      <c r="E11" s="236">
        <v>0.26666666666666666</v>
      </c>
    </row>
    <row r="12" spans="1:5" x14ac:dyDescent="0.25">
      <c r="A12" t="s">
        <v>1493</v>
      </c>
      <c r="B12" t="s">
        <v>594</v>
      </c>
      <c r="C12" t="s">
        <v>1130</v>
      </c>
      <c r="D12" t="s">
        <v>192</v>
      </c>
      <c r="E12" s="236">
        <v>0.5</v>
      </c>
    </row>
    <row r="13" spans="1:5" x14ac:dyDescent="0.25">
      <c r="A13" t="s">
        <v>826</v>
      </c>
      <c r="B13" t="s">
        <v>824</v>
      </c>
      <c r="C13" t="s">
        <v>461</v>
      </c>
      <c r="D13" t="s">
        <v>192</v>
      </c>
      <c r="E13" s="236">
        <v>0.17857142857142858</v>
      </c>
    </row>
    <row r="14" spans="1:5" x14ac:dyDescent="0.25">
      <c r="D14" t="s">
        <v>1130</v>
      </c>
      <c r="E14" s="236">
        <v>0.17857142857142858</v>
      </c>
    </row>
    <row r="15" spans="1:5" x14ac:dyDescent="0.25">
      <c r="A15" t="s">
        <v>615</v>
      </c>
      <c r="B15" t="s">
        <v>598</v>
      </c>
      <c r="C15" t="s">
        <v>1130</v>
      </c>
      <c r="D15" t="s">
        <v>192</v>
      </c>
      <c r="E15" s="236">
        <v>0.33333333333333331</v>
      </c>
    </row>
    <row r="16" spans="1:5" x14ac:dyDescent="0.25">
      <c r="A16" t="s">
        <v>1619</v>
      </c>
      <c r="B16" t="s">
        <v>1569</v>
      </c>
      <c r="C16" t="s">
        <v>461</v>
      </c>
      <c r="D16" t="s">
        <v>1130</v>
      </c>
      <c r="E16" s="236">
        <v>0.3</v>
      </c>
    </row>
    <row r="17" spans="1:5" x14ac:dyDescent="0.25">
      <c r="D17" t="s">
        <v>197</v>
      </c>
      <c r="E17" s="236">
        <v>0.1</v>
      </c>
    </row>
    <row r="18" spans="1:5" x14ac:dyDescent="0.25">
      <c r="A18" t="s">
        <v>1707</v>
      </c>
      <c r="B18" t="s">
        <v>1706</v>
      </c>
      <c r="C18" t="s">
        <v>461</v>
      </c>
      <c r="D18" t="s">
        <v>192</v>
      </c>
      <c r="E18" s="236">
        <v>0.22727272727272727</v>
      </c>
    </row>
    <row r="19" spans="1:5" x14ac:dyDescent="0.25">
      <c r="D19" t="s">
        <v>1130</v>
      </c>
      <c r="E19" s="236">
        <v>0.22727272727272727</v>
      </c>
    </row>
    <row r="20" spans="1:5" x14ac:dyDescent="0.25">
      <c r="D20" t="s">
        <v>197</v>
      </c>
      <c r="E20" s="236">
        <v>9.0909090909090912E-2</v>
      </c>
    </row>
    <row r="21" spans="1:5" x14ac:dyDescent="0.25">
      <c r="A21" t="s">
        <v>1618</v>
      </c>
      <c r="B21" t="s">
        <v>1578</v>
      </c>
      <c r="C21" t="s">
        <v>461</v>
      </c>
      <c r="D21" t="s">
        <v>192</v>
      </c>
      <c r="E21" s="236">
        <v>0.22727272727272727</v>
      </c>
    </row>
    <row r="22" spans="1:5" x14ac:dyDescent="0.25">
      <c r="D22" t="s">
        <v>1130</v>
      </c>
      <c r="E22" s="236">
        <v>0.22727272727272727</v>
      </c>
    </row>
    <row r="23" spans="1:5" x14ac:dyDescent="0.25">
      <c r="D23" t="s">
        <v>197</v>
      </c>
      <c r="E23" s="236">
        <v>9.0909090909090912E-2</v>
      </c>
    </row>
    <row r="24" spans="1:5" x14ac:dyDescent="0.25">
      <c r="A24" t="s">
        <v>1196</v>
      </c>
      <c r="B24" t="s">
        <v>1620</v>
      </c>
      <c r="C24" t="s">
        <v>1130</v>
      </c>
      <c r="D24" t="s">
        <v>192</v>
      </c>
      <c r="E24" s="236">
        <v>0.6</v>
      </c>
    </row>
    <row r="25" spans="1:5" x14ac:dyDescent="0.25">
      <c r="A25" t="s">
        <v>473</v>
      </c>
      <c r="B25" t="s">
        <v>470</v>
      </c>
      <c r="C25" t="s">
        <v>172</v>
      </c>
    </row>
    <row r="26" spans="1:5" x14ac:dyDescent="0.25">
      <c r="A26" t="s">
        <v>1625</v>
      </c>
      <c r="B26" t="s">
        <v>1624</v>
      </c>
      <c r="C26" t="s">
        <v>1130</v>
      </c>
      <c r="D26" t="s">
        <v>192</v>
      </c>
      <c r="E26" s="236">
        <v>0.26666666666666666</v>
      </c>
    </row>
    <row r="27" spans="1:5" x14ac:dyDescent="0.25">
      <c r="A27" t="s">
        <v>1627</v>
      </c>
      <c r="B27" t="s">
        <v>1626</v>
      </c>
      <c r="C27" t="s">
        <v>192</v>
      </c>
      <c r="D27" t="s">
        <v>1130</v>
      </c>
      <c r="E27" s="236">
        <v>0.26666666666666666</v>
      </c>
    </row>
    <row r="28" spans="1:5" x14ac:dyDescent="0.25">
      <c r="A28" t="s">
        <v>1139</v>
      </c>
      <c r="B28" t="s">
        <v>1154</v>
      </c>
      <c r="C28" t="s">
        <v>172</v>
      </c>
    </row>
    <row r="29" spans="1:5" x14ac:dyDescent="0.25">
      <c r="A29" t="s">
        <v>1283</v>
      </c>
      <c r="B29" t="s">
        <v>1274</v>
      </c>
      <c r="C29" t="s">
        <v>176</v>
      </c>
      <c r="D29" t="s">
        <v>173</v>
      </c>
      <c r="E29" s="236">
        <v>0.5</v>
      </c>
    </row>
    <row r="30" spans="1:5" x14ac:dyDescent="0.25">
      <c r="A30" t="s">
        <v>1227</v>
      </c>
      <c r="B30" t="s">
        <v>1150</v>
      </c>
      <c r="C30" t="s">
        <v>1130</v>
      </c>
      <c r="D30" t="s">
        <v>197</v>
      </c>
      <c r="E30" s="236">
        <v>0.25</v>
      </c>
    </row>
    <row r="31" spans="1:5" x14ac:dyDescent="0.25">
      <c r="A31" t="s">
        <v>1178</v>
      </c>
      <c r="B31" t="s">
        <v>949</v>
      </c>
      <c r="C31" t="s">
        <v>2169</v>
      </c>
      <c r="D31" t="s">
        <v>164</v>
      </c>
      <c r="E31" s="236">
        <v>0.5</v>
      </c>
    </row>
    <row r="32" spans="1:5" x14ac:dyDescent="0.25">
      <c r="A32" t="s">
        <v>1890</v>
      </c>
      <c r="B32" t="s">
        <v>1889</v>
      </c>
      <c r="C32" t="s">
        <v>461</v>
      </c>
      <c r="D32" t="s">
        <v>11</v>
      </c>
      <c r="E32" s="236">
        <v>0.16666666666666666</v>
      </c>
    </row>
    <row r="33" spans="1:5" x14ac:dyDescent="0.25">
      <c r="D33" t="s">
        <v>176</v>
      </c>
      <c r="E33" s="236">
        <v>0.41666666666666669</v>
      </c>
    </row>
    <row r="34" spans="1:5" x14ac:dyDescent="0.25">
      <c r="A34" t="s">
        <v>555</v>
      </c>
      <c r="B34" t="s">
        <v>506</v>
      </c>
      <c r="C34" t="s">
        <v>1130</v>
      </c>
      <c r="D34" t="s">
        <v>11</v>
      </c>
      <c r="E34" s="236">
        <v>0.4</v>
      </c>
    </row>
    <row r="35" spans="1:5" x14ac:dyDescent="0.25">
      <c r="A35" t="s">
        <v>2129</v>
      </c>
      <c r="B35" t="s">
        <v>2112</v>
      </c>
      <c r="C35" t="s">
        <v>172</v>
      </c>
    </row>
    <row r="36" spans="1:5" x14ac:dyDescent="0.25">
      <c r="A36" t="s">
        <v>787</v>
      </c>
      <c r="B36" t="s">
        <v>784</v>
      </c>
      <c r="C36" t="s">
        <v>172</v>
      </c>
    </row>
    <row r="37" spans="1:5" x14ac:dyDescent="0.25">
      <c r="A37" t="s">
        <v>1607</v>
      </c>
      <c r="B37" t="s">
        <v>1586</v>
      </c>
      <c r="C37" t="s">
        <v>192</v>
      </c>
      <c r="D37" t="s">
        <v>242</v>
      </c>
      <c r="E37" s="236">
        <v>0.25</v>
      </c>
    </row>
    <row r="38" spans="1:5" x14ac:dyDescent="0.25">
      <c r="D38" t="s">
        <v>205</v>
      </c>
      <c r="E38" s="236">
        <v>0.15</v>
      </c>
    </row>
    <row r="39" spans="1:5" x14ac:dyDescent="0.25">
      <c r="A39" t="s">
        <v>1832</v>
      </c>
      <c r="B39" t="s">
        <v>1822</v>
      </c>
      <c r="C39" t="s">
        <v>192</v>
      </c>
      <c r="D39" t="s">
        <v>822</v>
      </c>
      <c r="E39" s="236">
        <v>0.16666666666666666</v>
      </c>
    </row>
    <row r="40" spans="1:5" x14ac:dyDescent="0.25">
      <c r="A40" t="s">
        <v>678</v>
      </c>
      <c r="B40" t="s">
        <v>586</v>
      </c>
      <c r="C40" t="s">
        <v>192</v>
      </c>
      <c r="D40" t="s">
        <v>242</v>
      </c>
      <c r="E40" s="236">
        <v>0.25</v>
      </c>
    </row>
    <row r="41" spans="1:5" x14ac:dyDescent="0.25">
      <c r="A41" t="s">
        <v>611</v>
      </c>
      <c r="B41" t="s">
        <v>584</v>
      </c>
      <c r="C41" t="s">
        <v>192</v>
      </c>
      <c r="D41" t="s">
        <v>822</v>
      </c>
      <c r="E41" s="236">
        <v>0.16666666666666666</v>
      </c>
    </row>
    <row r="42" spans="1:5" x14ac:dyDescent="0.25">
      <c r="A42" t="s">
        <v>1945</v>
      </c>
      <c r="B42" t="s">
        <v>1944</v>
      </c>
      <c r="C42" t="s">
        <v>192</v>
      </c>
      <c r="D42" t="s">
        <v>194</v>
      </c>
      <c r="E42" s="236">
        <v>0.2</v>
      </c>
    </row>
    <row r="43" spans="1:5" x14ac:dyDescent="0.25">
      <c r="D43" t="s">
        <v>176</v>
      </c>
      <c r="E43" s="236">
        <v>0.2</v>
      </c>
    </row>
    <row r="44" spans="1:5" x14ac:dyDescent="0.25">
      <c r="A44" t="s">
        <v>1814</v>
      </c>
      <c r="B44" t="s">
        <v>1859</v>
      </c>
      <c r="C44" t="s">
        <v>2169</v>
      </c>
      <c r="D44" t="s">
        <v>164</v>
      </c>
      <c r="E44" s="236">
        <v>0.5</v>
      </c>
    </row>
    <row r="45" spans="1:5" x14ac:dyDescent="0.25">
      <c r="A45" t="s">
        <v>1818</v>
      </c>
      <c r="B45" t="s">
        <v>1956</v>
      </c>
      <c r="C45" t="s">
        <v>2169</v>
      </c>
      <c r="D45" t="s">
        <v>164</v>
      </c>
      <c r="E45" s="236">
        <v>0.5</v>
      </c>
    </row>
    <row r="46" spans="1:5" x14ac:dyDescent="0.25">
      <c r="A46" t="s">
        <v>1682</v>
      </c>
      <c r="B46" t="s">
        <v>1681</v>
      </c>
      <c r="C46" t="s">
        <v>176</v>
      </c>
      <c r="D46" t="s">
        <v>1130</v>
      </c>
      <c r="E46" s="236">
        <v>0.33333333333333331</v>
      </c>
    </row>
    <row r="47" spans="1:5" x14ac:dyDescent="0.25">
      <c r="A47" t="s">
        <v>1209</v>
      </c>
      <c r="B47" t="s">
        <v>998</v>
      </c>
      <c r="C47" t="s">
        <v>461</v>
      </c>
      <c r="D47" t="s">
        <v>11</v>
      </c>
      <c r="E47" s="236">
        <v>0.26666666666666666</v>
      </c>
    </row>
    <row r="48" spans="1:5" x14ac:dyDescent="0.25">
      <c r="D48" t="s">
        <v>192</v>
      </c>
      <c r="E48" s="236">
        <v>0.2</v>
      </c>
    </row>
    <row r="49" spans="1:5" x14ac:dyDescent="0.25">
      <c r="D49" t="s">
        <v>1130</v>
      </c>
      <c r="E49" s="236">
        <v>0.2</v>
      </c>
    </row>
    <row r="50" spans="1:5" x14ac:dyDescent="0.25">
      <c r="A50" t="s">
        <v>1766</v>
      </c>
      <c r="B50" t="s">
        <v>1765</v>
      </c>
      <c r="C50" t="s">
        <v>461</v>
      </c>
      <c r="D50" t="s">
        <v>11</v>
      </c>
      <c r="E50" s="236">
        <v>0.26666666666666666</v>
      </c>
    </row>
    <row r="51" spans="1:5" x14ac:dyDescent="0.25">
      <c r="D51" t="s">
        <v>192</v>
      </c>
      <c r="E51" s="236">
        <v>0.2</v>
      </c>
    </row>
    <row r="52" spans="1:5" x14ac:dyDescent="0.25">
      <c r="D52" t="s">
        <v>1130</v>
      </c>
      <c r="E52" s="236">
        <v>0.2</v>
      </c>
    </row>
    <row r="53" spans="1:5" x14ac:dyDescent="0.25">
      <c r="A53" t="s">
        <v>1492</v>
      </c>
      <c r="B53" t="s">
        <v>593</v>
      </c>
      <c r="C53" t="s">
        <v>1130</v>
      </c>
      <c r="D53" t="s">
        <v>192</v>
      </c>
      <c r="E53" s="236">
        <v>0.4</v>
      </c>
    </row>
    <row r="54" spans="1:5" x14ac:dyDescent="0.25">
      <c r="A54" t="s">
        <v>1202</v>
      </c>
      <c r="B54" t="s">
        <v>835</v>
      </c>
      <c r="C54" t="s">
        <v>192</v>
      </c>
      <c r="D54" t="s">
        <v>1130</v>
      </c>
      <c r="E54" s="236">
        <v>0.4</v>
      </c>
    </row>
    <row r="55" spans="1:5" x14ac:dyDescent="0.25">
      <c r="A55" t="s">
        <v>474</v>
      </c>
      <c r="B55" t="s">
        <v>471</v>
      </c>
      <c r="C55" t="s">
        <v>172</v>
      </c>
    </row>
    <row r="56" spans="1:5" x14ac:dyDescent="0.25">
      <c r="A56" t="s">
        <v>1138</v>
      </c>
      <c r="B56" t="s">
        <v>1152</v>
      </c>
      <c r="C56" t="s">
        <v>172</v>
      </c>
    </row>
    <row r="57" spans="1:5" x14ac:dyDescent="0.25">
      <c r="A57" t="s">
        <v>1291</v>
      </c>
      <c r="B57" t="s">
        <v>1285</v>
      </c>
      <c r="C57" t="s">
        <v>192</v>
      </c>
      <c r="D57" t="s">
        <v>194</v>
      </c>
      <c r="E57" s="236">
        <v>0.4</v>
      </c>
    </row>
    <row r="58" spans="1:5" x14ac:dyDescent="0.25">
      <c r="A58" t="s">
        <v>553</v>
      </c>
      <c r="B58" t="s">
        <v>502</v>
      </c>
      <c r="C58" t="s">
        <v>1130</v>
      </c>
      <c r="D58" t="s">
        <v>11</v>
      </c>
      <c r="E58" s="236">
        <v>7.4999999999999997E-2</v>
      </c>
    </row>
    <row r="59" spans="1:5" x14ac:dyDescent="0.25">
      <c r="D59" t="s">
        <v>176</v>
      </c>
      <c r="E59" s="236">
        <v>0.2</v>
      </c>
    </row>
    <row r="60" spans="1:5" x14ac:dyDescent="0.25">
      <c r="D60" t="s">
        <v>461</v>
      </c>
      <c r="E60" s="236">
        <v>9.166666666666666E-2</v>
      </c>
    </row>
    <row r="61" spans="1:5" x14ac:dyDescent="0.25">
      <c r="D61" t="s">
        <v>192</v>
      </c>
      <c r="E61" s="236">
        <v>7.4999999999999997E-2</v>
      </c>
    </row>
    <row r="62" spans="1:5" x14ac:dyDescent="0.25">
      <c r="A62" t="s">
        <v>614</v>
      </c>
      <c r="B62" t="s">
        <v>597</v>
      </c>
      <c r="C62" t="s">
        <v>1130</v>
      </c>
      <c r="D62" t="s">
        <v>461</v>
      </c>
      <c r="E62" s="236">
        <v>0.46666666666666667</v>
      </c>
    </row>
    <row r="63" spans="1:5" x14ac:dyDescent="0.25">
      <c r="D63" t="s">
        <v>192</v>
      </c>
      <c r="E63" s="236">
        <v>0.15</v>
      </c>
    </row>
    <row r="64" spans="1:5" x14ac:dyDescent="0.25">
      <c r="A64" t="s">
        <v>895</v>
      </c>
      <c r="B64" t="s">
        <v>878</v>
      </c>
      <c r="C64" t="s">
        <v>1130</v>
      </c>
      <c r="D64" t="s">
        <v>11</v>
      </c>
      <c r="E64" s="236">
        <v>0.8</v>
      </c>
    </row>
    <row r="65" spans="1:5" x14ac:dyDescent="0.25">
      <c r="D65" t="s">
        <v>192</v>
      </c>
      <c r="E65" s="236">
        <v>0.1</v>
      </c>
    </row>
    <row r="66" spans="1:5" x14ac:dyDescent="0.25">
      <c r="A66" t="s">
        <v>1207</v>
      </c>
      <c r="B66" t="s">
        <v>984</v>
      </c>
      <c r="C66" t="s">
        <v>461</v>
      </c>
      <c r="D66" t="s">
        <v>176</v>
      </c>
      <c r="E66" s="236">
        <v>0.48888888888888887</v>
      </c>
    </row>
    <row r="67" spans="1:5" x14ac:dyDescent="0.25">
      <c r="A67" t="s">
        <v>1761</v>
      </c>
      <c r="B67" t="s">
        <v>1753</v>
      </c>
      <c r="C67" t="s">
        <v>461</v>
      </c>
      <c r="D67" t="s">
        <v>176</v>
      </c>
      <c r="E67" s="236">
        <v>0.35555555555555557</v>
      </c>
    </row>
    <row r="68" spans="1:5" x14ac:dyDescent="0.25">
      <c r="D68" t="s">
        <v>192</v>
      </c>
      <c r="E68" s="236">
        <v>0.13333333333333333</v>
      </c>
    </row>
    <row r="69" spans="1:5" x14ac:dyDescent="0.25">
      <c r="A69" t="s">
        <v>1760</v>
      </c>
      <c r="B69" t="s">
        <v>1752</v>
      </c>
      <c r="C69" t="s">
        <v>461</v>
      </c>
      <c r="D69" t="s">
        <v>176</v>
      </c>
      <c r="E69" s="236">
        <v>0.4</v>
      </c>
    </row>
    <row r="70" spans="1:5" x14ac:dyDescent="0.25">
      <c r="A70" t="s">
        <v>1206</v>
      </c>
      <c r="B70" t="s">
        <v>985</v>
      </c>
      <c r="C70" t="s">
        <v>461</v>
      </c>
      <c r="D70" t="s">
        <v>176</v>
      </c>
      <c r="E70" s="236">
        <v>0.35555555555555557</v>
      </c>
    </row>
    <row r="71" spans="1:5" x14ac:dyDescent="0.25">
      <c r="D71" t="s">
        <v>192</v>
      </c>
      <c r="E71" s="236">
        <v>0.13333333333333333</v>
      </c>
    </row>
    <row r="72" spans="1:5" x14ac:dyDescent="0.25">
      <c r="A72" t="s">
        <v>1464</v>
      </c>
      <c r="B72" t="s">
        <v>1463</v>
      </c>
      <c r="C72" t="s">
        <v>461</v>
      </c>
      <c r="D72" t="s">
        <v>166</v>
      </c>
      <c r="E72" s="236">
        <v>0.33333333333333331</v>
      </c>
    </row>
    <row r="73" spans="1:5" x14ac:dyDescent="0.25">
      <c r="A73" t="s">
        <v>1460</v>
      </c>
      <c r="B73" t="s">
        <v>1459</v>
      </c>
      <c r="C73" t="s">
        <v>461</v>
      </c>
      <c r="D73" t="s">
        <v>166</v>
      </c>
      <c r="E73" s="236">
        <v>0.33333333333333331</v>
      </c>
    </row>
    <row r="74" spans="1:5" x14ac:dyDescent="0.25">
      <c r="A74" t="s">
        <v>1466</v>
      </c>
      <c r="B74" t="s">
        <v>1465</v>
      </c>
      <c r="C74" t="s">
        <v>461</v>
      </c>
      <c r="D74" t="s">
        <v>166</v>
      </c>
      <c r="E74" s="236">
        <v>0.33333333333333331</v>
      </c>
    </row>
    <row r="75" spans="1:5" x14ac:dyDescent="0.25">
      <c r="A75" t="s">
        <v>1425</v>
      </c>
      <c r="B75" t="s">
        <v>1566</v>
      </c>
      <c r="C75" t="s">
        <v>461</v>
      </c>
      <c r="D75" t="s">
        <v>1130</v>
      </c>
      <c r="E75" s="236">
        <v>0.26666666666666666</v>
      </c>
    </row>
    <row r="76" spans="1:5" x14ac:dyDescent="0.25">
      <c r="A76" t="s">
        <v>1877</v>
      </c>
      <c r="B76" t="s">
        <v>1864</v>
      </c>
      <c r="C76" t="s">
        <v>461</v>
      </c>
      <c r="D76" t="s">
        <v>1130</v>
      </c>
      <c r="E76" s="236">
        <v>0.2</v>
      </c>
    </row>
    <row r="77" spans="1:5" x14ac:dyDescent="0.25">
      <c r="A77" t="s">
        <v>1948</v>
      </c>
      <c r="B77" t="s">
        <v>1947</v>
      </c>
      <c r="C77" t="s">
        <v>192</v>
      </c>
      <c r="D77" t="s">
        <v>194</v>
      </c>
      <c r="E77" s="236">
        <v>0.26666666666666666</v>
      </c>
    </row>
    <row r="78" spans="1:5" x14ac:dyDescent="0.25">
      <c r="D78" t="s">
        <v>1130</v>
      </c>
      <c r="E78" s="236">
        <v>0.26666666666666666</v>
      </c>
    </row>
    <row r="79" spans="1:5" x14ac:dyDescent="0.25">
      <c r="A79" t="s">
        <v>726</v>
      </c>
      <c r="B79" t="s">
        <v>600</v>
      </c>
      <c r="C79" t="s">
        <v>192</v>
      </c>
      <c r="D79" t="s">
        <v>1130</v>
      </c>
      <c r="E79" s="236">
        <v>0.4</v>
      </c>
    </row>
    <row r="80" spans="1:5" x14ac:dyDescent="0.25">
      <c r="A80" t="s">
        <v>1219</v>
      </c>
      <c r="B80" t="s">
        <v>1052</v>
      </c>
      <c r="C80" t="s">
        <v>198</v>
      </c>
      <c r="D80" t="s">
        <v>197</v>
      </c>
      <c r="E80" s="236">
        <v>0.5</v>
      </c>
    </row>
    <row r="81" spans="1:5" x14ac:dyDescent="0.25">
      <c r="A81" t="s">
        <v>1221</v>
      </c>
      <c r="B81" t="s">
        <v>1888</v>
      </c>
      <c r="C81" t="s">
        <v>461</v>
      </c>
      <c r="D81" t="s">
        <v>176</v>
      </c>
      <c r="E81" s="236">
        <v>0.4</v>
      </c>
    </row>
    <row r="82" spans="1:5" x14ac:dyDescent="0.25">
      <c r="A82" t="s">
        <v>1878</v>
      </c>
      <c r="B82" t="s">
        <v>1867</v>
      </c>
      <c r="C82" t="s">
        <v>1130</v>
      </c>
      <c r="D82" t="s">
        <v>192</v>
      </c>
      <c r="E82" s="236">
        <v>0.46666666666666667</v>
      </c>
    </row>
    <row r="83" spans="1:5" x14ac:dyDescent="0.25">
      <c r="A83" t="s">
        <v>1495</v>
      </c>
      <c r="B83" t="s">
        <v>881</v>
      </c>
      <c r="C83" t="s">
        <v>1130</v>
      </c>
      <c r="D83" t="s">
        <v>192</v>
      </c>
      <c r="E83" s="236">
        <v>0.46666666666666667</v>
      </c>
    </row>
    <row r="84" spans="1:5" x14ac:dyDescent="0.25">
      <c r="B84" t="s">
        <v>1866</v>
      </c>
      <c r="C84" t="s">
        <v>1130</v>
      </c>
      <c r="D84" t="s">
        <v>192</v>
      </c>
      <c r="E84" s="236">
        <v>0.46666666666666667</v>
      </c>
    </row>
    <row r="85" spans="1:5" x14ac:dyDescent="0.25">
      <c r="A85" t="s">
        <v>1258</v>
      </c>
      <c r="B85" t="s">
        <v>921</v>
      </c>
      <c r="C85" t="s">
        <v>1130</v>
      </c>
      <c r="D85" t="s">
        <v>192</v>
      </c>
      <c r="E85" s="236">
        <v>0.4</v>
      </c>
    </row>
    <row r="86" spans="1:5" x14ac:dyDescent="0.25">
      <c r="A86" t="s">
        <v>1220</v>
      </c>
      <c r="B86" t="s">
        <v>1887</v>
      </c>
      <c r="C86" t="s">
        <v>461</v>
      </c>
      <c r="D86" t="s">
        <v>176</v>
      </c>
      <c r="E86" s="236">
        <v>0.4</v>
      </c>
    </row>
    <row r="87" spans="1:5" x14ac:dyDescent="0.25">
      <c r="A87" t="s">
        <v>896</v>
      </c>
      <c r="B87" t="s">
        <v>882</v>
      </c>
      <c r="C87" t="s">
        <v>1130</v>
      </c>
      <c r="D87" t="s">
        <v>192</v>
      </c>
      <c r="E87" s="236">
        <v>0.46666666666666667</v>
      </c>
    </row>
    <row r="88" spans="1:5" x14ac:dyDescent="0.25">
      <c r="A88" t="s">
        <v>558</v>
      </c>
      <c r="B88" t="s">
        <v>512</v>
      </c>
      <c r="C88" t="s">
        <v>198</v>
      </c>
      <c r="D88" t="s">
        <v>199</v>
      </c>
      <c r="E88" s="236">
        <v>0.16</v>
      </c>
    </row>
    <row r="89" spans="1:5" x14ac:dyDescent="0.25">
      <c r="D89" t="s">
        <v>196</v>
      </c>
      <c r="E89" s="236">
        <v>0.24000000000000002</v>
      </c>
    </row>
    <row r="90" spans="1:5" x14ac:dyDescent="0.25">
      <c r="D90" t="s">
        <v>192</v>
      </c>
      <c r="E90" s="236">
        <v>0.2</v>
      </c>
    </row>
    <row r="91" spans="1:5" x14ac:dyDescent="0.25">
      <c r="A91" t="s">
        <v>559</v>
      </c>
      <c r="B91" t="s">
        <v>513</v>
      </c>
      <c r="C91" t="s">
        <v>198</v>
      </c>
      <c r="D91" t="s">
        <v>192</v>
      </c>
      <c r="E91" s="236">
        <v>0.2</v>
      </c>
    </row>
    <row r="92" spans="1:5" x14ac:dyDescent="0.25">
      <c r="D92" t="s">
        <v>195</v>
      </c>
      <c r="E92" s="236">
        <v>0.4</v>
      </c>
    </row>
    <row r="93" spans="1:5" x14ac:dyDescent="0.25">
      <c r="A93" t="s">
        <v>618</v>
      </c>
      <c r="B93" t="s">
        <v>603</v>
      </c>
      <c r="C93" t="s">
        <v>198</v>
      </c>
      <c r="D93" t="s">
        <v>199</v>
      </c>
      <c r="E93" s="236">
        <v>0.18000000000000002</v>
      </c>
    </row>
    <row r="94" spans="1:5" x14ac:dyDescent="0.25">
      <c r="D94" t="s">
        <v>196</v>
      </c>
      <c r="E94" s="236">
        <v>0.26999999999999996</v>
      </c>
    </row>
    <row r="95" spans="1:5" x14ac:dyDescent="0.25">
      <c r="D95" t="s">
        <v>192</v>
      </c>
      <c r="E95" s="236">
        <v>0.05</v>
      </c>
    </row>
    <row r="96" spans="1:5" x14ac:dyDescent="0.25">
      <c r="A96" t="s">
        <v>1427</v>
      </c>
      <c r="B96" t="s">
        <v>1865</v>
      </c>
      <c r="C96" t="s">
        <v>1130</v>
      </c>
      <c r="D96" t="s">
        <v>461</v>
      </c>
      <c r="E96" s="236">
        <v>0.13333333333333333</v>
      </c>
    </row>
    <row r="97" spans="1:5" x14ac:dyDescent="0.25">
      <c r="D97" t="s">
        <v>192</v>
      </c>
      <c r="E97" s="236">
        <v>0.3</v>
      </c>
    </row>
    <row r="98" spans="1:5" x14ac:dyDescent="0.25">
      <c r="A98" t="s">
        <v>1181</v>
      </c>
      <c r="B98" t="s">
        <v>873</v>
      </c>
      <c r="C98" t="s">
        <v>172</v>
      </c>
    </row>
    <row r="99" spans="1:5" x14ac:dyDescent="0.25">
      <c r="A99" t="s">
        <v>753</v>
      </c>
      <c r="B99" t="s">
        <v>944</v>
      </c>
      <c r="C99" t="s">
        <v>1130</v>
      </c>
      <c r="D99" t="s">
        <v>192</v>
      </c>
      <c r="E99" s="236">
        <v>0.3</v>
      </c>
    </row>
    <row r="100" spans="1:5" x14ac:dyDescent="0.25">
      <c r="D100" t="s">
        <v>198</v>
      </c>
      <c r="E100" s="236">
        <v>0.7</v>
      </c>
    </row>
    <row r="101" spans="1:5" x14ac:dyDescent="0.25">
      <c r="A101" t="s">
        <v>1606</v>
      </c>
      <c r="B101" t="s">
        <v>1568</v>
      </c>
      <c r="C101" t="s">
        <v>11</v>
      </c>
      <c r="D101" t="s">
        <v>192</v>
      </c>
      <c r="E101" s="236">
        <v>0.2</v>
      </c>
    </row>
    <row r="102" spans="1:5" x14ac:dyDescent="0.25">
      <c r="D102" t="s">
        <v>1130</v>
      </c>
      <c r="E102" s="236">
        <v>0.2</v>
      </c>
    </row>
    <row r="103" spans="1:5" x14ac:dyDescent="0.25">
      <c r="A103" t="s">
        <v>1949</v>
      </c>
      <c r="B103" t="s">
        <v>1946</v>
      </c>
      <c r="C103" t="s">
        <v>1130</v>
      </c>
      <c r="D103" t="s">
        <v>192</v>
      </c>
      <c r="E103" s="236">
        <v>0.33333333333333331</v>
      </c>
    </row>
    <row r="104" spans="1:5" x14ac:dyDescent="0.25">
      <c r="A104" t="s">
        <v>1678</v>
      </c>
      <c r="B104" t="s">
        <v>1657</v>
      </c>
      <c r="C104" t="s">
        <v>192</v>
      </c>
      <c r="D104" t="s">
        <v>194</v>
      </c>
      <c r="E104" s="236">
        <v>0.1</v>
      </c>
    </row>
    <row r="105" spans="1:5" x14ac:dyDescent="0.25">
      <c r="D105" t="s">
        <v>1130</v>
      </c>
      <c r="E105" s="236">
        <v>0.4</v>
      </c>
    </row>
    <row r="106" spans="1:5" x14ac:dyDescent="0.25">
      <c r="A106" t="s">
        <v>1614</v>
      </c>
      <c r="B106" t="s">
        <v>1567</v>
      </c>
      <c r="C106" t="s">
        <v>1130</v>
      </c>
      <c r="D106" t="s">
        <v>194</v>
      </c>
      <c r="E106" s="236">
        <v>8.3333333333333329E-2</v>
      </c>
    </row>
    <row r="107" spans="1:5" x14ac:dyDescent="0.25">
      <c r="D107" t="s">
        <v>192</v>
      </c>
      <c r="E107" s="236">
        <v>0.41666666666666669</v>
      </c>
    </row>
    <row r="108" spans="1:5" x14ac:dyDescent="0.25">
      <c r="A108" t="s">
        <v>1560</v>
      </c>
      <c r="B108" t="s">
        <v>1559</v>
      </c>
      <c r="C108" t="s">
        <v>192</v>
      </c>
      <c r="D108" t="s">
        <v>194</v>
      </c>
      <c r="E108" s="236">
        <v>0.1</v>
      </c>
    </row>
    <row r="109" spans="1:5" x14ac:dyDescent="0.25">
      <c r="D109" t="s">
        <v>1130</v>
      </c>
      <c r="E109" s="236">
        <v>0.4</v>
      </c>
    </row>
    <row r="110" spans="1:5" x14ac:dyDescent="0.25">
      <c r="A110" t="s">
        <v>1180</v>
      </c>
      <c r="B110" t="s">
        <v>780</v>
      </c>
      <c r="C110" t="s">
        <v>176</v>
      </c>
      <c r="D110" t="s">
        <v>461</v>
      </c>
      <c r="E110" s="236">
        <v>0.5</v>
      </c>
    </row>
    <row r="111" spans="1:5" x14ac:dyDescent="0.25">
      <c r="B111" t="s">
        <v>1972</v>
      </c>
      <c r="C111" t="s">
        <v>176</v>
      </c>
      <c r="D111" t="s">
        <v>461</v>
      </c>
      <c r="E111" s="236">
        <v>0.5</v>
      </c>
    </row>
    <row r="112" spans="1:5" x14ac:dyDescent="0.25">
      <c r="A112" t="s">
        <v>2147</v>
      </c>
      <c r="B112" t="s">
        <v>2146</v>
      </c>
      <c r="C112" t="s">
        <v>461</v>
      </c>
      <c r="D112" t="s">
        <v>176</v>
      </c>
      <c r="E112" s="236">
        <v>0.46666666666666667</v>
      </c>
    </row>
    <row r="113" spans="1:5" x14ac:dyDescent="0.25">
      <c r="A113" t="s">
        <v>1599</v>
      </c>
      <c r="B113" t="s">
        <v>1565</v>
      </c>
      <c r="C113" t="s">
        <v>176</v>
      </c>
      <c r="D113" t="s">
        <v>1130</v>
      </c>
      <c r="E113" s="236">
        <v>0.2</v>
      </c>
    </row>
    <row r="114" spans="1:5" x14ac:dyDescent="0.25">
      <c r="A114" t="s">
        <v>535</v>
      </c>
      <c r="B114" t="s">
        <v>516</v>
      </c>
      <c r="C114" t="s">
        <v>176</v>
      </c>
      <c r="D114" t="s">
        <v>173</v>
      </c>
      <c r="E114" s="236">
        <v>0.5</v>
      </c>
    </row>
    <row r="115" spans="1:5" x14ac:dyDescent="0.25">
      <c r="A115" t="s">
        <v>536</v>
      </c>
      <c r="B115" t="s">
        <v>521</v>
      </c>
      <c r="C115" t="s">
        <v>176</v>
      </c>
      <c r="D115" t="s">
        <v>173</v>
      </c>
      <c r="E115" s="236">
        <v>0.5</v>
      </c>
    </row>
    <row r="116" spans="1:5" x14ac:dyDescent="0.25">
      <c r="A116" t="s">
        <v>624</v>
      </c>
      <c r="B116" t="s">
        <v>606</v>
      </c>
      <c r="C116" t="s">
        <v>176</v>
      </c>
      <c r="D116" t="s">
        <v>173</v>
      </c>
      <c r="E116" s="236">
        <v>0.5</v>
      </c>
    </row>
    <row r="117" spans="1:5" x14ac:dyDescent="0.25">
      <c r="A117" t="s">
        <v>1622</v>
      </c>
      <c r="B117" t="s">
        <v>1621</v>
      </c>
      <c r="C117" t="s">
        <v>1130</v>
      </c>
      <c r="D117" t="s">
        <v>198</v>
      </c>
      <c r="E117" s="236">
        <v>0.2</v>
      </c>
    </row>
    <row r="118" spans="1:5" x14ac:dyDescent="0.25">
      <c r="A118" t="s">
        <v>1690</v>
      </c>
      <c r="B118" t="s">
        <v>1689</v>
      </c>
      <c r="C118" t="s">
        <v>192</v>
      </c>
      <c r="D118" t="s">
        <v>194</v>
      </c>
      <c r="E118" s="236">
        <v>0.25</v>
      </c>
    </row>
    <row r="119" spans="1:5" x14ac:dyDescent="0.25">
      <c r="D119" t="s">
        <v>461</v>
      </c>
      <c r="E119" s="236">
        <v>0.125</v>
      </c>
    </row>
    <row r="120" spans="1:5" x14ac:dyDescent="0.25">
      <c r="A120" t="s">
        <v>1615</v>
      </c>
      <c r="B120" t="s">
        <v>1570</v>
      </c>
      <c r="C120" t="s">
        <v>1130</v>
      </c>
      <c r="D120" t="s">
        <v>194</v>
      </c>
      <c r="E120" s="236">
        <v>0.25</v>
      </c>
    </row>
    <row r="121" spans="1:5" x14ac:dyDescent="0.25">
      <c r="D121" t="s">
        <v>192</v>
      </c>
      <c r="E121" s="236">
        <v>0.125</v>
      </c>
    </row>
    <row r="122" spans="1:5" x14ac:dyDescent="0.25">
      <c r="A122" t="s">
        <v>1616</v>
      </c>
      <c r="B122" t="s">
        <v>1576</v>
      </c>
      <c r="C122" t="s">
        <v>192</v>
      </c>
      <c r="D122" t="s">
        <v>194</v>
      </c>
      <c r="E122" s="236">
        <v>0.25</v>
      </c>
    </row>
    <row r="123" spans="1:5" x14ac:dyDescent="0.25">
      <c r="D123" t="s">
        <v>1130</v>
      </c>
      <c r="E123" s="236">
        <v>0.375</v>
      </c>
    </row>
    <row r="124" spans="1:5" x14ac:dyDescent="0.25">
      <c r="A124" t="s">
        <v>1617</v>
      </c>
      <c r="B124" t="s">
        <v>1577</v>
      </c>
      <c r="C124" t="s">
        <v>192</v>
      </c>
      <c r="D124" t="s">
        <v>194</v>
      </c>
      <c r="E124" s="236">
        <v>0.25</v>
      </c>
    </row>
    <row r="125" spans="1:5" x14ac:dyDescent="0.25">
      <c r="D125" t="s">
        <v>461</v>
      </c>
      <c r="E125" s="236">
        <v>0.375</v>
      </c>
    </row>
    <row r="126" spans="1:5" x14ac:dyDescent="0.25">
      <c r="A126" t="s">
        <v>442</v>
      </c>
      <c r="B126" t="s">
        <v>2100</v>
      </c>
      <c r="C126" t="s">
        <v>192</v>
      </c>
      <c r="D126" t="s">
        <v>194</v>
      </c>
      <c r="E126" s="236">
        <v>0.5</v>
      </c>
    </row>
    <row r="127" spans="1:5" x14ac:dyDescent="0.25">
      <c r="A127" t="s">
        <v>1259</v>
      </c>
      <c r="B127" t="s">
        <v>979</v>
      </c>
      <c r="C127" t="s">
        <v>192</v>
      </c>
      <c r="D127" t="s">
        <v>1130</v>
      </c>
      <c r="E127" s="236">
        <v>0.5</v>
      </c>
    </row>
    <row r="128" spans="1:5" x14ac:dyDescent="0.25">
      <c r="A128" t="s">
        <v>1480</v>
      </c>
      <c r="B128" t="s">
        <v>1481</v>
      </c>
      <c r="C128" t="s">
        <v>192</v>
      </c>
      <c r="D128" t="s">
        <v>1130</v>
      </c>
      <c r="E128" s="236">
        <v>0.5</v>
      </c>
    </row>
    <row r="129" spans="1:5" x14ac:dyDescent="0.25">
      <c r="A129" t="s">
        <v>1735</v>
      </c>
      <c r="B129" t="s">
        <v>1526</v>
      </c>
      <c r="C129" t="s">
        <v>461</v>
      </c>
      <c r="D129" t="s">
        <v>172</v>
      </c>
      <c r="E129" s="236">
        <v>0.33333333333333331</v>
      </c>
    </row>
    <row r="130" spans="1:5" x14ac:dyDescent="0.25">
      <c r="A130" t="s">
        <v>1257</v>
      </c>
      <c r="B130" t="s">
        <v>920</v>
      </c>
      <c r="C130" t="s">
        <v>1130</v>
      </c>
      <c r="D130" t="s">
        <v>192</v>
      </c>
      <c r="E130" s="236">
        <v>0.4</v>
      </c>
    </row>
    <row r="131" spans="1:5" x14ac:dyDescent="0.25">
      <c r="A131" t="s">
        <v>1292</v>
      </c>
      <c r="B131" t="s">
        <v>1287</v>
      </c>
      <c r="C131" t="s">
        <v>192</v>
      </c>
      <c r="D131" t="s">
        <v>197</v>
      </c>
      <c r="E131" s="236">
        <v>0.25</v>
      </c>
    </row>
    <row r="132" spans="1:5" x14ac:dyDescent="0.25">
      <c r="A132" t="s">
        <v>374</v>
      </c>
      <c r="B132" t="s">
        <v>374</v>
      </c>
      <c r="C132" t="s">
        <v>374</v>
      </c>
      <c r="D132" t="s">
        <v>374</v>
      </c>
      <c r="E132" s="236" t="s">
        <v>374</v>
      </c>
    </row>
    <row r="133" spans="1:5" x14ac:dyDescent="0.25">
      <c r="A133" t="s">
        <v>781</v>
      </c>
    </row>
  </sheetData>
  <pageMargins left="0.70866141732283472" right="0.70866141732283472" top="0.74803149606299213" bottom="0.74803149606299213" header="0.31496062992125984" footer="0.31496062992125984"/>
  <pageSetup paperSize="9" scale="72" fitToHeight="2" orientation="landscape"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3">
    <pageSetUpPr fitToPage="1"/>
  </sheetPr>
  <dimension ref="A1:X105"/>
  <sheetViews>
    <sheetView zoomScaleNormal="100" workbookViewId="0">
      <selection activeCell="T5" sqref="T5"/>
    </sheetView>
  </sheetViews>
  <sheetFormatPr defaultColWidth="8.85546875" defaultRowHeight="15" x14ac:dyDescent="0.25"/>
  <cols>
    <col min="1" max="1" width="14.5703125" style="31" customWidth="1"/>
    <col min="2" max="2" width="68.42578125" customWidth="1"/>
    <col min="3" max="3" width="8.5703125" style="31" bestFit="1" customWidth="1"/>
    <col min="4" max="4" width="24" customWidth="1"/>
    <col min="5" max="5" width="9.42578125" customWidth="1"/>
    <col min="6" max="6" width="12.5703125" style="31" customWidth="1"/>
    <col min="7" max="7" width="9.85546875" customWidth="1"/>
    <col min="8" max="8" width="26.85546875" customWidth="1"/>
    <col min="9" max="9" width="15.42578125" customWidth="1"/>
    <col min="10" max="10" width="11.42578125" bestFit="1" customWidth="1"/>
    <col min="11" max="11" width="11.42578125" customWidth="1"/>
    <col min="12" max="12" width="15.140625" bestFit="1" customWidth="1"/>
    <col min="13" max="13" width="15.140625" customWidth="1"/>
    <col min="14" max="14" width="13.42578125" bestFit="1" customWidth="1"/>
    <col min="15" max="20" width="12.42578125" customWidth="1"/>
    <col min="22" max="22" width="18.5703125" customWidth="1"/>
    <col min="24" max="24" width="10.5703125" customWidth="1"/>
  </cols>
  <sheetData>
    <row r="1" spans="1:22" x14ac:dyDescent="0.25">
      <c r="A1" s="32" t="s">
        <v>59</v>
      </c>
      <c r="B1" s="1" t="s">
        <v>158</v>
      </c>
      <c r="C1" s="32" t="s">
        <v>399</v>
      </c>
      <c r="D1" s="1" t="s">
        <v>326</v>
      </c>
      <c r="E1" s="1" t="s">
        <v>78</v>
      </c>
      <c r="F1" s="32" t="s">
        <v>10</v>
      </c>
      <c r="G1" s="1" t="s">
        <v>327</v>
      </c>
      <c r="H1" s="1" t="s">
        <v>2</v>
      </c>
      <c r="I1" s="1" t="s">
        <v>79</v>
      </c>
      <c r="J1" s="1" t="s">
        <v>3</v>
      </c>
      <c r="K1" s="1" t="s">
        <v>324</v>
      </c>
      <c r="L1" s="1" t="s">
        <v>5</v>
      </c>
      <c r="M1" s="1" t="s">
        <v>325</v>
      </c>
      <c r="N1" s="1" t="s">
        <v>6</v>
      </c>
      <c r="O1" s="1" t="s">
        <v>7</v>
      </c>
      <c r="P1" s="1" t="s">
        <v>407</v>
      </c>
      <c r="Q1" s="1" t="s">
        <v>375</v>
      </c>
      <c r="R1" s="1" t="s">
        <v>8</v>
      </c>
      <c r="S1" s="1" t="s">
        <v>459</v>
      </c>
      <c r="T1" s="1" t="s">
        <v>149</v>
      </c>
      <c r="V1" s="1" t="s">
        <v>433</v>
      </c>
    </row>
    <row r="2" spans="1:22" x14ac:dyDescent="0.25">
      <c r="A2" s="31" t="s">
        <v>1568</v>
      </c>
      <c r="B2" t="str">
        <f>VLOOKUP(A2,kurspris!$A$1:$Q$792,2,FALSE)</f>
        <v>Skapande lek i förskolan 1</v>
      </c>
      <c r="C2" s="31">
        <v>2180</v>
      </c>
      <c r="D2" t="str">
        <f>VLOOKUP(C2,Orgenheter!$A$1:$B$213,2)</f>
        <v xml:space="preserve">Pedagogik                     </v>
      </c>
      <c r="E2" t="str">
        <f>VLOOKUP(C2,Orgenheter!$A$1:$C$165,3,FALSE)</f>
        <v>Sam</v>
      </c>
      <c r="F2" s="315">
        <f>1.5/7.5</f>
        <v>0.2</v>
      </c>
      <c r="G2">
        <f>VLOOKUP(A2,'Ansvar kurs'!$A$84:$C$959,2,FALSE)</f>
        <v>1650</v>
      </c>
      <c r="H2" t="str">
        <f>VLOOKUP(G2,Orgenheter!$A$1:$B$213,2)</f>
        <v xml:space="preserve">Estetiska ämnen               </v>
      </c>
      <c r="I2" t="str">
        <f>VLOOKUP(G2,Orgenheter!$A$1:$C$165,3,FALSE)</f>
        <v>Hum</v>
      </c>
      <c r="J2" s="228">
        <f>IF(ISERROR(VLOOKUP(A2,'Totalt pivot'!$A$5:$C$397,2,FALSE)),0,(VLOOKUP(A2,'Totalt pivot'!$A$5:$C$397,2,FALSE)))</f>
        <v>10.375</v>
      </c>
      <c r="K2" s="228">
        <f t="shared" ref="K2" si="0">F2*J2</f>
        <v>2.0750000000000002</v>
      </c>
      <c r="L2" s="228">
        <f>IF(ISERROR(VLOOKUP(A2,'Totalt pivot'!$A$5:$C$397,3,FALSE)),0,(VLOOKUP(A2,'Totalt pivot'!$A$5:$C$397,3,FALSE)))</f>
        <v>8.8187499999999996</v>
      </c>
      <c r="M2" s="228">
        <f t="shared" ref="M2:M3" si="1">F2*L2</f>
        <v>1.7637499999999999</v>
      </c>
      <c r="N2" s="26">
        <f>VLOOKUP(A2,kurspris!$A$1:$Q$792,15)</f>
        <v>15846</v>
      </c>
      <c r="O2" s="26">
        <f>VLOOKUP(A2,kurspris!$A$1:$Q$792,16)</f>
        <v>26926</v>
      </c>
      <c r="P2" s="26">
        <f>VLOOKUP(A2,kurspris!$A$1:$Q$792,17)</f>
        <v>17300</v>
      </c>
      <c r="Q2" s="26">
        <f t="shared" ref="Q2:Q3" si="2">K2*N2+M2*O2</f>
        <v>80371.182499999995</v>
      </c>
      <c r="R2" s="26">
        <f>(Q2*Prislapp!$R$5)*-1</f>
        <v>-5625.9827750000004</v>
      </c>
      <c r="S2" s="26">
        <f t="shared" ref="S2:S3" si="3">Q2+R2</f>
        <v>74745.199724999999</v>
      </c>
      <c r="T2" s="26">
        <f t="shared" ref="T2:T3" si="4">K2*P2</f>
        <v>35897.5</v>
      </c>
    </row>
    <row r="3" spans="1:22" x14ac:dyDescent="0.25">
      <c r="A3" s="31" t="s">
        <v>1568</v>
      </c>
      <c r="B3" t="str">
        <f>VLOOKUP(A3,kurspris!$A$1:$Q$792,2,FALSE)</f>
        <v>Skapande lek i förskolan 1</v>
      </c>
      <c r="C3" s="31">
        <v>2193</v>
      </c>
      <c r="D3" t="str">
        <f>VLOOKUP(C3,Orgenheter!$A$1:$B$213,2)</f>
        <v xml:space="preserve">TUV </v>
      </c>
      <c r="E3" t="str">
        <f>VLOOKUP(C3,Orgenheter!$A$1:$C$165,3,FALSE)</f>
        <v>Sam</v>
      </c>
      <c r="F3" s="315">
        <f>1.5/7.5</f>
        <v>0.2</v>
      </c>
      <c r="G3">
        <f>VLOOKUP(A3,'Ansvar kurs'!$A$84:$C$959,2,FALSE)</f>
        <v>1650</v>
      </c>
      <c r="H3" t="str">
        <f>VLOOKUP(G3,Orgenheter!$A$1:$B$213,2)</f>
        <v xml:space="preserve">Estetiska ämnen               </v>
      </c>
      <c r="I3" t="str">
        <f>VLOOKUP(G3,Orgenheter!$A$1:$C$165,3,FALSE)</f>
        <v>Hum</v>
      </c>
      <c r="J3" s="228">
        <f>IF(ISERROR(VLOOKUP(A3,'Totalt pivot'!$A$5:$C$397,2,FALSE)),0,(VLOOKUP(A3,'Totalt pivot'!$A$5:$C$397,2,FALSE)))</f>
        <v>10.375</v>
      </c>
      <c r="K3" s="228">
        <f t="shared" ref="K3:K32" si="5">F3*J3</f>
        <v>2.0750000000000002</v>
      </c>
      <c r="L3" s="228">
        <f>IF(ISERROR(VLOOKUP(A3,'Totalt pivot'!$A$5:$C$397,3,FALSE)),0,(VLOOKUP(A3,'Totalt pivot'!$A$5:$C$397,3,FALSE)))</f>
        <v>8.8187499999999996</v>
      </c>
      <c r="M3" s="228">
        <f t="shared" si="1"/>
        <v>1.7637499999999999</v>
      </c>
      <c r="N3" s="26">
        <f>VLOOKUP(A3,kurspris!$A$1:$Q$792,15)</f>
        <v>15846</v>
      </c>
      <c r="O3" s="26">
        <f>VLOOKUP(A3,kurspris!$A$1:$Q$792,16)</f>
        <v>26926</v>
      </c>
      <c r="P3" s="26">
        <f>VLOOKUP(A3,kurspris!$A$1:$Q$792,17)</f>
        <v>17300</v>
      </c>
      <c r="Q3" s="26">
        <f t="shared" si="2"/>
        <v>80371.182499999995</v>
      </c>
      <c r="R3" s="26">
        <f>(Q3*Prislapp!$R$5)*-1</f>
        <v>-5625.9827750000004</v>
      </c>
      <c r="S3" s="26">
        <f t="shared" si="3"/>
        <v>74745.199724999999</v>
      </c>
      <c r="T3" s="26">
        <f t="shared" si="4"/>
        <v>35897.5</v>
      </c>
    </row>
    <row r="4" spans="1:22" x14ac:dyDescent="0.25">
      <c r="A4" s="31" t="s">
        <v>2112</v>
      </c>
      <c r="B4" t="s">
        <v>2129</v>
      </c>
      <c r="C4" s="31">
        <v>2360</v>
      </c>
      <c r="D4" t="str">
        <f>VLOOKUP(C4,Orgenheter!$A$1:$B$213,2)</f>
        <v xml:space="preserve">Ekonomisk historia            </v>
      </c>
      <c r="E4" t="str">
        <f>VLOOKUP(C4,Orgenheter!$A$1:$C$165,3,FALSE)</f>
        <v>Sam</v>
      </c>
      <c r="F4" s="315">
        <f>7.5/30</f>
        <v>0.25</v>
      </c>
      <c r="G4">
        <f>VLOOKUP(A4,'Ansvar kurs'!$A$84:$C$959,2,FALSE)</f>
        <v>1630</v>
      </c>
      <c r="H4" t="str">
        <f>VLOOKUP(G4,Orgenheter!$A$1:$B$213,2)</f>
        <v>Inst för ide- o samhällsstudier</v>
      </c>
      <c r="I4" t="str">
        <f>VLOOKUP(G4,Orgenheter!$A$1:$C$165,3,FALSE)</f>
        <v>Hum</v>
      </c>
      <c r="J4" s="228">
        <f>IF(ISERROR(VLOOKUP(A4,'Totalt pivot'!$A$5:$C$397,2,FALSE)),0,(VLOOKUP(A4,'Totalt pivot'!$A$5:$C$397,2,FALSE)))</f>
        <v>12</v>
      </c>
      <c r="K4" s="228">
        <f t="shared" ref="K4" si="6">F4*J4</f>
        <v>3</v>
      </c>
      <c r="L4" s="228">
        <f>IF(ISERROR(VLOOKUP(A4,'Totalt pivot'!$A$5:$C$397,3,FALSE)),0,(VLOOKUP(A4,'Totalt pivot'!$A$5:$C$397,3,FALSE)))</f>
        <v>10.199999999999999</v>
      </c>
      <c r="M4" s="228">
        <f t="shared" ref="M4" si="7">F4*L4</f>
        <v>2.5499999999999998</v>
      </c>
      <c r="N4" s="26">
        <f>VLOOKUP(A4,kurspris!$A$1:$Q$792,15)</f>
        <v>18405</v>
      </c>
      <c r="O4" s="26">
        <f>VLOOKUP(A4,kurspris!$A$1:$Q$792,16)</f>
        <v>15773</v>
      </c>
      <c r="P4" s="26">
        <f>VLOOKUP(A4,kurspris!$A$1:$Q$792,17)</f>
        <v>5800</v>
      </c>
      <c r="Q4" s="26">
        <f t="shared" ref="Q4" si="8">K4*N4+M4*O4</f>
        <v>95436.15</v>
      </c>
      <c r="R4" s="26">
        <f>(Q4*Prislapp!$R$5)*-1</f>
        <v>-6680.5304999999998</v>
      </c>
      <c r="S4" s="26">
        <f t="shared" ref="S4" si="9">Q4+R4</f>
        <v>88755.619500000001</v>
      </c>
      <c r="T4" s="26">
        <f t="shared" ref="T4" si="10">K4*P4</f>
        <v>17400</v>
      </c>
    </row>
    <row r="5" spans="1:22" x14ac:dyDescent="0.25">
      <c r="A5" s="59" t="s">
        <v>1586</v>
      </c>
      <c r="B5" t="str">
        <f>VLOOKUP(A5,kurspris!$A$1:$Q$792,2,FALSE)</f>
        <v>Idrott och hälsa 1</v>
      </c>
      <c r="C5" s="31">
        <v>3306</v>
      </c>
      <c r="D5" t="str">
        <f>VLOOKUP(C5,Orgenheter!$A$1:$B$213,2)</f>
        <v xml:space="preserve">Idrottsmedicin                </v>
      </c>
      <c r="E5" t="str">
        <f>VLOOKUP(C5,Orgenheter!$A$1:$C$165,3,FALSE)</f>
        <v>Med</v>
      </c>
      <c r="F5" s="315">
        <v>0.25</v>
      </c>
      <c r="G5">
        <f>VLOOKUP(A5,'Ansvar kurs'!$A$84:$C$959,2,FALSE)</f>
        <v>2180</v>
      </c>
      <c r="H5" t="str">
        <f>VLOOKUP(G5,Orgenheter!$A$1:$B$213,2)</f>
        <v xml:space="preserve">Pedagogik                     </v>
      </c>
      <c r="I5" t="str">
        <f>VLOOKUP(G5,Orgenheter!$A$1:$C$165,3,FALSE)</f>
        <v>Sam</v>
      </c>
      <c r="J5" s="228">
        <f>IF(ISERROR(VLOOKUP(A5,'Totalt pivot'!$A$5:$C$397,2,FALSE)),0,(VLOOKUP(A5,'Totalt pivot'!$A$5:$C$397,2,FALSE)))</f>
        <v>14.5</v>
      </c>
      <c r="K5" s="228">
        <f t="shared" si="5"/>
        <v>3.625</v>
      </c>
      <c r="L5" s="228">
        <f>IF(ISERROR(VLOOKUP(A5,'Totalt pivot'!$A$5:$C$397,3,FALSE)),0,(VLOOKUP(A5,'Totalt pivot'!$A$5:$C$397,3,FALSE)))</f>
        <v>12.225</v>
      </c>
      <c r="M5" s="228">
        <f t="shared" ref="M5:M30" si="11">F5*L5</f>
        <v>3.0562499999999999</v>
      </c>
      <c r="N5" s="26">
        <f>VLOOKUP(A5,kurspris!$A$1:$Q$792,15)</f>
        <v>45034</v>
      </c>
      <c r="O5" s="26">
        <f>VLOOKUP(A5,kurspris!$A$1:$Q$792,16)</f>
        <v>31547</v>
      </c>
      <c r="P5" s="26">
        <f>VLOOKUP(A5,kurspris!$A$1:$Q$792,17)</f>
        <v>34500</v>
      </c>
      <c r="Q5" s="26">
        <f t="shared" ref="Q5:Q30" si="12">K5*N5+M5*O5</f>
        <v>259663.76874999999</v>
      </c>
      <c r="R5" s="26">
        <f>(Q5*Prislapp!$R$5)*-1</f>
        <v>-18176.463812500002</v>
      </c>
      <c r="S5" s="26">
        <f t="shared" ref="S5:S30" si="13">Q5+R5</f>
        <v>241487.30493749998</v>
      </c>
      <c r="T5" s="26">
        <f t="shared" ref="T5:T30" si="14">K5*P5</f>
        <v>125062.5</v>
      </c>
    </row>
    <row r="6" spans="1:22" x14ac:dyDescent="0.25">
      <c r="A6" s="59" t="s">
        <v>1586</v>
      </c>
      <c r="B6" t="str">
        <f>VLOOKUP(A6,kurspris!$A$1:$Q$792,2,FALSE)</f>
        <v>Idrott och hälsa 1</v>
      </c>
      <c r="C6" s="31">
        <v>2750</v>
      </c>
      <c r="D6" t="str">
        <f>VLOOKUP(C6,Orgenheter!$A$1:$B$213,2)</f>
        <v xml:space="preserve">Kostvetenskap                 </v>
      </c>
      <c r="E6" t="str">
        <f>VLOOKUP(C6,Orgenheter!$A$1:$C$165,3,FALSE)</f>
        <v>Sam</v>
      </c>
      <c r="F6" s="315">
        <v>0.15</v>
      </c>
      <c r="G6">
        <f>VLOOKUP(A6,'Ansvar kurs'!$A$84:$C$959,2,FALSE)</f>
        <v>2180</v>
      </c>
      <c r="H6" t="str">
        <f>VLOOKUP(G6,Orgenheter!$A$1:$B$213,2)</f>
        <v xml:space="preserve">Pedagogik                     </v>
      </c>
      <c r="I6" t="str">
        <f>VLOOKUP(G6,Orgenheter!$A$1:$C$165,3,FALSE)</f>
        <v>Sam</v>
      </c>
      <c r="J6" s="228">
        <f>IF(ISERROR(VLOOKUP(A6,'Totalt pivot'!$A$5:$C$397,2,FALSE)),0,(VLOOKUP(A6,'Totalt pivot'!$A$5:$C$397,2,FALSE)))</f>
        <v>14.5</v>
      </c>
      <c r="K6" s="228">
        <f t="shared" si="5"/>
        <v>2.1749999999999998</v>
      </c>
      <c r="L6" s="228">
        <f>IF(ISERROR(VLOOKUP(A6,'Totalt pivot'!$A$5:$C$397,3,FALSE)),0,(VLOOKUP(A6,'Totalt pivot'!$A$5:$C$397,3,FALSE)))</f>
        <v>12.225</v>
      </c>
      <c r="M6" s="228">
        <f t="shared" si="11"/>
        <v>1.8337499999999998</v>
      </c>
      <c r="N6" s="26">
        <f>VLOOKUP(A6,kurspris!$A$1:$Q$792,15)</f>
        <v>45034</v>
      </c>
      <c r="O6" s="26">
        <f>VLOOKUP(A6,kurspris!$A$1:$Q$792,16)</f>
        <v>31547</v>
      </c>
      <c r="P6" s="26">
        <f>VLOOKUP(A6,kurspris!$A$1:$Q$792,17)</f>
        <v>34500</v>
      </c>
      <c r="Q6" s="26">
        <f t="shared" si="12"/>
        <v>155798.26124999998</v>
      </c>
      <c r="R6" s="26">
        <f>(Q6*Prislapp!$R$5)*-1</f>
        <v>-10905.8782875</v>
      </c>
      <c r="S6" s="26">
        <f t="shared" si="13"/>
        <v>144892.38296249998</v>
      </c>
      <c r="T6" s="26">
        <f t="shared" si="14"/>
        <v>75037.5</v>
      </c>
    </row>
    <row r="7" spans="1:22" x14ac:dyDescent="0.25">
      <c r="A7" s="59" t="s">
        <v>1822</v>
      </c>
      <c r="B7" t="str">
        <f>VLOOKUP(A7,kurspris!$A$1:$Q$792,2,FALSE)</f>
        <v>Idrott och hälsa 3</v>
      </c>
      <c r="C7" s="31">
        <v>3850</v>
      </c>
      <c r="D7" t="str">
        <f>VLOOKUP(C7,Orgenheter!$A$1:$B$213,2)</f>
        <v>Epidemiologi och global hälsa</v>
      </c>
      <c r="E7" t="str">
        <f>VLOOKUP(C7,Orgenheter!$A$1:$C$165,3,FALSE)</f>
        <v>Med</v>
      </c>
      <c r="F7" s="315">
        <f>5/30</f>
        <v>0.16666666666666666</v>
      </c>
      <c r="G7">
        <f>VLOOKUP(A7,'Ansvar kurs'!$A$84:$C$959,2,FALSE)</f>
        <v>2180</v>
      </c>
      <c r="H7" t="str">
        <f>VLOOKUP(G7,Orgenheter!$A$1:$B$213,2)</f>
        <v xml:space="preserve">Pedagogik                     </v>
      </c>
      <c r="I7" t="str">
        <f>VLOOKUP(G7,Orgenheter!$A$1:$C$165,3,FALSE)</f>
        <v>Sam</v>
      </c>
      <c r="J7" s="228">
        <f>IF(ISERROR(VLOOKUP(A7,'Totalt pivot'!$A$5:$C$397,2,FALSE)),0,(VLOOKUP(A7,'Totalt pivot'!$A$5:$C$397,2,FALSE)))</f>
        <v>11</v>
      </c>
      <c r="K7" s="228">
        <f t="shared" ref="K7" si="15">F7*J7</f>
        <v>1.8333333333333333</v>
      </c>
      <c r="L7" s="228">
        <f>IF(ISERROR(VLOOKUP(A7,'Totalt pivot'!$A$5:$C$397,3,FALSE)),0,(VLOOKUP(A7,'Totalt pivot'!$A$5:$C$397,3,FALSE)))</f>
        <v>9.2750000000000004</v>
      </c>
      <c r="M7" s="228">
        <f t="shared" ref="M7" si="16">F7*L7</f>
        <v>1.5458333333333334</v>
      </c>
      <c r="N7" s="26">
        <f>VLOOKUP(A7,kurspris!$A$1:$Q$792,15)</f>
        <v>45034</v>
      </c>
      <c r="O7" s="26">
        <f>VLOOKUP(A7,kurspris!$A$1:$Q$792,16)</f>
        <v>31547</v>
      </c>
      <c r="P7" s="26">
        <f>VLOOKUP(A7,kurspris!$A$1:$Q$792,17)</f>
        <v>34500</v>
      </c>
      <c r="Q7" s="26">
        <f t="shared" ref="Q7" si="17">K7*N7+M7*O7</f>
        <v>131328.73749999999</v>
      </c>
      <c r="R7" s="26">
        <f>(Q7*Prislapp!$R$5)*-1</f>
        <v>-9193.0116249999992</v>
      </c>
      <c r="S7" s="26">
        <f t="shared" ref="S7" si="18">Q7+R7</f>
        <v>122135.72587499999</v>
      </c>
      <c r="T7" s="26">
        <f t="shared" ref="T7" si="19">K7*P7</f>
        <v>63250</v>
      </c>
      <c r="V7" t="s">
        <v>1884</v>
      </c>
    </row>
    <row r="8" spans="1:22" x14ac:dyDescent="0.25">
      <c r="A8" s="31" t="s">
        <v>586</v>
      </c>
      <c r="B8" t="str">
        <f>VLOOKUP(A8,kurspris!$A$1:$Q$792,2,FALSE)</f>
        <v>Idrott och hälsa II för gymnasieskolan</v>
      </c>
      <c r="C8" s="31">
        <v>3306</v>
      </c>
      <c r="D8" t="str">
        <f>VLOOKUP(C8,Orgenheter!$A$1:$B$213,2)</f>
        <v xml:space="preserve">Idrottsmedicin                </v>
      </c>
      <c r="E8" t="str">
        <f>VLOOKUP(C8,Orgenheter!$A$1:$C$165,3,FALSE)</f>
        <v>Med</v>
      </c>
      <c r="F8" s="315">
        <v>0.25</v>
      </c>
      <c r="G8">
        <f>VLOOKUP(A8,'Ansvar kurs'!$A$84:$C$959,2,FALSE)</f>
        <v>2180</v>
      </c>
      <c r="H8" t="str">
        <f>VLOOKUP(G8,Orgenheter!$A$1:$B$213,2)</f>
        <v xml:space="preserve">Pedagogik                     </v>
      </c>
      <c r="I8" t="str">
        <f>VLOOKUP(G8,Orgenheter!$A$1:$C$165,3,FALSE)</f>
        <v>Sam</v>
      </c>
      <c r="J8" s="228">
        <f>IF(ISERROR(VLOOKUP(A8,'Totalt pivot'!$A$5:$C$397,2,FALSE)),0,(VLOOKUP(A8,'Totalt pivot'!$A$5:$C$397,2,FALSE)))</f>
        <v>15</v>
      </c>
      <c r="K8" s="228">
        <f t="shared" si="5"/>
        <v>3.75</v>
      </c>
      <c r="L8" s="228">
        <f>IF(ISERROR(VLOOKUP(A8,'Totalt pivot'!$A$5:$C$397,3,FALSE)),0,(VLOOKUP(A8,'Totalt pivot'!$A$5:$C$397,3,FALSE)))</f>
        <v>12.625</v>
      </c>
      <c r="M8" s="228">
        <f t="shared" si="11"/>
        <v>3.15625</v>
      </c>
      <c r="N8" s="26">
        <f>VLOOKUP(A8,kurspris!$A$1:$Q$792,15)</f>
        <v>45034</v>
      </c>
      <c r="O8" s="26">
        <f>VLOOKUP(A8,kurspris!$A$1:$Q$792,16)</f>
        <v>31547</v>
      </c>
      <c r="P8" s="26">
        <f>VLOOKUP(A8,kurspris!$A$1:$Q$792,17)</f>
        <v>34500</v>
      </c>
      <c r="Q8" s="26">
        <f t="shared" si="12"/>
        <v>268447.71875</v>
      </c>
      <c r="R8" s="26">
        <f>(Q8*Prislapp!$R$5)*-1</f>
        <v>-18791.3403125</v>
      </c>
      <c r="S8" s="26">
        <f t="shared" si="13"/>
        <v>249656.37843750001</v>
      </c>
      <c r="T8" s="26">
        <f t="shared" si="14"/>
        <v>129375</v>
      </c>
    </row>
    <row r="9" spans="1:22" x14ac:dyDescent="0.25">
      <c r="A9" s="31" t="s">
        <v>1859</v>
      </c>
      <c r="B9" t="str">
        <f>VLOOKUP(A9,kurspris!$A$1:$Q$792,2,FALSE)</f>
        <v>Introduktion till geografi</v>
      </c>
      <c r="C9" s="31">
        <v>5100</v>
      </c>
      <c r="D9" t="str">
        <f>VLOOKUP(C9,Orgenheter!$A$1:$B$213,2)</f>
        <v>EMG</v>
      </c>
      <c r="E9" t="str">
        <f>VLOOKUP(C9,Orgenheter!$A$1:$C$165,3,FALSE)</f>
        <v>TekNat</v>
      </c>
      <c r="F9" s="315">
        <v>0.5</v>
      </c>
      <c r="G9">
        <f>VLOOKUP(A9,'Ansvar kurs'!$A$84:$C$959,2,FALSE)</f>
        <v>2500</v>
      </c>
      <c r="H9" t="str">
        <f>VLOOKUP(G9,Orgenheter!$A$1:$B$213,2)</f>
        <v>Geografi</v>
      </c>
      <c r="I9" t="str">
        <f>VLOOKUP(G9,Orgenheter!$A$1:$C$165,3,FALSE)</f>
        <v>Sam</v>
      </c>
      <c r="J9" s="228">
        <f>IF(ISERROR(VLOOKUP(A9,'Totalt pivot'!$A$5:$C$397,2,FALSE)),0,(VLOOKUP(A9,'Totalt pivot'!$A$5:$C$397,2,FALSE)))</f>
        <v>0.75</v>
      </c>
      <c r="K9" s="228">
        <f t="shared" ref="K9" si="20">F9*J9</f>
        <v>0.375</v>
      </c>
      <c r="L9" s="228">
        <f>IF(ISERROR(VLOOKUP(A9,'Totalt pivot'!$A$5:$C$397,3,FALSE)),0,(VLOOKUP(A9,'Totalt pivot'!$A$5:$C$397,3,FALSE)))</f>
        <v>0.63749999999999996</v>
      </c>
      <c r="M9" s="228">
        <f t="shared" ref="M9" si="21">F9*L9</f>
        <v>0.31874999999999998</v>
      </c>
      <c r="N9" s="26">
        <f>VLOOKUP(A9,kurspris!$A$1:$Q$792,15)</f>
        <v>18405</v>
      </c>
      <c r="O9" s="26">
        <f>VLOOKUP(A9,kurspris!$A$1:$Q$792,16)</f>
        <v>15773</v>
      </c>
      <c r="P9" s="26">
        <f>VLOOKUP(A9,kurspris!$A$1:$Q$792,17)</f>
        <v>5800</v>
      </c>
      <c r="Q9" s="26">
        <f t="shared" ref="Q9" si="22">K9*N9+M9*O9</f>
        <v>11929.518749999999</v>
      </c>
      <c r="R9" s="26">
        <f>(Q9*Prislapp!$R$5)*-1</f>
        <v>-835.06631249999998</v>
      </c>
      <c r="S9" s="26">
        <f t="shared" ref="S9" si="23">Q9+R9</f>
        <v>11094.4524375</v>
      </c>
      <c r="T9" s="26">
        <f t="shared" ref="T9" si="24">K9*P9</f>
        <v>2175</v>
      </c>
    </row>
    <row r="10" spans="1:22" x14ac:dyDescent="0.25">
      <c r="A10" s="31" t="s">
        <v>1956</v>
      </c>
      <c r="B10" t="str">
        <f>VLOOKUP(A10,kurspris!$A$1:$Q$792,2,FALSE)</f>
        <v>Kartor och GIS</v>
      </c>
      <c r="C10" s="31">
        <v>5100</v>
      </c>
      <c r="D10" t="str">
        <f>VLOOKUP(C10,Orgenheter!$A$1:$B$213,2)</f>
        <v>EMG</v>
      </c>
      <c r="E10" t="str">
        <f>VLOOKUP(C10,Orgenheter!$A$1:$C$165,3,FALSE)</f>
        <v>TekNat</v>
      </c>
      <c r="F10" s="315">
        <v>0.5</v>
      </c>
      <c r="G10">
        <f>VLOOKUP(A10,'Ansvar kurs'!$A$84:$C$959,2,FALSE)</f>
        <v>2500</v>
      </c>
      <c r="H10" t="str">
        <f>VLOOKUP(G10,Orgenheter!$A$1:$B$213,2)</f>
        <v>Geografi</v>
      </c>
      <c r="I10" t="str">
        <f>VLOOKUP(G10,Orgenheter!$A$1:$C$165,3,FALSE)</f>
        <v>Sam</v>
      </c>
      <c r="J10" s="228">
        <f>IF(ISERROR(VLOOKUP(A10,'Totalt pivot'!$A$5:$C$397,2,FALSE)),0,(VLOOKUP(A10,'Totalt pivot'!$A$5:$C$397,2,FALSE)))</f>
        <v>0.875</v>
      </c>
      <c r="K10" s="228">
        <f t="shared" ref="K10" si="25">F10*J10</f>
        <v>0.4375</v>
      </c>
      <c r="L10" s="228">
        <f>IF(ISERROR(VLOOKUP(A10,'Totalt pivot'!$A$5:$C$397,3,FALSE)),0,(VLOOKUP(A10,'Totalt pivot'!$A$5:$C$397,3,FALSE)))</f>
        <v>0.74375000000000002</v>
      </c>
      <c r="M10" s="228">
        <f t="shared" ref="M10" si="26">F10*L10</f>
        <v>0.37187500000000001</v>
      </c>
      <c r="N10" s="26">
        <f>VLOOKUP(A10,kurspris!$A$1:$Q$792,15)</f>
        <v>18672</v>
      </c>
      <c r="O10" s="26">
        <f>VLOOKUP(A10,kurspris!$A$1:$Q$792,16)</f>
        <v>20531.25</v>
      </c>
      <c r="P10" s="26">
        <f>VLOOKUP(A10,kurspris!$A$1:$Q$792,17)</f>
        <v>9800</v>
      </c>
      <c r="Q10" s="26">
        <f t="shared" ref="Q10" si="27">K10*N10+M10*O10</f>
        <v>15804.05859375</v>
      </c>
      <c r="R10" s="26">
        <f>(Q10*Prislapp!$R$5)*-1</f>
        <v>-1106.2841015625002</v>
      </c>
      <c r="S10" s="26">
        <f t="shared" ref="S10" si="28">Q10+R10</f>
        <v>14697.7744921875</v>
      </c>
      <c r="T10" s="26">
        <f t="shared" ref="T10" si="29">K10*P10</f>
        <v>4287.5</v>
      </c>
    </row>
    <row r="11" spans="1:22" x14ac:dyDescent="0.25">
      <c r="A11" s="266" t="s">
        <v>1972</v>
      </c>
      <c r="B11" t="str">
        <f>VLOOKUP(A11,kurspris!$A$1:$Q$792,2,FALSE)</f>
        <v>Specialpedagogik med fokus på svenska och matematik för F-3</v>
      </c>
      <c r="C11" s="31">
        <v>5740</v>
      </c>
      <c r="D11" t="str">
        <f>VLOOKUP(C11,Orgenheter!$A$1:$B$213,2)</f>
        <v>NMD</v>
      </c>
      <c r="E11" t="str">
        <f>VLOOKUP(C11,Orgenheter!$A$1:$C$165,3,FALSE)</f>
        <v>TekNat</v>
      </c>
      <c r="F11" s="315">
        <v>0.5</v>
      </c>
      <c r="G11">
        <f>VLOOKUP(A11,'Ansvar kurs'!$A$84:$C$959,2,FALSE)</f>
        <v>1620</v>
      </c>
      <c r="H11" t="str">
        <f>VLOOKUP(G11,Orgenheter!$A$1:$B$213,2)</f>
        <v>Inst för språkstudier</v>
      </c>
      <c r="I11" t="str">
        <f>VLOOKUP(G11,Orgenheter!$A$1:$C$165,3,FALSE)</f>
        <v>Hum</v>
      </c>
      <c r="J11" s="228">
        <f>IF(ISERROR(VLOOKUP(A11,'Totalt pivot'!$A$5:$C$397,2,FALSE)),0,(VLOOKUP(A11,'Totalt pivot'!$A$5:$C$397,2,FALSE)))</f>
        <v>9</v>
      </c>
      <c r="K11" s="228">
        <f t="shared" ref="K11" si="30">F11*J11</f>
        <v>4.5</v>
      </c>
      <c r="L11" s="228">
        <f>IF(ISERROR(VLOOKUP(A11,'Totalt pivot'!$A$5:$C$397,3,FALSE)),0,(VLOOKUP(A11,'Totalt pivot'!$A$5:$C$397,3,FALSE)))</f>
        <v>7.6499999999999995</v>
      </c>
      <c r="M11" s="228">
        <f t="shared" ref="M11" si="31">F11*L11</f>
        <v>3.8249999999999997</v>
      </c>
      <c r="N11" s="26">
        <f>VLOOKUP(A11,kurspris!$A$1:$Q$792,15)</f>
        <v>18405</v>
      </c>
      <c r="O11" s="26">
        <f>VLOOKUP(A11,kurspris!$A$1:$Q$792,16)</f>
        <v>15773</v>
      </c>
      <c r="P11" s="26">
        <f>VLOOKUP(A11,kurspris!$A$1:$Q$792,17)</f>
        <v>5800</v>
      </c>
      <c r="Q11" s="26">
        <f t="shared" ref="Q11" si="32">K11*N11+M11*O11</f>
        <v>143154.22500000001</v>
      </c>
      <c r="R11" s="26">
        <f>(Q11*Prislapp!$R$5)*-1</f>
        <v>-10020.795750000001</v>
      </c>
      <c r="S11" s="26">
        <f t="shared" ref="S11" si="33">Q11+R11</f>
        <v>133133.42925000002</v>
      </c>
      <c r="T11" s="26">
        <f t="shared" ref="T11" si="34">K11*P11</f>
        <v>26100</v>
      </c>
    </row>
    <row r="12" spans="1:22" x14ac:dyDescent="0.25">
      <c r="A12" s="31" t="s">
        <v>470</v>
      </c>
      <c r="B12" t="str">
        <f>VLOOKUP(A12,kurspris!$A$1:$Q$792,2,FALSE)</f>
        <v>Demokrati, individ och samhälle</v>
      </c>
      <c r="C12" s="31">
        <v>1640</v>
      </c>
      <c r="D12" t="str">
        <f>VLOOKUP(C12,Orgenheter!$A$1:$B$213,2)</f>
        <v>Inst för kultur- o medievetenskap</v>
      </c>
      <c r="E12" t="str">
        <f>VLOOKUP(C12,Orgenheter!$A$1:$C$165,3,FALSE)</f>
        <v>Hum</v>
      </c>
      <c r="F12" s="315">
        <v>0.5</v>
      </c>
      <c r="G12">
        <f>VLOOKUP(A12,'Ansvar kurs'!$A$84:$C$959,2,FALSE)</f>
        <v>1630</v>
      </c>
      <c r="H12" t="str">
        <f>VLOOKUP(G12,Orgenheter!$A$1:$B$213,2)</f>
        <v>Inst för ide- o samhällsstudier</v>
      </c>
      <c r="I12" t="str">
        <f>VLOOKUP(G12,Orgenheter!$A$1:$C$165,3,FALSE)</f>
        <v>Hum</v>
      </c>
      <c r="J12" s="228">
        <f>IF(ISERROR(VLOOKUP(A12,'Totalt pivot'!$A$5:$C$397,2,FALSE)),0,(VLOOKUP(A12,'Totalt pivot'!$A$5:$C$397,2,FALSE)))</f>
        <v>13.049999999999999</v>
      </c>
      <c r="K12" s="228">
        <f t="shared" si="5"/>
        <v>6.5249999999999995</v>
      </c>
      <c r="L12" s="228">
        <f>IF(ISERROR(VLOOKUP(A12,'Totalt pivot'!$A$5:$C$397,3,FALSE)),0,(VLOOKUP(A12,'Totalt pivot'!$A$5:$C$397,3,FALSE)))</f>
        <v>11.092499999999999</v>
      </c>
      <c r="M12" s="228">
        <f t="shared" si="11"/>
        <v>5.5462499999999997</v>
      </c>
      <c r="N12" s="26">
        <f>VLOOKUP(A12,kurspris!$A$1:$Q$792,15)</f>
        <v>23641</v>
      </c>
      <c r="O12" s="26">
        <f>VLOOKUP(A12,kurspris!$A$1:$Q$792,16)</f>
        <v>28786</v>
      </c>
      <c r="P12" s="26">
        <f>VLOOKUP(A12,kurspris!$A$1:$Q$792,17)</f>
        <v>5800</v>
      </c>
      <c r="Q12" s="26">
        <f t="shared" si="12"/>
        <v>313911.87749999994</v>
      </c>
      <c r="R12" s="26">
        <f>(Q12*Prislapp!$R$5)*-1</f>
        <v>-21973.831424999997</v>
      </c>
      <c r="S12" s="26">
        <f t="shared" si="13"/>
        <v>291938.04607499996</v>
      </c>
      <c r="T12" s="26">
        <f t="shared" si="14"/>
        <v>37845</v>
      </c>
    </row>
    <row r="13" spans="1:22" x14ac:dyDescent="0.25">
      <c r="A13" s="62" t="s">
        <v>471</v>
      </c>
      <c r="B13" t="str">
        <f>VLOOKUP(A13,kurspris!$A$1:$Q$792,2,FALSE)</f>
        <v>Kunskap, undervisning och lärande I</v>
      </c>
      <c r="C13" s="31">
        <v>2200</v>
      </c>
      <c r="D13" t="str">
        <f>VLOOKUP(C13,Orgenheter!$A$1:$B$213,2)</f>
        <v xml:space="preserve">Inst för psykologi            </v>
      </c>
      <c r="E13" t="str">
        <f>VLOOKUP(C13,Orgenheter!$A$1:$C$165,3,FALSE)</f>
        <v>Sam</v>
      </c>
      <c r="F13" s="315">
        <v>0.2</v>
      </c>
      <c r="G13">
        <f>VLOOKUP(A13,'Ansvar kurs'!$A$84:$C$959,2,FALSE)</f>
        <v>1630</v>
      </c>
      <c r="H13" t="str">
        <f>VLOOKUP(G13,Orgenheter!$A$1:$B$213,2)</f>
        <v>Inst för ide- o samhällsstudier</v>
      </c>
      <c r="I13" t="str">
        <f>VLOOKUP(G13,Orgenheter!$A$1:$C$165,3,FALSE)</f>
        <v>Hum</v>
      </c>
      <c r="J13" s="228">
        <f>IF(ISERROR(VLOOKUP(A13,'Totalt pivot'!$A$5:$C$397,2,FALSE)),0,(VLOOKUP(A13,'Totalt pivot'!$A$5:$C$397,2,FALSE)))</f>
        <v>16.166666666666664</v>
      </c>
      <c r="K13" s="228">
        <f t="shared" si="5"/>
        <v>3.2333333333333329</v>
      </c>
      <c r="L13" s="228">
        <f>IF(ISERROR(VLOOKUP(A13,'Totalt pivot'!$A$5:$C$397,3,FALSE)),0,(VLOOKUP(A13,'Totalt pivot'!$A$5:$C$397,3,FALSE)))</f>
        <v>13.741666666666665</v>
      </c>
      <c r="M13" s="228">
        <f t="shared" si="11"/>
        <v>2.7483333333333331</v>
      </c>
      <c r="N13" s="26">
        <f>VLOOKUP(A13,kurspris!$A$1:$Q$792,15)</f>
        <v>23641</v>
      </c>
      <c r="O13" s="26">
        <f>VLOOKUP(A13,kurspris!$A$1:$Q$792,16)</f>
        <v>28786</v>
      </c>
      <c r="P13" s="26">
        <f>VLOOKUP(A13,kurspris!$A$1:$Q$792,17)</f>
        <v>5800</v>
      </c>
      <c r="Q13" s="26">
        <f t="shared" si="12"/>
        <v>155552.75666666665</v>
      </c>
      <c r="R13" s="26">
        <f>(Q13*Prislapp!$R$5)*-1</f>
        <v>-10888.692966666667</v>
      </c>
      <c r="S13" s="26">
        <f t="shared" si="13"/>
        <v>144664.0637</v>
      </c>
      <c r="T13" s="26">
        <f t="shared" si="14"/>
        <v>18753.333333333332</v>
      </c>
    </row>
    <row r="14" spans="1:22" x14ac:dyDescent="0.25">
      <c r="A14" s="62" t="s">
        <v>471</v>
      </c>
      <c r="B14" t="str">
        <f>VLOOKUP(A14,kurspris!$A$1:$Q$792,2,FALSE)</f>
        <v>Kunskap, undervisning och lärande I</v>
      </c>
      <c r="C14" s="31">
        <v>2272</v>
      </c>
      <c r="D14" t="str">
        <f>VLOOKUP(C14,Orgenheter!$A$1:$B$213,2)</f>
        <v xml:space="preserve">Statistik                     </v>
      </c>
      <c r="E14" t="str">
        <f>VLOOKUP(C14,Orgenheter!$A$1:$C$165,3,FALSE)</f>
        <v>Sam</v>
      </c>
      <c r="F14" s="315">
        <v>0.05</v>
      </c>
      <c r="G14">
        <f>VLOOKUP(A14,'Ansvar kurs'!$A$84:$C$959,2,FALSE)</f>
        <v>1630</v>
      </c>
      <c r="H14" t="str">
        <f>VLOOKUP(G14,Orgenheter!$A$1:$B$213,2)</f>
        <v>Inst för ide- o samhällsstudier</v>
      </c>
      <c r="I14" t="str">
        <f>VLOOKUP(G14,Orgenheter!$A$1:$C$165,3,FALSE)</f>
        <v>Hum</v>
      </c>
      <c r="J14" s="228">
        <f>IF(ISERROR(VLOOKUP(A14,'Totalt pivot'!$A$5:$C$397,2,FALSE)),0,(VLOOKUP(A14,'Totalt pivot'!$A$5:$C$397,2,FALSE)))</f>
        <v>16.166666666666664</v>
      </c>
      <c r="K14" s="228">
        <f t="shared" si="5"/>
        <v>0.80833333333333324</v>
      </c>
      <c r="L14" s="228">
        <f>IF(ISERROR(VLOOKUP(A14,'Totalt pivot'!$A$5:$C$397,3,FALSE)),0,(VLOOKUP(A14,'Totalt pivot'!$A$5:$C$397,3,FALSE)))</f>
        <v>13.741666666666665</v>
      </c>
      <c r="M14" s="228">
        <f t="shared" si="11"/>
        <v>0.68708333333333327</v>
      </c>
      <c r="N14" s="26">
        <f>VLOOKUP(A14,kurspris!$A$1:$Q$792,15)</f>
        <v>23641</v>
      </c>
      <c r="O14" s="26">
        <f>VLOOKUP(A14,kurspris!$A$1:$Q$792,16)</f>
        <v>28786</v>
      </c>
      <c r="P14" s="26">
        <f>VLOOKUP(A14,kurspris!$A$1:$Q$792,17)</f>
        <v>5800</v>
      </c>
      <c r="Q14" s="26">
        <f t="shared" si="12"/>
        <v>38888.189166666663</v>
      </c>
      <c r="R14" s="26">
        <f>(Q14*Prislapp!$R$5)*-1</f>
        <v>-2722.1732416666669</v>
      </c>
      <c r="S14" s="26">
        <f t="shared" si="13"/>
        <v>36166.015925</v>
      </c>
      <c r="T14" s="26">
        <f t="shared" si="14"/>
        <v>4688.333333333333</v>
      </c>
    </row>
    <row r="15" spans="1:22" x14ac:dyDescent="0.25">
      <c r="A15" s="62" t="s">
        <v>873</v>
      </c>
      <c r="B15" t="str">
        <f>VLOOKUP(A15,kurspris!$A$1:$Q$792,2,FALSE)</f>
        <v>Samhällsorientering åk 4-6</v>
      </c>
      <c r="C15" s="31">
        <v>2500</v>
      </c>
      <c r="D15" t="str">
        <f>VLOOKUP(C15,Orgenheter!$A$1:$B$213,2)</f>
        <v>Geografi</v>
      </c>
      <c r="E15" t="str">
        <f>VLOOKUP(C15,Orgenheter!$A$1:$C$165,3,FALSE)</f>
        <v>Sam</v>
      </c>
      <c r="F15" s="315">
        <f>5/30</f>
        <v>0.16666666666666666</v>
      </c>
      <c r="G15">
        <f>VLOOKUP(A15,'Ansvar kurs'!$A$84:$C$959,2,FALSE)</f>
        <v>1630</v>
      </c>
      <c r="H15" t="str">
        <f>VLOOKUP(G15,Orgenheter!$A$1:$B$213,2)</f>
        <v>Inst för ide- o samhällsstudier</v>
      </c>
      <c r="I15" t="str">
        <f>VLOOKUP(G15,Orgenheter!$A$1:$C$165,3,FALSE)</f>
        <v>Hum</v>
      </c>
      <c r="J15" s="228">
        <f>IF(ISERROR(VLOOKUP(A15,'Totalt pivot'!$A$5:$C$397,2,FALSE)),0,(VLOOKUP(A15,'Totalt pivot'!$A$5:$C$397,2,FALSE)))</f>
        <v>7</v>
      </c>
      <c r="K15" s="228">
        <f t="shared" si="5"/>
        <v>1.1666666666666665</v>
      </c>
      <c r="L15" s="228">
        <f>IF(ISERROR(VLOOKUP(A15,'Totalt pivot'!$A$5:$C$397,3,FALSE)),0,(VLOOKUP(A15,'Totalt pivot'!$A$5:$C$397,3,FALSE)))</f>
        <v>5.9499999999999993</v>
      </c>
      <c r="M15" s="228">
        <f t="shared" si="11"/>
        <v>0.99166666666666647</v>
      </c>
      <c r="N15" s="26">
        <f>VLOOKUP(A15,kurspris!$A$1:$Q$792,15)</f>
        <v>18405</v>
      </c>
      <c r="O15" s="26">
        <f>VLOOKUP(A15,kurspris!$A$1:$Q$792,16)</f>
        <v>15773</v>
      </c>
      <c r="P15" s="26">
        <f>VLOOKUP(A15,kurspris!$A$1:$Q$792,17)</f>
        <v>5800</v>
      </c>
      <c r="Q15" s="26">
        <f t="shared" si="12"/>
        <v>37114.058333333327</v>
      </c>
      <c r="R15" s="26">
        <f>(Q15*Prislapp!$R$5)*-1</f>
        <v>-2597.9840833333333</v>
      </c>
      <c r="S15" s="26">
        <f t="shared" si="13"/>
        <v>34516.074249999991</v>
      </c>
      <c r="T15" s="26">
        <f t="shared" si="14"/>
        <v>6766.6666666666661</v>
      </c>
      <c r="V15" s="39" t="s">
        <v>898</v>
      </c>
    </row>
    <row r="16" spans="1:22" x14ac:dyDescent="0.25">
      <c r="A16" s="62" t="s">
        <v>873</v>
      </c>
      <c r="B16" t="str">
        <f>VLOOKUP(A16,kurspris!$A$1:$Q$792,2,FALSE)</f>
        <v>Samhällsorientering åk 4-6</v>
      </c>
      <c r="C16" s="31">
        <v>2180</v>
      </c>
      <c r="D16" t="str">
        <f>VLOOKUP(C16,Orgenheter!$A$1:$B$213,2)</f>
        <v xml:space="preserve">Pedagogik                     </v>
      </c>
      <c r="E16" t="str">
        <f>VLOOKUP(C16,Orgenheter!$A$1:$C$165,3,FALSE)</f>
        <v>Sam</v>
      </c>
      <c r="F16" s="315">
        <v>0.5</v>
      </c>
      <c r="G16">
        <f>VLOOKUP(A16,'Ansvar kurs'!$A$84:$C$959,2,FALSE)</f>
        <v>1630</v>
      </c>
      <c r="H16" t="str">
        <f>VLOOKUP(G16,Orgenheter!$A$1:$B$213,2)</f>
        <v>Inst för ide- o samhällsstudier</v>
      </c>
      <c r="I16" t="str">
        <f>VLOOKUP(G16,Orgenheter!$A$1:$C$165,3,FALSE)</f>
        <v>Hum</v>
      </c>
      <c r="J16" s="228">
        <f>IF(ISERROR(VLOOKUP(A16,'Totalt pivot'!$A$5:$C$397,2,FALSE)),0,(VLOOKUP(A16,'Totalt pivot'!$A$5:$C$397,2,FALSE)))</f>
        <v>7</v>
      </c>
      <c r="K16" s="228">
        <f t="shared" si="5"/>
        <v>3.5</v>
      </c>
      <c r="L16" s="228">
        <f>IF(ISERROR(VLOOKUP(A16,'Totalt pivot'!$A$5:$C$397,3,FALSE)),0,(VLOOKUP(A16,'Totalt pivot'!$A$5:$C$397,3,FALSE)))</f>
        <v>5.9499999999999993</v>
      </c>
      <c r="M16" s="228">
        <f t="shared" si="11"/>
        <v>2.9749999999999996</v>
      </c>
      <c r="N16" s="26">
        <f>VLOOKUP(A16,kurspris!$A$1:$Q$792,15)</f>
        <v>18405</v>
      </c>
      <c r="O16" s="26">
        <f>VLOOKUP(A16,kurspris!$A$1:$Q$792,16)</f>
        <v>15773</v>
      </c>
      <c r="P16" s="26">
        <f>VLOOKUP(A16,kurspris!$A$1:$Q$792,17)</f>
        <v>5800</v>
      </c>
      <c r="Q16" s="26">
        <f t="shared" si="12"/>
        <v>111342.17499999999</v>
      </c>
      <c r="R16" s="26">
        <f>(Q16*Prislapp!$R$5)*-1</f>
        <v>-7793.9522500000003</v>
      </c>
      <c r="S16" s="26">
        <f t="shared" si="13"/>
        <v>103548.22274999999</v>
      </c>
      <c r="T16" s="26">
        <f t="shared" si="14"/>
        <v>20300</v>
      </c>
    </row>
    <row r="17" spans="1:22" x14ac:dyDescent="0.25">
      <c r="A17" s="62" t="s">
        <v>1152</v>
      </c>
      <c r="B17" t="str">
        <f>VLOOKUP(A17,kurspris!$A$1:$Q$792,2,FALSE)</f>
        <v>Kunskap, vetenskap och forskningsmetodik, 7,5 hp</v>
      </c>
      <c r="C17" s="31">
        <v>2272</v>
      </c>
      <c r="D17" t="str">
        <f>VLOOKUP(C17,Orgenheter!$A$1:$B$213,2)</f>
        <v xml:space="preserve">Statistik                     </v>
      </c>
      <c r="E17" t="str">
        <f>VLOOKUP(C17,Orgenheter!$A$1:$C$165,3,FALSE)</f>
        <v>Sam</v>
      </c>
      <c r="F17" s="315">
        <f>1.5/7.5</f>
        <v>0.2</v>
      </c>
      <c r="G17">
        <f>VLOOKUP(A17,'Ansvar kurs'!$A$84:$C$959,2,FALSE)</f>
        <v>1630</v>
      </c>
      <c r="H17" t="str">
        <f>VLOOKUP(G17,Orgenheter!$A$1:$B$213,2)</f>
        <v>Inst för ide- o samhällsstudier</v>
      </c>
      <c r="I17" t="str">
        <f>VLOOKUP(G17,Orgenheter!$A$1:$C$165,3,FALSE)</f>
        <v>Hum</v>
      </c>
      <c r="J17" s="228">
        <f>IF(ISERROR(VLOOKUP(A17,'Totalt pivot'!$A$5:$C$397,2,FALSE)),0,(VLOOKUP(A17,'Totalt pivot'!$A$5:$C$397,2,FALSE)))</f>
        <v>40.465000000000003</v>
      </c>
      <c r="K17" s="228">
        <f t="shared" si="5"/>
        <v>8.0930000000000017</v>
      </c>
      <c r="L17" s="228">
        <f>IF(ISERROR(VLOOKUP(A17,'Totalt pivot'!$A$5:$C$397,3,FALSE)),0,(VLOOKUP(A17,'Totalt pivot'!$A$5:$C$397,3,FALSE)))</f>
        <v>34.39524999999999</v>
      </c>
      <c r="M17" s="228">
        <f t="shared" si="11"/>
        <v>6.8790499999999986</v>
      </c>
      <c r="N17" s="26">
        <f>VLOOKUP(A17,kurspris!$A$1:$Q$792,15)</f>
        <v>23641</v>
      </c>
      <c r="O17" s="26">
        <f>VLOOKUP(A17,kurspris!$A$1:$Q$792,16)</f>
        <v>28786</v>
      </c>
      <c r="P17" s="26">
        <f>VLOOKUP(A17,kurspris!$A$1:$Q$792,17)</f>
        <v>5800</v>
      </c>
      <c r="Q17" s="26">
        <f t="shared" si="12"/>
        <v>389346.94630000001</v>
      </c>
      <c r="R17" s="26">
        <f>(Q17*Prislapp!$R$5)*-1</f>
        <v>-27254.286241000002</v>
      </c>
      <c r="S17" s="26">
        <f t="shared" si="13"/>
        <v>362092.66005900002</v>
      </c>
      <c r="T17" s="26">
        <f t="shared" si="14"/>
        <v>46939.400000000009</v>
      </c>
      <c r="V17" t="s">
        <v>1140</v>
      </c>
    </row>
    <row r="18" spans="1:22" x14ac:dyDescent="0.25">
      <c r="A18" s="62" t="s">
        <v>1152</v>
      </c>
      <c r="B18" t="str">
        <f>VLOOKUP(A18,kurspris!$A$1:$Q$792,2,FALSE)</f>
        <v>Kunskap, vetenskap och forskningsmetodik, 7,5 hp</v>
      </c>
      <c r="C18" s="31">
        <v>2180</v>
      </c>
      <c r="D18" t="str">
        <f>VLOOKUP(C18,Orgenheter!$A$1:$B$213,2)</f>
        <v xml:space="preserve">Pedagogik                     </v>
      </c>
      <c r="E18" t="str">
        <f>VLOOKUP(C18,Orgenheter!$A$1:$C$165,3,FALSE)</f>
        <v>Sam</v>
      </c>
      <c r="F18" s="315">
        <f>1/7.5</f>
        <v>0.13333333333333333</v>
      </c>
      <c r="G18">
        <f>VLOOKUP(A18,'Ansvar kurs'!$A$84:$C$959,2,FALSE)</f>
        <v>1630</v>
      </c>
      <c r="H18" t="str">
        <f>VLOOKUP(G18,Orgenheter!$A$1:$B$213,2)</f>
        <v>Inst för ide- o samhällsstudier</v>
      </c>
      <c r="I18" t="str">
        <f>VLOOKUP(G18,Orgenheter!$A$1:$C$165,3,FALSE)</f>
        <v>Hum</v>
      </c>
      <c r="J18" s="228">
        <f>IF(ISERROR(VLOOKUP(A18,'Totalt pivot'!$A$5:$C$397,2,FALSE)),0,(VLOOKUP(A18,'Totalt pivot'!$A$5:$C$397,2,FALSE)))</f>
        <v>40.465000000000003</v>
      </c>
      <c r="K18" s="228">
        <f t="shared" si="5"/>
        <v>5.3953333333333333</v>
      </c>
      <c r="L18" s="228">
        <f>IF(ISERROR(VLOOKUP(A18,'Totalt pivot'!$A$5:$C$397,3,FALSE)),0,(VLOOKUP(A18,'Totalt pivot'!$A$5:$C$397,3,FALSE)))</f>
        <v>34.39524999999999</v>
      </c>
      <c r="M18" s="228">
        <f t="shared" si="11"/>
        <v>4.5860333333333321</v>
      </c>
      <c r="N18" s="26">
        <f>VLOOKUP(A18,kurspris!$A$1:$Q$792,15)</f>
        <v>23641</v>
      </c>
      <c r="O18" s="26">
        <f>VLOOKUP(A18,kurspris!$A$1:$Q$792,16)</f>
        <v>28786</v>
      </c>
      <c r="P18" s="26">
        <f>VLOOKUP(A18,kurspris!$A$1:$Q$792,17)</f>
        <v>5800</v>
      </c>
      <c r="Q18" s="26">
        <f t="shared" si="12"/>
        <v>259564.63086666662</v>
      </c>
      <c r="R18" s="26">
        <f>(Q18*Prislapp!$R$5)*-1</f>
        <v>-18169.524160666664</v>
      </c>
      <c r="S18" s="26">
        <f t="shared" si="13"/>
        <v>241395.10670599996</v>
      </c>
      <c r="T18" s="26">
        <f t="shared" si="14"/>
        <v>31292.933333333334</v>
      </c>
      <c r="V18" t="s">
        <v>1140</v>
      </c>
    </row>
    <row r="19" spans="1:22" x14ac:dyDescent="0.25">
      <c r="A19" s="62" t="s">
        <v>1154</v>
      </c>
      <c r="B19" t="str">
        <f>VLOOKUP(A19,kurspris!$A$1:$Q$792,2,FALSE)</f>
        <v>Etik, demokrati och det heterogena klassrummet, 7,5 hp</v>
      </c>
      <c r="C19" s="31">
        <v>1640</v>
      </c>
      <c r="D19" t="str">
        <f>VLOOKUP(C19,Orgenheter!$A$1:$B$213,2)</f>
        <v>Inst för kultur- o medievetenskap</v>
      </c>
      <c r="E19" t="str">
        <f>VLOOKUP(C19,Orgenheter!$A$1:$C$165,3,FALSE)</f>
        <v>Hum</v>
      </c>
      <c r="F19" s="315">
        <f>3.5/7.5</f>
        <v>0.46666666666666667</v>
      </c>
      <c r="G19">
        <f>VLOOKUP(A19,'Ansvar kurs'!$A$84:$C$959,2,FALSE)</f>
        <v>1630</v>
      </c>
      <c r="H19" t="str">
        <f>VLOOKUP(G19,Orgenheter!$A$1:$B$213,2)</f>
        <v>Inst för ide- o samhällsstudier</v>
      </c>
      <c r="I19" t="str">
        <f>VLOOKUP(G19,Orgenheter!$A$1:$C$165,3,FALSE)</f>
        <v>Hum</v>
      </c>
      <c r="J19" s="228">
        <f>IF(ISERROR(VLOOKUP(A19,'Totalt pivot'!$A$5:$C$397,2,FALSE)),0,(VLOOKUP(A19,'Totalt pivot'!$A$5:$C$397,2,FALSE)))</f>
        <v>40.158750000000005</v>
      </c>
      <c r="K19" s="228">
        <f t="shared" si="5"/>
        <v>18.740750000000002</v>
      </c>
      <c r="L19" s="228">
        <f>IF(ISERROR(VLOOKUP(A19,'Totalt pivot'!$A$5:$C$397,3,FALSE)),0,(VLOOKUP(A19,'Totalt pivot'!$A$5:$C$397,3,FALSE)))</f>
        <v>34.134937499999992</v>
      </c>
      <c r="M19" s="228">
        <f t="shared" si="11"/>
        <v>15.929637499999997</v>
      </c>
      <c r="N19" s="26">
        <f>VLOOKUP(A19,kurspris!$A$1:$Q$792,15)</f>
        <v>23641</v>
      </c>
      <c r="O19" s="26">
        <f>VLOOKUP(A19,kurspris!$A$1:$Q$792,16)</f>
        <v>28786</v>
      </c>
      <c r="P19" s="26">
        <f>VLOOKUP(A19,kurspris!$A$1:$Q$792,17)</f>
        <v>5800</v>
      </c>
      <c r="Q19" s="26">
        <f t="shared" si="12"/>
        <v>901600.61582499999</v>
      </c>
      <c r="R19" s="26">
        <f>(Q19*Prislapp!$R$5)*-1</f>
        <v>-63112.043107750003</v>
      </c>
      <c r="S19" s="26">
        <f t="shared" si="13"/>
        <v>838488.57271724998</v>
      </c>
      <c r="T19" s="26">
        <f t="shared" si="14"/>
        <v>108696.35</v>
      </c>
      <c r="V19" t="s">
        <v>1140</v>
      </c>
    </row>
    <row r="20" spans="1:22" x14ac:dyDescent="0.25">
      <c r="A20" s="62" t="s">
        <v>828</v>
      </c>
      <c r="B20" t="str">
        <f>VLOOKUP(A20,kurspris!$A$1:$Q$792,2,FALSE)</f>
        <v>Att undervisa i åk 4-6</v>
      </c>
      <c r="C20" s="31">
        <v>5740</v>
      </c>
      <c r="D20" t="str">
        <f>VLOOKUP(C20,Orgenheter!$A$1:$B$213,2)</f>
        <v>NMD</v>
      </c>
      <c r="E20" t="str">
        <f>VLOOKUP(C20,Orgenheter!$A$1:$C$165,3,FALSE)</f>
        <v>TekNat</v>
      </c>
      <c r="F20" s="315">
        <f>2/6</f>
        <v>0.33333333333333331</v>
      </c>
      <c r="G20">
        <f>VLOOKUP(A20,'Ansvar kurs'!$A$84:$C$959,2,FALSE)</f>
        <v>1620</v>
      </c>
      <c r="H20" t="str">
        <f>VLOOKUP(G20,Orgenheter!$A$1:$B$213,2)</f>
        <v>Inst för språkstudier</v>
      </c>
      <c r="I20" t="str">
        <f>VLOOKUP(G20,Orgenheter!$A$1:$C$165,3,FALSE)</f>
        <v>Hum</v>
      </c>
      <c r="J20" s="228">
        <f>IF(ISERROR(VLOOKUP(A20,'Totalt pivot'!$A$5:$C$397,2,FALSE)),0,(VLOOKUP(A20,'Totalt pivot'!$A$5:$C$397,2,FALSE)))</f>
        <v>2.9000000000000004</v>
      </c>
      <c r="K20" s="228">
        <f t="shared" si="5"/>
        <v>0.96666666666666679</v>
      </c>
      <c r="L20" s="228">
        <f>IF(ISERROR(VLOOKUP(A20,'Totalt pivot'!$A$5:$C$397,3,FALSE)),0,(VLOOKUP(A20,'Totalt pivot'!$A$5:$C$397,3,FALSE)))</f>
        <v>2.4650000000000003</v>
      </c>
      <c r="M20" s="228">
        <f t="shared" si="11"/>
        <v>0.82166666666666677</v>
      </c>
      <c r="N20" s="26">
        <f>VLOOKUP(A20,kurspris!$A$1:$Q$792,15)</f>
        <v>21634</v>
      </c>
      <c r="O20" s="26">
        <f>VLOOKUP(A20,kurspris!$A$1:$Q$792,16)</f>
        <v>26986</v>
      </c>
      <c r="P20" s="26">
        <f>VLOOKUP(A20,kurspris!$A$1:$Q$792,17)</f>
        <v>3400</v>
      </c>
      <c r="Q20" s="26">
        <f t="shared" si="12"/>
        <v>43086.363333333342</v>
      </c>
      <c r="R20" s="26">
        <f>(Q20*Prislapp!$R$5)*-1</f>
        <v>-3016.0454333333341</v>
      </c>
      <c r="S20" s="26">
        <f t="shared" si="13"/>
        <v>40070.317900000009</v>
      </c>
      <c r="T20" s="26">
        <f t="shared" si="14"/>
        <v>3286.666666666667</v>
      </c>
      <c r="V20" s="39" t="s">
        <v>829</v>
      </c>
    </row>
    <row r="21" spans="1:22" x14ac:dyDescent="0.25">
      <c r="A21" s="62" t="s">
        <v>827</v>
      </c>
      <c r="B21" t="str">
        <f>VLOOKUP(A21,kurspris!$A$1:$Q$792,2,FALSE)</f>
        <v>Att undervisa i F-3</v>
      </c>
      <c r="C21" s="31">
        <v>5740</v>
      </c>
      <c r="D21" t="str">
        <f>VLOOKUP(C21,Orgenheter!$A$1:$B$213,2)</f>
        <v>NMD</v>
      </c>
      <c r="E21" t="str">
        <f>VLOOKUP(C21,Orgenheter!$A$1:$C$165,3,FALSE)</f>
        <v>TekNat</v>
      </c>
      <c r="F21" s="315">
        <f>2/6</f>
        <v>0.33333333333333331</v>
      </c>
      <c r="G21">
        <f>VLOOKUP(A21,'Ansvar kurs'!$A$84:$C$959,2,FALSE)</f>
        <v>1620</v>
      </c>
      <c r="H21" t="str">
        <f>VLOOKUP(G21,Orgenheter!$A$1:$B$213,2)</f>
        <v>Inst för språkstudier</v>
      </c>
      <c r="I21" t="str">
        <f>VLOOKUP(G21,Orgenheter!$A$1:$C$165,3,FALSE)</f>
        <v>Hum</v>
      </c>
      <c r="J21" s="228">
        <f>IF(ISERROR(VLOOKUP(A21,'Totalt pivot'!$A$5:$C$397,2,FALSE)),0,(VLOOKUP(A21,'Totalt pivot'!$A$5:$C$397,2,FALSE)))</f>
        <v>2.9000000000000004</v>
      </c>
      <c r="K21" s="228">
        <f t="shared" si="5"/>
        <v>0.96666666666666679</v>
      </c>
      <c r="L21" s="228">
        <f>IF(ISERROR(VLOOKUP(A21,'Totalt pivot'!$A$5:$C$397,3,FALSE)),0,(VLOOKUP(A21,'Totalt pivot'!$A$5:$C$397,3,FALSE)))</f>
        <v>2.4650000000000003</v>
      </c>
      <c r="M21" s="228">
        <f t="shared" si="11"/>
        <v>0.82166666666666677</v>
      </c>
      <c r="N21" s="26">
        <f>VLOOKUP(A21,kurspris!$A$1:$Q$792,15)</f>
        <v>21634</v>
      </c>
      <c r="O21" s="26">
        <f>VLOOKUP(A21,kurspris!$A$1:$Q$792,16)</f>
        <v>26986</v>
      </c>
      <c r="P21" s="26">
        <f>VLOOKUP(A21,kurspris!$A$1:$Q$792,17)</f>
        <v>3400</v>
      </c>
      <c r="Q21" s="26">
        <f t="shared" si="12"/>
        <v>43086.363333333342</v>
      </c>
      <c r="R21" s="26">
        <f>(Q21*Prislapp!$R$5)*-1</f>
        <v>-3016.0454333333341</v>
      </c>
      <c r="S21" s="26">
        <f t="shared" si="13"/>
        <v>40070.317900000009</v>
      </c>
      <c r="T21" s="26">
        <f t="shared" si="14"/>
        <v>3286.666666666667</v>
      </c>
      <c r="V21" s="39" t="s">
        <v>829</v>
      </c>
    </row>
    <row r="22" spans="1:22" x14ac:dyDescent="0.25">
      <c r="A22" s="62" t="s">
        <v>1565</v>
      </c>
      <c r="B22" t="str">
        <f>VLOOKUP(A22,kurspris!$A$1:$Q$792,2,FALSE)</f>
        <v>Språk, kommunikation och språkutveckling i förskolans verksamhet</v>
      </c>
      <c r="C22" s="31">
        <v>2193</v>
      </c>
      <c r="D22" t="str">
        <f>VLOOKUP(C22,Orgenheter!$A$1:$B$213,2)</f>
        <v xml:space="preserve">TUV </v>
      </c>
      <c r="E22" t="str">
        <f>VLOOKUP(C22,Orgenheter!$A$1:$C$165,3,FALSE)</f>
        <v>Sam</v>
      </c>
      <c r="F22" s="315">
        <f>3/15</f>
        <v>0.2</v>
      </c>
      <c r="G22">
        <f>VLOOKUP(A22,'Ansvar kurs'!$A$84:$C$959,2,FALSE)</f>
        <v>1620</v>
      </c>
      <c r="H22" t="str">
        <f>VLOOKUP(G22,Orgenheter!$A$1:$B$213,2)</f>
        <v>Inst för språkstudier</v>
      </c>
      <c r="I22" t="str">
        <f>VLOOKUP(G22,Orgenheter!$A$1:$C$165,3,FALSE)</f>
        <v>Hum</v>
      </c>
      <c r="J22" s="228">
        <f>IF(ISERROR(VLOOKUP(A22,'Totalt pivot'!$A$5:$C$397,2,FALSE)),0,(VLOOKUP(A22,'Totalt pivot'!$A$5:$C$397,2,FALSE)))</f>
        <v>21.75</v>
      </c>
      <c r="K22" s="228">
        <f t="shared" si="5"/>
        <v>4.3500000000000005</v>
      </c>
      <c r="L22" s="228">
        <f>IF(ISERROR(VLOOKUP(A22,'Totalt pivot'!$A$5:$C$397,3,FALSE)),0,(VLOOKUP(A22,'Totalt pivot'!$A$5:$C$397,3,FALSE)))</f>
        <v>18.487500000000001</v>
      </c>
      <c r="M22" s="228">
        <f t="shared" ref="M22" si="35">F22*L22</f>
        <v>3.6975000000000002</v>
      </c>
      <c r="N22" s="26">
        <f>VLOOKUP(A22,kurspris!$A$1:$Q$792,15)</f>
        <v>18405</v>
      </c>
      <c r="O22" s="26">
        <f>VLOOKUP(A22,kurspris!$A$1:$Q$792,16)</f>
        <v>15773</v>
      </c>
      <c r="P22" s="26">
        <f>VLOOKUP(A22,kurspris!$A$1:$Q$792,17)</f>
        <v>5800</v>
      </c>
      <c r="Q22" s="26">
        <f t="shared" ref="Q22" si="36">K22*N22+M22*O22</f>
        <v>138382.41750000001</v>
      </c>
      <c r="R22" s="26">
        <f>(Q22*Prislapp!$R$5)*-1</f>
        <v>-9686.7692250000018</v>
      </c>
      <c r="S22" s="26">
        <f t="shared" ref="S22" si="37">Q22+R22</f>
        <v>128695.64827500001</v>
      </c>
      <c r="T22" s="26">
        <f t="shared" ref="T22" si="38">K22*P22</f>
        <v>25230.000000000004</v>
      </c>
      <c r="V22" s="39"/>
    </row>
    <row r="23" spans="1:22" x14ac:dyDescent="0.25">
      <c r="A23" s="62" t="s">
        <v>1681</v>
      </c>
      <c r="B23" t="str">
        <f>VLOOKUP(A23,kurspris!$A$1:$Q$792,2,FALSE)</f>
        <v>Kommunikation och språkutveckling för fritidshem</v>
      </c>
      <c r="C23" s="31">
        <v>2193</v>
      </c>
      <c r="D23" t="str">
        <f>VLOOKUP(C23,Orgenheter!$A$1:$B$213,2)</f>
        <v xml:space="preserve">TUV </v>
      </c>
      <c r="E23" t="str">
        <f>VLOOKUP(C23,Orgenheter!$A$1:$C$165,3,FALSE)</f>
        <v>Sam</v>
      </c>
      <c r="F23" s="315">
        <f>2.5/7.5</f>
        <v>0.33333333333333331</v>
      </c>
      <c r="G23">
        <f>VLOOKUP(A23,'Ansvar kurs'!$A$84:$C$959,2,FALSE)</f>
        <v>1620</v>
      </c>
      <c r="H23" t="str">
        <f>VLOOKUP(G23,Orgenheter!$A$1:$B$213,2)</f>
        <v>Inst för språkstudier</v>
      </c>
      <c r="I23" t="str">
        <f>VLOOKUP(G23,Orgenheter!$A$1:$C$165,3,FALSE)</f>
        <v>Hum</v>
      </c>
      <c r="J23" s="228">
        <f>IF(ISERROR(VLOOKUP(A23,'Totalt pivot'!$A$5:$C$397,2,FALSE)),0,(VLOOKUP(A23,'Totalt pivot'!$A$5:$C$397,2,FALSE)))</f>
        <v>3.125</v>
      </c>
      <c r="K23" s="228">
        <f t="shared" ref="K23" si="39">F23*J23</f>
        <v>1.0416666666666665</v>
      </c>
      <c r="L23" s="228">
        <f>IF(ISERROR(VLOOKUP(A23,'Totalt pivot'!$A$5:$C$397,3,FALSE)),0,(VLOOKUP(A23,'Totalt pivot'!$A$5:$C$397,3,FALSE)))</f>
        <v>2.65625</v>
      </c>
      <c r="M23" s="228">
        <f t="shared" ref="M23" si="40">F23*L23</f>
        <v>0.88541666666666663</v>
      </c>
      <c r="N23" s="26">
        <f>VLOOKUP(A23,kurspris!$A$1:$Q$792,15)</f>
        <v>18405</v>
      </c>
      <c r="O23" s="26">
        <f>VLOOKUP(A23,kurspris!$A$1:$Q$792,16)</f>
        <v>15773</v>
      </c>
      <c r="P23" s="26">
        <f>VLOOKUP(A23,kurspris!$A$1:$Q$792,17)</f>
        <v>5800</v>
      </c>
      <c r="Q23" s="26">
        <f t="shared" ref="Q23" si="41">K23*N23+M23*O23</f>
        <v>33137.552083333328</v>
      </c>
      <c r="R23" s="26">
        <f>(Q23*Prislapp!$R$5)*-1</f>
        <v>-2319.6286458333334</v>
      </c>
      <c r="S23" s="26">
        <f t="shared" ref="S23" si="42">Q23+R23</f>
        <v>30817.923437499994</v>
      </c>
      <c r="T23" s="26">
        <f t="shared" ref="T23" si="43">K23*P23</f>
        <v>6041.6666666666661</v>
      </c>
      <c r="V23" s="39" t="s">
        <v>1721</v>
      </c>
    </row>
    <row r="24" spans="1:22" x14ac:dyDescent="0.25">
      <c r="A24" s="31" t="s">
        <v>1459</v>
      </c>
      <c r="B24" t="str">
        <f>VLOOKUP(A24,kurspris!$A$1:$Q$792,2,FALSE)</f>
        <v>Matematik 4 för förskoleklass och grundskolans årskurs 1-3</v>
      </c>
      <c r="C24" s="31">
        <v>5730</v>
      </c>
      <c r="D24" t="str">
        <f>VLOOKUP(C24,Orgenheter!$A$1:$B$213,2)</f>
        <v>Inst för MA och MA statistik</v>
      </c>
      <c r="E24" t="str">
        <f>VLOOKUP(C24,Orgenheter!$A$1:$C$165,3,FALSE)</f>
        <v>TekNat</v>
      </c>
      <c r="F24" s="316">
        <f>2.5/7.5</f>
        <v>0.33333333333333331</v>
      </c>
      <c r="G24">
        <f>VLOOKUP(A24,'Ansvar kurs'!$A$84:$C$959,2,FALSE)</f>
        <v>5740</v>
      </c>
      <c r="H24" t="str">
        <f>VLOOKUP(G24,Orgenheter!$A$1:$B$213,2)</f>
        <v>NMD</v>
      </c>
      <c r="I24" t="str">
        <f>VLOOKUP(G24,Orgenheter!$A$1:$C$165,3,FALSE)</f>
        <v>TekNat</v>
      </c>
      <c r="J24" s="228">
        <f>IF(ISERROR(VLOOKUP(A24,'Totalt pivot'!$A$5:$C$397,2,FALSE)),0,(VLOOKUP(A24,'Totalt pivot'!$A$5:$C$397,2,FALSE)))</f>
        <v>4.5</v>
      </c>
      <c r="K24" s="228">
        <f t="shared" si="5"/>
        <v>1.5</v>
      </c>
      <c r="L24" s="228">
        <f>IF(ISERROR(VLOOKUP(A24,'Totalt pivot'!$A$5:$C$397,3,FALSE)),0,(VLOOKUP(A24,'Totalt pivot'!$A$5:$C$397,3,FALSE)))</f>
        <v>3.8250000000000002</v>
      </c>
      <c r="M24" s="228">
        <f t="shared" ref="M24" si="44">F24*L24</f>
        <v>1.2749999999999999</v>
      </c>
      <c r="N24" s="26">
        <f>VLOOKUP(A24,kurspris!$A$1:$Q$792,15)</f>
        <v>19473</v>
      </c>
      <c r="O24" s="26">
        <f>VLOOKUP(A24,kurspris!$A$1:$Q$792,16)</f>
        <v>34806</v>
      </c>
      <c r="P24" s="26">
        <f>VLOOKUP(A24,kurspris!$A$1:$Q$792,17)</f>
        <v>21800</v>
      </c>
      <c r="Q24" s="26">
        <f t="shared" ref="Q24" si="45">K24*N24+M24*O24</f>
        <v>73587.149999999994</v>
      </c>
      <c r="R24" s="26">
        <f>(Q24*Prislapp!$R$5)*-1</f>
        <v>-5151.1005000000005</v>
      </c>
      <c r="S24" s="26">
        <f t="shared" ref="S24" si="46">Q24+R24</f>
        <v>68436.049499999994</v>
      </c>
      <c r="T24" s="26">
        <f t="shared" ref="T24" si="47">K24*P24</f>
        <v>32700</v>
      </c>
    </row>
    <row r="25" spans="1:22" x14ac:dyDescent="0.25">
      <c r="A25" s="31" t="s">
        <v>1463</v>
      </c>
      <c r="B25" t="str">
        <f>VLOOKUP(A25,kurspris!$A$1:$Q$792,2,FALSE)</f>
        <v>Matematik 3 för grundskolans årskurs 4-6</v>
      </c>
      <c r="C25" s="31">
        <v>5730</v>
      </c>
      <c r="D25" t="str">
        <f>VLOOKUP(C25,Orgenheter!$A$1:$B$213,2)</f>
        <v>Inst för MA och MA statistik</v>
      </c>
      <c r="E25" t="str">
        <f>VLOOKUP(C25,Orgenheter!$A$1:$C$165,3,FALSE)</f>
        <v>TekNat</v>
      </c>
      <c r="F25" s="316">
        <f>2.5/7.5</f>
        <v>0.33333333333333331</v>
      </c>
      <c r="G25">
        <f>VLOOKUP(A25,'Ansvar kurs'!$A$84:$C$959,2,FALSE)</f>
        <v>5740</v>
      </c>
      <c r="H25" t="str">
        <f>VLOOKUP(G25,Orgenheter!$A$1:$B$213,2)</f>
        <v>NMD</v>
      </c>
      <c r="I25" t="str">
        <f>VLOOKUP(G25,Orgenheter!$A$1:$C$165,3,FALSE)</f>
        <v>TekNat</v>
      </c>
      <c r="J25" s="228">
        <f>IF(ISERROR(VLOOKUP(A25,'Totalt pivot'!$A$5:$C$397,2,FALSE)),0,(VLOOKUP(A25,'Totalt pivot'!$A$5:$C$397,2,FALSE)))</f>
        <v>2.625</v>
      </c>
      <c r="K25" s="228">
        <f t="shared" si="5"/>
        <v>0.875</v>
      </c>
      <c r="L25" s="228">
        <f>IF(ISERROR(VLOOKUP(A25,'Totalt pivot'!$A$5:$C$397,3,FALSE)),0,(VLOOKUP(A25,'Totalt pivot'!$A$5:$C$397,3,FALSE)))</f>
        <v>2.2312499999999997</v>
      </c>
      <c r="M25" s="228">
        <f>F25*L25</f>
        <v>0.74374999999999991</v>
      </c>
      <c r="N25" s="26">
        <f>VLOOKUP(A25,kurspris!$A$1:$Q$792,15)</f>
        <v>19473</v>
      </c>
      <c r="O25" s="26">
        <f>VLOOKUP(A25,kurspris!$A$1:$Q$792,16)</f>
        <v>34806</v>
      </c>
      <c r="P25" s="26">
        <f>VLOOKUP(A25,kurspris!$A$1:$Q$792,17)</f>
        <v>21800</v>
      </c>
      <c r="Q25" s="26">
        <f>K25*N25+M25*O25</f>
        <v>42925.837499999994</v>
      </c>
      <c r="R25" s="26">
        <f>(Q25*Prislapp!$R$5)*-1</f>
        <v>-3004.8086249999997</v>
      </c>
      <c r="S25" s="26">
        <f>Q25+R25</f>
        <v>39921.028874999996</v>
      </c>
      <c r="T25" s="26">
        <f>K25*P25</f>
        <v>19075</v>
      </c>
      <c r="V25" t="s">
        <v>1473</v>
      </c>
    </row>
    <row r="26" spans="1:22" x14ac:dyDescent="0.25">
      <c r="A26" s="31" t="s">
        <v>1465</v>
      </c>
      <c r="B26" t="str">
        <f>VLOOKUP(A26,kurspris!$A$1:$Q$792,2,FALSE)</f>
        <v>Matematik 4 för grundskolans årskurs 4-6</v>
      </c>
      <c r="C26" s="31">
        <v>5730</v>
      </c>
      <c r="D26" t="str">
        <f>VLOOKUP(C26,Orgenheter!$A$1:$B$213,2)</f>
        <v>Inst för MA och MA statistik</v>
      </c>
      <c r="E26" t="str">
        <f>VLOOKUP(C26,Orgenheter!$A$1:$C$165,3,FALSE)</f>
        <v>TekNat</v>
      </c>
      <c r="F26" s="316">
        <f>2.5/7.5</f>
        <v>0.33333333333333331</v>
      </c>
      <c r="G26">
        <f>VLOOKUP(A26,'Ansvar kurs'!$A$84:$C$959,2,FALSE)</f>
        <v>5740</v>
      </c>
      <c r="H26" t="str">
        <f>VLOOKUP(G26,Orgenheter!$A$1:$B$213,2)</f>
        <v>NMD</v>
      </c>
      <c r="I26" t="str">
        <f>VLOOKUP(G26,Orgenheter!$A$1:$C$165,3,FALSE)</f>
        <v>TekNat</v>
      </c>
      <c r="J26" s="228">
        <f>IF(ISERROR(VLOOKUP(A26,'Totalt pivot'!$A$5:$C$397,2,FALSE)),0,(VLOOKUP(A26,'Totalt pivot'!$A$5:$C$397,2,FALSE)))</f>
        <v>3.5</v>
      </c>
      <c r="K26" s="228">
        <f t="shared" si="5"/>
        <v>1.1666666666666665</v>
      </c>
      <c r="L26" s="228">
        <f>IF(ISERROR(VLOOKUP(A26,'Totalt pivot'!$A$5:$C$397,3,FALSE)),0,(VLOOKUP(A26,'Totalt pivot'!$A$5:$C$397,3,FALSE)))</f>
        <v>2.9750000000000001</v>
      </c>
      <c r="M26" s="228">
        <f>F26*L26</f>
        <v>0.9916666666666667</v>
      </c>
      <c r="N26" s="26">
        <f>VLOOKUP(A26,kurspris!$A$1:$Q$792,15)</f>
        <v>19473</v>
      </c>
      <c r="O26" s="26">
        <f>VLOOKUP(A26,kurspris!$A$1:$Q$792,16)</f>
        <v>34806</v>
      </c>
      <c r="P26" s="26">
        <f>VLOOKUP(A26,kurspris!$A$1:$Q$792,17)</f>
        <v>21800</v>
      </c>
      <c r="Q26" s="26">
        <f>K26*N26+M26*O26</f>
        <v>57234.45</v>
      </c>
      <c r="R26" s="26">
        <f>(Q26*Prislapp!$R$5)*-1</f>
        <v>-4006.4115000000002</v>
      </c>
      <c r="S26" s="26">
        <f>Q26+R26</f>
        <v>53228.038499999995</v>
      </c>
      <c r="T26" s="26">
        <f>K26*P26</f>
        <v>25433.333333333328</v>
      </c>
    </row>
    <row r="27" spans="1:22" x14ac:dyDescent="0.25">
      <c r="A27" s="31" t="s">
        <v>1566</v>
      </c>
      <c r="B27" t="str">
        <f>VLOOKUP(A27,kurspris!$A$1:$Q$792,2,FALSE)</f>
        <v>Matematik för förskolan</v>
      </c>
      <c r="C27" s="31">
        <v>2193</v>
      </c>
      <c r="D27" t="str">
        <f>VLOOKUP(C27,Orgenheter!$A$1:$B$213,2)</f>
        <v xml:space="preserve">TUV </v>
      </c>
      <c r="E27" t="str">
        <f>VLOOKUP(C27,Orgenheter!$A$1:$C$165,3,FALSE)</f>
        <v>Sam</v>
      </c>
      <c r="F27" s="316">
        <f>2/7.5</f>
        <v>0.26666666666666666</v>
      </c>
      <c r="G27">
        <f>VLOOKUP(A27,'Ansvar kurs'!$A$84:$C$959,2,FALSE)</f>
        <v>5740</v>
      </c>
      <c r="H27" t="str">
        <f>VLOOKUP(G27,Orgenheter!$A$1:$B$213,2)</f>
        <v>NMD</v>
      </c>
      <c r="I27" t="str">
        <f>VLOOKUP(G27,Orgenheter!$A$1:$C$165,3,FALSE)</f>
        <v>TekNat</v>
      </c>
      <c r="J27" s="228">
        <f>IF(ISERROR(VLOOKUP(A27,'Totalt pivot'!$A$5:$C$397,2,FALSE)),0,(VLOOKUP(A27,'Totalt pivot'!$A$5:$C$397,2,FALSE)))</f>
        <v>10.625</v>
      </c>
      <c r="K27" s="228">
        <f t="shared" si="5"/>
        <v>2.8333333333333335</v>
      </c>
      <c r="L27" s="228">
        <f>IF(ISERROR(VLOOKUP(A27,'Totalt pivot'!$A$5:$C$397,3,FALSE)),0,(VLOOKUP(A27,'Totalt pivot'!$A$5:$C$397,3,FALSE)))</f>
        <v>9.03125</v>
      </c>
      <c r="M27" s="228">
        <f>F27*L27</f>
        <v>2.4083333333333332</v>
      </c>
      <c r="N27" s="26">
        <f>VLOOKUP(A27,kurspris!$A$1:$Q$792,15)</f>
        <v>19473</v>
      </c>
      <c r="O27" s="26">
        <f>VLOOKUP(A27,kurspris!$A$1:$Q$792,16)</f>
        <v>34806</v>
      </c>
      <c r="P27" s="26">
        <f>VLOOKUP(A27,kurspris!$A$1:$Q$792,17)</f>
        <v>21800</v>
      </c>
      <c r="Q27" s="26">
        <f>K27*N27+M27*O27</f>
        <v>138997.95000000001</v>
      </c>
      <c r="R27" s="26">
        <f>(Q27*Prislapp!$R$5)*-1</f>
        <v>-9729.8565000000017</v>
      </c>
      <c r="S27" s="26">
        <f>Q27+R27</f>
        <v>129268.09350000002</v>
      </c>
      <c r="T27" s="26">
        <f>K27*P27</f>
        <v>61766.666666666672</v>
      </c>
    </row>
    <row r="28" spans="1:22" x14ac:dyDescent="0.25">
      <c r="A28" s="62" t="s">
        <v>1864</v>
      </c>
      <c r="B28" t="str">
        <f>VLOOKUP(A28,kurspris!$A$1:$Q$792,2,FALSE)</f>
        <v>Naturvetenskap och teknik i förskolan</v>
      </c>
      <c r="C28" s="31">
        <v>2193</v>
      </c>
      <c r="D28" t="str">
        <f>VLOOKUP(C28,Orgenheter!$A$1:$B$213,2)</f>
        <v xml:space="preserve">TUV </v>
      </c>
      <c r="E28" t="str">
        <f>VLOOKUP(C28,Orgenheter!$A$1:$C$165,3,FALSE)</f>
        <v>Sam</v>
      </c>
      <c r="F28" s="316">
        <f>3/15</f>
        <v>0.2</v>
      </c>
      <c r="G28">
        <f>VLOOKUP(A28,'Ansvar kurs'!$A$84:$C$959,2,FALSE)</f>
        <v>5740</v>
      </c>
      <c r="H28" t="str">
        <f>VLOOKUP(G28,Orgenheter!$A$1:$B$213,2)</f>
        <v>NMD</v>
      </c>
      <c r="I28" t="str">
        <f>VLOOKUP(G28,Orgenheter!$A$1:$C$165,3,FALSE)</f>
        <v>TekNat</v>
      </c>
      <c r="J28" s="228">
        <f>IF(ISERROR(VLOOKUP(A28,'Totalt pivot'!$A$5:$C$397,2,FALSE)),0,(VLOOKUP(A28,'Totalt pivot'!$A$5:$C$397,2,FALSE)))</f>
        <v>13.75</v>
      </c>
      <c r="K28" s="228">
        <f t="shared" ref="K28" si="48">F28*J28</f>
        <v>2.75</v>
      </c>
      <c r="L28" s="228">
        <f>IF(ISERROR(VLOOKUP(A28,'Totalt pivot'!$A$5:$C$397,3,FALSE)),0,(VLOOKUP(A28,'Totalt pivot'!$A$5:$C$397,3,FALSE)))</f>
        <v>11.6875</v>
      </c>
      <c r="M28" s="228">
        <f>F28*L28</f>
        <v>2.3374999999999999</v>
      </c>
      <c r="N28" s="26">
        <f>VLOOKUP(A28,kurspris!$A$1:$Q$792,15)</f>
        <v>19473</v>
      </c>
      <c r="O28" s="26">
        <f>VLOOKUP(A28,kurspris!$A$1:$Q$792,16)</f>
        <v>34806</v>
      </c>
      <c r="P28" s="26">
        <f>VLOOKUP(A28,kurspris!$A$1:$Q$792,17)</f>
        <v>21800</v>
      </c>
      <c r="Q28" s="26">
        <f>K28*N28+M28*O28</f>
        <v>134909.77499999999</v>
      </c>
      <c r="R28" s="26">
        <f>(Q28*Prislapp!$R$5)*-1</f>
        <v>-9443.6842500000002</v>
      </c>
      <c r="S28" s="26">
        <f>Q28+R28</f>
        <v>125466.09074999999</v>
      </c>
      <c r="T28" s="26">
        <f>K28*P28</f>
        <v>59950</v>
      </c>
    </row>
    <row r="29" spans="1:22" x14ac:dyDescent="0.25">
      <c r="A29" s="31" t="s">
        <v>506</v>
      </c>
      <c r="B29" t="str">
        <f>VLOOKUP(A29,kurspris!$A$1:$Q$792,2,FALSE)</f>
        <v>Grupprocesser och samverkan ur ett fritidshemsperspektiv</v>
      </c>
      <c r="C29" s="31">
        <v>1650</v>
      </c>
      <c r="D29" t="str">
        <f>VLOOKUP(C29,Orgenheter!$A$1:$B$213,2)</f>
        <v xml:space="preserve">Estetiska ämnen               </v>
      </c>
      <c r="E29" t="str">
        <f>VLOOKUP(C29,Orgenheter!$A$1:$C$165,3,FALSE)</f>
        <v>Hum</v>
      </c>
      <c r="F29" s="316">
        <v>0.4</v>
      </c>
      <c r="G29">
        <f>VLOOKUP(A29,'Ansvar kurs'!$A$84:$C$959,2,FALSE)</f>
        <v>2193</v>
      </c>
      <c r="H29" t="str">
        <f>VLOOKUP(G29,Orgenheter!$A$1:$B$213,2)</f>
        <v xml:space="preserve">TUV </v>
      </c>
      <c r="I29" t="str">
        <f>VLOOKUP(G29,Orgenheter!$A$1:$C$165,3,FALSE)</f>
        <v>Sam</v>
      </c>
      <c r="J29" s="228">
        <f>IF(ISERROR(VLOOKUP(A29,'Totalt pivot'!$A$5:$C$397,2,FALSE)),0,(VLOOKUP(A29,'Totalt pivot'!$A$5:$C$397,2,FALSE)))</f>
        <v>3.125</v>
      </c>
      <c r="K29" s="228">
        <f t="shared" si="5"/>
        <v>1.25</v>
      </c>
      <c r="L29" s="228">
        <f>IF(ISERROR(VLOOKUP(A29,'Totalt pivot'!$A$5:$C$397,3,FALSE)),0,(VLOOKUP(A29,'Totalt pivot'!$A$5:$C$397,3,FALSE)))</f>
        <v>2.65625</v>
      </c>
      <c r="M29" s="228">
        <f t="shared" si="11"/>
        <v>1.0625</v>
      </c>
      <c r="N29" s="26">
        <f>VLOOKUP(A29,kurspris!$A$1:$Q$792,15)</f>
        <v>18405</v>
      </c>
      <c r="O29" s="26">
        <f>VLOOKUP(A29,kurspris!$A$1:$Q$792,16)</f>
        <v>15773</v>
      </c>
      <c r="P29" s="26">
        <f>VLOOKUP(A29,kurspris!$A$1:$Q$792,17)</f>
        <v>5800</v>
      </c>
      <c r="Q29" s="26">
        <f t="shared" si="12"/>
        <v>39765.0625</v>
      </c>
      <c r="R29" s="26">
        <f>(Q29*Prislapp!$R$5)*-1</f>
        <v>-2783.5543750000002</v>
      </c>
      <c r="S29" s="26">
        <f t="shared" si="13"/>
        <v>36981.508125</v>
      </c>
      <c r="T29" s="26">
        <f t="shared" si="14"/>
        <v>7250</v>
      </c>
    </row>
    <row r="30" spans="1:22" x14ac:dyDescent="0.25">
      <c r="A30" s="31" t="s">
        <v>835</v>
      </c>
      <c r="B30" t="str">
        <f>VLOOKUP(A30,kurspris!$A$1:$Q$792,2,FALSE)</f>
        <v>Kunskap, undervisning och lärande för yrkeslärare II</v>
      </c>
      <c r="C30" s="31">
        <v>2193</v>
      </c>
      <c r="D30" t="str">
        <f>VLOOKUP(C30,Orgenheter!$A$1:$B$213,2)</f>
        <v xml:space="preserve">TUV </v>
      </c>
      <c r="E30" t="str">
        <f>VLOOKUP(C30,Orgenheter!$A$1:$C$165,3,FALSE)</f>
        <v>Sam</v>
      </c>
      <c r="F30" s="316">
        <f>6/15</f>
        <v>0.4</v>
      </c>
      <c r="G30">
        <f>VLOOKUP(A30,'Ansvar kurs'!$A$84:$C$959,2,FALSE)</f>
        <v>2180</v>
      </c>
      <c r="H30" t="str">
        <f>VLOOKUP(G30,Orgenheter!$A$1:$B$213,2)</f>
        <v xml:space="preserve">Pedagogik                     </v>
      </c>
      <c r="I30" t="str">
        <f>VLOOKUP(G30,Orgenheter!$A$1:$C$165,3,FALSE)</f>
        <v>Sam</v>
      </c>
      <c r="J30" s="228">
        <f>IF(ISERROR(VLOOKUP(A30,'Totalt pivot'!$A$5:$C$397,2,FALSE)),0,(VLOOKUP(A30,'Totalt pivot'!$A$5:$C$397,2,FALSE)))</f>
        <v>11.25</v>
      </c>
      <c r="K30" s="228">
        <f t="shared" si="5"/>
        <v>4.5</v>
      </c>
      <c r="L30" s="228">
        <f>IF(ISERROR(VLOOKUP(A30,'Totalt pivot'!$A$5:$C$397,3,FALSE)),0,(VLOOKUP(A30,'Totalt pivot'!$A$5:$C$397,3,FALSE)))</f>
        <v>9.5625</v>
      </c>
      <c r="M30" s="228">
        <f t="shared" si="11"/>
        <v>3.8250000000000002</v>
      </c>
      <c r="N30" s="26">
        <f>VLOOKUP(A30,kurspris!$A$1:$Q$792,15)</f>
        <v>23641</v>
      </c>
      <c r="O30" s="26">
        <f>VLOOKUP(A30,kurspris!$A$1:$Q$792,16)</f>
        <v>28786</v>
      </c>
      <c r="P30" s="26">
        <f>VLOOKUP(A30,kurspris!$A$1:$Q$792,17)</f>
        <v>5800</v>
      </c>
      <c r="Q30" s="26">
        <f t="shared" si="12"/>
        <v>216490.95</v>
      </c>
      <c r="R30" s="26">
        <f>(Q30*Prislapp!$R$5)*-1</f>
        <v>-15154.366500000002</v>
      </c>
      <c r="S30" s="26">
        <f t="shared" si="13"/>
        <v>201336.58350000001</v>
      </c>
      <c r="T30" s="26">
        <f t="shared" si="14"/>
        <v>26100</v>
      </c>
    </row>
    <row r="31" spans="1:22" x14ac:dyDescent="0.25">
      <c r="A31" s="62" t="s">
        <v>920</v>
      </c>
      <c r="B31" t="str">
        <f>VLOOKUP(A31,kurspris!$A$1:$Q$792,2,FALSE)</f>
        <v>Ämnesdidaktik för yrkeslärare</v>
      </c>
      <c r="C31" s="31">
        <v>2180</v>
      </c>
      <c r="D31" t="str">
        <f>VLOOKUP(C31,Orgenheter!$A$1:$B$213,2)</f>
        <v xml:space="preserve">Pedagogik                     </v>
      </c>
      <c r="E31" t="str">
        <f>VLOOKUP(C31,Orgenheter!$A$1:$C$165,3,FALSE)</f>
        <v>Sam</v>
      </c>
      <c r="F31" s="316">
        <f>4/10</f>
        <v>0.4</v>
      </c>
      <c r="G31">
        <f>VLOOKUP(A31,'Ansvar kurs'!$A$84:$C$959,2,FALSE)</f>
        <v>2193</v>
      </c>
      <c r="H31" t="str">
        <f>VLOOKUP(G31,Orgenheter!$A$1:$B$213,2)</f>
        <v xml:space="preserve">TUV </v>
      </c>
      <c r="I31" t="str">
        <f>VLOOKUP(G31,Orgenheter!$A$1:$C$165,3,FALSE)</f>
        <v>Sam</v>
      </c>
      <c r="J31" s="228">
        <f>IF(ISERROR(VLOOKUP(A31,'Totalt pivot'!$A$5:$C$397,2,FALSE)),0,(VLOOKUP(A31,'Totalt pivot'!$A$5:$C$397,2,FALSE)))</f>
        <v>4.3333333333333339</v>
      </c>
      <c r="K31" s="228">
        <f t="shared" si="5"/>
        <v>1.7333333333333336</v>
      </c>
      <c r="L31" s="228">
        <f>IF(ISERROR(VLOOKUP(A31,'Totalt pivot'!$A$5:$C$397,3,FALSE)),0,(VLOOKUP(A31,'Totalt pivot'!$A$5:$C$397,3,FALSE)))</f>
        <v>3.6833333333333331</v>
      </c>
      <c r="M31" s="228">
        <f>F31*L31</f>
        <v>1.4733333333333334</v>
      </c>
      <c r="N31" s="26">
        <f>VLOOKUP(A31,kurspris!$A$1:$Q$792,15)</f>
        <v>23641</v>
      </c>
      <c r="O31" s="26">
        <f>VLOOKUP(A31,kurspris!$A$1:$Q$792,16)</f>
        <v>28786</v>
      </c>
      <c r="P31" s="26">
        <f>VLOOKUP(A31,kurspris!$A$1:$Q$792,17)</f>
        <v>5800</v>
      </c>
      <c r="Q31" s="26">
        <f>K31*N31+M31*O31</f>
        <v>83389.106666666674</v>
      </c>
      <c r="R31" s="26">
        <f>(Q31*Prislapp!$R$5)*-1</f>
        <v>-5837.2374666666674</v>
      </c>
      <c r="S31" s="26">
        <f>Q31+R31</f>
        <v>77551.869200000001</v>
      </c>
      <c r="T31" s="26">
        <f>K31*P31</f>
        <v>10053.333333333336</v>
      </c>
      <c r="V31" t="s">
        <v>1305</v>
      </c>
    </row>
    <row r="32" spans="1:22" x14ac:dyDescent="0.25">
      <c r="A32" s="62" t="s">
        <v>921</v>
      </c>
      <c r="B32" t="str">
        <f>VLOOKUP(A32,kurspris!$A$1:$Q$792,2,FALSE)</f>
        <v>Profession och vetenskap för yrkeslärare</v>
      </c>
      <c r="C32" s="31">
        <v>2180</v>
      </c>
      <c r="D32" t="str">
        <f>VLOOKUP(C32,Orgenheter!$A$1:$B$213,2)</f>
        <v xml:space="preserve">Pedagogik                     </v>
      </c>
      <c r="E32" t="str">
        <f>VLOOKUP(C32,Orgenheter!$A$1:$C$165,3,FALSE)</f>
        <v>Sam</v>
      </c>
      <c r="F32" s="316">
        <f>2/5</f>
        <v>0.4</v>
      </c>
      <c r="G32">
        <f>VLOOKUP(A32,'Ansvar kurs'!$A$84:$C$959,2,FALSE)</f>
        <v>2193</v>
      </c>
      <c r="H32" t="str">
        <f>VLOOKUP(G32,Orgenheter!$A$1:$B$213,2)</f>
        <v xml:space="preserve">TUV </v>
      </c>
      <c r="I32" t="str">
        <f>VLOOKUP(G32,Orgenheter!$A$1:$C$165,3,FALSE)</f>
        <v>Sam</v>
      </c>
      <c r="J32" s="228">
        <f>IF(ISERROR(VLOOKUP(A32,'Totalt pivot'!$A$5:$C$397,2,FALSE)),0,(VLOOKUP(A32,'Totalt pivot'!$A$5:$C$397,2,FALSE)))</f>
        <v>1.9166666666666665</v>
      </c>
      <c r="K32" s="228">
        <f t="shared" si="5"/>
        <v>0.76666666666666661</v>
      </c>
      <c r="L32" s="228">
        <f>IF(ISERROR(VLOOKUP(A32,'Totalt pivot'!$A$5:$C$397,3,FALSE)),0,(VLOOKUP(A32,'Totalt pivot'!$A$5:$C$397,3,FALSE)))</f>
        <v>1.6291666666666664</v>
      </c>
      <c r="M32" s="228">
        <f t="shared" ref="M32:M104" si="49">F32*L32</f>
        <v>0.65166666666666662</v>
      </c>
      <c r="N32" s="26">
        <f>VLOOKUP(A32,kurspris!$A$1:$Q$792,15)</f>
        <v>23641</v>
      </c>
      <c r="O32" s="26">
        <f>VLOOKUP(A32,kurspris!$A$1:$Q$792,16)</f>
        <v>28786</v>
      </c>
      <c r="P32" s="26">
        <f>VLOOKUP(A32,kurspris!$A$1:$Q$792,17)</f>
        <v>5800</v>
      </c>
      <c r="Q32" s="26">
        <f t="shared" ref="Q32:Q104" si="50">K32*N32+M32*O32</f>
        <v>36883.643333333333</v>
      </c>
      <c r="R32" s="26">
        <f>(Q32*Prislapp!$R$5)*-1</f>
        <v>-2581.8550333333337</v>
      </c>
      <c r="S32" s="26">
        <f t="shared" ref="S32:S104" si="51">Q32+R32</f>
        <v>34301.7883</v>
      </c>
      <c r="T32" s="26">
        <f t="shared" ref="T32:T104" si="52">K32*P32</f>
        <v>4446.6666666666661</v>
      </c>
      <c r="V32" s="39" t="s">
        <v>829</v>
      </c>
    </row>
    <row r="33" spans="1:22" x14ac:dyDescent="0.25">
      <c r="A33" s="59" t="s">
        <v>1150</v>
      </c>
      <c r="B33" t="str">
        <f>VLOOKUP(A33,kurspris!$A$1:$Q$792,2,FALSE)</f>
        <v>Förskollärare som profession</v>
      </c>
      <c r="C33" s="31">
        <v>2300</v>
      </c>
      <c r="D33" t="str">
        <f>VLOOKUP(C33,Orgenheter!$A$1:$B$213,2)</f>
        <v xml:space="preserve">Juridiska institutionen       </v>
      </c>
      <c r="E33" t="str">
        <f>VLOOKUP(C33,Orgenheter!$A$1:$C$165,3,FALSE)</f>
        <v>Sam</v>
      </c>
      <c r="F33" s="315">
        <f>1.5/6</f>
        <v>0.25</v>
      </c>
      <c r="G33">
        <f>VLOOKUP(A33,'Ansvar kurs'!$A$84:$C$959,2,FALSE)</f>
        <v>2193</v>
      </c>
      <c r="H33" t="str">
        <f>VLOOKUP(G33,Orgenheter!$A$1:$B$213,2)</f>
        <v xml:space="preserve">TUV </v>
      </c>
      <c r="I33" t="str">
        <f>VLOOKUP(G33,Orgenheter!$A$1:$C$165,3,FALSE)</f>
        <v>Sam</v>
      </c>
      <c r="J33" s="228">
        <f>IF(ISERROR(VLOOKUP(A33,'Totalt pivot'!$A$5:$C$397,2,FALSE)),0,(VLOOKUP(A33,'Totalt pivot'!$A$5:$C$397,2,FALSE)))</f>
        <v>8</v>
      </c>
      <c r="K33" s="228">
        <f t="shared" ref="K33:K102" si="53">F33*J33</f>
        <v>2</v>
      </c>
      <c r="L33" s="228">
        <f>IF(ISERROR(VLOOKUP(A33,'Totalt pivot'!$A$5:$C$397,3,FALSE)),0,(VLOOKUP(A33,'Totalt pivot'!$A$5:$C$397,3,FALSE)))</f>
        <v>6.8</v>
      </c>
      <c r="M33" s="228">
        <f t="shared" si="49"/>
        <v>1.7</v>
      </c>
      <c r="N33" s="26">
        <f>VLOOKUP(A33,kurspris!$A$1:$Q$792,15)</f>
        <v>23641</v>
      </c>
      <c r="O33" s="26">
        <f>VLOOKUP(A33,kurspris!$A$1:$Q$792,16)</f>
        <v>28786</v>
      </c>
      <c r="P33" s="26">
        <f>VLOOKUP(A33,kurspris!$A$1:$Q$792,17)</f>
        <v>5800</v>
      </c>
      <c r="Q33" s="26">
        <f t="shared" si="50"/>
        <v>96218.2</v>
      </c>
      <c r="R33" s="26">
        <f>(Q33*Prislapp!$R$5)*-1</f>
        <v>-6735.2740000000003</v>
      </c>
      <c r="S33" s="26">
        <f t="shared" si="51"/>
        <v>89482.925999999992</v>
      </c>
      <c r="T33" s="26">
        <f t="shared" si="52"/>
        <v>11600</v>
      </c>
      <c r="V33" t="s">
        <v>1140</v>
      </c>
    </row>
    <row r="34" spans="1:22" x14ac:dyDescent="0.25">
      <c r="A34" s="62" t="s">
        <v>1287</v>
      </c>
      <c r="B34" t="str">
        <f>VLOOKUP(A34,kurspris!$A$1:$Q$792,2,FALSE)</f>
        <v>Ämneslärare som profession</v>
      </c>
      <c r="C34" s="31">
        <v>2300</v>
      </c>
      <c r="D34" t="str">
        <f>VLOOKUP(C34,Orgenheter!$A$1:$B$213,2)</f>
        <v xml:space="preserve">Juridiska institutionen       </v>
      </c>
      <c r="E34" t="str">
        <f>VLOOKUP(C34,Orgenheter!$A$1:$C$165,3,FALSE)</f>
        <v>Sam</v>
      </c>
      <c r="F34" s="315">
        <f>1.5/6</f>
        <v>0.25</v>
      </c>
      <c r="G34">
        <f>VLOOKUP(A34,'Ansvar kurs'!$A$84:$C$959,2,FALSE)</f>
        <v>2180</v>
      </c>
      <c r="H34" t="str">
        <f>VLOOKUP(G34,Orgenheter!$A$1:$B$213,2)</f>
        <v xml:space="preserve">Pedagogik                     </v>
      </c>
      <c r="I34" t="str">
        <f>VLOOKUP(G34,Orgenheter!$A$1:$C$165,3,FALSE)</f>
        <v>Sam</v>
      </c>
      <c r="J34" s="228">
        <f>IF(ISERROR(VLOOKUP(A34,'Totalt pivot'!$A$5:$C$397,2,FALSE)),0,(VLOOKUP(A34,'Totalt pivot'!$A$5:$C$397,2,FALSE)))</f>
        <v>15.400000000000002</v>
      </c>
      <c r="K34" s="228">
        <f t="shared" si="53"/>
        <v>3.8500000000000005</v>
      </c>
      <c r="L34" s="228">
        <f>IF(ISERROR(VLOOKUP(A34,'Totalt pivot'!$A$5:$C$397,3,FALSE)),0,(VLOOKUP(A34,'Totalt pivot'!$A$5:$C$397,3,FALSE)))</f>
        <v>13.090000000000002</v>
      </c>
      <c r="M34" s="228">
        <f t="shared" ref="M34:M83" si="54">F34*L34</f>
        <v>3.2725000000000004</v>
      </c>
      <c r="N34" s="26">
        <f>VLOOKUP(A34,kurspris!$A$1:$Q$792,15)</f>
        <v>23641</v>
      </c>
      <c r="O34" s="26">
        <f>VLOOKUP(A34,kurspris!$A$1:$Q$792,16)</f>
        <v>28786</v>
      </c>
      <c r="P34" s="26">
        <f>VLOOKUP(A34,kurspris!$A$1:$Q$792,17)</f>
        <v>5800</v>
      </c>
      <c r="Q34" s="26">
        <f t="shared" ref="Q34:Q83" si="55">K34*N34+M34*O34</f>
        <v>185220.03500000003</v>
      </c>
      <c r="R34" s="26">
        <f>(Q34*Prislapp!$R$5)*-1</f>
        <v>-12965.402450000003</v>
      </c>
      <c r="S34" s="26">
        <f t="shared" ref="S34:S83" si="56">Q34+R34</f>
        <v>172254.63255000004</v>
      </c>
      <c r="T34" s="26">
        <f t="shared" ref="T34:T83" si="57">K34*P34</f>
        <v>22330.000000000004</v>
      </c>
      <c r="V34" t="s">
        <v>1140</v>
      </c>
    </row>
    <row r="35" spans="1:22" x14ac:dyDescent="0.25">
      <c r="A35" s="62" t="s">
        <v>1285</v>
      </c>
      <c r="B35" t="str">
        <f>VLOOKUP(A35,kurspris!$A$1:$Q$792,2,FALSE)</f>
        <v>Lärande och undervisning</v>
      </c>
      <c r="C35" s="31">
        <v>2200</v>
      </c>
      <c r="D35" t="str">
        <f>VLOOKUP(C35,Orgenheter!$A$1:$B$213,2)</f>
        <v xml:space="preserve">Inst för psykologi            </v>
      </c>
      <c r="E35" t="str">
        <f>VLOOKUP(C35,Orgenheter!$A$1:$C$165,3,FALSE)</f>
        <v>Sam</v>
      </c>
      <c r="F35" s="315">
        <f>3/7.5</f>
        <v>0.4</v>
      </c>
      <c r="G35">
        <f>VLOOKUP(A35,'Ansvar kurs'!$A$84:$C$959,2,FALSE)</f>
        <v>2180</v>
      </c>
      <c r="H35" t="str">
        <f>VLOOKUP(G35,Orgenheter!$A$1:$B$213,2)</f>
        <v xml:space="preserve">Pedagogik                     </v>
      </c>
      <c r="I35" t="str">
        <f>VLOOKUP(G35,Orgenheter!$A$1:$C$165,3,FALSE)</f>
        <v>Sam</v>
      </c>
      <c r="J35" s="228">
        <f>IF(ISERROR(VLOOKUP(A35,'Totalt pivot'!$A$5:$C$397,2,FALSE)),0,(VLOOKUP(A35,'Totalt pivot'!$A$5:$C$397,2,FALSE)))</f>
        <v>40.931249999999999</v>
      </c>
      <c r="K35" s="228">
        <f t="shared" si="53"/>
        <v>16.372499999999999</v>
      </c>
      <c r="L35" s="228">
        <f>IF(ISERROR(VLOOKUP(A35,'Totalt pivot'!$A$5:$C$397,3,FALSE)),0,(VLOOKUP(A35,'Totalt pivot'!$A$5:$C$397,3,FALSE)))</f>
        <v>34.791562499999991</v>
      </c>
      <c r="M35" s="228">
        <f t="shared" si="54"/>
        <v>13.916624999999996</v>
      </c>
      <c r="N35" s="26">
        <f>VLOOKUP(A35,kurspris!$A$1:$Q$792,15)</f>
        <v>23641</v>
      </c>
      <c r="O35" s="26">
        <f>VLOOKUP(A35,kurspris!$A$1:$Q$792,16)</f>
        <v>28786</v>
      </c>
      <c r="P35" s="26">
        <f>VLOOKUP(A35,kurspris!$A$1:$Q$792,17)</f>
        <v>5800</v>
      </c>
      <c r="Q35" s="26">
        <f t="shared" si="55"/>
        <v>787666.23974999983</v>
      </c>
      <c r="R35" s="26">
        <f>(Q35*Prislapp!$R$5)*-1</f>
        <v>-55136.636782499991</v>
      </c>
      <c r="S35" s="26">
        <f t="shared" si="56"/>
        <v>732529.60296749987</v>
      </c>
      <c r="T35" s="26">
        <f t="shared" si="57"/>
        <v>94960.499999999985</v>
      </c>
      <c r="V35" t="s">
        <v>1140</v>
      </c>
    </row>
    <row r="36" spans="1:22" x14ac:dyDescent="0.25">
      <c r="A36" s="31" t="s">
        <v>1443</v>
      </c>
      <c r="B36" t="str">
        <f>VLOOKUP(A36,kurspris!$A$1:$Q$792,2,FALSE)</f>
        <v>Barns lärande och omsorg</v>
      </c>
      <c r="C36" s="31">
        <v>2180</v>
      </c>
      <c r="D36" t="str">
        <f>VLOOKUP(C36,Orgenheter!$A$1:$B$213,2)</f>
        <v xml:space="preserve">Pedagogik                     </v>
      </c>
      <c r="E36" t="str">
        <f>VLOOKUP(C36,Orgenheter!$A$1:$C$165,3,FALSE)</f>
        <v>Sam</v>
      </c>
      <c r="F36" s="315">
        <f>3/15</f>
        <v>0.2</v>
      </c>
      <c r="G36">
        <f>VLOOKUP(A36,'Ansvar kurs'!$A$84:$C$959,2,FALSE)</f>
        <v>2193</v>
      </c>
      <c r="H36" t="str">
        <f>VLOOKUP(G36,Orgenheter!$A$1:$B$213,2)</f>
        <v xml:space="preserve">TUV </v>
      </c>
      <c r="I36" t="str">
        <f>VLOOKUP(G36,Orgenheter!$A$1:$C$165,3,FALSE)</f>
        <v>Sam</v>
      </c>
      <c r="J36" s="228">
        <f>IF(ISERROR(VLOOKUP(A36,'Totalt pivot'!$A$5:$C$397,2,FALSE)),0,(VLOOKUP(A36,'Totalt pivot'!$A$5:$C$397,2,FALSE)))</f>
        <v>16.5</v>
      </c>
      <c r="K36" s="228">
        <f t="shared" si="53"/>
        <v>3.3000000000000003</v>
      </c>
      <c r="L36" s="228">
        <f>IF(ISERROR(VLOOKUP(A36,'Totalt pivot'!$A$5:$C$397,3,FALSE)),0,(VLOOKUP(A36,'Totalt pivot'!$A$5:$C$397,3,FALSE)))</f>
        <v>14.025</v>
      </c>
      <c r="M36" s="228">
        <f t="shared" si="54"/>
        <v>2.8050000000000002</v>
      </c>
      <c r="N36" s="26">
        <f>VLOOKUP(A36,kurspris!$A$1:$Q$792,15)</f>
        <v>18405</v>
      </c>
      <c r="O36" s="26">
        <f>VLOOKUP(A36,kurspris!$A$1:$Q$792,16)</f>
        <v>15773</v>
      </c>
      <c r="P36" s="26">
        <f>VLOOKUP(A36,kurspris!$A$1:$Q$792,17)</f>
        <v>5800</v>
      </c>
      <c r="Q36" s="26">
        <f t="shared" si="55"/>
        <v>104979.76500000001</v>
      </c>
      <c r="R36" s="26">
        <f>(Q36*Prislapp!$R$5)*-1</f>
        <v>-7348.5835500000021</v>
      </c>
      <c r="S36" s="26">
        <f t="shared" si="56"/>
        <v>97631.181450000018</v>
      </c>
      <c r="T36" s="26">
        <f t="shared" si="57"/>
        <v>19140</v>
      </c>
    </row>
    <row r="37" spans="1:22" x14ac:dyDescent="0.25">
      <c r="A37" s="31" t="s">
        <v>1481</v>
      </c>
      <c r="B37" t="str">
        <f>VLOOKUP(A37,kurspris!$A$1:$Q$792,2,FALSE)</f>
        <v>Verksamhetsförlagd utbildning för yrkeslärare (VFU)</v>
      </c>
      <c r="C37" s="31">
        <v>2193</v>
      </c>
      <c r="D37" t="str">
        <f>VLOOKUP(C37,Orgenheter!$A$1:$B$213,2)</f>
        <v xml:space="preserve">TUV </v>
      </c>
      <c r="E37" t="str">
        <f>VLOOKUP(C37,Orgenheter!$A$1:$C$165,3,FALSE)</f>
        <v>Sam</v>
      </c>
      <c r="F37" s="315">
        <f>15/30</f>
        <v>0.5</v>
      </c>
      <c r="G37">
        <f>VLOOKUP(A37,'Ansvar kurs'!$A$84:$C$959,2,FALSE)</f>
        <v>2180</v>
      </c>
      <c r="H37" t="str">
        <f>VLOOKUP(G37,Orgenheter!$A$1:$B$213,2)</f>
        <v xml:space="preserve">Pedagogik                     </v>
      </c>
      <c r="I37" t="str">
        <f>VLOOKUP(G37,Orgenheter!$A$1:$C$165,3,FALSE)</f>
        <v>Sam</v>
      </c>
      <c r="J37" s="228">
        <f>IF(ISERROR(VLOOKUP(A37,'Totalt pivot'!$A$5:$C$397,2,FALSE)),0,(VLOOKUP(A37,'Totalt pivot'!$A$5:$C$397,2,FALSE)))</f>
        <v>9.75</v>
      </c>
      <c r="K37" s="228">
        <f t="shared" ref="K37" si="58">F37*J37</f>
        <v>4.875</v>
      </c>
      <c r="L37" s="228">
        <f>IF(ISERROR(VLOOKUP(A37,'Totalt pivot'!$A$5:$C$397,3,FALSE)),0,(VLOOKUP(A37,'Totalt pivot'!$A$5:$C$397,3,FALSE)))</f>
        <v>8.2874999999999996</v>
      </c>
      <c r="M37" s="228">
        <f t="shared" ref="M37" si="59">F37*L37</f>
        <v>4.1437499999999998</v>
      </c>
      <c r="N37" s="26">
        <f>VLOOKUP(A37,kurspris!$A$1:$Q$792,15)</f>
        <v>21634</v>
      </c>
      <c r="O37" s="26">
        <f>VLOOKUP(A37,kurspris!$A$1:$Q$792,16)</f>
        <v>26986</v>
      </c>
      <c r="P37" s="26">
        <f>VLOOKUP(A37,kurspris!$A$1:$Q$792,17)</f>
        <v>3400</v>
      </c>
      <c r="Q37" s="26">
        <f t="shared" ref="Q37" si="60">K37*N37+M37*O37</f>
        <v>217288.98749999999</v>
      </c>
      <c r="R37" s="26">
        <f>(Q37*Prislapp!$R$5)*-1</f>
        <v>-15210.229125</v>
      </c>
      <c r="S37" s="26">
        <f t="shared" ref="S37" si="61">Q37+R37</f>
        <v>202078.75837499998</v>
      </c>
      <c r="T37" s="26">
        <f t="shared" ref="T37" si="62">K37*P37</f>
        <v>16575</v>
      </c>
      <c r="V37" t="s">
        <v>1928</v>
      </c>
    </row>
    <row r="38" spans="1:22" x14ac:dyDescent="0.25">
      <c r="A38" s="31" t="s">
        <v>1538</v>
      </c>
      <c r="B38" t="str">
        <f>VLOOKUP(A38,kurspris!$A$1:$Q$792,2,FALSE)</f>
        <v>Bedömning (UK)</v>
      </c>
      <c r="C38" s="31">
        <v>2193</v>
      </c>
      <c r="D38" t="str">
        <f>VLOOKUP(C38,Orgenheter!$A$1:$B$213,2)</f>
        <v xml:space="preserve">TUV </v>
      </c>
      <c r="E38" t="str">
        <f>VLOOKUP(C38,Orgenheter!$A$1:$C$165,3,FALSE)</f>
        <v>Sam</v>
      </c>
      <c r="F38" s="315">
        <f>2/7.5</f>
        <v>0.26666666666666666</v>
      </c>
      <c r="G38">
        <f>VLOOKUP(A38,'Ansvar kurs'!$A$84:$C$959,2,FALSE)</f>
        <v>5740</v>
      </c>
      <c r="H38" t="str">
        <f>VLOOKUP(G38,Orgenheter!$A$1:$B$213,2)</f>
        <v>NMD</v>
      </c>
      <c r="I38" t="str">
        <f>VLOOKUP(G38,Orgenheter!$A$1:$C$165,3,FALSE)</f>
        <v>TekNat</v>
      </c>
      <c r="J38" s="228">
        <f>IF(ISERROR(VLOOKUP(A38,'Totalt pivot'!$A$5:$C$397,2,FALSE)),0,(VLOOKUP(A38,'Totalt pivot'!$A$5:$C$397,2,FALSE)))</f>
        <v>7.125</v>
      </c>
      <c r="K38" s="228">
        <f t="shared" si="53"/>
        <v>1.9</v>
      </c>
      <c r="L38" s="228">
        <f>IF(ISERROR(VLOOKUP(A38,'Totalt pivot'!$A$5:$C$397,3,FALSE)),0,(VLOOKUP(A38,'Totalt pivot'!$A$5:$C$397,3,FALSE)))</f>
        <v>6.0562499999999995</v>
      </c>
      <c r="M38" s="228">
        <f t="shared" ref="M38:M39" si="63">F38*L38</f>
        <v>1.6149999999999998</v>
      </c>
      <c r="N38" s="26">
        <f>VLOOKUP(A38,kurspris!$A$1:$Q$792,15)</f>
        <v>23641</v>
      </c>
      <c r="O38" s="26">
        <f>VLOOKUP(A38,kurspris!$A$1:$Q$792,16)</f>
        <v>28786</v>
      </c>
      <c r="P38" s="26">
        <f>VLOOKUP(A38,kurspris!$A$1:$Q$792,17)</f>
        <v>5800</v>
      </c>
      <c r="Q38" s="26">
        <f t="shared" ref="Q38:Q39" si="64">K38*N38+M38*O38</f>
        <v>91407.29</v>
      </c>
      <c r="R38" s="26">
        <f>(Q38*Prislapp!$R$5)*-1</f>
        <v>-6398.5102999999999</v>
      </c>
      <c r="S38" s="26">
        <f t="shared" ref="S38:S39" si="65">Q38+R38</f>
        <v>85008.779699999999</v>
      </c>
      <c r="T38" s="26">
        <f t="shared" ref="T38:T39" si="66">K38*P38</f>
        <v>11020</v>
      </c>
    </row>
    <row r="39" spans="1:22" x14ac:dyDescent="0.25">
      <c r="A39" s="31" t="s">
        <v>1538</v>
      </c>
      <c r="B39" t="str">
        <f>VLOOKUP(A39,kurspris!$A$1:$Q$792,2,FALSE)</f>
        <v>Bedömning (UK)</v>
      </c>
      <c r="C39" s="31">
        <v>2180</v>
      </c>
      <c r="D39" t="str">
        <f>VLOOKUP(C39,Orgenheter!$A$1:$B$213,2)</f>
        <v xml:space="preserve">Pedagogik                     </v>
      </c>
      <c r="E39" t="str">
        <f>VLOOKUP(C39,Orgenheter!$A$1:$C$165,3,FALSE)</f>
        <v>Sam</v>
      </c>
      <c r="F39" s="315">
        <f>2/7.5</f>
        <v>0.26666666666666666</v>
      </c>
      <c r="G39">
        <f>VLOOKUP(A39,'Ansvar kurs'!$A$84:$C$959,2,FALSE)</f>
        <v>5740</v>
      </c>
      <c r="H39" t="str">
        <f>VLOOKUP(G39,Orgenheter!$A$1:$B$213,2)</f>
        <v>NMD</v>
      </c>
      <c r="I39" t="str">
        <f>VLOOKUP(G39,Orgenheter!$A$1:$C$165,3,FALSE)</f>
        <v>TekNat</v>
      </c>
      <c r="J39" s="228">
        <f>IF(ISERROR(VLOOKUP(A39,'Totalt pivot'!$A$5:$C$397,2,FALSE)),0,(VLOOKUP(A39,'Totalt pivot'!$A$5:$C$397,2,FALSE)))</f>
        <v>7.125</v>
      </c>
      <c r="K39" s="228">
        <f t="shared" si="53"/>
        <v>1.9</v>
      </c>
      <c r="L39" s="228">
        <f>IF(ISERROR(VLOOKUP(A39,'Totalt pivot'!$A$5:$C$397,3,FALSE)),0,(VLOOKUP(A39,'Totalt pivot'!$A$5:$C$397,3,FALSE)))</f>
        <v>6.0562499999999995</v>
      </c>
      <c r="M39" s="228">
        <f t="shared" si="63"/>
        <v>1.6149999999999998</v>
      </c>
      <c r="N39" s="26">
        <f>VLOOKUP(A39,kurspris!$A$1:$Q$792,15)</f>
        <v>23641</v>
      </c>
      <c r="O39" s="26">
        <f>VLOOKUP(A39,kurspris!$A$1:$Q$792,16)</f>
        <v>28786</v>
      </c>
      <c r="P39" s="26">
        <f>VLOOKUP(A39,kurspris!$A$1:$Q$792,17)</f>
        <v>5800</v>
      </c>
      <c r="Q39" s="26">
        <f t="shared" si="64"/>
        <v>91407.29</v>
      </c>
      <c r="R39" s="26">
        <f>(Q39*Prislapp!$R$5)*-1</f>
        <v>-6398.5102999999999</v>
      </c>
      <c r="S39" s="26">
        <f t="shared" si="65"/>
        <v>85008.779699999999</v>
      </c>
      <c r="T39" s="26">
        <f t="shared" si="66"/>
        <v>11020</v>
      </c>
    </row>
    <row r="40" spans="1:22" x14ac:dyDescent="0.25">
      <c r="A40" s="31" t="s">
        <v>1621</v>
      </c>
      <c r="B40" t="str">
        <f>VLOOKUP(A40,kurspris!$A$1:$Q$792,2,FALSE)</f>
        <v>Utbildningens villkor och samhälleliga funktion (UK)</v>
      </c>
      <c r="C40" s="31">
        <v>2340</v>
      </c>
      <c r="D40" t="str">
        <f>VLOOKUP(C40,Orgenheter!$A$1:$B$213,2)</f>
        <v xml:space="preserve">Statsvetenskap                </v>
      </c>
      <c r="E40" t="str">
        <f>VLOOKUP(C40,Orgenheter!$A$1:$C$165,3,FALSE)</f>
        <v>Sam</v>
      </c>
      <c r="F40" s="315">
        <f>1.5/7.5</f>
        <v>0.2</v>
      </c>
      <c r="G40">
        <f>VLOOKUP(A40,'Ansvar kurs'!$A$84:$C$959,2,FALSE)</f>
        <v>2193</v>
      </c>
      <c r="H40" t="str">
        <f>VLOOKUP(G40,Orgenheter!$A$1:$B$213,2)</f>
        <v xml:space="preserve">TUV </v>
      </c>
      <c r="I40" t="str">
        <f>VLOOKUP(G40,Orgenheter!$A$1:$C$165,3,FALSE)</f>
        <v>Sam</v>
      </c>
      <c r="J40" s="228">
        <f>IF(ISERROR(VLOOKUP(A40,'Totalt pivot'!$A$5:$C$397,2,FALSE)),0,(VLOOKUP(A40,'Totalt pivot'!$A$5:$C$397,2,FALSE)))</f>
        <v>7</v>
      </c>
      <c r="K40" s="228">
        <f t="shared" si="53"/>
        <v>1.4000000000000001</v>
      </c>
      <c r="L40" s="228">
        <f>IF(ISERROR(VLOOKUP(A40,'Totalt pivot'!$A$5:$C$397,3,FALSE)),0,(VLOOKUP(A40,'Totalt pivot'!$A$5:$C$397,3,FALSE)))</f>
        <v>5.95</v>
      </c>
      <c r="M40" s="228">
        <f t="shared" ref="M40" si="67">F40*L40</f>
        <v>1.1900000000000002</v>
      </c>
      <c r="N40" s="26">
        <f>VLOOKUP(A40,kurspris!$A$1:$Q$792,15)</f>
        <v>23641</v>
      </c>
      <c r="O40" s="26">
        <f>VLOOKUP(A40,kurspris!$A$1:$Q$792,16)</f>
        <v>28786</v>
      </c>
      <c r="P40" s="26">
        <f>VLOOKUP(A40,kurspris!$A$1:$Q$792,17)</f>
        <v>5800</v>
      </c>
      <c r="Q40" s="26">
        <f t="shared" ref="Q40" si="68">K40*N40+M40*O40</f>
        <v>67352.740000000005</v>
      </c>
      <c r="R40" s="26">
        <f>(Q40*Prislapp!$R$5)*-1</f>
        <v>-4714.6918000000005</v>
      </c>
      <c r="S40" s="26">
        <f t="shared" ref="S40" si="69">Q40+R40</f>
        <v>62638.048200000005</v>
      </c>
      <c r="T40" s="26">
        <f t="shared" ref="T40" si="70">K40*P40</f>
        <v>8120.0000000000009</v>
      </c>
      <c r="V40" s="335" t="s">
        <v>1623</v>
      </c>
    </row>
    <row r="41" spans="1:22" x14ac:dyDescent="0.25">
      <c r="A41" s="31" t="s">
        <v>1624</v>
      </c>
      <c r="B41" t="str">
        <f>VLOOKUP(A41,kurspris!$A$1:$Q$792,2,FALSE)</f>
        <v>Den professionella läraren 1: Barns utveckling, specialpedagogik, sociala relationer och kommunikation (UK)</v>
      </c>
      <c r="C41" s="31">
        <v>2180</v>
      </c>
      <c r="D41" t="str">
        <f>VLOOKUP(C41,Orgenheter!$A$1:$B$213,2)</f>
        <v xml:space="preserve">Pedagogik                     </v>
      </c>
      <c r="E41" t="str">
        <f>VLOOKUP(C41,Orgenheter!$A$1:$C$165,3,FALSE)</f>
        <v>Sam</v>
      </c>
      <c r="F41" s="315">
        <f>2/7.5</f>
        <v>0.26666666666666666</v>
      </c>
      <c r="G41">
        <f>VLOOKUP(A41,'Ansvar kurs'!$A$84:$C$959,2,FALSE)</f>
        <v>2193</v>
      </c>
      <c r="H41" t="str">
        <f>VLOOKUP(G41,Orgenheter!$A$1:$B$213,2)</f>
        <v xml:space="preserve">TUV </v>
      </c>
      <c r="I41" t="str">
        <f>VLOOKUP(G41,Orgenheter!$A$1:$C$165,3,FALSE)</f>
        <v>Sam</v>
      </c>
      <c r="J41" s="228">
        <f>IF(ISERROR(VLOOKUP(A41,'Totalt pivot'!$A$5:$C$397,2,FALSE)),0,(VLOOKUP(A41,'Totalt pivot'!$A$5:$C$397,2,FALSE)))</f>
        <v>7</v>
      </c>
      <c r="K41" s="228">
        <f t="shared" si="53"/>
        <v>1.8666666666666667</v>
      </c>
      <c r="L41" s="228">
        <f>IF(ISERROR(VLOOKUP(A41,'Totalt pivot'!$A$5:$C$397,3,FALSE)),0,(VLOOKUP(A41,'Totalt pivot'!$A$5:$C$397,3,FALSE)))</f>
        <v>5.95</v>
      </c>
      <c r="M41" s="228">
        <f t="shared" ref="M41" si="71">F41*L41</f>
        <v>1.5866666666666667</v>
      </c>
      <c r="N41" s="26">
        <f>VLOOKUP(A41,kurspris!$A$1:$Q$792,15)</f>
        <v>23641</v>
      </c>
      <c r="O41" s="26">
        <f>VLOOKUP(A41,kurspris!$A$1:$Q$792,16)</f>
        <v>28786</v>
      </c>
      <c r="P41" s="26">
        <f>VLOOKUP(A41,kurspris!$A$1:$Q$792,17)</f>
        <v>5800</v>
      </c>
      <c r="Q41" s="26">
        <f t="shared" ref="Q41" si="72">K41*N41+M41*O41</f>
        <v>89803.653333333335</v>
      </c>
      <c r="R41" s="26">
        <f>(Q41*Prislapp!$R$5)*-1</f>
        <v>-6286.2557333333343</v>
      </c>
      <c r="S41" s="26">
        <f t="shared" ref="S41" si="73">Q41+R41</f>
        <v>83517.397599999997</v>
      </c>
      <c r="T41" s="26">
        <f t="shared" ref="T41" si="74">K41*P41</f>
        <v>10826.666666666666</v>
      </c>
      <c r="V41" s="335" t="s">
        <v>1623</v>
      </c>
    </row>
    <row r="42" spans="1:22" x14ac:dyDescent="0.25">
      <c r="A42" s="31" t="s">
        <v>1570</v>
      </c>
      <c r="B42" t="str">
        <f>VLOOKUP(A42,kurspris!$A$1:$Q$792,2,FALSE)</f>
        <v>Utbildningsvetenskap, undervisning och lärande för förskolan (UK)</v>
      </c>
      <c r="C42" s="31">
        <v>2180</v>
      </c>
      <c r="D42" t="str">
        <f>VLOOKUP(C42,Orgenheter!$A$1:$B$213,2)</f>
        <v xml:space="preserve">Pedagogik                     </v>
      </c>
      <c r="E42" t="str">
        <f>VLOOKUP(C42,Orgenheter!$A$1:$C$165,3,FALSE)</f>
        <v>Sam</v>
      </c>
      <c r="F42" s="315">
        <f>1/8</f>
        <v>0.125</v>
      </c>
      <c r="G42">
        <f>VLOOKUP(A42,'Ansvar kurs'!$A$84:$C$959,2,FALSE)</f>
        <v>2193</v>
      </c>
      <c r="H42" t="str">
        <f>VLOOKUP(G42,Orgenheter!$A$1:$B$213,2)</f>
        <v xml:space="preserve">TUV </v>
      </c>
      <c r="I42" t="str">
        <f>VLOOKUP(G42,Orgenheter!$A$1:$C$165,3,FALSE)</f>
        <v>Sam</v>
      </c>
      <c r="J42" s="228">
        <f>IF(ISERROR(VLOOKUP(A42,'Totalt pivot'!$A$5:$C$397,2,FALSE)),0,(VLOOKUP(A42,'Totalt pivot'!$A$5:$C$397,2,FALSE)))</f>
        <v>10.399999999999999</v>
      </c>
      <c r="K42" s="228">
        <f t="shared" si="53"/>
        <v>1.2999999999999998</v>
      </c>
      <c r="L42" s="228">
        <f>IF(ISERROR(VLOOKUP(A42,'Totalt pivot'!$A$5:$C$397,3,FALSE)),0,(VLOOKUP(A42,'Totalt pivot'!$A$5:$C$397,3,FALSE)))</f>
        <v>8.8399999999999981</v>
      </c>
      <c r="M42" s="228">
        <f t="shared" ref="M42:M43" si="75">F42*L42</f>
        <v>1.1049999999999998</v>
      </c>
      <c r="N42" s="26">
        <f>VLOOKUP(A42,kurspris!$A$1:$Q$792,15)</f>
        <v>23641</v>
      </c>
      <c r="O42" s="26">
        <f>VLOOKUP(A42,kurspris!$A$1:$Q$792,16)</f>
        <v>28786</v>
      </c>
      <c r="P42" s="26">
        <f>VLOOKUP(A42,kurspris!$A$1:$Q$792,17)</f>
        <v>5800</v>
      </c>
      <c r="Q42" s="26">
        <f t="shared" ref="Q42:Q43" si="76">K42*N42+M42*O42</f>
        <v>62541.829999999987</v>
      </c>
      <c r="R42" s="26">
        <f>(Q42*Prislapp!$R$5)*-1</f>
        <v>-4377.9280999999992</v>
      </c>
      <c r="S42" s="26">
        <f t="shared" ref="S42:S43" si="77">Q42+R42</f>
        <v>58163.90189999999</v>
      </c>
      <c r="T42" s="26">
        <f t="shared" ref="T42:T43" si="78">K42*P42</f>
        <v>7539.9999999999991</v>
      </c>
    </row>
    <row r="43" spans="1:22" x14ac:dyDescent="0.25">
      <c r="A43" s="31" t="s">
        <v>1570</v>
      </c>
      <c r="B43" t="str">
        <f>VLOOKUP(A43,kurspris!$A$1:$Q$792,2,FALSE)</f>
        <v>Utbildningsvetenskap, undervisning och lärande för förskolan (UK)</v>
      </c>
      <c r="C43" s="31">
        <v>2200</v>
      </c>
      <c r="D43" t="str">
        <f>VLOOKUP(C43,Orgenheter!$A$1:$B$213,2)</f>
        <v xml:space="preserve">Inst för psykologi            </v>
      </c>
      <c r="E43" t="str">
        <f>VLOOKUP(C43,Orgenheter!$A$1:$C$165,3,FALSE)</f>
        <v>Sam</v>
      </c>
      <c r="F43" s="315">
        <f>2/8</f>
        <v>0.25</v>
      </c>
      <c r="G43">
        <f>VLOOKUP(A43,'Ansvar kurs'!$A$84:$C$959,2,FALSE)</f>
        <v>2193</v>
      </c>
      <c r="H43" t="str">
        <f>VLOOKUP(G43,Orgenheter!$A$1:$B$213,2)</f>
        <v xml:space="preserve">TUV </v>
      </c>
      <c r="I43" t="str">
        <f>VLOOKUP(G43,Orgenheter!$A$1:$C$165,3,FALSE)</f>
        <v>Sam</v>
      </c>
      <c r="J43" s="228">
        <f>IF(ISERROR(VLOOKUP(A43,'Totalt pivot'!$A$5:$C$397,2,FALSE)),0,(VLOOKUP(A43,'Totalt pivot'!$A$5:$C$397,2,FALSE)))</f>
        <v>10.399999999999999</v>
      </c>
      <c r="K43" s="228">
        <f t="shared" si="53"/>
        <v>2.5999999999999996</v>
      </c>
      <c r="L43" s="228">
        <f>IF(ISERROR(VLOOKUP(A43,'Totalt pivot'!$A$5:$C$397,3,FALSE)),0,(VLOOKUP(A43,'Totalt pivot'!$A$5:$C$397,3,FALSE)))</f>
        <v>8.8399999999999981</v>
      </c>
      <c r="M43" s="228">
        <f t="shared" si="75"/>
        <v>2.2099999999999995</v>
      </c>
      <c r="N43" s="26">
        <f>VLOOKUP(A43,kurspris!$A$1:$Q$792,15)</f>
        <v>23641</v>
      </c>
      <c r="O43" s="26">
        <f>VLOOKUP(A43,kurspris!$A$1:$Q$792,16)</f>
        <v>28786</v>
      </c>
      <c r="P43" s="26">
        <f>VLOOKUP(A43,kurspris!$A$1:$Q$792,17)</f>
        <v>5800</v>
      </c>
      <c r="Q43" s="26">
        <f t="shared" si="76"/>
        <v>125083.65999999997</v>
      </c>
      <c r="R43" s="26">
        <f>(Q43*Prislapp!$R$5)*-1</f>
        <v>-8755.8561999999984</v>
      </c>
      <c r="S43" s="26">
        <f t="shared" si="77"/>
        <v>116327.80379999998</v>
      </c>
      <c r="T43" s="26">
        <f t="shared" si="78"/>
        <v>15079.999999999998</v>
      </c>
    </row>
    <row r="44" spans="1:22" x14ac:dyDescent="0.25">
      <c r="A44" s="31" t="s">
        <v>1567</v>
      </c>
      <c r="B44" t="str">
        <f>VLOOKUP(A44,kurspris!$A$1:$Q$792,2,FALSE)</f>
        <v>Specialpedagogik för förskolan (UK)</v>
      </c>
      <c r="C44" s="31">
        <v>2180</v>
      </c>
      <c r="D44" t="str">
        <f>VLOOKUP(C44,Orgenheter!$A$1:$B$213,2)</f>
        <v xml:space="preserve">Pedagogik                     </v>
      </c>
      <c r="E44" t="str">
        <f>VLOOKUP(C44,Orgenheter!$A$1:$C$165,3,FALSE)</f>
        <v>Sam</v>
      </c>
      <c r="F44" s="315">
        <f>2.5/6</f>
        <v>0.41666666666666669</v>
      </c>
      <c r="G44">
        <f>VLOOKUP(A44,'Ansvar kurs'!$A$84:$C$959,2,FALSE)</f>
        <v>2193</v>
      </c>
      <c r="H44" t="str">
        <f>VLOOKUP(G44,Orgenheter!$A$1:$B$213,2)</f>
        <v xml:space="preserve">TUV </v>
      </c>
      <c r="I44" t="str">
        <f>VLOOKUP(G44,Orgenheter!$A$1:$C$165,3,FALSE)</f>
        <v>Sam</v>
      </c>
      <c r="J44" s="228">
        <f>IF(ISERROR(VLOOKUP(A44,'Totalt pivot'!$A$5:$C$397,2,FALSE)),0,(VLOOKUP(A44,'Totalt pivot'!$A$5:$C$397,2,FALSE)))</f>
        <v>7.8000000000000007</v>
      </c>
      <c r="K44" s="228">
        <f t="shared" si="53"/>
        <v>3.2500000000000004</v>
      </c>
      <c r="L44" s="228">
        <f>IF(ISERROR(VLOOKUP(A44,'Totalt pivot'!$A$5:$C$397,3,FALSE)),0,(VLOOKUP(A44,'Totalt pivot'!$A$5:$C$397,3,FALSE)))</f>
        <v>6.63</v>
      </c>
      <c r="M44" s="228">
        <f t="shared" ref="M44" si="79">F44*L44</f>
        <v>2.7625000000000002</v>
      </c>
      <c r="N44" s="26">
        <f>VLOOKUP(A44,kurspris!$A$1:$Q$792,15)</f>
        <v>23641</v>
      </c>
      <c r="O44" s="26">
        <f>VLOOKUP(A44,kurspris!$A$1:$Q$792,16)</f>
        <v>28786</v>
      </c>
      <c r="P44" s="26">
        <f>VLOOKUP(A44,kurspris!$A$1:$Q$792,17)</f>
        <v>5800</v>
      </c>
      <c r="Q44" s="26">
        <f t="shared" ref="Q44" si="80">K44*N44+M44*O44</f>
        <v>156354.57500000001</v>
      </c>
      <c r="R44" s="26">
        <f>(Q44*Prislapp!$R$5)*-1</f>
        <v>-10944.820250000002</v>
      </c>
      <c r="S44" s="26">
        <f t="shared" ref="S44" si="81">Q44+R44</f>
        <v>145409.75475000002</v>
      </c>
      <c r="T44" s="26">
        <f t="shared" ref="T44" si="82">K44*P44</f>
        <v>18850.000000000004</v>
      </c>
      <c r="V44" t="s">
        <v>1724</v>
      </c>
    </row>
    <row r="45" spans="1:22" x14ac:dyDescent="0.25">
      <c r="A45" s="31" t="s">
        <v>1567</v>
      </c>
      <c r="B45" t="str">
        <f>VLOOKUP(A45,kurspris!$A$1:$Q$792,2,FALSE)</f>
        <v>Specialpedagogik för förskolan (UK)</v>
      </c>
      <c r="C45" s="31">
        <v>2200</v>
      </c>
      <c r="D45" t="str">
        <f>VLOOKUP(C45,Orgenheter!$A$1:$B$213,2)</f>
        <v xml:space="preserve">Inst för psykologi            </v>
      </c>
      <c r="E45" t="str">
        <f>VLOOKUP(C45,Orgenheter!$A$1:$C$165,3,FALSE)</f>
        <v>Sam</v>
      </c>
      <c r="F45" s="315">
        <f>0.5/6</f>
        <v>8.3333333333333329E-2</v>
      </c>
      <c r="G45">
        <f>VLOOKUP(A45,'Ansvar kurs'!$A$84:$C$959,2,FALSE)</f>
        <v>2193</v>
      </c>
      <c r="H45" t="str">
        <f>VLOOKUP(G45,Orgenheter!$A$1:$B$213,2)</f>
        <v xml:space="preserve">TUV </v>
      </c>
      <c r="I45" t="str">
        <f>VLOOKUP(G45,Orgenheter!$A$1:$C$165,3,FALSE)</f>
        <v>Sam</v>
      </c>
      <c r="J45" s="228">
        <f>IF(ISERROR(VLOOKUP(A45,'Totalt pivot'!$A$5:$C$397,2,FALSE)),0,(VLOOKUP(A45,'Totalt pivot'!$A$5:$C$397,2,FALSE)))</f>
        <v>7.8000000000000007</v>
      </c>
      <c r="K45" s="228">
        <f t="shared" ref="K45" si="83">F45*J45</f>
        <v>0.65</v>
      </c>
      <c r="L45" s="228">
        <f>IF(ISERROR(VLOOKUP(A45,'Totalt pivot'!$A$5:$C$397,3,FALSE)),0,(VLOOKUP(A45,'Totalt pivot'!$A$5:$C$397,3,FALSE)))</f>
        <v>6.63</v>
      </c>
      <c r="M45" s="228">
        <f t="shared" ref="M45" si="84">F45*L45</f>
        <v>0.55249999999999999</v>
      </c>
      <c r="N45" s="26">
        <f>VLOOKUP(A45,kurspris!$A$1:$Q$792,15)</f>
        <v>23641</v>
      </c>
      <c r="O45" s="26">
        <f>VLOOKUP(A45,kurspris!$A$1:$Q$792,16)</f>
        <v>28786</v>
      </c>
      <c r="P45" s="26">
        <f>VLOOKUP(A45,kurspris!$A$1:$Q$792,17)</f>
        <v>5800</v>
      </c>
      <c r="Q45" s="26">
        <f t="shared" ref="Q45" si="85">K45*N45+M45*O45</f>
        <v>31270.915000000001</v>
      </c>
      <c r="R45" s="26">
        <f>(Q45*Prislapp!$R$5)*-1</f>
        <v>-2188.96405</v>
      </c>
      <c r="S45" s="26">
        <f t="shared" ref="S45" si="86">Q45+R45</f>
        <v>29081.950950000002</v>
      </c>
      <c r="T45" s="26">
        <f t="shared" ref="T45" si="87">K45*P45</f>
        <v>3770</v>
      </c>
    </row>
    <row r="46" spans="1:22" x14ac:dyDescent="0.25">
      <c r="A46" s="31" t="s">
        <v>1559</v>
      </c>
      <c r="B46" t="str">
        <f>VLOOKUP(A46,kurspris!$A$1:$Q$792,2,FALSE)</f>
        <v>Specialpedagogik för grundskolan (UK)</v>
      </c>
      <c r="C46" s="31">
        <v>2193</v>
      </c>
      <c r="D46" t="str">
        <f>VLOOKUP(C46,Orgenheter!$A$1:$B$213,2)</f>
        <v xml:space="preserve">TUV </v>
      </c>
      <c r="E46" t="str">
        <f>VLOOKUP(C46,Orgenheter!$A$1:$C$165,3,FALSE)</f>
        <v>Sam</v>
      </c>
      <c r="F46" s="315">
        <f>2/5</f>
        <v>0.4</v>
      </c>
      <c r="G46">
        <f>VLOOKUP(A46,'Ansvar kurs'!$A$84:$C$959,2,FALSE)</f>
        <v>2180</v>
      </c>
      <c r="H46" t="str">
        <f>VLOOKUP(G46,Orgenheter!$A$1:$B$213,2)</f>
        <v xml:space="preserve">Pedagogik                     </v>
      </c>
      <c r="I46" t="str">
        <f>VLOOKUP(G46,Orgenheter!$A$1:$C$165,3,FALSE)</f>
        <v>Sam</v>
      </c>
      <c r="J46" s="228">
        <f>IF(ISERROR(VLOOKUP(A46,'Totalt pivot'!$A$5:$C$397,2,FALSE)),0,(VLOOKUP(A46,'Totalt pivot'!$A$5:$C$397,2,FALSE)))</f>
        <v>7.0833333333333321</v>
      </c>
      <c r="K46" s="228">
        <f t="shared" si="53"/>
        <v>2.833333333333333</v>
      </c>
      <c r="L46" s="228">
        <f>IF(ISERROR(VLOOKUP(A46,'Totalt pivot'!$A$5:$C$397,3,FALSE)),0,(VLOOKUP(A46,'Totalt pivot'!$A$5:$C$397,3,FALSE)))</f>
        <v>6.0083333333333329</v>
      </c>
      <c r="M46" s="228">
        <f t="shared" ref="M46:M47" si="88">F46*L46</f>
        <v>2.4033333333333333</v>
      </c>
      <c r="N46" s="26">
        <f>VLOOKUP(A46,kurspris!$A$1:$Q$792,15)</f>
        <v>23641</v>
      </c>
      <c r="O46" s="26">
        <f>VLOOKUP(A46,kurspris!$A$1:$Q$792,16)</f>
        <v>28786</v>
      </c>
      <c r="P46" s="26">
        <f>VLOOKUP(A46,kurspris!$A$1:$Q$792,17)</f>
        <v>5800</v>
      </c>
      <c r="Q46" s="26">
        <f t="shared" ref="Q46:Q47" si="89">K46*N46+M46*O46</f>
        <v>136165.18666666665</v>
      </c>
      <c r="R46" s="26">
        <f>(Q46*Prislapp!$R$5)*-1</f>
        <v>-9531.5630666666657</v>
      </c>
      <c r="S46" s="26">
        <f t="shared" ref="S46:S47" si="90">Q46+R46</f>
        <v>126633.62359999998</v>
      </c>
      <c r="T46" s="26">
        <f t="shared" ref="T46:T47" si="91">K46*P46</f>
        <v>16433.333333333332</v>
      </c>
    </row>
    <row r="47" spans="1:22" x14ac:dyDescent="0.25">
      <c r="A47" s="31" t="s">
        <v>1559</v>
      </c>
      <c r="B47" t="str">
        <f>VLOOKUP(A47,kurspris!$A$1:$Q$792,2,FALSE)</f>
        <v>Specialpedagogik för grundskolan (UK)</v>
      </c>
      <c r="C47" s="31">
        <v>2200</v>
      </c>
      <c r="D47" t="str">
        <f>VLOOKUP(C47,Orgenheter!$A$1:$B$213,2)</f>
        <v xml:space="preserve">Inst för psykologi            </v>
      </c>
      <c r="E47" t="str">
        <f>VLOOKUP(C47,Orgenheter!$A$1:$C$165,3,FALSE)</f>
        <v>Sam</v>
      </c>
      <c r="F47" s="315">
        <f>0.5/5</f>
        <v>0.1</v>
      </c>
      <c r="G47">
        <f>VLOOKUP(A47,'Ansvar kurs'!$A$84:$C$959,2,FALSE)</f>
        <v>2180</v>
      </c>
      <c r="H47" t="str">
        <f>VLOOKUP(G47,Orgenheter!$A$1:$B$213,2)</f>
        <v xml:space="preserve">Pedagogik                     </v>
      </c>
      <c r="I47" t="str">
        <f>VLOOKUP(G47,Orgenheter!$A$1:$C$165,3,FALSE)</f>
        <v>Sam</v>
      </c>
      <c r="J47" s="228">
        <f>IF(ISERROR(VLOOKUP(A47,'Totalt pivot'!$A$5:$C$397,2,FALSE)),0,(VLOOKUP(A47,'Totalt pivot'!$A$5:$C$397,2,FALSE)))</f>
        <v>7.0833333333333321</v>
      </c>
      <c r="K47" s="228">
        <f t="shared" si="53"/>
        <v>0.70833333333333326</v>
      </c>
      <c r="L47" s="228">
        <f>IF(ISERROR(VLOOKUP(A47,'Totalt pivot'!$A$5:$C$397,3,FALSE)),0,(VLOOKUP(A47,'Totalt pivot'!$A$5:$C$397,3,FALSE)))</f>
        <v>6.0083333333333329</v>
      </c>
      <c r="M47" s="228">
        <f t="shared" si="88"/>
        <v>0.60083333333333333</v>
      </c>
      <c r="N47" s="26">
        <f>VLOOKUP(A47,kurspris!$A$1:$Q$792,15)</f>
        <v>23641</v>
      </c>
      <c r="O47" s="26">
        <f>VLOOKUP(A47,kurspris!$A$1:$Q$792,16)</f>
        <v>28786</v>
      </c>
      <c r="P47" s="26">
        <f>VLOOKUP(A47,kurspris!$A$1:$Q$792,17)</f>
        <v>5800</v>
      </c>
      <c r="Q47" s="26">
        <f t="shared" si="89"/>
        <v>34041.296666666662</v>
      </c>
      <c r="R47" s="26">
        <f>(Q47*Prislapp!$R$5)*-1</f>
        <v>-2382.8907666666664</v>
      </c>
      <c r="S47" s="26">
        <f t="shared" si="90"/>
        <v>31658.405899999994</v>
      </c>
      <c r="T47" s="26">
        <f t="shared" si="91"/>
        <v>4108.333333333333</v>
      </c>
    </row>
    <row r="48" spans="1:22" x14ac:dyDescent="0.25">
      <c r="A48" s="31" t="s">
        <v>1657</v>
      </c>
      <c r="B48" t="str">
        <f>VLOOKUP(A48,kurspris!$A$1:$Q$792,2,FALSE)</f>
        <v>Specialpedagogik - åk 7-9 och gymnasieskolan (UK)</v>
      </c>
      <c r="C48" s="31">
        <v>2193</v>
      </c>
      <c r="D48" t="str">
        <f>VLOOKUP(C48,Orgenheter!$A$1:$B$213,2)</f>
        <v xml:space="preserve">TUV </v>
      </c>
      <c r="E48" t="str">
        <f>VLOOKUP(C48,Orgenheter!$A$1:$C$165,3,FALSE)</f>
        <v>Sam</v>
      </c>
      <c r="F48" s="315">
        <f>2/5</f>
        <v>0.4</v>
      </c>
      <c r="G48">
        <f>VLOOKUP(A48,'Ansvar kurs'!$A$84:$C$959,2,FALSE)</f>
        <v>2180</v>
      </c>
      <c r="H48" t="str">
        <f>VLOOKUP(G48,Orgenheter!$A$1:$B$213,2)</f>
        <v xml:space="preserve">Pedagogik                     </v>
      </c>
      <c r="I48" t="str">
        <f>VLOOKUP(G48,Orgenheter!$A$1:$C$165,3,FALSE)</f>
        <v>Sam</v>
      </c>
      <c r="J48" s="228">
        <f>IF(ISERROR(VLOOKUP(A48,'Totalt pivot'!$A$5:$C$397,2,FALSE)),0,(VLOOKUP(A48,'Totalt pivot'!$A$5:$C$397,2,FALSE)))</f>
        <v>9.0833333333333357</v>
      </c>
      <c r="K48" s="228">
        <f t="shared" si="53"/>
        <v>3.6333333333333346</v>
      </c>
      <c r="L48" s="228">
        <f>IF(ISERROR(VLOOKUP(A48,'Totalt pivot'!$A$5:$C$397,3,FALSE)),0,(VLOOKUP(A48,'Totalt pivot'!$A$5:$C$397,3,FALSE)))</f>
        <v>7.7000000000000011</v>
      </c>
      <c r="M48" s="228">
        <f t="shared" ref="M48:M49" si="92">F48*L48</f>
        <v>3.0800000000000005</v>
      </c>
      <c r="N48" s="26">
        <f>VLOOKUP(A48,kurspris!$A$1:$Q$792,15)</f>
        <v>23641</v>
      </c>
      <c r="O48" s="26">
        <f>VLOOKUP(A48,kurspris!$A$1:$Q$792,16)</f>
        <v>28786</v>
      </c>
      <c r="P48" s="26">
        <f>VLOOKUP(A48,kurspris!$A$1:$Q$792,17)</f>
        <v>5800</v>
      </c>
      <c r="Q48" s="26">
        <f t="shared" ref="Q48:Q49" si="93">K48*N48+M48*O48</f>
        <v>174556.51333333337</v>
      </c>
      <c r="R48" s="26">
        <f>(Q48*Prislapp!$R$5)*-1</f>
        <v>-12218.955933333336</v>
      </c>
      <c r="S48" s="26">
        <f t="shared" ref="S48:S49" si="94">Q48+R48</f>
        <v>162337.55740000002</v>
      </c>
      <c r="T48" s="26">
        <f t="shared" ref="T48:T49" si="95">K48*P48</f>
        <v>21073.333333333339</v>
      </c>
      <c r="V48" t="s">
        <v>1691</v>
      </c>
    </row>
    <row r="49" spans="1:23" x14ac:dyDescent="0.25">
      <c r="A49" s="31" t="s">
        <v>1657</v>
      </c>
      <c r="B49" t="str">
        <f>VLOOKUP(A49,kurspris!$A$1:$Q$792,2,FALSE)</f>
        <v>Specialpedagogik - åk 7-9 och gymnasieskolan (UK)</v>
      </c>
      <c r="C49" s="31">
        <v>2200</v>
      </c>
      <c r="D49" t="str">
        <f>VLOOKUP(C49,Orgenheter!$A$1:$B$213,2)</f>
        <v xml:space="preserve">Inst för psykologi            </v>
      </c>
      <c r="E49" t="str">
        <f>VLOOKUP(C49,Orgenheter!$A$1:$C$165,3,FALSE)</f>
        <v>Sam</v>
      </c>
      <c r="F49" s="315">
        <f>0.5/5</f>
        <v>0.1</v>
      </c>
      <c r="G49">
        <f>VLOOKUP(A49,'Ansvar kurs'!$A$84:$C$959,2,FALSE)</f>
        <v>2180</v>
      </c>
      <c r="H49" t="str">
        <f>VLOOKUP(G49,Orgenheter!$A$1:$B$213,2)</f>
        <v xml:space="preserve">Pedagogik                     </v>
      </c>
      <c r="I49" t="str">
        <f>VLOOKUP(G49,Orgenheter!$A$1:$C$165,3,FALSE)</f>
        <v>Sam</v>
      </c>
      <c r="J49" s="228">
        <f>IF(ISERROR(VLOOKUP(A49,'Totalt pivot'!$A$5:$C$397,2,FALSE)),0,(VLOOKUP(A49,'Totalt pivot'!$A$5:$C$397,2,FALSE)))</f>
        <v>9.0833333333333357</v>
      </c>
      <c r="K49" s="228">
        <f t="shared" si="53"/>
        <v>0.90833333333333366</v>
      </c>
      <c r="L49" s="228">
        <f>IF(ISERROR(VLOOKUP(A49,'Totalt pivot'!$A$5:$C$397,3,FALSE)),0,(VLOOKUP(A49,'Totalt pivot'!$A$5:$C$397,3,FALSE)))</f>
        <v>7.7000000000000011</v>
      </c>
      <c r="M49" s="228">
        <f t="shared" si="92"/>
        <v>0.77000000000000013</v>
      </c>
      <c r="N49" s="26">
        <f>VLOOKUP(A49,kurspris!$A$1:$Q$792,15)</f>
        <v>23641</v>
      </c>
      <c r="O49" s="26">
        <f>VLOOKUP(A49,kurspris!$A$1:$Q$792,16)</f>
        <v>28786</v>
      </c>
      <c r="P49" s="26">
        <f>VLOOKUP(A49,kurspris!$A$1:$Q$792,17)</f>
        <v>5800</v>
      </c>
      <c r="Q49" s="26">
        <f t="shared" si="93"/>
        <v>43639.128333333341</v>
      </c>
      <c r="R49" s="26">
        <f>(Q49*Prislapp!$R$5)*-1</f>
        <v>-3054.7389833333341</v>
      </c>
      <c r="S49" s="26">
        <f t="shared" si="94"/>
        <v>40584.389350000005</v>
      </c>
      <c r="T49" s="26">
        <f t="shared" si="95"/>
        <v>5268.3333333333348</v>
      </c>
      <c r="V49" t="s">
        <v>1691</v>
      </c>
    </row>
    <row r="50" spans="1:23" x14ac:dyDescent="0.25">
      <c r="A50" s="31" t="s">
        <v>1576</v>
      </c>
      <c r="B50" t="str">
        <f>VLOOKUP(A50,kurspris!$A$1:$Q$792,2,FALSE)</f>
        <v>Utbildningsvetenskap, undervisning och lärande för grundskolan - fritidshem (UK)</v>
      </c>
      <c r="C50" s="31">
        <v>2193</v>
      </c>
      <c r="D50" t="str">
        <f>VLOOKUP(C50,Orgenheter!$A$1:$B$213,2)</f>
        <v xml:space="preserve">TUV </v>
      </c>
      <c r="E50" t="str">
        <f>VLOOKUP(C50,Orgenheter!$A$1:$C$165,3,FALSE)</f>
        <v>Sam</v>
      </c>
      <c r="F50" s="315">
        <f>3/8</f>
        <v>0.375</v>
      </c>
      <c r="G50">
        <f>VLOOKUP(A50,'Ansvar kurs'!$A$84:$C$959,2,FALSE)</f>
        <v>2180</v>
      </c>
      <c r="H50" t="str">
        <f>VLOOKUP(G50,Orgenheter!$A$1:$B$213,2)</f>
        <v xml:space="preserve">Pedagogik                     </v>
      </c>
      <c r="I50" t="str">
        <f>VLOOKUP(G50,Orgenheter!$A$1:$C$165,3,FALSE)</f>
        <v>Sam</v>
      </c>
      <c r="J50" s="228">
        <f>IF(ISERROR(VLOOKUP(A50,'Totalt pivot'!$A$5:$C$397,2,FALSE)),0,(VLOOKUP(A50,'Totalt pivot'!$A$5:$C$397,2,FALSE)))</f>
        <v>2</v>
      </c>
      <c r="K50" s="228">
        <f t="shared" si="53"/>
        <v>0.75</v>
      </c>
      <c r="L50" s="228">
        <f>IF(ISERROR(VLOOKUP(A50,'Totalt pivot'!$A$5:$C$397,3,FALSE)),0,(VLOOKUP(A50,'Totalt pivot'!$A$5:$C$397,3,FALSE)))</f>
        <v>1.7</v>
      </c>
      <c r="M50" s="228">
        <f t="shared" ref="M50:M51" si="96">F50*L50</f>
        <v>0.63749999999999996</v>
      </c>
      <c r="N50" s="26">
        <f>VLOOKUP(A50,kurspris!$A$1:$Q$792,15)</f>
        <v>23641</v>
      </c>
      <c r="O50" s="26">
        <f>VLOOKUP(A50,kurspris!$A$1:$Q$792,16)</f>
        <v>28786</v>
      </c>
      <c r="P50" s="26">
        <f>VLOOKUP(A50,kurspris!$A$1:$Q$792,17)</f>
        <v>5800</v>
      </c>
      <c r="Q50" s="26">
        <f t="shared" ref="Q50:Q51" si="97">K50*N50+M50*O50</f>
        <v>36081.824999999997</v>
      </c>
      <c r="R50" s="26">
        <f>(Q50*Prislapp!$R$5)*-1</f>
        <v>-2525.72775</v>
      </c>
      <c r="S50" s="26">
        <f t="shared" ref="S50:S51" si="98">Q50+R50</f>
        <v>33556.097249999999</v>
      </c>
      <c r="T50" s="26">
        <f t="shared" ref="T50:T51" si="99">K50*P50</f>
        <v>4350</v>
      </c>
    </row>
    <row r="51" spans="1:23" x14ac:dyDescent="0.25">
      <c r="A51" s="31" t="s">
        <v>1576</v>
      </c>
      <c r="B51" t="str">
        <f>VLOOKUP(A51,kurspris!$A$1:$Q$792,2,FALSE)</f>
        <v>Utbildningsvetenskap, undervisning och lärande för grundskolan - fritidshem (UK)</v>
      </c>
      <c r="C51" s="31">
        <v>2200</v>
      </c>
      <c r="D51" t="str">
        <f>VLOOKUP(C51,Orgenheter!$A$1:$B$213,2)</f>
        <v xml:space="preserve">Inst för psykologi            </v>
      </c>
      <c r="E51" t="str">
        <f>VLOOKUP(C51,Orgenheter!$A$1:$C$165,3,FALSE)</f>
        <v>Sam</v>
      </c>
      <c r="F51" s="315">
        <f>2/8</f>
        <v>0.25</v>
      </c>
      <c r="G51">
        <f>VLOOKUP(A51,'Ansvar kurs'!$A$84:$C$959,2,FALSE)</f>
        <v>2180</v>
      </c>
      <c r="H51" t="str">
        <f>VLOOKUP(G51,Orgenheter!$A$1:$B$213,2)</f>
        <v xml:space="preserve">Pedagogik                     </v>
      </c>
      <c r="I51" t="str">
        <f>VLOOKUP(G51,Orgenheter!$A$1:$C$165,3,FALSE)</f>
        <v>Sam</v>
      </c>
      <c r="J51" s="228">
        <f>IF(ISERROR(VLOOKUP(A51,'Totalt pivot'!$A$5:$C$397,2,FALSE)),0,(VLOOKUP(A51,'Totalt pivot'!$A$5:$C$397,2,FALSE)))</f>
        <v>2</v>
      </c>
      <c r="K51" s="228">
        <f t="shared" si="53"/>
        <v>0.5</v>
      </c>
      <c r="L51" s="228">
        <f>IF(ISERROR(VLOOKUP(A51,'Totalt pivot'!$A$5:$C$397,3,FALSE)),0,(VLOOKUP(A51,'Totalt pivot'!$A$5:$C$397,3,FALSE)))</f>
        <v>1.7</v>
      </c>
      <c r="M51" s="228">
        <f t="shared" si="96"/>
        <v>0.42499999999999999</v>
      </c>
      <c r="N51" s="26">
        <f>VLOOKUP(A51,kurspris!$A$1:$Q$792,15)</f>
        <v>23641</v>
      </c>
      <c r="O51" s="26">
        <f>VLOOKUP(A51,kurspris!$A$1:$Q$792,16)</f>
        <v>28786</v>
      </c>
      <c r="P51" s="26">
        <f>VLOOKUP(A51,kurspris!$A$1:$Q$792,17)</f>
        <v>5800</v>
      </c>
      <c r="Q51" s="26">
        <f t="shared" si="97"/>
        <v>24054.55</v>
      </c>
      <c r="R51" s="26">
        <f>(Q51*Prislapp!$R$5)*-1</f>
        <v>-1683.8185000000001</v>
      </c>
      <c r="S51" s="26">
        <f t="shared" si="98"/>
        <v>22370.731499999998</v>
      </c>
      <c r="T51" s="26">
        <f t="shared" si="99"/>
        <v>2900</v>
      </c>
    </row>
    <row r="52" spans="1:23" x14ac:dyDescent="0.25">
      <c r="A52" s="31" t="s">
        <v>1577</v>
      </c>
      <c r="B52" t="str">
        <f>VLOOKUP(A52,kurspris!$A$1:$Q$792,2,FALSE)</f>
        <v>Utbildningsvetenskap, undervisning och lärande för grundskolan (UK)</v>
      </c>
      <c r="C52" s="31">
        <v>5740</v>
      </c>
      <c r="D52" t="str">
        <f>VLOOKUP(C52,Orgenheter!$A$1:$B$213,2)</f>
        <v>NMD</v>
      </c>
      <c r="E52" t="str">
        <f>VLOOKUP(C52,Orgenheter!$A$1:$C$165,3,FALSE)</f>
        <v>TekNat</v>
      </c>
      <c r="F52" s="315">
        <f>3/8</f>
        <v>0.375</v>
      </c>
      <c r="G52">
        <f>VLOOKUP(A52,'Ansvar kurs'!$A$84:$C$959,2,FALSE)</f>
        <v>2180</v>
      </c>
      <c r="H52" t="str">
        <f>VLOOKUP(G52,Orgenheter!$A$1:$B$213,2)</f>
        <v xml:space="preserve">Pedagogik                     </v>
      </c>
      <c r="I52" t="str">
        <f>VLOOKUP(G52,Orgenheter!$A$1:$C$165,3,FALSE)</f>
        <v>Sam</v>
      </c>
      <c r="J52" s="228">
        <f>IF(ISERROR(VLOOKUP(A52,'Totalt pivot'!$A$5:$C$397,2,FALSE)),0,(VLOOKUP(A52,'Totalt pivot'!$A$5:$C$397,2,FALSE)))</f>
        <v>9.4666666666666686</v>
      </c>
      <c r="K52" s="228">
        <f t="shared" si="53"/>
        <v>3.5500000000000007</v>
      </c>
      <c r="L52" s="228">
        <f>IF(ISERROR(VLOOKUP(A52,'Totalt pivot'!$A$5:$C$397,3,FALSE)),0,(VLOOKUP(A52,'Totalt pivot'!$A$5:$C$397,3,FALSE)))</f>
        <v>8.0466666666666669</v>
      </c>
      <c r="M52" s="228">
        <f t="shared" ref="M52:M53" si="100">F52*L52</f>
        <v>3.0175000000000001</v>
      </c>
      <c r="N52" s="26">
        <f>VLOOKUP(A52,kurspris!$A$1:$Q$792,15)</f>
        <v>23641</v>
      </c>
      <c r="O52" s="26">
        <f>VLOOKUP(A52,kurspris!$A$1:$Q$792,16)</f>
        <v>28786</v>
      </c>
      <c r="P52" s="26">
        <f>VLOOKUP(A52,kurspris!$A$1:$Q$792,17)</f>
        <v>5800</v>
      </c>
      <c r="Q52" s="26">
        <f t="shared" ref="Q52:Q53" si="101">K52*N52+M52*O52</f>
        <v>170787.30500000002</v>
      </c>
      <c r="R52" s="26">
        <f>(Q52*Prislapp!$R$5)*-1</f>
        <v>-11955.111350000003</v>
      </c>
      <c r="S52" s="26">
        <f t="shared" ref="S52:S53" si="102">Q52+R52</f>
        <v>158832.19365000003</v>
      </c>
      <c r="T52" s="26">
        <f t="shared" ref="T52:T53" si="103">K52*P52</f>
        <v>20590.000000000004</v>
      </c>
    </row>
    <row r="53" spans="1:23" x14ac:dyDescent="0.25">
      <c r="A53" s="31" t="s">
        <v>1577</v>
      </c>
      <c r="B53" t="str">
        <f>VLOOKUP(A53,kurspris!$A$1:$Q$792,2,FALSE)</f>
        <v>Utbildningsvetenskap, undervisning och lärande för grundskolan (UK)</v>
      </c>
      <c r="C53" s="31">
        <v>2200</v>
      </c>
      <c r="D53" t="str">
        <f>VLOOKUP(C53,Orgenheter!$A$1:$B$213,2)</f>
        <v xml:space="preserve">Inst för psykologi            </v>
      </c>
      <c r="E53" t="str">
        <f>VLOOKUP(C53,Orgenheter!$A$1:$C$165,3,FALSE)</f>
        <v>Sam</v>
      </c>
      <c r="F53" s="315">
        <f>2/8</f>
        <v>0.25</v>
      </c>
      <c r="G53">
        <f>VLOOKUP(A53,'Ansvar kurs'!$A$84:$C$959,2,FALSE)</f>
        <v>2180</v>
      </c>
      <c r="H53" t="str">
        <f>VLOOKUP(G53,Orgenheter!$A$1:$B$213,2)</f>
        <v xml:space="preserve">Pedagogik                     </v>
      </c>
      <c r="I53" t="str">
        <f>VLOOKUP(G53,Orgenheter!$A$1:$C$165,3,FALSE)</f>
        <v>Sam</v>
      </c>
      <c r="J53" s="228">
        <f>IF(ISERROR(VLOOKUP(A53,'Totalt pivot'!$A$5:$C$397,2,FALSE)),0,(VLOOKUP(A53,'Totalt pivot'!$A$5:$C$397,2,FALSE)))</f>
        <v>9.4666666666666686</v>
      </c>
      <c r="K53" s="228">
        <f t="shared" si="53"/>
        <v>2.3666666666666671</v>
      </c>
      <c r="L53" s="228">
        <f>IF(ISERROR(VLOOKUP(A53,'Totalt pivot'!$A$5:$C$397,3,FALSE)),0,(VLOOKUP(A53,'Totalt pivot'!$A$5:$C$397,3,FALSE)))</f>
        <v>8.0466666666666669</v>
      </c>
      <c r="M53" s="228">
        <f t="shared" si="100"/>
        <v>2.0116666666666667</v>
      </c>
      <c r="N53" s="26">
        <f>VLOOKUP(A53,kurspris!$A$1:$Q$792,15)</f>
        <v>23641</v>
      </c>
      <c r="O53" s="26">
        <f>VLOOKUP(A53,kurspris!$A$1:$Q$792,16)</f>
        <v>28786</v>
      </c>
      <c r="P53" s="26">
        <f>VLOOKUP(A53,kurspris!$A$1:$Q$792,17)</f>
        <v>5800</v>
      </c>
      <c r="Q53" s="26">
        <f t="shared" si="101"/>
        <v>113858.20333333334</v>
      </c>
      <c r="R53" s="26">
        <f>(Q53*Prislapp!$R$5)*-1</f>
        <v>-7970.0742333333346</v>
      </c>
      <c r="S53" s="26">
        <f t="shared" si="102"/>
        <v>105888.12910000001</v>
      </c>
      <c r="T53" s="26">
        <f t="shared" si="103"/>
        <v>13726.66666666667</v>
      </c>
    </row>
    <row r="54" spans="1:23" x14ac:dyDescent="0.25">
      <c r="A54" s="31" t="s">
        <v>1689</v>
      </c>
      <c r="B54" t="str">
        <f>VLOOKUP(A54,kurspris!$A$1:$Q$792,2,FALSE)</f>
        <v>Utbildningsvetenskap, undervisning och lärande - Ämneslärarprogrammet (UK)</v>
      </c>
      <c r="C54" s="31">
        <v>2200</v>
      </c>
      <c r="D54" t="str">
        <f>VLOOKUP(C54,Orgenheter!$A$1:$B$213,2)</f>
        <v xml:space="preserve">Inst för psykologi            </v>
      </c>
      <c r="E54" t="str">
        <f>VLOOKUP(C54,Orgenheter!$A$1:$C$165,3,FALSE)</f>
        <v>Sam</v>
      </c>
      <c r="F54" s="315">
        <f>2/8</f>
        <v>0.25</v>
      </c>
      <c r="G54">
        <f>VLOOKUP(A54,'Ansvar kurs'!$A$84:$C$959,2,FALSE)</f>
        <v>2180</v>
      </c>
      <c r="H54" t="str">
        <f>VLOOKUP(G54,Orgenheter!$A$1:$B$213,2)</f>
        <v xml:space="preserve">Pedagogik                     </v>
      </c>
      <c r="I54" t="str">
        <f>VLOOKUP(G54,Orgenheter!$A$1:$C$165,3,FALSE)</f>
        <v>Sam</v>
      </c>
      <c r="J54" s="228">
        <f>IF(ISERROR(VLOOKUP(A54,'Totalt pivot'!$A$5:$C$397,2,FALSE)),0,(VLOOKUP(A54,'Totalt pivot'!$A$5:$C$397,2,FALSE)))</f>
        <v>13.600000000000001</v>
      </c>
      <c r="K54" s="228">
        <f t="shared" si="53"/>
        <v>3.4000000000000004</v>
      </c>
      <c r="L54" s="228">
        <f>IF(ISERROR(VLOOKUP(A54,'Totalt pivot'!$A$5:$C$397,3,FALSE)),0,(VLOOKUP(A54,'Totalt pivot'!$A$5:$C$397,3,FALSE)))</f>
        <v>11.559999999999999</v>
      </c>
      <c r="M54" s="228">
        <f t="shared" ref="M54:M55" si="104">F54*L54</f>
        <v>2.8899999999999997</v>
      </c>
      <c r="N54" s="26">
        <f>VLOOKUP(A54,kurspris!$A$1:$Q$792,15)</f>
        <v>23641</v>
      </c>
      <c r="O54" s="26">
        <f>VLOOKUP(A54,kurspris!$A$1:$Q$792,16)</f>
        <v>28786</v>
      </c>
      <c r="P54" s="26">
        <f>VLOOKUP(A54,kurspris!$A$1:$Q$792,17)</f>
        <v>5800</v>
      </c>
      <c r="Q54" s="26">
        <f t="shared" ref="Q54:Q55" si="105">K54*N54+M54*O54</f>
        <v>163570.94</v>
      </c>
      <c r="R54" s="26">
        <f>(Q54*Prislapp!$R$5)*-1</f>
        <v>-11449.965800000002</v>
      </c>
      <c r="S54" s="26">
        <f t="shared" ref="S54:S55" si="106">Q54+R54</f>
        <v>152120.9742</v>
      </c>
      <c r="T54" s="26">
        <f t="shared" ref="T54:T55" si="107">K54*P54</f>
        <v>19720.000000000004</v>
      </c>
      <c r="V54" t="s">
        <v>1691</v>
      </c>
    </row>
    <row r="55" spans="1:23" x14ac:dyDescent="0.25">
      <c r="A55" s="31" t="s">
        <v>1689</v>
      </c>
      <c r="B55" t="str">
        <f>VLOOKUP(A55,kurspris!$A$1:$Q$792,2,FALSE)</f>
        <v>Utbildningsvetenskap, undervisning och lärande - Ämneslärarprogrammet (UK)</v>
      </c>
      <c r="C55" s="31">
        <v>5740</v>
      </c>
      <c r="D55" t="str">
        <f>VLOOKUP(C55,Orgenheter!$A$1:$B$213,2)</f>
        <v>NMD</v>
      </c>
      <c r="E55" t="str">
        <f>VLOOKUP(C55,Orgenheter!$A$1:$C$165,3,FALSE)</f>
        <v>TekNat</v>
      </c>
      <c r="F55" s="315">
        <f>1/8</f>
        <v>0.125</v>
      </c>
      <c r="G55">
        <f>VLOOKUP(A55,'Ansvar kurs'!$A$84:$C$959,2,FALSE)</f>
        <v>2180</v>
      </c>
      <c r="H55" t="str">
        <f>VLOOKUP(G55,Orgenheter!$A$1:$B$213,2)</f>
        <v xml:space="preserve">Pedagogik                     </v>
      </c>
      <c r="I55" t="str">
        <f>VLOOKUP(G55,Orgenheter!$A$1:$C$165,3,FALSE)</f>
        <v>Sam</v>
      </c>
      <c r="J55" s="228">
        <f>IF(ISERROR(VLOOKUP(A55,'Totalt pivot'!$A$5:$C$397,2,FALSE)),0,(VLOOKUP(A55,'Totalt pivot'!$A$5:$C$397,2,FALSE)))</f>
        <v>13.600000000000001</v>
      </c>
      <c r="K55" s="228">
        <f t="shared" si="53"/>
        <v>1.7000000000000002</v>
      </c>
      <c r="L55" s="228">
        <f>IF(ISERROR(VLOOKUP(A55,'Totalt pivot'!$A$5:$C$397,3,FALSE)),0,(VLOOKUP(A55,'Totalt pivot'!$A$5:$C$397,3,FALSE)))</f>
        <v>11.559999999999999</v>
      </c>
      <c r="M55" s="228">
        <f t="shared" si="104"/>
        <v>1.4449999999999998</v>
      </c>
      <c r="N55" s="26">
        <f>VLOOKUP(A55,kurspris!$A$1:$Q$792,15)</f>
        <v>23641</v>
      </c>
      <c r="O55" s="26">
        <f>VLOOKUP(A55,kurspris!$A$1:$Q$792,16)</f>
        <v>28786</v>
      </c>
      <c r="P55" s="26">
        <f>VLOOKUP(A55,kurspris!$A$1:$Q$792,17)</f>
        <v>5800</v>
      </c>
      <c r="Q55" s="26">
        <f t="shared" si="105"/>
        <v>81785.47</v>
      </c>
      <c r="R55" s="26">
        <f>(Q55*Prislapp!$R$5)*-1</f>
        <v>-5724.9829000000009</v>
      </c>
      <c r="S55" s="26">
        <f t="shared" si="106"/>
        <v>76060.487099999998</v>
      </c>
      <c r="T55" s="26">
        <f t="shared" si="107"/>
        <v>9860.0000000000018</v>
      </c>
      <c r="V55" t="s">
        <v>1691</v>
      </c>
    </row>
    <row r="56" spans="1:23" x14ac:dyDescent="0.25">
      <c r="A56" s="31" t="s">
        <v>1626</v>
      </c>
      <c r="B56" t="str">
        <f>VLOOKUP(A56,kurspris!$A$1:$Q$792,2,FALSE)</f>
        <v>Den professionella läraren 2: Uppdrag, ledarskap och undervisning (UK)</v>
      </c>
      <c r="C56" s="31">
        <v>2193</v>
      </c>
      <c r="D56" t="str">
        <f>VLOOKUP(C56,Orgenheter!$A$1:$B$213,2)</f>
        <v xml:space="preserve">TUV </v>
      </c>
      <c r="E56" t="str">
        <f>VLOOKUP(C56,Orgenheter!$A$1:$C$165,3,FALSE)</f>
        <v>Sam</v>
      </c>
      <c r="F56" s="315">
        <f>2/7.5</f>
        <v>0.26666666666666666</v>
      </c>
      <c r="G56">
        <f>VLOOKUP(A56,'Ansvar kurs'!$A$84:$C$959,2,FALSE)</f>
        <v>2180</v>
      </c>
      <c r="H56" t="str">
        <f>VLOOKUP(G56,Orgenheter!$A$1:$B$213,2)</f>
        <v xml:space="preserve">Pedagogik                     </v>
      </c>
      <c r="I56" t="str">
        <f>VLOOKUP(G56,Orgenheter!$A$1:$C$165,3,FALSE)</f>
        <v>Sam</v>
      </c>
      <c r="J56" s="228">
        <f>IF(ISERROR(VLOOKUP(A56,'Totalt pivot'!$A$5:$C$397,2,FALSE)),0,(VLOOKUP(A56,'Totalt pivot'!$A$5:$C$397,2,FALSE)))</f>
        <v>7</v>
      </c>
      <c r="K56" s="228">
        <f t="shared" si="53"/>
        <v>1.8666666666666667</v>
      </c>
      <c r="L56" s="228">
        <f>IF(ISERROR(VLOOKUP(A56,'Totalt pivot'!$A$5:$C$397,3,FALSE)),0,(VLOOKUP(A56,'Totalt pivot'!$A$5:$C$397,3,FALSE)))</f>
        <v>5.95</v>
      </c>
      <c r="M56" s="228">
        <f t="shared" ref="M56" si="108">F56*L56</f>
        <v>1.5866666666666667</v>
      </c>
      <c r="N56" s="26">
        <f>VLOOKUP(A56,kurspris!$A$1:$Q$792,15)</f>
        <v>23641</v>
      </c>
      <c r="O56" s="26">
        <f>VLOOKUP(A56,kurspris!$A$1:$Q$792,16)</f>
        <v>28786</v>
      </c>
      <c r="P56" s="26">
        <f>VLOOKUP(A56,kurspris!$A$1:$Q$792,17)</f>
        <v>5800</v>
      </c>
      <c r="Q56" s="26">
        <f t="shared" ref="Q56" si="109">K56*N56+M56*O56</f>
        <v>89803.653333333335</v>
      </c>
      <c r="R56" s="26">
        <f>(Q56*Prislapp!$R$5)*-1</f>
        <v>-6286.2557333333343</v>
      </c>
      <c r="S56" s="26">
        <f t="shared" ref="S56" si="110">Q56+R56</f>
        <v>83517.397599999997</v>
      </c>
      <c r="T56" s="26">
        <f t="shared" ref="T56" si="111">K56*P56</f>
        <v>10826.666666666666</v>
      </c>
      <c r="V56" s="335" t="s">
        <v>1623</v>
      </c>
    </row>
    <row r="57" spans="1:23" x14ac:dyDescent="0.25">
      <c r="A57" s="31" t="s">
        <v>1572</v>
      </c>
      <c r="B57" t="str">
        <f>VLOOKUP(A57,kurspris!$A$1:$Q$792,2,FALSE)</f>
        <v>Barnet, omvärlden och fritidshemmets uppdrag</v>
      </c>
      <c r="C57" s="31">
        <v>2180</v>
      </c>
      <c r="D57" t="str">
        <f>VLOOKUP(C57,Orgenheter!$A$1:$B$213,2)</f>
        <v xml:space="preserve">Pedagogik                     </v>
      </c>
      <c r="E57" t="str">
        <f>VLOOKUP(C57,Orgenheter!$A$1:$C$165,3,FALSE)</f>
        <v>Sam</v>
      </c>
      <c r="F57" s="315">
        <f>3/15</f>
        <v>0.2</v>
      </c>
      <c r="G57">
        <f>VLOOKUP(A57,'Ansvar kurs'!$A$84:$C$959,2,FALSE)</f>
        <v>2193</v>
      </c>
      <c r="H57" t="str">
        <f>VLOOKUP(G57,Orgenheter!$A$1:$B$213,2)</f>
        <v xml:space="preserve">TUV </v>
      </c>
      <c r="I57" t="str">
        <f>VLOOKUP(G57,Orgenheter!$A$1:$C$165,3,FALSE)</f>
        <v>Sam</v>
      </c>
      <c r="J57" s="228">
        <f>IF(ISERROR(VLOOKUP(A57,'Totalt pivot'!$A$5:$C$397,2,FALSE)),0,(VLOOKUP(A57,'Totalt pivot'!$A$5:$C$397,2,FALSE)))</f>
        <v>6.5</v>
      </c>
      <c r="K57" s="228">
        <f t="shared" ref="K57" si="112">F57*J57</f>
        <v>1.3</v>
      </c>
      <c r="L57" s="228">
        <f>IF(ISERROR(VLOOKUP(A57,'Totalt pivot'!$A$5:$C$397,3,FALSE)),0,(VLOOKUP(A57,'Totalt pivot'!$A$5:$C$397,3,FALSE)))</f>
        <v>5.5250000000000004</v>
      </c>
      <c r="M57" s="228">
        <f t="shared" ref="M57" si="113">F57*L57</f>
        <v>1.1050000000000002</v>
      </c>
      <c r="N57" s="26">
        <f>VLOOKUP(A57,kurspris!$A$1:$Q$792,15)</f>
        <v>18405</v>
      </c>
      <c r="O57" s="26">
        <f>VLOOKUP(A57,kurspris!$A$1:$Q$792,16)</f>
        <v>15773</v>
      </c>
      <c r="P57" s="26">
        <f>VLOOKUP(A57,kurspris!$A$1:$Q$792,17)</f>
        <v>5800</v>
      </c>
      <c r="Q57" s="26">
        <f t="shared" ref="Q57" si="114">K57*N57+M57*O57</f>
        <v>41355.665000000008</v>
      </c>
      <c r="R57" s="26">
        <f>(Q57*Prislapp!$R$5)*-1</f>
        <v>-2894.8965500000008</v>
      </c>
      <c r="S57" s="26">
        <f t="shared" ref="S57" si="115">Q57+R57</f>
        <v>38460.76845000001</v>
      </c>
      <c r="T57" s="26">
        <f t="shared" ref="T57" si="116">K57*P57</f>
        <v>7540</v>
      </c>
      <c r="V57" s="182" t="s">
        <v>1721</v>
      </c>
      <c r="W57" s="182"/>
    </row>
    <row r="58" spans="1:23" x14ac:dyDescent="0.25">
      <c r="A58" s="31" t="s">
        <v>1578</v>
      </c>
      <c r="B58" t="str">
        <f>VLOOKUP(A58,kurspris!$A$1:$Q$792,2,FALSE)</f>
        <v>Bedömning för och av lärande i grundskolan (UK)</v>
      </c>
      <c r="C58" s="31">
        <v>2180</v>
      </c>
      <c r="D58" t="str">
        <f>VLOOKUP(C58,Orgenheter!$A$1:$B$213,2)</f>
        <v xml:space="preserve">Pedagogik                     </v>
      </c>
      <c r="E58" t="str">
        <f>VLOOKUP(C58,Orgenheter!$A$1:$C$165,3,FALSE)</f>
        <v>Sam</v>
      </c>
      <c r="F58" s="315">
        <f>2.5/11</f>
        <v>0.22727272727272727</v>
      </c>
      <c r="G58">
        <f>VLOOKUP(A58,'Ansvar kurs'!$A$84:$C$959,2,FALSE)</f>
        <v>5740</v>
      </c>
      <c r="H58" t="str">
        <f>VLOOKUP(G58,Orgenheter!$A$1:$B$213,2)</f>
        <v>NMD</v>
      </c>
      <c r="I58" t="str">
        <f>VLOOKUP(G58,Orgenheter!$A$1:$C$165,3,FALSE)</f>
        <v>TekNat</v>
      </c>
      <c r="J58" s="228">
        <f>IF(ISERROR(VLOOKUP(A58,'Totalt pivot'!$A$5:$C$397,2,FALSE)),0,(VLOOKUP(A58,'Totalt pivot'!$A$5:$C$397,2,FALSE)))</f>
        <v>14.849999999999998</v>
      </c>
      <c r="K58" s="228">
        <f t="shared" si="53"/>
        <v>3.3749999999999996</v>
      </c>
      <c r="L58" s="228">
        <f>IF(ISERROR(VLOOKUP(A58,'Totalt pivot'!$A$5:$C$397,3,FALSE)),0,(VLOOKUP(A58,'Totalt pivot'!$A$5:$C$397,3,FALSE)))</f>
        <v>12.622499999999999</v>
      </c>
      <c r="M58" s="228">
        <f t="shared" ref="M58:M60" si="117">F58*L58</f>
        <v>2.8687499999999995</v>
      </c>
      <c r="N58" s="26">
        <f>VLOOKUP(A58,kurspris!$A$1:$Q$792,15)</f>
        <v>23641</v>
      </c>
      <c r="O58" s="26">
        <f>VLOOKUP(A58,kurspris!$A$1:$Q$792,16)</f>
        <v>28786</v>
      </c>
      <c r="P58" s="26">
        <f>VLOOKUP(A58,kurspris!$A$1:$Q$792,17)</f>
        <v>5800</v>
      </c>
      <c r="Q58" s="26">
        <f t="shared" ref="Q58:Q60" si="118">K58*N58+M58*O58</f>
        <v>162368.21249999997</v>
      </c>
      <c r="R58" s="26">
        <f>(Q58*Prislapp!$R$5)*-1</f>
        <v>-11365.774874999999</v>
      </c>
      <c r="S58" s="26">
        <f t="shared" ref="S58:S60" si="119">Q58+R58</f>
        <v>151002.43762499996</v>
      </c>
      <c r="T58" s="26">
        <f t="shared" ref="T58:T60" si="120">K58*P58</f>
        <v>19574.999999999996</v>
      </c>
    </row>
    <row r="59" spans="1:23" x14ac:dyDescent="0.25">
      <c r="A59" s="31" t="s">
        <v>1578</v>
      </c>
      <c r="B59" t="str">
        <f>VLOOKUP(A59,kurspris!$A$1:$Q$792,2,FALSE)</f>
        <v>Bedömning för och av lärande i grundskolan (UK)</v>
      </c>
      <c r="C59" s="31">
        <v>2193</v>
      </c>
      <c r="D59" t="str">
        <f>VLOOKUP(C59,Orgenheter!$A$1:$B$213,2)</f>
        <v xml:space="preserve">TUV </v>
      </c>
      <c r="E59" t="str">
        <f>VLOOKUP(C59,Orgenheter!$A$1:$C$165,3,FALSE)</f>
        <v>Sam</v>
      </c>
      <c r="F59" s="315">
        <f>2.5/11</f>
        <v>0.22727272727272727</v>
      </c>
      <c r="G59">
        <f>VLOOKUP(A59,'Ansvar kurs'!$A$84:$C$959,2,FALSE)</f>
        <v>5740</v>
      </c>
      <c r="H59" t="str">
        <f>VLOOKUP(G59,Orgenheter!$A$1:$B$213,2)</f>
        <v>NMD</v>
      </c>
      <c r="I59" t="str">
        <f>VLOOKUP(G59,Orgenheter!$A$1:$C$165,3,FALSE)</f>
        <v>TekNat</v>
      </c>
      <c r="J59" s="228">
        <f>IF(ISERROR(VLOOKUP(A59,'Totalt pivot'!$A$5:$C$397,2,FALSE)),0,(VLOOKUP(A59,'Totalt pivot'!$A$5:$C$397,2,FALSE)))</f>
        <v>14.849999999999998</v>
      </c>
      <c r="K59" s="228">
        <f t="shared" si="53"/>
        <v>3.3749999999999996</v>
      </c>
      <c r="L59" s="228">
        <f>IF(ISERROR(VLOOKUP(A59,'Totalt pivot'!$A$5:$C$397,3,FALSE)),0,(VLOOKUP(A59,'Totalt pivot'!$A$5:$C$397,3,FALSE)))</f>
        <v>12.622499999999999</v>
      </c>
      <c r="M59" s="228">
        <f t="shared" si="117"/>
        <v>2.8687499999999995</v>
      </c>
      <c r="N59" s="26">
        <f>VLOOKUP(A59,kurspris!$A$1:$Q$792,15)</f>
        <v>23641</v>
      </c>
      <c r="O59" s="26">
        <f>VLOOKUP(A59,kurspris!$A$1:$Q$792,16)</f>
        <v>28786</v>
      </c>
      <c r="P59" s="26">
        <f>VLOOKUP(A59,kurspris!$A$1:$Q$792,17)</f>
        <v>5800</v>
      </c>
      <c r="Q59" s="26">
        <f t="shared" si="118"/>
        <v>162368.21249999997</v>
      </c>
      <c r="R59" s="26">
        <f>(Q59*Prislapp!$R$5)*-1</f>
        <v>-11365.774874999999</v>
      </c>
      <c r="S59" s="26">
        <f t="shared" si="119"/>
        <v>151002.43762499996</v>
      </c>
      <c r="T59" s="26">
        <f t="shared" si="120"/>
        <v>19574.999999999996</v>
      </c>
    </row>
    <row r="60" spans="1:23" x14ac:dyDescent="0.25">
      <c r="A60" s="31" t="s">
        <v>1578</v>
      </c>
      <c r="B60" t="str">
        <f>VLOOKUP(A60,kurspris!$A$1:$Q$792,2,FALSE)</f>
        <v>Bedömning för och av lärande i grundskolan (UK)</v>
      </c>
      <c r="C60" s="31">
        <v>2300</v>
      </c>
      <c r="D60" t="str">
        <f>VLOOKUP(C60,Orgenheter!$A$1:$B$213,2)</f>
        <v xml:space="preserve">Juridiska institutionen       </v>
      </c>
      <c r="E60" t="str">
        <f>VLOOKUP(C60,Orgenheter!$A$1:$C$165,3,FALSE)</f>
        <v>Sam</v>
      </c>
      <c r="F60" s="315">
        <f>1/11</f>
        <v>9.0909090909090912E-2</v>
      </c>
      <c r="G60">
        <f>VLOOKUP(A60,'Ansvar kurs'!$A$84:$C$959,2,FALSE)</f>
        <v>5740</v>
      </c>
      <c r="H60" t="str">
        <f>VLOOKUP(G60,Orgenheter!$A$1:$B$213,2)</f>
        <v>NMD</v>
      </c>
      <c r="I60" t="str">
        <f>VLOOKUP(G60,Orgenheter!$A$1:$C$165,3,FALSE)</f>
        <v>TekNat</v>
      </c>
      <c r="J60" s="228">
        <f>IF(ISERROR(VLOOKUP(A60,'Totalt pivot'!$A$5:$C$397,2,FALSE)),0,(VLOOKUP(A60,'Totalt pivot'!$A$5:$C$397,2,FALSE)))</f>
        <v>14.849999999999998</v>
      </c>
      <c r="K60" s="228">
        <f t="shared" si="53"/>
        <v>1.3499999999999999</v>
      </c>
      <c r="L60" s="228">
        <f>IF(ISERROR(VLOOKUP(A60,'Totalt pivot'!$A$5:$C$397,3,FALSE)),0,(VLOOKUP(A60,'Totalt pivot'!$A$5:$C$397,3,FALSE)))</f>
        <v>12.622499999999999</v>
      </c>
      <c r="M60" s="228">
        <f t="shared" si="117"/>
        <v>1.1475</v>
      </c>
      <c r="N60" s="26">
        <f>VLOOKUP(A60,kurspris!$A$1:$Q$792,15)</f>
        <v>23641</v>
      </c>
      <c r="O60" s="26">
        <f>VLOOKUP(A60,kurspris!$A$1:$Q$792,16)</f>
        <v>28786</v>
      </c>
      <c r="P60" s="26">
        <f>VLOOKUP(A60,kurspris!$A$1:$Q$792,17)</f>
        <v>5800</v>
      </c>
      <c r="Q60" s="26">
        <f t="shared" si="118"/>
        <v>64947.284999999996</v>
      </c>
      <c r="R60" s="26">
        <f>(Q60*Prislapp!$R$5)*-1</f>
        <v>-4546.3099499999998</v>
      </c>
      <c r="S60" s="26">
        <f t="shared" si="119"/>
        <v>60400.975049999994</v>
      </c>
      <c r="T60" s="26">
        <f t="shared" si="120"/>
        <v>7829.9999999999991</v>
      </c>
    </row>
    <row r="61" spans="1:23" x14ac:dyDescent="0.25">
      <c r="A61" s="295" t="s">
        <v>1569</v>
      </c>
      <c r="B61" t="str">
        <f>VLOOKUP(A61,kurspris!$A$1:$Q$792,2,FALSE)</f>
        <v>Bedömning för lärande i förskolan (UK)</v>
      </c>
      <c r="C61" s="31">
        <v>2193</v>
      </c>
      <c r="D61" t="str">
        <f>VLOOKUP(C61,Orgenheter!$A$1:$B$213,2)</f>
        <v xml:space="preserve">TUV </v>
      </c>
      <c r="E61" t="str">
        <f>VLOOKUP(C61,Orgenheter!$A$1:$C$165,3,FALSE)</f>
        <v>Sam</v>
      </c>
      <c r="F61" s="315">
        <f>3/10</f>
        <v>0.3</v>
      </c>
      <c r="G61">
        <f>VLOOKUP(A61,'Ansvar kurs'!$A$84:$C$959,2,FALSE)</f>
        <v>5740</v>
      </c>
      <c r="H61" t="str">
        <f>VLOOKUP(G61,Orgenheter!$A$1:$B$213,2)</f>
        <v>NMD</v>
      </c>
      <c r="I61" t="str">
        <f>VLOOKUP(G61,Orgenheter!$A$1:$C$165,3,FALSE)</f>
        <v>TekNat</v>
      </c>
      <c r="J61" s="228">
        <f>IF(ISERROR(VLOOKUP(A61,'Totalt pivot'!$A$5:$C$397,2,FALSE)),0,(VLOOKUP(A61,'Totalt pivot'!$A$5:$C$397,2,FALSE)))</f>
        <v>11.233333333333334</v>
      </c>
      <c r="K61" s="228">
        <f t="shared" si="53"/>
        <v>3.37</v>
      </c>
      <c r="L61" s="228">
        <f>IF(ISERROR(VLOOKUP(A61,'Totalt pivot'!$A$5:$C$397,3,FALSE)),0,(VLOOKUP(A61,'Totalt pivot'!$A$5:$C$397,3,FALSE)))</f>
        <v>9.548333333333332</v>
      </c>
      <c r="M61" s="228">
        <f t="shared" ref="M61:M62" si="121">F61*L61</f>
        <v>2.8644999999999996</v>
      </c>
      <c r="N61" s="26">
        <f>VLOOKUP(A61,kurspris!$A$1:$Q$792,15)</f>
        <v>23641</v>
      </c>
      <c r="O61" s="26">
        <f>VLOOKUP(A61,kurspris!$A$1:$Q$792,16)</f>
        <v>28786</v>
      </c>
      <c r="P61" s="26">
        <f>VLOOKUP(A61,kurspris!$A$1:$Q$792,17)</f>
        <v>5800</v>
      </c>
      <c r="Q61" s="26">
        <f t="shared" ref="Q61:Q62" si="122">K61*N61+M61*O61</f>
        <v>162127.66699999999</v>
      </c>
      <c r="R61" s="26">
        <f>(Q61*Prislapp!$R$5)*-1</f>
        <v>-11348.93669</v>
      </c>
      <c r="S61" s="26">
        <f t="shared" ref="S61:S62" si="123">Q61+R61</f>
        <v>150778.73030999998</v>
      </c>
      <c r="T61" s="26">
        <f t="shared" ref="T61:T62" si="124">K61*P61</f>
        <v>19546</v>
      </c>
      <c r="V61" t="s">
        <v>1717</v>
      </c>
    </row>
    <row r="62" spans="1:23" x14ac:dyDescent="0.25">
      <c r="A62" s="295" t="s">
        <v>1569</v>
      </c>
      <c r="B62" t="str">
        <f>VLOOKUP(A62,kurspris!$A$1:$Q$792,2,FALSE)</f>
        <v>Bedömning för lärande i förskolan (UK)</v>
      </c>
      <c r="C62" s="31">
        <v>2300</v>
      </c>
      <c r="D62" t="str">
        <f>VLOOKUP(C62,Orgenheter!$A$1:$B$213,2)</f>
        <v xml:space="preserve">Juridiska institutionen       </v>
      </c>
      <c r="E62" t="str">
        <f>VLOOKUP(C62,Orgenheter!$A$1:$C$165,3,FALSE)</f>
        <v>Sam</v>
      </c>
      <c r="F62" s="315">
        <f>1/10</f>
        <v>0.1</v>
      </c>
      <c r="G62">
        <f>VLOOKUP(A62,'Ansvar kurs'!$A$84:$C$959,2,FALSE)</f>
        <v>5740</v>
      </c>
      <c r="H62" t="str">
        <f>VLOOKUP(G62,Orgenheter!$A$1:$B$213,2)</f>
        <v>NMD</v>
      </c>
      <c r="I62" t="str">
        <f>VLOOKUP(G62,Orgenheter!$A$1:$C$165,3,FALSE)</f>
        <v>TekNat</v>
      </c>
      <c r="J62" s="228">
        <f>IF(ISERROR(VLOOKUP(A62,'Totalt pivot'!$A$5:$C$397,2,FALSE)),0,(VLOOKUP(A62,'Totalt pivot'!$A$5:$C$397,2,FALSE)))</f>
        <v>11.233333333333334</v>
      </c>
      <c r="K62" s="228">
        <f t="shared" si="53"/>
        <v>1.1233333333333335</v>
      </c>
      <c r="L62" s="228">
        <f>IF(ISERROR(VLOOKUP(A62,'Totalt pivot'!$A$5:$C$397,3,FALSE)),0,(VLOOKUP(A62,'Totalt pivot'!$A$5:$C$397,3,FALSE)))</f>
        <v>9.548333333333332</v>
      </c>
      <c r="M62" s="228">
        <f t="shared" si="121"/>
        <v>0.9548333333333332</v>
      </c>
      <c r="N62" s="26">
        <f>VLOOKUP(A62,kurspris!$A$1:$Q$792,15)</f>
        <v>23641</v>
      </c>
      <c r="O62" s="26">
        <f>VLOOKUP(A62,kurspris!$A$1:$Q$792,16)</f>
        <v>28786</v>
      </c>
      <c r="P62" s="26">
        <f>VLOOKUP(A62,kurspris!$A$1:$Q$792,17)</f>
        <v>5800</v>
      </c>
      <c r="Q62" s="26">
        <f t="shared" si="122"/>
        <v>54042.555666666667</v>
      </c>
      <c r="R62" s="26">
        <f>(Q62*Prislapp!$R$5)*-1</f>
        <v>-3782.978896666667</v>
      </c>
      <c r="S62" s="26">
        <f t="shared" si="123"/>
        <v>50259.57677</v>
      </c>
      <c r="T62" s="26">
        <f t="shared" si="124"/>
        <v>6515.3333333333348</v>
      </c>
      <c r="V62" t="s">
        <v>1717</v>
      </c>
    </row>
    <row r="63" spans="1:23" x14ac:dyDescent="0.25">
      <c r="A63" s="31" t="s">
        <v>1706</v>
      </c>
      <c r="B63" t="str">
        <f>VLOOKUP(A63,kurspris!$A$1:$Q$792,2,FALSE)</f>
        <v>Bedömning för och av lärande för åk 7-9 och gymnasium (UK)</v>
      </c>
      <c r="C63" s="31">
        <v>2180</v>
      </c>
      <c r="D63" t="str">
        <f>VLOOKUP(C63,Orgenheter!$A$1:$B$213,2)</f>
        <v xml:space="preserve">Pedagogik                     </v>
      </c>
      <c r="E63" t="str">
        <f>VLOOKUP(C63,Orgenheter!$A$1:$C$165,3,FALSE)</f>
        <v>Sam</v>
      </c>
      <c r="F63" s="315">
        <f>2.5/11</f>
        <v>0.22727272727272727</v>
      </c>
      <c r="G63">
        <f>VLOOKUP(A63,'Ansvar kurs'!$A$84:$C$959,2,FALSE)</f>
        <v>5740</v>
      </c>
      <c r="H63" t="str">
        <f>VLOOKUP(G63,Orgenheter!$A$1:$B$213,2)</f>
        <v>NMD</v>
      </c>
      <c r="I63" t="str">
        <f>VLOOKUP(G63,Orgenheter!$A$1:$C$165,3,FALSE)</f>
        <v>TekNat</v>
      </c>
      <c r="J63" s="228">
        <f>IF(ISERROR(VLOOKUP(A63,'Totalt pivot'!$A$5:$C$397,2,FALSE)),0,(VLOOKUP(A63,'Totalt pivot'!$A$5:$C$397,2,FALSE)))</f>
        <v>18.7</v>
      </c>
      <c r="K63" s="228">
        <f t="shared" ref="K63:K65" si="125">F63*J63</f>
        <v>4.25</v>
      </c>
      <c r="L63" s="228">
        <f>IF(ISERROR(VLOOKUP(A63,'Totalt pivot'!$A$5:$C$397,3,FALSE)),0,(VLOOKUP(A63,'Totalt pivot'!$A$5:$C$397,3,FALSE)))</f>
        <v>15.895000000000001</v>
      </c>
      <c r="M63" s="228">
        <f t="shared" ref="M63:M65" si="126">F63*L63</f>
        <v>3.6125000000000003</v>
      </c>
      <c r="N63" s="26">
        <f>VLOOKUP(A63,kurspris!$A$1:$Q$792,15)</f>
        <v>23641</v>
      </c>
      <c r="O63" s="26">
        <f>VLOOKUP(A63,kurspris!$A$1:$Q$792,16)</f>
        <v>28786</v>
      </c>
      <c r="P63" s="26">
        <f>VLOOKUP(A63,kurspris!$A$1:$Q$792,17)</f>
        <v>5800</v>
      </c>
      <c r="Q63" s="26">
        <f t="shared" ref="Q63:Q65" si="127">K63*N63+M63*O63</f>
        <v>204463.67499999999</v>
      </c>
      <c r="R63" s="26">
        <f>(Q63*Prislapp!$R$5)*-1</f>
        <v>-14312.457250000001</v>
      </c>
      <c r="S63" s="26">
        <f t="shared" ref="S63:S65" si="128">Q63+R63</f>
        <v>190151.21774999998</v>
      </c>
      <c r="T63" s="26">
        <f t="shared" ref="T63:T65" si="129">K63*P63</f>
        <v>24650</v>
      </c>
      <c r="V63" t="s">
        <v>1691</v>
      </c>
    </row>
    <row r="64" spans="1:23" x14ac:dyDescent="0.25">
      <c r="A64" s="31" t="s">
        <v>1706</v>
      </c>
      <c r="B64" t="str">
        <f>VLOOKUP(A64,kurspris!$A$1:$Q$792,2,FALSE)</f>
        <v>Bedömning för och av lärande för åk 7-9 och gymnasium (UK)</v>
      </c>
      <c r="C64" s="31">
        <v>2193</v>
      </c>
      <c r="D64" t="str">
        <f>VLOOKUP(C64,Orgenheter!$A$1:$B$213,2)</f>
        <v xml:space="preserve">TUV </v>
      </c>
      <c r="E64" t="str">
        <f>VLOOKUP(C64,Orgenheter!$A$1:$C$165,3,FALSE)</f>
        <v>Sam</v>
      </c>
      <c r="F64" s="315">
        <f>2.5/11</f>
        <v>0.22727272727272727</v>
      </c>
      <c r="G64">
        <f>VLOOKUP(A64,'Ansvar kurs'!$A$84:$C$959,2,FALSE)</f>
        <v>5740</v>
      </c>
      <c r="H64" t="str">
        <f>VLOOKUP(G64,Orgenheter!$A$1:$B$213,2)</f>
        <v>NMD</v>
      </c>
      <c r="I64" t="str">
        <f>VLOOKUP(G64,Orgenheter!$A$1:$C$165,3,FALSE)</f>
        <v>TekNat</v>
      </c>
      <c r="J64" s="228">
        <f>IF(ISERROR(VLOOKUP(A64,'Totalt pivot'!$A$5:$C$397,2,FALSE)),0,(VLOOKUP(A64,'Totalt pivot'!$A$5:$C$397,2,FALSE)))</f>
        <v>18.7</v>
      </c>
      <c r="K64" s="228">
        <f t="shared" si="125"/>
        <v>4.25</v>
      </c>
      <c r="L64" s="228">
        <f>IF(ISERROR(VLOOKUP(A64,'Totalt pivot'!$A$5:$C$397,3,FALSE)),0,(VLOOKUP(A64,'Totalt pivot'!$A$5:$C$397,3,FALSE)))</f>
        <v>15.895000000000001</v>
      </c>
      <c r="M64" s="228">
        <f t="shared" si="126"/>
        <v>3.6125000000000003</v>
      </c>
      <c r="N64" s="26">
        <f>VLOOKUP(A64,kurspris!$A$1:$Q$792,15)</f>
        <v>23641</v>
      </c>
      <c r="O64" s="26">
        <f>VLOOKUP(A64,kurspris!$A$1:$Q$792,16)</f>
        <v>28786</v>
      </c>
      <c r="P64" s="26">
        <f>VLOOKUP(A64,kurspris!$A$1:$Q$792,17)</f>
        <v>5800</v>
      </c>
      <c r="Q64" s="26">
        <f t="shared" si="127"/>
        <v>204463.67499999999</v>
      </c>
      <c r="R64" s="26">
        <f>(Q64*Prislapp!$R$5)*-1</f>
        <v>-14312.457250000001</v>
      </c>
      <c r="S64" s="26">
        <f t="shared" si="128"/>
        <v>190151.21774999998</v>
      </c>
      <c r="T64" s="26">
        <f t="shared" si="129"/>
        <v>24650</v>
      </c>
      <c r="V64" t="s">
        <v>1691</v>
      </c>
    </row>
    <row r="65" spans="1:23" x14ac:dyDescent="0.25">
      <c r="A65" s="31" t="s">
        <v>1706</v>
      </c>
      <c r="B65" t="str">
        <f>VLOOKUP(A65,kurspris!$A$1:$Q$792,2,FALSE)</f>
        <v>Bedömning för och av lärande för åk 7-9 och gymnasium (UK)</v>
      </c>
      <c r="C65" s="31">
        <v>2300</v>
      </c>
      <c r="D65" t="str">
        <f>VLOOKUP(C65,Orgenheter!$A$1:$B$213,2)</f>
        <v xml:space="preserve">Juridiska institutionen       </v>
      </c>
      <c r="E65" t="str">
        <f>VLOOKUP(C65,Orgenheter!$A$1:$C$165,3,FALSE)</f>
        <v>Sam</v>
      </c>
      <c r="F65" s="315">
        <f>1/11</f>
        <v>9.0909090909090912E-2</v>
      </c>
      <c r="G65">
        <f>VLOOKUP(A65,'Ansvar kurs'!$A$84:$C$959,2,FALSE)</f>
        <v>5740</v>
      </c>
      <c r="H65" t="str">
        <f>VLOOKUP(G65,Orgenheter!$A$1:$B$213,2)</f>
        <v>NMD</v>
      </c>
      <c r="I65" t="str">
        <f>VLOOKUP(G65,Orgenheter!$A$1:$C$165,3,FALSE)</f>
        <v>TekNat</v>
      </c>
      <c r="J65" s="228">
        <f>IF(ISERROR(VLOOKUP(A65,'Totalt pivot'!$A$5:$C$397,2,FALSE)),0,(VLOOKUP(A65,'Totalt pivot'!$A$5:$C$397,2,FALSE)))</f>
        <v>18.7</v>
      </c>
      <c r="K65" s="228">
        <f t="shared" si="125"/>
        <v>1.7</v>
      </c>
      <c r="L65" s="228">
        <f>IF(ISERROR(VLOOKUP(A65,'Totalt pivot'!$A$5:$C$397,3,FALSE)),0,(VLOOKUP(A65,'Totalt pivot'!$A$5:$C$397,3,FALSE)))</f>
        <v>15.895000000000001</v>
      </c>
      <c r="M65" s="228">
        <f t="shared" si="126"/>
        <v>1.4450000000000001</v>
      </c>
      <c r="N65" s="26">
        <f>VLOOKUP(A65,kurspris!$A$1:$Q$792,15)</f>
        <v>23641</v>
      </c>
      <c r="O65" s="26">
        <f>VLOOKUP(A65,kurspris!$A$1:$Q$792,16)</f>
        <v>28786</v>
      </c>
      <c r="P65" s="26">
        <f>VLOOKUP(A65,kurspris!$A$1:$Q$792,17)</f>
        <v>5800</v>
      </c>
      <c r="Q65" s="26">
        <f t="shared" si="127"/>
        <v>81785.47</v>
      </c>
      <c r="R65" s="26">
        <f>(Q65*Prislapp!$R$5)*-1</f>
        <v>-5724.9829000000009</v>
      </c>
      <c r="S65" s="26">
        <f t="shared" si="128"/>
        <v>76060.487099999998</v>
      </c>
      <c r="T65" s="26">
        <f t="shared" si="129"/>
        <v>9860</v>
      </c>
      <c r="V65" t="s">
        <v>1691</v>
      </c>
    </row>
    <row r="66" spans="1:23" x14ac:dyDescent="0.25">
      <c r="A66" s="62" t="s">
        <v>1765</v>
      </c>
      <c r="B66" t="str">
        <f>VLOOKUP(A66,kurspris!$A$1:$Q$792,2,FALSE)</f>
        <v>Kunskap, undervisning och lärande 2</v>
      </c>
      <c r="C66" s="31">
        <v>1650</v>
      </c>
      <c r="D66" t="str">
        <f>VLOOKUP(C66,Orgenheter!$A$1:$B$213,2)</f>
        <v xml:space="preserve">Estetiska ämnen               </v>
      </c>
      <c r="E66" t="str">
        <f>VLOOKUP(C66,Orgenheter!$A$1:$C$165,3,FALSE)</f>
        <v>Hum</v>
      </c>
      <c r="F66" s="315">
        <f>4/15</f>
        <v>0.26666666666666666</v>
      </c>
      <c r="G66">
        <f>VLOOKUP(A66,'Ansvar kurs'!$A$84:$C$959,2,FALSE)</f>
        <v>5740</v>
      </c>
      <c r="H66" t="str">
        <f>VLOOKUP(G66,Orgenheter!$A$1:$B$213,2)</f>
        <v>NMD</v>
      </c>
      <c r="I66" t="str">
        <f>VLOOKUP(G66,Orgenheter!$A$1:$C$165,3,FALSE)</f>
        <v>TekNat</v>
      </c>
      <c r="J66" s="228">
        <f>IF(ISERROR(VLOOKUP(A66,'Totalt pivot'!$A$5:$C$397,2,FALSE)),0,(VLOOKUP(A66,'Totalt pivot'!$A$5:$C$397,2,FALSE)))</f>
        <v>6.25</v>
      </c>
      <c r="K66" s="228">
        <f t="shared" ref="K66:K68" si="130">F66*J66</f>
        <v>1.6666666666666667</v>
      </c>
      <c r="L66" s="228">
        <f>IF(ISERROR(VLOOKUP(A66,'Totalt pivot'!$A$5:$C$397,3,FALSE)),0,(VLOOKUP(A66,'Totalt pivot'!$A$5:$C$397,3,FALSE)))</f>
        <v>5.3125</v>
      </c>
      <c r="M66" s="228">
        <f t="shared" ref="M66:M68" si="131">F66*L66</f>
        <v>1.4166666666666667</v>
      </c>
      <c r="N66" s="26">
        <f>VLOOKUP(A66,kurspris!$A$1:$Q$792,15)</f>
        <v>23641</v>
      </c>
      <c r="O66" s="26">
        <f>VLOOKUP(A66,kurspris!$A$1:$Q$792,16)</f>
        <v>28786</v>
      </c>
      <c r="P66" s="26">
        <f>VLOOKUP(A66,kurspris!$A$1:$Q$792,17)</f>
        <v>5800</v>
      </c>
      <c r="Q66" s="26">
        <f t="shared" ref="Q66:Q68" si="132">K66*N66+M66*O66</f>
        <v>80181.833333333343</v>
      </c>
      <c r="R66" s="26">
        <f>(Q66*Prislapp!$R$5)*-1</f>
        <v>-5612.7283333333344</v>
      </c>
      <c r="S66" s="26">
        <f t="shared" ref="S66:S68" si="133">Q66+R66</f>
        <v>74569.10500000001</v>
      </c>
      <c r="T66" s="26">
        <f t="shared" ref="T66:T68" si="134">K66*P66</f>
        <v>9666.6666666666679</v>
      </c>
    </row>
    <row r="67" spans="1:23" x14ac:dyDescent="0.25">
      <c r="A67" s="62" t="s">
        <v>1765</v>
      </c>
      <c r="B67" t="str">
        <f>VLOOKUP(A67,kurspris!$A$1:$Q$792,2,FALSE)</f>
        <v>Kunskap, undervisning och lärande 2</v>
      </c>
      <c r="C67" s="31">
        <v>2193</v>
      </c>
      <c r="D67" t="str">
        <f>VLOOKUP(C67,Orgenheter!$A$1:$B$213,2)</f>
        <v xml:space="preserve">TUV </v>
      </c>
      <c r="E67" t="str">
        <f>VLOOKUP(C67,Orgenheter!$A$1:$C$165,3,FALSE)</f>
        <v>Sam</v>
      </c>
      <c r="F67" s="315">
        <f>3/15</f>
        <v>0.2</v>
      </c>
      <c r="G67">
        <f>VLOOKUP(A67,'Ansvar kurs'!$A$84:$C$959,2,FALSE)</f>
        <v>5740</v>
      </c>
      <c r="H67" t="str">
        <f>VLOOKUP(G67,Orgenheter!$A$1:$B$213,2)</f>
        <v>NMD</v>
      </c>
      <c r="I67" t="str">
        <f>VLOOKUP(G67,Orgenheter!$A$1:$C$165,3,FALSE)</f>
        <v>TekNat</v>
      </c>
      <c r="J67" s="228">
        <f>IF(ISERROR(VLOOKUP(A67,'Totalt pivot'!$A$5:$C$397,2,FALSE)),0,(VLOOKUP(A67,'Totalt pivot'!$A$5:$C$397,2,FALSE)))</f>
        <v>6.25</v>
      </c>
      <c r="K67" s="228">
        <f t="shared" si="130"/>
        <v>1.25</v>
      </c>
      <c r="L67" s="228">
        <f>IF(ISERROR(VLOOKUP(A67,'Totalt pivot'!$A$5:$C$397,3,FALSE)),0,(VLOOKUP(A67,'Totalt pivot'!$A$5:$C$397,3,FALSE)))</f>
        <v>5.3125</v>
      </c>
      <c r="M67" s="228">
        <f t="shared" si="131"/>
        <v>1.0625</v>
      </c>
      <c r="N67" s="26">
        <f>VLOOKUP(A67,kurspris!$A$1:$Q$792,15)</f>
        <v>23641</v>
      </c>
      <c r="O67" s="26">
        <f>VLOOKUP(A67,kurspris!$A$1:$Q$792,16)</f>
        <v>28786</v>
      </c>
      <c r="P67" s="26">
        <f>VLOOKUP(A67,kurspris!$A$1:$Q$792,17)</f>
        <v>5800</v>
      </c>
      <c r="Q67" s="26">
        <f t="shared" si="132"/>
        <v>60136.375</v>
      </c>
      <c r="R67" s="26">
        <f>(Q67*Prislapp!$R$5)*-1</f>
        <v>-4209.5462500000003</v>
      </c>
      <c r="S67" s="26">
        <f t="shared" si="133"/>
        <v>55926.828750000001</v>
      </c>
      <c r="T67" s="26">
        <f t="shared" si="134"/>
        <v>7250</v>
      </c>
    </row>
    <row r="68" spans="1:23" x14ac:dyDescent="0.25">
      <c r="A68" s="62" t="s">
        <v>1765</v>
      </c>
      <c r="B68" t="str">
        <f>VLOOKUP(A68,kurspris!$A$1:$Q$792,2,FALSE)</f>
        <v>Kunskap, undervisning och lärande 2</v>
      </c>
      <c r="C68" s="31">
        <v>2180</v>
      </c>
      <c r="D68" t="str">
        <f>VLOOKUP(C68,Orgenheter!$A$1:$B$213,2)</f>
        <v xml:space="preserve">Pedagogik                     </v>
      </c>
      <c r="E68" t="str">
        <f>VLOOKUP(C68,Orgenheter!$A$1:$C$165,3,FALSE)</f>
        <v>Sam</v>
      </c>
      <c r="F68" s="315">
        <f>3/15</f>
        <v>0.2</v>
      </c>
      <c r="G68">
        <f>VLOOKUP(A68,'Ansvar kurs'!$A$84:$C$959,2,FALSE)</f>
        <v>5740</v>
      </c>
      <c r="H68" t="str">
        <f>VLOOKUP(G68,Orgenheter!$A$1:$B$213,2)</f>
        <v>NMD</v>
      </c>
      <c r="I68" t="str">
        <f>VLOOKUP(G68,Orgenheter!$A$1:$C$165,3,FALSE)</f>
        <v>TekNat</v>
      </c>
      <c r="J68" s="228">
        <f>IF(ISERROR(VLOOKUP(A68,'Totalt pivot'!$A$5:$C$397,2,FALSE)),0,(VLOOKUP(A68,'Totalt pivot'!$A$5:$C$397,2,FALSE)))</f>
        <v>6.25</v>
      </c>
      <c r="K68" s="228">
        <f t="shared" si="130"/>
        <v>1.25</v>
      </c>
      <c r="L68" s="228">
        <f>IF(ISERROR(VLOOKUP(A68,'Totalt pivot'!$A$5:$C$397,3,FALSE)),0,(VLOOKUP(A68,'Totalt pivot'!$A$5:$C$397,3,FALSE)))</f>
        <v>5.3125</v>
      </c>
      <c r="M68" s="228">
        <f t="shared" si="131"/>
        <v>1.0625</v>
      </c>
      <c r="N68" s="26">
        <f>VLOOKUP(A68,kurspris!$A$1:$Q$792,15)</f>
        <v>23641</v>
      </c>
      <c r="O68" s="26">
        <f>VLOOKUP(A68,kurspris!$A$1:$Q$792,16)</f>
        <v>28786</v>
      </c>
      <c r="P68" s="26">
        <f>VLOOKUP(A68,kurspris!$A$1:$Q$792,17)</f>
        <v>5800</v>
      </c>
      <c r="Q68" s="26">
        <f t="shared" si="132"/>
        <v>60136.375</v>
      </c>
      <c r="R68" s="26">
        <f>(Q68*Prislapp!$R$5)*-1</f>
        <v>-4209.5462500000003</v>
      </c>
      <c r="S68" s="26">
        <f t="shared" si="133"/>
        <v>55926.828750000001</v>
      </c>
      <c r="T68" s="26">
        <f t="shared" si="134"/>
        <v>7250</v>
      </c>
    </row>
    <row r="69" spans="1:23" x14ac:dyDescent="0.25">
      <c r="A69" s="31" t="s">
        <v>1753</v>
      </c>
      <c r="B69" t="str">
        <f>VLOOKUP(A69,kurspris!$A$1:$Q$792,2,FALSE)</f>
        <v>Läraryrkets dimensioner för förskoleklass och grundskolans årskurs 1-3 (VFU)</v>
      </c>
      <c r="C69" s="31">
        <v>1620</v>
      </c>
      <c r="D69" t="str">
        <f>VLOOKUP(C69,Orgenheter!$A$1:$B$213,2)</f>
        <v>Inst för språkstudier</v>
      </c>
      <c r="E69" t="str">
        <f>VLOOKUP(C69,Orgenheter!$A$1:$C$165,3,FALSE)</f>
        <v>Hum</v>
      </c>
      <c r="F69" s="315">
        <f>8/22.5</f>
        <v>0.35555555555555557</v>
      </c>
      <c r="G69">
        <f>VLOOKUP(A69,'Ansvar kurs'!$A$84:$C$959,2,FALSE)</f>
        <v>5740</v>
      </c>
      <c r="H69" t="str">
        <f>VLOOKUP(G69,Orgenheter!$A$1:$B$213,2)</f>
        <v>NMD</v>
      </c>
      <c r="I69" t="str">
        <f>VLOOKUP(G69,Orgenheter!$A$1:$C$165,3,FALSE)</f>
        <v>TekNat</v>
      </c>
      <c r="J69" s="228">
        <f>IF(ISERROR(VLOOKUP(A69,'Totalt pivot'!$A$5:$C$397,2,FALSE)),0,(VLOOKUP(A69,'Totalt pivot'!$A$5:$C$397,2,FALSE)))</f>
        <v>15</v>
      </c>
      <c r="K69" s="228">
        <f t="shared" ref="K69:K70" si="135">F69*J69</f>
        <v>5.3333333333333339</v>
      </c>
      <c r="L69" s="228">
        <f>IF(ISERROR(VLOOKUP(A69,'Totalt pivot'!$A$5:$C$397,3,FALSE)),0,(VLOOKUP(A69,'Totalt pivot'!$A$5:$C$397,3,FALSE)))</f>
        <v>12.749999999999998</v>
      </c>
      <c r="M69" s="228">
        <f t="shared" ref="M69:M70" si="136">F69*L69</f>
        <v>4.5333333333333332</v>
      </c>
      <c r="N69" s="26">
        <f>VLOOKUP(A69,kurspris!$A$1:$Q$792,15)</f>
        <v>21634</v>
      </c>
      <c r="O69" s="26">
        <f>VLOOKUP(A69,kurspris!$A$1:$Q$792,16)</f>
        <v>26986</v>
      </c>
      <c r="P69" s="26">
        <f>VLOOKUP(A69,kurspris!$A$1:$Q$792,17)</f>
        <v>3400</v>
      </c>
      <c r="Q69" s="26">
        <f t="shared" ref="Q69:Q70" si="137">K69*N69+M69*O69</f>
        <v>237717.86666666667</v>
      </c>
      <c r="R69" s="26">
        <f>(Q69*Prislapp!$R$5)*-1</f>
        <v>-16640.250666666667</v>
      </c>
      <c r="S69" s="26">
        <f t="shared" ref="S69:S70" si="138">Q69+R69</f>
        <v>221077.61600000001</v>
      </c>
      <c r="T69" s="26">
        <f t="shared" ref="T69:T70" si="139">K69*P69</f>
        <v>18133.333333333336</v>
      </c>
    </row>
    <row r="70" spans="1:23" x14ac:dyDescent="0.25">
      <c r="A70" s="31" t="s">
        <v>1753</v>
      </c>
      <c r="B70" t="str">
        <f>VLOOKUP(A70,kurspris!$A$1:$Q$792,2,FALSE)</f>
        <v>Läraryrkets dimensioner för förskoleklass och grundskolans årskurs 1-3 (VFU)</v>
      </c>
      <c r="C70" s="31">
        <v>2180</v>
      </c>
      <c r="D70" t="str">
        <f>VLOOKUP(C70,Orgenheter!$A$1:$B$213,2)</f>
        <v xml:space="preserve">Pedagogik                     </v>
      </c>
      <c r="E70" t="str">
        <f>VLOOKUP(C70,Orgenheter!$A$1:$C$165,3,FALSE)</f>
        <v>Sam</v>
      </c>
      <c r="F70" s="315">
        <f>3/22.5</f>
        <v>0.13333333333333333</v>
      </c>
      <c r="G70">
        <f>VLOOKUP(A70,'Ansvar kurs'!$A$84:$C$959,2,FALSE)</f>
        <v>5740</v>
      </c>
      <c r="H70" t="str">
        <f>VLOOKUP(G70,Orgenheter!$A$1:$B$213,2)</f>
        <v>NMD</v>
      </c>
      <c r="I70" t="str">
        <f>VLOOKUP(G70,Orgenheter!$A$1:$C$165,3,FALSE)</f>
        <v>TekNat</v>
      </c>
      <c r="J70" s="228">
        <f>IF(ISERROR(VLOOKUP(A70,'Totalt pivot'!$A$5:$C$397,2,FALSE)),0,(VLOOKUP(A70,'Totalt pivot'!$A$5:$C$397,2,FALSE)))</f>
        <v>15</v>
      </c>
      <c r="K70" s="228">
        <f t="shared" si="135"/>
        <v>2</v>
      </c>
      <c r="L70" s="228">
        <f>IF(ISERROR(VLOOKUP(A70,'Totalt pivot'!$A$5:$C$397,3,FALSE)),0,(VLOOKUP(A70,'Totalt pivot'!$A$5:$C$397,3,FALSE)))</f>
        <v>12.749999999999998</v>
      </c>
      <c r="M70" s="228">
        <f t="shared" si="136"/>
        <v>1.6999999999999997</v>
      </c>
      <c r="N70" s="26">
        <f>VLOOKUP(A70,kurspris!$A$1:$Q$792,15)</f>
        <v>21634</v>
      </c>
      <c r="O70" s="26">
        <f>VLOOKUP(A70,kurspris!$A$1:$Q$792,16)</f>
        <v>26986</v>
      </c>
      <c r="P70" s="26">
        <f>VLOOKUP(A70,kurspris!$A$1:$Q$792,17)</f>
        <v>3400</v>
      </c>
      <c r="Q70" s="26">
        <f t="shared" si="137"/>
        <v>89144.199999999983</v>
      </c>
      <c r="R70" s="26">
        <f>(Q70*Prislapp!$R$5)*-1</f>
        <v>-6240.0939999999991</v>
      </c>
      <c r="S70" s="26">
        <f t="shared" si="138"/>
        <v>82904.105999999985</v>
      </c>
      <c r="T70" s="26">
        <f t="shared" si="139"/>
        <v>6800</v>
      </c>
    </row>
    <row r="71" spans="1:23" x14ac:dyDescent="0.25">
      <c r="A71" s="31" t="s">
        <v>1752</v>
      </c>
      <c r="B71" t="str">
        <f>VLOOKUP(A71,kurspris!$A$1:$Q$792,2,FALSE)</f>
        <v>Läraryrkets dimensioner för grundskolans årskurs 4-6 (VFU)</v>
      </c>
      <c r="C71" s="31">
        <v>1620</v>
      </c>
      <c r="D71" t="str">
        <f>VLOOKUP(C71,Orgenheter!$A$1:$B$213,2)</f>
        <v>Inst för språkstudier</v>
      </c>
      <c r="E71" t="str">
        <f>VLOOKUP(C71,Orgenheter!$A$1:$C$165,3,FALSE)</f>
        <v>Hum</v>
      </c>
      <c r="F71" s="315">
        <f>9/22.5</f>
        <v>0.4</v>
      </c>
      <c r="G71">
        <f>VLOOKUP(A71,'Ansvar kurs'!$A$84:$C$959,2,FALSE)</f>
        <v>5740</v>
      </c>
      <c r="H71" t="str">
        <f>VLOOKUP(G71,Orgenheter!$A$1:$B$213,2)</f>
        <v>NMD</v>
      </c>
      <c r="I71" t="str">
        <f>VLOOKUP(G71,Orgenheter!$A$1:$C$165,3,FALSE)</f>
        <v>TekNat</v>
      </c>
      <c r="J71" s="228">
        <f>IF(ISERROR(VLOOKUP(A71,'Totalt pivot'!$A$5:$C$397,2,FALSE)),0,(VLOOKUP(A71,'Totalt pivot'!$A$5:$C$397,2,FALSE)))</f>
        <v>9.375</v>
      </c>
      <c r="K71" s="228">
        <f t="shared" ref="K71" si="140">F71*J71</f>
        <v>3.75</v>
      </c>
      <c r="L71" s="228">
        <f>IF(ISERROR(VLOOKUP(A71,'Totalt pivot'!$A$5:$C$397,3,FALSE)),0,(VLOOKUP(A71,'Totalt pivot'!$A$5:$C$397,3,FALSE)))</f>
        <v>7.96875</v>
      </c>
      <c r="M71" s="228">
        <f t="shared" ref="M71" si="141">F71*L71</f>
        <v>3.1875</v>
      </c>
      <c r="N71" s="26">
        <f>VLOOKUP(A71,kurspris!$A$1:$Q$792,15)</f>
        <v>21634</v>
      </c>
      <c r="O71" s="26">
        <f>VLOOKUP(A71,kurspris!$A$1:$Q$792,16)</f>
        <v>26986</v>
      </c>
      <c r="P71" s="26">
        <f>VLOOKUP(A71,kurspris!$A$1:$Q$792,17)</f>
        <v>3400</v>
      </c>
      <c r="Q71" s="26">
        <f t="shared" ref="Q71" si="142">K71*N71+M71*O71</f>
        <v>167145.375</v>
      </c>
      <c r="R71" s="26">
        <f>(Q71*Prislapp!$R$5)*-1</f>
        <v>-11700.17625</v>
      </c>
      <c r="S71" s="26">
        <f t="shared" ref="S71" si="143">Q71+R71</f>
        <v>155445.19875000001</v>
      </c>
      <c r="T71" s="26">
        <f t="shared" ref="T71" si="144">K71*P71</f>
        <v>12750</v>
      </c>
    </row>
    <row r="72" spans="1:23" x14ac:dyDescent="0.25">
      <c r="A72" s="31" t="s">
        <v>1865</v>
      </c>
      <c r="B72" t="str">
        <f>VLOOKUP(A72,kurspris!$A$1:$Q$792,2,FALSE)</f>
        <v>Samhällsorientering för förskolan</v>
      </c>
      <c r="C72" s="31">
        <v>2180</v>
      </c>
      <c r="D72" t="str">
        <f>VLOOKUP(C72,Orgenheter!$A$1:$B$213,2)</f>
        <v xml:space="preserve">Pedagogik                     </v>
      </c>
      <c r="E72" t="str">
        <f>VLOOKUP(C72,Orgenheter!$A$1:$C$165,3,FALSE)</f>
        <v>Sam</v>
      </c>
      <c r="F72" s="315">
        <f>4.5/15</f>
        <v>0.3</v>
      </c>
      <c r="G72">
        <f>VLOOKUP(A72,'Ansvar kurs'!$A$84:$C$959,2,FALSE)</f>
        <v>2193</v>
      </c>
      <c r="H72" t="str">
        <f>VLOOKUP(G72,Orgenheter!$A$1:$B$213,2)</f>
        <v xml:space="preserve">TUV </v>
      </c>
      <c r="I72" t="str">
        <f>VLOOKUP(G72,Orgenheter!$A$1:$C$165,3,FALSE)</f>
        <v>Sam</v>
      </c>
      <c r="J72" s="228">
        <f>IF(ISERROR(VLOOKUP(A72,'Totalt pivot'!$A$5:$C$397,2,FALSE)),0,(VLOOKUP(A72,'Totalt pivot'!$A$5:$C$397,2,FALSE)))</f>
        <v>21.5</v>
      </c>
      <c r="K72" s="228">
        <f t="shared" ref="K72:K73" si="145">F72*J72</f>
        <v>6.45</v>
      </c>
      <c r="L72" s="228">
        <f>IF(ISERROR(VLOOKUP(A72,'Totalt pivot'!$A$5:$C$397,3,FALSE)),0,(VLOOKUP(A72,'Totalt pivot'!$A$5:$C$397,3,FALSE)))</f>
        <v>18.274999999999999</v>
      </c>
      <c r="M72" s="228">
        <f t="shared" ref="M72:M73" si="146">F72*L72</f>
        <v>5.482499999999999</v>
      </c>
      <c r="N72" s="26">
        <f>VLOOKUP(A72,kurspris!$A$1:$Q$792,15)</f>
        <v>18405</v>
      </c>
      <c r="O72" s="26">
        <f>VLOOKUP(A72,kurspris!$A$1:$Q$792,16)</f>
        <v>15773</v>
      </c>
      <c r="P72" s="26">
        <f>VLOOKUP(A72,kurspris!$A$1:$Q$792,17)</f>
        <v>5800</v>
      </c>
      <c r="Q72" s="26">
        <f t="shared" ref="Q72:Q73" si="147">K72*N72+M72*O72</f>
        <v>205187.72249999997</v>
      </c>
      <c r="R72" s="26">
        <f>(Q72*Prislapp!$R$5)*-1</f>
        <v>-14363.140574999999</v>
      </c>
      <c r="S72" s="26">
        <f t="shared" ref="S72:S73" si="148">Q72+R72</f>
        <v>190824.58192499998</v>
      </c>
      <c r="T72" s="26">
        <f t="shared" ref="T72:T73" si="149">K72*P72</f>
        <v>37410</v>
      </c>
    </row>
    <row r="73" spans="1:23" x14ac:dyDescent="0.25">
      <c r="A73" s="31" t="s">
        <v>1865</v>
      </c>
      <c r="B73" t="str">
        <f>VLOOKUP(A73,kurspris!$A$1:$Q$792,2,FALSE)</f>
        <v>Samhällsorientering för förskolan</v>
      </c>
      <c r="C73" s="31">
        <v>5740</v>
      </c>
      <c r="D73" t="str">
        <f>VLOOKUP(C73,Orgenheter!$A$1:$B$213,2)</f>
        <v>NMD</v>
      </c>
      <c r="E73" t="str">
        <f>VLOOKUP(C73,Orgenheter!$A$1:$C$165,3,FALSE)</f>
        <v>TekNat</v>
      </c>
      <c r="F73" s="315">
        <f>2/15</f>
        <v>0.13333333333333333</v>
      </c>
      <c r="G73">
        <f>VLOOKUP(A73,'Ansvar kurs'!$A$84:$C$959,2,FALSE)</f>
        <v>2193</v>
      </c>
      <c r="H73" t="str">
        <f>VLOOKUP(G73,Orgenheter!$A$1:$B$213,2)</f>
        <v xml:space="preserve">TUV </v>
      </c>
      <c r="I73" t="str">
        <f>VLOOKUP(G73,Orgenheter!$A$1:$C$165,3,FALSE)</f>
        <v>Sam</v>
      </c>
      <c r="J73" s="228">
        <f>IF(ISERROR(VLOOKUP(A73,'Totalt pivot'!$A$5:$C$397,2,FALSE)),0,(VLOOKUP(A73,'Totalt pivot'!$A$5:$C$397,2,FALSE)))</f>
        <v>21.5</v>
      </c>
      <c r="K73" s="228">
        <f t="shared" si="145"/>
        <v>2.8666666666666667</v>
      </c>
      <c r="L73" s="228">
        <f>IF(ISERROR(VLOOKUP(A73,'Totalt pivot'!$A$5:$C$397,3,FALSE)),0,(VLOOKUP(A73,'Totalt pivot'!$A$5:$C$397,3,FALSE)))</f>
        <v>18.274999999999999</v>
      </c>
      <c r="M73" s="228">
        <f t="shared" si="146"/>
        <v>2.4366666666666665</v>
      </c>
      <c r="N73" s="26">
        <f>VLOOKUP(A73,kurspris!$A$1:$Q$792,15)</f>
        <v>18405</v>
      </c>
      <c r="O73" s="26">
        <f>VLOOKUP(A73,kurspris!$A$1:$Q$792,16)</f>
        <v>15773</v>
      </c>
      <c r="P73" s="26">
        <f>VLOOKUP(A73,kurspris!$A$1:$Q$792,17)</f>
        <v>5800</v>
      </c>
      <c r="Q73" s="26">
        <f t="shared" si="147"/>
        <v>91194.543333333335</v>
      </c>
      <c r="R73" s="26">
        <f>(Q73*Prislapp!$R$5)*-1</f>
        <v>-6383.6180333333341</v>
      </c>
      <c r="S73" s="26">
        <f t="shared" si="148"/>
        <v>84810.925300000003</v>
      </c>
      <c r="T73" s="26">
        <f t="shared" si="149"/>
        <v>16626.666666666668</v>
      </c>
    </row>
    <row r="74" spans="1:23" x14ac:dyDescent="0.25">
      <c r="A74" s="31" t="s">
        <v>1866</v>
      </c>
      <c r="B74" t="str">
        <f>VLOOKUP(A74,kurspris!$A$1:$Q$792,2,FALSE)</f>
        <v>Profession och vetenskap för förskolan (UK)</v>
      </c>
      <c r="C74" s="31">
        <v>2180</v>
      </c>
      <c r="D74" t="str">
        <f>VLOOKUP(C74,Orgenheter!$A$1:$B$213,2)</f>
        <v xml:space="preserve">Pedagogik                     </v>
      </c>
      <c r="E74" t="str">
        <f>VLOOKUP(C74,Orgenheter!$A$1:$C$165,3,FALSE)</f>
        <v>Sam</v>
      </c>
      <c r="F74" s="315">
        <f>3.5/7.5</f>
        <v>0.46666666666666667</v>
      </c>
      <c r="G74">
        <f>VLOOKUP(A74,'Ansvar kurs'!$A$84:$C$959,2,FALSE)</f>
        <v>2193</v>
      </c>
      <c r="H74" t="str">
        <f>VLOOKUP(G74,Orgenheter!$A$1:$B$213,2)</f>
        <v xml:space="preserve">TUV </v>
      </c>
      <c r="I74" t="str">
        <f>VLOOKUP(G74,Orgenheter!$A$1:$C$165,3,FALSE)</f>
        <v>Sam</v>
      </c>
      <c r="J74" s="228">
        <f>IF(ISERROR(VLOOKUP(A74,'Totalt pivot'!$A$5:$C$397,2,FALSE)),0,(VLOOKUP(A74,'Totalt pivot'!$A$5:$C$397,2,FALSE)))</f>
        <v>10.875</v>
      </c>
      <c r="K74" s="228">
        <f t="shared" ref="K74:K75" si="150">F74*J74</f>
        <v>5.0750000000000002</v>
      </c>
      <c r="L74" s="228">
        <f>IF(ISERROR(VLOOKUP(A74,'Totalt pivot'!$A$5:$C$397,3,FALSE)),0,(VLOOKUP(A74,'Totalt pivot'!$A$5:$C$397,3,FALSE)))</f>
        <v>9.2437499999999986</v>
      </c>
      <c r="M74" s="228">
        <f t="shared" ref="M74:M75" si="151">F74*L74</f>
        <v>4.3137499999999998</v>
      </c>
      <c r="N74" s="26">
        <f>VLOOKUP(A74,kurspris!$A$1:$Q$792,15)</f>
        <v>23641</v>
      </c>
      <c r="O74" s="26">
        <f>VLOOKUP(A74,kurspris!$A$1:$Q$792,16)</f>
        <v>28786</v>
      </c>
      <c r="P74" s="26">
        <f>VLOOKUP(A74,kurspris!$A$1:$Q$792,17)</f>
        <v>5800</v>
      </c>
      <c r="Q74" s="26">
        <f t="shared" ref="Q74:Q75" si="152">K74*N74+M74*O74</f>
        <v>244153.6825</v>
      </c>
      <c r="R74" s="26">
        <f>(Q74*Prislapp!$R$5)*-1</f>
        <v>-17090.757775000002</v>
      </c>
      <c r="S74" s="26">
        <f t="shared" ref="S74:S75" si="153">Q74+R74</f>
        <v>227062.92472499999</v>
      </c>
      <c r="T74" s="26">
        <f t="shared" ref="T74:T75" si="154">K74*P74</f>
        <v>29435</v>
      </c>
      <c r="V74" t="s">
        <v>1929</v>
      </c>
    </row>
    <row r="75" spans="1:23" x14ac:dyDescent="0.25">
      <c r="A75" s="31" t="s">
        <v>1867</v>
      </c>
      <c r="B75" t="str">
        <f>VLOOKUP(A75,kurspris!$A$1:$Q$792,2,FALSE)</f>
        <v>Profession och vetenskap för fritidshem (UK)</v>
      </c>
      <c r="C75" s="31">
        <v>2180</v>
      </c>
      <c r="D75" t="str">
        <f>VLOOKUP(C75,Orgenheter!$A$1:$B$213,2)</f>
        <v xml:space="preserve">Pedagogik                     </v>
      </c>
      <c r="E75" t="str">
        <f>VLOOKUP(C75,Orgenheter!$A$1:$C$165,3,FALSE)</f>
        <v>Sam</v>
      </c>
      <c r="F75" s="315">
        <f>3.5/7.5</f>
        <v>0.46666666666666667</v>
      </c>
      <c r="G75">
        <f>VLOOKUP(A75,'Ansvar kurs'!$A$84:$C$959,2,FALSE)</f>
        <v>2193</v>
      </c>
      <c r="H75" t="str">
        <f>VLOOKUP(G75,Orgenheter!$A$1:$B$213,2)</f>
        <v xml:space="preserve">TUV </v>
      </c>
      <c r="I75" t="str">
        <f>VLOOKUP(G75,Orgenheter!$A$1:$C$165,3,FALSE)</f>
        <v>Sam</v>
      </c>
      <c r="J75" s="228">
        <f>IF(ISERROR(VLOOKUP(A75,'Totalt pivot'!$A$5:$C$397,2,FALSE)),0,(VLOOKUP(A75,'Totalt pivot'!$A$5:$C$397,2,FALSE)))</f>
        <v>2.75</v>
      </c>
      <c r="K75" s="228">
        <f t="shared" si="150"/>
        <v>1.2833333333333334</v>
      </c>
      <c r="L75" s="228">
        <f>IF(ISERROR(VLOOKUP(A75,'Totalt pivot'!$A$5:$C$397,3,FALSE)),0,(VLOOKUP(A75,'Totalt pivot'!$A$5:$C$397,3,FALSE)))</f>
        <v>2.3374999999999999</v>
      </c>
      <c r="M75" s="228">
        <f t="shared" si="151"/>
        <v>1.0908333333333333</v>
      </c>
      <c r="N75" s="26">
        <f>VLOOKUP(A75,kurspris!$A$1:$Q$792,15)</f>
        <v>23641</v>
      </c>
      <c r="O75" s="26">
        <f>VLOOKUP(A75,kurspris!$A$1:$Q$792,16)</f>
        <v>28786</v>
      </c>
      <c r="P75" s="26">
        <f>VLOOKUP(A75,kurspris!$A$1:$Q$792,17)</f>
        <v>5800</v>
      </c>
      <c r="Q75" s="26">
        <f t="shared" si="152"/>
        <v>61740.011666666673</v>
      </c>
      <c r="R75" s="26">
        <f>(Q75*Prislapp!$R$5)*-1</f>
        <v>-4321.8008166666677</v>
      </c>
      <c r="S75" s="26">
        <f t="shared" si="153"/>
        <v>57418.210850000003</v>
      </c>
      <c r="T75" s="26">
        <f t="shared" si="154"/>
        <v>7443.3333333333339</v>
      </c>
      <c r="V75" t="s">
        <v>1929</v>
      </c>
    </row>
    <row r="76" spans="1:23" x14ac:dyDescent="0.25">
      <c r="A76" s="62" t="s">
        <v>1889</v>
      </c>
      <c r="B76" t="str">
        <f>VLOOKUP(A76,kurspris!$A$1:$Q$792,2,FALSE)</f>
        <v>Grundlärare som profession (UK)</v>
      </c>
      <c r="C76" s="31">
        <v>1620</v>
      </c>
      <c r="D76" t="str">
        <f>VLOOKUP(C76,Orgenheter!$A$1:$B$213,2)</f>
        <v>Inst för språkstudier</v>
      </c>
      <c r="E76" t="str">
        <f>VLOOKUP(C76,Orgenheter!$A$1:$C$165,3,FALSE)</f>
        <v>Hum</v>
      </c>
      <c r="F76" s="315">
        <f>2.5/6</f>
        <v>0.41666666666666669</v>
      </c>
      <c r="G76">
        <f>VLOOKUP(A76,'Ansvar kurs'!$A$84:$C$959,2,FALSE)</f>
        <v>5740</v>
      </c>
      <c r="H76" t="str">
        <f>VLOOKUP(G76,Orgenheter!$A$1:$B$213,2)</f>
        <v>NMD</v>
      </c>
      <c r="I76" t="str">
        <f>VLOOKUP(G76,Orgenheter!$A$1:$C$165,3,FALSE)</f>
        <v>TekNat</v>
      </c>
      <c r="J76" s="228">
        <f>IF(ISERROR(VLOOKUP(A76,'Totalt pivot'!$A$5:$C$397,2,FALSE)),0,(VLOOKUP(A76,'Totalt pivot'!$A$5:$C$397,2,FALSE)))</f>
        <v>11.5</v>
      </c>
      <c r="K76" s="228">
        <f t="shared" ref="K76:K81" si="155">F76*J76</f>
        <v>4.791666666666667</v>
      </c>
      <c r="L76" s="228">
        <f>IF(ISERROR(VLOOKUP(A76,'Totalt pivot'!$A$5:$C$397,3,FALSE)),0,(VLOOKUP(A76,'Totalt pivot'!$A$5:$C$397,3,FALSE)))</f>
        <v>9.7750000000000004</v>
      </c>
      <c r="M76" s="228">
        <f t="shared" ref="M76:M81" si="156">F76*L76</f>
        <v>4.072916666666667</v>
      </c>
      <c r="N76" s="26">
        <f>VLOOKUP(A76,kurspris!$A$1:$Q$792,15)</f>
        <v>23641</v>
      </c>
      <c r="O76" s="26">
        <f>VLOOKUP(A76,kurspris!$A$1:$Q$792,16)</f>
        <v>28786</v>
      </c>
      <c r="P76" s="26">
        <f>VLOOKUP(A76,kurspris!$A$1:$Q$792,17)</f>
        <v>5800</v>
      </c>
      <c r="Q76" s="26">
        <f t="shared" ref="Q76:Q81" si="157">K76*N76+M76*O76</f>
        <v>230522.77083333334</v>
      </c>
      <c r="R76" s="26">
        <f>(Q76*Prislapp!$R$5)*-1</f>
        <v>-16136.593958333335</v>
      </c>
      <c r="S76" s="26">
        <f t="shared" ref="S76:S81" si="158">Q76+R76</f>
        <v>214386.176875</v>
      </c>
      <c r="T76" s="26">
        <f t="shared" ref="T76:T81" si="159">K76*P76</f>
        <v>27791.666666666668</v>
      </c>
      <c r="V76" t="s">
        <v>1140</v>
      </c>
    </row>
    <row r="77" spans="1:23" x14ac:dyDescent="0.25">
      <c r="A77" s="62" t="s">
        <v>1889</v>
      </c>
      <c r="B77" t="str">
        <f>VLOOKUP(A77,kurspris!$A$1:$Q$792,2,FALSE)</f>
        <v>Grundlärare som profession (UK)</v>
      </c>
      <c r="C77" s="31">
        <v>1650</v>
      </c>
      <c r="D77" t="str">
        <f>VLOOKUP(C77,Orgenheter!$A$1:$B$213,2)</f>
        <v xml:space="preserve">Estetiska ämnen               </v>
      </c>
      <c r="E77" t="str">
        <f>VLOOKUP(C77,Orgenheter!$A$1:$C$165,3,FALSE)</f>
        <v>Hum</v>
      </c>
      <c r="F77" s="315">
        <f>1/6</f>
        <v>0.16666666666666666</v>
      </c>
      <c r="G77">
        <f>VLOOKUP(A77,'Ansvar kurs'!$A$84:$C$959,2,FALSE)</f>
        <v>5740</v>
      </c>
      <c r="H77" t="str">
        <f>VLOOKUP(G77,Orgenheter!$A$1:$B$213,2)</f>
        <v>NMD</v>
      </c>
      <c r="I77" t="str">
        <f>VLOOKUP(G77,Orgenheter!$A$1:$C$165,3,FALSE)</f>
        <v>TekNat</v>
      </c>
      <c r="J77" s="228">
        <f>IF(ISERROR(VLOOKUP(A77,'Totalt pivot'!$A$5:$C$397,2,FALSE)),0,(VLOOKUP(A77,'Totalt pivot'!$A$5:$C$397,2,FALSE)))</f>
        <v>11.5</v>
      </c>
      <c r="K77" s="228">
        <f t="shared" si="155"/>
        <v>1.9166666666666665</v>
      </c>
      <c r="L77" s="228">
        <f>IF(ISERROR(VLOOKUP(A77,'Totalt pivot'!$A$5:$C$397,3,FALSE)),0,(VLOOKUP(A77,'Totalt pivot'!$A$5:$C$397,3,FALSE)))</f>
        <v>9.7750000000000004</v>
      </c>
      <c r="M77" s="228">
        <f t="shared" si="156"/>
        <v>1.6291666666666667</v>
      </c>
      <c r="N77" s="26">
        <f>VLOOKUP(A77,kurspris!$A$1:$Q$792,15)</f>
        <v>23641</v>
      </c>
      <c r="O77" s="26">
        <f>VLOOKUP(A77,kurspris!$A$1:$Q$792,16)</f>
        <v>28786</v>
      </c>
      <c r="P77" s="26">
        <f>VLOOKUP(A77,kurspris!$A$1:$Q$792,17)</f>
        <v>5800</v>
      </c>
      <c r="Q77" s="26">
        <f t="shared" si="157"/>
        <v>92209.108333333337</v>
      </c>
      <c r="R77" s="26">
        <f>(Q77*Prislapp!$R$5)*-1</f>
        <v>-6454.6375833333341</v>
      </c>
      <c r="S77" s="26">
        <f t="shared" si="158"/>
        <v>85754.470750000008</v>
      </c>
      <c r="T77" s="26">
        <f t="shared" si="159"/>
        <v>11116.666666666666</v>
      </c>
      <c r="V77" t="s">
        <v>1140</v>
      </c>
    </row>
    <row r="78" spans="1:23" x14ac:dyDescent="0.25">
      <c r="A78" s="31" t="s">
        <v>1887</v>
      </c>
      <c r="B78" t="str">
        <f>VLOOKUP(A78,kurspris!$A$1:$Q$792,2,FALSE)</f>
        <v>Profession och vetenskap för åk 4-6 (UK III)</v>
      </c>
      <c r="C78" s="31">
        <v>1620</v>
      </c>
      <c r="D78" t="str">
        <f>VLOOKUP(C78,Orgenheter!$A$1:$B$213,2)</f>
        <v>Inst för språkstudier</v>
      </c>
      <c r="E78" t="str">
        <f>VLOOKUP(C78,Orgenheter!$A$1:$C$165,3,FALSE)</f>
        <v>Hum</v>
      </c>
      <c r="F78" s="315">
        <f>3/7.5</f>
        <v>0.4</v>
      </c>
      <c r="G78">
        <f>VLOOKUP(A78,'Ansvar kurs'!$A$84:$C$959,2,FALSE)</f>
        <v>5740</v>
      </c>
      <c r="H78" t="str">
        <f>VLOOKUP(G78,Orgenheter!$A$1:$B$213,2)</f>
        <v>NMD</v>
      </c>
      <c r="I78" t="str">
        <f>VLOOKUP(G78,Orgenheter!$A$1:$C$165,3,FALSE)</f>
        <v>TekNat</v>
      </c>
      <c r="J78" s="228">
        <f>IF(ISERROR(VLOOKUP(A78,'Totalt pivot'!$A$5:$C$397,2,FALSE)),0,(VLOOKUP(A78,'Totalt pivot'!$A$5:$C$397,2,FALSE)))</f>
        <v>3.375</v>
      </c>
      <c r="K78" s="228">
        <f t="shared" si="155"/>
        <v>1.35</v>
      </c>
      <c r="L78" s="228">
        <f>IF(ISERROR(VLOOKUP(A78,'Totalt pivot'!$A$5:$C$397,3,FALSE)),0,(VLOOKUP(A78,'Totalt pivot'!$A$5:$C$397,3,FALSE)))</f>
        <v>2.8687499999999999</v>
      </c>
      <c r="M78" s="228">
        <f t="shared" si="156"/>
        <v>1.1475</v>
      </c>
      <c r="N78" s="26">
        <f>VLOOKUP(A78,kurspris!$A$1:$Q$792,15)</f>
        <v>23641</v>
      </c>
      <c r="O78" s="26">
        <f>VLOOKUP(A78,kurspris!$A$1:$Q$792,16)</f>
        <v>28786</v>
      </c>
      <c r="P78" s="26">
        <f>VLOOKUP(A78,kurspris!$A$1:$Q$792,17)</f>
        <v>5800</v>
      </c>
      <c r="Q78" s="26">
        <f t="shared" si="157"/>
        <v>64947.285000000003</v>
      </c>
      <c r="R78" s="26">
        <f>(Q78*Prislapp!$R$5)*-1</f>
        <v>-4546.3099500000008</v>
      </c>
      <c r="S78" s="26">
        <f t="shared" si="158"/>
        <v>60400.975050000001</v>
      </c>
      <c r="T78" s="26">
        <f t="shared" si="159"/>
        <v>7830.0000000000009</v>
      </c>
      <c r="V78" s="39" t="s">
        <v>999</v>
      </c>
      <c r="W78">
        <v>141004</v>
      </c>
    </row>
    <row r="79" spans="1:23" x14ac:dyDescent="0.25">
      <c r="A79" s="31" t="s">
        <v>1888</v>
      </c>
      <c r="B79" t="str">
        <f>VLOOKUP(A79,kurspris!$A$1:$Q$792,2,FALSE)</f>
        <v>Profession och vetenskap för F-3 (UK III)</v>
      </c>
      <c r="C79" s="31">
        <v>1620</v>
      </c>
      <c r="D79" t="str">
        <f>VLOOKUP(C79,Orgenheter!$A$1:$B$213,2)</f>
        <v>Inst för språkstudier</v>
      </c>
      <c r="E79" t="str">
        <f>VLOOKUP(C79,Orgenheter!$A$1:$C$165,3,FALSE)</f>
        <v>Hum</v>
      </c>
      <c r="F79" s="315">
        <f>3/7.5</f>
        <v>0.4</v>
      </c>
      <c r="G79">
        <f>VLOOKUP(A79,'Ansvar kurs'!$A$84:$C$959,2,FALSE)</f>
        <v>5740</v>
      </c>
      <c r="H79" t="str">
        <f>VLOOKUP(G79,Orgenheter!$A$1:$B$213,2)</f>
        <v>NMD</v>
      </c>
      <c r="I79" t="str">
        <f>VLOOKUP(G79,Orgenheter!$A$1:$C$165,3,FALSE)</f>
        <v>TekNat</v>
      </c>
      <c r="J79" s="228">
        <f>IF(ISERROR(VLOOKUP(A79,'Totalt pivot'!$A$5:$C$397,2,FALSE)),0,(VLOOKUP(A79,'Totalt pivot'!$A$5:$C$397,2,FALSE)))</f>
        <v>5.875</v>
      </c>
      <c r="K79" s="228">
        <f t="shared" si="155"/>
        <v>2.35</v>
      </c>
      <c r="L79" s="228">
        <f>IF(ISERROR(VLOOKUP(A79,'Totalt pivot'!$A$5:$C$397,3,FALSE)),0,(VLOOKUP(A79,'Totalt pivot'!$A$5:$C$397,3,FALSE)))</f>
        <v>4.9937499999999995</v>
      </c>
      <c r="M79" s="228">
        <f t="shared" si="156"/>
        <v>1.9974999999999998</v>
      </c>
      <c r="N79" s="26">
        <f>VLOOKUP(A79,kurspris!$A$1:$Q$792,15)</f>
        <v>23641</v>
      </c>
      <c r="O79" s="26">
        <f>VLOOKUP(A79,kurspris!$A$1:$Q$792,16)</f>
        <v>28786</v>
      </c>
      <c r="P79" s="26">
        <f>VLOOKUP(A79,kurspris!$A$1:$Q$792,17)</f>
        <v>5800</v>
      </c>
      <c r="Q79" s="26">
        <f t="shared" si="157"/>
        <v>113056.38499999999</v>
      </c>
      <c r="R79" s="26">
        <f>(Q79*Prislapp!$R$5)*-1</f>
        <v>-7913.9469500000005</v>
      </c>
      <c r="S79" s="26">
        <f t="shared" si="158"/>
        <v>105142.43805</v>
      </c>
      <c r="T79" s="26">
        <f t="shared" si="159"/>
        <v>13630</v>
      </c>
      <c r="V79" s="39" t="s">
        <v>999</v>
      </c>
      <c r="W79">
        <v>141004</v>
      </c>
    </row>
    <row r="80" spans="1:23" x14ac:dyDescent="0.25">
      <c r="A80" s="62" t="s">
        <v>1891</v>
      </c>
      <c r="B80" t="str">
        <f>VLOOKUP(A80,kurspris!$A$1:$Q$792,2,FALSE)</f>
        <v>Att vara grundlärare (VFU)</v>
      </c>
      <c r="C80" s="31">
        <v>1620</v>
      </c>
      <c r="D80" t="str">
        <f>VLOOKUP(C80,Orgenheter!$A$1:$B$213,2)</f>
        <v>Inst för språkstudier</v>
      </c>
      <c r="E80" t="str">
        <f>VLOOKUP(C80,Orgenheter!$A$1:$C$165,3,FALSE)</f>
        <v>Hum</v>
      </c>
      <c r="F80" s="315">
        <f>0.5/1.5</f>
        <v>0.33333333333333331</v>
      </c>
      <c r="G80">
        <f>VLOOKUP(A80,'Ansvar kurs'!$A$84:$C$959,2,FALSE)</f>
        <v>5740</v>
      </c>
      <c r="H80" t="str">
        <f>VLOOKUP(G80,Orgenheter!$A$1:$B$213,2)</f>
        <v>NMD</v>
      </c>
      <c r="I80" t="str">
        <f>VLOOKUP(G80,Orgenheter!$A$1:$C$165,3,FALSE)</f>
        <v>TekNat</v>
      </c>
      <c r="J80" s="228">
        <f>IF(ISERROR(VLOOKUP(A80,'Totalt pivot'!$A$5:$C$397,2,FALSE)),0,(VLOOKUP(A80,'Totalt pivot'!$A$5:$C$397,2,FALSE)))</f>
        <v>2.6924999999999999</v>
      </c>
      <c r="K80" s="228">
        <f t="shared" si="155"/>
        <v>0.89749999999999996</v>
      </c>
      <c r="L80" s="228">
        <f>IF(ISERROR(VLOOKUP(A80,'Totalt pivot'!$A$5:$C$397,3,FALSE)),0,(VLOOKUP(A80,'Totalt pivot'!$A$5:$C$397,3,FALSE)))</f>
        <v>2.2886250000000001</v>
      </c>
      <c r="M80" s="228">
        <f t="shared" si="156"/>
        <v>0.76287499999999997</v>
      </c>
      <c r="N80" s="26">
        <f>VLOOKUP(A80,kurspris!$A$1:$Q$792,15)</f>
        <v>21634</v>
      </c>
      <c r="O80" s="26">
        <f>VLOOKUP(A80,kurspris!$A$1:$Q$792,16)</f>
        <v>26986</v>
      </c>
      <c r="P80" s="26">
        <f>VLOOKUP(A80,kurspris!$A$1:$Q$792,17)</f>
        <v>3400</v>
      </c>
      <c r="Q80" s="26">
        <f t="shared" si="157"/>
        <v>40003.459749999995</v>
      </c>
      <c r="R80" s="26">
        <f>(Q80*Prislapp!$R$5)*-1</f>
        <v>-2800.2421824999997</v>
      </c>
      <c r="S80" s="26">
        <f t="shared" si="158"/>
        <v>37203.217567499996</v>
      </c>
      <c r="T80" s="26">
        <f t="shared" si="159"/>
        <v>3051.5</v>
      </c>
      <c r="V80" t="s">
        <v>1473</v>
      </c>
    </row>
    <row r="81" spans="1:24" x14ac:dyDescent="0.25">
      <c r="A81" s="62" t="s">
        <v>1891</v>
      </c>
      <c r="B81" t="str">
        <f>VLOOKUP(A81,kurspris!$A$1:$Q$792,2,FALSE)</f>
        <v>Att vara grundlärare (VFU)</v>
      </c>
      <c r="C81" s="31">
        <v>1650</v>
      </c>
      <c r="D81" t="str">
        <f>VLOOKUP(C81,Orgenheter!$A$1:$B$213,2)</f>
        <v xml:space="preserve">Estetiska ämnen               </v>
      </c>
      <c r="E81" t="str">
        <f>VLOOKUP(C81,Orgenheter!$A$1:$C$165,3,FALSE)</f>
        <v>Hum</v>
      </c>
      <c r="F81" s="315">
        <f>0.5/1.5</f>
        <v>0.33333333333333331</v>
      </c>
      <c r="G81">
        <f>VLOOKUP(A81,'Ansvar kurs'!$A$84:$C$959,2,FALSE)</f>
        <v>5740</v>
      </c>
      <c r="H81" t="str">
        <f>VLOOKUP(G81,Orgenheter!$A$1:$B$213,2)</f>
        <v>NMD</v>
      </c>
      <c r="I81" t="str">
        <f>VLOOKUP(G81,Orgenheter!$A$1:$C$165,3,FALSE)</f>
        <v>TekNat</v>
      </c>
      <c r="J81" s="228">
        <f>IF(ISERROR(VLOOKUP(A81,'Totalt pivot'!$A$5:$C$397,2,FALSE)),0,(VLOOKUP(A81,'Totalt pivot'!$A$5:$C$397,2,FALSE)))</f>
        <v>2.6924999999999999</v>
      </c>
      <c r="K81" s="228">
        <f t="shared" si="155"/>
        <v>0.89749999999999996</v>
      </c>
      <c r="L81" s="228">
        <f>IF(ISERROR(VLOOKUP(A81,'Totalt pivot'!$A$5:$C$397,3,FALSE)),0,(VLOOKUP(A81,'Totalt pivot'!$A$5:$C$397,3,FALSE)))</f>
        <v>2.2886250000000001</v>
      </c>
      <c r="M81" s="228">
        <f t="shared" si="156"/>
        <v>0.76287499999999997</v>
      </c>
      <c r="N81" s="26">
        <f>VLOOKUP(A81,kurspris!$A$1:$Q$792,15)</f>
        <v>21634</v>
      </c>
      <c r="O81" s="26">
        <f>VLOOKUP(A81,kurspris!$A$1:$Q$792,16)</f>
        <v>26986</v>
      </c>
      <c r="P81" s="26">
        <f>VLOOKUP(A81,kurspris!$A$1:$Q$792,17)</f>
        <v>3400</v>
      </c>
      <c r="Q81" s="26">
        <f t="shared" si="157"/>
        <v>40003.459749999995</v>
      </c>
      <c r="R81" s="26">
        <f>(Q81*Prislapp!$R$5)*-1</f>
        <v>-2800.2421824999997</v>
      </c>
      <c r="S81" s="26">
        <f t="shared" si="158"/>
        <v>37203.217567499996</v>
      </c>
      <c r="T81" s="26">
        <f t="shared" si="159"/>
        <v>3051.5</v>
      </c>
      <c r="V81" t="s">
        <v>1473</v>
      </c>
    </row>
    <row r="82" spans="1:24" x14ac:dyDescent="0.25">
      <c r="A82" s="62" t="s">
        <v>2146</v>
      </c>
      <c r="B82" t="str">
        <f>VLOOKUP(A82,kurspris!$A$1:$Q$792,2,FALSE)</f>
        <v>Språk och matematik i ett specialpedagogiskt perspektiv</v>
      </c>
      <c r="C82" s="31">
        <v>1620</v>
      </c>
      <c r="D82" t="str">
        <f>VLOOKUP(C82,Orgenheter!$A$1:$B$213,2)</f>
        <v>Inst för språkstudier</v>
      </c>
      <c r="E82" t="str">
        <f>VLOOKUP(C82,Orgenheter!$A$1:$C$165,3,FALSE)</f>
        <v>Hum</v>
      </c>
      <c r="F82" s="315">
        <f>3.5/7.5</f>
        <v>0.46666666666666667</v>
      </c>
      <c r="G82">
        <f>VLOOKUP(A82,'Ansvar kurs'!$A$84:$C$959,2,FALSE)</f>
        <v>5740</v>
      </c>
      <c r="H82" t="str">
        <f>VLOOKUP(G82,Orgenheter!$A$1:$B$213,2)</f>
        <v>NMD</v>
      </c>
      <c r="I82" t="str">
        <f>VLOOKUP(G82,Orgenheter!$A$1:$C$165,3,FALSE)</f>
        <v>TekNat</v>
      </c>
      <c r="J82" s="228">
        <f>IF(ISERROR(VLOOKUP(A82,'Totalt pivot'!$A$5:$C$397,2,FALSE)),0,(VLOOKUP(A82,'Totalt pivot'!$A$5:$C$397,2,FALSE)))</f>
        <v>4.875</v>
      </c>
      <c r="K82" s="228">
        <f t="shared" ref="K82" si="160">F82*J82</f>
        <v>2.2749999999999999</v>
      </c>
      <c r="L82" s="228">
        <f>IF(ISERROR(VLOOKUP(A82,'Totalt pivot'!$A$5:$C$397,3,FALSE)),0,(VLOOKUP(A82,'Totalt pivot'!$A$5:$C$397,3,FALSE)))</f>
        <v>4.1437499999999998</v>
      </c>
      <c r="M82" s="228">
        <f t="shared" ref="M82" si="161">F82*L82</f>
        <v>1.9337499999999999</v>
      </c>
      <c r="N82" s="26">
        <f>VLOOKUP(A82,kurspris!$A$1:$Q$792,15)</f>
        <v>19473</v>
      </c>
      <c r="O82" s="26">
        <f>VLOOKUP(A82,kurspris!$A$1:$Q$792,16)</f>
        <v>34806</v>
      </c>
      <c r="P82" s="26">
        <f>VLOOKUP(A82,kurspris!$A$1:$Q$792,17)</f>
        <v>21800</v>
      </c>
      <c r="Q82" s="26">
        <f t="shared" ref="Q82" si="162">K82*N82+M82*O82</f>
        <v>111607.17749999999</v>
      </c>
      <c r="R82" s="26">
        <f>(Q82*Prislapp!$R$5)*-1</f>
        <v>-7812.5024249999997</v>
      </c>
      <c r="S82" s="26">
        <f t="shared" ref="S82" si="163">Q82+R82</f>
        <v>103794.67507499999</v>
      </c>
      <c r="T82" s="26">
        <f t="shared" ref="T82" si="164">K82*P82</f>
        <v>49595</v>
      </c>
    </row>
    <row r="83" spans="1:24" x14ac:dyDescent="0.25">
      <c r="A83" s="62" t="s">
        <v>600</v>
      </c>
      <c r="B83" t="str">
        <f>VLOOKUP(A83,kurspris!$A$1:$Q$792,2,FALSE)</f>
        <v>Pedagogiskt ledarskap, sociala relationer och konflikthantering</v>
      </c>
      <c r="C83" s="31">
        <v>2193</v>
      </c>
      <c r="D83" t="str">
        <f>VLOOKUP(C83,Orgenheter!$A$1:$B$213,2)</f>
        <v xml:space="preserve">TUV </v>
      </c>
      <c r="E83" t="str">
        <f>VLOOKUP(C83,Orgenheter!$A$1:$C$165,3,FALSE)</f>
        <v>Sam</v>
      </c>
      <c r="F83" s="316">
        <f>4/10</f>
        <v>0.4</v>
      </c>
      <c r="G83">
        <f>VLOOKUP(A83,'Ansvar kurs'!$A$84:$C$959,2,FALSE)</f>
        <v>2180</v>
      </c>
      <c r="H83" t="str">
        <f>VLOOKUP(G83,Orgenheter!$A$1:$B$213,2)</f>
        <v xml:space="preserve">Pedagogik                     </v>
      </c>
      <c r="I83" t="str">
        <f>VLOOKUP(G83,Orgenheter!$A$1:$C$165,3,FALSE)</f>
        <v>Sam</v>
      </c>
      <c r="J83" s="228">
        <f>IF(ISERROR(VLOOKUP(A83,'Totalt pivot'!$A$5:$C$397,2,FALSE)),0,(VLOOKUP(A83,'Totalt pivot'!$A$5:$C$397,2,FALSE)))</f>
        <v>11</v>
      </c>
      <c r="K83" s="228">
        <f t="shared" si="53"/>
        <v>4.4000000000000004</v>
      </c>
      <c r="L83" s="228">
        <f>IF(ISERROR(VLOOKUP(A83,'Totalt pivot'!$A$5:$C$397,3,FALSE)),0,(VLOOKUP(A83,'Totalt pivot'!$A$5:$C$397,3,FALSE)))</f>
        <v>9.3499999999999979</v>
      </c>
      <c r="M83" s="228">
        <f t="shared" si="54"/>
        <v>3.7399999999999993</v>
      </c>
      <c r="N83" s="26">
        <f>VLOOKUP(A83,kurspris!$A$1:$Q$792,15)</f>
        <v>23641</v>
      </c>
      <c r="O83" s="26">
        <f>VLOOKUP(A83,kurspris!$A$1:$Q$792,16)</f>
        <v>28786</v>
      </c>
      <c r="P83" s="26">
        <f>VLOOKUP(A83,kurspris!$A$1:$Q$792,17)</f>
        <v>5800</v>
      </c>
      <c r="Q83" s="26">
        <f t="shared" si="55"/>
        <v>211680.03999999998</v>
      </c>
      <c r="R83" s="26">
        <f>(Q83*Prislapp!$R$5)*-1</f>
        <v>-14817.602800000001</v>
      </c>
      <c r="S83" s="26">
        <f t="shared" si="56"/>
        <v>196862.43719999999</v>
      </c>
      <c r="T83" s="26">
        <f t="shared" si="57"/>
        <v>25520.000000000004</v>
      </c>
      <c r="V83" t="s">
        <v>1305</v>
      </c>
    </row>
    <row r="84" spans="1:24" x14ac:dyDescent="0.25">
      <c r="A84" s="62" t="s">
        <v>1274</v>
      </c>
      <c r="B84" t="str">
        <f>VLOOKUP(A84,kurspris!$A$1:$Q$792,2,FALSE)</f>
        <v>Examensarbete i svenska för ämneslärarexamen</v>
      </c>
      <c r="C84" s="31">
        <v>1640</v>
      </c>
      <c r="D84" t="str">
        <f>VLOOKUP(C84,Orgenheter!$A$1:$B$213,2)</f>
        <v>Inst för kultur- o medievetenskap</v>
      </c>
      <c r="E84" t="str">
        <f>VLOOKUP(C84,Orgenheter!$A$1:$C$165,3,FALSE)</f>
        <v>Hum</v>
      </c>
      <c r="F84" s="316">
        <f>15/30</f>
        <v>0.5</v>
      </c>
      <c r="G84">
        <f>VLOOKUP(A84,'Ansvar kurs'!$A$84:$C$959,2,FALSE)</f>
        <v>1620</v>
      </c>
      <c r="H84" t="str">
        <f>VLOOKUP(G84,Orgenheter!$A$1:$B$213,2)</f>
        <v>Inst för språkstudier</v>
      </c>
      <c r="I84" t="str">
        <f>VLOOKUP(G84,Orgenheter!$A$1:$C$165,3,FALSE)</f>
        <v>Hum</v>
      </c>
      <c r="J84" s="228">
        <f>IF(ISERROR(VLOOKUP(A84,'Totalt pivot'!$A$5:$C$397,2,FALSE)),0,(VLOOKUP(A84,'Totalt pivot'!$A$5:$C$397,2,FALSE)))</f>
        <v>6</v>
      </c>
      <c r="K84" s="228">
        <f t="shared" si="53"/>
        <v>3</v>
      </c>
      <c r="L84" s="228">
        <f>IF(ISERROR(VLOOKUP(A84,'Totalt pivot'!$A$5:$C$397,3,FALSE)),0,(VLOOKUP(A84,'Totalt pivot'!$A$5:$C$397,3,FALSE)))</f>
        <v>5.0999999999999996</v>
      </c>
      <c r="M84" s="228">
        <f t="shared" ref="M84" si="165">F84*L84</f>
        <v>2.5499999999999998</v>
      </c>
      <c r="N84" s="26">
        <f>VLOOKUP(A84,kurspris!$A$1:$Q$792,15)</f>
        <v>18405</v>
      </c>
      <c r="O84" s="26">
        <f>VLOOKUP(A84,kurspris!$A$1:$Q$792,16)</f>
        <v>15773</v>
      </c>
      <c r="P84" s="26">
        <f>VLOOKUP(A84,kurspris!$A$1:$Q$792,17)</f>
        <v>5800</v>
      </c>
      <c r="Q84" s="26">
        <f t="shared" ref="Q84" si="166">K84*N84+M84*O84</f>
        <v>95436.15</v>
      </c>
      <c r="R84" s="26">
        <f>(Q84*Prislapp!$R$5)*-1</f>
        <v>-6680.5304999999998</v>
      </c>
      <c r="S84" s="26">
        <f t="shared" ref="S84" si="167">Q84+R84</f>
        <v>88755.619500000001</v>
      </c>
      <c r="T84" s="26">
        <f t="shared" ref="T84" si="168">K84*P84</f>
        <v>17400</v>
      </c>
      <c r="V84" s="182" t="s">
        <v>1561</v>
      </c>
      <c r="W84" s="182"/>
      <c r="X84" s="182"/>
    </row>
    <row r="85" spans="1:24" x14ac:dyDescent="0.25">
      <c r="A85" s="31" t="s">
        <v>512</v>
      </c>
      <c r="B85" t="str">
        <f>VLOOKUP(A85,kurspris!$A$1:$Q$792,2,FALSE)</f>
        <v>Samhällskunskap 1</v>
      </c>
      <c r="C85" s="31">
        <v>2360</v>
      </c>
      <c r="D85" t="str">
        <f>VLOOKUP(C85,Orgenheter!$A$1:$B$213,2)</f>
        <v xml:space="preserve">Ekonomisk historia            </v>
      </c>
      <c r="E85" t="str">
        <f>VLOOKUP(C85,Orgenheter!$A$1:$C$165,3,FALSE)</f>
        <v>Sam</v>
      </c>
      <c r="F85" s="315">
        <f>4.8/30</f>
        <v>0.16</v>
      </c>
      <c r="G85">
        <f>VLOOKUP(A85,'Ansvar kurs'!$A$84:$C$959,2,FALSE)</f>
        <v>2340</v>
      </c>
      <c r="H85" t="str">
        <f>VLOOKUP(G85,Orgenheter!$A$1:$B$213,2)</f>
        <v xml:space="preserve">Statsvetenskap                </v>
      </c>
      <c r="I85" t="str">
        <f>VLOOKUP(G85,Orgenheter!$A$1:$C$165,3,FALSE)</f>
        <v>Sam</v>
      </c>
      <c r="J85" s="228">
        <f>IF(ISERROR(VLOOKUP(A85,'Totalt pivot'!$A$5:$C$397,2,FALSE)),0,(VLOOKUP(A85,'Totalt pivot'!$A$5:$C$397,2,FALSE)))</f>
        <v>11</v>
      </c>
      <c r="K85" s="228">
        <f t="shared" si="53"/>
        <v>1.76</v>
      </c>
      <c r="L85" s="228">
        <f>IF(ISERROR(VLOOKUP(A85,'Totalt pivot'!$A$5:$C$397,3,FALSE)),0,(VLOOKUP(A85,'Totalt pivot'!$A$5:$C$397,3,FALSE)))</f>
        <v>9.35</v>
      </c>
      <c r="M85" s="228">
        <f t="shared" si="49"/>
        <v>1.496</v>
      </c>
      <c r="N85" s="26">
        <f>VLOOKUP(A85,kurspris!$A$1:$Q$792,15)</f>
        <v>18405</v>
      </c>
      <c r="O85" s="26">
        <f>VLOOKUP(A85,kurspris!$A$1:$Q$792,16)</f>
        <v>15773</v>
      </c>
      <c r="P85" s="26">
        <f>VLOOKUP(A85,kurspris!$A$1:$Q$792,17)</f>
        <v>5800</v>
      </c>
      <c r="Q85" s="26">
        <f t="shared" si="50"/>
        <v>55989.207999999999</v>
      </c>
      <c r="R85" s="26">
        <f>(Q85*Prislapp!$R$5)*-1</f>
        <v>-3919.2445600000001</v>
      </c>
      <c r="S85" s="26">
        <f t="shared" si="51"/>
        <v>52069.96344</v>
      </c>
      <c r="T85" s="26">
        <f t="shared" si="52"/>
        <v>10208</v>
      </c>
      <c r="V85" t="s">
        <v>1838</v>
      </c>
    </row>
    <row r="86" spans="1:24" x14ac:dyDescent="0.25">
      <c r="A86" s="31" t="s">
        <v>512</v>
      </c>
      <c r="B86" t="str">
        <f>VLOOKUP(A86,kurspris!$A$1:$Q$792,2,FALSE)</f>
        <v>Samhällskunskap 1</v>
      </c>
      <c r="C86" s="31">
        <v>2271</v>
      </c>
      <c r="D86" t="str">
        <f>VLOOKUP(C86,Orgenheter!$A$1:$B$213,2)</f>
        <v xml:space="preserve">Nationalekonomi               </v>
      </c>
      <c r="E86" t="str">
        <f>VLOOKUP(C86,Orgenheter!$A$1:$C$165,3,FALSE)</f>
        <v>Sam</v>
      </c>
      <c r="F86" s="315">
        <f>7.2/30</f>
        <v>0.24000000000000002</v>
      </c>
      <c r="G86">
        <f>VLOOKUP(A86,'Ansvar kurs'!$A$84:$C$959,2,FALSE)</f>
        <v>2340</v>
      </c>
      <c r="H86" t="str">
        <f>VLOOKUP(G86,Orgenheter!$A$1:$B$213,2)</f>
        <v xml:space="preserve">Statsvetenskap                </v>
      </c>
      <c r="I86" t="str">
        <f>VLOOKUP(G86,Orgenheter!$A$1:$C$165,3,FALSE)</f>
        <v>Sam</v>
      </c>
      <c r="J86" s="228">
        <f>IF(ISERROR(VLOOKUP(A86,'Totalt pivot'!$A$5:$C$397,2,FALSE)),0,(VLOOKUP(A86,'Totalt pivot'!$A$5:$C$397,2,FALSE)))</f>
        <v>11</v>
      </c>
      <c r="K86" s="228">
        <f t="shared" si="53"/>
        <v>2.64</v>
      </c>
      <c r="L86" s="228">
        <f>IF(ISERROR(VLOOKUP(A86,'Totalt pivot'!$A$5:$C$397,3,FALSE)),0,(VLOOKUP(A86,'Totalt pivot'!$A$5:$C$397,3,FALSE)))</f>
        <v>9.35</v>
      </c>
      <c r="M86" s="228">
        <f t="shared" si="49"/>
        <v>2.2440000000000002</v>
      </c>
      <c r="N86" s="26">
        <f>VLOOKUP(A86,kurspris!$A$1:$Q$792,15)</f>
        <v>18405</v>
      </c>
      <c r="O86" s="26">
        <f>VLOOKUP(A86,kurspris!$A$1:$Q$792,16)</f>
        <v>15773</v>
      </c>
      <c r="P86" s="26">
        <f>VLOOKUP(A86,kurspris!$A$1:$Q$792,17)</f>
        <v>5800</v>
      </c>
      <c r="Q86" s="26">
        <f t="shared" si="50"/>
        <v>83983.812000000005</v>
      </c>
      <c r="R86" s="26">
        <f>(Q86*Prislapp!$R$5)*-1</f>
        <v>-5878.8668400000006</v>
      </c>
      <c r="S86" s="26">
        <f t="shared" si="51"/>
        <v>78104.945160000003</v>
      </c>
      <c r="T86" s="26">
        <f t="shared" si="52"/>
        <v>15312</v>
      </c>
      <c r="V86" t="s">
        <v>1838</v>
      </c>
    </row>
    <row r="87" spans="1:24" x14ac:dyDescent="0.25">
      <c r="A87" s="31" t="s">
        <v>512</v>
      </c>
      <c r="B87" t="str">
        <f>VLOOKUP(A87,kurspris!$A$1:$Q$792,2,FALSE)</f>
        <v>Samhällskunskap 1</v>
      </c>
      <c r="C87" s="31">
        <v>2180</v>
      </c>
      <c r="D87" t="str">
        <f>VLOOKUP(C87,Orgenheter!$A$1:$B$213,2)</f>
        <v xml:space="preserve">Pedagogik                     </v>
      </c>
      <c r="E87" t="str">
        <f>VLOOKUP(C87,Orgenheter!$A$1:$C$165,3,FALSE)</f>
        <v>Sam</v>
      </c>
      <c r="F87" s="315">
        <f>6/30</f>
        <v>0.2</v>
      </c>
      <c r="G87">
        <f>VLOOKUP(A87,'Ansvar kurs'!$A$84:$C$959,2,FALSE)</f>
        <v>2340</v>
      </c>
      <c r="H87" t="str">
        <f>VLOOKUP(G87,Orgenheter!$A$1:$B$213,2)</f>
        <v xml:space="preserve">Statsvetenskap                </v>
      </c>
      <c r="I87" t="str">
        <f>VLOOKUP(G87,Orgenheter!$A$1:$C$165,3,FALSE)</f>
        <v>Sam</v>
      </c>
      <c r="J87" s="228">
        <f>IF(ISERROR(VLOOKUP(A87,'Totalt pivot'!$A$5:$C$397,2,FALSE)),0,(VLOOKUP(A87,'Totalt pivot'!$A$5:$C$397,2,FALSE)))</f>
        <v>11</v>
      </c>
      <c r="K87" s="228">
        <f t="shared" ref="K87" si="169">F87*J87</f>
        <v>2.2000000000000002</v>
      </c>
      <c r="L87" s="228">
        <f>IF(ISERROR(VLOOKUP(A87,'Totalt pivot'!$A$5:$C$397,3,FALSE)),0,(VLOOKUP(A87,'Totalt pivot'!$A$5:$C$397,3,FALSE)))</f>
        <v>9.35</v>
      </c>
      <c r="M87" s="228">
        <f t="shared" ref="M87" si="170">F87*L87</f>
        <v>1.87</v>
      </c>
      <c r="N87" s="26">
        <f>VLOOKUP(A87,kurspris!$A$1:$Q$792,15)</f>
        <v>18405</v>
      </c>
      <c r="O87" s="26">
        <f>VLOOKUP(A87,kurspris!$A$1:$Q$792,16)</f>
        <v>15773</v>
      </c>
      <c r="P87" s="26">
        <f>VLOOKUP(A87,kurspris!$A$1:$Q$792,17)</f>
        <v>5800</v>
      </c>
      <c r="Q87" s="26">
        <f t="shared" ref="Q87" si="171">K87*N87+M87*O87</f>
        <v>69986.510000000009</v>
      </c>
      <c r="R87" s="26">
        <f>(Q87*Prislapp!$R$5)*-1</f>
        <v>-4899.0557000000008</v>
      </c>
      <c r="S87" s="26">
        <f t="shared" ref="S87" si="172">Q87+R87</f>
        <v>65087.454300000012</v>
      </c>
      <c r="T87" s="26">
        <f t="shared" ref="T87" si="173">K87*P87</f>
        <v>12760.000000000002</v>
      </c>
      <c r="V87" t="s">
        <v>1838</v>
      </c>
    </row>
    <row r="88" spans="1:24" x14ac:dyDescent="0.25">
      <c r="A88" s="31" t="s">
        <v>513</v>
      </c>
      <c r="B88" t="str">
        <f>VLOOKUP(A88,kurspris!$A$1:$Q$792,2,FALSE)</f>
        <v>Samhällskunskap 2</v>
      </c>
      <c r="C88" s="31">
        <v>2220</v>
      </c>
      <c r="D88" t="str">
        <f>VLOOKUP(C88,Orgenheter!$A$1:$B$213,2)</f>
        <v xml:space="preserve">Sociologi                     </v>
      </c>
      <c r="E88" t="str">
        <f>VLOOKUP(C88,Orgenheter!$A$1:$C$165,3,FALSE)</f>
        <v>Sam</v>
      </c>
      <c r="F88" s="315">
        <f>12/30</f>
        <v>0.4</v>
      </c>
      <c r="G88">
        <f>VLOOKUP(A88,'Ansvar kurs'!$A$84:$C$959,2,FALSE)</f>
        <v>2340</v>
      </c>
      <c r="H88" t="str">
        <f>VLOOKUP(G88,Orgenheter!$A$1:$B$213,2)</f>
        <v xml:space="preserve">Statsvetenskap                </v>
      </c>
      <c r="I88" t="str">
        <f>VLOOKUP(G88,Orgenheter!$A$1:$C$165,3,FALSE)</f>
        <v>Sam</v>
      </c>
      <c r="J88" s="228">
        <f>IF(ISERROR(VLOOKUP(A88,'Totalt pivot'!$A$5:$C$397,2,FALSE)),0,(VLOOKUP(A88,'Totalt pivot'!$A$5:$C$397,2,FALSE)))</f>
        <v>10.5</v>
      </c>
      <c r="K88" s="228">
        <f t="shared" si="53"/>
        <v>4.2</v>
      </c>
      <c r="L88" s="228">
        <f>IF(ISERROR(VLOOKUP(A88,'Totalt pivot'!$A$5:$C$397,3,FALSE)),0,(VLOOKUP(A88,'Totalt pivot'!$A$5:$C$397,3,FALSE)))</f>
        <v>8.9249999999999989</v>
      </c>
      <c r="M88" s="228">
        <f t="shared" si="49"/>
        <v>3.57</v>
      </c>
      <c r="N88" s="26">
        <f>VLOOKUP(A88,kurspris!$A$1:$Q$792,15)</f>
        <v>18405</v>
      </c>
      <c r="O88" s="26">
        <f>VLOOKUP(A88,kurspris!$A$1:$Q$792,16)</f>
        <v>15773</v>
      </c>
      <c r="P88" s="26">
        <f>VLOOKUP(A88,kurspris!$A$1:$Q$792,17)</f>
        <v>5800</v>
      </c>
      <c r="Q88" s="26">
        <f t="shared" si="50"/>
        <v>133610.60999999999</v>
      </c>
      <c r="R88" s="26">
        <f>(Q88*Prislapp!$R$5)*-1</f>
        <v>-9352.7427000000007</v>
      </c>
      <c r="S88" s="26">
        <f t="shared" si="51"/>
        <v>124257.86729999998</v>
      </c>
      <c r="T88" s="26">
        <f t="shared" si="52"/>
        <v>24360</v>
      </c>
      <c r="V88" t="s">
        <v>1838</v>
      </c>
    </row>
    <row r="89" spans="1:24" x14ac:dyDescent="0.25">
      <c r="A89" s="31" t="s">
        <v>513</v>
      </c>
      <c r="B89" t="str">
        <f>VLOOKUP(A89,kurspris!$A$1:$Q$792,2,FALSE)</f>
        <v>Samhällskunskap 2</v>
      </c>
      <c r="C89" s="31">
        <v>2180</v>
      </c>
      <c r="D89" t="str">
        <f>VLOOKUP(C89,Orgenheter!$A$1:$B$213,2)</f>
        <v xml:space="preserve">Pedagogik                     </v>
      </c>
      <c r="E89" t="str">
        <f>VLOOKUP(C89,Orgenheter!$A$1:$C$165,3,FALSE)</f>
        <v>Sam</v>
      </c>
      <c r="F89" s="315">
        <f>6/30</f>
        <v>0.2</v>
      </c>
      <c r="G89">
        <f>VLOOKUP(A89,'Ansvar kurs'!$A$84:$C$959,2,FALSE)</f>
        <v>2340</v>
      </c>
      <c r="H89" t="str">
        <f>VLOOKUP(G89,Orgenheter!$A$1:$B$213,2)</f>
        <v xml:space="preserve">Statsvetenskap                </v>
      </c>
      <c r="I89" t="str">
        <f>VLOOKUP(G89,Orgenheter!$A$1:$C$165,3,FALSE)</f>
        <v>Sam</v>
      </c>
      <c r="J89" s="228">
        <f>IF(ISERROR(VLOOKUP(A89,'Totalt pivot'!$A$5:$C$397,2,FALSE)),0,(VLOOKUP(A89,'Totalt pivot'!$A$5:$C$397,2,FALSE)))</f>
        <v>10.5</v>
      </c>
      <c r="K89" s="228">
        <f t="shared" ref="K89:K93" si="174">F89*J89</f>
        <v>2.1</v>
      </c>
      <c r="L89" s="228">
        <f>IF(ISERROR(VLOOKUP(A89,'Totalt pivot'!$A$5:$C$397,3,FALSE)),0,(VLOOKUP(A89,'Totalt pivot'!$A$5:$C$397,3,FALSE)))</f>
        <v>8.9249999999999989</v>
      </c>
      <c r="M89" s="228">
        <f t="shared" ref="M89:M93" si="175">F89*L89</f>
        <v>1.7849999999999999</v>
      </c>
      <c r="N89" s="26">
        <f>VLOOKUP(A89,kurspris!$A$1:$Q$792,15)</f>
        <v>18405</v>
      </c>
      <c r="O89" s="26">
        <f>VLOOKUP(A89,kurspris!$A$1:$Q$792,16)</f>
        <v>15773</v>
      </c>
      <c r="P89" s="26">
        <f>VLOOKUP(A89,kurspris!$A$1:$Q$792,17)</f>
        <v>5800</v>
      </c>
      <c r="Q89" s="26">
        <f t="shared" ref="Q89:Q93" si="176">K89*N89+M89*O89</f>
        <v>66805.304999999993</v>
      </c>
      <c r="R89" s="26">
        <f>(Q89*Prislapp!$R$5)*-1</f>
        <v>-4676.3713500000003</v>
      </c>
      <c r="S89" s="26">
        <f t="shared" ref="S89:S93" si="177">Q89+R89</f>
        <v>62128.933649999992</v>
      </c>
      <c r="T89" s="26">
        <f t="shared" ref="T89:T93" si="178">K89*P89</f>
        <v>12180</v>
      </c>
      <c r="V89" t="s">
        <v>1838</v>
      </c>
    </row>
    <row r="90" spans="1:24" x14ac:dyDescent="0.25">
      <c r="A90" s="31" t="s">
        <v>603</v>
      </c>
      <c r="B90" t="str">
        <f>VLOOKUP(A90,kurspris!$A$1:$Q$792,2,FALSE)</f>
        <v>Samhällskunskap 3</v>
      </c>
      <c r="C90" s="31">
        <v>2360</v>
      </c>
      <c r="D90" t="str">
        <f>VLOOKUP(C90,Orgenheter!$A$1:$B$213,2)</f>
        <v xml:space="preserve">Ekonomisk historia            </v>
      </c>
      <c r="E90" t="str">
        <f>VLOOKUP(C90,Orgenheter!$A$1:$C$165,3,FALSE)</f>
        <v>Sam</v>
      </c>
      <c r="F90" s="315">
        <f>5.4/30</f>
        <v>0.18000000000000002</v>
      </c>
      <c r="G90">
        <f>VLOOKUP(A90,'Ansvar kurs'!$A$84:$C$959,2,FALSE)</f>
        <v>2340</v>
      </c>
      <c r="H90" t="str">
        <f>VLOOKUP(G90,Orgenheter!$A$1:$B$213,2)</f>
        <v xml:space="preserve">Statsvetenskap                </v>
      </c>
      <c r="I90" t="str">
        <f>VLOOKUP(G90,Orgenheter!$A$1:$C$165,3,FALSE)</f>
        <v>Sam</v>
      </c>
      <c r="J90" s="228">
        <f>IF(ISERROR(VLOOKUP(A90,'Totalt pivot'!$A$5:$C$397,2,FALSE)),0,(VLOOKUP(A90,'Totalt pivot'!$A$5:$C$397,2,FALSE)))</f>
        <v>6.5</v>
      </c>
      <c r="K90" s="228">
        <f t="shared" si="174"/>
        <v>1.1700000000000002</v>
      </c>
      <c r="L90" s="228">
        <f>IF(ISERROR(VLOOKUP(A90,'Totalt pivot'!$A$5:$C$397,3,FALSE)),0,(VLOOKUP(A90,'Totalt pivot'!$A$5:$C$397,3,FALSE)))</f>
        <v>5.5250000000000004</v>
      </c>
      <c r="M90" s="228">
        <f t="shared" si="175"/>
        <v>0.99450000000000016</v>
      </c>
      <c r="N90" s="26">
        <f>VLOOKUP(A90,kurspris!$A$1:$Q$792,15)</f>
        <v>18405</v>
      </c>
      <c r="O90" s="26">
        <f>VLOOKUP(A90,kurspris!$A$1:$Q$792,16)</f>
        <v>15773</v>
      </c>
      <c r="P90" s="26">
        <f>VLOOKUP(A90,kurspris!$A$1:$Q$792,17)</f>
        <v>5800</v>
      </c>
      <c r="Q90" s="26">
        <f t="shared" si="176"/>
        <v>37220.098500000007</v>
      </c>
      <c r="R90" s="26">
        <f>(Q90*Prislapp!$R$5)*-1</f>
        <v>-2605.406895000001</v>
      </c>
      <c r="S90" s="26">
        <f t="shared" si="177"/>
        <v>34614.691605000007</v>
      </c>
      <c r="T90" s="26">
        <f t="shared" si="178"/>
        <v>6786.0000000000009</v>
      </c>
      <c r="V90" t="s">
        <v>1838</v>
      </c>
    </row>
    <row r="91" spans="1:24" x14ac:dyDescent="0.25">
      <c r="A91" s="31" t="s">
        <v>603</v>
      </c>
      <c r="B91" t="str">
        <f>VLOOKUP(A91,kurspris!$A$1:$Q$792,2,FALSE)</f>
        <v>Samhällskunskap 3</v>
      </c>
      <c r="C91" s="31">
        <v>2271</v>
      </c>
      <c r="D91" t="str">
        <f>VLOOKUP(C91,Orgenheter!$A$1:$B$213,2)</f>
        <v xml:space="preserve">Nationalekonomi               </v>
      </c>
      <c r="E91" t="str">
        <f>VLOOKUP(C91,Orgenheter!$A$1:$C$165,3,FALSE)</f>
        <v>Sam</v>
      </c>
      <c r="F91" s="315">
        <f>8.1/30</f>
        <v>0.26999999999999996</v>
      </c>
      <c r="G91">
        <f>VLOOKUP(A91,'Ansvar kurs'!$A$84:$C$959,2,FALSE)</f>
        <v>2340</v>
      </c>
      <c r="H91" t="str">
        <f>VLOOKUP(G91,Orgenheter!$A$1:$B$213,2)</f>
        <v xml:space="preserve">Statsvetenskap                </v>
      </c>
      <c r="I91" t="str">
        <f>VLOOKUP(G91,Orgenheter!$A$1:$C$165,3,FALSE)</f>
        <v>Sam</v>
      </c>
      <c r="J91" s="228">
        <f>IF(ISERROR(VLOOKUP(A91,'Totalt pivot'!$A$5:$C$397,2,FALSE)),0,(VLOOKUP(A91,'Totalt pivot'!$A$5:$C$397,2,FALSE)))</f>
        <v>6.5</v>
      </c>
      <c r="K91" s="228">
        <f t="shared" si="174"/>
        <v>1.7549999999999997</v>
      </c>
      <c r="L91" s="228">
        <f>IF(ISERROR(VLOOKUP(A91,'Totalt pivot'!$A$5:$C$397,3,FALSE)),0,(VLOOKUP(A91,'Totalt pivot'!$A$5:$C$397,3,FALSE)))</f>
        <v>5.5250000000000004</v>
      </c>
      <c r="M91" s="228">
        <f t="shared" si="175"/>
        <v>1.4917499999999999</v>
      </c>
      <c r="N91" s="26">
        <f>VLOOKUP(A91,kurspris!$A$1:$Q$792,15)</f>
        <v>18405</v>
      </c>
      <c r="O91" s="26">
        <f>VLOOKUP(A91,kurspris!$A$1:$Q$792,16)</f>
        <v>15773</v>
      </c>
      <c r="P91" s="26">
        <f>VLOOKUP(A91,kurspris!$A$1:$Q$792,17)</f>
        <v>5800</v>
      </c>
      <c r="Q91" s="26">
        <f t="shared" si="176"/>
        <v>55830.147749999989</v>
      </c>
      <c r="R91" s="26">
        <f>(Q91*Prislapp!$R$5)*-1</f>
        <v>-3908.1103424999997</v>
      </c>
      <c r="S91" s="26">
        <f t="shared" si="177"/>
        <v>51922.037407499993</v>
      </c>
      <c r="T91" s="26">
        <f t="shared" si="178"/>
        <v>10178.999999999998</v>
      </c>
      <c r="V91" t="s">
        <v>1838</v>
      </c>
    </row>
    <row r="92" spans="1:24" x14ac:dyDescent="0.25">
      <c r="A92" s="31" t="s">
        <v>603</v>
      </c>
      <c r="B92" t="str">
        <f>VLOOKUP(A92,kurspris!$A$1:$Q$792,2,FALSE)</f>
        <v>Samhällskunskap 3</v>
      </c>
      <c r="C92" s="31">
        <v>2180</v>
      </c>
      <c r="D92" t="str">
        <f>VLOOKUP(C92,Orgenheter!$A$1:$B$213,2)</f>
        <v xml:space="preserve">Pedagogik                     </v>
      </c>
      <c r="E92" t="str">
        <f>VLOOKUP(C92,Orgenheter!$A$1:$C$165,3,FALSE)</f>
        <v>Sam</v>
      </c>
      <c r="F92" s="315">
        <f>1.5/30</f>
        <v>0.05</v>
      </c>
      <c r="G92">
        <f>VLOOKUP(A92,'Ansvar kurs'!$A$84:$C$959,2,FALSE)</f>
        <v>2340</v>
      </c>
      <c r="H92" t="str">
        <f>VLOOKUP(G92,Orgenheter!$A$1:$B$213,2)</f>
        <v xml:space="preserve">Statsvetenskap                </v>
      </c>
      <c r="I92" t="str">
        <f>VLOOKUP(G92,Orgenheter!$A$1:$C$165,3,FALSE)</f>
        <v>Sam</v>
      </c>
      <c r="J92" s="228">
        <f>IF(ISERROR(VLOOKUP(A92,'Totalt pivot'!$A$5:$C$397,2,FALSE)),0,(VLOOKUP(A92,'Totalt pivot'!$A$5:$C$397,2,FALSE)))</f>
        <v>6.5</v>
      </c>
      <c r="K92" s="228">
        <f t="shared" si="174"/>
        <v>0.32500000000000001</v>
      </c>
      <c r="L92" s="228">
        <f>IF(ISERROR(VLOOKUP(A92,'Totalt pivot'!$A$5:$C$397,3,FALSE)),0,(VLOOKUP(A92,'Totalt pivot'!$A$5:$C$397,3,FALSE)))</f>
        <v>5.5250000000000004</v>
      </c>
      <c r="M92" s="228">
        <f t="shared" si="175"/>
        <v>0.27625000000000005</v>
      </c>
      <c r="N92" s="26">
        <f>VLOOKUP(A92,kurspris!$A$1:$Q$792,15)</f>
        <v>18405</v>
      </c>
      <c r="O92" s="26">
        <f>VLOOKUP(A92,kurspris!$A$1:$Q$792,16)</f>
        <v>15773</v>
      </c>
      <c r="P92" s="26">
        <f>VLOOKUP(A92,kurspris!$A$1:$Q$792,17)</f>
        <v>5800</v>
      </c>
      <c r="Q92" s="26">
        <f t="shared" si="176"/>
        <v>10338.916250000002</v>
      </c>
      <c r="R92" s="26">
        <f>(Q92*Prislapp!$R$5)*-1</f>
        <v>-723.72413750000021</v>
      </c>
      <c r="S92" s="26">
        <f t="shared" si="177"/>
        <v>9615.1921125000026</v>
      </c>
      <c r="T92" s="26">
        <f t="shared" si="178"/>
        <v>1885</v>
      </c>
      <c r="V92" t="s">
        <v>1838</v>
      </c>
    </row>
    <row r="93" spans="1:24" x14ac:dyDescent="0.25">
      <c r="A93" s="31" t="s">
        <v>1052</v>
      </c>
      <c r="B93" t="str">
        <f>VLOOKUP(A93,kurspris!$A$1:$Q$792,2,FALSE)</f>
        <v>Profession och vetenskap</v>
      </c>
      <c r="C93" s="31">
        <v>2300</v>
      </c>
      <c r="D93" t="str">
        <f>VLOOKUP(C93,Orgenheter!$A$1:$B$213,2)</f>
        <v xml:space="preserve">Juridiska institutionen       </v>
      </c>
      <c r="E93" t="str">
        <f>VLOOKUP(C93,Orgenheter!$A$1:$C$165,3,FALSE)</f>
        <v>Sam</v>
      </c>
      <c r="F93" s="315">
        <f>3.75/7.5</f>
        <v>0.5</v>
      </c>
      <c r="G93">
        <f>VLOOKUP(A93,'Ansvar kurs'!$A$84:$C$959,2,FALSE)</f>
        <v>2340</v>
      </c>
      <c r="H93" t="str">
        <f>VLOOKUP(G93,Orgenheter!$A$1:$B$213,2)</f>
        <v xml:space="preserve">Statsvetenskap                </v>
      </c>
      <c r="I93" t="str">
        <f>VLOOKUP(G93,Orgenheter!$A$1:$C$165,3,FALSE)</f>
        <v>Sam</v>
      </c>
      <c r="J93" s="228">
        <f>IF(ISERROR(VLOOKUP(A93,'Totalt pivot'!$A$5:$C$397,2,FALSE)),0,(VLOOKUP(A93,'Totalt pivot'!$A$5:$C$397,2,FALSE)))</f>
        <v>8.25</v>
      </c>
      <c r="K93" s="228">
        <f t="shared" si="174"/>
        <v>4.125</v>
      </c>
      <c r="L93" s="228">
        <f>IF(ISERROR(VLOOKUP(A93,'Totalt pivot'!$A$5:$C$397,3,FALSE)),0,(VLOOKUP(A93,'Totalt pivot'!$A$5:$C$397,3,FALSE)))</f>
        <v>7.0125000000000002</v>
      </c>
      <c r="M93" s="228">
        <f t="shared" si="175"/>
        <v>3.5062500000000001</v>
      </c>
      <c r="N93" s="26">
        <f>VLOOKUP(A93,kurspris!$A$1:$Q$792,15)</f>
        <v>23641</v>
      </c>
      <c r="O93" s="26">
        <f>VLOOKUP(A93,kurspris!$A$1:$Q$792,16)</f>
        <v>28786</v>
      </c>
      <c r="P93" s="26">
        <f>VLOOKUP(A93,kurspris!$A$1:$Q$792,17)</f>
        <v>5800</v>
      </c>
      <c r="Q93" s="26">
        <f t="shared" si="176"/>
        <v>198450.03750000001</v>
      </c>
      <c r="R93" s="26">
        <f>(Q93*Prislapp!$R$5)*-1</f>
        <v>-13891.502625000001</v>
      </c>
      <c r="S93" s="26">
        <f t="shared" si="177"/>
        <v>184558.53487500001</v>
      </c>
      <c r="T93" s="26">
        <f t="shared" si="178"/>
        <v>23925</v>
      </c>
      <c r="V93" t="s">
        <v>1422</v>
      </c>
    </row>
    <row r="94" spans="1:24" x14ac:dyDescent="0.25">
      <c r="A94" s="31" t="s">
        <v>1944</v>
      </c>
      <c r="B94" t="str">
        <f>VLOOKUP(A94,kurspris!$A$1:$Q$792,2,FALSE)</f>
        <v>Introduktion till det specialpedagogiska fältet</v>
      </c>
      <c r="C94" s="31">
        <v>1620</v>
      </c>
      <c r="D94" t="str">
        <f>VLOOKUP(C94,Orgenheter!$A$1:$B$213,2)</f>
        <v>Inst för språkstudier</v>
      </c>
      <c r="E94" t="str">
        <f>VLOOKUP(C94,Orgenheter!$A$1:$C$165,3,FALSE)</f>
        <v>Hum</v>
      </c>
      <c r="F94" s="316">
        <f>1.5/7.5</f>
        <v>0.2</v>
      </c>
      <c r="G94">
        <f>VLOOKUP(A94,'Ansvar kurs'!$A$84:$C$959,2,FALSE)</f>
        <v>2180</v>
      </c>
      <c r="H94" t="str">
        <f>VLOOKUP(G94,Orgenheter!$A$1:$B$213,2)</f>
        <v xml:space="preserve">Pedagogik                     </v>
      </c>
      <c r="I94" t="str">
        <f>VLOOKUP(G94,Orgenheter!$A$1:$C$165,3,FALSE)</f>
        <v>Sam</v>
      </c>
      <c r="J94" s="228">
        <f>IF(ISERROR(VLOOKUP(A94,'Totalt pivot'!$A$5:$C$397,2,FALSE)),0,(VLOOKUP(A94,'Totalt pivot'!$A$5:$C$397,2,FALSE)))</f>
        <v>10.625</v>
      </c>
      <c r="K94" s="228">
        <f t="shared" ref="K94:K95" si="179">F94*J94</f>
        <v>2.125</v>
      </c>
      <c r="L94" s="228">
        <f>IF(ISERROR(VLOOKUP(A94,'Totalt pivot'!$A$5:$C$397,3,FALSE)),0,(VLOOKUP(A94,'Totalt pivot'!$A$5:$C$397,3,FALSE)))</f>
        <v>9.03125</v>
      </c>
      <c r="M94" s="228">
        <f t="shared" ref="M94:M95" si="180">F94*L94</f>
        <v>1.8062500000000001</v>
      </c>
      <c r="N94" s="26">
        <f>VLOOKUP(A94,kurspris!$A$1:$Q$792,15)</f>
        <v>18405</v>
      </c>
      <c r="O94" s="26">
        <f>VLOOKUP(A94,kurspris!$A$1:$Q$792,16)</f>
        <v>15773</v>
      </c>
      <c r="P94" s="26">
        <f>VLOOKUP(A94,kurspris!$A$1:$Q$792,17)</f>
        <v>5800</v>
      </c>
      <c r="Q94" s="26">
        <f t="shared" ref="Q94:Q95" si="181">K94*N94+M94*O94</f>
        <v>67600.606249999997</v>
      </c>
      <c r="R94" s="26">
        <f>(Q94*Prislapp!$R$5)*-1</f>
        <v>-4732.0424375000002</v>
      </c>
      <c r="S94" s="26">
        <f t="shared" ref="S94:S95" si="182">Q94+R94</f>
        <v>62868.563812499997</v>
      </c>
      <c r="T94" s="26">
        <f t="shared" ref="T94:T95" si="183">K94*P94</f>
        <v>12325</v>
      </c>
      <c r="V94" t="s">
        <v>1950</v>
      </c>
    </row>
    <row r="95" spans="1:24" x14ac:dyDescent="0.25">
      <c r="A95" s="31" t="s">
        <v>1944</v>
      </c>
      <c r="B95" t="str">
        <f>VLOOKUP(A95,kurspris!$A$1:$Q$792,2,FALSE)</f>
        <v>Introduktion till det specialpedagogiska fältet</v>
      </c>
      <c r="C95" s="31">
        <v>2200</v>
      </c>
      <c r="D95" t="str">
        <f>VLOOKUP(C95,Orgenheter!$A$1:$B$213,2)</f>
        <v xml:space="preserve">Inst för psykologi            </v>
      </c>
      <c r="E95" t="str">
        <f>VLOOKUP(C95,Orgenheter!$A$1:$C$165,3,FALSE)</f>
        <v>Sam</v>
      </c>
      <c r="F95" s="316">
        <f>1.5/7.5</f>
        <v>0.2</v>
      </c>
      <c r="G95">
        <f>VLOOKUP(A95,'Ansvar kurs'!$A$84:$C$959,2,FALSE)</f>
        <v>2180</v>
      </c>
      <c r="H95" t="str">
        <f>VLOOKUP(G95,Orgenheter!$A$1:$B$213,2)</f>
        <v xml:space="preserve">Pedagogik                     </v>
      </c>
      <c r="I95" t="str">
        <f>VLOOKUP(G95,Orgenheter!$A$1:$C$165,3,FALSE)</f>
        <v>Sam</v>
      </c>
      <c r="J95" s="228">
        <f>IF(ISERROR(VLOOKUP(A95,'Totalt pivot'!$A$5:$C$397,2,FALSE)),0,(VLOOKUP(A95,'Totalt pivot'!$A$5:$C$397,2,FALSE)))</f>
        <v>10.625</v>
      </c>
      <c r="K95" s="228">
        <f t="shared" si="179"/>
        <v>2.125</v>
      </c>
      <c r="L95" s="228">
        <f>IF(ISERROR(VLOOKUP(A95,'Totalt pivot'!$A$5:$C$397,3,FALSE)),0,(VLOOKUP(A95,'Totalt pivot'!$A$5:$C$397,3,FALSE)))</f>
        <v>9.03125</v>
      </c>
      <c r="M95" s="228">
        <f t="shared" si="180"/>
        <v>1.8062500000000001</v>
      </c>
      <c r="N95" s="26">
        <f>VLOOKUP(A95,kurspris!$A$1:$Q$792,15)</f>
        <v>18405</v>
      </c>
      <c r="O95" s="26">
        <f>VLOOKUP(A95,kurspris!$A$1:$Q$792,16)</f>
        <v>15773</v>
      </c>
      <c r="P95" s="26">
        <f>VLOOKUP(A95,kurspris!$A$1:$Q$792,17)</f>
        <v>5800</v>
      </c>
      <c r="Q95" s="26">
        <f t="shared" si="181"/>
        <v>67600.606249999997</v>
      </c>
      <c r="R95" s="26">
        <f>(Q95*Prislapp!$R$5)*-1</f>
        <v>-4732.0424375000002</v>
      </c>
      <c r="S95" s="26">
        <f t="shared" si="182"/>
        <v>62868.563812499997</v>
      </c>
      <c r="T95" s="26">
        <f t="shared" si="183"/>
        <v>12325</v>
      </c>
      <c r="V95" t="s">
        <v>1950</v>
      </c>
    </row>
    <row r="96" spans="1:24" x14ac:dyDescent="0.25">
      <c r="A96" s="31" t="s">
        <v>1947</v>
      </c>
      <c r="B96" t="str">
        <f>VLOOKUP(A96,kurspris!$A$1:$Q$792,2,FALSE)</f>
        <v>Neuropsykiatriska svårigheter i olika lärmiljöer</v>
      </c>
      <c r="C96" s="31">
        <v>2193</v>
      </c>
      <c r="D96" t="str">
        <f>VLOOKUP(C96,Orgenheter!$A$1:$B$213,2)</f>
        <v xml:space="preserve">TUV </v>
      </c>
      <c r="E96" t="str">
        <f>VLOOKUP(C96,Orgenheter!$A$1:$C$165,3,FALSE)</f>
        <v>Sam</v>
      </c>
      <c r="F96" s="316">
        <f>2/7.5</f>
        <v>0.26666666666666666</v>
      </c>
      <c r="G96">
        <f>VLOOKUP(A96,'Ansvar kurs'!$A$84:$C$959,2,FALSE)</f>
        <v>2180</v>
      </c>
      <c r="H96" t="str">
        <f>VLOOKUP(G96,Orgenheter!$A$1:$B$213,2)</f>
        <v xml:space="preserve">Pedagogik                     </v>
      </c>
      <c r="I96" t="str">
        <f>VLOOKUP(G96,Orgenheter!$A$1:$C$165,3,FALSE)</f>
        <v>Sam</v>
      </c>
      <c r="J96" s="228">
        <f>IF(ISERROR(VLOOKUP(A96,'Totalt pivot'!$A$5:$C$397,2,FALSE)),0,(VLOOKUP(A96,'Totalt pivot'!$A$5:$C$397,2,FALSE)))</f>
        <v>11.45</v>
      </c>
      <c r="K96" s="228">
        <f t="shared" ref="K96:K98" si="184">F96*J96</f>
        <v>3.0533333333333332</v>
      </c>
      <c r="L96" s="228">
        <f>IF(ISERROR(VLOOKUP(A96,'Totalt pivot'!$A$5:$C$397,3,FALSE)),0,(VLOOKUP(A96,'Totalt pivot'!$A$5:$C$397,3,FALSE)))</f>
        <v>9.6700000000000017</v>
      </c>
      <c r="M96" s="228">
        <f t="shared" ref="M96:M98" si="185">F96*L96</f>
        <v>2.5786666666666669</v>
      </c>
      <c r="N96" s="26">
        <f>VLOOKUP(A96,kurspris!$A$1:$Q$792,15)</f>
        <v>18405</v>
      </c>
      <c r="O96" s="26">
        <f>VLOOKUP(A96,kurspris!$A$1:$Q$792,16)</f>
        <v>15773</v>
      </c>
      <c r="P96" s="26">
        <f>VLOOKUP(A96,kurspris!$A$1:$Q$792,17)</f>
        <v>5800</v>
      </c>
      <c r="Q96" s="26">
        <f t="shared" ref="Q96:Q98" si="186">K96*N96+M96*O96</f>
        <v>96869.909333333344</v>
      </c>
      <c r="R96" s="26">
        <f>(Q96*Prislapp!$R$5)*-1</f>
        <v>-6780.8936533333344</v>
      </c>
      <c r="S96" s="26">
        <f t="shared" ref="S96:S98" si="187">Q96+R96</f>
        <v>90089.015680000011</v>
      </c>
      <c r="T96" s="26">
        <f t="shared" ref="T96:T98" si="188">K96*P96</f>
        <v>17709.333333333332</v>
      </c>
      <c r="V96" t="s">
        <v>1950</v>
      </c>
    </row>
    <row r="97" spans="1:22" x14ac:dyDescent="0.25">
      <c r="A97" s="31" t="s">
        <v>1947</v>
      </c>
      <c r="B97" t="str">
        <f>VLOOKUP(A97,kurspris!$A$1:$Q$792,2,FALSE)</f>
        <v>Neuropsykiatriska svårigheter i olika lärmiljöer</v>
      </c>
      <c r="C97" s="31">
        <v>2200</v>
      </c>
      <c r="D97" t="str">
        <f>VLOOKUP(C97,Orgenheter!$A$1:$B$213,2)</f>
        <v xml:space="preserve">Inst för psykologi            </v>
      </c>
      <c r="E97" t="str">
        <f>VLOOKUP(C97,Orgenheter!$A$1:$C$165,3,FALSE)</f>
        <v>Sam</v>
      </c>
      <c r="F97" s="316">
        <f>2/7.5</f>
        <v>0.26666666666666666</v>
      </c>
      <c r="G97">
        <f>VLOOKUP(A97,'Ansvar kurs'!$A$84:$C$959,2,FALSE)</f>
        <v>2180</v>
      </c>
      <c r="H97" t="str">
        <f>VLOOKUP(G97,Orgenheter!$A$1:$B$213,2)</f>
        <v xml:space="preserve">Pedagogik                     </v>
      </c>
      <c r="I97" t="str">
        <f>VLOOKUP(G97,Orgenheter!$A$1:$C$165,3,FALSE)</f>
        <v>Sam</v>
      </c>
      <c r="J97" s="228">
        <f>IF(ISERROR(VLOOKUP(A97,'Totalt pivot'!$A$5:$C$397,2,FALSE)),0,(VLOOKUP(A97,'Totalt pivot'!$A$5:$C$397,2,FALSE)))</f>
        <v>11.45</v>
      </c>
      <c r="K97" s="228">
        <f t="shared" si="184"/>
        <v>3.0533333333333332</v>
      </c>
      <c r="L97" s="228">
        <f>IF(ISERROR(VLOOKUP(A97,'Totalt pivot'!$A$5:$C$397,3,FALSE)),0,(VLOOKUP(A97,'Totalt pivot'!$A$5:$C$397,3,FALSE)))</f>
        <v>9.6700000000000017</v>
      </c>
      <c r="M97" s="228">
        <f t="shared" si="185"/>
        <v>2.5786666666666669</v>
      </c>
      <c r="N97" s="26">
        <f>VLOOKUP(A97,kurspris!$A$1:$Q$792,15)</f>
        <v>18405</v>
      </c>
      <c r="O97" s="26">
        <f>VLOOKUP(A97,kurspris!$A$1:$Q$792,16)</f>
        <v>15773</v>
      </c>
      <c r="P97" s="26">
        <f>VLOOKUP(A97,kurspris!$A$1:$Q$792,17)</f>
        <v>5800</v>
      </c>
      <c r="Q97" s="26">
        <f t="shared" si="186"/>
        <v>96869.909333333344</v>
      </c>
      <c r="R97" s="26">
        <f>(Q97*Prislapp!$R$5)*-1</f>
        <v>-6780.8936533333344</v>
      </c>
      <c r="S97" s="26">
        <f t="shared" si="187"/>
        <v>90089.015680000011</v>
      </c>
      <c r="T97" s="26">
        <f t="shared" si="188"/>
        <v>17709.333333333332</v>
      </c>
      <c r="V97" t="s">
        <v>1950</v>
      </c>
    </row>
    <row r="98" spans="1:22" x14ac:dyDescent="0.25">
      <c r="A98" s="31" t="s">
        <v>1946</v>
      </c>
      <c r="B98" t="str">
        <f>VLOOKUP(A98,kurspris!$A$1:$Q$792,2,FALSE)</f>
        <v>Speciallärarens och specialpedagogens yrkesfunktion</v>
      </c>
      <c r="C98" s="31">
        <v>2180</v>
      </c>
      <c r="D98" t="str">
        <f>VLOOKUP(C98,Orgenheter!$A$1:$B$213,2)</f>
        <v xml:space="preserve">Pedagogik                     </v>
      </c>
      <c r="E98" t="str">
        <f>VLOOKUP(C98,Orgenheter!$A$1:$C$165,3,FALSE)</f>
        <v>Sam</v>
      </c>
      <c r="F98" s="316">
        <f>5/15</f>
        <v>0.33333333333333331</v>
      </c>
      <c r="G98">
        <f>VLOOKUP(A98,'Ansvar kurs'!$A$84:$C$959,2,FALSE)</f>
        <v>2193</v>
      </c>
      <c r="H98" t="str">
        <f>VLOOKUP(G98,Orgenheter!$A$1:$B$213,2)</f>
        <v xml:space="preserve">TUV </v>
      </c>
      <c r="I98" t="str">
        <f>VLOOKUP(G98,Orgenheter!$A$1:$C$165,3,FALSE)</f>
        <v>Sam</v>
      </c>
      <c r="J98" s="228">
        <f>IF(ISERROR(VLOOKUP(A98,'Totalt pivot'!$A$5:$C$397,2,FALSE)),0,(VLOOKUP(A98,'Totalt pivot'!$A$5:$C$397,2,FALSE)))</f>
        <v>20.574999999999999</v>
      </c>
      <c r="K98" s="228">
        <f t="shared" si="184"/>
        <v>6.8583333333333325</v>
      </c>
      <c r="L98" s="228">
        <f>IF(ISERROR(VLOOKUP(A98,'Totalt pivot'!$A$5:$C$397,3,FALSE)),0,(VLOOKUP(A98,'Totalt pivot'!$A$5:$C$397,3,FALSE)))</f>
        <v>17.48875</v>
      </c>
      <c r="M98" s="228">
        <f t="shared" si="185"/>
        <v>5.8295833333333329</v>
      </c>
      <c r="N98" s="26">
        <f>VLOOKUP(A98,kurspris!$A$1:$Q$792,15)</f>
        <v>34144.199999999997</v>
      </c>
      <c r="O98" s="26">
        <f>VLOOKUP(A98,kurspris!$A$1:$Q$792,16)</f>
        <v>33557.800000000003</v>
      </c>
      <c r="P98" s="26">
        <f>VLOOKUP(A98,kurspris!$A$1:$Q$792,17)</f>
        <v>5800</v>
      </c>
      <c r="Q98" s="26">
        <f t="shared" si="186"/>
        <v>429800.29658333329</v>
      </c>
      <c r="R98" s="26">
        <f>(Q98*Prislapp!$R$5)*-1</f>
        <v>-30086.020760833333</v>
      </c>
      <c r="S98" s="26">
        <f t="shared" si="187"/>
        <v>399714.27582249994</v>
      </c>
      <c r="T98" s="26">
        <f t="shared" si="188"/>
        <v>39778.333333333328</v>
      </c>
      <c r="V98" t="s">
        <v>1950</v>
      </c>
    </row>
    <row r="99" spans="1:22" x14ac:dyDescent="0.25">
      <c r="A99" s="31" t="s">
        <v>2100</v>
      </c>
      <c r="B99" t="str">
        <f>VLOOKUP(A99,kurspris!$A$1:$Q$792,2,FALSE)</f>
        <v>Utvärdering, ledarskap och förändringsarbete</v>
      </c>
      <c r="C99" s="31">
        <v>2200</v>
      </c>
      <c r="D99" t="str">
        <f>VLOOKUP(C99,Orgenheter!$A$1:$B$213,2)</f>
        <v xml:space="preserve">Inst för psykologi            </v>
      </c>
      <c r="E99" t="str">
        <f>VLOOKUP(C99,Orgenheter!$A$1:$C$165,3,FALSE)</f>
        <v>Sam</v>
      </c>
      <c r="F99" s="316">
        <v>0.5</v>
      </c>
      <c r="G99">
        <f>VLOOKUP(A99,'Ansvar kurs'!$A$84:$C$959,2,FALSE)</f>
        <v>2180</v>
      </c>
      <c r="H99" t="str">
        <f>VLOOKUP(G99,Orgenheter!$A$1:$B$213,2)</f>
        <v xml:space="preserve">Pedagogik                     </v>
      </c>
      <c r="I99" t="str">
        <f>VLOOKUP(G99,Orgenheter!$A$1:$C$165,3,FALSE)</f>
        <v>Sam</v>
      </c>
      <c r="J99" s="228">
        <f>IF(ISERROR(VLOOKUP(A99,'Totalt pivot'!$A$5:$C$397,2,FALSE)),0,(VLOOKUP(A99,'Totalt pivot'!$A$5:$C$397,2,FALSE)))</f>
        <v>15</v>
      </c>
      <c r="K99" s="228">
        <f>F99*J99</f>
        <v>7.5</v>
      </c>
      <c r="L99" s="228">
        <f>IF(ISERROR(VLOOKUP(A99,'Totalt pivot'!$A$5:$C$397,3,FALSE)),0,(VLOOKUP(A99,'Totalt pivot'!$A$5:$C$397,3,FALSE)))</f>
        <v>12.731249999999999</v>
      </c>
      <c r="M99" s="228">
        <f>F99*L99</f>
        <v>6.3656249999999996</v>
      </c>
      <c r="N99" s="26">
        <f>VLOOKUP(A99,kurspris!$A$1:$Q$792,15)</f>
        <v>18405</v>
      </c>
      <c r="O99" s="26">
        <f>VLOOKUP(A99,kurspris!$A$1:$Q$792,16)</f>
        <v>15773</v>
      </c>
      <c r="P99" s="26">
        <f>VLOOKUP(A99,kurspris!$A$1:$Q$792,17)</f>
        <v>5800</v>
      </c>
      <c r="Q99" s="26">
        <f>K99*N99+M99*O99</f>
        <v>238442.50312499999</v>
      </c>
      <c r="R99" s="26">
        <f>(Q99*Prislapp!$R$5)*-1</f>
        <v>-16690.975218750002</v>
      </c>
      <c r="S99" s="26">
        <f>Q99+R99</f>
        <v>221751.52790624998</v>
      </c>
      <c r="T99" s="26">
        <f>K99*P99</f>
        <v>43500</v>
      </c>
    </row>
    <row r="100" spans="1:22" x14ac:dyDescent="0.25">
      <c r="A100" s="31" t="s">
        <v>516</v>
      </c>
      <c r="B100" t="str">
        <f>VLOOKUP(A100,kurspris!$A$1:$Q$792,2,FALSE)</f>
        <v>Svenska I för ämneslärare</v>
      </c>
      <c r="C100" s="31">
        <v>1640</v>
      </c>
      <c r="D100" t="str">
        <f>VLOOKUP(C100,Orgenheter!$A$1:$B$213,2)</f>
        <v>Inst för kultur- o medievetenskap</v>
      </c>
      <c r="E100" t="str">
        <f>VLOOKUP(C100,Orgenheter!$A$1:$C$165,3,FALSE)</f>
        <v>Hum</v>
      </c>
      <c r="F100" s="315">
        <v>0.5</v>
      </c>
      <c r="G100">
        <f>VLOOKUP(A100,'Ansvar kurs'!$A$84:$C$959,2,FALSE)</f>
        <v>1620</v>
      </c>
      <c r="H100" t="str">
        <f>VLOOKUP(G100,Orgenheter!$A$1:$B$213,2)</f>
        <v>Inst för språkstudier</v>
      </c>
      <c r="I100" t="str">
        <f>VLOOKUP(G100,Orgenheter!$A$1:$C$165,3,FALSE)</f>
        <v>Hum</v>
      </c>
      <c r="J100" s="228">
        <f>IF(ISERROR(VLOOKUP(A100,'Totalt pivot'!$A$5:$C$397,2,FALSE)),0,(VLOOKUP(A100,'Totalt pivot'!$A$5:$C$397,2,FALSE)))</f>
        <v>13.5</v>
      </c>
      <c r="K100" s="228">
        <f t="shared" si="53"/>
        <v>6.75</v>
      </c>
      <c r="L100" s="228">
        <f>IF(ISERROR(VLOOKUP(A100,'Totalt pivot'!$A$5:$C$397,3,FALSE)),0,(VLOOKUP(A100,'Totalt pivot'!$A$5:$C$397,3,FALSE)))</f>
        <v>11.475</v>
      </c>
      <c r="M100" s="228">
        <f t="shared" si="49"/>
        <v>5.7374999999999998</v>
      </c>
      <c r="N100" s="26">
        <f>VLOOKUP(A100,kurspris!$A$1:$Q$792,15)</f>
        <v>18405</v>
      </c>
      <c r="O100" s="26">
        <f>VLOOKUP(A100,kurspris!$A$1:$Q$792,16)</f>
        <v>15773</v>
      </c>
      <c r="P100" s="26">
        <f>VLOOKUP(A100,kurspris!$A$1:$Q$792,17)</f>
        <v>5800</v>
      </c>
      <c r="Q100" s="26">
        <f t="shared" si="50"/>
        <v>214731.33749999999</v>
      </c>
      <c r="R100" s="26">
        <f>(Q100*Prislapp!$R$5)*-1</f>
        <v>-15031.193625000002</v>
      </c>
      <c r="S100" s="26">
        <f t="shared" si="51"/>
        <v>199700.14387499998</v>
      </c>
      <c r="T100" s="26">
        <f t="shared" si="52"/>
        <v>39150</v>
      </c>
    </row>
    <row r="101" spans="1:22" x14ac:dyDescent="0.25">
      <c r="A101" s="31" t="s">
        <v>521</v>
      </c>
      <c r="B101" t="str">
        <f>VLOOKUP(A101,kurspris!$A$1:$Q$792,2,FALSE)</f>
        <v>Svenska II för ämneslärare</v>
      </c>
      <c r="C101" s="31">
        <v>1640</v>
      </c>
      <c r="D101" t="str">
        <f>VLOOKUP(C101,Orgenheter!$A$1:$B$213,2)</f>
        <v>Inst för kultur- o medievetenskap</v>
      </c>
      <c r="E101" t="str">
        <f>VLOOKUP(C101,Orgenheter!$A$1:$C$165,3,FALSE)</f>
        <v>Hum</v>
      </c>
      <c r="F101" s="315">
        <v>0.5</v>
      </c>
      <c r="G101">
        <f>VLOOKUP(A101,'Ansvar kurs'!$A$84:$C$959,2,FALSE)</f>
        <v>1620</v>
      </c>
      <c r="H101" t="str">
        <f>VLOOKUP(G101,Orgenheter!$A$1:$B$213,2)</f>
        <v>Inst för språkstudier</v>
      </c>
      <c r="I101" t="str">
        <f>VLOOKUP(G101,Orgenheter!$A$1:$C$165,3,FALSE)</f>
        <v>Hum</v>
      </c>
      <c r="J101" s="228">
        <f>IF(ISERROR(VLOOKUP(A101,'Totalt pivot'!$A$5:$C$397,2,FALSE)),0,(VLOOKUP(A101,'Totalt pivot'!$A$5:$C$397,2,FALSE)))</f>
        <v>13</v>
      </c>
      <c r="K101" s="228">
        <f t="shared" si="53"/>
        <v>6.5</v>
      </c>
      <c r="L101" s="228">
        <f>IF(ISERROR(VLOOKUP(A101,'Totalt pivot'!$A$5:$C$397,3,FALSE)),0,(VLOOKUP(A101,'Totalt pivot'!$A$5:$C$397,3,FALSE)))</f>
        <v>11.05</v>
      </c>
      <c r="M101" s="228">
        <f t="shared" si="49"/>
        <v>5.5250000000000004</v>
      </c>
      <c r="N101" s="26">
        <f>VLOOKUP(A101,kurspris!$A$1:$Q$792,15)</f>
        <v>18405</v>
      </c>
      <c r="O101" s="26">
        <f>VLOOKUP(A101,kurspris!$A$1:$Q$792,16)</f>
        <v>15773</v>
      </c>
      <c r="P101" s="26">
        <f>VLOOKUP(A101,kurspris!$A$1:$Q$792,17)</f>
        <v>5800</v>
      </c>
      <c r="Q101" s="26">
        <f t="shared" si="50"/>
        <v>206778.32500000001</v>
      </c>
      <c r="R101" s="26">
        <f>(Q101*Prislapp!$R$5)*-1</f>
        <v>-14474.482750000003</v>
      </c>
      <c r="S101" s="26">
        <f t="shared" si="51"/>
        <v>192303.84225000002</v>
      </c>
      <c r="T101" s="26">
        <f t="shared" si="52"/>
        <v>37700</v>
      </c>
    </row>
    <row r="102" spans="1:22" x14ac:dyDescent="0.25">
      <c r="A102" s="31" t="s">
        <v>606</v>
      </c>
      <c r="B102" t="str">
        <f>VLOOKUP(A102,kurspris!$A$1:$Q$792,2,FALSE)</f>
        <v>Svenska III för ämneslärare</v>
      </c>
      <c r="C102" s="31">
        <v>1640</v>
      </c>
      <c r="D102" t="str">
        <f>VLOOKUP(C102,Orgenheter!$A$1:$B$213,2)</f>
        <v>Inst för kultur- o medievetenskap</v>
      </c>
      <c r="E102" t="str">
        <f>VLOOKUP(C102,Orgenheter!$A$1:$C$165,3,FALSE)</f>
        <v>Hum</v>
      </c>
      <c r="F102" s="315">
        <v>0.5</v>
      </c>
      <c r="G102">
        <f>VLOOKUP(A102,'Ansvar kurs'!$A$84:$C$959,2,FALSE)</f>
        <v>1620</v>
      </c>
      <c r="H102" t="str">
        <f>VLOOKUP(G102,Orgenheter!$A$1:$B$213,2)</f>
        <v>Inst för språkstudier</v>
      </c>
      <c r="I102" t="str">
        <f>VLOOKUP(G102,Orgenheter!$A$1:$C$165,3,FALSE)</f>
        <v>Hum</v>
      </c>
      <c r="J102" s="228">
        <f>IF(ISERROR(VLOOKUP(A102,'Totalt pivot'!$A$5:$C$397,2,FALSE)),0,(VLOOKUP(A102,'Totalt pivot'!$A$5:$C$397,2,FALSE)))</f>
        <v>7</v>
      </c>
      <c r="K102" s="228">
        <f t="shared" si="53"/>
        <v>3.5</v>
      </c>
      <c r="L102" s="228">
        <f>IF(ISERROR(VLOOKUP(A102,'Totalt pivot'!$A$5:$C$397,3,FALSE)),0,(VLOOKUP(A102,'Totalt pivot'!$A$5:$C$397,3,FALSE)))</f>
        <v>5.95</v>
      </c>
      <c r="M102" s="228">
        <f t="shared" si="49"/>
        <v>2.9750000000000001</v>
      </c>
      <c r="N102" s="26">
        <f>VLOOKUP(A102,kurspris!$A$1:$Q$792,15)</f>
        <v>18405</v>
      </c>
      <c r="O102" s="26">
        <f>VLOOKUP(A102,kurspris!$A$1:$Q$792,16)</f>
        <v>15773</v>
      </c>
      <c r="P102" s="26">
        <f>VLOOKUP(A102,kurspris!$A$1:$Q$792,17)</f>
        <v>5800</v>
      </c>
      <c r="Q102" s="26">
        <f t="shared" si="50"/>
        <v>111342.175</v>
      </c>
      <c r="R102" s="26">
        <f>(Q102*Prislapp!$R$5)*-1</f>
        <v>-7793.9522500000012</v>
      </c>
      <c r="S102" s="26">
        <f t="shared" si="51"/>
        <v>103548.22275</v>
      </c>
      <c r="T102" s="26">
        <f t="shared" si="52"/>
        <v>20300</v>
      </c>
    </row>
    <row r="103" spans="1:22" x14ac:dyDescent="0.25">
      <c r="A103" s="31" t="s">
        <v>944</v>
      </c>
      <c r="B103" t="str">
        <f>VLOOKUP(A103,kurspris!$A$1:$Q$792,2,FALSE)</f>
        <v>Samhällsvetenskap</v>
      </c>
      <c r="C103" s="31">
        <v>2340</v>
      </c>
      <c r="D103" t="str">
        <f>VLOOKUP(C103,Orgenheter!$A$1:$B$213,2)</f>
        <v xml:space="preserve">Statsvetenskap                </v>
      </c>
      <c r="E103" t="str">
        <f>VLOOKUP(C103,Orgenheter!$A$1:$C$165,3,FALSE)</f>
        <v>Sam</v>
      </c>
      <c r="F103" s="315">
        <f>7/10</f>
        <v>0.7</v>
      </c>
      <c r="G103">
        <f>VLOOKUP(A103,'Ansvar kurs'!$A$84:$C$959,2,FALSE)</f>
        <v>2193</v>
      </c>
      <c r="H103" t="str">
        <f>VLOOKUP(G103,Orgenheter!$A$1:$B$213,2)</f>
        <v xml:space="preserve">TUV </v>
      </c>
      <c r="I103" t="str">
        <f>VLOOKUP(G103,Orgenheter!$A$1:$C$165,3,FALSE)</f>
        <v>Sam</v>
      </c>
      <c r="J103" s="228">
        <f>IF(ISERROR(VLOOKUP(A103,'Totalt pivot'!$A$5:$C$397,2,FALSE)),0,(VLOOKUP(A103,'Totalt pivot'!$A$5:$C$397,2,FALSE)))</f>
        <v>5.0599999999999996</v>
      </c>
      <c r="K103" s="228">
        <f t="shared" ref="K103:K105" si="189">F103*J103</f>
        <v>3.5419999999999994</v>
      </c>
      <c r="L103" s="228">
        <f>IF(ISERROR(VLOOKUP(A103,'Totalt pivot'!$A$5:$C$397,3,FALSE)),0,(VLOOKUP(A103,'Totalt pivot'!$A$5:$C$397,3,FALSE)))</f>
        <v>4.3009999999999993</v>
      </c>
      <c r="M103" s="228">
        <f t="shared" si="49"/>
        <v>3.0106999999999995</v>
      </c>
      <c r="N103" s="26">
        <f>VLOOKUP(A103,kurspris!$A$1:$Q$792,15)</f>
        <v>18405</v>
      </c>
      <c r="O103" s="26">
        <f>VLOOKUP(A103,kurspris!$A$1:$Q$792,16)</f>
        <v>15773</v>
      </c>
      <c r="P103" s="26">
        <f>VLOOKUP(A103,kurspris!$A$1:$Q$792,17)</f>
        <v>5800</v>
      </c>
      <c r="Q103" s="26">
        <f t="shared" si="50"/>
        <v>112678.28109999998</v>
      </c>
      <c r="R103" s="26">
        <f>(Q103*Prislapp!$R$5)*-1</f>
        <v>-7887.4796769999994</v>
      </c>
      <c r="S103" s="26">
        <f t="shared" si="51"/>
        <v>104790.80142299998</v>
      </c>
      <c r="T103" s="26">
        <f t="shared" si="52"/>
        <v>20543.599999999995</v>
      </c>
    </row>
    <row r="104" spans="1:22" x14ac:dyDescent="0.25">
      <c r="A104" s="31" t="s">
        <v>944</v>
      </c>
      <c r="B104" t="str">
        <f>VLOOKUP(A104,kurspris!$A$1:$Q$792,2,FALSE)</f>
        <v>Samhällsvetenskap</v>
      </c>
      <c r="C104" s="31">
        <v>2180</v>
      </c>
      <c r="D104" t="str">
        <f>VLOOKUP(C104,Orgenheter!$A$1:$B$213,2)</f>
        <v xml:space="preserve">Pedagogik                     </v>
      </c>
      <c r="E104" t="str">
        <f>VLOOKUP(C104,Orgenheter!$A$1:$C$165,3,FALSE)</f>
        <v>Sam</v>
      </c>
      <c r="F104" s="315">
        <f>3/10</f>
        <v>0.3</v>
      </c>
      <c r="G104">
        <f>VLOOKUP(A104,'Ansvar kurs'!$A$84:$C$959,2,FALSE)</f>
        <v>2193</v>
      </c>
      <c r="H104" t="str">
        <f>VLOOKUP(G104,Orgenheter!$A$1:$B$213,2)</f>
        <v xml:space="preserve">TUV </v>
      </c>
      <c r="I104" t="str">
        <f>VLOOKUP(G104,Orgenheter!$A$1:$C$165,3,FALSE)</f>
        <v>Sam</v>
      </c>
      <c r="J104" s="228">
        <f>IF(ISERROR(VLOOKUP(A104,'Totalt pivot'!$A$5:$C$397,2,FALSE)),0,(VLOOKUP(A104,'Totalt pivot'!$A$5:$C$397,2,FALSE)))</f>
        <v>5.0599999999999996</v>
      </c>
      <c r="K104" s="228">
        <f t="shared" si="189"/>
        <v>1.5179999999999998</v>
      </c>
      <c r="L104" s="228">
        <f>IF(ISERROR(VLOOKUP(A104,'Totalt pivot'!$A$5:$C$397,3,FALSE)),0,(VLOOKUP(A104,'Totalt pivot'!$A$5:$C$397,3,FALSE)))</f>
        <v>4.3009999999999993</v>
      </c>
      <c r="M104" s="228">
        <f t="shared" si="49"/>
        <v>1.2902999999999998</v>
      </c>
      <c r="N104" s="26">
        <f>VLOOKUP(A104,kurspris!$A$1:$Q$792,15)</f>
        <v>18405</v>
      </c>
      <c r="O104" s="26">
        <f>VLOOKUP(A104,kurspris!$A$1:$Q$792,16)</f>
        <v>15773</v>
      </c>
      <c r="P104" s="26">
        <f>VLOOKUP(A104,kurspris!$A$1:$Q$792,17)</f>
        <v>5800</v>
      </c>
      <c r="Q104" s="26">
        <f t="shared" si="50"/>
        <v>48290.691899999991</v>
      </c>
      <c r="R104" s="26">
        <f>(Q104*Prislapp!$R$5)*-1</f>
        <v>-3380.3484329999997</v>
      </c>
      <c r="S104" s="26">
        <f t="shared" si="51"/>
        <v>44910.343466999992</v>
      </c>
      <c r="T104" s="26">
        <f t="shared" si="52"/>
        <v>8804.4</v>
      </c>
    </row>
    <row r="105" spans="1:22" x14ac:dyDescent="0.25">
      <c r="A105" s="31" t="s">
        <v>1620</v>
      </c>
      <c r="B105" t="str">
        <f>VLOOKUP(A105,kurspris!$A$1:$Q$792,2,FALSE)</f>
        <v>Beteendevetenskapliga grunder</v>
      </c>
      <c r="C105" s="31">
        <v>2180</v>
      </c>
      <c r="D105" t="str">
        <f>VLOOKUP(C105,Orgenheter!$A$1:$B$213,2)</f>
        <v xml:space="preserve">Pedagogik                     </v>
      </c>
      <c r="E105" t="str">
        <f>VLOOKUP(C105,Orgenheter!$A$1:$C$165,3,FALSE)</f>
        <v>Sam</v>
      </c>
      <c r="F105" s="315">
        <f>4.5/7.5</f>
        <v>0.6</v>
      </c>
      <c r="G105">
        <f>VLOOKUP(A105,'Ansvar kurs'!$A$84:$C$959,2,FALSE)</f>
        <v>2193</v>
      </c>
      <c r="H105" t="str">
        <f>VLOOKUP(G105,Orgenheter!$A$1:$B$213,2)</f>
        <v xml:space="preserve">TUV </v>
      </c>
      <c r="I105" t="str">
        <f>VLOOKUP(G105,Orgenheter!$A$1:$C$165,3,FALSE)</f>
        <v>Sam</v>
      </c>
      <c r="J105" s="228">
        <f>IF(ISERROR(VLOOKUP(A105,'Totalt pivot'!$A$5:$C$397,2,FALSE)),0,(VLOOKUP(A105,'Totalt pivot'!$A$5:$C$397,2,FALSE)))</f>
        <v>7.3687500000000004</v>
      </c>
      <c r="K105" s="228">
        <f t="shared" si="189"/>
        <v>4.4212499999999997</v>
      </c>
      <c r="L105" s="228">
        <f>IF(ISERROR(VLOOKUP(A105,'Totalt pivot'!$A$5:$C$397,3,FALSE)),0,(VLOOKUP(A105,'Totalt pivot'!$A$5:$C$397,3,FALSE)))</f>
        <v>6.2634375000000002</v>
      </c>
      <c r="M105" s="228">
        <f t="shared" ref="M105" si="190">F105*L105</f>
        <v>3.7580624999999999</v>
      </c>
      <c r="N105" s="26">
        <f>VLOOKUP(A105,kurspris!$A$1:$Q$792,15)</f>
        <v>18405</v>
      </c>
      <c r="O105" s="26">
        <f>VLOOKUP(A105,kurspris!$A$1:$Q$792,16)</f>
        <v>15773</v>
      </c>
      <c r="P105" s="26">
        <f>VLOOKUP(A105,kurspris!$A$1:$Q$792,17)</f>
        <v>5800</v>
      </c>
      <c r="Q105" s="26">
        <f t="shared" ref="Q105" si="191">K105*N105+M105*O105</f>
        <v>140649.02606249999</v>
      </c>
      <c r="R105" s="26">
        <f>(Q105*Prislapp!$R$5)*-1</f>
        <v>-9845.4318243750004</v>
      </c>
      <c r="S105" s="26">
        <f t="shared" ref="S105" si="192">Q105+R105</f>
        <v>130803.59423812499</v>
      </c>
      <c r="T105" s="26">
        <f t="shared" ref="T105" si="193">K105*P105</f>
        <v>25643.249999999996</v>
      </c>
    </row>
  </sheetData>
  <sheetProtection sheet="1" objects="1" scenarios="1"/>
  <autoFilter ref="A1:T105"/>
  <sortState ref="A2:T88">
    <sortCondition ref="A2:A88"/>
  </sortState>
  <phoneticPr fontId="41" type="noConversion"/>
  <pageMargins left="0.70866141732283472" right="0.70866141732283472" top="0.74803149606299213" bottom="0.74803149606299213" header="0.31496062992125984" footer="0.31496062992125984"/>
  <pageSetup paperSize="9" scale="51"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0">
    <tabColor indexed="17"/>
    <pageSetUpPr fitToPage="1"/>
  </sheetPr>
  <dimension ref="A1:AL89"/>
  <sheetViews>
    <sheetView workbookViewId="0"/>
  </sheetViews>
  <sheetFormatPr defaultColWidth="8.85546875" defaultRowHeight="15" x14ac:dyDescent="0.25"/>
  <cols>
    <col min="3" max="3" width="32.85546875" customWidth="1"/>
    <col min="4" max="4" width="14" customWidth="1"/>
    <col min="5" max="5" width="15.140625" customWidth="1"/>
    <col min="6" max="6" width="9.5703125" style="15" customWidth="1"/>
    <col min="7" max="7" width="6.5703125" style="15" customWidth="1"/>
    <col min="8" max="8" width="13.5703125" customWidth="1"/>
    <col min="9" max="11" width="10.42578125" customWidth="1"/>
    <col min="12" max="12" width="14.5703125" customWidth="1"/>
    <col min="13" max="13" width="12" customWidth="1"/>
    <col min="14" max="15" width="10.42578125" style="26" customWidth="1"/>
    <col min="16" max="17" width="14.42578125" customWidth="1"/>
    <col min="18" max="18" width="11.140625" customWidth="1"/>
    <col min="19" max="19" width="9.42578125" customWidth="1"/>
    <col min="20" max="20" width="9.5703125" customWidth="1"/>
    <col min="21" max="21" width="14.42578125" customWidth="1"/>
    <col min="22" max="22" width="13.42578125" customWidth="1"/>
    <col min="23" max="23" width="2" customWidth="1"/>
    <col min="24" max="32" width="8.85546875" customWidth="1"/>
    <col min="34" max="34" width="12.42578125" customWidth="1"/>
    <col min="35" max="35" width="22.28515625" customWidth="1"/>
    <col min="36" max="36" width="24" customWidth="1"/>
    <col min="37" max="37" width="11.5703125" customWidth="1"/>
    <col min="38" max="38" width="11.85546875" customWidth="1"/>
    <col min="39" max="39" width="5.85546875" customWidth="1"/>
    <col min="40" max="40" width="20.42578125" customWidth="1"/>
  </cols>
  <sheetData>
    <row r="1" spans="1:38" ht="18.75" x14ac:dyDescent="0.3">
      <c r="A1" s="76"/>
      <c r="B1" s="77"/>
      <c r="C1" s="77"/>
      <c r="D1" s="77"/>
      <c r="E1" s="78"/>
      <c r="F1" s="113"/>
      <c r="G1" s="113"/>
      <c r="H1" s="78"/>
      <c r="I1" s="78"/>
      <c r="J1" s="78"/>
      <c r="K1" s="78"/>
      <c r="L1" s="78"/>
      <c r="M1" s="78"/>
      <c r="N1" s="119"/>
      <c r="O1" s="119"/>
      <c r="P1" s="78"/>
      <c r="Q1" s="78"/>
      <c r="R1" s="78"/>
      <c r="S1" s="79"/>
      <c r="AG1">
        <v>1</v>
      </c>
      <c r="AH1" s="382"/>
      <c r="AI1" s="383" t="s">
        <v>4</v>
      </c>
      <c r="AJ1" s="384"/>
      <c r="AK1" s="384"/>
      <c r="AL1" s="385"/>
    </row>
    <row r="2" spans="1:38" ht="15.75" thickBot="1" x14ac:dyDescent="0.3">
      <c r="A2" s="74"/>
      <c r="B2" s="18"/>
      <c r="C2" s="18"/>
      <c r="D2" s="105" t="s">
        <v>406</v>
      </c>
      <c r="E2" s="106"/>
      <c r="F2" s="114"/>
      <c r="G2" s="115"/>
      <c r="H2" s="67" t="s">
        <v>408</v>
      </c>
      <c r="I2" s="69"/>
      <c r="J2" s="106"/>
      <c r="K2" s="106"/>
      <c r="L2" s="138" t="s">
        <v>409</v>
      </c>
      <c r="M2" s="139"/>
      <c r="N2" s="140"/>
      <c r="O2" s="141"/>
      <c r="P2" s="18"/>
      <c r="Q2" s="18"/>
      <c r="R2" s="18"/>
      <c r="S2" s="75"/>
      <c r="AG2">
        <v>2</v>
      </c>
      <c r="AH2" s="383" t="s">
        <v>60</v>
      </c>
      <c r="AI2" s="382" t="s">
        <v>447</v>
      </c>
      <c r="AJ2" s="386" t="s">
        <v>448</v>
      </c>
      <c r="AK2" s="386" t="s">
        <v>445</v>
      </c>
      <c r="AL2" s="387" t="s">
        <v>446</v>
      </c>
    </row>
    <row r="3" spans="1:38" ht="29.25" x14ac:dyDescent="0.25">
      <c r="A3" s="122" t="s">
        <v>71</v>
      </c>
      <c r="B3" s="123" t="s">
        <v>564</v>
      </c>
      <c r="C3" s="123" t="s">
        <v>35</v>
      </c>
      <c r="D3" s="124" t="s">
        <v>404</v>
      </c>
      <c r="E3" s="123" t="s">
        <v>415</v>
      </c>
      <c r="F3" s="125" t="s">
        <v>61</v>
      </c>
      <c r="G3" s="126" t="s">
        <v>62</v>
      </c>
      <c r="H3" s="124" t="s">
        <v>404</v>
      </c>
      <c r="I3" s="123" t="s">
        <v>415</v>
      </c>
      <c r="J3" s="125" t="s">
        <v>61</v>
      </c>
      <c r="K3" s="126" t="s">
        <v>62</v>
      </c>
      <c r="L3" s="124" t="s">
        <v>404</v>
      </c>
      <c r="M3" s="123" t="s">
        <v>415</v>
      </c>
      <c r="N3" s="127" t="s">
        <v>61</v>
      </c>
      <c r="O3" s="149" t="s">
        <v>62</v>
      </c>
      <c r="P3" s="71" t="s">
        <v>453</v>
      </c>
      <c r="Q3" s="71" t="s">
        <v>452</v>
      </c>
      <c r="R3" s="123" t="s">
        <v>61</v>
      </c>
      <c r="S3" s="72" t="s">
        <v>62</v>
      </c>
      <c r="T3" s="1"/>
      <c r="X3" s="1"/>
      <c r="Y3" s="1"/>
      <c r="Z3" s="1"/>
      <c r="AA3" s="1"/>
      <c r="AB3" s="1"/>
      <c r="AC3" s="1"/>
      <c r="AD3" s="1"/>
      <c r="AE3" s="1"/>
      <c r="AG3">
        <v>3</v>
      </c>
      <c r="AH3" s="382">
        <v>1620</v>
      </c>
      <c r="AI3" s="398">
        <v>1709921.6666666665</v>
      </c>
      <c r="AJ3" s="399">
        <v>9743841.2804166749</v>
      </c>
      <c r="AK3" s="400">
        <v>299.86666666666667</v>
      </c>
      <c r="AL3" s="390">
        <v>252.62208333333362</v>
      </c>
    </row>
    <row r="4" spans="1:38" x14ac:dyDescent="0.25">
      <c r="A4" s="80" t="s">
        <v>410</v>
      </c>
      <c r="B4" s="64">
        <v>1620</v>
      </c>
      <c r="C4" s="81" t="str">
        <f>VLOOKUP(B4,Orgenheter!$A$3:$C$165,2,FALSE)</f>
        <v>Inst för språkstudier</v>
      </c>
      <c r="D4" s="322">
        <f>IF(ISERROR(VLOOKUP(B4,$AH$3:$AJ$20,2,FALSE)),"",VLOOKUP(B4,$AH$3:$AJ$20,2,FALSE))</f>
        <v>1709921.6666666665</v>
      </c>
      <c r="E4" s="70">
        <f>IF(ISERROR(VLOOKUP(B4,$AH$3:$AJ$20,3,FALSE)),"",VLOOKUP(B4,$AH$3:$AJ$20,3,FALSE))</f>
        <v>9743841.2804166749</v>
      </c>
      <c r="F4" s="49">
        <f>IF(ISERROR(VLOOKUP(B4,$AH$3:$AM$20,4,FALSE)),"",VLOOKUP(B4,$AH$3:$AM$20,4,FALSE))</f>
        <v>299.86666666666667</v>
      </c>
      <c r="G4" s="49">
        <f>IF(ISERROR(VLOOKUP(B4,$AH$3:$AM$20,5,FALSE)),"",VLOOKUP(B4,$AH$3:$AM$20,5,FALSE))</f>
        <v>252.62208333333362</v>
      </c>
      <c r="H4" s="322">
        <f>IF(ISERROR(VLOOKUP(B4,$AH$28:$AJ$47,2,FALSE)),"",VLOOKUP(B4,$AH$28:$AJ$47,2,FALSE))</f>
        <v>145106.5</v>
      </c>
      <c r="I4" s="70">
        <f>IF(ISERROR(VLOOKUP(B4,$AH$28:$AJ$47,3,FALSE)),"",VLOOKUP(B4,$AH$28:$AJ$47,3,FALSE))</f>
        <v>960318.86118000001</v>
      </c>
      <c r="J4" s="49">
        <f>IF(ISERROR(VLOOKUP(B4,$AH$28:$AM$47,4,FALSE)),"",VLOOKUP(B4,$AH$28:$AM$47,4,FALSE))</f>
        <v>22.872499999999999</v>
      </c>
      <c r="K4" s="49">
        <f>IF(ISERROR(VLOOKUP(B4,$AH$28:$AM$47,5,FALSE)),"",VLOOKUP(B4,$AH$28:$AM$47,5,FALSE))</f>
        <v>19.441624999999998</v>
      </c>
      <c r="L4" s="322">
        <f>IF(ISERROR(VLOOKUP(B4,$AH$53:$AJ$64,2,FALSE)),"",VLOOKUP(B4,$AH$53:$AJ$64,2,FALSE)*-1)</f>
        <v>-178495</v>
      </c>
      <c r="M4" s="70">
        <f>IF(ISERROR(VLOOKUP(B4,$AH$53:$AJ$64,3,FALSE)),"",VLOOKUP(B4,$AH$53:$AJ$64,3,FALSE)*-1)</f>
        <v>-957095.46513749997</v>
      </c>
      <c r="N4" s="120">
        <f>IF(ISERROR(VLOOKUP(B4,$AH$53:$AM$64,4,FALSE)),"",VLOOKUP(B4,$AH$53:$AM$64,4,FALSE)*-1)</f>
        <v>-31.575000000000003</v>
      </c>
      <c r="O4" s="150">
        <f>IF(ISERROR(VLOOKUP(B4,$AH$53:$AM$64,5,FALSE)),"",VLOOKUP(B4,$AH$53:$AM$64,5,FALSE)*-1)</f>
        <v>-26.838750000000005</v>
      </c>
      <c r="P4" s="70">
        <f t="shared" ref="P4:S7" si="0">SUM(D4,H4,L4)</f>
        <v>1676533.1666666665</v>
      </c>
      <c r="Q4" s="70">
        <f t="shared" si="0"/>
        <v>9747064.6764591746</v>
      </c>
      <c r="R4" s="49">
        <f t="shared" si="0"/>
        <v>291.16416666666669</v>
      </c>
      <c r="S4" s="128">
        <f t="shared" si="0"/>
        <v>245.22495833333363</v>
      </c>
      <c r="T4" s="34"/>
      <c r="U4" t="s">
        <v>467</v>
      </c>
      <c r="V4" t="s">
        <v>468</v>
      </c>
      <c r="AG4">
        <v>4</v>
      </c>
      <c r="AH4" s="391">
        <v>1630</v>
      </c>
      <c r="AI4" s="401">
        <v>1087299.4166666667</v>
      </c>
      <c r="AJ4" s="34">
        <v>7941680.4832083378</v>
      </c>
      <c r="AK4" s="15">
        <v>190.46541666666667</v>
      </c>
      <c r="AL4" s="393">
        <v>161.89560416666674</v>
      </c>
    </row>
    <row r="5" spans="1:38" x14ac:dyDescent="0.25">
      <c r="A5" s="74"/>
      <c r="B5" s="18">
        <v>1630</v>
      </c>
      <c r="C5" s="81" t="str">
        <f>VLOOKUP(B5,Orgenheter!$A$3:$C$165,2,FALSE)</f>
        <v>Inst för ide- o samhällsstudier</v>
      </c>
      <c r="D5" s="322">
        <f>IF(ISERROR(VLOOKUP(B5,$AH$3:$AJ$20,2,FALSE)),"",VLOOKUP(B5,$AH$3:$AJ$20,2,FALSE))</f>
        <v>1087299.4166666667</v>
      </c>
      <c r="E5" s="70">
        <f>IF(ISERROR(VLOOKUP(B5,$AH$3:$AJ$20,3,FALSE)),"",VLOOKUP(B5,$AH$3:$AJ$20,3,FALSE))</f>
        <v>7941680.4832083378</v>
      </c>
      <c r="F5" s="49">
        <f>IF(ISERROR(VLOOKUP(B5,$AH$3:$AM$20,4,FALSE)),"",VLOOKUP(B5,$AH$3:$AM$20,4,FALSE))</f>
        <v>190.46541666666667</v>
      </c>
      <c r="G5" s="49">
        <f>IF(ISERROR(VLOOKUP(B5,$AH$3:$AM$20,5,FALSE)),"",VLOOKUP(B5,$AH$3:$AM$20,5,FALSE))</f>
        <v>161.89560416666674</v>
      </c>
      <c r="H5" s="322" t="str">
        <f>IF(ISERROR(VLOOKUP(B5,$AH$28:$AJ$47,2,FALSE)),"",VLOOKUP(B5,$AH$28:$AJ$47,2,FALSE))</f>
        <v/>
      </c>
      <c r="I5" s="70" t="str">
        <f>IF(ISERROR(VLOOKUP(B5,$AH$28:$AJ$47,3,FALSE)),"",VLOOKUP(B5,$AH$28:$AJ$47,3,FALSE))</f>
        <v/>
      </c>
      <c r="J5" s="49" t="str">
        <f>IF(ISERROR(VLOOKUP(B5,$AH$28:$AM$47,4,FALSE)),"",VLOOKUP(B5,$AH$28:$AM$47,4,FALSE))</f>
        <v/>
      </c>
      <c r="K5" s="49" t="str">
        <f>IF(ISERROR(VLOOKUP(B5,$AH$28:$AM$47,5,FALSE)),"",VLOOKUP(B5,$AH$28:$AM$47,5,FALSE))</f>
        <v/>
      </c>
      <c r="L5" s="322">
        <f>IF(ISERROR(VLOOKUP(B5,$AH$53:$AJ$64,2,FALSE)),"",VLOOKUP(B5,$AH$53:$AJ$64,2,FALSE)*-1)</f>
        <v>-292682.01666666672</v>
      </c>
      <c r="M5" s="70">
        <f>IF(ISERROR(VLOOKUP(B5,$AH$53:$AJ$64,3,FALSE)),"",VLOOKUP(B5,$AH$53:$AJ$64,3,FALSE)*-1)</f>
        <v>-2141564.3816822497</v>
      </c>
      <c r="N5" s="120">
        <f>IF(ISERROR(VLOOKUP(B5,$AH$53:$AM$64,4,FALSE)),"",VLOOKUP(B5,$AH$53:$AM$64,4,FALSE)*-1)</f>
        <v>-50.46241666666667</v>
      </c>
      <c r="O5" s="150">
        <f>IF(ISERROR(VLOOKUP(B5,$AH$53:$AM$64,5,FALSE)),"",VLOOKUP(B5,$AH$53:$AM$64,5,FALSE)*-1)</f>
        <v>-42.893054166666658</v>
      </c>
      <c r="P5" s="70">
        <f t="shared" si="0"/>
        <v>794617.4</v>
      </c>
      <c r="Q5" s="70">
        <f t="shared" si="0"/>
        <v>5800116.1015260881</v>
      </c>
      <c r="R5" s="49">
        <f t="shared" si="0"/>
        <v>140.00299999999999</v>
      </c>
      <c r="S5" s="128">
        <f t="shared" si="0"/>
        <v>119.00255000000008</v>
      </c>
      <c r="T5" s="34"/>
      <c r="U5" s="532" t="s">
        <v>820</v>
      </c>
      <c r="V5" s="532"/>
      <c r="W5" s="532"/>
      <c r="AG5">
        <v>5</v>
      </c>
      <c r="AH5" s="391">
        <v>1650</v>
      </c>
      <c r="AI5" s="401">
        <v>7362045</v>
      </c>
      <c r="AJ5" s="34">
        <v>12825437.192499992</v>
      </c>
      <c r="AK5" s="15">
        <v>221.17500000000001</v>
      </c>
      <c r="AL5" s="393">
        <v>181.54249999999985</v>
      </c>
    </row>
    <row r="6" spans="1:38" x14ac:dyDescent="0.25">
      <c r="A6" s="74"/>
      <c r="B6" s="18">
        <v>1640</v>
      </c>
      <c r="C6" s="81" t="str">
        <f>VLOOKUP(B6,Orgenheter!$A$3:$C$165,2,FALSE)</f>
        <v>Inst för kultur- o medievetenskap</v>
      </c>
      <c r="D6" s="322" t="str">
        <f>IF(ISERROR(VLOOKUP(B6,$AH$3:$AJ$20,2,FALSE)),"",VLOOKUP(B6,$AH$3:$AJ$20,2,FALSE))</f>
        <v/>
      </c>
      <c r="E6" s="70" t="str">
        <f>IF(ISERROR(VLOOKUP(B6,$AH$3:$AJ$20,3,FALSE)),"",VLOOKUP(B6,$AH$3:$AJ$20,3,FALSE))</f>
        <v/>
      </c>
      <c r="F6" s="49" t="str">
        <f>IF(ISERROR(VLOOKUP(B6,$AH$3:$AM$20,4,FALSE)),"",VLOOKUP(B6,$AH$3:$AM$20,4,FALSE))</f>
        <v/>
      </c>
      <c r="G6" s="49" t="str">
        <f>IF(ISERROR(VLOOKUP(B6,$AH$3:$AM$20,5,FALSE)),"",VLOOKUP(B6,$AH$3:$AM$20,5,FALSE))</f>
        <v/>
      </c>
      <c r="H6" s="322">
        <f>IF(ISERROR(VLOOKUP(B6,$AH$28:$AJ$47,2,FALSE)),"",VLOOKUP(B6,$AH$28:$AJ$47,2,FALSE))</f>
        <v>261091.35</v>
      </c>
      <c r="I6" s="70">
        <f>IF(ISERROR(VLOOKUP(B6,$AH$28:$AJ$47,3,FALSE)),"",VLOOKUP(B6,$AH$28:$AJ$47,3,FALSE))</f>
        <v>1714734.4471672499</v>
      </c>
      <c r="J6" s="49">
        <f>IF(ISERROR(VLOOKUP(B6,$AH$28:$AM$47,4,FALSE)),"",VLOOKUP(B6,$AH$28:$AM$47,4,FALSE))</f>
        <v>45.015749999999997</v>
      </c>
      <c r="K6" s="49">
        <f>IF(ISERROR(VLOOKUP(B6,$AH$28:$AM$47,5,FALSE)),"",VLOOKUP(B6,$AH$28:$AM$47,5,FALSE))</f>
        <v>38.2633875</v>
      </c>
      <c r="L6" s="322" t="str">
        <f>IF(ISERROR(VLOOKUP(B6,$AH$53:$AJ$64,2,FALSE)),"",VLOOKUP(B6,$AH$53:$AJ$64,2,FALSE)*-1)</f>
        <v/>
      </c>
      <c r="M6" s="70" t="str">
        <f>IF(ISERROR(VLOOKUP(B6,$AH$53:$AJ$64,3,FALSE)),"",VLOOKUP(B6,$AH$53:$AJ$64,3,FALSE)*-1)</f>
        <v/>
      </c>
      <c r="N6" s="120" t="str">
        <f>IF(ISERROR(VLOOKUP(B6,$AH$53:$AM$64,4,FALSE)),"",VLOOKUP(B6,$AH$53:$AM$64,4,FALSE)*-1)</f>
        <v/>
      </c>
      <c r="O6" s="150" t="str">
        <f>IF(ISERROR(VLOOKUP(B6,$AH$53:$AM$64,5,FALSE)),"",VLOOKUP(B6,$AH$53:$AM$64,5,FALSE)*-1)</f>
        <v/>
      </c>
      <c r="P6" s="70">
        <f t="shared" si="0"/>
        <v>261091.35</v>
      </c>
      <c r="Q6" s="70">
        <f t="shared" si="0"/>
        <v>1714734.4471672499</v>
      </c>
      <c r="R6" s="49">
        <f t="shared" si="0"/>
        <v>45.015749999999997</v>
      </c>
      <c r="S6" s="128">
        <f t="shared" si="0"/>
        <v>38.2633875</v>
      </c>
      <c r="T6" s="34"/>
      <c r="U6" s="183"/>
      <c r="V6" s="183"/>
      <c r="W6" s="183"/>
      <c r="AG6">
        <v>6</v>
      </c>
      <c r="AH6" s="391">
        <v>2180</v>
      </c>
      <c r="AI6" s="401">
        <v>3023185.7166666696</v>
      </c>
      <c r="AJ6" s="34">
        <v>14205875.31212501</v>
      </c>
      <c r="AK6" s="15">
        <v>314.4979166666667</v>
      </c>
      <c r="AL6" s="393">
        <v>265.64614583333326</v>
      </c>
    </row>
    <row r="7" spans="1:38" x14ac:dyDescent="0.25">
      <c r="A7" s="74"/>
      <c r="B7" s="159">
        <v>1650</v>
      </c>
      <c r="C7" s="81" t="str">
        <f>VLOOKUP(B7,Orgenheter!$A$3:$C$165,2,FALSE)</f>
        <v xml:space="preserve">Estetiska ämnen               </v>
      </c>
      <c r="D7" s="322">
        <f>IF(ISERROR(VLOOKUP(B7,$AH$3:$AJ$20,2,FALSE)),"",VLOOKUP(B7,$AH$3:$AJ$20,2,FALSE))</f>
        <v>7362045</v>
      </c>
      <c r="E7" s="70">
        <f>IF(ISERROR(VLOOKUP(B7,$AH$3:$AJ$20,3,FALSE)),"",VLOOKUP(B7,$AH$3:$AJ$20,3,FALSE))</f>
        <v>12825437.192499992</v>
      </c>
      <c r="F7" s="49">
        <f>IF(ISERROR(VLOOKUP(B7,$AH$3:$AM$20,4,FALSE)),"",VLOOKUP(B7,$AH$3:$AM$20,4,FALSE))</f>
        <v>221.17500000000001</v>
      </c>
      <c r="G7" s="49">
        <f>IF(ISERROR(VLOOKUP(B7,$AH$3:$AM$20,5,FALSE)),"",VLOOKUP(B7,$AH$3:$AM$20,5,FALSE))</f>
        <v>181.54249999999985</v>
      </c>
      <c r="H7" s="322">
        <f>IF(ISERROR(VLOOKUP(B7,$AH$28:$AJ$47,2,FALSE)),"",VLOOKUP(B7,$AH$28:$AJ$47,2,FALSE))</f>
        <v>31084.833333333336</v>
      </c>
      <c r="I7" s="70">
        <f>IF(ISERROR(VLOOKUP(B7,$AH$28:$AJ$47,3,FALSE)),"",VLOOKUP(B7,$AH$28:$AJ$47,3,FALSE))</f>
        <v>234508.3014425</v>
      </c>
      <c r="J7" s="49">
        <f>IF(ISERROR(VLOOKUP(B7,$AH$28:$AM$47,4,FALSE)),"",VLOOKUP(B7,$AH$28:$AM$47,4,FALSE))</f>
        <v>5.7308333333333339</v>
      </c>
      <c r="K7" s="49">
        <f>IF(ISERROR(VLOOKUP(B7,$AH$28:$AM$47,5,FALSE)),"",VLOOKUP(B7,$AH$28:$AM$47,5,FALSE))</f>
        <v>4.8712083333333336</v>
      </c>
      <c r="L7" s="322">
        <f>IF(ISERROR(VLOOKUP(B7,$AH$53:$AJ$64,2,FALSE)),"",VLOOKUP(B7,$AH$53:$AJ$64,2,FALSE)*-1)</f>
        <v>-71795</v>
      </c>
      <c r="M7" s="70">
        <f>IF(ISERROR(VLOOKUP(B7,$AH$53:$AJ$64,3,FALSE)),"",VLOOKUP(B7,$AH$53:$AJ$64,3,FALSE)*-1)</f>
        <v>-149490.39945</v>
      </c>
      <c r="N7" s="120">
        <f>IF(ISERROR(VLOOKUP(B7,$AH$53:$AM$64,4,FALSE)),"",VLOOKUP(B7,$AH$53:$AM$64,4,FALSE)*-1)</f>
        <v>-4.1500000000000004</v>
      </c>
      <c r="O7" s="150">
        <f>IF(ISERROR(VLOOKUP(B7,$AH$53:$AM$64,5,FALSE)),"",VLOOKUP(B7,$AH$53:$AM$64,5,FALSE)*-1)</f>
        <v>-3.5274999999999999</v>
      </c>
      <c r="P7" s="70">
        <f t="shared" si="0"/>
        <v>7321334.833333333</v>
      </c>
      <c r="Q7" s="70">
        <f t="shared" si="0"/>
        <v>12910455.094492491</v>
      </c>
      <c r="R7" s="49">
        <f t="shared" si="0"/>
        <v>222.75583333333333</v>
      </c>
      <c r="S7" s="128">
        <f t="shared" si="0"/>
        <v>182.88620833333317</v>
      </c>
      <c r="T7" s="183" t="s">
        <v>821</v>
      </c>
      <c r="U7" s="183">
        <f>'kurser alla'!AR1284+'kurser alla'!AZ1284</f>
        <v>-1064987.5</v>
      </c>
      <c r="V7" s="183">
        <f>'kurser alla'!AR1283+'kurser alla'!AS1283+'kurser alla'!AZ1283+'kurser alla'!BA1283</f>
        <v>-688036.10000000009</v>
      </c>
      <c r="W7" s="183"/>
      <c r="AA7" s="64"/>
      <c r="AG7">
        <v>7</v>
      </c>
      <c r="AH7" s="391">
        <v>2193</v>
      </c>
      <c r="AI7" s="401">
        <v>2776931.5000000014</v>
      </c>
      <c r="AJ7" s="34">
        <v>18707587.973395828</v>
      </c>
      <c r="AK7" s="15">
        <v>496.1724999999999</v>
      </c>
      <c r="AL7" s="393">
        <v>415.44037499999956</v>
      </c>
    </row>
    <row r="8" spans="1:38" ht="15.75" thickBot="1" x14ac:dyDescent="0.3">
      <c r="A8" s="98"/>
      <c r="B8" s="82"/>
      <c r="C8" s="82"/>
      <c r="D8" s="192"/>
      <c r="E8" s="70"/>
      <c r="F8" s="49"/>
      <c r="G8" s="193"/>
      <c r="H8" s="107"/>
      <c r="I8" s="108"/>
      <c r="J8" s="108"/>
      <c r="K8" s="109"/>
      <c r="L8" s="107"/>
      <c r="M8" s="108"/>
      <c r="N8" s="129"/>
      <c r="O8" s="151"/>
      <c r="P8" s="108"/>
      <c r="Q8" s="108"/>
      <c r="R8" s="108"/>
      <c r="S8" s="130"/>
      <c r="AA8" s="18"/>
      <c r="AG8">
        <v>8</v>
      </c>
      <c r="AH8" s="391">
        <v>2271</v>
      </c>
      <c r="AI8" s="401">
        <v>21025</v>
      </c>
      <c r="AJ8" s="34">
        <v>115318.68124999999</v>
      </c>
      <c r="AK8" s="15">
        <v>3.625</v>
      </c>
      <c r="AL8" s="393">
        <v>3.0812499999999998</v>
      </c>
    </row>
    <row r="9" spans="1:38" ht="15.75" thickBot="1" x14ac:dyDescent="0.3">
      <c r="A9" s="35" t="s">
        <v>36</v>
      </c>
      <c r="B9" s="91"/>
      <c r="C9" s="326"/>
      <c r="D9" s="131">
        <f>SUM(D4:D7)</f>
        <v>10159266.083333332</v>
      </c>
      <c r="E9" s="132">
        <f>SUM(E4:E7)</f>
        <v>30510958.956125002</v>
      </c>
      <c r="F9" s="133">
        <f>SUM(F4:F7)</f>
        <v>711.50708333333341</v>
      </c>
      <c r="G9" s="133">
        <f>SUM(G4:G7)</f>
        <v>596.06018750000021</v>
      </c>
      <c r="H9" s="132">
        <f>SUM(H4:H7)</f>
        <v>437282.68333333329</v>
      </c>
      <c r="I9" s="132">
        <f t="shared" ref="I9:Q9" si="1">SUM(I4:I7)</f>
        <v>2909561.6097897501</v>
      </c>
      <c r="J9" s="134">
        <f>SUM(J4:J7)</f>
        <v>73.619083333333336</v>
      </c>
      <c r="K9" s="134">
        <f>SUM(K4:K7)</f>
        <v>62.576220833333331</v>
      </c>
      <c r="L9" s="132">
        <f t="shared" si="1"/>
        <v>-542972.01666666672</v>
      </c>
      <c r="M9" s="132">
        <f t="shared" si="1"/>
        <v>-3248150.2462697495</v>
      </c>
      <c r="N9" s="133">
        <f t="shared" si="1"/>
        <v>-86.187416666666678</v>
      </c>
      <c r="O9" s="325">
        <f t="shared" si="1"/>
        <v>-73.259304166666666</v>
      </c>
      <c r="P9" s="323">
        <f t="shared" si="1"/>
        <v>10053576.75</v>
      </c>
      <c r="Q9" s="143">
        <f t="shared" si="1"/>
        <v>30172370.319645006</v>
      </c>
      <c r="R9" s="144">
        <f>SUM(R4:R7)</f>
        <v>698.93875000000003</v>
      </c>
      <c r="S9" s="145">
        <f>SUM(S4:S7)</f>
        <v>585.37710416666687</v>
      </c>
      <c r="U9" s="459"/>
      <c r="AA9" s="18"/>
      <c r="AG9">
        <v>9</v>
      </c>
      <c r="AH9" s="391">
        <v>2340</v>
      </c>
      <c r="AI9" s="401">
        <v>348000</v>
      </c>
      <c r="AJ9" s="34">
        <v>2043173.6624999994</v>
      </c>
      <c r="AK9" s="15">
        <v>60</v>
      </c>
      <c r="AL9" s="393">
        <v>50.999999999999993</v>
      </c>
    </row>
    <row r="10" spans="1:38" x14ac:dyDescent="0.25">
      <c r="A10" s="74"/>
      <c r="B10" s="18"/>
      <c r="C10" s="18"/>
      <c r="D10" s="192"/>
      <c r="E10" s="70"/>
      <c r="F10" s="49"/>
      <c r="G10" s="193"/>
      <c r="H10" s="110"/>
      <c r="I10" s="111"/>
      <c r="J10" s="111"/>
      <c r="K10" s="112"/>
      <c r="L10" s="192"/>
      <c r="M10" s="70"/>
      <c r="N10" s="120"/>
      <c r="O10" s="150"/>
      <c r="P10" s="111"/>
      <c r="Q10" s="111"/>
      <c r="R10" s="111"/>
      <c r="S10" s="146"/>
      <c r="AA10" s="159"/>
      <c r="AG10">
        <v>10</v>
      </c>
      <c r="AH10" s="391">
        <v>2500</v>
      </c>
      <c r="AI10" s="401">
        <v>52075</v>
      </c>
      <c r="AJ10" s="34">
        <v>206297.60000000001</v>
      </c>
      <c r="AK10" s="15">
        <v>5.875</v>
      </c>
      <c r="AL10" s="393">
        <v>4.9937500000000004</v>
      </c>
    </row>
    <row r="11" spans="1:38" ht="29.25" x14ac:dyDescent="0.25">
      <c r="A11" s="187" t="s">
        <v>71</v>
      </c>
      <c r="B11" s="188" t="s">
        <v>564</v>
      </c>
      <c r="C11" s="189" t="s">
        <v>35</v>
      </c>
      <c r="D11" s="194" t="s">
        <v>404</v>
      </c>
      <c r="E11" s="27" t="s">
        <v>415</v>
      </c>
      <c r="F11" s="116" t="s">
        <v>61</v>
      </c>
      <c r="G11" s="195" t="s">
        <v>62</v>
      </c>
      <c r="H11" s="194" t="s">
        <v>404</v>
      </c>
      <c r="I11" s="27" t="s">
        <v>415</v>
      </c>
      <c r="J11" s="116" t="s">
        <v>61</v>
      </c>
      <c r="K11" s="195" t="s">
        <v>62</v>
      </c>
      <c r="L11" s="194" t="s">
        <v>404</v>
      </c>
      <c r="M11" s="27" t="s">
        <v>415</v>
      </c>
      <c r="N11" s="121" t="s">
        <v>61</v>
      </c>
      <c r="O11" s="152" t="s">
        <v>62</v>
      </c>
      <c r="P11" s="118" t="s">
        <v>453</v>
      </c>
      <c r="Q11" s="118" t="s">
        <v>452</v>
      </c>
      <c r="R11" s="27" t="s">
        <v>61</v>
      </c>
      <c r="S11" s="73" t="s">
        <v>62</v>
      </c>
      <c r="AG11">
        <v>11</v>
      </c>
      <c r="AH11" s="391">
        <v>2750</v>
      </c>
      <c r="AI11" s="401">
        <v>906075</v>
      </c>
      <c r="AJ11" s="34">
        <v>2075270.21875</v>
      </c>
      <c r="AK11" s="15">
        <v>45.875</v>
      </c>
      <c r="AL11" s="393">
        <v>36.71875</v>
      </c>
    </row>
    <row r="12" spans="1:38" x14ac:dyDescent="0.25">
      <c r="A12" s="80" t="s">
        <v>411</v>
      </c>
      <c r="B12" s="18">
        <v>2180</v>
      </c>
      <c r="C12" s="81" t="str">
        <f>VLOOKUP(B12,Orgenheter!$A$3:$C$165,2,FALSE)</f>
        <v xml:space="preserve">Pedagogik                     </v>
      </c>
      <c r="D12" s="322">
        <f>IF(ISERROR(VLOOKUP(B12,$AH$3:$AJ$20,2,FALSE)),"",VLOOKUP(B12,$AH$3:$AJ$20,2,FALSE))</f>
        <v>3023185.7166666696</v>
      </c>
      <c r="E12" s="70">
        <f>IF(ISERROR(VLOOKUP(B12,$AH$3:$AJ$20,3,FALSE)),"",VLOOKUP(B12,$AH$3:$AJ$20,3,FALSE))</f>
        <v>14205875.31212501</v>
      </c>
      <c r="F12" s="49">
        <f>IF(ISERROR(VLOOKUP(B12,$AH$3:$AM$20,4,FALSE)),"",VLOOKUP(B12,$AH$3:$AM$20,4,FALSE))</f>
        <v>314.4979166666667</v>
      </c>
      <c r="G12" s="49">
        <f>IF(ISERROR(VLOOKUP(B12,$AH$3:$AM$20,5,FALSE)),"",VLOOKUP(B12,$AH$3:$AM$20,5,FALSE))</f>
        <v>265.64614583333326</v>
      </c>
      <c r="H12" s="322">
        <f>IF(ISERROR(VLOOKUP(B12,$AH$28:$AJ$47,2,FALSE)),"",VLOOKUP(B12,$AH$28:$AJ$47,2,FALSE))</f>
        <v>410521.41666666663</v>
      </c>
      <c r="I12" s="70">
        <f>IF(ISERROR(VLOOKUP(B12,$AH$28:$AJ$47,3,FALSE)),"",VLOOKUP(B12,$AH$28:$AJ$47,3,FALSE))</f>
        <v>2707284.0717461244</v>
      </c>
      <c r="J12" s="49">
        <f>IF(ISERROR(VLOOKUP(B12,$AH$28:$AM$47,4,FALSE)),"",VLOOKUP(B12,$AH$28:$AM$47,4,FALSE))</f>
        <v>67.492916666666673</v>
      </c>
      <c r="K12" s="49">
        <f>IF(ISERROR(VLOOKUP(B12,$AH$28:$AM$47,5,FALSE)),"",VLOOKUP(B12,$AH$28:$AM$47,5,FALSE))</f>
        <v>57.368979166666662</v>
      </c>
      <c r="L12" s="322">
        <f>IF(ISERROR(VLOOKUP(B12,$AH$53:$AJ$64,2,FALSE)),"",VLOOKUP(B12,$AH$53:$AJ$64,2,FALSE)*-1)</f>
        <v>-810635.83333333349</v>
      </c>
      <c r="M12" s="70">
        <f>IF(ISERROR(VLOOKUP(B12,$AH$53:$AJ$64,3,FALSE)),"",VLOOKUP(B12,$AH$53:$AJ$64,3,FALSE)*-1)</f>
        <v>-3784460.4803462494</v>
      </c>
      <c r="N12" s="120">
        <f>IF(ISERROR(VLOOKUP(B12,$AH$53:$AM$64,4,FALSE)),"",VLOOKUP(B12,$AH$53:$AM$64,4,FALSE)*-1)</f>
        <v>-85.454166666666666</v>
      </c>
      <c r="O12" s="150">
        <f>IF(ISERROR(VLOOKUP(B12,$AH$53:$AM$64,5,FALSE)),"",VLOOKUP(B12,$AH$53:$AM$64,5,FALSE)*-1)</f>
        <v>-72.492916666666659</v>
      </c>
      <c r="P12" s="70">
        <f>SUM(D12,H12,L12)</f>
        <v>2623071.3000000026</v>
      </c>
      <c r="Q12" s="70">
        <f t="shared" ref="Q12:S22" si="2">SUM(E12,I12,M12)</f>
        <v>13128698.903524885</v>
      </c>
      <c r="R12" s="49">
        <f t="shared" si="2"/>
        <v>296.53666666666675</v>
      </c>
      <c r="S12" s="128">
        <f t="shared" si="2"/>
        <v>250.52220833333325</v>
      </c>
      <c r="T12" s="34"/>
      <c r="AA12" s="18"/>
      <c r="AB12" s="18"/>
      <c r="AG12">
        <v>12</v>
      </c>
      <c r="AH12" s="391">
        <v>5100</v>
      </c>
      <c r="AI12" s="401">
        <v>302475</v>
      </c>
      <c r="AJ12" s="34">
        <v>680681.13750000019</v>
      </c>
      <c r="AK12" s="15">
        <v>13.875</v>
      </c>
      <c r="AL12" s="393">
        <v>11.793750000000003</v>
      </c>
    </row>
    <row r="13" spans="1:38" x14ac:dyDescent="0.25">
      <c r="A13" s="74"/>
      <c r="B13" s="18">
        <v>2193</v>
      </c>
      <c r="C13" s="81" t="str">
        <f>VLOOKUP(B13,Orgenheter!$A$3:$C$165,2,FALSE)</f>
        <v xml:space="preserve">TUV </v>
      </c>
      <c r="D13" s="322">
        <f>IF(ISERROR(VLOOKUP(B13,$AH$3:$AJ$20,2,FALSE)),"",VLOOKUP(B13,$AH$3:$AJ$20,2,FALSE))</f>
        <v>2776931.5000000014</v>
      </c>
      <c r="E13" s="70">
        <f>IF(ISERROR(VLOOKUP(B13,$AH$3:$AJ$20,3,FALSE)),"",VLOOKUP(B13,$AH$3:$AJ$20,3,FALSE))</f>
        <v>18707587.973395828</v>
      </c>
      <c r="F13" s="49">
        <f>IF(ISERROR(VLOOKUP(B13,$AH$3:$AM$20,4,FALSE)),"",VLOOKUP(B13,$AH$3:$AM$20,4,FALSE))</f>
        <v>496.1724999999999</v>
      </c>
      <c r="G13" s="49">
        <f>IF(ISERROR(VLOOKUP(B13,$AH$3:$AM$20,5,FALSE)),"",VLOOKUP(B13,$AH$3:$AM$20,5,FALSE))</f>
        <v>415.44037499999956</v>
      </c>
      <c r="H13" s="322">
        <f t="shared" ref="H13:H22" si="3">IF(ISERROR(VLOOKUP(B13,$AH$28:$AJ$47,2,FALSE)),"",VLOOKUP(B13,$AH$28:$AJ$47,2,FALSE))</f>
        <v>409514.5</v>
      </c>
      <c r="I13" s="70">
        <f t="shared" ref="I13:I22" si="4">IF(ISERROR(VLOOKUP(B13,$AH$28:$AJ$47,3,FALSE)),"",VLOOKUP(B13,$AH$28:$AJ$47,3,FALSE))</f>
        <v>2218272.4204275003</v>
      </c>
      <c r="J13" s="49">
        <f t="shared" ref="J13:J22" si="5">IF(ISERROR(VLOOKUP(B13,$AH$28:$AM$47,4,FALSE)),"",VLOOKUP(B13,$AH$28:$AM$47,4,FALSE))</f>
        <v>53.106666666666662</v>
      </c>
      <c r="K13" s="49">
        <f t="shared" ref="K13:K22" si="6">IF(ISERROR(VLOOKUP(B13,$AH$28:$AM$47,5,FALSE)),"",VLOOKUP(B13,$AH$28:$AM$47,5,FALSE))</f>
        <v>45.11066666666666</v>
      </c>
      <c r="L13" s="322">
        <f>IF(ISERROR(VLOOKUP(B13,$AH$53:$AJ$64,2,FALSE)),"",VLOOKUP(B13,$AH$53:$AJ$64,2,FALSE)*-1)</f>
        <v>-309901.25</v>
      </c>
      <c r="M13" s="70">
        <f>IF(ISERROR(VLOOKUP(B13,$AH$53:$AJ$64,3,FALSE)),"",VLOOKUP(B13,$AH$53:$AJ$64,3,FALSE)*-1)</f>
        <v>-2109884.5564756244</v>
      </c>
      <c r="N13" s="120">
        <f>IF(ISERROR(VLOOKUP(B13,$AH$53:$AM$64,4,FALSE)),"",VLOOKUP(B13,$AH$53:$AM$64,4,FALSE)*-1)</f>
        <v>-53.431250000000006</v>
      </c>
      <c r="O13" s="150">
        <f>IF(ISERROR(VLOOKUP(B13,$AH$53:$AM$64,5,FALSE)),"",VLOOKUP(B13,$AH$53:$AM$64,5,FALSE)*-1)</f>
        <v>-45.416562499999998</v>
      </c>
      <c r="P13" s="70">
        <f>SUM(D13,H13,L13)</f>
        <v>2876544.7500000014</v>
      </c>
      <c r="Q13" s="70">
        <f t="shared" si="2"/>
        <v>18815975.837347705</v>
      </c>
      <c r="R13" s="49">
        <f t="shared" si="2"/>
        <v>495.84791666666661</v>
      </c>
      <c r="S13" s="128">
        <f t="shared" si="2"/>
        <v>415.13447916666621</v>
      </c>
      <c r="T13" s="34"/>
      <c r="AA13" s="18"/>
      <c r="AB13" s="18"/>
      <c r="AG13">
        <v>13</v>
      </c>
      <c r="AH13" s="391">
        <v>5160</v>
      </c>
      <c r="AI13" s="401">
        <v>49050</v>
      </c>
      <c r="AJ13" s="34">
        <v>110380.72499999998</v>
      </c>
      <c r="AK13" s="15">
        <v>2.25</v>
      </c>
      <c r="AL13" s="393">
        <v>1.9124999999999996</v>
      </c>
    </row>
    <row r="14" spans="1:38" x14ac:dyDescent="0.25">
      <c r="A14" s="74"/>
      <c r="B14" s="18">
        <v>2200</v>
      </c>
      <c r="C14" s="81" t="str">
        <f>VLOOKUP(B14,Orgenheter!$A$3:$C$165,2,FALSE)</f>
        <v xml:space="preserve">Inst för psykologi            </v>
      </c>
      <c r="D14" s="322" t="str">
        <f t="shared" ref="D14:D22" si="7">IF(ISERROR(VLOOKUP(B14,$AH$3:$AJ$20,2,FALSE)),"",VLOOKUP(B14,$AH$3:$AJ$20,2,FALSE))</f>
        <v/>
      </c>
      <c r="E14" s="70" t="str">
        <f t="shared" ref="E14:E22" si="8">IF(ISERROR(VLOOKUP(B14,$AH$3:$AJ$20,3,FALSE)),"",VLOOKUP(B14,$AH$3:$AJ$20,3,FALSE))</f>
        <v/>
      </c>
      <c r="F14" s="49" t="str">
        <f t="shared" ref="F14:F22" si="9">IF(ISERROR(VLOOKUP(B14,$AH$3:$AM$20,4,FALSE)),"",VLOOKUP(B14,$AH$3:$AM$20,4,FALSE))</f>
        <v/>
      </c>
      <c r="G14" s="49" t="str">
        <f t="shared" ref="G14:G22" si="10">IF(ISERROR(VLOOKUP(B14,$AH$3:$AM$20,5,FALSE)),"",VLOOKUP(B14,$AH$3:$AM$20,5,FALSE))</f>
        <v/>
      </c>
      <c r="H14" s="322">
        <f t="shared" si="3"/>
        <v>251821.5</v>
      </c>
      <c r="I14" s="70">
        <f t="shared" si="4"/>
        <v>1749935.15886625</v>
      </c>
      <c r="J14" s="49">
        <f t="shared" si="5"/>
        <v>43.417499999999997</v>
      </c>
      <c r="K14" s="49">
        <f t="shared" si="6"/>
        <v>36.875499999999995</v>
      </c>
      <c r="L14" s="322" t="str">
        <f t="shared" ref="L14:L22" si="11">IF(ISERROR(VLOOKUP(B14,$AH$53:$AJ$64,2,FALSE)),"",VLOOKUP(B14,$AH$53:$AJ$64,2,FALSE)*-1)</f>
        <v/>
      </c>
      <c r="M14" s="70" t="str">
        <f t="shared" ref="M14:M22" si="12">IF(ISERROR(VLOOKUP(B14,$AH$53:$AJ$64,3,FALSE)),"",VLOOKUP(B14,$AH$53:$AJ$64,3,FALSE)*-1)</f>
        <v/>
      </c>
      <c r="N14" s="120" t="str">
        <f t="shared" ref="N14:N22" si="13">IF(ISERROR(VLOOKUP(B14,$AH$53:$AM$64,4,FALSE)),"",VLOOKUP(B14,$AH$53:$AM$64,4,FALSE)*-1)</f>
        <v/>
      </c>
      <c r="O14" s="150" t="str">
        <f t="shared" ref="O14:O22" si="14">IF(ISERROR(VLOOKUP(B14,$AH$53:$AM$64,5,FALSE)),"",VLOOKUP(B14,$AH$53:$AM$64,5,FALSE)*-1)</f>
        <v/>
      </c>
      <c r="P14" s="70">
        <f>SUM(D14,H14,L14)</f>
        <v>251821.5</v>
      </c>
      <c r="Q14" s="70">
        <f>SUM(E14,I14,M14)</f>
        <v>1749935.15886625</v>
      </c>
      <c r="R14" s="49">
        <f t="shared" si="2"/>
        <v>43.417499999999997</v>
      </c>
      <c r="S14" s="128">
        <f t="shared" si="2"/>
        <v>36.875499999999995</v>
      </c>
      <c r="T14" s="34"/>
      <c r="AA14" s="18"/>
      <c r="AB14" s="18"/>
      <c r="AG14">
        <v>14</v>
      </c>
      <c r="AH14" s="391">
        <v>5400</v>
      </c>
      <c r="AI14" s="401">
        <v>84475</v>
      </c>
      <c r="AJ14" s="34">
        <v>190100.13750000001</v>
      </c>
      <c r="AK14" s="15">
        <v>3.8750000000000004</v>
      </c>
      <c r="AL14" s="393">
        <v>3.2937500000000011</v>
      </c>
    </row>
    <row r="15" spans="1:38" x14ac:dyDescent="0.25">
      <c r="A15" s="74"/>
      <c r="B15" s="159">
        <v>2220</v>
      </c>
      <c r="C15" s="81" t="str">
        <f>VLOOKUP(B15,Orgenheter!$A$3:$C$165,2,FALSE)</f>
        <v xml:space="preserve">Sociologi                     </v>
      </c>
      <c r="D15" s="322" t="str">
        <f t="shared" si="7"/>
        <v/>
      </c>
      <c r="E15" s="70" t="str">
        <f t="shared" si="8"/>
        <v/>
      </c>
      <c r="F15" s="49" t="str">
        <f t="shared" si="9"/>
        <v/>
      </c>
      <c r="G15" s="49" t="str">
        <f t="shared" si="10"/>
        <v/>
      </c>
      <c r="H15" s="322">
        <f t="shared" si="3"/>
        <v>24360</v>
      </c>
      <c r="I15" s="70">
        <f t="shared" si="4"/>
        <v>124257.86729999998</v>
      </c>
      <c r="J15" s="49">
        <f t="shared" si="5"/>
        <v>4.2</v>
      </c>
      <c r="K15" s="49">
        <f t="shared" si="6"/>
        <v>3.57</v>
      </c>
      <c r="L15" s="322" t="str">
        <f t="shared" si="11"/>
        <v/>
      </c>
      <c r="M15" s="70" t="str">
        <f t="shared" si="12"/>
        <v/>
      </c>
      <c r="N15" s="120" t="str">
        <f t="shared" si="13"/>
        <v/>
      </c>
      <c r="O15" s="150" t="str">
        <f t="shared" si="14"/>
        <v/>
      </c>
      <c r="P15" s="70">
        <f t="shared" ref="P15:P22" si="15">SUM(D15,H15,L15)</f>
        <v>24360</v>
      </c>
      <c r="Q15" s="70">
        <f t="shared" ref="Q15:Q22" si="16">SUM(E15,I15,M15)</f>
        <v>124257.86729999998</v>
      </c>
      <c r="R15" s="49">
        <f t="shared" si="2"/>
        <v>4.2</v>
      </c>
      <c r="S15" s="128">
        <f t="shared" si="2"/>
        <v>3.57</v>
      </c>
      <c r="T15" s="34"/>
      <c r="X15" s="18"/>
      <c r="Y15" s="81"/>
      <c r="AA15" s="159"/>
      <c r="AB15" s="159"/>
      <c r="AG15">
        <v>15</v>
      </c>
      <c r="AH15" s="391">
        <v>5410</v>
      </c>
      <c r="AI15" s="401">
        <v>2180</v>
      </c>
      <c r="AJ15" s="34">
        <v>4905.8100000000004</v>
      </c>
      <c r="AK15" s="15">
        <v>0.1</v>
      </c>
      <c r="AL15" s="393">
        <v>8.5000000000000006E-2</v>
      </c>
    </row>
    <row r="16" spans="1:38" x14ac:dyDescent="0.25">
      <c r="B16" s="18">
        <v>2271</v>
      </c>
      <c r="C16" s="81" t="str">
        <f>VLOOKUP(B16,Orgenheter!$A$3:$C$165,2,FALSE)</f>
        <v xml:space="preserve">Nationalekonomi               </v>
      </c>
      <c r="D16" s="322">
        <f t="shared" si="7"/>
        <v>21025</v>
      </c>
      <c r="E16" s="70">
        <f t="shared" si="8"/>
        <v>115318.68124999999</v>
      </c>
      <c r="F16" s="49">
        <f t="shared" si="9"/>
        <v>3.625</v>
      </c>
      <c r="G16" s="49">
        <f t="shared" si="10"/>
        <v>3.0812499999999998</v>
      </c>
      <c r="H16" s="322">
        <f t="shared" si="3"/>
        <v>25491</v>
      </c>
      <c r="I16" s="70">
        <f t="shared" si="4"/>
        <v>130026.9825675</v>
      </c>
      <c r="J16" s="49">
        <f t="shared" si="5"/>
        <v>4.3949999999999996</v>
      </c>
      <c r="K16" s="49">
        <f t="shared" si="6"/>
        <v>3.7357500000000003</v>
      </c>
      <c r="L16" s="322" t="str">
        <f t="shared" si="11"/>
        <v/>
      </c>
      <c r="M16" s="70" t="str">
        <f t="shared" si="12"/>
        <v/>
      </c>
      <c r="N16" s="120" t="str">
        <f t="shared" si="13"/>
        <v/>
      </c>
      <c r="O16" s="150" t="str">
        <f t="shared" si="14"/>
        <v/>
      </c>
      <c r="P16" s="70">
        <f t="shared" si="15"/>
        <v>46516</v>
      </c>
      <c r="Q16" s="70">
        <f t="shared" si="16"/>
        <v>245345.6638175</v>
      </c>
      <c r="R16" s="49">
        <f t="shared" si="2"/>
        <v>8.02</v>
      </c>
      <c r="S16" s="128">
        <f t="shared" si="2"/>
        <v>6.8170000000000002</v>
      </c>
      <c r="T16" s="34"/>
      <c r="AA16" s="18"/>
      <c r="AB16" s="159"/>
      <c r="AG16">
        <v>16</v>
      </c>
      <c r="AH16" s="391">
        <v>5500</v>
      </c>
      <c r="AI16" s="401">
        <v>98100</v>
      </c>
      <c r="AJ16" s="34">
        <v>220761.44999999992</v>
      </c>
      <c r="AK16" s="15">
        <v>4.5</v>
      </c>
      <c r="AL16" s="393">
        <v>3.8249999999999988</v>
      </c>
    </row>
    <row r="17" spans="1:38" x14ac:dyDescent="0.25">
      <c r="A17" s="74"/>
      <c r="B17" s="196">
        <v>2272</v>
      </c>
      <c r="C17" s="81" t="str">
        <f>VLOOKUP(B17,Orgenheter!$A$3:$C$165,2,FALSE)</f>
        <v xml:space="preserve">Statistik                     </v>
      </c>
      <c r="D17" s="322" t="str">
        <f t="shared" si="7"/>
        <v/>
      </c>
      <c r="E17" s="70" t="str">
        <f t="shared" si="8"/>
        <v/>
      </c>
      <c r="F17" s="49" t="str">
        <f t="shared" si="9"/>
        <v/>
      </c>
      <c r="G17" s="49" t="str">
        <f t="shared" si="10"/>
        <v/>
      </c>
      <c r="H17" s="322">
        <f t="shared" si="3"/>
        <v>51627.733333333344</v>
      </c>
      <c r="I17" s="70">
        <f t="shared" si="4"/>
        <v>398258.67598400003</v>
      </c>
      <c r="J17" s="49">
        <f t="shared" si="5"/>
        <v>8.9013333333333353</v>
      </c>
      <c r="K17" s="49">
        <f t="shared" si="6"/>
        <v>7.5661333333333314</v>
      </c>
      <c r="L17" s="322" t="str">
        <f t="shared" si="11"/>
        <v/>
      </c>
      <c r="M17" s="70" t="str">
        <f t="shared" si="12"/>
        <v/>
      </c>
      <c r="N17" s="120" t="str">
        <f t="shared" si="13"/>
        <v/>
      </c>
      <c r="O17" s="150" t="str">
        <f t="shared" si="14"/>
        <v/>
      </c>
      <c r="P17" s="70">
        <f t="shared" si="15"/>
        <v>51627.733333333344</v>
      </c>
      <c r="Q17" s="70">
        <f t="shared" si="16"/>
        <v>398258.67598400003</v>
      </c>
      <c r="R17" s="49">
        <f t="shared" si="2"/>
        <v>8.9013333333333353</v>
      </c>
      <c r="S17" s="128">
        <f t="shared" si="2"/>
        <v>7.5661333333333314</v>
      </c>
      <c r="T17" s="34"/>
      <c r="X17" s="18"/>
      <c r="Y17" s="81"/>
      <c r="AA17" s="196"/>
      <c r="AB17" s="18"/>
      <c r="AG17">
        <v>17</v>
      </c>
      <c r="AH17" s="391">
        <v>5700</v>
      </c>
      <c r="AI17" s="401">
        <v>29975</v>
      </c>
      <c r="AJ17" s="34">
        <v>65279.512499999997</v>
      </c>
      <c r="AK17" s="15">
        <v>1.375</v>
      </c>
      <c r="AL17" s="393">
        <v>1.10625</v>
      </c>
    </row>
    <row r="18" spans="1:38" x14ac:dyDescent="0.25">
      <c r="B18" s="159">
        <v>2300</v>
      </c>
      <c r="C18" s="81" t="str">
        <f>VLOOKUP(B18,Orgenheter!$A$3:$C$165,2,FALSE)</f>
        <v xml:space="preserve">Juridiska institutionen       </v>
      </c>
      <c r="D18" s="322" t="str">
        <f t="shared" si="7"/>
        <v/>
      </c>
      <c r="E18" s="70" t="str">
        <f t="shared" si="8"/>
        <v/>
      </c>
      <c r="F18" s="49" t="str">
        <f t="shared" si="9"/>
        <v/>
      </c>
      <c r="G18" s="49" t="str">
        <f t="shared" si="10"/>
        <v/>
      </c>
      <c r="H18" s="322">
        <f t="shared" si="3"/>
        <v>82060.333333333343</v>
      </c>
      <c r="I18" s="70">
        <f t="shared" si="4"/>
        <v>633017.13234500005</v>
      </c>
      <c r="J18" s="49">
        <f t="shared" si="5"/>
        <v>14.148333333333333</v>
      </c>
      <c r="K18" s="49">
        <f t="shared" si="6"/>
        <v>12.026083333333332</v>
      </c>
      <c r="L18" s="322" t="str">
        <f t="shared" si="11"/>
        <v/>
      </c>
      <c r="M18" s="70" t="str">
        <f t="shared" si="12"/>
        <v/>
      </c>
      <c r="N18" s="120" t="str">
        <f t="shared" si="13"/>
        <v/>
      </c>
      <c r="O18" s="150" t="str">
        <f t="shared" si="14"/>
        <v/>
      </c>
      <c r="P18" s="70">
        <f t="shared" si="15"/>
        <v>82060.333333333343</v>
      </c>
      <c r="Q18" s="70">
        <f t="shared" si="16"/>
        <v>633017.13234500005</v>
      </c>
      <c r="R18" s="49">
        <f t="shared" si="2"/>
        <v>14.148333333333333</v>
      </c>
      <c r="S18" s="128">
        <f t="shared" si="2"/>
        <v>12.026083333333332</v>
      </c>
      <c r="T18" s="34"/>
      <c r="AA18" s="159"/>
      <c r="AB18" s="196"/>
      <c r="AG18">
        <v>18</v>
      </c>
      <c r="AH18" s="391">
        <v>5730</v>
      </c>
      <c r="AI18" s="401">
        <v>727205</v>
      </c>
      <c r="AJ18" s="34">
        <v>1798044.8199999987</v>
      </c>
      <c r="AK18" s="15">
        <v>37.32500000000001</v>
      </c>
      <c r="AL18" s="393">
        <v>31.382499999999986</v>
      </c>
    </row>
    <row r="19" spans="1:38" x14ac:dyDescent="0.25">
      <c r="A19" s="74"/>
      <c r="B19" s="18">
        <v>2340</v>
      </c>
      <c r="C19" s="81" t="str">
        <f>VLOOKUP(B19,Orgenheter!$A$3:$C$165,2,FALSE)</f>
        <v xml:space="preserve">Statsvetenskap                </v>
      </c>
      <c r="D19" s="322">
        <f t="shared" si="7"/>
        <v>348000</v>
      </c>
      <c r="E19" s="70">
        <f t="shared" si="8"/>
        <v>2043173.6624999994</v>
      </c>
      <c r="F19" s="49">
        <f t="shared" si="9"/>
        <v>60</v>
      </c>
      <c r="G19" s="49">
        <f t="shared" si="10"/>
        <v>50.999999999999993</v>
      </c>
      <c r="H19" s="322">
        <f t="shared" si="3"/>
        <v>28663.599999999995</v>
      </c>
      <c r="I19" s="70">
        <f t="shared" si="4"/>
        <v>167428.84962299999</v>
      </c>
      <c r="J19" s="49">
        <f t="shared" si="5"/>
        <v>4.9419999999999993</v>
      </c>
      <c r="K19" s="49">
        <f t="shared" si="6"/>
        <v>4.2006999999999994</v>
      </c>
      <c r="L19" s="322">
        <f t="shared" si="11"/>
        <v>-117595</v>
      </c>
      <c r="M19" s="70">
        <f t="shared" si="12"/>
        <v>-662359.61985000002</v>
      </c>
      <c r="N19" s="120">
        <f t="shared" si="13"/>
        <v>-20.274999999999999</v>
      </c>
      <c r="O19" s="150">
        <f t="shared" si="14"/>
        <v>-17.233750000000001</v>
      </c>
      <c r="P19" s="70">
        <f t="shared" si="15"/>
        <v>259068.59999999998</v>
      </c>
      <c r="Q19" s="70">
        <f t="shared" si="16"/>
        <v>1548242.8922729995</v>
      </c>
      <c r="R19" s="49">
        <f t="shared" si="2"/>
        <v>44.666999999999994</v>
      </c>
      <c r="S19" s="128">
        <f t="shared" si="2"/>
        <v>37.96694999999999</v>
      </c>
      <c r="T19" s="34"/>
      <c r="AA19" s="18"/>
      <c r="AB19" s="18"/>
      <c r="AG19">
        <v>19</v>
      </c>
      <c r="AH19" s="391">
        <v>5740</v>
      </c>
      <c r="AI19" s="401">
        <v>3899782.833333334</v>
      </c>
      <c r="AJ19" s="34">
        <v>13872729.580916673</v>
      </c>
      <c r="AK19" s="15">
        <v>289.50083333333333</v>
      </c>
      <c r="AL19" s="393">
        <v>245.31945833333347</v>
      </c>
    </row>
    <row r="20" spans="1:38" x14ac:dyDescent="0.25">
      <c r="A20" s="74"/>
      <c r="B20" s="196">
        <v>2360</v>
      </c>
      <c r="C20" s="81" t="str">
        <f>VLOOKUP(B20,Orgenheter!$A$3:$C$165,2,FALSE)</f>
        <v xml:space="preserve">Ekonomisk historia            </v>
      </c>
      <c r="D20" s="322" t="str">
        <f t="shared" si="7"/>
        <v/>
      </c>
      <c r="E20" s="70" t="str">
        <f t="shared" si="8"/>
        <v/>
      </c>
      <c r="F20" s="49" t="str">
        <f t="shared" si="9"/>
        <v/>
      </c>
      <c r="G20" s="49" t="str">
        <f t="shared" si="10"/>
        <v/>
      </c>
      <c r="H20" s="322">
        <f t="shared" si="3"/>
        <v>34394</v>
      </c>
      <c r="I20" s="70">
        <f t="shared" si="4"/>
        <v>175440.27454499999</v>
      </c>
      <c r="J20" s="49">
        <f t="shared" si="5"/>
        <v>5.93</v>
      </c>
      <c r="K20" s="49">
        <f t="shared" si="6"/>
        <v>5.0404999999999998</v>
      </c>
      <c r="L20" s="322" t="str">
        <f t="shared" si="11"/>
        <v/>
      </c>
      <c r="M20" s="70" t="str">
        <f t="shared" si="12"/>
        <v/>
      </c>
      <c r="N20" s="120" t="str">
        <f t="shared" si="13"/>
        <v/>
      </c>
      <c r="O20" s="150" t="str">
        <f t="shared" si="14"/>
        <v/>
      </c>
      <c r="P20" s="70">
        <f t="shared" si="15"/>
        <v>34394</v>
      </c>
      <c r="Q20" s="70">
        <f t="shared" si="16"/>
        <v>175440.27454499999</v>
      </c>
      <c r="R20" s="49">
        <f t="shared" si="2"/>
        <v>5.93</v>
      </c>
      <c r="S20" s="128">
        <f t="shared" si="2"/>
        <v>5.0404999999999998</v>
      </c>
      <c r="T20" s="34"/>
      <c r="AA20" s="196"/>
      <c r="AB20" s="196"/>
      <c r="AG20">
        <v>20</v>
      </c>
      <c r="AH20" s="394" t="s">
        <v>781</v>
      </c>
      <c r="AI20" s="402">
        <v>22479801.13333334</v>
      </c>
      <c r="AJ20" s="403">
        <v>84807365.577562511</v>
      </c>
      <c r="AK20" s="404">
        <v>1990.3533333333332</v>
      </c>
      <c r="AL20" s="397">
        <v>1671.6586666666667</v>
      </c>
    </row>
    <row r="21" spans="1:38" x14ac:dyDescent="0.25">
      <c r="A21" s="74"/>
      <c r="B21" s="196">
        <v>2500</v>
      </c>
      <c r="C21" s="81" t="str">
        <f>VLOOKUP(B21,Orgenheter!$A$3:$C$165,2,FALSE)</f>
        <v>Geografi</v>
      </c>
      <c r="D21" s="322">
        <f t="shared" si="7"/>
        <v>52075</v>
      </c>
      <c r="E21" s="70">
        <f t="shared" si="8"/>
        <v>206297.60000000001</v>
      </c>
      <c r="F21" s="49">
        <f t="shared" si="9"/>
        <v>5.875</v>
      </c>
      <c r="G21" s="49">
        <f t="shared" si="10"/>
        <v>4.9937500000000004</v>
      </c>
      <c r="H21" s="322">
        <f t="shared" si="3"/>
        <v>6766.6666666666661</v>
      </c>
      <c r="I21" s="70">
        <f t="shared" si="4"/>
        <v>34516.074249999991</v>
      </c>
      <c r="J21" s="49">
        <f t="shared" si="5"/>
        <v>1.1666666666666665</v>
      </c>
      <c r="K21" s="49">
        <f t="shared" si="6"/>
        <v>0.99166666666666647</v>
      </c>
      <c r="L21" s="322">
        <f t="shared" si="11"/>
        <v>-6462.5</v>
      </c>
      <c r="M21" s="70">
        <f t="shared" si="12"/>
        <v>-25792.226929687502</v>
      </c>
      <c r="N21" s="120">
        <f t="shared" si="13"/>
        <v>-0.8125</v>
      </c>
      <c r="O21" s="150">
        <f t="shared" si="14"/>
        <v>-0.69062500000000004</v>
      </c>
      <c r="P21" s="70">
        <f t="shared" si="15"/>
        <v>52379.166666666664</v>
      </c>
      <c r="Q21" s="70">
        <f t="shared" si="16"/>
        <v>215021.44732031249</v>
      </c>
      <c r="R21" s="49">
        <f t="shared" si="2"/>
        <v>6.2291666666666661</v>
      </c>
      <c r="S21" s="128">
        <f t="shared" si="2"/>
        <v>5.2947916666666668</v>
      </c>
      <c r="T21" s="34"/>
      <c r="AA21" s="196"/>
      <c r="AB21" s="196"/>
      <c r="AG21">
        <v>21</v>
      </c>
    </row>
    <row r="22" spans="1:38" x14ac:dyDescent="0.25">
      <c r="A22" s="74"/>
      <c r="B22" s="196">
        <v>2750</v>
      </c>
      <c r="C22" s="81" t="str">
        <f>VLOOKUP(B22,Orgenheter!$A$3:$C$165,2,FALSE)</f>
        <v xml:space="preserve">Kostvetenskap                 </v>
      </c>
      <c r="D22" s="322">
        <f t="shared" si="7"/>
        <v>906075</v>
      </c>
      <c r="E22" s="70">
        <f t="shared" si="8"/>
        <v>2075270.21875</v>
      </c>
      <c r="F22" s="49">
        <f t="shared" si="9"/>
        <v>45.875</v>
      </c>
      <c r="G22" s="49">
        <f t="shared" si="10"/>
        <v>36.71875</v>
      </c>
      <c r="H22" s="322">
        <f t="shared" si="3"/>
        <v>75037.5</v>
      </c>
      <c r="I22" s="70">
        <f t="shared" si="4"/>
        <v>144892.38296249998</v>
      </c>
      <c r="J22" s="49">
        <f t="shared" si="5"/>
        <v>2.1749999999999998</v>
      </c>
      <c r="K22" s="49">
        <f t="shared" si="6"/>
        <v>1.8337499999999998</v>
      </c>
      <c r="L22" s="322" t="str">
        <f t="shared" si="11"/>
        <v/>
      </c>
      <c r="M22" s="70" t="str">
        <f t="shared" si="12"/>
        <v/>
      </c>
      <c r="N22" s="120" t="str">
        <f t="shared" si="13"/>
        <v/>
      </c>
      <c r="O22" s="150" t="str">
        <f t="shared" si="14"/>
        <v/>
      </c>
      <c r="P22" s="70">
        <f t="shared" si="15"/>
        <v>981112.5</v>
      </c>
      <c r="Q22" s="70">
        <f t="shared" si="16"/>
        <v>2220162.6017124997</v>
      </c>
      <c r="R22" s="49">
        <f t="shared" si="2"/>
        <v>48.05</v>
      </c>
      <c r="S22" s="128">
        <f t="shared" si="2"/>
        <v>38.552500000000002</v>
      </c>
      <c r="AA22" s="196"/>
      <c r="AB22" s="196"/>
      <c r="AG22">
        <v>22</v>
      </c>
    </row>
    <row r="23" spans="1:38" ht="15.75" thickBot="1" x14ac:dyDescent="0.3">
      <c r="A23" s="74"/>
      <c r="B23" s="18"/>
      <c r="C23" s="18"/>
      <c r="D23" s="107"/>
      <c r="E23" s="108"/>
      <c r="F23" s="92"/>
      <c r="G23" s="117"/>
      <c r="H23" s="107"/>
      <c r="I23" s="108"/>
      <c r="J23" s="108"/>
      <c r="K23" s="109"/>
      <c r="L23" s="107"/>
      <c r="M23" s="108"/>
      <c r="N23" s="120"/>
      <c r="O23" s="150"/>
      <c r="P23" s="108"/>
      <c r="Q23" s="108"/>
      <c r="R23" s="108"/>
      <c r="S23" s="130"/>
      <c r="AG23">
        <v>23</v>
      </c>
    </row>
    <row r="24" spans="1:38" ht="15.75" thickBot="1" x14ac:dyDescent="0.3">
      <c r="A24" s="35" t="s">
        <v>37</v>
      </c>
      <c r="B24" s="91"/>
      <c r="C24" s="326"/>
      <c r="D24" s="131">
        <f t="shared" ref="D24:S24" si="17">SUM(D12:D22)</f>
        <v>7127292.2166666705</v>
      </c>
      <c r="E24" s="132">
        <f t="shared" si="17"/>
        <v>37353523.448020838</v>
      </c>
      <c r="F24" s="134">
        <f t="shared" si="17"/>
        <v>926.0454166666666</v>
      </c>
      <c r="G24" s="134">
        <f t="shared" si="17"/>
        <v>776.8802708333327</v>
      </c>
      <c r="H24" s="132">
        <f t="shared" si="17"/>
        <v>1400258.25</v>
      </c>
      <c r="I24" s="132">
        <f t="shared" si="17"/>
        <v>8483329.8906168751</v>
      </c>
      <c r="J24" s="134">
        <f t="shared" si="17"/>
        <v>209.87541666666667</v>
      </c>
      <c r="K24" s="134">
        <f t="shared" si="17"/>
        <v>178.31972916666669</v>
      </c>
      <c r="L24" s="132">
        <f t="shared" si="17"/>
        <v>-1244594.5833333335</v>
      </c>
      <c r="M24" s="132">
        <f t="shared" si="17"/>
        <v>-6582496.8836015621</v>
      </c>
      <c r="N24" s="133">
        <f t="shared" si="17"/>
        <v>-159.97291666666669</v>
      </c>
      <c r="O24" s="325">
        <f t="shared" si="17"/>
        <v>-135.83385416666667</v>
      </c>
      <c r="P24" s="323">
        <f t="shared" si="17"/>
        <v>7282955.8833333375</v>
      </c>
      <c r="Q24" s="143">
        <f t="shared" si="17"/>
        <v>39254356.455036156</v>
      </c>
      <c r="R24" s="144">
        <f t="shared" si="17"/>
        <v>975.94791666666663</v>
      </c>
      <c r="S24" s="145">
        <f t="shared" si="17"/>
        <v>819.36614583333278</v>
      </c>
      <c r="AG24">
        <v>24</v>
      </c>
    </row>
    <row r="25" spans="1:38" x14ac:dyDescent="0.25">
      <c r="A25" s="74"/>
      <c r="B25" s="18"/>
      <c r="C25" s="18"/>
      <c r="D25" s="192"/>
      <c r="E25" s="70"/>
      <c r="F25" s="49"/>
      <c r="G25" s="49"/>
      <c r="H25" s="110"/>
      <c r="I25" s="111"/>
      <c r="J25" s="111"/>
      <c r="K25" s="112"/>
      <c r="L25" s="192"/>
      <c r="M25" s="70"/>
      <c r="N25" s="120"/>
      <c r="O25" s="150"/>
      <c r="P25" s="111"/>
      <c r="Q25" s="111"/>
      <c r="R25" s="111"/>
      <c r="S25" s="146"/>
      <c r="AG25">
        <v>25</v>
      </c>
    </row>
    <row r="26" spans="1:38" ht="29.25" x14ac:dyDescent="0.25">
      <c r="A26" s="187" t="s">
        <v>71</v>
      </c>
      <c r="B26" s="188" t="s">
        <v>564</v>
      </c>
      <c r="C26" s="189" t="s">
        <v>35</v>
      </c>
      <c r="D26" s="194" t="s">
        <v>404</v>
      </c>
      <c r="E26" s="27" t="s">
        <v>415</v>
      </c>
      <c r="F26" s="116" t="s">
        <v>61</v>
      </c>
      <c r="G26" s="116" t="s">
        <v>62</v>
      </c>
      <c r="H26" s="194" t="s">
        <v>404</v>
      </c>
      <c r="I26" s="27" t="s">
        <v>415</v>
      </c>
      <c r="J26" s="116" t="s">
        <v>61</v>
      </c>
      <c r="K26" s="195" t="s">
        <v>62</v>
      </c>
      <c r="L26" s="194" t="s">
        <v>404</v>
      </c>
      <c r="M26" s="27" t="s">
        <v>415</v>
      </c>
      <c r="N26" s="121" t="s">
        <v>61</v>
      </c>
      <c r="O26" s="152" t="s">
        <v>62</v>
      </c>
      <c r="P26" s="118" t="s">
        <v>453</v>
      </c>
      <c r="Q26" s="118" t="s">
        <v>452</v>
      </c>
      <c r="R26" s="27" t="s">
        <v>61</v>
      </c>
      <c r="S26" s="73" t="s">
        <v>62</v>
      </c>
      <c r="T26" s="34"/>
      <c r="AA26" s="64"/>
      <c r="AG26">
        <v>26</v>
      </c>
      <c r="AI26" s="63" t="s">
        <v>403</v>
      </c>
    </row>
    <row r="27" spans="1:38" x14ac:dyDescent="0.25">
      <c r="A27" s="80" t="s">
        <v>413</v>
      </c>
      <c r="B27" s="186">
        <v>3306</v>
      </c>
      <c r="C27" s="81" t="str">
        <f>VLOOKUP(B27,Orgenheter!$A$3:$C$165,2,FALSE)</f>
        <v xml:space="preserve">Idrottsmedicin                </v>
      </c>
      <c r="D27" s="322" t="str">
        <f>IF(ISERROR(VLOOKUP(B27,$AH$3:$AJ$20,2,FALSE)),"",VLOOKUP(B27,$AH$3:$AJ$20,2,FALSE))</f>
        <v/>
      </c>
      <c r="E27" s="70" t="str">
        <f>IF(ISERROR(VLOOKUP(B27,$AH$3:$AJ$20,3,FALSE)),"",VLOOKUP(B27,$AH$3:$AJ$20,3,FALSE))</f>
        <v/>
      </c>
      <c r="F27" s="49" t="str">
        <f>IF(ISERROR(VLOOKUP(B27,$AH$3:$AM$20,4,FALSE)),"",VLOOKUP(B27,$AH$3:$AM$20,4,FALSE))</f>
        <v/>
      </c>
      <c r="G27" s="49" t="str">
        <f>IF(ISERROR(VLOOKUP(B27,$AH$3:$AM$20,5,FALSE)),"",VLOOKUP(B27,$AH$3:$AM$20,5,FALSE))</f>
        <v/>
      </c>
      <c r="H27" s="322">
        <f>IF(ISERROR(VLOOKUP(B27,$AH$28:$AJ$47,2,FALSE)),"",VLOOKUP(B27,$AH$28:$AJ$47,2,FALSE))</f>
        <v>254437.5</v>
      </c>
      <c r="I27" s="70">
        <f>IF(ISERROR(VLOOKUP(B27,$AH$28:$AJ$47,3,FALSE)),"",VLOOKUP(B27,$AH$28:$AJ$47,3,FALSE))</f>
        <v>491143.68337500002</v>
      </c>
      <c r="J27" s="49">
        <f>IF(ISERROR(VLOOKUP(B27,$AH$28:$AM$47,4,FALSE)),"",VLOOKUP(B27,$AH$28:$AM$47,4,FALSE))</f>
        <v>7.375</v>
      </c>
      <c r="K27" s="49">
        <f>IF(ISERROR(VLOOKUP(B27,$AH$28:$AM$47,5,FALSE)),"",VLOOKUP(B27,$AH$28:$AM$47,5,FALSE))</f>
        <v>6.2125000000000004</v>
      </c>
      <c r="L27" s="322" t="str">
        <f>IF(ISERROR(VLOOKUP(B27,$AH$53:$AJ$64,2,FALSE)),"",VLOOKUP(B27,$AH$53:$AJ$64,2,FALSE)*-1)</f>
        <v/>
      </c>
      <c r="M27" s="70" t="str">
        <f>IF(ISERROR(VLOOKUP(B27,$AH$53:$AJ$64,3,FALSE)),"",VLOOKUP(B27,$AH$53:$AJ$64,3,FALSE)*-1)</f>
        <v/>
      </c>
      <c r="N27" s="120" t="str">
        <f>IF(ISERROR(VLOOKUP(B27,$AH$53:$AM$64,4,FALSE)),"",VLOOKUP(B27,$AH$53:$AM$64,4,FALSE)*-1)</f>
        <v/>
      </c>
      <c r="O27" s="150" t="str">
        <f>IF(ISERROR(VLOOKUP(B27,$AH$53:$AM$64,5,FALSE)),"",VLOOKUP(B27,$AH$53:$AM$64,5,FALSE)*-1)</f>
        <v/>
      </c>
      <c r="P27" s="70">
        <f t="shared" ref="P27:S28" si="18">SUM(D27,H27,L27)</f>
        <v>254437.5</v>
      </c>
      <c r="Q27" s="70">
        <f t="shared" si="18"/>
        <v>491143.68337500002</v>
      </c>
      <c r="R27" s="49">
        <f t="shared" si="18"/>
        <v>7.375</v>
      </c>
      <c r="S27" s="128">
        <f t="shared" si="18"/>
        <v>6.2125000000000004</v>
      </c>
      <c r="AA27" s="64"/>
      <c r="AG27">
        <v>27</v>
      </c>
      <c r="AH27" s="63" t="s">
        <v>399</v>
      </c>
      <c r="AI27" t="s">
        <v>919</v>
      </c>
      <c r="AJ27" t="s">
        <v>458</v>
      </c>
      <c r="AK27" t="s">
        <v>449</v>
      </c>
      <c r="AL27" t="s">
        <v>450</v>
      </c>
    </row>
    <row r="28" spans="1:38" x14ac:dyDescent="0.25">
      <c r="A28" s="80"/>
      <c r="B28" s="64">
        <v>3850</v>
      </c>
      <c r="C28" s="81" t="str">
        <f>VLOOKUP(B28,Orgenheter!$A$3:$C$165,2,FALSE)</f>
        <v>Epidemiologi och global hälsa</v>
      </c>
      <c r="D28" s="322" t="str">
        <f>IF(ISERROR(VLOOKUP(B28,$AH$3:$AJ$20,2,FALSE)),"",VLOOKUP(B28,$AH$3:$AJ$20,2,FALSE))</f>
        <v/>
      </c>
      <c r="E28" s="70" t="str">
        <f>IF(ISERROR(VLOOKUP(B28,$AH$3:$AJ$20,3,FALSE)),"",VLOOKUP(B28,$AH$3:$AJ$20,3,FALSE))</f>
        <v/>
      </c>
      <c r="F28" s="49" t="str">
        <f>IF(ISERROR(VLOOKUP(B28,$AH$3:$AM$20,4,FALSE)),"",VLOOKUP(B28,$AH$3:$AM$20,4,FALSE))</f>
        <v/>
      </c>
      <c r="G28" s="49" t="str">
        <f>IF(ISERROR(VLOOKUP(B28,$AH$3:$AM$20,5,FALSE)),"",VLOOKUP(B28,$AH$3:$AM$20,5,FALSE))</f>
        <v/>
      </c>
      <c r="H28" s="322">
        <f>IF(ISERROR(VLOOKUP(B28,$AH$28:$AJ$47,2,FALSE)),"",VLOOKUP(B28,$AH$28:$AJ$47,2,FALSE))</f>
        <v>63250</v>
      </c>
      <c r="I28" s="70">
        <f>IF(ISERROR(VLOOKUP(B28,$AH$28:$AJ$47,3,FALSE)),"",VLOOKUP(B28,$AH$28:$AJ$47,3,FALSE))</f>
        <v>122135.72587499999</v>
      </c>
      <c r="J28" s="49">
        <f>IF(ISERROR(VLOOKUP(B28,$AH$28:$AM$47,4,FALSE)),"",VLOOKUP(B28,$AH$28:$AM$47,4,FALSE))</f>
        <v>1.8333333333333333</v>
      </c>
      <c r="K28" s="49">
        <f>IF(ISERROR(VLOOKUP(B28,$AH$28:$AM$47,5,FALSE)),"",VLOOKUP(B28,$AH$28:$AM$47,5,FALSE))</f>
        <v>1.5458333333333334</v>
      </c>
      <c r="L28" s="322" t="str">
        <f>IF(ISERROR(VLOOKUP(B28,$AH$53:$AJ$64,2,FALSE)),"",VLOOKUP(B28,$AH$53:$AJ$64,2,FALSE)*-1)</f>
        <v/>
      </c>
      <c r="M28" s="70" t="str">
        <f>IF(ISERROR(VLOOKUP(B28,$AH$53:$AJ$64,3,FALSE)),"",VLOOKUP(B28,$AH$53:$AJ$64,3,FALSE)*-1)</f>
        <v/>
      </c>
      <c r="N28" s="120" t="str">
        <f>IF(ISERROR(VLOOKUP(B28,$AH$53:$AM$64,4,FALSE)),"",VLOOKUP(B28,$AH$53:$AM$64,4,FALSE)*-1)</f>
        <v/>
      </c>
      <c r="O28" s="150" t="str">
        <f>IF(ISERROR(VLOOKUP(B28,$AH$53:$AM$64,5,FALSE)),"",VLOOKUP(B28,$AH$53:$AM$64,5,FALSE)*-1)</f>
        <v/>
      </c>
      <c r="P28" s="70">
        <f t="shared" si="18"/>
        <v>63250</v>
      </c>
      <c r="Q28" s="70">
        <f t="shared" si="18"/>
        <v>122135.72587499999</v>
      </c>
      <c r="R28" s="49">
        <f t="shared" si="18"/>
        <v>1.8333333333333333</v>
      </c>
      <c r="S28" s="128">
        <f t="shared" si="18"/>
        <v>1.5458333333333334</v>
      </c>
      <c r="AG28">
        <v>28</v>
      </c>
      <c r="AH28">
        <v>1620</v>
      </c>
      <c r="AI28" s="34">
        <v>145106.5</v>
      </c>
      <c r="AJ28" s="34">
        <v>960318.86118000001</v>
      </c>
      <c r="AK28" s="15">
        <v>22.872499999999999</v>
      </c>
      <c r="AL28" s="15">
        <v>19.441624999999998</v>
      </c>
    </row>
    <row r="29" spans="1:38" ht="15.75" thickBot="1" x14ac:dyDescent="0.3">
      <c r="A29" s="74"/>
      <c r="B29" s="18"/>
      <c r="C29" s="18"/>
      <c r="D29" s="192"/>
      <c r="E29" s="70"/>
      <c r="F29" s="49"/>
      <c r="G29" s="49"/>
      <c r="H29" s="107"/>
      <c r="I29" s="108"/>
      <c r="J29" s="108"/>
      <c r="K29" s="109"/>
      <c r="L29" s="192"/>
      <c r="M29" s="70"/>
      <c r="N29" s="120"/>
      <c r="O29" s="150"/>
      <c r="P29" s="108"/>
      <c r="Q29" s="108"/>
      <c r="R29" s="108"/>
      <c r="S29" s="130"/>
      <c r="AG29">
        <v>29</v>
      </c>
      <c r="AH29">
        <v>1640</v>
      </c>
      <c r="AI29" s="34">
        <v>261091.35</v>
      </c>
      <c r="AJ29" s="34">
        <v>1714734.4471672499</v>
      </c>
      <c r="AK29" s="15">
        <v>45.015749999999997</v>
      </c>
      <c r="AL29" s="15">
        <v>38.2633875</v>
      </c>
    </row>
    <row r="30" spans="1:38" ht="15.75" thickBot="1" x14ac:dyDescent="0.3">
      <c r="A30" s="35" t="s">
        <v>38</v>
      </c>
      <c r="B30" s="91"/>
      <c r="C30" s="326"/>
      <c r="D30" s="131">
        <f t="shared" ref="D30:O30" si="19">SUM(D27)</f>
        <v>0</v>
      </c>
      <c r="E30" s="132">
        <f t="shared" si="19"/>
        <v>0</v>
      </c>
      <c r="F30" s="134">
        <f t="shared" si="19"/>
        <v>0</v>
      </c>
      <c r="G30" s="134">
        <f t="shared" si="19"/>
        <v>0</v>
      </c>
      <c r="H30" s="132">
        <f>SUM(H27:H28)</f>
        <v>317687.5</v>
      </c>
      <c r="I30" s="132">
        <f>SUM(I27:I28)</f>
        <v>613279.40925000003</v>
      </c>
      <c r="J30" s="134">
        <f>SUM(J27:J28)</f>
        <v>9.2083333333333339</v>
      </c>
      <c r="K30" s="134">
        <f>SUM(K27:K28)</f>
        <v>7.7583333333333337</v>
      </c>
      <c r="L30" s="132">
        <f t="shared" si="19"/>
        <v>0</v>
      </c>
      <c r="M30" s="132">
        <f t="shared" si="19"/>
        <v>0</v>
      </c>
      <c r="N30" s="133">
        <f t="shared" si="19"/>
        <v>0</v>
      </c>
      <c r="O30" s="325">
        <f t="shared" si="19"/>
        <v>0</v>
      </c>
      <c r="P30" s="323">
        <f>SUM(P27:P28)</f>
        <v>317687.5</v>
      </c>
      <c r="Q30" s="143">
        <f>SUM(Q27:Q28)</f>
        <v>613279.40925000003</v>
      </c>
      <c r="R30" s="144">
        <f>SUM(R27:R28)</f>
        <v>9.2083333333333339</v>
      </c>
      <c r="S30" s="145">
        <f>SUM(S27:S28)</f>
        <v>7.7583333333333337</v>
      </c>
      <c r="AG30">
        <v>30</v>
      </c>
      <c r="AH30">
        <v>1650</v>
      </c>
      <c r="AI30" s="34">
        <v>31084.833333333336</v>
      </c>
      <c r="AJ30" s="34">
        <v>234508.3014425</v>
      </c>
      <c r="AK30" s="15">
        <v>5.7308333333333339</v>
      </c>
      <c r="AL30" s="15">
        <v>4.8712083333333336</v>
      </c>
    </row>
    <row r="31" spans="1:38" x14ac:dyDescent="0.25">
      <c r="A31" s="74"/>
      <c r="B31" s="18"/>
      <c r="C31" s="18"/>
      <c r="D31" s="192"/>
      <c r="E31" s="70"/>
      <c r="F31" s="49"/>
      <c r="G31" s="193"/>
      <c r="H31" s="110"/>
      <c r="I31" s="111"/>
      <c r="J31" s="111"/>
      <c r="K31" s="112"/>
      <c r="L31" s="192"/>
      <c r="M31" s="70"/>
      <c r="N31" s="120"/>
      <c r="O31" s="150"/>
      <c r="P31" s="111"/>
      <c r="Q31" s="111"/>
      <c r="R31" s="111"/>
      <c r="S31" s="146"/>
      <c r="T31" s="34"/>
      <c r="AG31">
        <v>31</v>
      </c>
      <c r="AH31">
        <v>2180</v>
      </c>
      <c r="AI31" s="34">
        <v>410521.41666666663</v>
      </c>
      <c r="AJ31" s="34">
        <v>2707284.0717461244</v>
      </c>
      <c r="AK31" s="15">
        <v>67.492916666666673</v>
      </c>
      <c r="AL31" s="15">
        <v>57.368979166666662</v>
      </c>
    </row>
    <row r="32" spans="1:38" ht="29.25" x14ac:dyDescent="0.25">
      <c r="A32" s="187" t="s">
        <v>71</v>
      </c>
      <c r="B32" s="188" t="s">
        <v>564</v>
      </c>
      <c r="C32" s="189" t="s">
        <v>35</v>
      </c>
      <c r="D32" s="194" t="s">
        <v>404</v>
      </c>
      <c r="E32" s="27" t="s">
        <v>415</v>
      </c>
      <c r="F32" s="116" t="s">
        <v>61</v>
      </c>
      <c r="G32" s="195" t="s">
        <v>62</v>
      </c>
      <c r="H32" s="194" t="s">
        <v>404</v>
      </c>
      <c r="I32" s="27" t="s">
        <v>415</v>
      </c>
      <c r="J32" s="116" t="s">
        <v>61</v>
      </c>
      <c r="K32" s="195" t="s">
        <v>62</v>
      </c>
      <c r="L32" s="194" t="s">
        <v>404</v>
      </c>
      <c r="M32" s="27" t="s">
        <v>415</v>
      </c>
      <c r="N32" s="121" t="s">
        <v>61</v>
      </c>
      <c r="O32" s="152" t="s">
        <v>62</v>
      </c>
      <c r="P32" s="118" t="s">
        <v>453</v>
      </c>
      <c r="Q32" s="118" t="s">
        <v>452</v>
      </c>
      <c r="R32" s="27" t="s">
        <v>61</v>
      </c>
      <c r="S32" s="73" t="s">
        <v>62</v>
      </c>
      <c r="T32" s="34"/>
      <c r="AG32">
        <v>32</v>
      </c>
      <c r="AH32">
        <v>2193</v>
      </c>
      <c r="AI32" s="34">
        <v>409514.5</v>
      </c>
      <c r="AJ32" s="34">
        <v>2218272.4204275003</v>
      </c>
      <c r="AK32" s="15">
        <v>53.106666666666662</v>
      </c>
      <c r="AL32" s="15">
        <v>45.11066666666666</v>
      </c>
    </row>
    <row r="33" spans="1:38" x14ac:dyDescent="0.25">
      <c r="A33" s="80" t="s">
        <v>412</v>
      </c>
      <c r="B33">
        <v>5100</v>
      </c>
      <c r="C33" s="81" t="str">
        <f>VLOOKUP(B33,Orgenheter!$A$3:$C$165,2,FALSE)</f>
        <v>EMG</v>
      </c>
      <c r="D33" s="322">
        <f>IF(ISERROR(VLOOKUP(B33,$AH$3:$AJ$20,2,FALSE)),"",VLOOKUP(B33,$AH$3:$AJ$20,2,FALSE))</f>
        <v>302475</v>
      </c>
      <c r="E33" s="70">
        <f>IF(ISERROR(VLOOKUP(B33,$AH$3:$AJ$20,3,FALSE)),"",VLOOKUP(B33,$AH$3:$AJ$20,3,FALSE))</f>
        <v>680681.13750000019</v>
      </c>
      <c r="F33" s="49">
        <f>IF(ISERROR(VLOOKUP(B33,$AH$3:$AM$20,4,FALSE)),"",VLOOKUP(B33,$AH$3:$AM$20,4,FALSE))</f>
        <v>13.875</v>
      </c>
      <c r="G33" s="49">
        <f>IF(ISERROR(VLOOKUP(B33,$AH$3:$AM$20,5,FALSE)),"",VLOOKUP(B33,$AH$3:$AM$20,5,FALSE))</f>
        <v>11.793750000000003</v>
      </c>
      <c r="H33" s="322">
        <f>IF(ISERROR(VLOOKUP(B33,$AH$28:$AJ$47,2,FALSE)),"",VLOOKUP(B33,$AH$28:$AJ$47,2,FALSE))</f>
        <v>6462.5</v>
      </c>
      <c r="I33" s="70">
        <f>IF(ISERROR(VLOOKUP(B33,$AH$28:$AJ$47,3,FALSE)),"",VLOOKUP(B33,$AH$28:$AJ$47,3,FALSE))</f>
        <v>25792.226929687502</v>
      </c>
      <c r="J33" s="49">
        <f>IF(ISERROR(VLOOKUP(B33,$AH$28:$AM$47,4,FALSE)),"",VLOOKUP(B33,$AH$28:$AM$47,4,FALSE))</f>
        <v>0.8125</v>
      </c>
      <c r="K33" s="49">
        <f>IF(ISERROR(VLOOKUP(B33,$AH$28:$AM$47,5,FALSE)),"",VLOOKUP(B33,$AH$28:$AM$47,5,FALSE))</f>
        <v>0.69062500000000004</v>
      </c>
      <c r="L33" s="322" t="str">
        <f t="shared" ref="L33:L38" si="20">IF(ISERROR(VLOOKUP(B33,$AH$53:$AJ$64,2,FALSE)),"",VLOOKUP(B33,$AH$53:$AJ$64,2,FALSE)*-1)</f>
        <v/>
      </c>
      <c r="M33" s="70" t="str">
        <f t="shared" ref="M33:M38" si="21">IF(ISERROR(VLOOKUP(B33,$AH$53:$AJ$64,3,FALSE)),"",VLOOKUP(B33,$AH$53:$AJ$64,3,FALSE)*-1)</f>
        <v/>
      </c>
      <c r="N33" s="120" t="str">
        <f t="shared" ref="N33:N38" si="22">IF(ISERROR(VLOOKUP(B33,$AH$53:$AM$64,4,FALSE)),"",VLOOKUP(B33,$AH$53:$AM$64,4,FALSE)*-1)</f>
        <v/>
      </c>
      <c r="O33" s="150" t="str">
        <f t="shared" ref="O33:O38" si="23">IF(ISERROR(VLOOKUP(B33,$AH$53:$AM$64,5,FALSE)),"",VLOOKUP(B33,$AH$53:$AM$64,5,FALSE)*-1)</f>
        <v/>
      </c>
      <c r="P33" s="70">
        <f>SUM(D33,H33,L33)</f>
        <v>308937.5</v>
      </c>
      <c r="Q33" s="70">
        <f>SUM(E33,I33,M33)</f>
        <v>706473.36442968773</v>
      </c>
      <c r="R33" s="49">
        <f>SUM(F33,J33,N33)</f>
        <v>14.6875</v>
      </c>
      <c r="S33" s="128">
        <f>SUM(G33,K33,O33)</f>
        <v>12.484375000000004</v>
      </c>
      <c r="T33" s="34"/>
      <c r="AG33">
        <v>33</v>
      </c>
      <c r="AH33">
        <v>2200</v>
      </c>
      <c r="AI33" s="34">
        <v>251821.5</v>
      </c>
      <c r="AJ33" s="34">
        <v>1749935.15886625</v>
      </c>
      <c r="AK33" s="15">
        <v>43.417499999999997</v>
      </c>
      <c r="AL33" s="15">
        <v>36.875499999999995</v>
      </c>
    </row>
    <row r="34" spans="1:38" x14ac:dyDescent="0.25">
      <c r="B34">
        <v>5160</v>
      </c>
      <c r="C34" s="81" t="s">
        <v>305</v>
      </c>
      <c r="D34" s="322">
        <f t="shared" ref="D34:D38" si="24">IF(ISERROR(VLOOKUP(B34,$AH$3:$AJ$20,2,FALSE)),"",VLOOKUP(B34,$AH$3:$AJ$20,2,FALSE))</f>
        <v>49050</v>
      </c>
      <c r="E34" s="70">
        <f t="shared" ref="E34:E38" si="25">IF(ISERROR(VLOOKUP(B34,$AH$3:$AJ$20,3,FALSE)),"",VLOOKUP(B34,$AH$3:$AJ$20,3,FALSE))</f>
        <v>110380.72499999998</v>
      </c>
      <c r="F34" s="49">
        <f t="shared" ref="F34:F38" si="26">IF(ISERROR(VLOOKUP(B34,$AH$3:$AM$20,4,FALSE)),"",VLOOKUP(B34,$AH$3:$AM$20,4,FALSE))</f>
        <v>2.25</v>
      </c>
      <c r="G34" s="49">
        <f t="shared" ref="G34:G38" si="27">IF(ISERROR(VLOOKUP(B34,$AH$3:$AM$20,5,FALSE)),"",VLOOKUP(B34,$AH$3:$AM$20,5,FALSE))</f>
        <v>1.9124999999999996</v>
      </c>
      <c r="H34" s="322" t="str">
        <f t="shared" ref="H34:H38" si="28">IF(ISERROR(VLOOKUP(B34,$AH$28:$AJ$47,2,FALSE)),"",VLOOKUP(B34,$AH$28:$AJ$47,2,FALSE))</f>
        <v/>
      </c>
      <c r="I34" s="70" t="str">
        <f t="shared" ref="I34:I38" si="29">IF(ISERROR(VLOOKUP(B34,$AH$28:$AJ$47,3,FALSE)),"",VLOOKUP(B34,$AH$28:$AJ$47,3,FALSE))</f>
        <v/>
      </c>
      <c r="J34" s="49" t="str">
        <f t="shared" ref="J34:J38" si="30">IF(ISERROR(VLOOKUP(B34,$AH$28:$AM$47,4,FALSE)),"",VLOOKUP(B34,$AH$28:$AM$47,4,FALSE))</f>
        <v/>
      </c>
      <c r="K34" s="49" t="str">
        <f t="shared" ref="K34:K38" si="31">IF(ISERROR(VLOOKUP(B34,$AH$28:$AM$47,5,FALSE)),"",VLOOKUP(B34,$AH$28:$AM$47,5,FALSE))</f>
        <v/>
      </c>
      <c r="L34" s="322" t="str">
        <f t="shared" si="20"/>
        <v/>
      </c>
      <c r="M34" s="70" t="str">
        <f t="shared" si="21"/>
        <v/>
      </c>
      <c r="N34" s="120" t="str">
        <f t="shared" si="22"/>
        <v/>
      </c>
      <c r="O34" s="150" t="str">
        <f t="shared" si="23"/>
        <v/>
      </c>
      <c r="P34" s="70">
        <f t="shared" ref="P34:P38" si="32">SUM(D34,H34,L34)</f>
        <v>49050</v>
      </c>
      <c r="Q34" s="70">
        <f t="shared" ref="Q34:Q38" si="33">SUM(E34,I34,M34)</f>
        <v>110380.72499999998</v>
      </c>
      <c r="R34" s="49">
        <f t="shared" ref="R34:R38" si="34">SUM(F34,J34,N34)</f>
        <v>2.25</v>
      </c>
      <c r="S34" s="128">
        <f t="shared" ref="S34:S38" si="35">SUM(G34,K34,O34)</f>
        <v>1.9124999999999996</v>
      </c>
      <c r="T34" s="34"/>
      <c r="AA34" s="18"/>
      <c r="AG34">
        <v>34</v>
      </c>
      <c r="AH34">
        <v>2220</v>
      </c>
      <c r="AI34" s="34">
        <v>24360</v>
      </c>
      <c r="AJ34" s="34">
        <v>124257.86729999998</v>
      </c>
      <c r="AK34" s="15">
        <v>4.2</v>
      </c>
      <c r="AL34" s="15">
        <v>3.57</v>
      </c>
    </row>
    <row r="35" spans="1:38" x14ac:dyDescent="0.25">
      <c r="A35" s="74"/>
      <c r="B35">
        <v>5400</v>
      </c>
      <c r="C35" s="81" t="str">
        <f>VLOOKUP(B35,Orgenheter!$A$3:$C$165,2,FALSE)</f>
        <v xml:space="preserve">Inst för Fysik                </v>
      </c>
      <c r="D35" s="322">
        <f t="shared" si="24"/>
        <v>84475</v>
      </c>
      <c r="E35" s="70">
        <f t="shared" si="25"/>
        <v>190100.13750000001</v>
      </c>
      <c r="F35" s="49">
        <f t="shared" si="26"/>
        <v>3.8750000000000004</v>
      </c>
      <c r="G35" s="49">
        <f t="shared" si="27"/>
        <v>3.2937500000000011</v>
      </c>
      <c r="H35" s="322" t="str">
        <f t="shared" si="28"/>
        <v/>
      </c>
      <c r="I35" s="70" t="str">
        <f t="shared" si="29"/>
        <v/>
      </c>
      <c r="J35" s="49" t="str">
        <f t="shared" si="30"/>
        <v/>
      </c>
      <c r="K35" s="49" t="str">
        <f t="shared" si="31"/>
        <v/>
      </c>
      <c r="L35" s="322" t="str">
        <f t="shared" si="20"/>
        <v/>
      </c>
      <c r="M35" s="70" t="str">
        <f t="shared" si="21"/>
        <v/>
      </c>
      <c r="N35" s="120" t="str">
        <f t="shared" si="22"/>
        <v/>
      </c>
      <c r="O35" s="150" t="str">
        <f t="shared" si="23"/>
        <v/>
      </c>
      <c r="P35" s="70">
        <f t="shared" si="32"/>
        <v>84475</v>
      </c>
      <c r="Q35" s="70">
        <f t="shared" si="33"/>
        <v>190100.13750000001</v>
      </c>
      <c r="R35" s="49">
        <f t="shared" si="34"/>
        <v>3.8750000000000004</v>
      </c>
      <c r="S35" s="128">
        <f t="shared" si="35"/>
        <v>3.2937500000000011</v>
      </c>
      <c r="T35" s="34"/>
      <c r="AA35" s="18"/>
      <c r="AG35">
        <v>35</v>
      </c>
      <c r="AH35">
        <v>2271</v>
      </c>
      <c r="AI35" s="34">
        <v>25491</v>
      </c>
      <c r="AJ35" s="34">
        <v>130026.9825675</v>
      </c>
      <c r="AK35" s="15">
        <v>4.3949999999999996</v>
      </c>
      <c r="AL35" s="15">
        <v>3.7357500000000003</v>
      </c>
    </row>
    <row r="36" spans="1:38" x14ac:dyDescent="0.25">
      <c r="B36">
        <v>5410</v>
      </c>
      <c r="C36" s="81" t="str">
        <f>VLOOKUP(B36,Orgenheter!$A$3:$C$165,2,FALSE)</f>
        <v>TFE</v>
      </c>
      <c r="D36" s="322">
        <f t="shared" si="24"/>
        <v>2180</v>
      </c>
      <c r="E36" s="70">
        <f t="shared" si="25"/>
        <v>4905.8100000000004</v>
      </c>
      <c r="F36" s="49">
        <f t="shared" si="26"/>
        <v>0.1</v>
      </c>
      <c r="G36" s="49">
        <f t="shared" si="27"/>
        <v>8.5000000000000006E-2</v>
      </c>
      <c r="H36" s="322" t="str">
        <f t="shared" si="28"/>
        <v/>
      </c>
      <c r="I36" s="70" t="str">
        <f t="shared" si="29"/>
        <v/>
      </c>
      <c r="J36" s="49" t="str">
        <f t="shared" si="30"/>
        <v/>
      </c>
      <c r="K36" s="49" t="str">
        <f t="shared" si="31"/>
        <v/>
      </c>
      <c r="L36" s="322" t="str">
        <f t="shared" si="20"/>
        <v/>
      </c>
      <c r="M36" s="70" t="str">
        <f t="shared" si="21"/>
        <v/>
      </c>
      <c r="N36" s="120" t="str">
        <f t="shared" si="22"/>
        <v/>
      </c>
      <c r="O36" s="150" t="str">
        <f t="shared" si="23"/>
        <v/>
      </c>
      <c r="P36" s="70">
        <f t="shared" si="32"/>
        <v>2180</v>
      </c>
      <c r="Q36" s="70">
        <f t="shared" si="33"/>
        <v>4905.8100000000004</v>
      </c>
      <c r="R36" s="49">
        <f t="shared" si="34"/>
        <v>0.1</v>
      </c>
      <c r="S36" s="128">
        <f t="shared" si="35"/>
        <v>8.5000000000000006E-2</v>
      </c>
      <c r="T36" s="34"/>
      <c r="AA36" s="18"/>
      <c r="AG36">
        <v>36</v>
      </c>
      <c r="AH36">
        <v>2272</v>
      </c>
      <c r="AI36" s="34">
        <v>51627.733333333344</v>
      </c>
      <c r="AJ36" s="34">
        <v>398258.67598400003</v>
      </c>
      <c r="AK36" s="15">
        <v>8.9013333333333353</v>
      </c>
      <c r="AL36" s="15">
        <v>7.5661333333333314</v>
      </c>
    </row>
    <row r="37" spans="1:38" x14ac:dyDescent="0.25">
      <c r="A37" s="74"/>
      <c r="B37" s="18">
        <v>5500</v>
      </c>
      <c r="C37" s="81" t="str">
        <f>VLOOKUP(B37,Orgenheter!$A$3:$C$165,2,FALSE)</f>
        <v xml:space="preserve">Kemiska institutionen         </v>
      </c>
      <c r="D37" s="322">
        <f t="shared" si="24"/>
        <v>98100</v>
      </c>
      <c r="E37" s="70">
        <f t="shared" si="25"/>
        <v>220761.44999999992</v>
      </c>
      <c r="F37" s="49">
        <f t="shared" si="26"/>
        <v>4.5</v>
      </c>
      <c r="G37" s="49">
        <f t="shared" si="27"/>
        <v>3.8249999999999988</v>
      </c>
      <c r="H37" s="322" t="str">
        <f t="shared" si="28"/>
        <v/>
      </c>
      <c r="I37" s="70" t="str">
        <f t="shared" si="29"/>
        <v/>
      </c>
      <c r="J37" s="49" t="str">
        <f t="shared" si="30"/>
        <v/>
      </c>
      <c r="K37" s="49" t="str">
        <f t="shared" si="31"/>
        <v/>
      </c>
      <c r="L37" s="322" t="str">
        <f t="shared" si="20"/>
        <v/>
      </c>
      <c r="M37" s="70" t="str">
        <f t="shared" si="21"/>
        <v/>
      </c>
      <c r="N37" s="120" t="str">
        <f t="shared" si="22"/>
        <v/>
      </c>
      <c r="O37" s="150" t="str">
        <f t="shared" si="23"/>
        <v/>
      </c>
      <c r="P37" s="70">
        <f t="shared" si="32"/>
        <v>98100</v>
      </c>
      <c r="Q37" s="70">
        <f t="shared" si="33"/>
        <v>220761.44999999992</v>
      </c>
      <c r="R37" s="49">
        <f t="shared" si="34"/>
        <v>4.5</v>
      </c>
      <c r="S37" s="128">
        <f t="shared" si="35"/>
        <v>3.8249999999999988</v>
      </c>
      <c r="AG37">
        <v>37</v>
      </c>
      <c r="AH37">
        <v>2300</v>
      </c>
      <c r="AI37" s="34">
        <v>82060.333333333343</v>
      </c>
      <c r="AJ37" s="34">
        <v>633017.13234500005</v>
      </c>
      <c r="AK37" s="15">
        <v>14.148333333333333</v>
      </c>
      <c r="AL37" s="15">
        <v>12.026083333333332</v>
      </c>
    </row>
    <row r="38" spans="1:38" x14ac:dyDescent="0.25">
      <c r="B38" s="159">
        <v>5700</v>
      </c>
      <c r="C38" s="81" t="str">
        <f>VLOOKUP(B38,Orgenheter!$A$3:$C$165,2,FALSE)</f>
        <v xml:space="preserve">Inst för datavetenskap        </v>
      </c>
      <c r="D38" s="447">
        <f t="shared" si="24"/>
        <v>29975</v>
      </c>
      <c r="E38" s="190">
        <f t="shared" si="25"/>
        <v>65279.512499999997</v>
      </c>
      <c r="F38" s="15">
        <f t="shared" si="26"/>
        <v>1.375</v>
      </c>
      <c r="G38" s="15">
        <f t="shared" si="27"/>
        <v>1.10625</v>
      </c>
      <c r="H38" s="447" t="str">
        <f t="shared" si="28"/>
        <v/>
      </c>
      <c r="I38" s="190" t="str">
        <f t="shared" si="29"/>
        <v/>
      </c>
      <c r="J38" s="269" t="str">
        <f t="shared" si="30"/>
        <v/>
      </c>
      <c r="K38" s="269" t="str">
        <f t="shared" si="31"/>
        <v/>
      </c>
      <c r="L38" s="447" t="str">
        <f t="shared" si="20"/>
        <v/>
      </c>
      <c r="M38" s="190" t="str">
        <f t="shared" si="21"/>
        <v/>
      </c>
      <c r="N38" s="26" t="str">
        <f t="shared" si="22"/>
        <v/>
      </c>
      <c r="O38" s="150" t="str">
        <f t="shared" si="23"/>
        <v/>
      </c>
      <c r="P38" s="190">
        <f t="shared" si="32"/>
        <v>29975</v>
      </c>
      <c r="Q38" s="190">
        <f t="shared" si="33"/>
        <v>65279.512499999997</v>
      </c>
      <c r="R38" s="269">
        <f t="shared" si="34"/>
        <v>1.375</v>
      </c>
      <c r="S38" s="448">
        <f t="shared" si="35"/>
        <v>1.10625</v>
      </c>
      <c r="AG38">
        <v>38</v>
      </c>
      <c r="AH38">
        <v>2340</v>
      </c>
      <c r="AI38" s="34">
        <v>28663.599999999995</v>
      </c>
      <c r="AJ38" s="34">
        <v>167428.84962299999</v>
      </c>
      <c r="AK38" s="15">
        <v>4.9419999999999993</v>
      </c>
      <c r="AL38" s="15">
        <v>4.2006999999999994</v>
      </c>
    </row>
    <row r="39" spans="1:38" x14ac:dyDescent="0.25">
      <c r="A39" s="74"/>
      <c r="B39" s="18">
        <v>5730</v>
      </c>
      <c r="C39" s="81" t="str">
        <f>VLOOKUP(B39,Orgenheter!$A$3:$C$165,2,FALSE)</f>
        <v>Inst för MA och MA statistik</v>
      </c>
      <c r="D39" s="322">
        <f>IF(ISERROR(VLOOKUP(B39,$AH$3:$AJ$20,2,FALSE)),"",VLOOKUP(B39,$AH$3:$AJ$20,2,FALSE))</f>
        <v>727205</v>
      </c>
      <c r="E39" s="70">
        <f>IF(ISERROR(VLOOKUP(B39,$AH$3:$AJ$20,3,FALSE)),"",VLOOKUP(B39,$AH$3:$AJ$20,3,FALSE))</f>
        <v>1798044.8199999987</v>
      </c>
      <c r="F39" s="49">
        <f>IF(ISERROR(VLOOKUP(B39,$AH$3:$AM$20,4,FALSE)),"",VLOOKUP(B39,$AH$3:$AM$20,4,FALSE))</f>
        <v>37.32500000000001</v>
      </c>
      <c r="G39" s="49">
        <f>IF(ISERROR(VLOOKUP(B39,$AH$3:$AM$20,5,FALSE)),"",VLOOKUP(B39,$AH$3:$AM$20,5,FALSE))</f>
        <v>31.382499999999986</v>
      </c>
      <c r="H39" s="322">
        <f>IF(ISERROR(VLOOKUP(B39,$AH$28:$AJ$47,2,FALSE)),"",VLOOKUP(B39,$AH$28:$AJ$47,2,FALSE))</f>
        <v>77208.333333333328</v>
      </c>
      <c r="I39" s="70">
        <f>IF(ISERROR(VLOOKUP(B39,$AH$28:$AJ$47,3,FALSE)),"",VLOOKUP(B39,$AH$28:$AJ$47,3,FALSE))</f>
        <v>161585.11687499998</v>
      </c>
      <c r="J39" s="49">
        <f>IF(ISERROR(VLOOKUP(B39,$AH$28:$AM$47,4,FALSE)),"",VLOOKUP(B39,$AH$28:$AM$47,4,FALSE))</f>
        <v>3.5416666666666665</v>
      </c>
      <c r="K39" s="49">
        <f>IF(ISERROR(VLOOKUP(B39,$AH$28:$AM$47,5,FALSE)),"",VLOOKUP(B39,$AH$28:$AM$47,5,FALSE))</f>
        <v>3.0104166666666665</v>
      </c>
      <c r="L39" s="322" t="str">
        <f>IF(ISERROR(VLOOKUP(B39,$AH$53:$AJ$64,2,FALSE)),"",VLOOKUP(B39,$AH$53:$AJ$64,2,FALSE)*-1)</f>
        <v/>
      </c>
      <c r="M39" s="70" t="str">
        <f>IF(ISERROR(VLOOKUP(B39,$AH$53:$AJ$64,3,FALSE)),"",VLOOKUP(B39,$AH$53:$AJ$64,3,FALSE)*-1)</f>
        <v/>
      </c>
      <c r="N39" s="120" t="str">
        <f>IF(ISERROR(VLOOKUP(B39,$AH$53:$AM$64,4,FALSE)),"",VLOOKUP(B39,$AH$53:$AM$64,4,FALSE)*-1)</f>
        <v/>
      </c>
      <c r="O39" s="150" t="str">
        <f>IF(ISERROR(VLOOKUP(B39,$AH$53:$AM$64,5,FALSE)),"",VLOOKUP(B39,$AH$53:$AM$64,5,FALSE)*-1)</f>
        <v/>
      </c>
      <c r="P39" s="70">
        <f t="shared" ref="P39:S40" si="36">SUM(D39,H39,L39)</f>
        <v>804413.33333333337</v>
      </c>
      <c r="Q39" s="70">
        <f t="shared" si="36"/>
        <v>1959629.9368749987</v>
      </c>
      <c r="R39" s="49">
        <f t="shared" si="36"/>
        <v>40.866666666666674</v>
      </c>
      <c r="S39" s="128">
        <f t="shared" si="36"/>
        <v>34.39291666666665</v>
      </c>
      <c r="AG39">
        <v>39</v>
      </c>
      <c r="AH39">
        <v>2360</v>
      </c>
      <c r="AI39" s="34">
        <v>34394</v>
      </c>
      <c r="AJ39" s="34">
        <v>175440.27454499999</v>
      </c>
      <c r="AK39" s="15">
        <v>5.93</v>
      </c>
      <c r="AL39" s="15">
        <v>5.0404999999999998</v>
      </c>
    </row>
    <row r="40" spans="1:38" x14ac:dyDescent="0.25">
      <c r="A40" s="74"/>
      <c r="B40" s="18">
        <v>5740</v>
      </c>
      <c r="C40" s="81" t="str">
        <f>VLOOKUP(B40,Orgenheter!$A$3:$C$165,2,FALSE)</f>
        <v>NMD</v>
      </c>
      <c r="D40" s="322">
        <f>IF(ISERROR(VLOOKUP(B40,$AH$3:$AJ$20,2,FALSE)),"",VLOOKUP(B40,$AH$3:$AJ$20,2,FALSE))</f>
        <v>3899782.833333334</v>
      </c>
      <c r="E40" s="70">
        <f>IF(ISERROR(VLOOKUP(B40,$AH$3:$AJ$20,3,FALSE)),"",VLOOKUP(B40,$AH$3:$AJ$20,3,FALSE))</f>
        <v>13872729.580916673</v>
      </c>
      <c r="F40" s="49">
        <f>IF(ISERROR(VLOOKUP(B40,$AH$3:$AM$20,4,FALSE)),"",VLOOKUP(B40,$AH$3:$AM$20,4,FALSE))</f>
        <v>289.50083333333333</v>
      </c>
      <c r="G40" s="49">
        <f>IF(ISERROR(VLOOKUP(B40,$AH$3:$AM$20,5,FALSE)),"",VLOOKUP(B40,$AH$3:$AM$20,5,FALSE))</f>
        <v>245.31945833333347</v>
      </c>
      <c r="H40" s="322">
        <f>IF(ISERROR(VLOOKUP(B40,$AH$28:$AJ$47,2,FALSE)),"",VLOOKUP(B40,$AH$28:$AJ$47,2,FALSE))</f>
        <v>79750.000000000015</v>
      </c>
      <c r="I40" s="70">
        <f>IF(ISERROR(VLOOKUP(B40,$AH$28:$AJ$47,3,FALSE)),"",VLOOKUP(B40,$AH$28:$AJ$47,3,FALSE))</f>
        <v>532977.67110000004</v>
      </c>
      <c r="J40" s="49">
        <f>IF(ISERROR(VLOOKUP(B40,$AH$28:$AM$47,4,FALSE)),"",VLOOKUP(B40,$AH$28:$AM$47,4,FALSE))</f>
        <v>14.55</v>
      </c>
      <c r="K40" s="49">
        <f>IF(ISERROR(VLOOKUP(B40,$AH$28:$AM$47,5,FALSE)),"",VLOOKUP(B40,$AH$28:$AM$47,5,FALSE))</f>
        <v>12.3675</v>
      </c>
      <c r="L40" s="322">
        <f>IF(ISERROR(VLOOKUP(B40,$AH$53:$AJ$64,2,FALSE)),"",VLOOKUP(B40,$AH$53:$AJ$64,2,FALSE)*-1)</f>
        <v>-531082.66666666674</v>
      </c>
      <c r="M40" s="70">
        <f>IF(ISERROR(VLOOKUP(B40,$AH$53:$AJ$64,3,FALSE)),"",VLOOKUP(B40,$AH$53:$AJ$64,3,FALSE)*-1)</f>
        <v>-2895878.7946900004</v>
      </c>
      <c r="N40" s="120">
        <f>IF(ISERROR(VLOOKUP(B40,$AH$53:$AM$64,4,FALSE)),"",VLOOKUP(B40,$AH$53:$AM$64,4,FALSE)*-1)</f>
        <v>-65.446666666666673</v>
      </c>
      <c r="O40" s="150">
        <f>IF(ISERROR(VLOOKUP(B40,$AH$53:$AM$64,5,FALSE)),"",VLOOKUP(B40,$AH$53:$AM$64,5,FALSE)*-1)</f>
        <v>-55.629666666666679</v>
      </c>
      <c r="P40" s="70">
        <f t="shared" si="36"/>
        <v>3448450.166666667</v>
      </c>
      <c r="Q40" s="70">
        <f t="shared" si="36"/>
        <v>11509828.457326673</v>
      </c>
      <c r="R40" s="49">
        <f t="shared" si="36"/>
        <v>238.60416666666669</v>
      </c>
      <c r="S40" s="128">
        <f t="shared" si="36"/>
        <v>202.05729166666677</v>
      </c>
      <c r="AG40">
        <v>40</v>
      </c>
      <c r="AH40">
        <v>2500</v>
      </c>
      <c r="AI40" s="34">
        <v>6766.6666666666661</v>
      </c>
      <c r="AJ40" s="34">
        <v>34516.074249999991</v>
      </c>
      <c r="AK40" s="15">
        <v>1.1666666666666665</v>
      </c>
      <c r="AL40" s="15">
        <v>0.99166666666666647</v>
      </c>
    </row>
    <row r="41" spans="1:38" ht="15.75" thickBot="1" x14ac:dyDescent="0.3">
      <c r="A41" s="74"/>
      <c r="B41" s="18"/>
      <c r="C41" s="18"/>
      <c r="D41" s="197"/>
      <c r="E41" s="18"/>
      <c r="F41" s="49"/>
      <c r="G41" s="193"/>
      <c r="H41" s="147"/>
      <c r="I41" s="82"/>
      <c r="J41" s="82"/>
      <c r="K41" s="148"/>
      <c r="L41" s="192"/>
      <c r="M41" s="70"/>
      <c r="N41" s="120"/>
      <c r="O41" s="150"/>
      <c r="P41" s="82"/>
      <c r="Q41" s="82"/>
      <c r="R41" s="82"/>
      <c r="S41" s="99"/>
      <c r="AG41">
        <v>41</v>
      </c>
      <c r="AH41">
        <v>2750</v>
      </c>
      <c r="AI41" s="34">
        <v>75037.5</v>
      </c>
      <c r="AJ41" s="34">
        <v>144892.38296249998</v>
      </c>
      <c r="AK41" s="15">
        <v>2.1749999999999998</v>
      </c>
      <c r="AL41" s="15">
        <v>1.8337499999999998</v>
      </c>
    </row>
    <row r="42" spans="1:38" ht="15.75" thickBot="1" x14ac:dyDescent="0.3">
      <c r="A42" s="135" t="s">
        <v>39</v>
      </c>
      <c r="B42" s="91"/>
      <c r="C42" s="326"/>
      <c r="D42" s="131">
        <f t="shared" ref="D42:S42" si="37">SUM(D33:D40)</f>
        <v>5193242.833333334</v>
      </c>
      <c r="E42" s="132">
        <f t="shared" si="37"/>
        <v>16942883.17341667</v>
      </c>
      <c r="F42" s="134">
        <f t="shared" si="37"/>
        <v>352.80083333333334</v>
      </c>
      <c r="G42" s="134">
        <f t="shared" si="37"/>
        <v>298.71820833333345</v>
      </c>
      <c r="H42" s="132">
        <f t="shared" si="37"/>
        <v>163420.83333333334</v>
      </c>
      <c r="I42" s="132">
        <f t="shared" si="37"/>
        <v>720355.01490468753</v>
      </c>
      <c r="J42" s="134">
        <f t="shared" si="37"/>
        <v>18.904166666666669</v>
      </c>
      <c r="K42" s="134">
        <f t="shared" si="37"/>
        <v>16.068541666666668</v>
      </c>
      <c r="L42" s="132">
        <f t="shared" si="37"/>
        <v>-531082.66666666674</v>
      </c>
      <c r="M42" s="132">
        <f t="shared" si="37"/>
        <v>-2895878.7946900004</v>
      </c>
      <c r="N42" s="133">
        <f t="shared" si="37"/>
        <v>-65.446666666666673</v>
      </c>
      <c r="O42" s="325">
        <f t="shared" si="37"/>
        <v>-55.629666666666679</v>
      </c>
      <c r="P42" s="324">
        <f t="shared" si="37"/>
        <v>4825581</v>
      </c>
      <c r="Q42" s="136">
        <f t="shared" si="37"/>
        <v>14767359.39363136</v>
      </c>
      <c r="R42" s="137">
        <f t="shared" si="37"/>
        <v>306.25833333333333</v>
      </c>
      <c r="S42" s="142">
        <f t="shared" si="37"/>
        <v>259.15708333333345</v>
      </c>
      <c r="AG42">
        <v>42</v>
      </c>
      <c r="AH42">
        <v>3306</v>
      </c>
      <c r="AI42" s="34">
        <v>254437.5</v>
      </c>
      <c r="AJ42" s="34">
        <v>491143.68337500002</v>
      </c>
      <c r="AK42" s="15">
        <v>7.375</v>
      </c>
      <c r="AL42" s="15">
        <v>6.2125000000000004</v>
      </c>
    </row>
    <row r="43" spans="1:38" ht="15.75" thickBot="1" x14ac:dyDescent="0.3">
      <c r="O43" s="150"/>
      <c r="S43" s="75"/>
      <c r="AG43">
        <v>43</v>
      </c>
      <c r="AH43">
        <v>3850</v>
      </c>
      <c r="AI43" s="34">
        <v>63250</v>
      </c>
      <c r="AJ43" s="34">
        <v>122135.72587499999</v>
      </c>
      <c r="AK43" s="15">
        <v>1.8333333333333333</v>
      </c>
      <c r="AL43" s="15">
        <v>1.5458333333333334</v>
      </c>
    </row>
    <row r="44" spans="1:38" ht="15" customHeight="1" thickBot="1" x14ac:dyDescent="0.3">
      <c r="A44" s="153" t="s">
        <v>159</v>
      </c>
      <c r="B44" s="154"/>
      <c r="C44" s="154"/>
      <c r="D44" s="329">
        <f t="shared" ref="D44:S44" si="38">D9+D24+D30+D42</f>
        <v>22479801.13333334</v>
      </c>
      <c r="E44" s="330">
        <f t="shared" si="38"/>
        <v>84807365.577562511</v>
      </c>
      <c r="F44" s="331">
        <f t="shared" si="38"/>
        <v>1990.3533333333335</v>
      </c>
      <c r="G44" s="332">
        <f t="shared" si="38"/>
        <v>1671.6586666666665</v>
      </c>
      <c r="H44" s="329">
        <f t="shared" si="38"/>
        <v>2318649.2666666671</v>
      </c>
      <c r="I44" s="330">
        <f t="shared" si="38"/>
        <v>12726525.924561312</v>
      </c>
      <c r="J44" s="331">
        <f t="shared" si="38"/>
        <v>311.60699999999997</v>
      </c>
      <c r="K44" s="332">
        <f t="shared" si="38"/>
        <v>264.722825</v>
      </c>
      <c r="L44" s="329">
        <f t="shared" si="38"/>
        <v>-2318649.2666666666</v>
      </c>
      <c r="M44" s="330">
        <f t="shared" si="38"/>
        <v>-12726525.924561312</v>
      </c>
      <c r="N44" s="331">
        <f t="shared" si="38"/>
        <v>-311.60700000000003</v>
      </c>
      <c r="O44" s="332">
        <f t="shared" si="38"/>
        <v>-264.72282500000006</v>
      </c>
      <c r="P44" s="329">
        <f t="shared" si="38"/>
        <v>22479801.133333337</v>
      </c>
      <c r="Q44" s="330">
        <f t="shared" si="38"/>
        <v>84807365.577562526</v>
      </c>
      <c r="R44" s="331">
        <f t="shared" si="38"/>
        <v>1990.3533333333335</v>
      </c>
      <c r="S44" s="332">
        <f t="shared" si="38"/>
        <v>1671.6586666666665</v>
      </c>
      <c r="AG44">
        <v>44</v>
      </c>
      <c r="AH44">
        <v>5100</v>
      </c>
      <c r="AI44" s="34">
        <v>6462.5</v>
      </c>
      <c r="AJ44" s="34">
        <v>25792.226929687502</v>
      </c>
      <c r="AK44" s="15">
        <v>0.8125</v>
      </c>
      <c r="AL44" s="15">
        <v>0.69062500000000004</v>
      </c>
    </row>
    <row r="45" spans="1:38" x14ac:dyDescent="0.25">
      <c r="AG45">
        <v>45</v>
      </c>
      <c r="AH45">
        <v>5730</v>
      </c>
      <c r="AI45" s="34">
        <v>77208.333333333328</v>
      </c>
      <c r="AJ45" s="34">
        <v>161585.11687499998</v>
      </c>
      <c r="AK45" s="15">
        <v>3.5416666666666665</v>
      </c>
      <c r="AL45" s="15">
        <v>3.0104166666666665</v>
      </c>
    </row>
    <row r="46" spans="1:38" x14ac:dyDescent="0.25">
      <c r="C46" s="305"/>
      <c r="D46" s="301" t="s">
        <v>467</v>
      </c>
      <c r="E46" s="302" t="s">
        <v>468</v>
      </c>
      <c r="F46"/>
      <c r="O46" s="191"/>
      <c r="P46" s="190"/>
      <c r="Q46" s="159"/>
      <c r="R46" s="159"/>
      <c r="AG46">
        <v>46</v>
      </c>
      <c r="AH46">
        <v>5740</v>
      </c>
      <c r="AI46" s="34">
        <v>79750.000000000015</v>
      </c>
      <c r="AJ46" s="34">
        <v>532977.67110000004</v>
      </c>
      <c r="AK46" s="15">
        <v>14.55</v>
      </c>
      <c r="AL46" s="15">
        <v>12.3675</v>
      </c>
    </row>
    <row r="47" spans="1:38" ht="15.75" thickBot="1" x14ac:dyDescent="0.3">
      <c r="C47" s="306"/>
      <c r="D47" s="18" t="s">
        <v>820</v>
      </c>
      <c r="E47" s="304"/>
      <c r="F47"/>
      <c r="O47" s="167"/>
      <c r="P47" s="339">
        <f>D49</f>
        <v>-1064987.5</v>
      </c>
      <c r="Q47" s="339">
        <f>E49</f>
        <v>-688036.10000000009</v>
      </c>
      <c r="R47" s="159"/>
      <c r="U47" s="26"/>
      <c r="AG47">
        <v>47</v>
      </c>
      <c r="AH47" t="s">
        <v>781</v>
      </c>
      <c r="AI47" s="34">
        <v>2318649.2666666671</v>
      </c>
      <c r="AJ47" s="34">
        <v>12726525.924561314</v>
      </c>
      <c r="AK47" s="15">
        <v>311.60700000000003</v>
      </c>
      <c r="AL47" s="15">
        <v>264.722825</v>
      </c>
    </row>
    <row r="48" spans="1:38" ht="16.5" thickBot="1" x14ac:dyDescent="0.3">
      <c r="C48" s="306"/>
      <c r="D48" s="70"/>
      <c r="E48" s="307"/>
      <c r="F48" s="34"/>
      <c r="O48" s="167"/>
      <c r="P48" s="329">
        <f>P44+P47</f>
        <v>21414813.633333337</v>
      </c>
      <c r="Q48" s="329">
        <f>Q44+Q47</f>
        <v>84119329.477562532</v>
      </c>
      <c r="R48" s="159"/>
      <c r="AG48">
        <v>48</v>
      </c>
    </row>
    <row r="49" spans="3:38" x14ac:dyDescent="0.25">
      <c r="C49" s="306" t="s">
        <v>821</v>
      </c>
      <c r="D49" s="70">
        <f>U7</f>
        <v>-1064987.5</v>
      </c>
      <c r="E49" s="307">
        <f>V7</f>
        <v>-688036.10000000009</v>
      </c>
      <c r="F49" s="34"/>
      <c r="O49" s="167"/>
      <c r="P49" s="269"/>
      <c r="Q49" s="159"/>
      <c r="R49" s="159"/>
      <c r="AG49">
        <v>49</v>
      </c>
    </row>
    <row r="50" spans="3:38" x14ac:dyDescent="0.25">
      <c r="C50" s="303"/>
      <c r="D50" s="70">
        <f>P7</f>
        <v>7321334.833333333</v>
      </c>
      <c r="E50" s="307">
        <f>Q7</f>
        <v>12910455.094492491</v>
      </c>
      <c r="P50" s="26"/>
      <c r="AG50">
        <v>50</v>
      </c>
    </row>
    <row r="51" spans="3:38" x14ac:dyDescent="0.25">
      <c r="C51" s="308"/>
      <c r="D51" s="311">
        <f>SUM(D49:D50)</f>
        <v>6256347.333333333</v>
      </c>
      <c r="E51" s="312">
        <f>SUM(E49:E50)</f>
        <v>12222418.994492492</v>
      </c>
      <c r="P51" s="15"/>
      <c r="AG51">
        <v>51</v>
      </c>
      <c r="AI51" s="63" t="s">
        <v>403</v>
      </c>
    </row>
    <row r="52" spans="3:38" x14ac:dyDescent="0.25">
      <c r="AG52">
        <v>52</v>
      </c>
      <c r="AH52" s="63" t="s">
        <v>327</v>
      </c>
      <c r="AI52" t="s">
        <v>919</v>
      </c>
      <c r="AJ52" t="s">
        <v>458</v>
      </c>
      <c r="AK52" t="s">
        <v>449</v>
      </c>
      <c r="AL52" t="s">
        <v>451</v>
      </c>
    </row>
    <row r="53" spans="3:38" x14ac:dyDescent="0.25">
      <c r="AG53">
        <v>53</v>
      </c>
      <c r="AH53">
        <v>1620</v>
      </c>
      <c r="AI53" s="34">
        <v>178495</v>
      </c>
      <c r="AJ53" s="34">
        <v>957095.46513749997</v>
      </c>
      <c r="AK53" s="15">
        <v>31.575000000000003</v>
      </c>
      <c r="AL53" s="15">
        <v>26.838750000000005</v>
      </c>
    </row>
    <row r="54" spans="3:38" x14ac:dyDescent="0.25">
      <c r="E54" s="15"/>
      <c r="AG54">
        <v>54</v>
      </c>
      <c r="AH54">
        <v>1630</v>
      </c>
      <c r="AI54" s="34">
        <v>292682.01666666672</v>
      </c>
      <c r="AJ54" s="34">
        <v>2141564.3816822497</v>
      </c>
      <c r="AK54" s="15">
        <v>50.46241666666667</v>
      </c>
      <c r="AL54" s="15">
        <v>42.893054166666658</v>
      </c>
    </row>
    <row r="55" spans="3:38" x14ac:dyDescent="0.25">
      <c r="AG55">
        <v>55</v>
      </c>
      <c r="AH55">
        <v>1650</v>
      </c>
      <c r="AI55" s="34">
        <v>71795</v>
      </c>
      <c r="AJ55" s="34">
        <v>149490.39945</v>
      </c>
      <c r="AK55" s="15">
        <v>4.1500000000000004</v>
      </c>
      <c r="AL55" s="15">
        <v>3.5274999999999999</v>
      </c>
    </row>
    <row r="56" spans="3:38" x14ac:dyDescent="0.25">
      <c r="AG56">
        <v>56</v>
      </c>
      <c r="AH56">
        <v>2180</v>
      </c>
      <c r="AI56" s="34">
        <v>810635.83333333349</v>
      </c>
      <c r="AJ56" s="34">
        <v>3784460.4803462494</v>
      </c>
      <c r="AK56" s="15">
        <v>85.454166666666666</v>
      </c>
      <c r="AL56" s="15">
        <v>72.492916666666659</v>
      </c>
    </row>
    <row r="57" spans="3:38" x14ac:dyDescent="0.25">
      <c r="AG57">
        <v>57</v>
      </c>
      <c r="AH57">
        <v>2193</v>
      </c>
      <c r="AI57" s="34">
        <v>309901.25</v>
      </c>
      <c r="AJ57" s="34">
        <v>2109884.5564756244</v>
      </c>
      <c r="AK57" s="15">
        <v>53.431250000000006</v>
      </c>
      <c r="AL57" s="15">
        <v>45.416562499999998</v>
      </c>
    </row>
    <row r="58" spans="3:38" x14ac:dyDescent="0.25">
      <c r="AG58">
        <v>58</v>
      </c>
      <c r="AH58">
        <v>2340</v>
      </c>
      <c r="AI58" s="34">
        <v>117595</v>
      </c>
      <c r="AJ58" s="34">
        <v>662359.61985000002</v>
      </c>
      <c r="AK58" s="15">
        <v>20.274999999999999</v>
      </c>
      <c r="AL58" s="15">
        <v>17.233750000000001</v>
      </c>
    </row>
    <row r="59" spans="3:38" x14ac:dyDescent="0.25">
      <c r="AG59">
        <v>59</v>
      </c>
      <c r="AH59">
        <v>2500</v>
      </c>
      <c r="AI59" s="34">
        <v>6462.5</v>
      </c>
      <c r="AJ59" s="34">
        <v>25792.226929687502</v>
      </c>
      <c r="AK59" s="15">
        <v>0.8125</v>
      </c>
      <c r="AL59" s="15">
        <v>0.69062500000000004</v>
      </c>
    </row>
    <row r="60" spans="3:38" x14ac:dyDescent="0.25">
      <c r="AG60">
        <v>60</v>
      </c>
      <c r="AH60">
        <v>5740</v>
      </c>
      <c r="AI60" s="34">
        <v>531082.66666666674</v>
      </c>
      <c r="AJ60" s="34">
        <v>2895878.7946900004</v>
      </c>
      <c r="AK60" s="15">
        <v>65.446666666666673</v>
      </c>
      <c r="AL60" s="15">
        <v>55.629666666666679</v>
      </c>
    </row>
    <row r="61" spans="3:38" x14ac:dyDescent="0.25">
      <c r="AG61">
        <v>61</v>
      </c>
      <c r="AH61" t="s">
        <v>781</v>
      </c>
      <c r="AI61" s="34">
        <v>2318649.2666666666</v>
      </c>
      <c r="AJ61" s="34">
        <v>12726525.924561311</v>
      </c>
      <c r="AK61" s="15">
        <v>311.60700000000003</v>
      </c>
      <c r="AL61" s="15">
        <v>264.72282500000006</v>
      </c>
    </row>
    <row r="62" spans="3:38" x14ac:dyDescent="0.25">
      <c r="AG62">
        <v>62</v>
      </c>
    </row>
    <row r="63" spans="3:38" x14ac:dyDescent="0.25">
      <c r="AG63">
        <v>63</v>
      </c>
    </row>
    <row r="64" spans="3:38" x14ac:dyDescent="0.25">
      <c r="AG64">
        <v>64</v>
      </c>
    </row>
    <row r="65" spans="33:33" x14ac:dyDescent="0.25">
      <c r="AG65">
        <v>65</v>
      </c>
    </row>
    <row r="66" spans="33:33" x14ac:dyDescent="0.25">
      <c r="AG66">
        <v>66</v>
      </c>
    </row>
    <row r="67" spans="33:33" x14ac:dyDescent="0.25">
      <c r="AG67">
        <v>67</v>
      </c>
    </row>
    <row r="68" spans="33:33" x14ac:dyDescent="0.25">
      <c r="AG68">
        <v>68</v>
      </c>
    </row>
    <row r="69" spans="33:33" x14ac:dyDescent="0.25">
      <c r="AG69">
        <v>69</v>
      </c>
    </row>
    <row r="70" spans="33:33" x14ac:dyDescent="0.25">
      <c r="AG70">
        <v>70</v>
      </c>
    </row>
    <row r="71" spans="33:33" x14ac:dyDescent="0.25">
      <c r="AG71">
        <v>71</v>
      </c>
    </row>
    <row r="72" spans="33:33" x14ac:dyDescent="0.25">
      <c r="AG72">
        <v>72</v>
      </c>
    </row>
    <row r="73" spans="33:33" x14ac:dyDescent="0.25">
      <c r="AG73">
        <v>73</v>
      </c>
    </row>
    <row r="74" spans="33:33" x14ac:dyDescent="0.25">
      <c r="AG74">
        <v>74</v>
      </c>
    </row>
    <row r="75" spans="33:33" x14ac:dyDescent="0.25">
      <c r="AG75">
        <v>75</v>
      </c>
    </row>
    <row r="76" spans="33:33" x14ac:dyDescent="0.25">
      <c r="AG76">
        <v>76</v>
      </c>
    </row>
    <row r="77" spans="33:33" x14ac:dyDescent="0.25">
      <c r="AG77">
        <v>77</v>
      </c>
    </row>
    <row r="78" spans="33:33" x14ac:dyDescent="0.25">
      <c r="AG78">
        <v>78</v>
      </c>
    </row>
    <row r="79" spans="33:33" x14ac:dyDescent="0.25">
      <c r="AG79">
        <v>79</v>
      </c>
    </row>
    <row r="80" spans="33:33" x14ac:dyDescent="0.25">
      <c r="AG80">
        <v>80</v>
      </c>
    </row>
    <row r="81" spans="33:33" x14ac:dyDescent="0.25">
      <c r="AG81">
        <v>81</v>
      </c>
    </row>
    <row r="82" spans="33:33" x14ac:dyDescent="0.25">
      <c r="AG82">
        <v>82</v>
      </c>
    </row>
    <row r="83" spans="33:33" x14ac:dyDescent="0.25">
      <c r="AG83">
        <v>83</v>
      </c>
    </row>
    <row r="84" spans="33:33" x14ac:dyDescent="0.25">
      <c r="AG84">
        <v>84</v>
      </c>
    </row>
    <row r="85" spans="33:33" x14ac:dyDescent="0.25">
      <c r="AG85">
        <v>85</v>
      </c>
    </row>
    <row r="86" spans="33:33" x14ac:dyDescent="0.25">
      <c r="AG86">
        <v>86</v>
      </c>
    </row>
    <row r="87" spans="33:33" x14ac:dyDescent="0.25">
      <c r="AG87">
        <v>87</v>
      </c>
    </row>
    <row r="88" spans="33:33" x14ac:dyDescent="0.25">
      <c r="AG88">
        <v>88</v>
      </c>
    </row>
    <row r="89" spans="33:33" x14ac:dyDescent="0.25">
      <c r="AG89">
        <v>89</v>
      </c>
    </row>
  </sheetData>
  <sheetProtection sheet="1" objects="1" scenarios="1"/>
  <mergeCells count="1">
    <mergeCell ref="U5:W5"/>
  </mergeCells>
  <pageMargins left="0.35433070866141736" right="0.35433070866141736" top="0.98425196850393704" bottom="0.98425196850393704" header="0.51181102362204722" footer="0.51181102362204722"/>
  <pageSetup paperSize="9" scale="59" orientation="landscape" r:id="rId4"/>
  <headerFooter alignWithMargins="0">
    <oddFooter>&amp;L&amp;F&amp;C&amp;A&amp;R&amp;D</oddFooter>
  </headerFooter>
  <legacyDrawing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Z73"/>
  <sheetViews>
    <sheetView workbookViewId="0">
      <selection activeCell="A2" sqref="A2"/>
    </sheetView>
  </sheetViews>
  <sheetFormatPr defaultRowHeight="15" x14ac:dyDescent="0.25"/>
  <cols>
    <col min="1" max="2" width="11.5703125" customWidth="1"/>
    <col min="3" max="3" width="34.5703125" customWidth="1"/>
    <col min="4" max="4" width="17" customWidth="1"/>
    <col min="5" max="5" width="16.85546875" customWidth="1"/>
    <col min="6" max="6" width="4.42578125" customWidth="1"/>
    <col min="8" max="8" width="13.42578125" customWidth="1"/>
    <col min="9" max="9" width="3.42578125" customWidth="1"/>
    <col min="10" max="10" width="6.5703125" customWidth="1"/>
    <col min="11" max="11" width="13.85546875" customWidth="1"/>
    <col min="12" max="12" width="19" customWidth="1"/>
    <col min="13" max="13" width="5" customWidth="1"/>
    <col min="14" max="14" width="32.42578125" customWidth="1"/>
    <col min="15" max="15" width="12.5703125" customWidth="1"/>
    <col min="16" max="17" width="13.85546875" customWidth="1"/>
    <col min="18" max="18" width="121.140625" customWidth="1"/>
    <col min="19" max="19" width="8" customWidth="1"/>
    <col min="20" max="20" width="30.85546875" customWidth="1"/>
    <col min="21" max="21" width="13.85546875" customWidth="1"/>
    <col min="22" max="22" width="12.42578125" customWidth="1"/>
    <col min="24" max="24" width="10.28515625" customWidth="1"/>
    <col min="25" max="25" width="14.140625" customWidth="1"/>
    <col min="26" max="26" width="15.140625" customWidth="1"/>
  </cols>
  <sheetData>
    <row r="1" spans="1:26" ht="28.5" customHeight="1" x14ac:dyDescent="0.25">
      <c r="C1" s="39" t="s">
        <v>321</v>
      </c>
      <c r="L1" s="465" t="s">
        <v>420</v>
      </c>
      <c r="M1" s="465"/>
      <c r="N1" s="466"/>
      <c r="O1" s="18"/>
      <c r="P1" s="18"/>
      <c r="Q1" s="18"/>
    </row>
    <row r="2" spans="1:26" ht="27.75" customHeight="1" x14ac:dyDescent="0.3">
      <c r="C2" s="160" t="s">
        <v>2316</v>
      </c>
      <c r="D2" s="31"/>
      <c r="L2" s="465" t="s">
        <v>421</v>
      </c>
      <c r="M2" s="465"/>
      <c r="N2" s="466"/>
      <c r="O2" s="18"/>
      <c r="P2" s="18"/>
      <c r="Q2" s="18"/>
    </row>
    <row r="3" spans="1:26" ht="27.75" customHeight="1" x14ac:dyDescent="0.25">
      <c r="A3" s="18"/>
      <c r="B3" s="18"/>
      <c r="O3" s="533"/>
      <c r="P3" s="534"/>
      <c r="Q3" s="534"/>
      <c r="R3" s="534"/>
      <c r="S3" s="534"/>
      <c r="T3" s="534"/>
    </row>
    <row r="4" spans="1:26" ht="51.75" customHeight="1" x14ac:dyDescent="0.25">
      <c r="A4" s="27" t="s">
        <v>71</v>
      </c>
      <c r="B4" s="27" t="s">
        <v>817</v>
      </c>
      <c r="C4" s="27" t="s">
        <v>35</v>
      </c>
      <c r="D4" s="497" t="s">
        <v>2319</v>
      </c>
      <c r="E4" s="162" t="s">
        <v>2320</v>
      </c>
      <c r="G4" s="161" t="s">
        <v>423</v>
      </c>
      <c r="H4" s="161" t="s">
        <v>424</v>
      </c>
      <c r="I4" s="161"/>
      <c r="J4" s="161" t="s">
        <v>425</v>
      </c>
      <c r="K4" s="494" t="s">
        <v>2317</v>
      </c>
      <c r="L4" s="416" t="s">
        <v>2318</v>
      </c>
      <c r="M4" s="161" t="s">
        <v>428</v>
      </c>
      <c r="N4" s="161" t="s">
        <v>426</v>
      </c>
      <c r="O4" s="268"/>
      <c r="P4" s="276"/>
      <c r="Q4" s="276"/>
      <c r="T4" s="64" t="s">
        <v>462</v>
      </c>
    </row>
    <row r="5" spans="1:26" ht="22.5" customHeight="1" x14ac:dyDescent="0.25">
      <c r="O5" s="18"/>
      <c r="P5" s="18"/>
      <c r="Q5" s="18"/>
      <c r="T5">
        <v>2019</v>
      </c>
      <c r="U5" t="s">
        <v>375</v>
      </c>
      <c r="V5" t="s">
        <v>149</v>
      </c>
      <c r="X5" s="49"/>
      <c r="Y5" s="31"/>
      <c r="Z5" s="31"/>
    </row>
    <row r="6" spans="1:26" ht="22.5" customHeight="1" x14ac:dyDescent="0.25">
      <c r="A6" s="209" t="s">
        <v>410</v>
      </c>
      <c r="B6" s="209">
        <v>1620</v>
      </c>
      <c r="C6" s="210" t="s">
        <v>176</v>
      </c>
      <c r="D6" s="211">
        <f>U6</f>
        <v>9747064.6764591746</v>
      </c>
      <c r="E6" s="211">
        <f>V6</f>
        <v>1676533.1666666665</v>
      </c>
      <c r="F6" s="212"/>
      <c r="G6" s="212">
        <v>3094</v>
      </c>
      <c r="H6" s="212">
        <v>162000100</v>
      </c>
      <c r="I6" s="212"/>
      <c r="J6" s="212">
        <v>11</v>
      </c>
      <c r="K6" s="26">
        <f>VLOOKUP(B6,'Utfördelat tom aug'!$A$3:$L$28,12,FALSE)</f>
        <v>7874252.0779476054</v>
      </c>
      <c r="L6" s="211">
        <f>(D6+E6-K6)/4</f>
        <v>887336.44129455881</v>
      </c>
      <c r="M6" s="212" t="s">
        <v>818</v>
      </c>
      <c r="N6" s="212" t="s">
        <v>427</v>
      </c>
      <c r="O6" s="64"/>
      <c r="P6" s="81"/>
      <c r="Q6" s="120"/>
      <c r="S6" s="64">
        <v>1620</v>
      </c>
      <c r="T6" s="81" t="s">
        <v>176</v>
      </c>
      <c r="U6" s="15">
        <v>9747064.6764591746</v>
      </c>
      <c r="V6" s="15">
        <v>1676533.1666666665</v>
      </c>
      <c r="X6" s="15"/>
      <c r="Y6" s="42"/>
      <c r="Z6" s="42"/>
    </row>
    <row r="7" spans="1:26" ht="22.5" customHeight="1" x14ac:dyDescent="0.25">
      <c r="A7" s="212"/>
      <c r="B7" s="212"/>
      <c r="C7" s="209"/>
      <c r="D7" s="212"/>
      <c r="E7" s="212"/>
      <c r="F7" s="212"/>
      <c r="G7" s="212">
        <v>3094</v>
      </c>
      <c r="H7" s="212">
        <v>600011100</v>
      </c>
      <c r="I7" s="212"/>
      <c r="J7" s="212">
        <v>11</v>
      </c>
      <c r="K7" s="26"/>
      <c r="L7" s="211">
        <f>L6</f>
        <v>887336.44129455881</v>
      </c>
      <c r="M7" s="212" t="s">
        <v>819</v>
      </c>
      <c r="N7" s="212" t="s">
        <v>427</v>
      </c>
      <c r="O7" s="18"/>
      <c r="P7" s="81"/>
      <c r="Q7" s="120"/>
      <c r="S7" s="18">
        <v>1630</v>
      </c>
      <c r="T7" s="81" t="s">
        <v>172</v>
      </c>
      <c r="U7" s="15">
        <v>5800116.1015260881</v>
      </c>
      <c r="V7" s="15">
        <v>794617.4</v>
      </c>
      <c r="X7" s="15"/>
      <c r="Y7" s="42"/>
      <c r="Z7" s="42"/>
    </row>
    <row r="8" spans="1:26" ht="22.5" customHeight="1" x14ac:dyDescent="0.25">
      <c r="A8" s="212"/>
      <c r="B8" s="212">
        <v>1630</v>
      </c>
      <c r="C8" s="210" t="s">
        <v>172</v>
      </c>
      <c r="D8" s="211">
        <f>U7</f>
        <v>5800116.1015260881</v>
      </c>
      <c r="E8" s="211">
        <f>V7</f>
        <v>794617.4</v>
      </c>
      <c r="F8" s="212"/>
      <c r="G8" s="212">
        <v>3094</v>
      </c>
      <c r="H8" s="218">
        <v>163000100</v>
      </c>
      <c r="I8" s="212"/>
      <c r="J8" s="212">
        <v>11</v>
      </c>
      <c r="K8" s="26">
        <f>VLOOKUP(B8,'Utfördelat tom aug'!$A$3:$L$28,12,FALSE)</f>
        <v>4512914.6949968673</v>
      </c>
      <c r="L8" s="211">
        <f>(D8+E8-K8)/4</f>
        <v>520454.70163230528</v>
      </c>
      <c r="M8" s="212" t="s">
        <v>818</v>
      </c>
      <c r="N8" s="212" t="s">
        <v>427</v>
      </c>
      <c r="O8" s="18"/>
      <c r="P8" s="81"/>
      <c r="Q8" s="120"/>
      <c r="S8" s="18">
        <v>1640</v>
      </c>
      <c r="T8" s="81" t="s">
        <v>173</v>
      </c>
      <c r="U8" s="15">
        <v>1714734.4471672499</v>
      </c>
      <c r="V8" s="15">
        <v>261091.35</v>
      </c>
      <c r="X8" s="15"/>
      <c r="Y8" s="42"/>
      <c r="Z8" s="42"/>
    </row>
    <row r="9" spans="1:26" ht="22.5" customHeight="1" x14ac:dyDescent="0.25">
      <c r="A9" s="212"/>
      <c r="B9" s="212"/>
      <c r="C9" s="209"/>
      <c r="D9" s="212"/>
      <c r="E9" s="212"/>
      <c r="F9" s="212"/>
      <c r="G9" s="212">
        <v>3094</v>
      </c>
      <c r="H9" s="212">
        <v>600011100</v>
      </c>
      <c r="I9" s="212"/>
      <c r="J9" s="212">
        <v>11</v>
      </c>
      <c r="K9" s="26"/>
      <c r="L9" s="211">
        <f>L8</f>
        <v>520454.70163230528</v>
      </c>
      <c r="M9" s="212" t="s">
        <v>819</v>
      </c>
      <c r="N9" s="212" t="s">
        <v>427</v>
      </c>
      <c r="O9" s="159"/>
      <c r="P9" s="81"/>
      <c r="Q9" s="120"/>
      <c r="S9" s="258">
        <v>1650</v>
      </c>
      <c r="T9" s="259" t="s">
        <v>11</v>
      </c>
      <c r="U9" s="260">
        <v>12910455.094492491</v>
      </c>
      <c r="V9" s="260">
        <v>7321334.833333333</v>
      </c>
      <c r="X9" s="15"/>
      <c r="Y9" s="42"/>
      <c r="Z9" s="42"/>
    </row>
    <row r="10" spans="1:26" ht="22.5" customHeight="1" x14ac:dyDescent="0.25">
      <c r="A10" s="212"/>
      <c r="B10" s="212">
        <v>1640</v>
      </c>
      <c r="C10" s="213" t="s">
        <v>173</v>
      </c>
      <c r="D10" s="211">
        <f>U8</f>
        <v>1714734.4471672499</v>
      </c>
      <c r="E10" s="211">
        <f>V8</f>
        <v>261091.35</v>
      </c>
      <c r="F10" s="212"/>
      <c r="G10" s="212">
        <v>3094</v>
      </c>
      <c r="H10" s="212">
        <v>164016100</v>
      </c>
      <c r="I10" s="212"/>
      <c r="J10" s="212">
        <v>11</v>
      </c>
      <c r="K10" s="26">
        <f>VLOOKUP(B10,'Utfördelat tom aug'!$A$3:$L$28,12,FALSE)</f>
        <v>1326578.1530595834</v>
      </c>
      <c r="L10" s="211">
        <f>(D10+E10-K10)/4</f>
        <v>162311.91102691664</v>
      </c>
      <c r="M10" s="212" t="s">
        <v>818</v>
      </c>
      <c r="N10" s="212" t="s">
        <v>427</v>
      </c>
      <c r="O10" s="120"/>
      <c r="P10" s="120"/>
      <c r="Q10" s="120"/>
      <c r="T10" s="39" t="s">
        <v>466</v>
      </c>
      <c r="U10" s="261">
        <v>-688036.10000000009</v>
      </c>
      <c r="V10" s="261">
        <v>-1064987.5</v>
      </c>
      <c r="X10" s="49"/>
      <c r="Y10" s="300"/>
      <c r="Z10" s="300"/>
    </row>
    <row r="11" spans="1:26" ht="22.5" customHeight="1" x14ac:dyDescent="0.25">
      <c r="A11" s="212"/>
      <c r="B11" s="212"/>
      <c r="C11" s="209"/>
      <c r="D11" s="212"/>
      <c r="E11" s="212"/>
      <c r="F11" s="212"/>
      <c r="G11" s="212">
        <v>3094</v>
      </c>
      <c r="H11" s="212">
        <v>600011100</v>
      </c>
      <c r="I11" s="212"/>
      <c r="J11" s="212">
        <v>11</v>
      </c>
      <c r="K11" s="26"/>
      <c r="L11" s="211">
        <f>L10</f>
        <v>162311.91102691664</v>
      </c>
      <c r="M11" s="212" t="s">
        <v>819</v>
      </c>
      <c r="N11" s="212" t="s">
        <v>427</v>
      </c>
      <c r="O11" s="120"/>
      <c r="P11" s="120"/>
      <c r="Q11" s="120"/>
      <c r="X11" s="49"/>
      <c r="Y11" s="42"/>
      <c r="Z11" s="42"/>
    </row>
    <row r="12" spans="1:26" ht="22.5" customHeight="1" x14ac:dyDescent="0.25">
      <c r="A12" s="212"/>
      <c r="B12" s="218">
        <v>1650</v>
      </c>
      <c r="C12" s="213" t="s">
        <v>11</v>
      </c>
      <c r="D12" s="219">
        <f>U9+U10</f>
        <v>12222418.994492492</v>
      </c>
      <c r="E12" s="219">
        <f>V9+V10</f>
        <v>6256347.333333333</v>
      </c>
      <c r="F12" s="218"/>
      <c r="G12" s="218">
        <v>3094</v>
      </c>
      <c r="H12" s="218">
        <v>165000001</v>
      </c>
      <c r="I12" s="218"/>
      <c r="J12" s="218">
        <v>11</v>
      </c>
      <c r="K12" s="26">
        <f>VLOOKUP(B12,'Utfördelat tom aug'!$A$3:$L$28,12,FALSE)</f>
        <v>12548450.433624089</v>
      </c>
      <c r="L12" s="211">
        <f>(D12+E12-K12)/4</f>
        <v>1482578.9735504342</v>
      </c>
      <c r="M12" s="218" t="s">
        <v>818</v>
      </c>
      <c r="N12" s="218" t="s">
        <v>427</v>
      </c>
      <c r="O12" s="120"/>
      <c r="P12" s="120"/>
      <c r="Q12" s="120"/>
      <c r="R12" s="39"/>
      <c r="X12" s="49"/>
      <c r="Y12" s="42"/>
      <c r="Z12" s="42"/>
    </row>
    <row r="13" spans="1:26" ht="22.5" customHeight="1" x14ac:dyDescent="0.25">
      <c r="A13" s="212"/>
      <c r="B13" s="218"/>
      <c r="C13" s="213"/>
      <c r="D13" s="218"/>
      <c r="E13" s="218"/>
      <c r="F13" s="218"/>
      <c r="G13" s="218">
        <v>3094</v>
      </c>
      <c r="H13" s="218">
        <v>600011100</v>
      </c>
      <c r="I13" s="218"/>
      <c r="J13" s="218">
        <v>11</v>
      </c>
      <c r="K13" s="26"/>
      <c r="L13" s="219">
        <f>L12</f>
        <v>1482578.9735504342</v>
      </c>
      <c r="M13" s="218" t="s">
        <v>819</v>
      </c>
      <c r="N13" s="218" t="s">
        <v>427</v>
      </c>
      <c r="O13" s="120"/>
      <c r="P13" s="120"/>
      <c r="Q13" s="120"/>
      <c r="X13" s="49"/>
      <c r="Y13" s="42"/>
      <c r="Z13" s="42"/>
    </row>
    <row r="14" spans="1:26" ht="22.5" customHeight="1" x14ac:dyDescent="0.25">
      <c r="A14" s="467"/>
      <c r="B14" s="467"/>
      <c r="C14" s="467"/>
      <c r="D14" s="467"/>
      <c r="E14" s="467"/>
      <c r="F14" s="467"/>
      <c r="G14" s="467"/>
      <c r="H14" s="467"/>
      <c r="I14" s="467"/>
      <c r="J14" s="467"/>
      <c r="K14" s="468"/>
      <c r="L14" s="469"/>
      <c r="M14" s="467"/>
      <c r="N14" s="467"/>
      <c r="O14" s="120"/>
      <c r="P14" s="120"/>
      <c r="Q14" s="120"/>
      <c r="X14" s="49"/>
      <c r="Y14" s="42"/>
      <c r="Z14" s="42"/>
    </row>
    <row r="15" spans="1:26" ht="22.5" customHeight="1" x14ac:dyDescent="0.25">
      <c r="A15" s="209"/>
      <c r="K15" s="26"/>
      <c r="O15" s="120"/>
      <c r="P15" s="120"/>
      <c r="Q15" s="120"/>
      <c r="T15">
        <v>2019</v>
      </c>
      <c r="U15" t="s">
        <v>375</v>
      </c>
      <c r="V15" t="s">
        <v>149</v>
      </c>
      <c r="X15" s="49"/>
      <c r="Y15" s="42"/>
      <c r="Z15" s="42"/>
    </row>
    <row r="16" spans="1:26" ht="22.5" customHeight="1" x14ac:dyDescent="0.25">
      <c r="A16" s="212" t="s">
        <v>411</v>
      </c>
      <c r="B16" s="212">
        <v>2180</v>
      </c>
      <c r="C16" s="210" t="s">
        <v>192</v>
      </c>
      <c r="D16" s="211">
        <f>U16</f>
        <v>13128698.903524885</v>
      </c>
      <c r="E16" s="216">
        <f>V16</f>
        <v>2623071.3000000026</v>
      </c>
      <c r="F16" s="212"/>
      <c r="G16" s="212">
        <v>3094</v>
      </c>
      <c r="H16" s="218">
        <v>218000101</v>
      </c>
      <c r="I16" s="212"/>
      <c r="J16" s="212">
        <v>11</v>
      </c>
      <c r="K16" s="26">
        <f>VLOOKUP(B16,'Utfördelat tom aug'!$A$3:$L$28,10,FALSE)</f>
        <v>9485419.2159029841</v>
      </c>
      <c r="L16" s="211">
        <f>(D16-K16)/4</f>
        <v>910819.9219054752</v>
      </c>
      <c r="M16" s="212" t="s">
        <v>818</v>
      </c>
      <c r="N16" s="212" t="s">
        <v>464</v>
      </c>
      <c r="O16" s="18"/>
      <c r="P16" s="120"/>
      <c r="Q16" s="275"/>
      <c r="S16" s="18">
        <v>2180</v>
      </c>
      <c r="T16" s="81" t="s">
        <v>192</v>
      </c>
      <c r="U16" s="15">
        <v>13128698.903524885</v>
      </c>
      <c r="V16" s="15">
        <v>2623071.3000000026</v>
      </c>
      <c r="X16" s="15"/>
      <c r="Y16" s="42"/>
      <c r="Z16" s="42"/>
    </row>
    <row r="17" spans="1:26" ht="22.5" customHeight="1" x14ac:dyDescent="0.25">
      <c r="B17" s="212"/>
      <c r="C17" s="213"/>
      <c r="D17" s="211"/>
      <c r="E17" s="216"/>
      <c r="F17" s="212"/>
      <c r="G17" s="212">
        <v>3094</v>
      </c>
      <c r="H17" s="212">
        <v>600011100</v>
      </c>
      <c r="I17" s="212"/>
      <c r="J17" s="212">
        <v>11</v>
      </c>
      <c r="K17" s="26"/>
      <c r="L17" s="211">
        <f>L16</f>
        <v>910819.9219054752</v>
      </c>
      <c r="M17" s="212" t="s">
        <v>819</v>
      </c>
      <c r="N17" s="212" t="s">
        <v>464</v>
      </c>
      <c r="O17" s="18"/>
      <c r="P17" s="120"/>
      <c r="S17" s="18">
        <v>2193</v>
      </c>
      <c r="T17" s="81" t="s">
        <v>1130</v>
      </c>
      <c r="U17" s="15">
        <v>18815975.837347705</v>
      </c>
      <c r="V17" s="15">
        <v>2876544.7500000014</v>
      </c>
      <c r="X17" s="15"/>
      <c r="Y17" s="42"/>
      <c r="Z17" s="42"/>
    </row>
    <row r="18" spans="1:26" ht="22.5" customHeight="1" x14ac:dyDescent="0.25">
      <c r="B18" s="212">
        <v>2193</v>
      </c>
      <c r="C18" s="210" t="s">
        <v>441</v>
      </c>
      <c r="D18" s="211">
        <f>U17</f>
        <v>18815975.837347705</v>
      </c>
      <c r="E18" s="216">
        <f>V17</f>
        <v>2876544.7500000014</v>
      </c>
      <c r="F18" s="212"/>
      <c r="G18" s="212">
        <v>3094</v>
      </c>
      <c r="H18" s="212">
        <v>219300001</v>
      </c>
      <c r="I18" s="212"/>
      <c r="J18" s="212">
        <v>11</v>
      </c>
      <c r="K18" s="26">
        <f>VLOOKUP(B18,'Utfördelat tom aug'!$A$3:$L$28,10,FALSE)</f>
        <v>12984726.335296661</v>
      </c>
      <c r="L18" s="211">
        <f>(D18-K18)/4</f>
        <v>1457812.3755127611</v>
      </c>
      <c r="M18" s="212" t="s">
        <v>818</v>
      </c>
      <c r="N18" s="212" t="s">
        <v>464</v>
      </c>
      <c r="O18" s="18"/>
      <c r="P18" s="120"/>
      <c r="Q18" s="275"/>
      <c r="S18" s="18">
        <v>2200</v>
      </c>
      <c r="T18" s="81" t="s">
        <v>194</v>
      </c>
      <c r="U18" s="15">
        <v>1749935.15886625</v>
      </c>
      <c r="V18" s="15">
        <v>251821.5</v>
      </c>
      <c r="X18" s="15"/>
      <c r="Y18" s="42"/>
      <c r="Z18" s="42"/>
    </row>
    <row r="19" spans="1:26" ht="22.5" customHeight="1" x14ac:dyDescent="0.25">
      <c r="B19" s="212"/>
      <c r="C19" s="209"/>
      <c r="D19" s="212"/>
      <c r="E19" s="217"/>
      <c r="F19" s="212"/>
      <c r="G19" s="212">
        <v>3094</v>
      </c>
      <c r="H19" s="212">
        <v>600011100</v>
      </c>
      <c r="I19" s="212"/>
      <c r="J19" s="212">
        <v>11</v>
      </c>
      <c r="K19" s="26"/>
      <c r="L19" s="211">
        <f>L18</f>
        <v>1457812.3755127611</v>
      </c>
      <c r="M19" s="212" t="s">
        <v>819</v>
      </c>
      <c r="N19" s="212" t="s">
        <v>464</v>
      </c>
      <c r="O19" s="159"/>
      <c r="P19" s="120"/>
      <c r="Q19" s="275"/>
      <c r="S19" s="159">
        <v>2220</v>
      </c>
      <c r="T19" s="81" t="s">
        <v>195</v>
      </c>
      <c r="U19" s="15">
        <v>124257.86729999998</v>
      </c>
      <c r="V19" s="15">
        <v>24360</v>
      </c>
      <c r="X19" s="15"/>
      <c r="Y19" s="42"/>
      <c r="Z19" s="42"/>
    </row>
    <row r="20" spans="1:26" ht="22.5" customHeight="1" x14ac:dyDescent="0.25">
      <c r="A20" s="212"/>
      <c r="B20" s="212">
        <v>2200</v>
      </c>
      <c r="C20" s="210" t="s">
        <v>574</v>
      </c>
      <c r="D20" s="211">
        <f>U18</f>
        <v>1749935.15886625</v>
      </c>
      <c r="E20" s="216">
        <f>V18</f>
        <v>251821.5</v>
      </c>
      <c r="F20" s="212"/>
      <c r="G20" s="212">
        <v>3094</v>
      </c>
      <c r="H20" s="212">
        <v>220000100</v>
      </c>
      <c r="I20" s="212"/>
      <c r="J20" s="212">
        <v>11</v>
      </c>
      <c r="K20" s="26">
        <f>VLOOKUP(B20,'Utfördelat tom aug'!$A$3:$L$28,10,FALSE)</f>
        <v>1268075.936626845</v>
      </c>
      <c r="L20" s="211">
        <f>(D20-K20)/4</f>
        <v>120464.80555985123</v>
      </c>
      <c r="M20" s="212" t="s">
        <v>818</v>
      </c>
      <c r="N20" s="212" t="s">
        <v>464</v>
      </c>
      <c r="O20" s="18"/>
      <c r="P20" s="120"/>
      <c r="Q20" s="275"/>
      <c r="S20" s="18">
        <v>2271</v>
      </c>
      <c r="T20" s="81" t="s">
        <v>1392</v>
      </c>
      <c r="U20" s="15">
        <v>245345.6638175</v>
      </c>
      <c r="V20" s="15">
        <v>46516</v>
      </c>
      <c r="X20" s="15"/>
      <c r="Y20" s="42"/>
      <c r="Z20" s="42"/>
    </row>
    <row r="21" spans="1:26" ht="22.5" customHeight="1" x14ac:dyDescent="0.25">
      <c r="A21" s="212"/>
      <c r="B21" s="212"/>
      <c r="C21" s="209"/>
      <c r="D21" s="212"/>
      <c r="E21" s="217"/>
      <c r="F21" s="212"/>
      <c r="G21" s="212">
        <v>3094</v>
      </c>
      <c r="H21" s="212">
        <v>600011100</v>
      </c>
      <c r="I21" s="212"/>
      <c r="J21" s="212">
        <v>11</v>
      </c>
      <c r="K21" s="26"/>
      <c r="L21" s="211">
        <f>L20</f>
        <v>120464.80555985123</v>
      </c>
      <c r="M21" s="212" t="s">
        <v>819</v>
      </c>
      <c r="N21" s="212" t="s">
        <v>464</v>
      </c>
      <c r="O21" s="470"/>
      <c r="P21" s="120"/>
      <c r="Q21" s="275"/>
      <c r="S21" s="470">
        <v>2272</v>
      </c>
      <c r="T21" s="81" t="s">
        <v>200</v>
      </c>
      <c r="U21" s="15">
        <v>398258.67598400003</v>
      </c>
      <c r="V21" s="15">
        <v>51627.733333333344</v>
      </c>
      <c r="X21" s="15"/>
      <c r="Y21" s="42"/>
      <c r="Z21" s="42"/>
    </row>
    <row r="22" spans="1:26" ht="22.5" customHeight="1" x14ac:dyDescent="0.25">
      <c r="A22" s="212"/>
      <c r="B22" s="212">
        <v>2220</v>
      </c>
      <c r="C22" s="210" t="s">
        <v>195</v>
      </c>
      <c r="D22" s="211">
        <f>U19</f>
        <v>124257.86729999998</v>
      </c>
      <c r="E22" s="216">
        <f>V19</f>
        <v>24360</v>
      </c>
      <c r="F22" s="212"/>
      <c r="G22" s="212">
        <v>3094</v>
      </c>
      <c r="H22" s="212">
        <v>222000100</v>
      </c>
      <c r="I22" s="212"/>
      <c r="J22" s="212">
        <v>11</v>
      </c>
      <c r="K22" s="26">
        <f>VLOOKUP(B22,'Utfördelat tom aug'!$A$3:$L$28,10,FALSE)</f>
        <v>85656.216914285702</v>
      </c>
      <c r="L22" s="211">
        <f>(D22-K22)/4</f>
        <v>9650.4125964285704</v>
      </c>
      <c r="M22" s="212" t="s">
        <v>818</v>
      </c>
      <c r="N22" s="212" t="s">
        <v>464</v>
      </c>
      <c r="O22" s="159"/>
      <c r="P22" s="120"/>
      <c r="Q22" s="275"/>
      <c r="S22" s="159">
        <v>2300</v>
      </c>
      <c r="T22" s="81" t="s">
        <v>197</v>
      </c>
      <c r="U22" s="15">
        <v>633017.13234500005</v>
      </c>
      <c r="V22" s="15">
        <v>82060.333333333343</v>
      </c>
      <c r="X22" s="15"/>
      <c r="Y22" s="42"/>
      <c r="Z22" s="42"/>
    </row>
    <row r="23" spans="1:26" ht="22.5" customHeight="1" x14ac:dyDescent="0.25">
      <c r="A23" s="212"/>
      <c r="B23" s="212"/>
      <c r="C23" s="213"/>
      <c r="F23" s="212"/>
      <c r="G23" s="212">
        <v>3094</v>
      </c>
      <c r="H23" s="212">
        <v>600011100</v>
      </c>
      <c r="I23" s="212"/>
      <c r="J23" s="212">
        <v>11</v>
      </c>
      <c r="K23" s="26"/>
      <c r="L23" s="211">
        <f>L22</f>
        <v>9650.4125964285704</v>
      </c>
      <c r="M23" s="212" t="s">
        <v>819</v>
      </c>
      <c r="N23" s="212" t="s">
        <v>464</v>
      </c>
      <c r="O23" s="18"/>
      <c r="P23" s="120"/>
      <c r="Q23" s="275"/>
      <c r="S23" s="18">
        <v>2340</v>
      </c>
      <c r="T23" s="81" t="s">
        <v>198</v>
      </c>
      <c r="U23" s="15">
        <v>1548242.8922729995</v>
      </c>
      <c r="V23" s="15">
        <v>259068.59999999998</v>
      </c>
      <c r="X23" s="15"/>
      <c r="Y23" s="42"/>
      <c r="Z23" s="42"/>
    </row>
    <row r="24" spans="1:26" ht="22.5" customHeight="1" x14ac:dyDescent="0.25">
      <c r="B24" s="212">
        <v>2271</v>
      </c>
      <c r="C24" s="213" t="s">
        <v>1392</v>
      </c>
      <c r="D24" s="211">
        <f>U20</f>
        <v>245345.6638175</v>
      </c>
      <c r="E24" s="216">
        <f>V20</f>
        <v>46516</v>
      </c>
      <c r="G24" s="218">
        <v>3094</v>
      </c>
      <c r="H24" s="218">
        <v>227100100</v>
      </c>
      <c r="J24" s="212">
        <v>11</v>
      </c>
      <c r="K24" s="26">
        <f>VLOOKUP(B24,'Utfördelat tom aug'!$A$3:$L$28,10,FALSE)</f>
        <v>166404.13748547618</v>
      </c>
      <c r="L24" s="211">
        <f>(D24-K24)/4</f>
        <v>19735.381583005954</v>
      </c>
      <c r="M24" s="212" t="s">
        <v>818</v>
      </c>
      <c r="N24" s="212" t="s">
        <v>464</v>
      </c>
      <c r="O24" s="470"/>
      <c r="P24" s="120"/>
      <c r="Q24" s="275"/>
      <c r="S24" s="470">
        <v>2360</v>
      </c>
      <c r="T24" s="81" t="s">
        <v>199</v>
      </c>
      <c r="U24" s="15">
        <v>175440.27454499999</v>
      </c>
      <c r="V24" s="15">
        <v>34394</v>
      </c>
      <c r="X24" s="15"/>
      <c r="Y24" s="42"/>
      <c r="Z24" s="42"/>
    </row>
    <row r="25" spans="1:26" ht="22.5" customHeight="1" x14ac:dyDescent="0.25">
      <c r="G25" s="218">
        <v>3094</v>
      </c>
      <c r="H25" s="218">
        <v>600011100</v>
      </c>
      <c r="J25" s="212">
        <v>11</v>
      </c>
      <c r="K25" s="26"/>
      <c r="L25" s="211">
        <f>L24</f>
        <v>19735.381583005954</v>
      </c>
      <c r="M25" s="212" t="s">
        <v>819</v>
      </c>
      <c r="N25" s="212" t="s">
        <v>464</v>
      </c>
      <c r="O25" s="470"/>
      <c r="P25" s="120"/>
      <c r="Q25" s="275"/>
      <c r="S25" s="470">
        <v>2500</v>
      </c>
      <c r="T25" s="81" t="s">
        <v>2169</v>
      </c>
      <c r="U25" s="15">
        <v>215021.44732031249</v>
      </c>
      <c r="V25" s="15">
        <v>52379.166666666664</v>
      </c>
      <c r="X25" s="15"/>
      <c r="Y25" s="42"/>
      <c r="Z25" s="42"/>
    </row>
    <row r="26" spans="1:26" ht="22.5" customHeight="1" x14ac:dyDescent="0.25">
      <c r="A26" s="212"/>
      <c r="B26" s="212">
        <v>2272</v>
      </c>
      <c r="C26" s="210" t="s">
        <v>200</v>
      </c>
      <c r="D26" s="211">
        <f>U21</f>
        <v>398258.67598400003</v>
      </c>
      <c r="E26" s="216">
        <f>V21</f>
        <v>51627.733333333344</v>
      </c>
      <c r="F26" s="212"/>
      <c r="G26" s="212">
        <v>3094</v>
      </c>
      <c r="H26" s="218">
        <v>227200100</v>
      </c>
      <c r="I26" s="212"/>
      <c r="J26" s="212">
        <v>11</v>
      </c>
      <c r="K26" s="26">
        <f>VLOOKUP(B26,'Utfördelat tom aug'!$A$3:$L$28,10,FALSE)</f>
        <v>305250.40677238104</v>
      </c>
      <c r="L26" s="211">
        <f>(D26-K26)/4</f>
        <v>23252.067302904747</v>
      </c>
      <c r="M26" s="212" t="s">
        <v>818</v>
      </c>
      <c r="N26" s="212" t="s">
        <v>464</v>
      </c>
      <c r="O26" s="470"/>
      <c r="P26" s="120"/>
      <c r="Q26" s="275"/>
      <c r="S26" s="470">
        <v>2750</v>
      </c>
      <c r="T26" s="81" t="s">
        <v>205</v>
      </c>
      <c r="U26" s="15">
        <v>2220162.6017124997</v>
      </c>
      <c r="V26" s="15">
        <v>981112.5</v>
      </c>
      <c r="X26" s="15"/>
      <c r="Y26" s="42"/>
      <c r="Z26" s="42"/>
    </row>
    <row r="27" spans="1:26" ht="22.5" customHeight="1" x14ac:dyDescent="0.25">
      <c r="A27" s="212"/>
      <c r="G27" s="212">
        <v>3094</v>
      </c>
      <c r="H27" s="212">
        <v>600011100</v>
      </c>
      <c r="J27" s="212">
        <v>11</v>
      </c>
      <c r="K27" s="26"/>
      <c r="L27" s="211">
        <f>L26</f>
        <v>23252.067302904747</v>
      </c>
      <c r="M27" s="212" t="s">
        <v>819</v>
      </c>
      <c r="N27" s="212" t="s">
        <v>464</v>
      </c>
      <c r="O27" s="120"/>
      <c r="P27" s="120"/>
      <c r="Q27" s="275"/>
      <c r="X27" s="49"/>
      <c r="Y27" s="42"/>
      <c r="Z27" s="42"/>
    </row>
    <row r="28" spans="1:26" ht="22.5" customHeight="1" x14ac:dyDescent="0.25">
      <c r="B28" s="212">
        <v>2300</v>
      </c>
      <c r="C28" s="210" t="s">
        <v>924</v>
      </c>
      <c r="D28" s="211">
        <f>U22</f>
        <v>633017.13234500005</v>
      </c>
      <c r="E28" s="216">
        <f>V22</f>
        <v>82060.333333333343</v>
      </c>
      <c r="F28" s="212"/>
      <c r="G28" s="212">
        <v>3094</v>
      </c>
      <c r="H28" s="218">
        <v>230000100</v>
      </c>
      <c r="I28" s="212"/>
      <c r="J28" s="212">
        <v>11</v>
      </c>
      <c r="K28" s="26">
        <f>VLOOKUP(B28,'Utfördelat tom aug'!$A$3:$L$28,10,FALSE)</f>
        <v>477659.50389702385</v>
      </c>
      <c r="L28" s="211">
        <f>(D28-K28)/4</f>
        <v>38839.407111994049</v>
      </c>
      <c r="M28" s="212" t="s">
        <v>818</v>
      </c>
      <c r="N28" s="212" t="s">
        <v>464</v>
      </c>
      <c r="O28" s="120"/>
      <c r="P28" s="120"/>
      <c r="Q28" s="275"/>
      <c r="X28" s="49"/>
      <c r="Y28" s="42"/>
      <c r="Z28" s="42"/>
    </row>
    <row r="29" spans="1:26" ht="22.5" customHeight="1" x14ac:dyDescent="0.25">
      <c r="G29" s="212">
        <v>3094</v>
      </c>
      <c r="H29" s="212">
        <v>600011100</v>
      </c>
      <c r="J29" s="212">
        <v>11</v>
      </c>
      <c r="K29" s="26"/>
      <c r="L29" s="211">
        <f>L28</f>
        <v>38839.407111994049</v>
      </c>
      <c r="M29" s="212" t="s">
        <v>819</v>
      </c>
      <c r="N29" s="212" t="s">
        <v>464</v>
      </c>
      <c r="O29" s="120"/>
      <c r="P29" s="120"/>
      <c r="Q29" s="275"/>
      <c r="X29" s="49"/>
      <c r="Y29" s="42"/>
      <c r="Z29" s="42"/>
    </row>
    <row r="30" spans="1:26" ht="22.5" customHeight="1" x14ac:dyDescent="0.25">
      <c r="A30" s="212"/>
      <c r="B30" s="212">
        <v>2340</v>
      </c>
      <c r="C30" s="210" t="s">
        <v>198</v>
      </c>
      <c r="D30" s="219">
        <f>U23</f>
        <v>1548242.8922729995</v>
      </c>
      <c r="E30" s="220">
        <f>V23</f>
        <v>259068.59999999998</v>
      </c>
      <c r="F30" s="212"/>
      <c r="G30" s="212">
        <v>3094</v>
      </c>
      <c r="H30" s="212">
        <v>234000100</v>
      </c>
      <c r="I30" s="212"/>
      <c r="J30" s="212">
        <v>11</v>
      </c>
      <c r="K30" s="26">
        <f>VLOOKUP(B30,'Utfördelat tom aug'!$A$3:$L$28,10,FALSE)</f>
        <v>1061561.4958283091</v>
      </c>
      <c r="L30" s="211">
        <f>(D30-K30)/4</f>
        <v>121670.3491111726</v>
      </c>
      <c r="M30" s="212" t="s">
        <v>818</v>
      </c>
      <c r="N30" s="212" t="s">
        <v>464</v>
      </c>
      <c r="O30" s="120"/>
      <c r="P30" s="120"/>
      <c r="Q30" s="275"/>
      <c r="X30" s="49"/>
      <c r="Y30" s="42"/>
      <c r="Z30" s="42"/>
    </row>
    <row r="31" spans="1:26" ht="22.5" customHeight="1" x14ac:dyDescent="0.25">
      <c r="A31" s="212"/>
      <c r="B31" s="212"/>
      <c r="C31" s="209"/>
      <c r="D31" s="212"/>
      <c r="E31" s="217"/>
      <c r="F31" s="212"/>
      <c r="G31" s="212">
        <v>3094</v>
      </c>
      <c r="H31" s="212">
        <v>600011100</v>
      </c>
      <c r="I31" s="212"/>
      <c r="J31" s="212">
        <v>11</v>
      </c>
      <c r="K31" s="26"/>
      <c r="L31" s="211">
        <f>L30</f>
        <v>121670.3491111726</v>
      </c>
      <c r="M31" s="212" t="s">
        <v>819</v>
      </c>
      <c r="N31" s="212" t="s">
        <v>464</v>
      </c>
      <c r="O31" s="120"/>
      <c r="P31" s="120"/>
      <c r="Q31" s="275"/>
      <c r="X31" s="49"/>
      <c r="Y31" s="42"/>
      <c r="Z31" s="42"/>
    </row>
    <row r="32" spans="1:26" ht="22.5" customHeight="1" x14ac:dyDescent="0.25">
      <c r="A32" s="212"/>
      <c r="B32" s="212">
        <v>2360</v>
      </c>
      <c r="C32" s="210" t="s">
        <v>575</v>
      </c>
      <c r="D32" s="211">
        <f>U24</f>
        <v>175440.27454499999</v>
      </c>
      <c r="E32" s="216">
        <f>V24</f>
        <v>34394</v>
      </c>
      <c r="F32" s="212"/>
      <c r="G32" s="218">
        <v>3094</v>
      </c>
      <c r="H32" s="212">
        <v>236000100</v>
      </c>
      <c r="I32" s="212"/>
      <c r="J32" s="212">
        <v>11</v>
      </c>
      <c r="K32" s="26">
        <f>VLOOKUP(B32,'Utfördelat tom aug'!$A$3:$L$28,10,FALSE)</f>
        <v>116079.67093178572</v>
      </c>
      <c r="L32" s="211">
        <f>(D32-K32)/4</f>
        <v>14840.150903303569</v>
      </c>
      <c r="M32" s="212" t="s">
        <v>818</v>
      </c>
      <c r="N32" s="212" t="s">
        <v>464</v>
      </c>
      <c r="O32" s="120"/>
      <c r="P32" s="120"/>
      <c r="Q32" s="275"/>
      <c r="S32" s="167"/>
      <c r="T32" s="167"/>
      <c r="U32" s="167"/>
      <c r="X32" s="49"/>
      <c r="Y32" s="42"/>
      <c r="Z32" s="42"/>
    </row>
    <row r="33" spans="1:26" ht="22.5" customHeight="1" x14ac:dyDescent="0.25">
      <c r="A33" s="212"/>
      <c r="G33" s="218">
        <v>3094</v>
      </c>
      <c r="H33" s="212">
        <v>600011100</v>
      </c>
      <c r="J33" s="212">
        <v>11</v>
      </c>
      <c r="K33" s="26"/>
      <c r="L33" s="211">
        <f>L32</f>
        <v>14840.150903303569</v>
      </c>
      <c r="M33" s="212" t="s">
        <v>819</v>
      </c>
      <c r="N33" s="212" t="s">
        <v>464</v>
      </c>
      <c r="O33" s="120"/>
      <c r="P33" s="120"/>
      <c r="Q33" s="275"/>
      <c r="X33" s="49"/>
      <c r="Y33" s="42"/>
      <c r="Z33" s="42"/>
    </row>
    <row r="34" spans="1:26" ht="22.5" customHeight="1" x14ac:dyDescent="0.25">
      <c r="A34" s="212"/>
      <c r="B34" s="212">
        <v>2500</v>
      </c>
      <c r="C34" s="210" t="s">
        <v>2169</v>
      </c>
      <c r="D34" s="211">
        <f>U25</f>
        <v>215021.44732031249</v>
      </c>
      <c r="E34" s="216">
        <f>V25</f>
        <v>52379.166666666664</v>
      </c>
      <c r="F34" s="212"/>
      <c r="G34" s="212">
        <v>3094</v>
      </c>
      <c r="H34" s="212">
        <v>250000010</v>
      </c>
      <c r="I34" s="212"/>
      <c r="J34" s="212">
        <v>11</v>
      </c>
      <c r="K34" s="26">
        <f>VLOOKUP(B34,'Utfördelat tom aug'!$A$3:$L$28,10,FALSE)</f>
        <v>144047.36337909228</v>
      </c>
      <c r="L34" s="211">
        <f>(D34-K34)/4</f>
        <v>17743.520985305055</v>
      </c>
      <c r="M34" s="212" t="s">
        <v>818</v>
      </c>
      <c r="N34" s="212" t="s">
        <v>464</v>
      </c>
      <c r="O34" s="120"/>
      <c r="P34" s="120"/>
      <c r="Q34" s="275"/>
      <c r="X34" s="49"/>
      <c r="Y34" s="42"/>
      <c r="Z34" s="42"/>
    </row>
    <row r="35" spans="1:26" ht="22.5" customHeight="1" x14ac:dyDescent="0.25">
      <c r="A35" s="212"/>
      <c r="G35" s="212">
        <v>3094</v>
      </c>
      <c r="H35" s="212">
        <v>600011100</v>
      </c>
      <c r="J35" s="212">
        <v>11</v>
      </c>
      <c r="K35" s="26"/>
      <c r="L35" s="211">
        <f>L34</f>
        <v>17743.520985305055</v>
      </c>
      <c r="M35" s="212" t="s">
        <v>819</v>
      </c>
      <c r="N35" s="212" t="s">
        <v>464</v>
      </c>
      <c r="O35" s="120"/>
      <c r="P35" s="120"/>
      <c r="Q35" s="275"/>
      <c r="X35" s="49"/>
      <c r="Y35" s="42"/>
      <c r="Z35" s="42"/>
    </row>
    <row r="36" spans="1:26" ht="22.5" customHeight="1" x14ac:dyDescent="0.25">
      <c r="A36" s="212"/>
      <c r="B36" s="212">
        <v>2750</v>
      </c>
      <c r="C36" s="210" t="s">
        <v>205</v>
      </c>
      <c r="D36" s="211">
        <f>U26</f>
        <v>2220162.6017124997</v>
      </c>
      <c r="E36" s="216">
        <f>V26</f>
        <v>981112.5</v>
      </c>
      <c r="F36" s="212"/>
      <c r="G36" s="212">
        <v>3094</v>
      </c>
      <c r="H36" s="212">
        <v>275000100</v>
      </c>
      <c r="I36" s="212"/>
      <c r="J36" s="212">
        <v>11</v>
      </c>
      <c r="K36" s="26">
        <f>VLOOKUP(B36,'Utfördelat tom aug'!$A$3:$L$28,10,FALSE)</f>
        <v>1486161.8793232141</v>
      </c>
      <c r="L36" s="211">
        <f>(D36-K36)/4</f>
        <v>183500.18059732142</v>
      </c>
      <c r="M36" s="212" t="s">
        <v>818</v>
      </c>
      <c r="N36" s="212" t="s">
        <v>464</v>
      </c>
      <c r="O36" s="120"/>
      <c r="P36" s="120"/>
      <c r="Q36" s="275"/>
      <c r="X36" s="49"/>
      <c r="Y36" s="42"/>
      <c r="Z36" s="42"/>
    </row>
    <row r="37" spans="1:26" ht="22.5" customHeight="1" x14ac:dyDescent="0.25">
      <c r="A37" s="212"/>
      <c r="B37" s="212"/>
      <c r="C37" s="209"/>
      <c r="D37" s="212"/>
      <c r="E37" s="217"/>
      <c r="F37" s="212"/>
      <c r="G37" s="212">
        <v>3094</v>
      </c>
      <c r="H37" s="212">
        <v>600011100</v>
      </c>
      <c r="I37" s="212"/>
      <c r="J37" s="212">
        <v>11</v>
      </c>
      <c r="K37" s="26"/>
      <c r="L37" s="211">
        <f>L36</f>
        <v>183500.18059732142</v>
      </c>
      <c r="M37" s="212" t="s">
        <v>819</v>
      </c>
      <c r="N37" s="212" t="s">
        <v>464</v>
      </c>
      <c r="O37" s="120"/>
      <c r="P37" s="120"/>
      <c r="Q37" s="275"/>
      <c r="X37" s="49"/>
      <c r="Y37" s="42"/>
      <c r="Z37" s="42"/>
    </row>
    <row r="38" spans="1:26" ht="22.5" customHeight="1" x14ac:dyDescent="0.25">
      <c r="A38" s="209"/>
      <c r="B38" s="209">
        <v>2000</v>
      </c>
      <c r="C38" s="213" t="s">
        <v>463</v>
      </c>
      <c r="D38" s="209"/>
      <c r="E38" s="224">
        <f>SUM(E16:E37)</f>
        <v>7282955.8833333375</v>
      </c>
      <c r="F38" s="209"/>
      <c r="G38" s="209">
        <v>3094</v>
      </c>
      <c r="H38" s="209">
        <v>200000001</v>
      </c>
      <c r="I38" s="209"/>
      <c r="J38" s="212">
        <v>11</v>
      </c>
      <c r="K38" s="26">
        <f>VLOOKUP(B38,'Utfördelat tom aug'!$A$3:$L$28,11,FALSE)</f>
        <v>5099277.5714285728</v>
      </c>
      <c r="L38" s="211">
        <f>(E38-K38)/4</f>
        <v>545919.57797619118</v>
      </c>
      <c r="M38" s="212" t="s">
        <v>818</v>
      </c>
      <c r="N38" s="209" t="s">
        <v>404</v>
      </c>
      <c r="O38" s="120"/>
      <c r="P38" s="120"/>
      <c r="Q38" s="275"/>
      <c r="X38" s="49"/>
      <c r="Y38" s="42"/>
      <c r="Z38" s="42"/>
    </row>
    <row r="39" spans="1:26" ht="22.5" customHeight="1" x14ac:dyDescent="0.25">
      <c r="G39" s="257">
        <v>3094</v>
      </c>
      <c r="H39" s="212">
        <v>600011100</v>
      </c>
      <c r="J39" s="212">
        <v>11</v>
      </c>
      <c r="K39" s="26"/>
      <c r="L39" s="211">
        <f>L38</f>
        <v>545919.57797619118</v>
      </c>
      <c r="M39" s="212" t="s">
        <v>819</v>
      </c>
      <c r="N39" s="209" t="s">
        <v>404</v>
      </c>
      <c r="O39" s="120"/>
      <c r="P39" s="120"/>
      <c r="Q39" s="120"/>
      <c r="X39" s="49"/>
      <c r="Y39" s="42"/>
      <c r="Z39" s="42"/>
    </row>
    <row r="40" spans="1:26" ht="22.5" customHeight="1" x14ac:dyDescent="0.25">
      <c r="A40" s="467"/>
      <c r="B40" s="467"/>
      <c r="C40" s="471"/>
      <c r="D40" s="467"/>
      <c r="E40" s="472"/>
      <c r="F40" s="467"/>
      <c r="G40" s="467"/>
      <c r="H40" s="467"/>
      <c r="I40" s="467"/>
      <c r="J40" s="467"/>
      <c r="K40" s="468"/>
      <c r="L40" s="473"/>
      <c r="M40" s="467"/>
      <c r="N40" s="467"/>
      <c r="O40" s="120"/>
      <c r="P40" s="120"/>
      <c r="Q40" s="120"/>
      <c r="X40" s="49"/>
      <c r="Y40" s="42"/>
      <c r="Z40" s="42"/>
    </row>
    <row r="41" spans="1:26" ht="22.5" customHeight="1" x14ac:dyDescent="0.25">
      <c r="A41" s="209"/>
      <c r="K41" s="26"/>
      <c r="O41" s="120"/>
      <c r="P41" s="120"/>
      <c r="Q41" s="120"/>
      <c r="T41">
        <v>2019</v>
      </c>
      <c r="U41" t="s">
        <v>375</v>
      </c>
      <c r="V41" t="s">
        <v>149</v>
      </c>
      <c r="X41" s="49"/>
      <c r="Y41" s="42"/>
      <c r="Z41" s="42"/>
    </row>
    <row r="42" spans="1:26" ht="22.5" customHeight="1" x14ac:dyDescent="0.25">
      <c r="A42" s="209" t="s">
        <v>413</v>
      </c>
      <c r="B42" s="212">
        <v>3306</v>
      </c>
      <c r="C42" s="210" t="s">
        <v>242</v>
      </c>
      <c r="D42" s="225">
        <f>U42</f>
        <v>491143.68337500002</v>
      </c>
      <c r="E42" s="225">
        <f>V42</f>
        <v>254437.5</v>
      </c>
      <c r="F42" s="209"/>
      <c r="G42" s="257">
        <v>3094</v>
      </c>
      <c r="H42" s="257">
        <v>330600100</v>
      </c>
      <c r="I42" s="257"/>
      <c r="J42" s="257">
        <v>11</v>
      </c>
      <c r="K42" s="26">
        <f>VLOOKUP(B42,'Utfördelat tom aug'!$A$3:$L$28,12,FALSE)</f>
        <v>506056.84948214289</v>
      </c>
      <c r="L42" s="211">
        <f>(D42+E42-K42)/4</f>
        <v>59881.083473214283</v>
      </c>
      <c r="M42" s="212" t="s">
        <v>818</v>
      </c>
      <c r="N42" s="209" t="s">
        <v>427</v>
      </c>
      <c r="O42" s="120"/>
      <c r="P42" s="120"/>
      <c r="Q42" s="120"/>
      <c r="S42" s="64">
        <v>3306</v>
      </c>
      <c r="T42" s="81" t="s">
        <v>242</v>
      </c>
      <c r="U42" s="15">
        <v>491143.68337500002</v>
      </c>
      <c r="V42" s="15">
        <v>254437.5</v>
      </c>
      <c r="X42" s="15"/>
      <c r="Y42" s="42"/>
      <c r="Z42" s="42"/>
    </row>
    <row r="43" spans="1:26" ht="22.5" customHeight="1" x14ac:dyDescent="0.25">
      <c r="B43" s="212"/>
      <c r="C43" s="210"/>
      <c r="G43" s="257">
        <v>3094</v>
      </c>
      <c r="H43" s="212">
        <v>600011100</v>
      </c>
      <c r="J43" s="257">
        <v>11</v>
      </c>
      <c r="K43" s="26"/>
      <c r="L43" s="225">
        <f>L42</f>
        <v>59881.083473214283</v>
      </c>
      <c r="M43" s="212" t="s">
        <v>819</v>
      </c>
      <c r="N43" s="209" t="s">
        <v>427</v>
      </c>
      <c r="O43" s="120"/>
      <c r="P43" s="120"/>
      <c r="Q43" s="120"/>
      <c r="S43">
        <v>3850</v>
      </c>
      <c r="T43" s="81" t="s">
        <v>822</v>
      </c>
      <c r="U43" s="15">
        <v>122135.72587499999</v>
      </c>
      <c r="V43" s="15">
        <v>63250</v>
      </c>
      <c r="X43" s="15"/>
      <c r="Y43" s="42"/>
      <c r="Z43" s="42"/>
    </row>
    <row r="44" spans="1:26" ht="22.5" customHeight="1" x14ac:dyDescent="0.25">
      <c r="B44" s="212">
        <v>3850</v>
      </c>
      <c r="C44" s="81" t="s">
        <v>822</v>
      </c>
      <c r="D44" s="225">
        <f>U43</f>
        <v>122135.72587499999</v>
      </c>
      <c r="E44" s="225">
        <f>V43</f>
        <v>63250</v>
      </c>
      <c r="G44" s="257">
        <v>3094</v>
      </c>
      <c r="H44" s="474">
        <v>385000002</v>
      </c>
      <c r="J44" s="257">
        <v>11</v>
      </c>
      <c r="K44" s="26">
        <f>VLOOKUP(B44,'Utfördelat tom aug'!$A$3:$L$28,12,FALSE)</f>
        <v>133583.81222023809</v>
      </c>
      <c r="L44" s="211">
        <f>(D44+E44-K44)/4</f>
        <v>12950.478413690478</v>
      </c>
      <c r="M44" s="212" t="s">
        <v>818</v>
      </c>
      <c r="N44" s="209" t="s">
        <v>427</v>
      </c>
      <c r="O44" s="120"/>
      <c r="P44" s="120"/>
      <c r="Q44" s="120"/>
      <c r="T44" s="81"/>
      <c r="X44" s="49"/>
      <c r="Y44" s="42"/>
      <c r="Z44" s="42"/>
    </row>
    <row r="45" spans="1:26" ht="22.5" customHeight="1" x14ac:dyDescent="0.25">
      <c r="G45" s="257">
        <v>3094</v>
      </c>
      <c r="H45" s="212">
        <v>600011100</v>
      </c>
      <c r="J45" s="257">
        <v>11</v>
      </c>
      <c r="K45" s="26"/>
      <c r="L45" s="225">
        <f>L44</f>
        <v>12950.478413690478</v>
      </c>
      <c r="M45" s="212" t="s">
        <v>819</v>
      </c>
      <c r="N45" s="209" t="s">
        <v>427</v>
      </c>
      <c r="O45" s="120"/>
      <c r="P45" s="120"/>
      <c r="Q45" s="120"/>
      <c r="X45" s="49"/>
      <c r="Y45" s="42"/>
      <c r="Z45" s="42"/>
    </row>
    <row r="46" spans="1:26" ht="22.5" customHeight="1" x14ac:dyDescent="0.25">
      <c r="A46" s="467"/>
      <c r="B46" s="467"/>
      <c r="C46" s="475"/>
      <c r="D46" s="473"/>
      <c r="E46" s="473"/>
      <c r="F46" s="467"/>
      <c r="G46" s="476"/>
      <c r="H46" s="476"/>
      <c r="I46" s="476"/>
      <c r="J46" s="476"/>
      <c r="K46" s="468"/>
      <c r="L46" s="473"/>
      <c r="M46" s="467"/>
      <c r="N46" s="467"/>
      <c r="O46" s="120"/>
      <c r="P46" s="120"/>
      <c r="Q46" s="120"/>
      <c r="X46" s="49"/>
      <c r="Y46" s="42"/>
      <c r="Z46" s="42"/>
    </row>
    <row r="47" spans="1:26" ht="22.5" customHeight="1" x14ac:dyDescent="0.25">
      <c r="K47" s="26"/>
      <c r="O47" s="120"/>
      <c r="P47" s="120"/>
      <c r="Q47" s="120"/>
      <c r="S47" s="120"/>
      <c r="T47">
        <v>2019</v>
      </c>
      <c r="U47" t="s">
        <v>375</v>
      </c>
      <c r="V47" t="s">
        <v>149</v>
      </c>
      <c r="X47" s="49"/>
      <c r="Y47" s="42"/>
      <c r="Z47" s="42"/>
    </row>
    <row r="48" spans="1:26" ht="22.5" customHeight="1" x14ac:dyDescent="0.25">
      <c r="A48" s="212" t="s">
        <v>465</v>
      </c>
      <c r="B48" s="212">
        <v>5100</v>
      </c>
      <c r="C48" s="210" t="s">
        <v>164</v>
      </c>
      <c r="D48" s="299">
        <f>U48</f>
        <v>706473.36442968773</v>
      </c>
      <c r="E48" s="299">
        <f>V48</f>
        <v>308937.5</v>
      </c>
      <c r="G48" s="257">
        <v>3094</v>
      </c>
      <c r="H48" s="218">
        <v>510010100</v>
      </c>
      <c r="J48" s="257">
        <v>11</v>
      </c>
      <c r="K48" s="26">
        <f>VLOOKUP(B48,'Utfördelat tom aug'!$A$3:$L$28,12,FALSE)</f>
        <v>685573.85555543168</v>
      </c>
      <c r="L48" s="211">
        <f>(D48+E48-K48)/4</f>
        <v>82459.252218564012</v>
      </c>
      <c r="M48" s="257" t="s">
        <v>818</v>
      </c>
      <c r="N48" s="209" t="s">
        <v>427</v>
      </c>
      <c r="P48" s="120"/>
      <c r="Q48" s="120"/>
      <c r="S48">
        <v>5100</v>
      </c>
      <c r="T48" s="81" t="s">
        <v>164</v>
      </c>
      <c r="U48" s="15">
        <v>706473.36442968773</v>
      </c>
      <c r="V48" s="15">
        <v>308937.5</v>
      </c>
      <c r="X48" s="120"/>
      <c r="Y48" s="42"/>
      <c r="Z48" s="42"/>
    </row>
    <row r="49" spans="1:26" ht="22.5" customHeight="1" x14ac:dyDescent="0.25">
      <c r="G49" s="257">
        <v>3094</v>
      </c>
      <c r="H49" s="218">
        <v>600011100</v>
      </c>
      <c r="J49" s="257">
        <v>11</v>
      </c>
      <c r="L49" s="225">
        <f>L48</f>
        <v>82459.252218564012</v>
      </c>
      <c r="M49" s="257" t="s">
        <v>819</v>
      </c>
      <c r="N49" s="209" t="s">
        <v>427</v>
      </c>
      <c r="P49" s="120"/>
      <c r="Q49" s="120"/>
      <c r="S49">
        <v>5160</v>
      </c>
      <c r="T49" s="81" t="s">
        <v>305</v>
      </c>
      <c r="U49" s="15">
        <v>110380.72499999998</v>
      </c>
      <c r="V49" s="15">
        <v>49050</v>
      </c>
      <c r="X49" s="120"/>
      <c r="Y49" s="42"/>
      <c r="Z49" s="42"/>
    </row>
    <row r="50" spans="1:26" ht="22.5" customHeight="1" x14ac:dyDescent="0.25">
      <c r="B50" s="212">
        <v>5160</v>
      </c>
      <c r="C50" s="210" t="s">
        <v>305</v>
      </c>
      <c r="D50" s="299">
        <f>U49</f>
        <v>110380.72499999998</v>
      </c>
      <c r="E50" s="299">
        <f>V49</f>
        <v>49050</v>
      </c>
      <c r="G50" s="218">
        <v>3094</v>
      </c>
      <c r="H50" s="218">
        <v>516001100</v>
      </c>
      <c r="J50" s="257">
        <v>11</v>
      </c>
      <c r="K50" s="26">
        <f>VLOOKUP(B50,'Utfördelat tom aug'!$A$3:$L$28,12,FALSE)</f>
        <v>110504.89404761905</v>
      </c>
      <c r="L50" s="211">
        <f>(D50+E50-K50)/4</f>
        <v>12231.457738095232</v>
      </c>
      <c r="M50" s="257" t="s">
        <v>818</v>
      </c>
      <c r="N50" s="209" t="s">
        <v>427</v>
      </c>
      <c r="O50" s="18"/>
      <c r="P50" s="120"/>
      <c r="Q50" s="120"/>
      <c r="S50">
        <v>5400</v>
      </c>
      <c r="T50" s="81" t="s">
        <v>308</v>
      </c>
      <c r="U50" s="15">
        <v>190100.13750000001</v>
      </c>
      <c r="V50" s="15">
        <v>84475</v>
      </c>
      <c r="X50" s="120"/>
      <c r="Y50" s="42"/>
      <c r="Z50" s="42"/>
    </row>
    <row r="51" spans="1:26" ht="22.5" customHeight="1" x14ac:dyDescent="0.25">
      <c r="G51" s="218">
        <v>3094</v>
      </c>
      <c r="H51" s="218">
        <v>600011100</v>
      </c>
      <c r="I51" s="31"/>
      <c r="J51" s="257">
        <v>11</v>
      </c>
      <c r="L51" s="225">
        <f>L50</f>
        <v>12231.457738095232</v>
      </c>
      <c r="M51" s="257" t="s">
        <v>819</v>
      </c>
      <c r="N51" s="209" t="s">
        <v>427</v>
      </c>
      <c r="O51" s="18"/>
      <c r="P51" s="120"/>
      <c r="Q51" s="120"/>
      <c r="S51">
        <v>5410</v>
      </c>
      <c r="T51" s="81" t="s">
        <v>1105</v>
      </c>
      <c r="U51" s="15">
        <v>4905.8100000000004</v>
      </c>
      <c r="V51" s="15">
        <v>2180</v>
      </c>
      <c r="X51" s="120"/>
      <c r="Y51" s="42"/>
      <c r="Z51" s="42"/>
    </row>
    <row r="52" spans="1:26" ht="22.5" customHeight="1" x14ac:dyDescent="0.25">
      <c r="B52" s="218">
        <v>5400</v>
      </c>
      <c r="C52" s="213" t="s">
        <v>923</v>
      </c>
      <c r="D52" s="299">
        <f>U50</f>
        <v>190100.13750000001</v>
      </c>
      <c r="E52" s="299">
        <f>V50</f>
        <v>84475</v>
      </c>
      <c r="F52" s="31"/>
      <c r="G52" s="218">
        <v>3094</v>
      </c>
      <c r="H52" s="218">
        <v>540000100</v>
      </c>
      <c r="I52" s="31"/>
      <c r="J52" s="257">
        <v>11</v>
      </c>
      <c r="K52" s="26">
        <f>VLOOKUP(B52,'Utfördelat tom aug'!$A$3:$L$28,12,FALSE)</f>
        <v>195281.5494047619</v>
      </c>
      <c r="L52" s="211">
        <f>(D52+E52-K52)/4</f>
        <v>19823.397023809528</v>
      </c>
      <c r="M52" s="218" t="s">
        <v>818</v>
      </c>
      <c r="N52" s="257" t="s">
        <v>427</v>
      </c>
      <c r="O52" s="18"/>
      <c r="P52" s="120"/>
      <c r="Q52" s="120"/>
      <c r="S52" s="18">
        <v>5500</v>
      </c>
      <c r="T52" s="81" t="s">
        <v>165</v>
      </c>
      <c r="U52" s="15">
        <v>220761.44999999992</v>
      </c>
      <c r="V52" s="15">
        <v>98100</v>
      </c>
      <c r="X52" s="120"/>
      <c r="Y52" s="42"/>
      <c r="Z52" s="42"/>
    </row>
    <row r="53" spans="1:26" ht="22.5" customHeight="1" x14ac:dyDescent="0.25">
      <c r="B53" s="218"/>
      <c r="C53" s="213"/>
      <c r="D53" s="218"/>
      <c r="E53" s="218"/>
      <c r="F53" s="31"/>
      <c r="G53" s="218">
        <v>3094</v>
      </c>
      <c r="H53" s="218">
        <v>600011100</v>
      </c>
      <c r="I53" s="31"/>
      <c r="J53" s="257">
        <v>11</v>
      </c>
      <c r="K53" s="300"/>
      <c r="L53" s="299">
        <f>L52</f>
        <v>19823.397023809528</v>
      </c>
      <c r="M53" s="218" t="s">
        <v>819</v>
      </c>
      <c r="N53" s="257" t="s">
        <v>427</v>
      </c>
      <c r="O53" s="120"/>
      <c r="P53" s="120"/>
      <c r="Q53" s="120"/>
      <c r="S53" s="159">
        <v>5700</v>
      </c>
      <c r="T53" s="81" t="s">
        <v>313</v>
      </c>
      <c r="U53" s="15">
        <v>65279.512499999997</v>
      </c>
      <c r="V53" s="15">
        <v>29975</v>
      </c>
      <c r="X53" s="120"/>
      <c r="Y53" s="42"/>
      <c r="Z53" s="42"/>
    </row>
    <row r="54" spans="1:26" ht="22.5" customHeight="1" x14ac:dyDescent="0.25">
      <c r="B54" s="218">
        <v>5410</v>
      </c>
      <c r="C54" s="213" t="s">
        <v>1105</v>
      </c>
      <c r="D54" s="299">
        <f>U51</f>
        <v>4905.8100000000004</v>
      </c>
      <c r="E54" s="299">
        <f>V51</f>
        <v>2180</v>
      </c>
      <c r="F54" s="31"/>
      <c r="G54" s="218">
        <v>3094</v>
      </c>
      <c r="H54" s="218">
        <v>541000100</v>
      </c>
      <c r="I54" s="31"/>
      <c r="J54" s="257">
        <v>11</v>
      </c>
      <c r="K54" s="26">
        <f>VLOOKUP(B54,'Utfördelat tom aug'!$A$3:$L$28,12,FALSE)</f>
        <v>6410.9709523809524</v>
      </c>
      <c r="L54" s="211">
        <f>(D54+E54-K54)/4</f>
        <v>168.70976190476199</v>
      </c>
      <c r="M54" s="218" t="s">
        <v>818</v>
      </c>
      <c r="N54" s="257" t="s">
        <v>427</v>
      </c>
      <c r="O54" s="120"/>
      <c r="P54" s="120"/>
      <c r="Q54" s="120"/>
      <c r="S54" s="18">
        <v>5730</v>
      </c>
      <c r="T54" s="81" t="s">
        <v>166</v>
      </c>
      <c r="U54" s="15">
        <v>1959629.9368749987</v>
      </c>
      <c r="V54" s="15">
        <v>804413.33333333337</v>
      </c>
      <c r="X54" s="120"/>
      <c r="Y54" s="42"/>
      <c r="Z54" s="42"/>
    </row>
    <row r="55" spans="1:26" ht="22.5" customHeight="1" x14ac:dyDescent="0.25">
      <c r="B55" s="218"/>
      <c r="C55" s="213"/>
      <c r="D55" s="218"/>
      <c r="E55" s="218"/>
      <c r="F55" s="31"/>
      <c r="G55" s="218">
        <v>3094</v>
      </c>
      <c r="H55" s="218">
        <v>600011100</v>
      </c>
      <c r="I55" s="31"/>
      <c r="J55" s="257">
        <v>11</v>
      </c>
      <c r="K55" s="300"/>
      <c r="L55" s="299">
        <f>L54</f>
        <v>168.70976190476199</v>
      </c>
      <c r="M55" s="218" t="s">
        <v>819</v>
      </c>
      <c r="N55" s="257" t="s">
        <v>427</v>
      </c>
      <c r="O55" s="120"/>
      <c r="P55" s="120"/>
      <c r="Q55" s="120"/>
      <c r="S55" s="18">
        <v>5740</v>
      </c>
      <c r="T55" s="81" t="s">
        <v>461</v>
      </c>
      <c r="U55" s="15">
        <v>11509828.457326673</v>
      </c>
      <c r="V55" s="15">
        <v>3448450.166666667</v>
      </c>
      <c r="X55" s="49"/>
      <c r="Y55" s="42"/>
      <c r="Z55" s="42"/>
    </row>
    <row r="56" spans="1:26" ht="22.5" customHeight="1" x14ac:dyDescent="0.25">
      <c r="B56" s="218">
        <v>5500</v>
      </c>
      <c r="C56" s="213" t="s">
        <v>165</v>
      </c>
      <c r="D56" s="299">
        <f>U52</f>
        <v>220761.44999999992</v>
      </c>
      <c r="E56" s="299">
        <f>V52</f>
        <v>98100</v>
      </c>
      <c r="F56" s="218"/>
      <c r="G56" s="218">
        <v>3094</v>
      </c>
      <c r="H56" s="218">
        <v>550001100</v>
      </c>
      <c r="I56" s="218"/>
      <c r="J56" s="218">
        <v>11</v>
      </c>
      <c r="K56" s="26">
        <f>VLOOKUP(B56,'Utfördelat tom aug'!$A$3:$L$28,12,FALSE)</f>
        <v>195703.3238095238</v>
      </c>
      <c r="L56" s="211">
        <f>(D56+E56-K56)/4</f>
        <v>30789.531547619037</v>
      </c>
      <c r="M56" s="218" t="s">
        <v>818</v>
      </c>
      <c r="N56" s="218" t="s">
        <v>427</v>
      </c>
      <c r="O56" s="120"/>
      <c r="P56" s="120"/>
      <c r="Q56" s="120"/>
      <c r="X56" s="49"/>
      <c r="Y56" s="15"/>
      <c r="Z56" s="15"/>
    </row>
    <row r="57" spans="1:26" ht="22.5" customHeight="1" x14ac:dyDescent="0.25">
      <c r="A57" s="212"/>
      <c r="B57" s="218"/>
      <c r="C57" s="213"/>
      <c r="D57" s="218"/>
      <c r="E57" s="218"/>
      <c r="F57" s="218"/>
      <c r="G57" s="218">
        <v>3094</v>
      </c>
      <c r="H57" s="218">
        <v>600011100</v>
      </c>
      <c r="I57" s="218"/>
      <c r="J57" s="218">
        <v>11</v>
      </c>
      <c r="K57" s="300"/>
      <c r="L57" s="299">
        <f>L56</f>
        <v>30789.531547619037</v>
      </c>
      <c r="M57" s="218" t="s">
        <v>819</v>
      </c>
      <c r="N57" s="218" t="s">
        <v>427</v>
      </c>
      <c r="O57" s="166"/>
      <c r="P57" s="166"/>
      <c r="Q57" s="166"/>
      <c r="X57" s="49"/>
      <c r="Y57" s="15"/>
      <c r="Z57" s="15"/>
    </row>
    <row r="58" spans="1:26" ht="22.5" customHeight="1" x14ac:dyDescent="0.25">
      <c r="B58" s="218">
        <v>5700</v>
      </c>
      <c r="C58" s="213" t="s">
        <v>313</v>
      </c>
      <c r="D58" s="299">
        <f>U53</f>
        <v>65279.512499999997</v>
      </c>
      <c r="E58" s="299">
        <f>V53</f>
        <v>29975</v>
      </c>
      <c r="G58" s="218">
        <v>3094</v>
      </c>
      <c r="H58" s="218">
        <v>570001100</v>
      </c>
      <c r="J58" s="218">
        <v>11</v>
      </c>
      <c r="K58" s="26">
        <f>VLOOKUP(B58,'Utfördelat tom aug'!$A$3:$L$28,12,FALSE)</f>
        <v>61394.136309523812</v>
      </c>
      <c r="L58" s="211">
        <f>(D58+E58-K58)/4</f>
        <v>8465.0940476190463</v>
      </c>
      <c r="M58" s="218" t="s">
        <v>818</v>
      </c>
      <c r="N58" s="218" t="s">
        <v>427</v>
      </c>
      <c r="O58" s="120"/>
      <c r="P58" s="120"/>
      <c r="Q58" s="120"/>
      <c r="X58" s="49"/>
      <c r="Y58" s="15"/>
      <c r="Z58" s="15"/>
    </row>
    <row r="59" spans="1:26" ht="22.5" customHeight="1" x14ac:dyDescent="0.25">
      <c r="G59" s="218">
        <v>3094</v>
      </c>
      <c r="H59" s="218">
        <v>600011100</v>
      </c>
      <c r="I59" s="218"/>
      <c r="J59" s="218">
        <v>11</v>
      </c>
      <c r="L59" s="299">
        <f>L58</f>
        <v>8465.0940476190463</v>
      </c>
      <c r="M59" s="218" t="s">
        <v>819</v>
      </c>
      <c r="N59" s="218" t="s">
        <v>427</v>
      </c>
      <c r="O59" s="166"/>
      <c r="P59" s="166"/>
      <c r="Q59" s="166"/>
      <c r="X59" s="49"/>
      <c r="Y59" s="15"/>
      <c r="Z59" s="15"/>
    </row>
    <row r="60" spans="1:26" ht="22.5" customHeight="1" x14ac:dyDescent="0.25">
      <c r="A60" s="212"/>
      <c r="B60" s="212">
        <v>5730</v>
      </c>
      <c r="C60" s="210" t="s">
        <v>166</v>
      </c>
      <c r="D60" s="225">
        <f>U54</f>
        <v>1959629.9368749987</v>
      </c>
      <c r="E60" s="225">
        <f>V54</f>
        <v>804413.33333333337</v>
      </c>
      <c r="F60" s="212"/>
      <c r="G60" s="212">
        <v>3094</v>
      </c>
      <c r="H60" s="212">
        <v>573000111</v>
      </c>
      <c r="I60" s="212"/>
      <c r="J60" s="212">
        <v>11</v>
      </c>
      <c r="K60" s="26">
        <f>VLOOKUP(B60,'Utfördelat tom aug'!$A$3:$L$28,12,FALSE)</f>
        <v>1927641.4164146821</v>
      </c>
      <c r="L60" s="211">
        <f>(D60+E60-K60)/4</f>
        <v>209100.46344841254</v>
      </c>
      <c r="M60" s="212" t="s">
        <v>818</v>
      </c>
      <c r="N60" s="212" t="s">
        <v>427</v>
      </c>
      <c r="O60" s="120"/>
      <c r="P60" s="120"/>
      <c r="Q60" s="120"/>
      <c r="X60" s="49"/>
      <c r="Y60" s="15"/>
      <c r="Z60" s="15"/>
    </row>
    <row r="61" spans="1:26" ht="22.5" customHeight="1" x14ac:dyDescent="0.25">
      <c r="A61" s="212"/>
      <c r="B61" s="212"/>
      <c r="C61" s="210"/>
      <c r="F61" s="212"/>
      <c r="G61" s="212">
        <v>3094</v>
      </c>
      <c r="H61" s="212">
        <v>600011100</v>
      </c>
      <c r="I61" s="212"/>
      <c r="J61" s="212">
        <v>11</v>
      </c>
      <c r="K61" s="26"/>
      <c r="L61" s="225">
        <f>L60</f>
        <v>209100.46344841254</v>
      </c>
      <c r="M61" s="212" t="s">
        <v>819</v>
      </c>
      <c r="N61" s="212" t="s">
        <v>427</v>
      </c>
      <c r="O61" s="120"/>
      <c r="P61" s="120"/>
      <c r="Q61" s="120"/>
      <c r="X61" s="49"/>
      <c r="Z61" s="15"/>
    </row>
    <row r="62" spans="1:26" ht="22.5" customHeight="1" x14ac:dyDescent="0.25">
      <c r="B62" s="212">
        <v>5740</v>
      </c>
      <c r="C62" s="210" t="s">
        <v>461</v>
      </c>
      <c r="D62" s="225">
        <f>U55</f>
        <v>11509828.457326673</v>
      </c>
      <c r="E62" s="225">
        <f>V55</f>
        <v>3448450.166666667</v>
      </c>
      <c r="F62" s="212"/>
      <c r="G62" s="212">
        <v>3094</v>
      </c>
      <c r="H62" s="218">
        <v>574002011</v>
      </c>
      <c r="I62" s="212"/>
      <c r="J62" s="212">
        <v>11</v>
      </c>
      <c r="K62" s="26">
        <f>VLOOKUP(B62,'Utfördelat tom aug'!$A$3:$L$28,12,FALSE)</f>
        <v>10566192.733109172</v>
      </c>
      <c r="L62" s="211">
        <f>(D62+E62-K62)/4</f>
        <v>1098021.4727210421</v>
      </c>
      <c r="M62" s="212" t="s">
        <v>818</v>
      </c>
      <c r="N62" s="212" t="s">
        <v>427</v>
      </c>
      <c r="O62" s="166"/>
      <c r="P62" s="166"/>
      <c r="Q62" s="166"/>
      <c r="X62" s="49"/>
      <c r="Z62" s="15"/>
    </row>
    <row r="63" spans="1:26" ht="22.5" customHeight="1" x14ac:dyDescent="0.25">
      <c r="B63" s="212"/>
      <c r="C63" s="209"/>
      <c r="D63" s="212"/>
      <c r="E63" s="212"/>
      <c r="F63" s="212"/>
      <c r="G63" s="212">
        <v>3094</v>
      </c>
      <c r="H63" s="212">
        <v>600011100</v>
      </c>
      <c r="I63" s="212"/>
      <c r="J63" s="212">
        <v>11</v>
      </c>
      <c r="K63" s="26"/>
      <c r="L63" s="225">
        <f>L62</f>
        <v>1098021.4727210421</v>
      </c>
      <c r="M63" s="212" t="s">
        <v>819</v>
      </c>
      <c r="N63" s="212" t="s">
        <v>427</v>
      </c>
      <c r="O63" s="120"/>
      <c r="P63" s="120"/>
      <c r="Q63" s="120"/>
      <c r="X63" s="49"/>
      <c r="Z63" s="15"/>
    </row>
    <row r="64" spans="1:26" ht="25.5" customHeight="1" x14ac:dyDescent="0.25">
      <c r="A64" s="467"/>
      <c r="B64" s="467"/>
      <c r="C64" s="467"/>
      <c r="D64" s="467"/>
      <c r="E64" s="467"/>
      <c r="F64" s="467"/>
      <c r="G64" s="467"/>
      <c r="H64" s="467"/>
      <c r="I64" s="467"/>
      <c r="J64" s="467"/>
      <c r="K64" s="477"/>
      <c r="L64" s="469"/>
      <c r="M64" s="467"/>
      <c r="N64" s="467"/>
      <c r="O64" s="18"/>
      <c r="P64" s="18"/>
      <c r="Q64" s="18"/>
      <c r="X64" s="49"/>
      <c r="Z64" s="15"/>
    </row>
    <row r="65" spans="3:26" ht="15" customHeight="1" x14ac:dyDescent="0.25">
      <c r="O65" s="18"/>
      <c r="P65" s="18"/>
      <c r="Q65" s="18"/>
      <c r="X65" s="49"/>
      <c r="Z65" s="15"/>
    </row>
    <row r="66" spans="3:26" ht="15" customHeight="1" x14ac:dyDescent="0.25">
      <c r="D66" s="26">
        <f>SUM(D6:D63)</f>
        <v>84119329.477562517</v>
      </c>
      <c r="E66" s="26">
        <f>SUM(E6:E36,E42:E62)</f>
        <v>21414813.633333337</v>
      </c>
      <c r="L66" s="26"/>
      <c r="X66" s="49"/>
      <c r="Z66" s="15"/>
    </row>
    <row r="67" spans="3:26" x14ac:dyDescent="0.25">
      <c r="I67" s="478" t="s">
        <v>469</v>
      </c>
      <c r="J67" s="479"/>
      <c r="K67" s="479"/>
      <c r="L67" s="479"/>
      <c r="M67" s="479"/>
      <c r="N67" s="480"/>
      <c r="Z67" s="15"/>
    </row>
    <row r="68" spans="3:26" x14ac:dyDescent="0.25">
      <c r="I68" s="481"/>
      <c r="J68" s="477"/>
      <c r="K68" s="477"/>
      <c r="L68" s="477"/>
      <c r="M68" s="477"/>
      <c r="N68" s="482"/>
    </row>
    <row r="69" spans="3:26" x14ac:dyDescent="0.25">
      <c r="I69" s="483" t="s">
        <v>565</v>
      </c>
      <c r="J69" s="484"/>
      <c r="K69" s="484"/>
      <c r="L69" s="484"/>
      <c r="M69" s="484"/>
      <c r="N69" s="466"/>
    </row>
    <row r="70" spans="3:26" x14ac:dyDescent="0.25">
      <c r="C70" s="81"/>
      <c r="D70" s="120"/>
      <c r="E70" s="120"/>
    </row>
    <row r="71" spans="3:26" x14ac:dyDescent="0.25">
      <c r="I71" s="485" t="s">
        <v>422</v>
      </c>
      <c r="J71" s="479"/>
      <c r="K71" s="479"/>
      <c r="L71" s="479"/>
      <c r="M71" s="479"/>
      <c r="N71" s="480"/>
    </row>
    <row r="72" spans="3:26" x14ac:dyDescent="0.25">
      <c r="I72" s="481"/>
      <c r="J72" s="477"/>
      <c r="K72" s="477"/>
      <c r="L72" s="477"/>
      <c r="M72" s="477"/>
      <c r="N72" s="482"/>
    </row>
    <row r="73" spans="3:26" x14ac:dyDescent="0.25">
      <c r="I73" s="483" t="s">
        <v>1743</v>
      </c>
      <c r="J73" s="484"/>
      <c r="K73" s="484"/>
      <c r="L73" s="484"/>
      <c r="M73" s="484"/>
      <c r="N73" s="466"/>
    </row>
  </sheetData>
  <sheetProtection sheet="1" objects="1" scenarios="1"/>
  <mergeCells count="1">
    <mergeCell ref="O3:T3"/>
  </mergeCells>
  <printOptions gridLines="1"/>
  <pageMargins left="0.43307086614173229" right="0.39370078740157483" top="0.86614173228346458" bottom="0.78740157480314965" header="0.31496062992125984" footer="0.31496062992125984"/>
  <pageSetup paperSize="9" scale="58" fitToHeight="2" orientation="landscape" cellComments="asDisplayed" r:id="rId1"/>
  <headerFooter>
    <oddHeader xml:space="preserve">&amp;LUMEÅ UNIVERSITET
Lärarhögskolan
A Simm&amp;CGU-RESURSER
2019&amp;RBOKFÖRINGSORDER
</oddHeader>
    <oddFooter>&amp;L&amp;F&amp;C&amp;A&amp;R&amp;P (&amp;N)</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Z73"/>
  <sheetViews>
    <sheetView topLeftCell="B19" workbookViewId="0">
      <selection activeCell="L6" sqref="L6"/>
    </sheetView>
  </sheetViews>
  <sheetFormatPr defaultRowHeight="15" x14ac:dyDescent="0.25"/>
  <cols>
    <col min="1" max="2" width="11.5703125" customWidth="1"/>
    <col min="3" max="3" width="34.5703125" customWidth="1"/>
    <col min="4" max="4" width="17" customWidth="1"/>
    <col min="5" max="5" width="16.85546875" customWidth="1"/>
    <col min="6" max="6" width="4.42578125" customWidth="1"/>
    <col min="8" max="8" width="13.42578125" customWidth="1"/>
    <col min="9" max="9" width="3.42578125" customWidth="1"/>
    <col min="10" max="10" width="6.5703125" customWidth="1"/>
    <col min="11" max="11" width="13.85546875" customWidth="1"/>
    <col min="12" max="12" width="19" customWidth="1"/>
    <col min="13" max="13" width="5" customWidth="1"/>
    <col min="14" max="14" width="32.42578125" customWidth="1"/>
    <col min="15" max="15" width="12.5703125" customWidth="1"/>
    <col min="16" max="17" width="13.85546875" customWidth="1"/>
    <col min="18" max="18" width="44.5703125" customWidth="1"/>
    <col min="19" max="19" width="8" customWidth="1"/>
    <col min="20" max="20" width="30.85546875" customWidth="1"/>
    <col min="21" max="21" width="13.85546875" customWidth="1"/>
    <col min="22" max="22" width="12.42578125" customWidth="1"/>
    <col min="24" max="24" width="10.28515625" customWidth="1"/>
    <col min="25" max="25" width="14.140625" customWidth="1"/>
    <col min="26" max="26" width="15.140625" customWidth="1"/>
  </cols>
  <sheetData>
    <row r="1" spans="1:26" ht="28.5" customHeight="1" x14ac:dyDescent="0.25">
      <c r="C1" s="39" t="s">
        <v>321</v>
      </c>
      <c r="L1" s="465" t="s">
        <v>420</v>
      </c>
      <c r="M1" s="465"/>
      <c r="N1" s="466"/>
      <c r="O1" s="18"/>
      <c r="P1" s="18"/>
      <c r="Q1" s="18"/>
    </row>
    <row r="2" spans="1:26" ht="27.75" customHeight="1" x14ac:dyDescent="0.3">
      <c r="C2" s="160" t="s">
        <v>2310</v>
      </c>
      <c r="D2" s="31"/>
      <c r="L2" s="465" t="s">
        <v>421</v>
      </c>
      <c r="M2" s="465"/>
      <c r="N2" s="466"/>
      <c r="O2" s="18"/>
      <c r="P2" s="18"/>
      <c r="Q2" s="18"/>
    </row>
    <row r="3" spans="1:26" ht="27.75" customHeight="1" x14ac:dyDescent="0.25">
      <c r="A3" s="18"/>
      <c r="B3" s="18"/>
      <c r="O3" s="533"/>
      <c r="P3" s="534"/>
      <c r="Q3" s="534"/>
      <c r="R3" s="534"/>
      <c r="S3" s="534"/>
      <c r="T3" s="534"/>
    </row>
    <row r="4" spans="1:26" ht="51.75" customHeight="1" x14ac:dyDescent="0.25">
      <c r="A4" s="27" t="s">
        <v>71</v>
      </c>
      <c r="B4" s="27" t="s">
        <v>817</v>
      </c>
      <c r="C4" s="27" t="s">
        <v>35</v>
      </c>
      <c r="D4" s="497" t="s">
        <v>2228</v>
      </c>
      <c r="E4" s="162" t="s">
        <v>2229</v>
      </c>
      <c r="G4" s="161" t="s">
        <v>423</v>
      </c>
      <c r="H4" s="161" t="s">
        <v>424</v>
      </c>
      <c r="I4" s="161"/>
      <c r="J4" s="161" t="s">
        <v>425</v>
      </c>
      <c r="K4" s="494" t="s">
        <v>2230</v>
      </c>
      <c r="L4" s="416" t="s">
        <v>2231</v>
      </c>
      <c r="M4" s="161" t="s">
        <v>428</v>
      </c>
      <c r="N4" s="161" t="s">
        <v>426</v>
      </c>
      <c r="O4" s="268"/>
      <c r="P4" s="276"/>
      <c r="Q4" s="276"/>
      <c r="T4" s="64" t="s">
        <v>462</v>
      </c>
    </row>
    <row r="5" spans="1:26" ht="22.5" customHeight="1" x14ac:dyDescent="0.25">
      <c r="O5" s="18"/>
      <c r="P5" s="18"/>
      <c r="Q5" s="18"/>
      <c r="T5">
        <v>2019</v>
      </c>
      <c r="U5" t="s">
        <v>375</v>
      </c>
      <c r="V5" t="s">
        <v>149</v>
      </c>
      <c r="X5" s="49"/>
    </row>
    <row r="6" spans="1:26" ht="22.5" customHeight="1" x14ac:dyDescent="0.25">
      <c r="A6" s="209" t="s">
        <v>410</v>
      </c>
      <c r="B6" s="209">
        <v>1620</v>
      </c>
      <c r="C6" s="210" t="s">
        <v>176</v>
      </c>
      <c r="D6" s="211">
        <f>U6</f>
        <v>9849095.7614191771</v>
      </c>
      <c r="E6" s="211">
        <f>V6</f>
        <v>1687177.4166666667</v>
      </c>
      <c r="F6" s="212"/>
      <c r="G6" s="212">
        <v>3094</v>
      </c>
      <c r="H6" s="212">
        <v>162000100</v>
      </c>
      <c r="I6" s="212"/>
      <c r="J6" s="212">
        <v>11</v>
      </c>
      <c r="K6" s="26">
        <f>VLOOKUP(B6,'Utfördelat tom maj'!$A$3:$G$28,7,FALSE)</f>
        <v>5127736.2528439276</v>
      </c>
      <c r="L6" s="211">
        <f>(D6+E6-K6)/7</f>
        <v>915505.27503455931</v>
      </c>
      <c r="M6" s="212" t="s">
        <v>818</v>
      </c>
      <c r="N6" s="212" t="s">
        <v>427</v>
      </c>
      <c r="O6" s="64"/>
      <c r="P6" s="81"/>
      <c r="Q6" s="120"/>
      <c r="S6" s="64">
        <v>1620</v>
      </c>
      <c r="T6" s="81" t="s">
        <v>176</v>
      </c>
      <c r="U6" s="15">
        <v>9849095.7614191771</v>
      </c>
      <c r="V6" s="15">
        <v>1687177.4166666667</v>
      </c>
      <c r="X6" s="15"/>
      <c r="Y6" s="15"/>
      <c r="Z6" s="15"/>
    </row>
    <row r="7" spans="1:26" ht="22.5" customHeight="1" x14ac:dyDescent="0.25">
      <c r="A7" s="212"/>
      <c r="B7" s="212"/>
      <c r="C7" s="209"/>
      <c r="D7" s="212"/>
      <c r="E7" s="212"/>
      <c r="F7" s="212"/>
      <c r="G7" s="212">
        <v>3094</v>
      </c>
      <c r="H7" s="212">
        <v>600011100</v>
      </c>
      <c r="I7" s="212"/>
      <c r="J7" s="212">
        <v>11</v>
      </c>
      <c r="K7" s="26"/>
      <c r="L7" s="211">
        <f>L6</f>
        <v>915505.27503455931</v>
      </c>
      <c r="M7" s="212" t="s">
        <v>819</v>
      </c>
      <c r="N7" s="212" t="s">
        <v>427</v>
      </c>
      <c r="O7" s="18"/>
      <c r="P7" s="81"/>
      <c r="Q7" s="120"/>
      <c r="S7" s="18">
        <v>1630</v>
      </c>
      <c r="T7" s="81" t="s">
        <v>172</v>
      </c>
      <c r="U7" s="15">
        <v>5968480.0704908334</v>
      </c>
      <c r="V7" s="15">
        <v>814452.83333333337</v>
      </c>
      <c r="X7" s="15"/>
      <c r="Y7" s="15"/>
      <c r="Z7" s="15"/>
    </row>
    <row r="8" spans="1:26" ht="22.5" customHeight="1" x14ac:dyDescent="0.25">
      <c r="A8" s="212"/>
      <c r="B8" s="212">
        <v>1630</v>
      </c>
      <c r="C8" s="210" t="s">
        <v>172</v>
      </c>
      <c r="D8" s="211">
        <f>U7</f>
        <v>5968480.0704908334</v>
      </c>
      <c r="E8" s="211">
        <f>V7</f>
        <v>814452.83333333337</v>
      </c>
      <c r="F8" s="212"/>
      <c r="G8" s="212">
        <v>3094</v>
      </c>
      <c r="H8" s="218">
        <v>163000100</v>
      </c>
      <c r="I8" s="212"/>
      <c r="J8" s="212">
        <v>11</v>
      </c>
      <c r="K8" s="26">
        <f>VLOOKUP(B8,'Utfördelat tom maj'!$A$3:$G$28,7,FALSE)</f>
        <v>2810401.0383763928</v>
      </c>
      <c r="L8" s="211">
        <f>(D8+E8-K8)/7</f>
        <v>567504.55220682477</v>
      </c>
      <c r="M8" s="212" t="s">
        <v>818</v>
      </c>
      <c r="N8" s="212" t="s">
        <v>427</v>
      </c>
      <c r="O8" s="18"/>
      <c r="P8" s="81"/>
      <c r="Q8" s="120"/>
      <c r="S8" s="18">
        <v>1640</v>
      </c>
      <c r="T8" s="81" t="s">
        <v>173</v>
      </c>
      <c r="U8" s="15">
        <v>1714900.08207375</v>
      </c>
      <c r="V8" s="15">
        <v>262218</v>
      </c>
      <c r="X8" s="15"/>
      <c r="Y8" s="15"/>
      <c r="Z8" s="15"/>
    </row>
    <row r="9" spans="1:26" ht="22.5" customHeight="1" x14ac:dyDescent="0.25">
      <c r="A9" s="212"/>
      <c r="B9" s="212"/>
      <c r="C9" s="209"/>
      <c r="D9" s="212"/>
      <c r="E9" s="212"/>
      <c r="F9" s="212"/>
      <c r="G9" s="212">
        <v>3094</v>
      </c>
      <c r="H9" s="212">
        <v>600011100</v>
      </c>
      <c r="I9" s="212"/>
      <c r="J9" s="212">
        <v>11</v>
      </c>
      <c r="K9" s="26"/>
      <c r="L9" s="211">
        <f>L8</f>
        <v>567504.55220682477</v>
      </c>
      <c r="M9" s="212" t="s">
        <v>819</v>
      </c>
      <c r="N9" s="212" t="s">
        <v>427</v>
      </c>
      <c r="O9" s="159"/>
      <c r="P9" s="81"/>
      <c r="Q9" s="120"/>
      <c r="S9" s="258">
        <v>1650</v>
      </c>
      <c r="T9" s="259" t="s">
        <v>11</v>
      </c>
      <c r="U9" s="260">
        <v>12753107.72192125</v>
      </c>
      <c r="V9" s="260">
        <v>7231734.083333333</v>
      </c>
      <c r="X9" s="15"/>
      <c r="Y9" s="15"/>
      <c r="Z9" s="15"/>
    </row>
    <row r="10" spans="1:26" ht="22.5" customHeight="1" x14ac:dyDescent="0.25">
      <c r="A10" s="212"/>
      <c r="B10" s="212">
        <v>1640</v>
      </c>
      <c r="C10" s="213" t="s">
        <v>173</v>
      </c>
      <c r="D10" s="211">
        <f>U8</f>
        <v>1714900.08207375</v>
      </c>
      <c r="E10" s="211">
        <f>V8</f>
        <v>262218</v>
      </c>
      <c r="F10" s="212"/>
      <c r="G10" s="212">
        <v>3094</v>
      </c>
      <c r="H10" s="212">
        <v>164016100</v>
      </c>
      <c r="I10" s="212"/>
      <c r="J10" s="212">
        <v>11</v>
      </c>
      <c r="K10" s="26">
        <f>VLOOKUP(B10,'Utfördelat tom maj'!$A$3:$G$28,7,FALSE)</f>
        <v>838673.20629895851</v>
      </c>
      <c r="L10" s="211">
        <f>(D10+E10-K10)/7</f>
        <v>162634.98225354165</v>
      </c>
      <c r="M10" s="212" t="s">
        <v>818</v>
      </c>
      <c r="N10" s="212" t="s">
        <v>427</v>
      </c>
      <c r="O10" s="120"/>
      <c r="P10" s="120"/>
      <c r="Q10" s="120"/>
      <c r="T10" s="39" t="s">
        <v>466</v>
      </c>
      <c r="U10" s="261">
        <v>-675815.20000000019</v>
      </c>
      <c r="V10" s="261">
        <v>-1046875</v>
      </c>
      <c r="X10" s="49"/>
      <c r="Y10" s="459"/>
      <c r="Z10" s="459"/>
    </row>
    <row r="11" spans="1:26" ht="22.5" customHeight="1" x14ac:dyDescent="0.25">
      <c r="A11" s="212"/>
      <c r="B11" s="212"/>
      <c r="C11" s="209"/>
      <c r="D11" s="212"/>
      <c r="E11" s="212"/>
      <c r="F11" s="212"/>
      <c r="G11" s="212">
        <v>3094</v>
      </c>
      <c r="H11" s="212">
        <v>600011100</v>
      </c>
      <c r="I11" s="212"/>
      <c r="J11" s="212">
        <v>11</v>
      </c>
      <c r="K11" s="26"/>
      <c r="L11" s="211">
        <f>L10</f>
        <v>162634.98225354165</v>
      </c>
      <c r="M11" s="212" t="s">
        <v>819</v>
      </c>
      <c r="N11" s="212" t="s">
        <v>427</v>
      </c>
      <c r="O11" s="120"/>
      <c r="P11" s="120"/>
      <c r="Q11" s="120"/>
      <c r="X11" s="49"/>
      <c r="Y11" s="15"/>
      <c r="Z11" s="15"/>
    </row>
    <row r="12" spans="1:26" ht="22.5" customHeight="1" x14ac:dyDescent="0.25">
      <c r="A12" s="212"/>
      <c r="B12" s="218">
        <v>1650</v>
      </c>
      <c r="C12" s="213" t="s">
        <v>11</v>
      </c>
      <c r="D12" s="219">
        <f>U9+U10</f>
        <v>12077292.521921251</v>
      </c>
      <c r="E12" s="219">
        <f>V9+V10</f>
        <v>6184859.083333333</v>
      </c>
      <c r="F12" s="218"/>
      <c r="G12" s="218">
        <v>3094</v>
      </c>
      <c r="H12" s="218">
        <v>165000001</v>
      </c>
      <c r="I12" s="218"/>
      <c r="J12" s="218">
        <v>11</v>
      </c>
      <c r="K12" s="26">
        <f>VLOOKUP(B12,'Utfördelat tom maj'!$A$3:$G$28,7,FALSE)</f>
        <v>8263174.554901218</v>
      </c>
      <c r="L12" s="211">
        <f>(D12+E12-K12)/7</f>
        <v>1428425.2929076236</v>
      </c>
      <c r="M12" s="218" t="s">
        <v>818</v>
      </c>
      <c r="N12" s="218" t="s">
        <v>427</v>
      </c>
      <c r="O12" s="120"/>
      <c r="P12" s="120"/>
      <c r="Q12" s="120"/>
      <c r="R12" s="39"/>
      <c r="X12" s="49"/>
      <c r="Y12" s="15"/>
      <c r="Z12" s="15"/>
    </row>
    <row r="13" spans="1:26" ht="22.5" customHeight="1" x14ac:dyDescent="0.25">
      <c r="A13" s="212"/>
      <c r="B13" s="218"/>
      <c r="C13" s="213"/>
      <c r="D13" s="218"/>
      <c r="E13" s="218"/>
      <c r="F13" s="218"/>
      <c r="G13" s="218">
        <v>3094</v>
      </c>
      <c r="H13" s="218">
        <v>600011100</v>
      </c>
      <c r="I13" s="218"/>
      <c r="J13" s="218">
        <v>11</v>
      </c>
      <c r="K13" s="26"/>
      <c r="L13" s="219">
        <f>L12</f>
        <v>1428425.2929076236</v>
      </c>
      <c r="M13" s="218" t="s">
        <v>819</v>
      </c>
      <c r="N13" s="218" t="s">
        <v>427</v>
      </c>
      <c r="O13" s="120"/>
      <c r="P13" s="120"/>
      <c r="Q13" s="120"/>
      <c r="X13" s="49"/>
      <c r="Y13" s="15"/>
      <c r="Z13" s="15"/>
    </row>
    <row r="14" spans="1:26" ht="22.5" customHeight="1" x14ac:dyDescent="0.25">
      <c r="A14" s="467"/>
      <c r="B14" s="467"/>
      <c r="C14" s="467"/>
      <c r="D14" s="467"/>
      <c r="E14" s="467"/>
      <c r="F14" s="467"/>
      <c r="G14" s="467"/>
      <c r="H14" s="467"/>
      <c r="I14" s="467"/>
      <c r="J14" s="467"/>
      <c r="K14" s="468"/>
      <c r="L14" s="469"/>
      <c r="M14" s="467"/>
      <c r="N14" s="467"/>
      <c r="O14" s="120"/>
      <c r="P14" s="120"/>
      <c r="Q14" s="120"/>
      <c r="X14" s="49"/>
      <c r="Y14" s="15"/>
      <c r="Z14" s="15"/>
    </row>
    <row r="15" spans="1:26" ht="22.5" customHeight="1" x14ac:dyDescent="0.25">
      <c r="A15" s="209"/>
      <c r="K15" s="26"/>
      <c r="O15" s="120"/>
      <c r="P15" s="120"/>
      <c r="Q15" s="120"/>
      <c r="T15">
        <v>2019</v>
      </c>
      <c r="U15" t="s">
        <v>375</v>
      </c>
      <c r="V15" t="s">
        <v>149</v>
      </c>
      <c r="X15" s="49"/>
      <c r="Y15" s="15"/>
      <c r="Z15" s="15"/>
    </row>
    <row r="16" spans="1:26" ht="22.5" customHeight="1" x14ac:dyDescent="0.25">
      <c r="A16" s="212" t="s">
        <v>411</v>
      </c>
      <c r="B16" s="212">
        <v>2180</v>
      </c>
      <c r="C16" s="210" t="s">
        <v>192</v>
      </c>
      <c r="D16" s="211">
        <f>U16</f>
        <v>13937076.470072009</v>
      </c>
      <c r="E16" s="216">
        <f>V16</f>
        <v>2726217.2333333371</v>
      </c>
      <c r="F16" s="212"/>
      <c r="G16" s="212">
        <v>3094</v>
      </c>
      <c r="H16" s="218">
        <v>218000101</v>
      </c>
      <c r="I16" s="212"/>
      <c r="J16" s="212">
        <v>11</v>
      </c>
      <c r="K16" s="26">
        <f>VLOOKUP(B16,'Utfördelat tom maj'!$A$3:$G$28,5,FALSE)</f>
        <v>6146676.2752762167</v>
      </c>
      <c r="L16" s="211">
        <f>(D16-K16)/7</f>
        <v>1112914.3135422559</v>
      </c>
      <c r="M16" s="212" t="s">
        <v>818</v>
      </c>
      <c r="N16" s="212" t="s">
        <v>464</v>
      </c>
      <c r="O16" s="18"/>
      <c r="P16" s="120"/>
      <c r="Q16" s="275"/>
      <c r="S16" s="18">
        <v>2180</v>
      </c>
      <c r="T16" s="81" t="s">
        <v>192</v>
      </c>
      <c r="U16" s="15">
        <v>13937076.470072009</v>
      </c>
      <c r="V16" s="15">
        <v>2726217.2333333371</v>
      </c>
      <c r="X16" s="15"/>
      <c r="Y16" s="15"/>
      <c r="Z16" s="15"/>
    </row>
    <row r="17" spans="1:26" ht="22.5" customHeight="1" x14ac:dyDescent="0.25">
      <c r="B17" s="212"/>
      <c r="C17" s="213"/>
      <c r="D17" s="211"/>
      <c r="E17" s="216"/>
      <c r="F17" s="212"/>
      <c r="G17" s="212">
        <v>3094</v>
      </c>
      <c r="H17" s="212">
        <v>600011100</v>
      </c>
      <c r="I17" s="212"/>
      <c r="J17" s="212">
        <v>11</v>
      </c>
      <c r="K17" s="26"/>
      <c r="L17" s="211">
        <f>L16</f>
        <v>1112914.3135422559</v>
      </c>
      <c r="M17" s="212" t="s">
        <v>819</v>
      </c>
      <c r="N17" s="212" t="s">
        <v>464</v>
      </c>
      <c r="O17" s="18"/>
      <c r="P17" s="120"/>
      <c r="S17" s="18">
        <v>2193</v>
      </c>
      <c r="T17" s="81" t="s">
        <v>1130</v>
      </c>
      <c r="U17" s="15">
        <v>19270790.545138761</v>
      </c>
      <c r="V17" s="15">
        <v>2992382.5</v>
      </c>
      <c r="X17" s="15"/>
      <c r="Y17" s="15"/>
      <c r="Z17" s="15"/>
    </row>
    <row r="18" spans="1:26" ht="22.5" customHeight="1" x14ac:dyDescent="0.25">
      <c r="B18" s="212">
        <v>2193</v>
      </c>
      <c r="C18" s="210" t="s">
        <v>441</v>
      </c>
      <c r="D18" s="211">
        <f>U17</f>
        <v>19270790.545138761</v>
      </c>
      <c r="E18" s="216">
        <f>V17</f>
        <v>2992382.5</v>
      </c>
      <c r="F18" s="212"/>
      <c r="G18" s="212">
        <v>3094</v>
      </c>
      <c r="H18" s="212">
        <v>219300001</v>
      </c>
      <c r="I18" s="212"/>
      <c r="J18" s="212">
        <v>11</v>
      </c>
      <c r="K18" s="26">
        <f>VLOOKUP(B18,'Utfördelat tom maj'!$A$3:$G$28,5,FALSE)</f>
        <v>8270178.1779150842</v>
      </c>
      <c r="L18" s="211">
        <f>(D18-K18)/7</f>
        <v>1571516.0524605252</v>
      </c>
      <c r="M18" s="212" t="s">
        <v>818</v>
      </c>
      <c r="N18" s="212" t="s">
        <v>464</v>
      </c>
      <c r="O18" s="18"/>
      <c r="P18" s="120"/>
      <c r="Q18" s="275"/>
      <c r="S18" s="18">
        <v>2200</v>
      </c>
      <c r="T18" s="81" t="s">
        <v>194</v>
      </c>
      <c r="U18" s="15">
        <v>1897573.3062237499</v>
      </c>
      <c r="V18" s="15">
        <v>271232.16666666663</v>
      </c>
      <c r="X18" s="15"/>
      <c r="Y18" s="15"/>
      <c r="Z18" s="15"/>
    </row>
    <row r="19" spans="1:26" ht="22.5" customHeight="1" x14ac:dyDescent="0.25">
      <c r="B19" s="212"/>
      <c r="C19" s="209"/>
      <c r="D19" s="212"/>
      <c r="E19" s="217"/>
      <c r="F19" s="212"/>
      <c r="G19" s="212">
        <v>3094</v>
      </c>
      <c r="H19" s="212">
        <v>600011100</v>
      </c>
      <c r="I19" s="212"/>
      <c r="J19" s="212">
        <v>11</v>
      </c>
      <c r="K19" s="26"/>
      <c r="L19" s="211">
        <f>L18</f>
        <v>1571516.0524605252</v>
      </c>
      <c r="M19" s="212" t="s">
        <v>819</v>
      </c>
      <c r="N19" s="212" t="s">
        <v>464</v>
      </c>
      <c r="O19" s="159"/>
      <c r="P19" s="120"/>
      <c r="Q19" s="275"/>
      <c r="S19" s="159">
        <v>2220</v>
      </c>
      <c r="T19" s="81" t="s">
        <v>195</v>
      </c>
      <c r="U19" s="15">
        <v>124257.86729999998</v>
      </c>
      <c r="V19" s="15">
        <v>24360</v>
      </c>
      <c r="X19" s="15"/>
      <c r="Y19" s="15"/>
      <c r="Z19" s="15"/>
    </row>
    <row r="20" spans="1:26" ht="22.5" customHeight="1" x14ac:dyDescent="0.25">
      <c r="A20" s="212"/>
      <c r="B20" s="212">
        <v>2200</v>
      </c>
      <c r="C20" s="210" t="s">
        <v>574</v>
      </c>
      <c r="D20" s="211">
        <f>U18</f>
        <v>1897573.3062237499</v>
      </c>
      <c r="E20" s="216">
        <f>V18</f>
        <v>271232.16666666663</v>
      </c>
      <c r="F20" s="212"/>
      <c r="G20" s="212">
        <v>3094</v>
      </c>
      <c r="H20" s="212">
        <v>220000100</v>
      </c>
      <c r="I20" s="212"/>
      <c r="J20" s="212">
        <v>11</v>
      </c>
      <c r="K20" s="26">
        <f>VLOOKUP(B20,'Utfördelat tom maj'!$A$3:$G$28,5,FALSE)</f>
        <v>795952.90942916658</v>
      </c>
      <c r="L20" s="211">
        <f>(D20-K20)/7</f>
        <v>157374.34239922618</v>
      </c>
      <c r="M20" s="212" t="s">
        <v>818</v>
      </c>
      <c r="N20" s="212" t="s">
        <v>464</v>
      </c>
      <c r="O20" s="18"/>
      <c r="P20" s="120"/>
      <c r="Q20" s="275"/>
      <c r="S20" s="18">
        <v>2271</v>
      </c>
      <c r="T20" s="81" t="s">
        <v>1392</v>
      </c>
      <c r="U20" s="15">
        <v>245345.6638175</v>
      </c>
      <c r="V20" s="15">
        <v>46516</v>
      </c>
      <c r="X20" s="15"/>
      <c r="Y20" s="15"/>
      <c r="Z20" s="15"/>
    </row>
    <row r="21" spans="1:26" ht="22.5" customHeight="1" x14ac:dyDescent="0.25">
      <c r="A21" s="212"/>
      <c r="B21" s="212"/>
      <c r="C21" s="209"/>
      <c r="D21" s="212"/>
      <c r="E21" s="217"/>
      <c r="F21" s="212"/>
      <c r="G21" s="212">
        <v>3094</v>
      </c>
      <c r="H21" s="212">
        <v>600011100</v>
      </c>
      <c r="I21" s="212"/>
      <c r="J21" s="212">
        <v>11</v>
      </c>
      <c r="K21" s="26"/>
      <c r="L21" s="211">
        <f>L20</f>
        <v>157374.34239922618</v>
      </c>
      <c r="M21" s="212" t="s">
        <v>819</v>
      </c>
      <c r="N21" s="212" t="s">
        <v>464</v>
      </c>
      <c r="O21" s="470"/>
      <c r="P21" s="120"/>
      <c r="Q21" s="275"/>
      <c r="S21" s="470">
        <v>2272</v>
      </c>
      <c r="T21" s="81" t="s">
        <v>200</v>
      </c>
      <c r="U21" s="15">
        <v>456810.33723000012</v>
      </c>
      <c r="V21" s="15">
        <v>59218.000000000015</v>
      </c>
      <c r="X21" s="15"/>
      <c r="Y21" s="15"/>
      <c r="Z21" s="15"/>
    </row>
    <row r="22" spans="1:26" ht="22.5" customHeight="1" x14ac:dyDescent="0.25">
      <c r="A22" s="212"/>
      <c r="B22" s="212">
        <v>2220</v>
      </c>
      <c r="C22" s="210" t="s">
        <v>195</v>
      </c>
      <c r="D22" s="211">
        <f>U19</f>
        <v>124257.86729999998</v>
      </c>
      <c r="E22" s="216">
        <f>V19</f>
        <v>24360</v>
      </c>
      <c r="F22" s="212"/>
      <c r="G22" s="212">
        <v>3094</v>
      </c>
      <c r="H22" s="212">
        <v>222000100</v>
      </c>
      <c r="I22" s="212"/>
      <c r="J22" s="212">
        <v>11</v>
      </c>
      <c r="K22" s="26">
        <f>VLOOKUP(B22,'Utfördelat tom maj'!$A$3:$G$28,5,FALSE)</f>
        <v>56704.979124999998</v>
      </c>
      <c r="L22" s="211">
        <f>(D22-K22)/7</f>
        <v>9650.4125964285686</v>
      </c>
      <c r="M22" s="212" t="s">
        <v>818</v>
      </c>
      <c r="N22" s="212" t="s">
        <v>464</v>
      </c>
      <c r="O22" s="159"/>
      <c r="P22" s="120"/>
      <c r="Q22" s="275"/>
      <c r="S22" s="159">
        <v>2300</v>
      </c>
      <c r="T22" s="81" t="s">
        <v>197</v>
      </c>
      <c r="U22" s="15">
        <v>705050.88777500007</v>
      </c>
      <c r="V22" s="15">
        <v>91398.333333333343</v>
      </c>
      <c r="X22" s="15"/>
      <c r="Y22" s="15"/>
      <c r="Z22" s="15"/>
    </row>
    <row r="23" spans="1:26" ht="22.5" customHeight="1" x14ac:dyDescent="0.25">
      <c r="A23" s="212"/>
      <c r="B23" s="212"/>
      <c r="C23" s="213"/>
      <c r="F23" s="212"/>
      <c r="G23" s="212">
        <v>3094</v>
      </c>
      <c r="H23" s="212">
        <v>600011100</v>
      </c>
      <c r="I23" s="212"/>
      <c r="J23" s="212">
        <v>11</v>
      </c>
      <c r="K23" s="26"/>
      <c r="L23" s="211">
        <f>L22</f>
        <v>9650.4125964285686</v>
      </c>
      <c r="M23" s="212" t="s">
        <v>819</v>
      </c>
      <c r="N23" s="212" t="s">
        <v>464</v>
      </c>
      <c r="O23" s="18"/>
      <c r="P23" s="120"/>
      <c r="Q23" s="275"/>
      <c r="S23" s="18">
        <v>2340</v>
      </c>
      <c r="T23" s="81" t="s">
        <v>198</v>
      </c>
      <c r="U23" s="15">
        <v>1550977.6054729992</v>
      </c>
      <c r="V23" s="15">
        <v>259213.59999999998</v>
      </c>
      <c r="X23" s="15"/>
      <c r="Y23" s="15"/>
      <c r="Z23" s="15"/>
    </row>
    <row r="24" spans="1:26" ht="22.5" customHeight="1" x14ac:dyDescent="0.25">
      <c r="B24" s="212">
        <v>2271</v>
      </c>
      <c r="C24" s="213" t="s">
        <v>1392</v>
      </c>
      <c r="D24" s="211">
        <f>U20</f>
        <v>245345.6638175</v>
      </c>
      <c r="E24" s="216">
        <f>V20</f>
        <v>46516</v>
      </c>
      <c r="G24" s="218">
        <v>3094</v>
      </c>
      <c r="H24" s="218">
        <v>227100100</v>
      </c>
      <c r="J24" s="212">
        <v>11</v>
      </c>
      <c r="K24" s="26">
        <f>VLOOKUP(B24,'Utfördelat tom maj'!$A$3:$G$28,5,FALSE)</f>
        <v>107197.99273645833</v>
      </c>
      <c r="L24" s="211">
        <f>(D24-K24)/7</f>
        <v>19735.381583005954</v>
      </c>
      <c r="M24" s="212" t="s">
        <v>818</v>
      </c>
      <c r="N24" s="212" t="s">
        <v>464</v>
      </c>
      <c r="O24" s="470"/>
      <c r="P24" s="120"/>
      <c r="Q24" s="275"/>
      <c r="S24" s="470">
        <v>2360</v>
      </c>
      <c r="T24" s="81" t="s">
        <v>199</v>
      </c>
      <c r="U24" s="15">
        <v>175440.27454499999</v>
      </c>
      <c r="V24" s="15">
        <v>34394</v>
      </c>
      <c r="X24" s="15"/>
      <c r="Y24" s="15"/>
      <c r="Z24" s="15"/>
    </row>
    <row r="25" spans="1:26" ht="22.5" customHeight="1" x14ac:dyDescent="0.25">
      <c r="G25" s="218">
        <v>3094</v>
      </c>
      <c r="H25" s="218">
        <v>600011100</v>
      </c>
      <c r="J25" s="212">
        <v>11</v>
      </c>
      <c r="K25" s="26"/>
      <c r="L25" s="211">
        <f>L24</f>
        <v>19735.381583005954</v>
      </c>
      <c r="M25" s="212" t="s">
        <v>819</v>
      </c>
      <c r="N25" s="212" t="s">
        <v>464</v>
      </c>
      <c r="O25" s="470"/>
      <c r="P25" s="120"/>
      <c r="Q25" s="275"/>
      <c r="S25" s="470">
        <v>2500</v>
      </c>
      <c r="T25" s="81" t="s">
        <v>2169</v>
      </c>
      <c r="U25" s="15">
        <v>218546.47669531254</v>
      </c>
      <c r="V25" s="15">
        <v>48059.166666666664</v>
      </c>
      <c r="X25" s="15"/>
      <c r="Y25" s="15"/>
      <c r="Z25" s="15"/>
    </row>
    <row r="26" spans="1:26" ht="22.5" customHeight="1" x14ac:dyDescent="0.25">
      <c r="A26" s="212"/>
      <c r="B26" s="212">
        <v>2272</v>
      </c>
      <c r="C26" s="210" t="s">
        <v>200</v>
      </c>
      <c r="D26" s="211">
        <f>U21</f>
        <v>456810.33723000012</v>
      </c>
      <c r="E26" s="216">
        <f>V21</f>
        <v>59218.000000000015</v>
      </c>
      <c r="F26" s="212"/>
      <c r="G26" s="212">
        <v>3094</v>
      </c>
      <c r="H26" s="218">
        <v>227200100</v>
      </c>
      <c r="I26" s="212"/>
      <c r="J26" s="212">
        <v>11</v>
      </c>
      <c r="K26" s="26">
        <f>VLOOKUP(B26,'Utfördelat tom maj'!$A$3:$G$28,5,FALSE)</f>
        <v>191580.45892916672</v>
      </c>
      <c r="L26" s="211">
        <f>(D26-K26)/7</f>
        <v>37889.982614404769</v>
      </c>
      <c r="M26" s="212" t="s">
        <v>818</v>
      </c>
      <c r="N26" s="212" t="s">
        <v>464</v>
      </c>
      <c r="O26" s="470"/>
      <c r="P26" s="120"/>
      <c r="Q26" s="275"/>
      <c r="S26" s="470">
        <v>2750</v>
      </c>
      <c r="T26" s="81" t="s">
        <v>205</v>
      </c>
      <c r="U26" s="15">
        <v>2220162.6017124997</v>
      </c>
      <c r="V26" s="15">
        <v>981112.5</v>
      </c>
      <c r="X26" s="15"/>
      <c r="Y26" s="15"/>
      <c r="Z26" s="15"/>
    </row>
    <row r="27" spans="1:26" ht="22.5" customHeight="1" x14ac:dyDescent="0.25">
      <c r="A27" s="212"/>
      <c r="G27" s="212">
        <v>3094</v>
      </c>
      <c r="H27" s="212">
        <v>600011100</v>
      </c>
      <c r="J27" s="212">
        <v>11</v>
      </c>
      <c r="K27" s="26"/>
      <c r="L27" s="211">
        <f>L26</f>
        <v>37889.982614404769</v>
      </c>
      <c r="M27" s="212" t="s">
        <v>819</v>
      </c>
      <c r="N27" s="212" t="s">
        <v>464</v>
      </c>
      <c r="O27" s="120"/>
      <c r="P27" s="120"/>
      <c r="Q27" s="275"/>
      <c r="X27" s="49"/>
      <c r="Y27" s="15"/>
      <c r="Z27" s="15"/>
    </row>
    <row r="28" spans="1:26" ht="22.5" customHeight="1" x14ac:dyDescent="0.25">
      <c r="B28" s="212">
        <v>2300</v>
      </c>
      <c r="C28" s="210" t="s">
        <v>924</v>
      </c>
      <c r="D28" s="211">
        <f>U22</f>
        <v>705050.88777500007</v>
      </c>
      <c r="E28" s="216">
        <f>V22</f>
        <v>91398.333333333343</v>
      </c>
      <c r="F28" s="212"/>
      <c r="G28" s="212">
        <v>3094</v>
      </c>
      <c r="H28" s="218">
        <v>230000100</v>
      </c>
      <c r="I28" s="212"/>
      <c r="J28" s="212">
        <v>11</v>
      </c>
      <c r="K28" s="26">
        <f>VLOOKUP(B28,'Utfördelat tom maj'!$A$3:$G$28,5,FALSE)</f>
        <v>307115.96598854172</v>
      </c>
      <c r="L28" s="211">
        <f>(D28-K28)/7</f>
        <v>56847.845969494047</v>
      </c>
      <c r="M28" s="212" t="s">
        <v>818</v>
      </c>
      <c r="N28" s="212" t="s">
        <v>464</v>
      </c>
      <c r="O28" s="120"/>
      <c r="P28" s="120"/>
      <c r="Q28" s="275"/>
      <c r="X28" s="49"/>
      <c r="Y28" s="15"/>
      <c r="Z28" s="15"/>
    </row>
    <row r="29" spans="1:26" ht="22.5" customHeight="1" x14ac:dyDescent="0.25">
      <c r="G29" s="212">
        <v>3094</v>
      </c>
      <c r="H29" s="212">
        <v>600011100</v>
      </c>
      <c r="J29" s="212">
        <v>11</v>
      </c>
      <c r="K29" s="26"/>
      <c r="L29" s="211">
        <f>L28</f>
        <v>56847.845969494047</v>
      </c>
      <c r="M29" s="212" t="s">
        <v>819</v>
      </c>
      <c r="N29" s="212" t="s">
        <v>464</v>
      </c>
      <c r="O29" s="120"/>
      <c r="P29" s="120"/>
      <c r="Q29" s="275"/>
      <c r="X29" s="49"/>
      <c r="Y29" s="15"/>
      <c r="Z29" s="15"/>
    </row>
    <row r="30" spans="1:26" ht="22.5" customHeight="1" x14ac:dyDescent="0.25">
      <c r="A30" s="212"/>
      <c r="B30" s="212">
        <v>2340</v>
      </c>
      <c r="C30" s="210" t="s">
        <v>198</v>
      </c>
      <c r="D30" s="219">
        <f>U23</f>
        <v>1550977.6054729992</v>
      </c>
      <c r="E30" s="220">
        <f>V23</f>
        <v>259213.59999999998</v>
      </c>
      <c r="F30" s="212"/>
      <c r="G30" s="212">
        <v>3094</v>
      </c>
      <c r="H30" s="212">
        <v>234000100</v>
      </c>
      <c r="I30" s="212"/>
      <c r="J30" s="212">
        <v>11</v>
      </c>
      <c r="K30" s="26">
        <f>VLOOKUP(B30,'Utfördelat tom maj'!$A$3:$G$28,5,FALSE)</f>
        <v>694499.41359479155</v>
      </c>
      <c r="L30" s="211">
        <f>(D30-K30)/7</f>
        <v>122354.02741117252</v>
      </c>
      <c r="M30" s="212" t="s">
        <v>818</v>
      </c>
      <c r="N30" s="212" t="s">
        <v>464</v>
      </c>
      <c r="O30" s="120"/>
      <c r="P30" s="120"/>
      <c r="Q30" s="275"/>
      <c r="X30" s="49"/>
      <c r="Y30" s="15"/>
      <c r="Z30" s="15"/>
    </row>
    <row r="31" spans="1:26" ht="22.5" customHeight="1" x14ac:dyDescent="0.25">
      <c r="A31" s="212"/>
      <c r="B31" s="212"/>
      <c r="C31" s="209"/>
      <c r="D31" s="212"/>
      <c r="E31" s="217"/>
      <c r="F31" s="212"/>
      <c r="G31" s="212">
        <v>3094</v>
      </c>
      <c r="H31" s="212">
        <v>600011100</v>
      </c>
      <c r="I31" s="212"/>
      <c r="J31" s="212">
        <v>11</v>
      </c>
      <c r="K31" s="26"/>
      <c r="L31" s="211">
        <f>L30</f>
        <v>122354.02741117252</v>
      </c>
      <c r="M31" s="212" t="s">
        <v>819</v>
      </c>
      <c r="N31" s="212" t="s">
        <v>464</v>
      </c>
      <c r="O31" s="120"/>
      <c r="P31" s="120"/>
      <c r="Q31" s="275"/>
      <c r="X31" s="49"/>
      <c r="Y31" s="15"/>
      <c r="Z31" s="15"/>
    </row>
    <row r="32" spans="1:26" ht="22.5" customHeight="1" x14ac:dyDescent="0.25">
      <c r="A32" s="212"/>
      <c r="B32" s="212">
        <v>2360</v>
      </c>
      <c r="C32" s="210" t="s">
        <v>575</v>
      </c>
      <c r="D32" s="211">
        <f>U24</f>
        <v>175440.27454499999</v>
      </c>
      <c r="E32" s="216">
        <f>V24</f>
        <v>34394</v>
      </c>
      <c r="F32" s="212"/>
      <c r="G32" s="218">
        <v>3094</v>
      </c>
      <c r="H32" s="212">
        <v>236000100</v>
      </c>
      <c r="I32" s="212"/>
      <c r="J32" s="212">
        <v>11</v>
      </c>
      <c r="K32" s="26">
        <f>VLOOKUP(B32,'Utfördelat tom maj'!$A$3:$G$28,5,FALSE)</f>
        <v>71559.218221874995</v>
      </c>
      <c r="L32" s="211">
        <f>(D32-K32)/7</f>
        <v>14840.150903303571</v>
      </c>
      <c r="M32" s="212" t="s">
        <v>818</v>
      </c>
      <c r="N32" s="212" t="s">
        <v>464</v>
      </c>
      <c r="O32" s="120"/>
      <c r="P32" s="120"/>
      <c r="Q32" s="275"/>
      <c r="S32" s="167"/>
      <c r="T32" s="167"/>
      <c r="U32" s="167"/>
      <c r="X32" s="49"/>
      <c r="Y32" s="15"/>
      <c r="Z32" s="15"/>
    </row>
    <row r="33" spans="1:26" ht="22.5" customHeight="1" x14ac:dyDescent="0.25">
      <c r="A33" s="212"/>
      <c r="G33" s="218">
        <v>3094</v>
      </c>
      <c r="H33" s="212">
        <v>600011100</v>
      </c>
      <c r="J33" s="212">
        <v>11</v>
      </c>
      <c r="K33" s="26"/>
      <c r="L33" s="211">
        <f>L32</f>
        <v>14840.150903303571</v>
      </c>
      <c r="M33" s="212" t="s">
        <v>819</v>
      </c>
      <c r="N33" s="212" t="s">
        <v>464</v>
      </c>
      <c r="O33" s="120"/>
      <c r="P33" s="120"/>
      <c r="Q33" s="275"/>
      <c r="X33" s="49"/>
      <c r="Y33" s="15"/>
      <c r="Z33" s="15"/>
    </row>
    <row r="34" spans="1:26" ht="22.5" customHeight="1" x14ac:dyDescent="0.25">
      <c r="A34" s="212"/>
      <c r="B34" s="212">
        <v>2500</v>
      </c>
      <c r="C34" s="210" t="s">
        <v>2169</v>
      </c>
      <c r="D34" s="211">
        <f>U25</f>
        <v>218546.47669531254</v>
      </c>
      <c r="E34" s="216">
        <f>V25</f>
        <v>48059.166666666664</v>
      </c>
      <c r="F34" s="212"/>
      <c r="G34" s="212">
        <v>3094</v>
      </c>
      <c r="H34" s="212">
        <v>250000010</v>
      </c>
      <c r="I34" s="212"/>
      <c r="J34" s="212">
        <v>11</v>
      </c>
      <c r="K34" s="26">
        <f>VLOOKUP(B34,'Utfördelat tom maj'!$A$3:$G$28,5,FALSE)</f>
        <v>88173.028391927088</v>
      </c>
      <c r="L34" s="211">
        <f>(D34-K34)/7</f>
        <v>18624.778329055065</v>
      </c>
      <c r="M34" s="212" t="s">
        <v>818</v>
      </c>
      <c r="N34" s="212" t="s">
        <v>464</v>
      </c>
      <c r="O34" s="120"/>
      <c r="P34" s="120"/>
      <c r="Q34" s="275"/>
      <c r="X34" s="49"/>
      <c r="Y34" s="15"/>
      <c r="Z34" s="15"/>
    </row>
    <row r="35" spans="1:26" ht="22.5" customHeight="1" x14ac:dyDescent="0.25">
      <c r="A35" s="212"/>
      <c r="G35" s="212">
        <v>3094</v>
      </c>
      <c r="H35" s="212">
        <v>600011100</v>
      </c>
      <c r="J35" s="212">
        <v>11</v>
      </c>
      <c r="K35" s="26"/>
      <c r="L35" s="211">
        <f>L34</f>
        <v>18624.778329055065</v>
      </c>
      <c r="M35" s="212" t="s">
        <v>819</v>
      </c>
      <c r="N35" s="212" t="s">
        <v>464</v>
      </c>
      <c r="O35" s="120"/>
      <c r="P35" s="120"/>
      <c r="Q35" s="275"/>
      <c r="X35" s="49"/>
      <c r="Y35" s="15"/>
      <c r="Z35" s="15"/>
    </row>
    <row r="36" spans="1:26" ht="22.5" customHeight="1" x14ac:dyDescent="0.25">
      <c r="A36" s="212"/>
      <c r="B36" s="212">
        <v>2750</v>
      </c>
      <c r="C36" s="210" t="s">
        <v>205</v>
      </c>
      <c r="D36" s="211">
        <f>U26</f>
        <v>2220162.6017124997</v>
      </c>
      <c r="E36" s="216">
        <f>V26</f>
        <v>981112.5</v>
      </c>
      <c r="F36" s="212"/>
      <c r="G36" s="212">
        <v>3094</v>
      </c>
      <c r="H36" s="212">
        <v>275000100</v>
      </c>
      <c r="I36" s="212"/>
      <c r="J36" s="212">
        <v>11</v>
      </c>
      <c r="K36" s="26">
        <f>VLOOKUP(B36,'Utfördelat tom maj'!$A$3:$G$28,5,FALSE)</f>
        <v>935661.33753124985</v>
      </c>
      <c r="L36" s="211">
        <f>(D36-K36)/7</f>
        <v>183500.18059732139</v>
      </c>
      <c r="M36" s="212" t="s">
        <v>818</v>
      </c>
      <c r="N36" s="212" t="s">
        <v>464</v>
      </c>
      <c r="O36" s="120"/>
      <c r="P36" s="120"/>
      <c r="Q36" s="275"/>
      <c r="X36" s="49"/>
      <c r="Y36" s="15"/>
      <c r="Z36" s="15"/>
    </row>
    <row r="37" spans="1:26" ht="22.5" customHeight="1" x14ac:dyDescent="0.25">
      <c r="A37" s="212"/>
      <c r="B37" s="212"/>
      <c r="C37" s="209"/>
      <c r="D37" s="212"/>
      <c r="E37" s="217"/>
      <c r="F37" s="212"/>
      <c r="G37" s="212">
        <v>3094</v>
      </c>
      <c r="H37" s="212">
        <v>600011100</v>
      </c>
      <c r="I37" s="212"/>
      <c r="J37" s="212">
        <v>11</v>
      </c>
      <c r="K37" s="26"/>
      <c r="L37" s="211">
        <f>L36</f>
        <v>183500.18059732139</v>
      </c>
      <c r="M37" s="212" t="s">
        <v>819</v>
      </c>
      <c r="N37" s="212" t="s">
        <v>464</v>
      </c>
      <c r="O37" s="120"/>
      <c r="P37" s="120"/>
      <c r="Q37" s="275"/>
      <c r="X37" s="49"/>
      <c r="Y37" s="15"/>
      <c r="Z37" s="15"/>
    </row>
    <row r="38" spans="1:26" ht="22.5" customHeight="1" x14ac:dyDescent="0.25">
      <c r="A38" s="209"/>
      <c r="B38" s="209">
        <v>2000</v>
      </c>
      <c r="C38" s="213" t="s">
        <v>463</v>
      </c>
      <c r="D38" s="209"/>
      <c r="E38" s="224">
        <f>SUM(E16:E37)</f>
        <v>7534103.5000000037</v>
      </c>
      <c r="F38" s="209"/>
      <c r="G38" s="209">
        <v>3094</v>
      </c>
      <c r="H38" s="209">
        <v>200000001</v>
      </c>
      <c r="I38" s="209"/>
      <c r="J38" s="212">
        <v>11</v>
      </c>
      <c r="K38" s="26">
        <f>VLOOKUP(B38,'Utfördelat tom maj'!$A$3:$G$28,6,FALSE)</f>
        <v>3273158.1250000005</v>
      </c>
      <c r="L38" s="211">
        <f>(E38-K38)/7</f>
        <v>608706.48214285763</v>
      </c>
      <c r="M38" s="212" t="s">
        <v>818</v>
      </c>
      <c r="N38" s="209" t="s">
        <v>404</v>
      </c>
      <c r="O38" s="120"/>
      <c r="P38" s="120"/>
      <c r="Q38" s="275"/>
      <c r="X38" s="49"/>
      <c r="Y38" s="15"/>
      <c r="Z38" s="15"/>
    </row>
    <row r="39" spans="1:26" ht="22.5" customHeight="1" x14ac:dyDescent="0.25">
      <c r="G39" s="257">
        <v>3094</v>
      </c>
      <c r="H39" s="212">
        <v>600011100</v>
      </c>
      <c r="J39" s="212">
        <v>11</v>
      </c>
      <c r="K39" s="26"/>
      <c r="L39" s="211">
        <f>L38</f>
        <v>608706.48214285763</v>
      </c>
      <c r="M39" s="212" t="s">
        <v>819</v>
      </c>
      <c r="N39" s="209" t="s">
        <v>404</v>
      </c>
      <c r="O39" s="120"/>
      <c r="P39" s="120"/>
      <c r="Q39" s="120"/>
      <c r="X39" s="49"/>
      <c r="Y39" s="15"/>
      <c r="Z39" s="15"/>
    </row>
    <row r="40" spans="1:26" ht="22.5" customHeight="1" x14ac:dyDescent="0.25">
      <c r="A40" s="467"/>
      <c r="B40" s="467"/>
      <c r="C40" s="471"/>
      <c r="D40" s="467"/>
      <c r="E40" s="472"/>
      <c r="F40" s="467"/>
      <c r="G40" s="467"/>
      <c r="H40" s="467"/>
      <c r="I40" s="467"/>
      <c r="J40" s="467"/>
      <c r="K40" s="468"/>
      <c r="L40" s="473"/>
      <c r="M40" s="467"/>
      <c r="N40" s="467"/>
      <c r="O40" s="120"/>
      <c r="P40" s="120"/>
      <c r="Q40" s="120"/>
      <c r="X40" s="49"/>
      <c r="Y40" s="15"/>
      <c r="Z40" s="15"/>
    </row>
    <row r="41" spans="1:26" ht="22.5" customHeight="1" x14ac:dyDescent="0.25">
      <c r="A41" s="209"/>
      <c r="K41" s="26"/>
      <c r="O41" s="120"/>
      <c r="P41" s="120"/>
      <c r="Q41" s="120"/>
      <c r="T41">
        <v>2019</v>
      </c>
      <c r="U41" t="s">
        <v>375</v>
      </c>
      <c r="V41" t="s">
        <v>149</v>
      </c>
      <c r="X41" s="49"/>
      <c r="Y41" s="15"/>
      <c r="Z41" s="15"/>
    </row>
    <row r="42" spans="1:26" ht="22.5" customHeight="1" x14ac:dyDescent="0.25">
      <c r="A42" s="209" t="s">
        <v>413</v>
      </c>
      <c r="B42" s="212">
        <v>3306</v>
      </c>
      <c r="C42" s="210" t="s">
        <v>242</v>
      </c>
      <c r="D42" s="225">
        <f>U42</f>
        <v>491143.68337500002</v>
      </c>
      <c r="E42" s="225">
        <f>V42</f>
        <v>254437.5</v>
      </c>
      <c r="F42" s="209"/>
      <c r="G42" s="257">
        <v>3094</v>
      </c>
      <c r="H42" s="257">
        <v>330600100</v>
      </c>
      <c r="I42" s="257"/>
      <c r="J42" s="257">
        <v>11</v>
      </c>
      <c r="K42" s="26">
        <f>VLOOKUP(B42,'Utfördelat tom maj'!$A$3:$G$28,7,FALSE)</f>
        <v>326413.59906250006</v>
      </c>
      <c r="L42" s="211">
        <f>(D42+E42-K42)/7</f>
        <v>59881.083473214283</v>
      </c>
      <c r="M42" s="212" t="s">
        <v>818</v>
      </c>
      <c r="N42" s="209" t="s">
        <v>427</v>
      </c>
      <c r="O42" s="120"/>
      <c r="P42" s="120"/>
      <c r="Q42" s="120"/>
      <c r="S42" s="64">
        <v>3306</v>
      </c>
      <c r="T42" s="81" t="s">
        <v>242</v>
      </c>
      <c r="U42" s="15">
        <v>491143.68337500002</v>
      </c>
      <c r="V42" s="15">
        <v>254437.5</v>
      </c>
      <c r="X42" s="15"/>
      <c r="Y42" s="15"/>
      <c r="Z42" s="15"/>
    </row>
    <row r="43" spans="1:26" ht="22.5" customHeight="1" x14ac:dyDescent="0.25">
      <c r="B43" s="212"/>
      <c r="C43" s="210"/>
      <c r="G43" s="257">
        <v>3094</v>
      </c>
      <c r="H43" s="212">
        <v>600011100</v>
      </c>
      <c r="J43" s="257">
        <v>11</v>
      </c>
      <c r="K43" s="26"/>
      <c r="L43" s="225">
        <f>L42</f>
        <v>59881.083473214283</v>
      </c>
      <c r="M43" s="212" t="s">
        <v>819</v>
      </c>
      <c r="N43" s="209" t="s">
        <v>427</v>
      </c>
      <c r="O43" s="120"/>
      <c r="P43" s="120"/>
      <c r="Q43" s="120"/>
      <c r="S43">
        <v>3850</v>
      </c>
      <c r="T43" s="81" t="s">
        <v>822</v>
      </c>
      <c r="U43" s="15">
        <v>122135.72587499999</v>
      </c>
      <c r="V43" s="15">
        <v>63250</v>
      </c>
      <c r="X43" s="15"/>
      <c r="Y43" s="15"/>
      <c r="Z43" s="15"/>
    </row>
    <row r="44" spans="1:26" ht="22.5" customHeight="1" x14ac:dyDescent="0.25">
      <c r="B44" s="212">
        <v>3850</v>
      </c>
      <c r="C44" s="81" t="s">
        <v>822</v>
      </c>
      <c r="D44" s="225">
        <f>U43</f>
        <v>122135.72587499999</v>
      </c>
      <c r="E44" s="225">
        <f>V43</f>
        <v>63250</v>
      </c>
      <c r="G44" s="257">
        <v>3094</v>
      </c>
      <c r="H44" s="474">
        <v>385000002</v>
      </c>
      <c r="J44" s="257">
        <v>11</v>
      </c>
      <c r="K44" s="26">
        <f>VLOOKUP(B44,'Utfördelat tom maj'!$A$3:$G$28,7,FALSE)</f>
        <v>94732.376979166671</v>
      </c>
      <c r="L44" s="211">
        <f>(D44+E44-K44)/7</f>
        <v>12950.478413690476</v>
      </c>
      <c r="M44" s="212" t="s">
        <v>818</v>
      </c>
      <c r="N44" s="209" t="s">
        <v>427</v>
      </c>
      <c r="O44" s="120" t="s">
        <v>2199</v>
      </c>
      <c r="P44" s="120"/>
      <c r="Q44" s="120"/>
      <c r="T44" s="81"/>
      <c r="X44" s="49"/>
      <c r="Y44" s="15"/>
      <c r="Z44" s="15"/>
    </row>
    <row r="45" spans="1:26" ht="22.5" customHeight="1" x14ac:dyDescent="0.25">
      <c r="G45" s="257">
        <v>3094</v>
      </c>
      <c r="H45" s="212">
        <v>600011100</v>
      </c>
      <c r="J45" s="257">
        <v>11</v>
      </c>
      <c r="K45" s="26"/>
      <c r="L45" s="225">
        <f>L44</f>
        <v>12950.478413690476</v>
      </c>
      <c r="M45" s="212" t="s">
        <v>819</v>
      </c>
      <c r="N45" s="209" t="s">
        <v>427</v>
      </c>
      <c r="O45" s="120"/>
      <c r="P45" s="120"/>
      <c r="Q45" s="120"/>
      <c r="X45" s="49"/>
      <c r="Y45" s="15"/>
      <c r="Z45" s="15"/>
    </row>
    <row r="46" spans="1:26" ht="22.5" customHeight="1" x14ac:dyDescent="0.25">
      <c r="A46" s="467"/>
      <c r="B46" s="467"/>
      <c r="C46" s="475"/>
      <c r="D46" s="473"/>
      <c r="E46" s="473"/>
      <c r="F46" s="467"/>
      <c r="G46" s="476"/>
      <c r="H46" s="476"/>
      <c r="I46" s="476"/>
      <c r="J46" s="476"/>
      <c r="K46" s="468"/>
      <c r="L46" s="473"/>
      <c r="M46" s="467"/>
      <c r="N46" s="467"/>
      <c r="O46" s="120"/>
      <c r="P46" s="120"/>
      <c r="Q46" s="120"/>
      <c r="X46" s="49"/>
      <c r="Y46" s="15"/>
      <c r="Z46" s="15"/>
    </row>
    <row r="47" spans="1:26" ht="22.5" customHeight="1" x14ac:dyDescent="0.25">
      <c r="K47" s="26"/>
      <c r="O47" s="120"/>
      <c r="P47" s="120"/>
      <c r="Q47" s="120"/>
      <c r="S47" s="120"/>
      <c r="T47">
        <v>2019</v>
      </c>
      <c r="U47" t="s">
        <v>375</v>
      </c>
      <c r="V47" t="s">
        <v>149</v>
      </c>
      <c r="X47" s="49"/>
      <c r="Y47" s="15"/>
      <c r="Z47" s="15"/>
    </row>
    <row r="48" spans="1:26" ht="22.5" customHeight="1" x14ac:dyDescent="0.25">
      <c r="A48" s="212" t="s">
        <v>465</v>
      </c>
      <c r="B48" s="212">
        <v>5100</v>
      </c>
      <c r="C48" s="210" t="s">
        <v>164</v>
      </c>
      <c r="D48" s="299">
        <f>U48</f>
        <v>694208.83942968783</v>
      </c>
      <c r="E48" s="299">
        <f>V48</f>
        <v>303487.5</v>
      </c>
      <c r="G48" s="257">
        <v>3094</v>
      </c>
      <c r="H48" s="218">
        <v>510010100</v>
      </c>
      <c r="J48" s="257">
        <v>11</v>
      </c>
      <c r="K48" s="26">
        <f>VLOOKUP(B48,'Utfördelat tom maj'!$A$3:$G$28,7,FALSE)</f>
        <v>451481.99264973972</v>
      </c>
      <c r="L48" s="211">
        <f>(D48+E48-K48)/7</f>
        <v>78030.620968564021</v>
      </c>
      <c r="M48" s="257" t="s">
        <v>818</v>
      </c>
      <c r="N48" s="209" t="s">
        <v>427</v>
      </c>
      <c r="P48" s="120"/>
      <c r="Q48" s="120"/>
      <c r="S48">
        <v>5100</v>
      </c>
      <c r="T48" s="81" t="s">
        <v>164</v>
      </c>
      <c r="U48" s="15">
        <v>694208.83942968783</v>
      </c>
      <c r="V48" s="15">
        <v>303487.5</v>
      </c>
      <c r="X48" s="120"/>
      <c r="Y48" s="15"/>
      <c r="Z48" s="15"/>
    </row>
    <row r="49" spans="1:26" ht="22.5" customHeight="1" x14ac:dyDescent="0.25">
      <c r="G49" s="257">
        <v>3094</v>
      </c>
      <c r="H49" s="218">
        <v>600011100</v>
      </c>
      <c r="J49" s="257">
        <v>11</v>
      </c>
      <c r="L49" s="225">
        <f>L48</f>
        <v>78030.620968564021</v>
      </c>
      <c r="M49" s="257" t="s">
        <v>819</v>
      </c>
      <c r="N49" s="209" t="s">
        <v>427</v>
      </c>
      <c r="P49" s="120"/>
      <c r="Q49" s="120"/>
      <c r="S49">
        <v>5160</v>
      </c>
      <c r="T49" s="81" t="s">
        <v>305</v>
      </c>
      <c r="U49" s="15">
        <v>110380.72499999998</v>
      </c>
      <c r="V49" s="15">
        <v>49050</v>
      </c>
      <c r="X49" s="120"/>
      <c r="Y49" s="15"/>
      <c r="Z49" s="15"/>
    </row>
    <row r="50" spans="1:26" ht="22.5" customHeight="1" x14ac:dyDescent="0.25">
      <c r="B50" s="212">
        <v>5160</v>
      </c>
      <c r="C50" s="210" t="s">
        <v>305</v>
      </c>
      <c r="D50" s="299">
        <f>U49</f>
        <v>110380.72499999998</v>
      </c>
      <c r="E50" s="299">
        <f>V49</f>
        <v>49050</v>
      </c>
      <c r="G50" s="218">
        <v>3094</v>
      </c>
      <c r="H50" s="218">
        <v>516001100</v>
      </c>
      <c r="J50" s="257">
        <v>11</v>
      </c>
      <c r="K50" s="26">
        <f>VLOOKUP(B50,'Utfördelat tom maj'!$A$3:$G$28,7,FALSE)</f>
        <v>73810.520833333328</v>
      </c>
      <c r="L50" s="211">
        <f>(D50+E50-K50)/7</f>
        <v>12231.457738095236</v>
      </c>
      <c r="M50" s="257" t="s">
        <v>818</v>
      </c>
      <c r="N50" s="209" t="s">
        <v>427</v>
      </c>
      <c r="O50" s="18"/>
      <c r="P50" s="120"/>
      <c r="Q50" s="120"/>
      <c r="S50">
        <v>5400</v>
      </c>
      <c r="T50" s="81" t="s">
        <v>308</v>
      </c>
      <c r="U50" s="15">
        <v>183967.875</v>
      </c>
      <c r="V50" s="15">
        <v>81750</v>
      </c>
      <c r="X50" s="120"/>
      <c r="Y50" s="15"/>
      <c r="Z50" s="15"/>
    </row>
    <row r="51" spans="1:26" ht="22.5" customHeight="1" x14ac:dyDescent="0.25">
      <c r="G51" s="218">
        <v>3094</v>
      </c>
      <c r="H51" s="218">
        <v>600011100</v>
      </c>
      <c r="I51" s="31"/>
      <c r="J51" s="257">
        <v>11</v>
      </c>
      <c r="L51" s="225">
        <f>L50</f>
        <v>12231.457738095236</v>
      </c>
      <c r="M51" s="257" t="s">
        <v>819</v>
      </c>
      <c r="N51" s="209" t="s">
        <v>427</v>
      </c>
      <c r="O51" s="18"/>
      <c r="P51" s="120"/>
      <c r="Q51" s="120"/>
      <c r="S51">
        <v>5410</v>
      </c>
      <c r="T51" s="81" t="s">
        <v>1105</v>
      </c>
      <c r="U51" s="15">
        <v>4905.8100000000004</v>
      </c>
      <c r="V51" s="15">
        <v>2180</v>
      </c>
      <c r="X51" s="120"/>
      <c r="Y51" s="15"/>
      <c r="Z51" s="15"/>
    </row>
    <row r="52" spans="1:26" ht="22.5" customHeight="1" x14ac:dyDescent="0.25">
      <c r="B52" s="218">
        <v>5400</v>
      </c>
      <c r="C52" s="213" t="s">
        <v>923</v>
      </c>
      <c r="D52" s="299">
        <f>U50</f>
        <v>183967.875</v>
      </c>
      <c r="E52" s="299">
        <f>V50</f>
        <v>81750</v>
      </c>
      <c r="F52" s="31"/>
      <c r="G52" s="218">
        <v>3094</v>
      </c>
      <c r="H52" s="218">
        <v>540000100</v>
      </c>
      <c r="I52" s="31"/>
      <c r="J52" s="257">
        <v>11</v>
      </c>
      <c r="K52" s="26">
        <f>VLOOKUP(B52,'Utfördelat tom maj'!$A$3:$G$28,7,FALSE)</f>
        <v>142454.30520833336</v>
      </c>
      <c r="L52" s="211">
        <f>(D52+E52-K52)/7</f>
        <v>17609.081398809521</v>
      </c>
      <c r="M52" s="218" t="s">
        <v>818</v>
      </c>
      <c r="N52" s="257" t="s">
        <v>427</v>
      </c>
      <c r="O52" s="18"/>
      <c r="P52" s="120"/>
      <c r="Q52" s="120"/>
      <c r="S52" s="18">
        <v>5500</v>
      </c>
      <c r="T52" s="81" t="s">
        <v>165</v>
      </c>
      <c r="U52" s="15">
        <v>220761.44999999998</v>
      </c>
      <c r="V52" s="15">
        <v>98100</v>
      </c>
      <c r="X52" s="120"/>
      <c r="Y52" s="15"/>
      <c r="Z52" s="15"/>
    </row>
    <row r="53" spans="1:26" ht="22.5" customHeight="1" x14ac:dyDescent="0.25">
      <c r="B53" s="218"/>
      <c r="C53" s="213"/>
      <c r="D53" s="218"/>
      <c r="E53" s="218"/>
      <c r="F53" s="31"/>
      <c r="G53" s="218">
        <v>3094</v>
      </c>
      <c r="H53" s="218">
        <v>600011100</v>
      </c>
      <c r="I53" s="31"/>
      <c r="J53" s="257">
        <v>11</v>
      </c>
      <c r="K53" s="300"/>
      <c r="L53" s="299">
        <f>L52</f>
        <v>17609.081398809521</v>
      </c>
      <c r="M53" s="218" t="s">
        <v>819</v>
      </c>
      <c r="N53" s="257" t="s">
        <v>427</v>
      </c>
      <c r="O53" s="120"/>
      <c r="P53" s="120"/>
      <c r="Q53" s="120"/>
      <c r="S53" s="159">
        <v>5700</v>
      </c>
      <c r="T53" s="81" t="s">
        <v>313</v>
      </c>
      <c r="U53" s="15">
        <v>65279.512499999997</v>
      </c>
      <c r="V53" s="15">
        <v>29975</v>
      </c>
      <c r="X53" s="120"/>
      <c r="Y53" s="15"/>
      <c r="Z53" s="15"/>
    </row>
    <row r="54" spans="1:26" ht="22.5" customHeight="1" x14ac:dyDescent="0.25">
      <c r="B54" s="218">
        <v>5410</v>
      </c>
      <c r="C54" s="213" t="s">
        <v>1105</v>
      </c>
      <c r="D54" s="299">
        <f>U51</f>
        <v>4905.8100000000004</v>
      </c>
      <c r="E54" s="299">
        <f>V51</f>
        <v>2180</v>
      </c>
      <c r="F54" s="31"/>
      <c r="G54" s="218">
        <v>3094</v>
      </c>
      <c r="H54" s="218">
        <v>541000100</v>
      </c>
      <c r="I54" s="31"/>
      <c r="J54" s="257">
        <v>11</v>
      </c>
      <c r="K54" s="26">
        <f>VLOOKUP(B54,'Utfördelat tom maj'!$A$3:$G$28,7,FALSE)</f>
        <v>5904.8416666666672</v>
      </c>
      <c r="L54" s="211">
        <f>(D54+E54-K54)/7</f>
        <v>168.7097619047619</v>
      </c>
      <c r="M54" s="218" t="s">
        <v>818</v>
      </c>
      <c r="N54" s="257" t="s">
        <v>427</v>
      </c>
      <c r="O54" s="120"/>
      <c r="P54" s="120"/>
      <c r="Q54" s="120"/>
      <c r="S54" s="18">
        <v>5730</v>
      </c>
      <c r="T54" s="81" t="s">
        <v>166</v>
      </c>
      <c r="U54" s="15">
        <v>2010175.2217499991</v>
      </c>
      <c r="V54" s="15">
        <v>819653.33333333337</v>
      </c>
      <c r="X54" s="120"/>
      <c r="Y54" s="15"/>
      <c r="Z54" s="15"/>
    </row>
    <row r="55" spans="1:26" ht="22.5" customHeight="1" x14ac:dyDescent="0.25">
      <c r="B55" s="218"/>
      <c r="C55" s="213"/>
      <c r="D55" s="218"/>
      <c r="E55" s="218"/>
      <c r="F55" s="31"/>
      <c r="G55" s="218">
        <v>3094</v>
      </c>
      <c r="H55" s="218">
        <v>600011100</v>
      </c>
      <c r="I55" s="31"/>
      <c r="J55" s="257">
        <v>11</v>
      </c>
      <c r="K55" s="300"/>
      <c r="L55" s="299">
        <f>L54</f>
        <v>168.7097619047619</v>
      </c>
      <c r="M55" s="218" t="s">
        <v>819</v>
      </c>
      <c r="N55" s="257" t="s">
        <v>427</v>
      </c>
      <c r="O55" s="120"/>
      <c r="P55" s="120"/>
      <c r="Q55" s="120"/>
      <c r="S55" s="18">
        <v>5740</v>
      </c>
      <c r="T55" s="81" t="s">
        <v>461</v>
      </c>
      <c r="U55" s="15">
        <v>11970171.842724178</v>
      </c>
      <c r="V55" s="15">
        <v>3590959.9166666688</v>
      </c>
      <c r="X55" s="49"/>
      <c r="Y55" s="15"/>
      <c r="Z55" s="15"/>
    </row>
    <row r="56" spans="1:26" ht="22.5" customHeight="1" x14ac:dyDescent="0.25">
      <c r="B56" s="218">
        <v>5500</v>
      </c>
      <c r="C56" s="213" t="s">
        <v>165</v>
      </c>
      <c r="D56" s="299">
        <f>U52</f>
        <v>220761.44999999998</v>
      </c>
      <c r="E56" s="299">
        <f>V52</f>
        <v>98100</v>
      </c>
      <c r="F56" s="218"/>
      <c r="G56" s="218">
        <v>3094</v>
      </c>
      <c r="H56" s="218">
        <v>550001100</v>
      </c>
      <c r="I56" s="218"/>
      <c r="J56" s="218">
        <v>11</v>
      </c>
      <c r="K56" s="26">
        <f>VLOOKUP(B56,'Utfördelat tom maj'!$A$3:$G$28,7,FALSE)</f>
        <v>103334.72916666663</v>
      </c>
      <c r="L56" s="211">
        <f>(D56+E56-K56)/7</f>
        <v>30789.531547619048</v>
      </c>
      <c r="M56" s="218" t="s">
        <v>818</v>
      </c>
      <c r="N56" s="218" t="s">
        <v>427</v>
      </c>
      <c r="O56" s="120"/>
      <c r="P56" s="120"/>
      <c r="Q56" s="120"/>
      <c r="X56" s="49"/>
      <c r="Y56" s="15"/>
      <c r="Z56" s="15"/>
    </row>
    <row r="57" spans="1:26" ht="22.5" customHeight="1" x14ac:dyDescent="0.25">
      <c r="A57" s="212"/>
      <c r="B57" s="218"/>
      <c r="C57" s="213"/>
      <c r="D57" s="218"/>
      <c r="E57" s="218"/>
      <c r="F57" s="218"/>
      <c r="G57" s="218">
        <v>3094</v>
      </c>
      <c r="H57" s="218">
        <v>600011100</v>
      </c>
      <c r="I57" s="218"/>
      <c r="J57" s="218">
        <v>11</v>
      </c>
      <c r="K57" s="300"/>
      <c r="L57" s="299">
        <f>L56</f>
        <v>30789.531547619048</v>
      </c>
      <c r="M57" s="218" t="s">
        <v>819</v>
      </c>
      <c r="N57" s="218" t="s">
        <v>427</v>
      </c>
      <c r="O57" s="166"/>
      <c r="P57" s="166"/>
      <c r="Q57" s="166"/>
      <c r="X57" s="49"/>
      <c r="Y57" s="15"/>
      <c r="Z57" s="15"/>
    </row>
    <row r="58" spans="1:26" ht="22.5" customHeight="1" x14ac:dyDescent="0.25">
      <c r="B58" s="218">
        <v>5700</v>
      </c>
      <c r="C58" s="213" t="s">
        <v>313</v>
      </c>
      <c r="D58" s="299">
        <f>U53</f>
        <v>65279.512499999997</v>
      </c>
      <c r="E58" s="299">
        <f>V53</f>
        <v>29975</v>
      </c>
      <c r="G58" s="218">
        <v>3094</v>
      </c>
      <c r="H58" s="218">
        <v>570001100</v>
      </c>
      <c r="J58" s="218">
        <v>11</v>
      </c>
      <c r="K58" s="26">
        <f>VLOOKUP(B58,'Utfördelat tom maj'!$A$3:$G$28,7,FALSE)</f>
        <v>35998.854166666672</v>
      </c>
      <c r="L58" s="211">
        <f>(D58+E58-K58)/7</f>
        <v>8465.0940476190463</v>
      </c>
      <c r="M58" s="218" t="s">
        <v>818</v>
      </c>
      <c r="N58" s="218" t="s">
        <v>427</v>
      </c>
      <c r="O58" s="120"/>
      <c r="P58" s="120"/>
      <c r="Q58" s="120"/>
      <c r="X58" s="49"/>
      <c r="Y58" s="15"/>
      <c r="Z58" s="15"/>
    </row>
    <row r="59" spans="1:26" ht="22.5" customHeight="1" x14ac:dyDescent="0.25">
      <c r="G59" s="218">
        <v>3094</v>
      </c>
      <c r="H59" s="218">
        <v>600011100</v>
      </c>
      <c r="I59" s="218"/>
      <c r="J59" s="218">
        <v>11</v>
      </c>
      <c r="L59" s="299">
        <f>L58</f>
        <v>8465.0940476190463</v>
      </c>
      <c r="M59" s="218" t="s">
        <v>819</v>
      </c>
      <c r="N59" s="218" t="s">
        <v>427</v>
      </c>
      <c r="O59" s="166"/>
      <c r="P59" s="166"/>
      <c r="Q59" s="166"/>
      <c r="X59" s="49"/>
      <c r="Y59" s="15"/>
      <c r="Z59" s="15"/>
    </row>
    <row r="60" spans="1:26" ht="22.5" customHeight="1" x14ac:dyDescent="0.25">
      <c r="A60" s="212"/>
      <c r="B60" s="212">
        <v>5730</v>
      </c>
      <c r="C60" s="210" t="s">
        <v>166</v>
      </c>
      <c r="D60" s="225">
        <f>U54</f>
        <v>2010175.2217499991</v>
      </c>
      <c r="E60" s="225">
        <f>V54</f>
        <v>819653.33333333337</v>
      </c>
      <c r="F60" s="212"/>
      <c r="G60" s="212">
        <v>3094</v>
      </c>
      <c r="H60" s="212">
        <v>573000111</v>
      </c>
      <c r="I60" s="212"/>
      <c r="J60" s="212">
        <v>11</v>
      </c>
      <c r="K60" s="26">
        <f>VLOOKUP(B60,'Utfördelat tom maj'!$A$3:$G$28,7,FALSE)</f>
        <v>1251001.0624131942</v>
      </c>
      <c r="L60" s="211">
        <f>(D60+E60-K60)/7</f>
        <v>225546.78466716263</v>
      </c>
      <c r="M60" s="212" t="s">
        <v>818</v>
      </c>
      <c r="N60" s="212" t="s">
        <v>427</v>
      </c>
      <c r="O60" s="120"/>
      <c r="P60" s="120"/>
      <c r="Q60" s="120"/>
      <c r="X60" s="49"/>
      <c r="Y60" s="15"/>
      <c r="Z60" s="15"/>
    </row>
    <row r="61" spans="1:26" ht="22.5" customHeight="1" x14ac:dyDescent="0.25">
      <c r="A61" s="212"/>
      <c r="B61" s="212"/>
      <c r="C61" s="210"/>
      <c r="F61" s="212"/>
      <c r="G61" s="212">
        <v>3094</v>
      </c>
      <c r="H61" s="212">
        <v>600011100</v>
      </c>
      <c r="I61" s="212"/>
      <c r="J61" s="212">
        <v>11</v>
      </c>
      <c r="K61" s="26"/>
      <c r="L61" s="225">
        <f>L60</f>
        <v>225546.78466716263</v>
      </c>
      <c r="M61" s="212" t="s">
        <v>819</v>
      </c>
      <c r="N61" s="212" t="s">
        <v>427</v>
      </c>
      <c r="O61" s="120"/>
      <c r="P61" s="120"/>
      <c r="Q61" s="120"/>
      <c r="X61" s="49"/>
      <c r="Z61" s="15"/>
    </row>
    <row r="62" spans="1:26" ht="22.5" customHeight="1" x14ac:dyDescent="0.25">
      <c r="B62" s="212">
        <v>5740</v>
      </c>
      <c r="C62" s="210" t="s">
        <v>461</v>
      </c>
      <c r="D62" s="225">
        <f>U55</f>
        <v>11970171.842724178</v>
      </c>
      <c r="E62" s="225">
        <f>V55</f>
        <v>3590959.9166666688</v>
      </c>
      <c r="F62" s="212"/>
      <c r="G62" s="212">
        <v>3094</v>
      </c>
      <c r="H62" s="218">
        <v>574002011</v>
      </c>
      <c r="I62" s="212"/>
      <c r="J62" s="212">
        <v>11</v>
      </c>
      <c r="K62" s="26">
        <f>VLOOKUP(B62,'Utfördelat tom maj'!$A$3:$G$28,7,FALSE)</f>
        <v>6819988.4633979183</v>
      </c>
      <c r="L62" s="211">
        <f>(D62+E62-K62)/7</f>
        <v>1248734.7565704181</v>
      </c>
      <c r="M62" s="212" t="s">
        <v>818</v>
      </c>
      <c r="N62" s="212" t="s">
        <v>427</v>
      </c>
      <c r="O62" s="166"/>
      <c r="P62" s="166"/>
      <c r="Q62" s="166"/>
      <c r="X62" s="49"/>
      <c r="Z62" s="15"/>
    </row>
    <row r="63" spans="1:26" ht="22.5" customHeight="1" x14ac:dyDescent="0.25">
      <c r="B63" s="212"/>
      <c r="C63" s="209"/>
      <c r="D63" s="212"/>
      <c r="E63" s="212"/>
      <c r="F63" s="212"/>
      <c r="G63" s="212">
        <v>3094</v>
      </c>
      <c r="H63" s="212">
        <v>600011100</v>
      </c>
      <c r="I63" s="212"/>
      <c r="J63" s="212">
        <v>11</v>
      </c>
      <c r="K63" s="26"/>
      <c r="L63" s="225">
        <f>L62</f>
        <v>1248734.7565704181</v>
      </c>
      <c r="M63" s="212" t="s">
        <v>819</v>
      </c>
      <c r="N63" s="212" t="s">
        <v>427</v>
      </c>
      <c r="O63" s="120"/>
      <c r="P63" s="120"/>
      <c r="Q63" s="120"/>
      <c r="X63" s="49"/>
      <c r="Z63" s="15"/>
    </row>
    <row r="64" spans="1:26" ht="25.5" customHeight="1" x14ac:dyDescent="0.25">
      <c r="A64" s="467"/>
      <c r="B64" s="467"/>
      <c r="C64" s="467"/>
      <c r="D64" s="467"/>
      <c r="E64" s="467"/>
      <c r="F64" s="467"/>
      <c r="G64" s="467"/>
      <c r="H64" s="467"/>
      <c r="I64" s="467"/>
      <c r="J64" s="467"/>
      <c r="K64" s="477"/>
      <c r="L64" s="469"/>
      <c r="M64" s="467"/>
      <c r="N64" s="467"/>
      <c r="O64" s="18"/>
      <c r="P64" s="18"/>
      <c r="Q64" s="18"/>
      <c r="X64" s="49"/>
      <c r="Z64" s="15"/>
    </row>
    <row r="65" spans="3:26" ht="15" customHeight="1" x14ac:dyDescent="0.25">
      <c r="O65" s="18"/>
      <c r="P65" s="18"/>
      <c r="Q65" s="18"/>
      <c r="X65" s="49"/>
      <c r="Z65" s="15"/>
    </row>
    <row r="66" spans="3:26" ht="15" customHeight="1" x14ac:dyDescent="0.25">
      <c r="D66" s="26">
        <f>SUM(D6:D63)</f>
        <v>86284931.157541722</v>
      </c>
      <c r="E66" s="26">
        <f>SUM(E6:E36,E42:E62)</f>
        <v>21775654.083333336</v>
      </c>
      <c r="L66" s="26"/>
      <c r="X66" s="49"/>
      <c r="Z66" s="15"/>
    </row>
    <row r="67" spans="3:26" x14ac:dyDescent="0.25">
      <c r="I67" s="478" t="s">
        <v>469</v>
      </c>
      <c r="J67" s="479"/>
      <c r="K67" s="479"/>
      <c r="L67" s="479"/>
      <c r="M67" s="479"/>
      <c r="N67" s="480"/>
      <c r="Z67" s="15"/>
    </row>
    <row r="68" spans="3:26" x14ac:dyDescent="0.25">
      <c r="I68" s="481"/>
      <c r="J68" s="477"/>
      <c r="K68" s="477"/>
      <c r="L68" s="477"/>
      <c r="M68" s="477"/>
      <c r="N68" s="482"/>
    </row>
    <row r="69" spans="3:26" x14ac:dyDescent="0.25">
      <c r="I69" s="483" t="s">
        <v>565</v>
      </c>
      <c r="J69" s="484"/>
      <c r="K69" s="484"/>
      <c r="L69" s="484"/>
      <c r="M69" s="484"/>
      <c r="N69" s="466"/>
    </row>
    <row r="70" spans="3:26" x14ac:dyDescent="0.25">
      <c r="C70" s="81"/>
      <c r="D70" s="120"/>
      <c r="E70" s="120"/>
    </row>
    <row r="71" spans="3:26" x14ac:dyDescent="0.25">
      <c r="I71" s="485" t="s">
        <v>422</v>
      </c>
      <c r="J71" s="479"/>
      <c r="K71" s="479"/>
      <c r="L71" s="479"/>
      <c r="M71" s="479"/>
      <c r="N71" s="480"/>
    </row>
    <row r="72" spans="3:26" x14ac:dyDescent="0.25">
      <c r="I72" s="481"/>
      <c r="J72" s="477"/>
      <c r="K72" s="477"/>
      <c r="L72" s="477"/>
      <c r="M72" s="477"/>
      <c r="N72" s="482"/>
    </row>
    <row r="73" spans="3:26" x14ac:dyDescent="0.25">
      <c r="I73" s="483" t="s">
        <v>1743</v>
      </c>
      <c r="J73" s="484"/>
      <c r="K73" s="484"/>
      <c r="L73" s="484"/>
      <c r="M73" s="484"/>
      <c r="N73" s="466"/>
    </row>
  </sheetData>
  <mergeCells count="1">
    <mergeCell ref="O3:T3"/>
  </mergeCells>
  <printOptions gridLines="1"/>
  <pageMargins left="0.43307086614173229" right="0.39370078740157483" top="0.86614173228346458" bottom="0.78740157480314965" header="0.31496062992125984" footer="0.31496062992125984"/>
  <pageSetup paperSize="9" scale="58" fitToHeight="2" orientation="landscape" cellComments="asDisplayed" r:id="rId1"/>
  <headerFooter>
    <oddHeader xml:space="preserve">&amp;LUMEÅ UNIVERSITET
Lärarhögskolan
A Simm&amp;CGU-RESURSER
2019&amp;RBOKFÖRINGSORDER
</oddHeader>
    <oddFooter>&amp;L&amp;F&amp;C&amp;A&amp;R&amp;P (&amp;N)</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Z73"/>
  <sheetViews>
    <sheetView workbookViewId="0">
      <selection activeCell="C58" sqref="C58"/>
    </sheetView>
  </sheetViews>
  <sheetFormatPr defaultRowHeight="15" x14ac:dyDescent="0.25"/>
  <cols>
    <col min="1" max="2" width="11.5703125" customWidth="1"/>
    <col min="3" max="3" width="34.5703125" customWidth="1"/>
    <col min="4" max="4" width="17" customWidth="1"/>
    <col min="5" max="5" width="16.85546875" customWidth="1"/>
    <col min="6" max="6" width="4.42578125" customWidth="1"/>
    <col min="8" max="8" width="13.42578125" customWidth="1"/>
    <col min="9" max="9" width="3.42578125" customWidth="1"/>
    <col min="10" max="10" width="6.5703125" customWidth="1"/>
    <col min="11" max="11" width="13.85546875" customWidth="1"/>
    <col min="12" max="12" width="16.140625" customWidth="1"/>
    <col min="13" max="13" width="5" customWidth="1"/>
    <col min="14" max="14" width="32.42578125" customWidth="1"/>
    <col min="15" max="15" width="12.5703125" customWidth="1"/>
    <col min="16" max="17" width="13.85546875" customWidth="1"/>
    <col min="18" max="18" width="44.5703125" customWidth="1"/>
    <col min="19" max="19" width="8" customWidth="1"/>
    <col min="20" max="20" width="30.85546875" customWidth="1"/>
    <col min="21" max="21" width="13.85546875" customWidth="1"/>
    <col min="22" max="22" width="12.42578125" customWidth="1"/>
    <col min="24" max="24" width="10.28515625" customWidth="1"/>
    <col min="25" max="25" width="14.140625" customWidth="1"/>
    <col min="26" max="26" width="15.140625" customWidth="1"/>
  </cols>
  <sheetData>
    <row r="1" spans="1:26" ht="28.5" customHeight="1" x14ac:dyDescent="0.25">
      <c r="C1" s="39" t="s">
        <v>321</v>
      </c>
      <c r="L1" s="465" t="s">
        <v>420</v>
      </c>
      <c r="M1" s="465"/>
      <c r="N1" s="466"/>
      <c r="O1" s="18"/>
      <c r="P1" s="18"/>
      <c r="Q1" s="18"/>
    </row>
    <row r="2" spans="1:26" ht="27.75" customHeight="1" x14ac:dyDescent="0.3">
      <c r="C2" s="160" t="s">
        <v>2197</v>
      </c>
      <c r="D2" s="205"/>
      <c r="L2" s="465" t="s">
        <v>421</v>
      </c>
      <c r="M2" s="465"/>
      <c r="N2" s="466"/>
      <c r="O2" s="18"/>
      <c r="P2" s="18"/>
      <c r="Q2" s="18"/>
    </row>
    <row r="3" spans="1:26" ht="27.75" customHeight="1" x14ac:dyDescent="0.25">
      <c r="A3" s="18"/>
      <c r="B3" s="18"/>
      <c r="O3" s="533"/>
      <c r="P3" s="534"/>
      <c r="Q3" s="534"/>
      <c r="R3" s="534"/>
      <c r="S3" s="534"/>
      <c r="T3" s="534"/>
    </row>
    <row r="4" spans="1:26" ht="51.75" customHeight="1" x14ac:dyDescent="0.25">
      <c r="A4" s="27" t="s">
        <v>71</v>
      </c>
      <c r="B4" s="27" t="s">
        <v>817</v>
      </c>
      <c r="C4" s="27" t="s">
        <v>35</v>
      </c>
      <c r="D4" s="162" t="s">
        <v>2173</v>
      </c>
      <c r="E4" s="162" t="s">
        <v>2174</v>
      </c>
      <c r="G4" s="161" t="s">
        <v>423</v>
      </c>
      <c r="H4" s="161" t="s">
        <v>424</v>
      </c>
      <c r="I4" s="161"/>
      <c r="J4" s="161" t="s">
        <v>425</v>
      </c>
      <c r="K4" s="416" t="s">
        <v>1104</v>
      </c>
      <c r="L4" s="416" t="s">
        <v>2198</v>
      </c>
      <c r="M4" s="161" t="s">
        <v>428</v>
      </c>
      <c r="N4" s="161" t="s">
        <v>426</v>
      </c>
      <c r="O4" s="268"/>
      <c r="P4" s="276"/>
      <c r="Q4" s="276"/>
      <c r="T4" s="64" t="s">
        <v>462</v>
      </c>
    </row>
    <row r="5" spans="1:26" ht="22.5" customHeight="1" x14ac:dyDescent="0.25">
      <c r="O5" s="18"/>
      <c r="P5" s="18"/>
      <c r="Q5" s="18"/>
      <c r="T5">
        <v>2019</v>
      </c>
      <c r="U5" t="s">
        <v>375</v>
      </c>
      <c r="V5" t="s">
        <v>149</v>
      </c>
      <c r="X5" s="49"/>
    </row>
    <row r="6" spans="1:26" ht="22.5" customHeight="1" x14ac:dyDescent="0.25">
      <c r="A6" s="209" t="s">
        <v>410</v>
      </c>
      <c r="B6" s="209">
        <v>1620</v>
      </c>
      <c r="C6" s="210" t="s">
        <v>176</v>
      </c>
      <c r="D6" s="211">
        <f>U6</f>
        <v>10500482.090158761</v>
      </c>
      <c r="E6" s="211">
        <f>V6</f>
        <v>1806084.9166666667</v>
      </c>
      <c r="F6" s="212"/>
      <c r="G6" s="212">
        <v>3094</v>
      </c>
      <c r="H6" s="212">
        <v>162000100</v>
      </c>
      <c r="I6" s="212"/>
      <c r="J6" s="212">
        <v>11</v>
      </c>
      <c r="K6" s="26"/>
      <c r="L6" s="211">
        <f>(D6+E6-K6)/12</f>
        <v>1025547.2505687856</v>
      </c>
      <c r="M6" s="212" t="s">
        <v>818</v>
      </c>
      <c r="N6" s="212" t="s">
        <v>427</v>
      </c>
      <c r="O6" s="64"/>
      <c r="P6" s="81"/>
      <c r="Q6" s="120"/>
      <c r="S6" s="64">
        <v>1620</v>
      </c>
      <c r="T6" s="81" t="s">
        <v>176</v>
      </c>
      <c r="U6" s="15">
        <v>10500482.090158761</v>
      </c>
      <c r="V6" s="15">
        <v>1806084.9166666667</v>
      </c>
      <c r="X6" s="15"/>
      <c r="Y6" s="15"/>
      <c r="Z6" s="15"/>
    </row>
    <row r="7" spans="1:26" ht="22.5" customHeight="1" x14ac:dyDescent="0.25">
      <c r="A7" s="212"/>
      <c r="B7" s="212"/>
      <c r="C7" s="209"/>
      <c r="D7" s="212"/>
      <c r="E7" s="212"/>
      <c r="F7" s="212"/>
      <c r="G7" s="212">
        <v>3094</v>
      </c>
      <c r="H7" s="212">
        <v>600011100</v>
      </c>
      <c r="I7" s="212"/>
      <c r="J7" s="212">
        <v>11</v>
      </c>
      <c r="K7" s="26"/>
      <c r="L7" s="211">
        <f>L6</f>
        <v>1025547.2505687856</v>
      </c>
      <c r="M7" s="212" t="s">
        <v>819</v>
      </c>
      <c r="N7" s="212" t="s">
        <v>427</v>
      </c>
      <c r="O7" s="18"/>
      <c r="P7" s="81"/>
      <c r="Q7" s="120"/>
      <c r="S7" s="18">
        <v>1630</v>
      </c>
      <c r="T7" s="81" t="s">
        <v>172</v>
      </c>
      <c r="U7" s="15">
        <v>5937676.3254366769</v>
      </c>
      <c r="V7" s="15">
        <v>807286.16666666651</v>
      </c>
      <c r="X7" s="15"/>
      <c r="Y7" s="15"/>
      <c r="Z7" s="15"/>
    </row>
    <row r="8" spans="1:26" ht="22.5" customHeight="1" x14ac:dyDescent="0.25">
      <c r="A8" s="212"/>
      <c r="B8" s="212">
        <v>1630</v>
      </c>
      <c r="C8" s="210" t="s">
        <v>172</v>
      </c>
      <c r="D8" s="211">
        <f>U7</f>
        <v>5937676.3254366769</v>
      </c>
      <c r="E8" s="211">
        <f>V7</f>
        <v>807286.16666666651</v>
      </c>
      <c r="F8" s="212"/>
      <c r="G8" s="212">
        <v>3094</v>
      </c>
      <c r="H8" s="218">
        <v>163000100</v>
      </c>
      <c r="I8" s="212"/>
      <c r="J8" s="212">
        <v>11</v>
      </c>
      <c r="K8" s="26"/>
      <c r="L8" s="211">
        <f>(D8+E8-K8)/12</f>
        <v>562080.20767527865</v>
      </c>
      <c r="M8" s="212" t="s">
        <v>818</v>
      </c>
      <c r="N8" s="212" t="s">
        <v>427</v>
      </c>
      <c r="O8" s="18"/>
      <c r="P8" s="81"/>
      <c r="Q8" s="120"/>
      <c r="S8" s="18">
        <v>1640</v>
      </c>
      <c r="T8" s="81" t="s">
        <v>173</v>
      </c>
      <c r="U8" s="15">
        <v>1745740.1951175001</v>
      </c>
      <c r="V8" s="15">
        <v>267075.5</v>
      </c>
      <c r="X8" s="15"/>
      <c r="Y8" s="15"/>
      <c r="Z8" s="15"/>
    </row>
    <row r="9" spans="1:26" ht="22.5" customHeight="1" x14ac:dyDescent="0.25">
      <c r="A9" s="212"/>
      <c r="B9" s="212"/>
      <c r="C9" s="209"/>
      <c r="D9" s="212"/>
      <c r="E9" s="212"/>
      <c r="F9" s="212"/>
      <c r="G9" s="212">
        <v>3094</v>
      </c>
      <c r="H9" s="212">
        <v>600011100</v>
      </c>
      <c r="I9" s="212"/>
      <c r="J9" s="212">
        <v>11</v>
      </c>
      <c r="K9" s="26"/>
      <c r="L9" s="211">
        <f>L8</f>
        <v>562080.20767527865</v>
      </c>
      <c r="M9" s="212" t="s">
        <v>819</v>
      </c>
      <c r="N9" s="212" t="s">
        <v>427</v>
      </c>
      <c r="O9" s="159"/>
      <c r="P9" s="81"/>
      <c r="Q9" s="120"/>
      <c r="S9" s="258">
        <v>1650</v>
      </c>
      <c r="T9" s="259" t="s">
        <v>11</v>
      </c>
      <c r="U9" s="260">
        <v>14196752.206762923</v>
      </c>
      <c r="V9" s="260">
        <v>8166305.75</v>
      </c>
      <c r="X9" s="15"/>
      <c r="Y9" s="15"/>
      <c r="Z9" s="15"/>
    </row>
    <row r="10" spans="1:26" ht="22.5" customHeight="1" x14ac:dyDescent="0.25">
      <c r="A10" s="212"/>
      <c r="B10" s="212">
        <v>1640</v>
      </c>
      <c r="C10" s="213" t="s">
        <v>173</v>
      </c>
      <c r="D10" s="211">
        <f>U8</f>
        <v>1745740.1951175001</v>
      </c>
      <c r="E10" s="211">
        <f>V8</f>
        <v>267075.5</v>
      </c>
      <c r="F10" s="212"/>
      <c r="G10" s="212">
        <v>3094</v>
      </c>
      <c r="H10" s="212">
        <v>164016100</v>
      </c>
      <c r="I10" s="212"/>
      <c r="J10" s="212">
        <v>11</v>
      </c>
      <c r="K10" s="26"/>
      <c r="L10" s="211">
        <f>(D10+E10-K10)/12</f>
        <v>167734.64125979168</v>
      </c>
      <c r="M10" s="212" t="s">
        <v>818</v>
      </c>
      <c r="N10" s="212" t="s">
        <v>427</v>
      </c>
      <c r="O10" s="120"/>
      <c r="P10" s="120"/>
      <c r="Q10" s="120"/>
      <c r="T10" s="39" t="s">
        <v>466</v>
      </c>
      <c r="U10" s="261">
        <v>-1020989.025</v>
      </c>
      <c r="V10" s="261">
        <v>-1510450</v>
      </c>
      <c r="X10" s="49"/>
      <c r="Y10" s="459"/>
      <c r="Z10" s="459"/>
    </row>
    <row r="11" spans="1:26" ht="22.5" customHeight="1" x14ac:dyDescent="0.25">
      <c r="A11" s="212"/>
      <c r="B11" s="212"/>
      <c r="C11" s="209"/>
      <c r="D11" s="212"/>
      <c r="E11" s="212"/>
      <c r="F11" s="212"/>
      <c r="G11" s="212">
        <v>3094</v>
      </c>
      <c r="H11" s="212">
        <v>600011100</v>
      </c>
      <c r="I11" s="212"/>
      <c r="J11" s="212">
        <v>11</v>
      </c>
      <c r="K11" s="26"/>
      <c r="L11" s="211">
        <f>L10</f>
        <v>167734.64125979168</v>
      </c>
      <c r="M11" s="212" t="s">
        <v>819</v>
      </c>
      <c r="N11" s="212" t="s">
        <v>427</v>
      </c>
      <c r="O11" s="120"/>
      <c r="P11" s="120"/>
      <c r="Q11" s="120"/>
      <c r="X11" s="49"/>
      <c r="Y11" s="15"/>
      <c r="Z11" s="15"/>
    </row>
    <row r="12" spans="1:26" ht="22.5" customHeight="1" x14ac:dyDescent="0.25">
      <c r="A12" s="212"/>
      <c r="B12" s="218">
        <v>1650</v>
      </c>
      <c r="C12" s="213" t="s">
        <v>11</v>
      </c>
      <c r="D12" s="219">
        <f>U9+U10</f>
        <v>13175763.181762923</v>
      </c>
      <c r="E12" s="219">
        <f>V9+V10</f>
        <v>6655855.75</v>
      </c>
      <c r="F12" s="218"/>
      <c r="G12" s="218">
        <v>3094</v>
      </c>
      <c r="H12" s="218">
        <v>165000001</v>
      </c>
      <c r="I12" s="218"/>
      <c r="J12" s="218">
        <v>11</v>
      </c>
      <c r="K12" s="26"/>
      <c r="L12" s="211">
        <f>(D12+E12-K12)/12</f>
        <v>1652634.9109802435</v>
      </c>
      <c r="M12" s="218" t="s">
        <v>818</v>
      </c>
      <c r="N12" s="218" t="s">
        <v>427</v>
      </c>
      <c r="O12" s="120"/>
      <c r="P12" s="120"/>
      <c r="Q12" s="120"/>
      <c r="R12" s="39"/>
      <c r="X12" s="49"/>
      <c r="Y12" s="15"/>
      <c r="Z12" s="15"/>
    </row>
    <row r="13" spans="1:26" ht="22.5" customHeight="1" x14ac:dyDescent="0.25">
      <c r="A13" s="212"/>
      <c r="B13" s="218"/>
      <c r="C13" s="213"/>
      <c r="D13" s="218"/>
      <c r="E13" s="218"/>
      <c r="F13" s="218"/>
      <c r="G13" s="218">
        <v>3094</v>
      </c>
      <c r="H13" s="218">
        <v>600011100</v>
      </c>
      <c r="I13" s="218"/>
      <c r="J13" s="218">
        <v>11</v>
      </c>
      <c r="K13" s="26"/>
      <c r="L13" s="219">
        <f>L12</f>
        <v>1652634.9109802435</v>
      </c>
      <c r="M13" s="218" t="s">
        <v>819</v>
      </c>
      <c r="N13" s="218" t="s">
        <v>427</v>
      </c>
      <c r="O13" s="120"/>
      <c r="P13" s="120"/>
      <c r="Q13" s="120"/>
      <c r="X13" s="49"/>
      <c r="Y13" s="15"/>
      <c r="Z13" s="15"/>
    </row>
    <row r="14" spans="1:26" ht="22.5" customHeight="1" x14ac:dyDescent="0.25">
      <c r="A14" s="467"/>
      <c r="B14" s="467"/>
      <c r="C14" s="467"/>
      <c r="D14" s="467"/>
      <c r="E14" s="467"/>
      <c r="F14" s="467"/>
      <c r="G14" s="467"/>
      <c r="H14" s="467"/>
      <c r="I14" s="467"/>
      <c r="J14" s="467"/>
      <c r="K14" s="468"/>
      <c r="L14" s="469"/>
      <c r="M14" s="467"/>
      <c r="N14" s="467"/>
      <c r="O14" s="120"/>
      <c r="P14" s="120"/>
      <c r="Q14" s="120"/>
      <c r="X14" s="49"/>
      <c r="Y14" s="15"/>
      <c r="Z14" s="15"/>
    </row>
    <row r="15" spans="1:26" ht="22.5" customHeight="1" x14ac:dyDescent="0.25">
      <c r="A15" s="209"/>
      <c r="K15" s="26"/>
      <c r="O15" s="120"/>
      <c r="P15" s="120"/>
      <c r="Q15" s="120"/>
      <c r="T15">
        <v>2019</v>
      </c>
      <c r="U15" t="s">
        <v>375</v>
      </c>
      <c r="V15" t="s">
        <v>149</v>
      </c>
      <c r="X15" s="49"/>
      <c r="Y15" s="15"/>
      <c r="Z15" s="15"/>
    </row>
    <row r="16" spans="1:26" ht="22.5" customHeight="1" x14ac:dyDescent="0.25">
      <c r="A16" s="212" t="s">
        <v>411</v>
      </c>
      <c r="B16" s="212">
        <v>2180</v>
      </c>
      <c r="C16" s="210" t="s">
        <v>192</v>
      </c>
      <c r="D16" s="211">
        <f>U16</f>
        <v>14752023.060662922</v>
      </c>
      <c r="E16" s="216">
        <f>V16</f>
        <v>2922218.166666667</v>
      </c>
      <c r="F16" s="212"/>
      <c r="G16" s="212">
        <v>3094</v>
      </c>
      <c r="H16" s="218">
        <v>218000101</v>
      </c>
      <c r="I16" s="212"/>
      <c r="J16" s="212">
        <v>11</v>
      </c>
      <c r="K16" s="26"/>
      <c r="L16" s="211">
        <f>(D16-K16)/12</f>
        <v>1229335.2550552434</v>
      </c>
      <c r="M16" s="212" t="s">
        <v>818</v>
      </c>
      <c r="N16" s="212" t="s">
        <v>464</v>
      </c>
      <c r="O16" s="18"/>
      <c r="P16" s="120"/>
      <c r="Q16" s="275"/>
      <c r="S16" s="18">
        <v>2180</v>
      </c>
      <c r="T16" s="81" t="s">
        <v>192</v>
      </c>
      <c r="U16" s="15">
        <v>14752023.060662922</v>
      </c>
      <c r="V16" s="15">
        <v>2922218.166666667</v>
      </c>
      <c r="X16" s="15"/>
      <c r="Y16" s="15"/>
      <c r="Z16" s="15"/>
    </row>
    <row r="17" spans="1:26" ht="22.5" customHeight="1" x14ac:dyDescent="0.25">
      <c r="B17" s="212"/>
      <c r="C17" s="213"/>
      <c r="D17" s="211"/>
      <c r="E17" s="216"/>
      <c r="F17" s="212"/>
      <c r="G17" s="212">
        <v>3094</v>
      </c>
      <c r="H17" s="212">
        <v>600011100</v>
      </c>
      <c r="I17" s="212"/>
      <c r="J17" s="212">
        <v>11</v>
      </c>
      <c r="K17" s="26"/>
      <c r="L17" s="211">
        <f>L16</f>
        <v>1229335.2550552434</v>
      </c>
      <c r="M17" s="212" t="s">
        <v>819</v>
      </c>
      <c r="N17" s="212" t="s">
        <v>464</v>
      </c>
      <c r="O17" s="18"/>
      <c r="P17" s="120"/>
      <c r="S17" s="18">
        <v>2193</v>
      </c>
      <c r="T17" s="81" t="s">
        <v>1130</v>
      </c>
      <c r="U17" s="15">
        <v>19848427.626996201</v>
      </c>
      <c r="V17" s="15">
        <v>3081263.833333333</v>
      </c>
      <c r="X17" s="15"/>
      <c r="Y17" s="15"/>
      <c r="Z17" s="15"/>
    </row>
    <row r="18" spans="1:26" ht="22.5" customHeight="1" x14ac:dyDescent="0.25">
      <c r="B18" s="212">
        <v>2193</v>
      </c>
      <c r="C18" s="210" t="s">
        <v>441</v>
      </c>
      <c r="D18" s="211">
        <f>U17</f>
        <v>19848427.626996201</v>
      </c>
      <c r="E18" s="216">
        <f>V17</f>
        <v>3081263.833333333</v>
      </c>
      <c r="F18" s="212"/>
      <c r="G18" s="212">
        <v>3094</v>
      </c>
      <c r="H18" s="212">
        <v>219300001</v>
      </c>
      <c r="I18" s="212"/>
      <c r="J18" s="212">
        <v>11</v>
      </c>
      <c r="K18" s="26"/>
      <c r="L18" s="211">
        <f>(D18-K18)/12</f>
        <v>1654035.6355830168</v>
      </c>
      <c r="M18" s="212" t="s">
        <v>818</v>
      </c>
      <c r="N18" s="212" t="s">
        <v>464</v>
      </c>
      <c r="O18" s="18"/>
      <c r="P18" s="120"/>
      <c r="Q18" s="275"/>
      <c r="S18" s="18">
        <v>2200</v>
      </c>
      <c r="T18" s="81" t="s">
        <v>194</v>
      </c>
      <c r="U18" s="15">
        <v>1910286.98263</v>
      </c>
      <c r="V18" s="15">
        <v>274059.66666666663</v>
      </c>
      <c r="X18" s="15"/>
      <c r="Y18" s="15"/>
      <c r="Z18" s="15"/>
    </row>
    <row r="19" spans="1:26" ht="22.5" customHeight="1" x14ac:dyDescent="0.25">
      <c r="B19" s="212"/>
      <c r="C19" s="209"/>
      <c r="D19" s="212"/>
      <c r="E19" s="217"/>
      <c r="F19" s="212"/>
      <c r="G19" s="212">
        <v>3094</v>
      </c>
      <c r="H19" s="212">
        <v>600011100</v>
      </c>
      <c r="I19" s="212"/>
      <c r="J19" s="212">
        <v>11</v>
      </c>
      <c r="K19" s="26"/>
      <c r="L19" s="211">
        <f>L18</f>
        <v>1654035.6355830168</v>
      </c>
      <c r="M19" s="212" t="s">
        <v>819</v>
      </c>
      <c r="N19" s="212" t="s">
        <v>464</v>
      </c>
      <c r="O19" s="159"/>
      <c r="P19" s="120"/>
      <c r="Q19" s="275"/>
      <c r="S19" s="159">
        <v>2220</v>
      </c>
      <c r="T19" s="81" t="s">
        <v>195</v>
      </c>
      <c r="U19" s="15">
        <v>136091.94990000001</v>
      </c>
      <c r="V19" s="15">
        <v>26680.000000000004</v>
      </c>
      <c r="X19" s="15"/>
      <c r="Y19" s="15"/>
      <c r="Z19" s="15"/>
    </row>
    <row r="20" spans="1:26" ht="22.5" customHeight="1" x14ac:dyDescent="0.25">
      <c r="A20" s="212"/>
      <c r="B20" s="212">
        <v>2200</v>
      </c>
      <c r="C20" s="210" t="s">
        <v>574</v>
      </c>
      <c r="D20" s="211">
        <f>U18</f>
        <v>1910286.98263</v>
      </c>
      <c r="E20" s="216">
        <f>V18</f>
        <v>274059.66666666663</v>
      </c>
      <c r="F20" s="212"/>
      <c r="G20" s="212">
        <v>3094</v>
      </c>
      <c r="H20" s="212">
        <v>220000100</v>
      </c>
      <c r="I20" s="212"/>
      <c r="J20" s="212">
        <v>11</v>
      </c>
      <c r="K20" s="26"/>
      <c r="L20" s="211">
        <f>(D20-K20)/12</f>
        <v>159190.58188583332</v>
      </c>
      <c r="M20" s="212" t="s">
        <v>818</v>
      </c>
      <c r="N20" s="212" t="s">
        <v>464</v>
      </c>
      <c r="O20" s="18"/>
      <c r="P20" s="120"/>
      <c r="Q20" s="275"/>
      <c r="S20" s="18">
        <v>2271</v>
      </c>
      <c r="T20" s="81" t="s">
        <v>1392</v>
      </c>
      <c r="U20" s="15">
        <v>257275.18256749999</v>
      </c>
      <c r="V20" s="15">
        <v>48691</v>
      </c>
      <c r="X20" s="15"/>
      <c r="Y20" s="15"/>
      <c r="Z20" s="15"/>
    </row>
    <row r="21" spans="1:26" ht="22.5" customHeight="1" x14ac:dyDescent="0.25">
      <c r="A21" s="212"/>
      <c r="B21" s="212"/>
      <c r="C21" s="209"/>
      <c r="D21" s="212"/>
      <c r="E21" s="217"/>
      <c r="F21" s="212"/>
      <c r="G21" s="212">
        <v>3094</v>
      </c>
      <c r="H21" s="212">
        <v>600011100</v>
      </c>
      <c r="I21" s="212"/>
      <c r="J21" s="212">
        <v>11</v>
      </c>
      <c r="K21" s="26"/>
      <c r="L21" s="211">
        <f>L20</f>
        <v>159190.58188583332</v>
      </c>
      <c r="M21" s="212" t="s">
        <v>819</v>
      </c>
      <c r="N21" s="212" t="s">
        <v>464</v>
      </c>
      <c r="O21" s="470"/>
      <c r="P21" s="120"/>
      <c r="Q21" s="275"/>
      <c r="S21" s="470">
        <v>2272</v>
      </c>
      <c r="T21" s="81" t="s">
        <v>200</v>
      </c>
      <c r="U21" s="15">
        <v>459793.1014300001</v>
      </c>
      <c r="V21" s="15">
        <v>59604.666666666672</v>
      </c>
      <c r="X21" s="15"/>
      <c r="Y21" s="15"/>
      <c r="Z21" s="15"/>
    </row>
    <row r="22" spans="1:26" ht="22.5" customHeight="1" x14ac:dyDescent="0.25">
      <c r="A22" s="212"/>
      <c r="B22" s="212">
        <v>2220</v>
      </c>
      <c r="C22" s="210" t="s">
        <v>195</v>
      </c>
      <c r="D22" s="211">
        <f>U19</f>
        <v>136091.94990000001</v>
      </c>
      <c r="E22" s="216">
        <f>V19</f>
        <v>26680.000000000004</v>
      </c>
      <c r="F22" s="212"/>
      <c r="G22" s="212">
        <v>3094</v>
      </c>
      <c r="H22" s="212">
        <v>222000100</v>
      </c>
      <c r="I22" s="212"/>
      <c r="J22" s="212">
        <v>11</v>
      </c>
      <c r="K22" s="26"/>
      <c r="L22" s="211">
        <f>(D22-K22)/12</f>
        <v>11340.995825</v>
      </c>
      <c r="M22" s="212" t="s">
        <v>818</v>
      </c>
      <c r="N22" s="212" t="s">
        <v>464</v>
      </c>
      <c r="O22" s="159"/>
      <c r="P22" s="120"/>
      <c r="Q22" s="275"/>
      <c r="S22" s="159">
        <v>2300</v>
      </c>
      <c r="T22" s="81" t="s">
        <v>197</v>
      </c>
      <c r="U22" s="15">
        <v>737078.31837250013</v>
      </c>
      <c r="V22" s="15">
        <v>95550.166666666672</v>
      </c>
      <c r="X22" s="15"/>
      <c r="Y22" s="15"/>
      <c r="Z22" s="15"/>
    </row>
    <row r="23" spans="1:26" ht="22.5" customHeight="1" x14ac:dyDescent="0.25">
      <c r="A23" s="212"/>
      <c r="B23" s="212"/>
      <c r="C23" s="213"/>
      <c r="F23" s="212"/>
      <c r="G23" s="212">
        <v>3094</v>
      </c>
      <c r="H23" s="212">
        <v>600011100</v>
      </c>
      <c r="I23" s="212"/>
      <c r="J23" s="212">
        <v>11</v>
      </c>
      <c r="K23" s="26"/>
      <c r="L23" s="211">
        <f>L22</f>
        <v>11340.995825</v>
      </c>
      <c r="M23" s="212" t="s">
        <v>819</v>
      </c>
      <c r="N23" s="212" t="s">
        <v>464</v>
      </c>
      <c r="O23" s="18"/>
      <c r="P23" s="120"/>
      <c r="Q23" s="275"/>
      <c r="S23" s="18">
        <v>2340</v>
      </c>
      <c r="T23" s="81" t="s">
        <v>198</v>
      </c>
      <c r="U23" s="15">
        <v>1666798.5926274997</v>
      </c>
      <c r="V23" s="15">
        <v>278433.83333333331</v>
      </c>
      <c r="X23" s="15"/>
      <c r="Y23" s="15"/>
      <c r="Z23" s="15"/>
    </row>
    <row r="24" spans="1:26" ht="22.5" customHeight="1" x14ac:dyDescent="0.25">
      <c r="B24" s="212">
        <v>2271</v>
      </c>
      <c r="C24" s="213" t="s">
        <v>1392</v>
      </c>
      <c r="D24" s="211">
        <f>U20</f>
        <v>257275.18256749999</v>
      </c>
      <c r="E24" s="216">
        <f>V20</f>
        <v>48691</v>
      </c>
      <c r="G24" s="218">
        <v>3094</v>
      </c>
      <c r="H24" s="218">
        <v>227100100</v>
      </c>
      <c r="J24" s="212">
        <v>11</v>
      </c>
      <c r="K24" s="26"/>
      <c r="L24" s="211">
        <f>(D24-K24)/12</f>
        <v>21439.598547291665</v>
      </c>
      <c r="M24" s="212" t="s">
        <v>818</v>
      </c>
      <c r="N24" s="212" t="s">
        <v>464</v>
      </c>
      <c r="O24" s="470"/>
      <c r="P24" s="120"/>
      <c r="Q24" s="275"/>
      <c r="S24" s="470">
        <v>2360</v>
      </c>
      <c r="T24" s="81" t="s">
        <v>199</v>
      </c>
      <c r="U24" s="15">
        <v>171742.12373249998</v>
      </c>
      <c r="V24" s="15">
        <v>33669</v>
      </c>
      <c r="X24" s="15"/>
      <c r="Y24" s="15"/>
      <c r="Z24" s="15"/>
    </row>
    <row r="25" spans="1:26" ht="22.5" customHeight="1" x14ac:dyDescent="0.25">
      <c r="G25" s="218">
        <v>3094</v>
      </c>
      <c r="H25" s="218">
        <v>600011100</v>
      </c>
      <c r="J25" s="212">
        <v>11</v>
      </c>
      <c r="K25" s="26"/>
      <c r="L25" s="211">
        <f>L24</f>
        <v>21439.598547291665</v>
      </c>
      <c r="M25" s="212" t="s">
        <v>819</v>
      </c>
      <c r="N25" s="212" t="s">
        <v>464</v>
      </c>
      <c r="O25" s="470"/>
      <c r="P25" s="120"/>
      <c r="Q25" s="275"/>
      <c r="S25" s="470">
        <v>2500</v>
      </c>
      <c r="T25" s="81" t="s">
        <v>2169</v>
      </c>
      <c r="U25" s="15">
        <v>211615.26814062503</v>
      </c>
      <c r="V25" s="15">
        <v>46221.666666666664</v>
      </c>
      <c r="X25" s="15"/>
      <c r="Y25" s="15"/>
      <c r="Z25" s="15"/>
    </row>
    <row r="26" spans="1:26" ht="22.5" customHeight="1" x14ac:dyDescent="0.25">
      <c r="A26" s="212"/>
      <c r="B26" s="212">
        <v>2272</v>
      </c>
      <c r="C26" s="210" t="s">
        <v>200</v>
      </c>
      <c r="D26" s="211">
        <f>U21</f>
        <v>459793.1014300001</v>
      </c>
      <c r="E26" s="216">
        <f>V21</f>
        <v>59604.666666666672</v>
      </c>
      <c r="F26" s="212"/>
      <c r="G26" s="212">
        <v>3094</v>
      </c>
      <c r="H26" s="218">
        <v>227200100</v>
      </c>
      <c r="I26" s="212"/>
      <c r="J26" s="212">
        <v>11</v>
      </c>
      <c r="K26" s="26"/>
      <c r="L26" s="211">
        <f>(D26-K26)/12</f>
        <v>38316.091785833341</v>
      </c>
      <c r="M26" s="212" t="s">
        <v>818</v>
      </c>
      <c r="N26" s="212" t="s">
        <v>464</v>
      </c>
      <c r="O26" s="470"/>
      <c r="P26" s="120"/>
      <c r="Q26" s="275"/>
      <c r="S26" s="470">
        <v>2750</v>
      </c>
      <c r="T26" s="81" t="s">
        <v>205</v>
      </c>
      <c r="U26" s="15">
        <v>2245587.2100749998</v>
      </c>
      <c r="V26" s="15">
        <v>989187.5</v>
      </c>
      <c r="X26" s="15"/>
      <c r="Y26" s="15"/>
      <c r="Z26" s="15"/>
    </row>
    <row r="27" spans="1:26" ht="22.5" customHeight="1" x14ac:dyDescent="0.25">
      <c r="A27" s="212"/>
      <c r="G27" s="212">
        <v>3094</v>
      </c>
      <c r="H27" s="212">
        <v>600011100</v>
      </c>
      <c r="J27" s="212">
        <v>11</v>
      </c>
      <c r="K27" s="26"/>
      <c r="L27" s="211">
        <f>L26</f>
        <v>38316.091785833341</v>
      </c>
      <c r="M27" s="212" t="s">
        <v>819</v>
      </c>
      <c r="N27" s="212" t="s">
        <v>464</v>
      </c>
      <c r="O27" s="120"/>
      <c r="P27" s="120"/>
      <c r="Q27" s="275"/>
      <c r="X27" s="49"/>
      <c r="Y27" s="15"/>
      <c r="Z27" s="15"/>
    </row>
    <row r="28" spans="1:26" ht="22.5" customHeight="1" x14ac:dyDescent="0.25">
      <c r="B28" s="212">
        <v>2300</v>
      </c>
      <c r="C28" s="210" t="s">
        <v>924</v>
      </c>
      <c r="D28" s="211">
        <f>U22</f>
        <v>737078.31837250013</v>
      </c>
      <c r="E28" s="216">
        <f>V22</f>
        <v>95550.166666666672</v>
      </c>
      <c r="F28" s="212"/>
      <c r="G28" s="212">
        <v>3094</v>
      </c>
      <c r="H28" s="218">
        <v>230000100</v>
      </c>
      <c r="I28" s="212"/>
      <c r="J28" s="212">
        <v>11</v>
      </c>
      <c r="K28" s="26"/>
      <c r="L28" s="211">
        <f>(D28-K28)/12</f>
        <v>61423.193197708344</v>
      </c>
      <c r="M28" s="212" t="s">
        <v>818</v>
      </c>
      <c r="N28" s="212" t="s">
        <v>464</v>
      </c>
      <c r="O28" s="120"/>
      <c r="P28" s="120"/>
      <c r="Q28" s="275"/>
      <c r="X28" s="49"/>
      <c r="Y28" s="15"/>
      <c r="Z28" s="15"/>
    </row>
    <row r="29" spans="1:26" ht="22.5" customHeight="1" x14ac:dyDescent="0.25">
      <c r="G29" s="212">
        <v>3094</v>
      </c>
      <c r="H29" s="212">
        <v>600011100</v>
      </c>
      <c r="J29" s="212">
        <v>11</v>
      </c>
      <c r="K29" s="26"/>
      <c r="L29" s="211">
        <f>L28</f>
        <v>61423.193197708344</v>
      </c>
      <c r="M29" s="212" t="s">
        <v>819</v>
      </c>
      <c r="N29" s="212" t="s">
        <v>464</v>
      </c>
      <c r="O29" s="120"/>
      <c r="P29" s="120"/>
      <c r="Q29" s="275"/>
      <c r="X29" s="49"/>
      <c r="Y29" s="15"/>
      <c r="Z29" s="15"/>
    </row>
    <row r="30" spans="1:26" ht="22.5" customHeight="1" x14ac:dyDescent="0.25">
      <c r="A30" s="212"/>
      <c r="B30" s="212">
        <v>2340</v>
      </c>
      <c r="C30" s="210" t="s">
        <v>198</v>
      </c>
      <c r="D30" s="219">
        <f>U23</f>
        <v>1666798.5926274997</v>
      </c>
      <c r="E30" s="220">
        <f>V23</f>
        <v>278433.83333333331</v>
      </c>
      <c r="F30" s="212"/>
      <c r="G30" s="212">
        <v>3094</v>
      </c>
      <c r="H30" s="212">
        <v>234000100</v>
      </c>
      <c r="I30" s="212"/>
      <c r="J30" s="212">
        <v>11</v>
      </c>
      <c r="K30" s="26"/>
      <c r="L30" s="211">
        <f>(D30-K30)/12</f>
        <v>138899.88271895831</v>
      </c>
      <c r="M30" s="212" t="s">
        <v>818</v>
      </c>
      <c r="N30" s="212" t="s">
        <v>464</v>
      </c>
      <c r="O30" s="120"/>
      <c r="P30" s="120"/>
      <c r="Q30" s="275"/>
      <c r="X30" s="49"/>
      <c r="Y30" s="15"/>
      <c r="Z30" s="15"/>
    </row>
    <row r="31" spans="1:26" ht="22.5" customHeight="1" x14ac:dyDescent="0.25">
      <c r="A31" s="212"/>
      <c r="B31" s="212"/>
      <c r="C31" s="209"/>
      <c r="D31" s="212"/>
      <c r="E31" s="217"/>
      <c r="F31" s="212"/>
      <c r="G31" s="212">
        <v>3094</v>
      </c>
      <c r="H31" s="212">
        <v>600011100</v>
      </c>
      <c r="I31" s="212"/>
      <c r="J31" s="212">
        <v>11</v>
      </c>
      <c r="K31" s="26"/>
      <c r="L31" s="211">
        <f>L30</f>
        <v>138899.88271895831</v>
      </c>
      <c r="M31" s="212" t="s">
        <v>819</v>
      </c>
      <c r="N31" s="212" t="s">
        <v>464</v>
      </c>
      <c r="O31" s="120"/>
      <c r="P31" s="120"/>
      <c r="Q31" s="275"/>
      <c r="X31" s="49"/>
      <c r="Y31" s="15"/>
      <c r="Z31" s="15"/>
    </row>
    <row r="32" spans="1:26" ht="22.5" customHeight="1" x14ac:dyDescent="0.25">
      <c r="A32" s="212"/>
      <c r="B32" s="212">
        <v>2360</v>
      </c>
      <c r="C32" s="210" t="s">
        <v>575</v>
      </c>
      <c r="D32" s="211">
        <f>U24</f>
        <v>171742.12373249998</v>
      </c>
      <c r="E32" s="216">
        <f>V24</f>
        <v>33669</v>
      </c>
      <c r="F32" s="212"/>
      <c r="G32" s="218">
        <v>3094</v>
      </c>
      <c r="H32" s="212">
        <v>236000100</v>
      </c>
      <c r="I32" s="212"/>
      <c r="J32" s="212">
        <v>11</v>
      </c>
      <c r="K32" s="26"/>
      <c r="L32" s="211">
        <f>(D32-K32)/12</f>
        <v>14311.843644374998</v>
      </c>
      <c r="M32" s="212" t="s">
        <v>818</v>
      </c>
      <c r="N32" s="212" t="s">
        <v>464</v>
      </c>
      <c r="O32" s="120"/>
      <c r="P32" s="120"/>
      <c r="Q32" s="275"/>
      <c r="S32" s="167"/>
      <c r="T32" s="167"/>
      <c r="U32" s="167"/>
      <c r="X32" s="49"/>
      <c r="Y32" s="15"/>
      <c r="Z32" s="15"/>
    </row>
    <row r="33" spans="1:26" ht="22.5" customHeight="1" x14ac:dyDescent="0.25">
      <c r="A33" s="212"/>
      <c r="G33" s="218">
        <v>3094</v>
      </c>
      <c r="H33" s="212">
        <v>600011100</v>
      </c>
      <c r="J33" s="212">
        <v>11</v>
      </c>
      <c r="K33" s="26"/>
      <c r="L33" s="211">
        <f>L32</f>
        <v>14311.843644374998</v>
      </c>
      <c r="M33" s="212" t="s">
        <v>819</v>
      </c>
      <c r="N33" s="212" t="s">
        <v>464</v>
      </c>
      <c r="O33" s="120"/>
      <c r="P33" s="120"/>
      <c r="Q33" s="275"/>
      <c r="X33" s="49"/>
      <c r="Y33" s="15"/>
      <c r="Z33" s="15"/>
    </row>
    <row r="34" spans="1:26" ht="22.5" customHeight="1" x14ac:dyDescent="0.25">
      <c r="A34" s="212"/>
      <c r="B34" s="212">
        <v>2500</v>
      </c>
      <c r="C34" s="210" t="s">
        <v>2169</v>
      </c>
      <c r="D34" s="211">
        <f>U25</f>
        <v>211615.26814062503</v>
      </c>
      <c r="E34" s="216">
        <f>V25</f>
        <v>46221.666666666664</v>
      </c>
      <c r="F34" s="212"/>
      <c r="G34" s="212">
        <v>3094</v>
      </c>
      <c r="H34" s="212">
        <v>250000010</v>
      </c>
      <c r="I34" s="212"/>
      <c r="J34" s="212">
        <v>11</v>
      </c>
      <c r="K34" s="26"/>
      <c r="L34" s="211">
        <f>(D34-K34)/12</f>
        <v>17634.605678385418</v>
      </c>
      <c r="M34" s="212" t="s">
        <v>818</v>
      </c>
      <c r="N34" s="212" t="s">
        <v>464</v>
      </c>
      <c r="O34" s="120"/>
      <c r="P34" s="120"/>
      <c r="Q34" s="275"/>
      <c r="X34" s="49"/>
      <c r="Y34" s="15"/>
      <c r="Z34" s="15"/>
    </row>
    <row r="35" spans="1:26" ht="22.5" customHeight="1" x14ac:dyDescent="0.25">
      <c r="A35" s="212"/>
      <c r="G35" s="212">
        <v>3094</v>
      </c>
      <c r="H35" s="212">
        <v>600011100</v>
      </c>
      <c r="J35" s="212">
        <v>11</v>
      </c>
      <c r="K35" s="26"/>
      <c r="L35" s="211">
        <f>L34</f>
        <v>17634.605678385418</v>
      </c>
      <c r="M35" s="212" t="s">
        <v>819</v>
      </c>
      <c r="N35" s="212" t="s">
        <v>464</v>
      </c>
      <c r="O35" s="120"/>
      <c r="P35" s="120"/>
      <c r="Q35" s="275"/>
      <c r="X35" s="49"/>
      <c r="Y35" s="15"/>
      <c r="Z35" s="15"/>
    </row>
    <row r="36" spans="1:26" ht="22.5" customHeight="1" x14ac:dyDescent="0.25">
      <c r="A36" s="212"/>
      <c r="B36" s="212">
        <v>2750</v>
      </c>
      <c r="C36" s="210" t="s">
        <v>205</v>
      </c>
      <c r="D36" s="211">
        <f>U26</f>
        <v>2245587.2100749998</v>
      </c>
      <c r="E36" s="216">
        <f>V26</f>
        <v>989187.5</v>
      </c>
      <c r="F36" s="212"/>
      <c r="G36" s="212">
        <v>3094</v>
      </c>
      <c r="H36" s="212">
        <v>275000100</v>
      </c>
      <c r="I36" s="212"/>
      <c r="J36" s="212">
        <v>11</v>
      </c>
      <c r="K36" s="26"/>
      <c r="L36" s="211">
        <f>(D36-K36)/12</f>
        <v>187132.26750624998</v>
      </c>
      <c r="M36" s="212" t="s">
        <v>818</v>
      </c>
      <c r="N36" s="212" t="s">
        <v>464</v>
      </c>
      <c r="O36" s="120"/>
      <c r="P36" s="120"/>
      <c r="Q36" s="275"/>
      <c r="X36" s="49"/>
      <c r="Y36" s="15"/>
      <c r="Z36" s="15"/>
    </row>
    <row r="37" spans="1:26" ht="22.5" customHeight="1" x14ac:dyDescent="0.25">
      <c r="A37" s="212"/>
      <c r="B37" s="212"/>
      <c r="C37" s="209"/>
      <c r="D37" s="212"/>
      <c r="E37" s="217"/>
      <c r="F37" s="212"/>
      <c r="G37" s="212">
        <v>3094</v>
      </c>
      <c r="H37" s="212">
        <v>600011100</v>
      </c>
      <c r="I37" s="212"/>
      <c r="J37" s="212">
        <v>11</v>
      </c>
      <c r="K37" s="26"/>
      <c r="L37" s="211">
        <f>L36</f>
        <v>187132.26750624998</v>
      </c>
      <c r="M37" s="212" t="s">
        <v>819</v>
      </c>
      <c r="N37" s="212" t="s">
        <v>464</v>
      </c>
      <c r="O37" s="120"/>
      <c r="P37" s="120"/>
      <c r="Q37" s="275"/>
      <c r="X37" s="49"/>
      <c r="Y37" s="15"/>
      <c r="Z37" s="15"/>
    </row>
    <row r="38" spans="1:26" ht="22.5" customHeight="1" x14ac:dyDescent="0.25">
      <c r="A38" s="209"/>
      <c r="B38" s="209">
        <v>2000</v>
      </c>
      <c r="C38" s="213" t="s">
        <v>463</v>
      </c>
      <c r="D38" s="209"/>
      <c r="E38" s="224">
        <f>SUM(E16:E37)</f>
        <v>7855579.5000000009</v>
      </c>
      <c r="F38" s="209"/>
      <c r="G38" s="209">
        <v>3094</v>
      </c>
      <c r="H38" s="209">
        <v>200000001</v>
      </c>
      <c r="I38" s="209"/>
      <c r="J38" s="212">
        <v>11</v>
      </c>
      <c r="K38" s="26"/>
      <c r="L38" s="211">
        <f>(E38-K38)/12</f>
        <v>654631.62500000012</v>
      </c>
      <c r="M38" s="212" t="s">
        <v>818</v>
      </c>
      <c r="N38" s="209" t="s">
        <v>404</v>
      </c>
      <c r="O38" s="120"/>
      <c r="P38" s="120"/>
      <c r="Q38" s="275"/>
      <c r="X38" s="49"/>
      <c r="Y38" s="15"/>
      <c r="Z38" s="15"/>
    </row>
    <row r="39" spans="1:26" ht="22.5" customHeight="1" x14ac:dyDescent="0.25">
      <c r="G39" s="257">
        <v>3094</v>
      </c>
      <c r="H39" s="212">
        <v>600011100</v>
      </c>
      <c r="J39" s="212">
        <v>11</v>
      </c>
      <c r="K39" s="26"/>
      <c r="L39" s="211">
        <f>L38</f>
        <v>654631.62500000012</v>
      </c>
      <c r="M39" s="212" t="s">
        <v>819</v>
      </c>
      <c r="N39" s="209" t="s">
        <v>404</v>
      </c>
      <c r="O39" s="120"/>
      <c r="P39" s="120"/>
      <c r="Q39" s="120"/>
      <c r="X39" s="49"/>
      <c r="Y39" s="15"/>
      <c r="Z39" s="15"/>
    </row>
    <row r="40" spans="1:26" ht="22.5" customHeight="1" x14ac:dyDescent="0.25">
      <c r="A40" s="467"/>
      <c r="B40" s="467"/>
      <c r="C40" s="471"/>
      <c r="D40" s="467"/>
      <c r="E40" s="472"/>
      <c r="F40" s="467"/>
      <c r="G40" s="467"/>
      <c r="H40" s="467"/>
      <c r="I40" s="467"/>
      <c r="J40" s="467"/>
      <c r="K40" s="468"/>
      <c r="L40" s="473"/>
      <c r="M40" s="467"/>
      <c r="N40" s="467"/>
      <c r="O40" s="120"/>
      <c r="P40" s="120"/>
      <c r="Q40" s="120"/>
      <c r="X40" s="49"/>
      <c r="Y40" s="15"/>
      <c r="Z40" s="15"/>
    </row>
    <row r="41" spans="1:26" ht="22.5" customHeight="1" x14ac:dyDescent="0.25">
      <c r="A41" s="209"/>
      <c r="K41" s="26"/>
      <c r="O41" s="120"/>
      <c r="P41" s="120"/>
      <c r="Q41" s="120"/>
      <c r="T41">
        <v>2019</v>
      </c>
      <c r="U41" t="s">
        <v>375</v>
      </c>
      <c r="V41" t="s">
        <v>149</v>
      </c>
      <c r="X41" s="49"/>
      <c r="Y41" s="15"/>
      <c r="Z41" s="15"/>
    </row>
    <row r="42" spans="1:26" ht="22.5" customHeight="1" x14ac:dyDescent="0.25">
      <c r="A42" s="209" t="s">
        <v>413</v>
      </c>
      <c r="B42" s="212">
        <v>3306</v>
      </c>
      <c r="C42" s="210" t="s">
        <v>242</v>
      </c>
      <c r="D42" s="225">
        <f>U42</f>
        <v>516017.63775000005</v>
      </c>
      <c r="E42" s="225">
        <f>V42</f>
        <v>267375</v>
      </c>
      <c r="F42" s="209"/>
      <c r="G42" s="257">
        <v>3094</v>
      </c>
      <c r="H42" s="257">
        <v>330600100</v>
      </c>
      <c r="I42" s="257"/>
      <c r="J42" s="257">
        <v>11</v>
      </c>
      <c r="K42" s="26"/>
      <c r="L42" s="211">
        <f>(D42+E42-K42)/12</f>
        <v>65282.7198125</v>
      </c>
      <c r="M42" s="212" t="s">
        <v>818</v>
      </c>
      <c r="N42" s="209" t="s">
        <v>427</v>
      </c>
      <c r="O42" s="120"/>
      <c r="P42" s="120"/>
      <c r="Q42" s="120"/>
      <c r="S42" s="64">
        <v>3306</v>
      </c>
      <c r="T42" s="81" t="s">
        <v>242</v>
      </c>
      <c r="U42" s="15">
        <v>516017.63775000005</v>
      </c>
      <c r="V42" s="15">
        <v>267375</v>
      </c>
      <c r="X42" s="15"/>
      <c r="Y42" s="15"/>
      <c r="Z42" s="15"/>
    </row>
    <row r="43" spans="1:26" ht="22.5" customHeight="1" x14ac:dyDescent="0.25">
      <c r="B43" s="212"/>
      <c r="C43" s="210"/>
      <c r="G43" s="257">
        <v>3094</v>
      </c>
      <c r="H43" s="212">
        <v>600011100</v>
      </c>
      <c r="J43" s="257">
        <v>11</v>
      </c>
      <c r="K43" s="26"/>
      <c r="L43" s="225">
        <f>L42</f>
        <v>65282.7198125</v>
      </c>
      <c r="M43" s="212" t="s">
        <v>819</v>
      </c>
      <c r="N43" s="209" t="s">
        <v>427</v>
      </c>
      <c r="O43" s="120"/>
      <c r="P43" s="120"/>
      <c r="Q43" s="120"/>
      <c r="S43">
        <v>3850</v>
      </c>
      <c r="T43" s="81" t="s">
        <v>822</v>
      </c>
      <c r="U43" s="15">
        <v>149732.70475</v>
      </c>
      <c r="V43" s="15">
        <v>77625</v>
      </c>
      <c r="X43" s="15"/>
      <c r="Y43" s="15"/>
      <c r="Z43" s="15"/>
    </row>
    <row r="44" spans="1:26" ht="22.5" customHeight="1" x14ac:dyDescent="0.25">
      <c r="B44" s="212">
        <v>3850</v>
      </c>
      <c r="C44" s="81" t="s">
        <v>822</v>
      </c>
      <c r="D44" s="225">
        <f>U43</f>
        <v>149732.70475</v>
      </c>
      <c r="E44" s="225">
        <f>V43</f>
        <v>77625</v>
      </c>
      <c r="G44" s="257">
        <v>3094</v>
      </c>
      <c r="H44" s="474">
        <v>385000002</v>
      </c>
      <c r="J44" s="257">
        <v>11</v>
      </c>
      <c r="K44" s="26"/>
      <c r="L44" s="211">
        <f>(D44+E44-K44)/12</f>
        <v>18946.475395833335</v>
      </c>
      <c r="M44" s="212" t="s">
        <v>818</v>
      </c>
      <c r="N44" s="209" t="s">
        <v>427</v>
      </c>
      <c r="O44" s="120" t="s">
        <v>2199</v>
      </c>
      <c r="P44" s="120"/>
      <c r="Q44" s="120"/>
      <c r="T44" s="81"/>
      <c r="X44" s="49"/>
      <c r="Y44" s="15"/>
      <c r="Z44" s="15"/>
    </row>
    <row r="45" spans="1:26" ht="22.5" customHeight="1" x14ac:dyDescent="0.25">
      <c r="G45" s="257">
        <v>3094</v>
      </c>
      <c r="H45" s="212">
        <v>600011100</v>
      </c>
      <c r="J45" s="257">
        <v>11</v>
      </c>
      <c r="K45" s="26"/>
      <c r="L45" s="225">
        <f>L44</f>
        <v>18946.475395833335</v>
      </c>
      <c r="M45" s="212" t="s">
        <v>819</v>
      </c>
      <c r="N45" s="209" t="s">
        <v>427</v>
      </c>
      <c r="O45" s="120"/>
      <c r="P45" s="120"/>
      <c r="Q45" s="120"/>
      <c r="X45" s="49"/>
      <c r="Y45" s="15"/>
      <c r="Z45" s="15"/>
    </row>
    <row r="46" spans="1:26" ht="22.5" customHeight="1" x14ac:dyDescent="0.25">
      <c r="A46" s="467"/>
      <c r="B46" s="467"/>
      <c r="C46" s="475"/>
      <c r="D46" s="473"/>
      <c r="E46" s="473"/>
      <c r="F46" s="467"/>
      <c r="G46" s="476"/>
      <c r="H46" s="476"/>
      <c r="I46" s="476"/>
      <c r="J46" s="476"/>
      <c r="K46" s="468"/>
      <c r="L46" s="473"/>
      <c r="M46" s="467"/>
      <c r="N46" s="467"/>
      <c r="O46" s="120"/>
      <c r="P46" s="120"/>
      <c r="Q46" s="120"/>
      <c r="X46" s="49"/>
      <c r="Y46" s="15"/>
      <c r="Z46" s="15"/>
    </row>
    <row r="47" spans="1:26" ht="22.5" customHeight="1" x14ac:dyDescent="0.25">
      <c r="K47" s="26"/>
      <c r="O47" s="120"/>
      <c r="P47" s="120"/>
      <c r="Q47" s="120"/>
      <c r="S47" s="120"/>
      <c r="T47">
        <v>2019</v>
      </c>
      <c r="U47" t="s">
        <v>375</v>
      </c>
      <c r="V47" t="s">
        <v>149</v>
      </c>
      <c r="X47" s="49"/>
      <c r="Y47" s="15"/>
      <c r="Z47" s="15"/>
    </row>
    <row r="48" spans="1:26" ht="22.5" customHeight="1" x14ac:dyDescent="0.25">
      <c r="A48" s="212" t="s">
        <v>465</v>
      </c>
      <c r="B48" s="212">
        <v>5100</v>
      </c>
      <c r="C48" s="210" t="s">
        <v>164</v>
      </c>
      <c r="D48" s="299">
        <f>U48</f>
        <v>753431.78235937527</v>
      </c>
      <c r="E48" s="299">
        <f>V48</f>
        <v>330125</v>
      </c>
      <c r="G48" s="257">
        <v>3094</v>
      </c>
      <c r="H48" s="218">
        <v>510010100</v>
      </c>
      <c r="J48" s="257">
        <v>11</v>
      </c>
      <c r="L48" s="211">
        <f>(D48+E48-K48)/12</f>
        <v>90296.398529947925</v>
      </c>
      <c r="M48" s="257" t="s">
        <v>818</v>
      </c>
      <c r="N48" s="209" t="s">
        <v>427</v>
      </c>
      <c r="P48" s="120"/>
      <c r="Q48" s="120"/>
      <c r="S48">
        <v>5100</v>
      </c>
      <c r="T48" s="81" t="s">
        <v>164</v>
      </c>
      <c r="U48" s="15">
        <v>753431.78235937527</v>
      </c>
      <c r="V48" s="15">
        <v>330125</v>
      </c>
      <c r="X48" s="120"/>
      <c r="Y48" s="15"/>
      <c r="Z48" s="15"/>
    </row>
    <row r="49" spans="1:26" ht="22.5" customHeight="1" x14ac:dyDescent="0.25">
      <c r="G49" s="257">
        <v>3094</v>
      </c>
      <c r="H49" s="218">
        <v>600011100</v>
      </c>
      <c r="J49" s="257">
        <v>11</v>
      </c>
      <c r="L49" s="225">
        <f>L48</f>
        <v>90296.398529947925</v>
      </c>
      <c r="M49" s="257" t="s">
        <v>819</v>
      </c>
      <c r="N49" s="209" t="s">
        <v>427</v>
      </c>
      <c r="P49" s="120"/>
      <c r="Q49" s="120"/>
      <c r="S49">
        <v>5160</v>
      </c>
      <c r="T49" s="81" t="s">
        <v>305</v>
      </c>
      <c r="U49" s="15">
        <v>122645.24999999999</v>
      </c>
      <c r="V49" s="15">
        <v>54500</v>
      </c>
      <c r="X49" s="120"/>
      <c r="Y49" s="15"/>
      <c r="Z49" s="15"/>
    </row>
    <row r="50" spans="1:26" ht="22.5" customHeight="1" x14ac:dyDescent="0.25">
      <c r="B50" s="212">
        <v>5160</v>
      </c>
      <c r="C50" s="210" t="s">
        <v>305</v>
      </c>
      <c r="D50" s="299">
        <f>U49</f>
        <v>122645.24999999999</v>
      </c>
      <c r="E50" s="299">
        <f>V49</f>
        <v>54500</v>
      </c>
      <c r="G50" s="218">
        <v>3094</v>
      </c>
      <c r="H50" s="218">
        <v>516001100</v>
      </c>
      <c r="J50" s="257">
        <v>11</v>
      </c>
      <c r="L50" s="211">
        <f>(D50+E50-K50)/12</f>
        <v>14762.104166666666</v>
      </c>
      <c r="M50" s="257" t="s">
        <v>818</v>
      </c>
      <c r="N50" s="209" t="s">
        <v>427</v>
      </c>
      <c r="O50" s="18"/>
      <c r="P50" s="120"/>
      <c r="Q50" s="120"/>
      <c r="S50">
        <v>5400</v>
      </c>
      <c r="T50" s="81" t="s">
        <v>308</v>
      </c>
      <c r="U50" s="15">
        <v>236705.33250000002</v>
      </c>
      <c r="V50" s="15">
        <v>105185</v>
      </c>
      <c r="X50" s="120"/>
      <c r="Y50" s="15"/>
      <c r="Z50" s="15"/>
    </row>
    <row r="51" spans="1:26" ht="22.5" customHeight="1" x14ac:dyDescent="0.25">
      <c r="G51" s="218">
        <v>3094</v>
      </c>
      <c r="H51" s="218">
        <v>600011100</v>
      </c>
      <c r="I51" s="31"/>
      <c r="J51" s="257">
        <v>11</v>
      </c>
      <c r="L51" s="225">
        <f>L50</f>
        <v>14762.104166666666</v>
      </c>
      <c r="M51" s="257" t="s">
        <v>819</v>
      </c>
      <c r="N51" s="209" t="s">
        <v>427</v>
      </c>
      <c r="O51" s="18"/>
      <c r="P51" s="120"/>
      <c r="Q51" s="120"/>
      <c r="S51">
        <v>5410</v>
      </c>
      <c r="T51" s="81" t="s">
        <v>1105</v>
      </c>
      <c r="U51" s="15">
        <v>9811.6200000000008</v>
      </c>
      <c r="V51" s="15">
        <v>4360</v>
      </c>
      <c r="X51" s="120"/>
      <c r="Y51" s="15"/>
      <c r="Z51" s="15"/>
    </row>
    <row r="52" spans="1:26" ht="22.5" customHeight="1" x14ac:dyDescent="0.25">
      <c r="B52" s="218">
        <v>5400</v>
      </c>
      <c r="C52" s="213" t="s">
        <v>923</v>
      </c>
      <c r="D52" s="299">
        <f>U50</f>
        <v>236705.33250000002</v>
      </c>
      <c r="E52" s="299">
        <f>V50</f>
        <v>105185</v>
      </c>
      <c r="F52" s="31"/>
      <c r="G52" s="218">
        <v>3094</v>
      </c>
      <c r="H52" s="218">
        <v>540000100</v>
      </c>
      <c r="I52" s="31"/>
      <c r="J52" s="257">
        <v>11</v>
      </c>
      <c r="K52" s="300"/>
      <c r="L52" s="211">
        <f>(D52+E52-K52)/12</f>
        <v>28490.861041666667</v>
      </c>
      <c r="M52" s="218" t="s">
        <v>818</v>
      </c>
      <c r="N52" s="257" t="s">
        <v>427</v>
      </c>
      <c r="O52" s="18"/>
      <c r="P52" s="120"/>
      <c r="Q52" s="120"/>
      <c r="S52" s="18">
        <v>5500</v>
      </c>
      <c r="T52" s="81" t="s">
        <v>165</v>
      </c>
      <c r="U52" s="15">
        <v>171703.34999999995</v>
      </c>
      <c r="V52" s="15">
        <v>76300</v>
      </c>
      <c r="X52" s="120"/>
      <c r="Y52" s="15"/>
      <c r="Z52" s="15"/>
    </row>
    <row r="53" spans="1:26" ht="22.5" customHeight="1" x14ac:dyDescent="0.25">
      <c r="B53" s="218"/>
      <c r="C53" s="213"/>
      <c r="D53" s="218"/>
      <c r="E53" s="218"/>
      <c r="F53" s="31"/>
      <c r="G53" s="218">
        <v>3094</v>
      </c>
      <c r="H53" s="218">
        <v>600011100</v>
      </c>
      <c r="I53" s="31"/>
      <c r="J53" s="257">
        <v>11</v>
      </c>
      <c r="K53" s="300"/>
      <c r="L53" s="299">
        <f>L52</f>
        <v>28490.861041666667</v>
      </c>
      <c r="M53" s="218" t="s">
        <v>819</v>
      </c>
      <c r="N53" s="257" t="s">
        <v>427</v>
      </c>
      <c r="O53" s="120"/>
      <c r="P53" s="120"/>
      <c r="Q53" s="120"/>
      <c r="S53" s="159">
        <v>5700</v>
      </c>
      <c r="T53" s="81" t="s">
        <v>313</v>
      </c>
      <c r="U53">
        <v>59147.25</v>
      </c>
      <c r="V53">
        <v>27250</v>
      </c>
      <c r="X53" s="120"/>
      <c r="Y53" s="15"/>
      <c r="Z53" s="15"/>
    </row>
    <row r="54" spans="1:26" ht="22.5" customHeight="1" x14ac:dyDescent="0.25">
      <c r="B54" s="218">
        <v>5410</v>
      </c>
      <c r="C54" s="213" t="s">
        <v>1105</v>
      </c>
      <c r="D54" s="299">
        <f>U51</f>
        <v>9811.6200000000008</v>
      </c>
      <c r="E54" s="299">
        <f>V51</f>
        <v>4360</v>
      </c>
      <c r="F54" s="31"/>
      <c r="G54" s="218">
        <v>3094</v>
      </c>
      <c r="H54" s="218">
        <v>541000100</v>
      </c>
      <c r="I54" s="31"/>
      <c r="J54" s="257">
        <v>11</v>
      </c>
      <c r="K54" s="300"/>
      <c r="L54" s="211">
        <f>(D54+E54-K54)/12</f>
        <v>1180.9683333333335</v>
      </c>
      <c r="M54" s="218" t="s">
        <v>818</v>
      </c>
      <c r="N54" s="257" t="s">
        <v>427</v>
      </c>
      <c r="O54" s="120"/>
      <c r="P54" s="120"/>
      <c r="Q54" s="120"/>
      <c r="S54" s="18">
        <v>5730</v>
      </c>
      <c r="T54" s="81" t="s">
        <v>166</v>
      </c>
      <c r="U54" s="15">
        <v>2125550.8831249992</v>
      </c>
      <c r="V54" s="15">
        <v>876851.66666666663</v>
      </c>
      <c r="X54" s="120"/>
      <c r="Y54" s="15"/>
      <c r="Z54" s="15"/>
    </row>
    <row r="55" spans="1:26" ht="22.5" customHeight="1" x14ac:dyDescent="0.25">
      <c r="B55" s="218"/>
      <c r="C55" s="213"/>
      <c r="D55" s="218"/>
      <c r="E55" s="218"/>
      <c r="F55" s="31"/>
      <c r="G55" s="218">
        <v>3094</v>
      </c>
      <c r="H55" s="218">
        <v>600011100</v>
      </c>
      <c r="I55" s="31"/>
      <c r="J55" s="257">
        <v>11</v>
      </c>
      <c r="K55" s="300"/>
      <c r="L55" s="299">
        <f>L54</f>
        <v>1180.9683333333335</v>
      </c>
      <c r="M55" s="218" t="s">
        <v>819</v>
      </c>
      <c r="N55" s="257" t="s">
        <v>427</v>
      </c>
      <c r="O55" s="120"/>
      <c r="P55" s="120"/>
      <c r="Q55" s="120"/>
      <c r="S55" s="18">
        <v>5740</v>
      </c>
      <c r="T55" s="81" t="s">
        <v>461</v>
      </c>
      <c r="U55" s="15">
        <v>12539896.395488337</v>
      </c>
      <c r="V55" s="15">
        <v>3828075.9166666674</v>
      </c>
      <c r="X55" s="49"/>
      <c r="Y55" s="15"/>
      <c r="Z55" s="15"/>
    </row>
    <row r="56" spans="1:26" ht="22.5" customHeight="1" x14ac:dyDescent="0.25">
      <c r="B56" s="218">
        <v>5500</v>
      </c>
      <c r="C56" s="213" t="s">
        <v>165</v>
      </c>
      <c r="D56" s="299">
        <f>U52</f>
        <v>171703.34999999995</v>
      </c>
      <c r="E56" s="299">
        <f>V52</f>
        <v>76300</v>
      </c>
      <c r="F56" s="218"/>
      <c r="G56" s="218">
        <v>3094</v>
      </c>
      <c r="H56" s="218">
        <v>550001100</v>
      </c>
      <c r="I56" s="218"/>
      <c r="J56" s="218">
        <v>11</v>
      </c>
      <c r="K56" s="300"/>
      <c r="L56" s="211">
        <f>(D56+E56-K56)/12</f>
        <v>20666.945833333328</v>
      </c>
      <c r="M56" s="218" t="s">
        <v>818</v>
      </c>
      <c r="N56" s="218" t="s">
        <v>427</v>
      </c>
      <c r="O56" s="120"/>
      <c r="P56" s="120"/>
      <c r="Q56" s="120"/>
      <c r="X56" s="49"/>
      <c r="Y56" s="15"/>
      <c r="Z56" s="15"/>
    </row>
    <row r="57" spans="1:26" ht="22.5" customHeight="1" x14ac:dyDescent="0.25">
      <c r="A57" s="212"/>
      <c r="B57" s="218"/>
      <c r="C57" s="213"/>
      <c r="D57" s="218"/>
      <c r="E57" s="218"/>
      <c r="F57" s="218"/>
      <c r="G57" s="218">
        <v>3094</v>
      </c>
      <c r="H57" s="218">
        <v>600011100</v>
      </c>
      <c r="I57" s="218"/>
      <c r="J57" s="218">
        <v>11</v>
      </c>
      <c r="K57" s="300"/>
      <c r="L57" s="299">
        <f>L56</f>
        <v>20666.945833333328</v>
      </c>
      <c r="M57" s="218" t="s">
        <v>819</v>
      </c>
      <c r="N57" s="218" t="s">
        <v>427</v>
      </c>
      <c r="O57" s="166"/>
      <c r="P57" s="166"/>
      <c r="Q57" s="166"/>
      <c r="X57" s="49"/>
      <c r="Y57" s="15"/>
      <c r="Z57" s="15"/>
    </row>
    <row r="58" spans="1:26" ht="22.5" customHeight="1" x14ac:dyDescent="0.25">
      <c r="B58" s="218">
        <v>5700</v>
      </c>
      <c r="C58" s="213" t="s">
        <v>313</v>
      </c>
      <c r="D58" s="299">
        <f>U53</f>
        <v>59147.25</v>
      </c>
      <c r="E58" s="299">
        <f>V53</f>
        <v>27250</v>
      </c>
      <c r="G58" s="218">
        <v>3094</v>
      </c>
      <c r="H58" s="218">
        <v>570001100</v>
      </c>
      <c r="J58" s="218">
        <v>11</v>
      </c>
      <c r="L58" s="211">
        <f>(D58+E58-K58)/12</f>
        <v>7199.770833333333</v>
      </c>
      <c r="M58" s="218" t="s">
        <v>818</v>
      </c>
      <c r="N58" s="218" t="s">
        <v>427</v>
      </c>
      <c r="O58" s="120"/>
      <c r="P58" s="120"/>
      <c r="Q58" s="120"/>
      <c r="X58" s="49"/>
      <c r="Y58" s="15"/>
      <c r="Z58" s="15"/>
    </row>
    <row r="59" spans="1:26" ht="22.5" customHeight="1" x14ac:dyDescent="0.25">
      <c r="G59" s="218">
        <v>3094</v>
      </c>
      <c r="H59" s="218">
        <v>600011100</v>
      </c>
      <c r="I59" s="218"/>
      <c r="J59" s="218">
        <v>11</v>
      </c>
      <c r="L59" s="299">
        <f>L58</f>
        <v>7199.770833333333</v>
      </c>
      <c r="M59" s="218" t="s">
        <v>819</v>
      </c>
      <c r="N59" s="218" t="s">
        <v>427</v>
      </c>
      <c r="O59" s="166"/>
      <c r="P59" s="166"/>
      <c r="Q59" s="166"/>
      <c r="X59" s="49"/>
      <c r="Y59" s="15"/>
      <c r="Z59" s="15"/>
    </row>
    <row r="60" spans="1:26" ht="22.5" customHeight="1" x14ac:dyDescent="0.25">
      <c r="A60" s="212"/>
      <c r="B60" s="212">
        <v>5730</v>
      </c>
      <c r="C60" s="210" t="s">
        <v>166</v>
      </c>
      <c r="D60" s="225">
        <f>U54</f>
        <v>2125550.8831249992</v>
      </c>
      <c r="E60" s="225">
        <f>V54</f>
        <v>876851.66666666663</v>
      </c>
      <c r="F60" s="212"/>
      <c r="G60" s="212">
        <v>3094</v>
      </c>
      <c r="H60" s="212">
        <v>573000111</v>
      </c>
      <c r="I60" s="212"/>
      <c r="J60" s="212">
        <v>11</v>
      </c>
      <c r="K60" s="26"/>
      <c r="L60" s="211">
        <f>(D60+E60-K60)/12</f>
        <v>250200.2124826388</v>
      </c>
      <c r="M60" s="212" t="s">
        <v>818</v>
      </c>
      <c r="N60" s="212" t="s">
        <v>427</v>
      </c>
      <c r="O60" s="120"/>
      <c r="P60" s="120"/>
      <c r="Q60" s="120"/>
      <c r="X60" s="49"/>
      <c r="Y60" s="15"/>
      <c r="Z60" s="15"/>
    </row>
    <row r="61" spans="1:26" ht="22.5" customHeight="1" x14ac:dyDescent="0.25">
      <c r="A61" s="212"/>
      <c r="B61" s="212"/>
      <c r="C61" s="210"/>
      <c r="F61" s="212"/>
      <c r="G61" s="212">
        <v>3094</v>
      </c>
      <c r="H61" s="212">
        <v>600011100</v>
      </c>
      <c r="I61" s="212"/>
      <c r="J61" s="212">
        <v>11</v>
      </c>
      <c r="K61" s="26"/>
      <c r="L61" s="225">
        <f>L60</f>
        <v>250200.2124826388</v>
      </c>
      <c r="M61" s="212" t="s">
        <v>819</v>
      </c>
      <c r="N61" s="212" t="s">
        <v>427</v>
      </c>
      <c r="O61" s="120"/>
      <c r="P61" s="120"/>
      <c r="Q61" s="120"/>
      <c r="X61" s="49"/>
      <c r="Z61" s="15"/>
    </row>
    <row r="62" spans="1:26" ht="22.5" customHeight="1" x14ac:dyDescent="0.25">
      <c r="B62" s="212">
        <v>5740</v>
      </c>
      <c r="C62" s="210" t="s">
        <v>461</v>
      </c>
      <c r="D62" s="225">
        <f>U55</f>
        <v>12539896.395488337</v>
      </c>
      <c r="E62" s="225">
        <f>V55</f>
        <v>3828075.9166666674</v>
      </c>
      <c r="F62" s="212"/>
      <c r="G62" s="212">
        <v>3094</v>
      </c>
      <c r="H62" s="218">
        <v>574002011</v>
      </c>
      <c r="I62" s="212"/>
      <c r="J62" s="212">
        <v>11</v>
      </c>
      <c r="K62" s="26"/>
      <c r="L62" s="211">
        <f>(D62+E62-K62)/12</f>
        <v>1363997.6926795838</v>
      </c>
      <c r="M62" s="212" t="s">
        <v>818</v>
      </c>
      <c r="N62" s="212" t="s">
        <v>427</v>
      </c>
      <c r="O62" s="166"/>
      <c r="P62" s="166"/>
      <c r="Q62" s="166"/>
      <c r="X62" s="49"/>
      <c r="Z62" s="15"/>
    </row>
    <row r="63" spans="1:26" ht="22.5" customHeight="1" x14ac:dyDescent="0.25">
      <c r="B63" s="212"/>
      <c r="C63" s="209"/>
      <c r="D63" s="212"/>
      <c r="E63" s="212"/>
      <c r="F63" s="212"/>
      <c r="G63" s="212">
        <v>3094</v>
      </c>
      <c r="H63" s="212">
        <v>600011100</v>
      </c>
      <c r="I63" s="212"/>
      <c r="J63" s="212">
        <v>11</v>
      </c>
      <c r="K63" s="26"/>
      <c r="L63" s="225">
        <f>L62</f>
        <v>1363997.6926795838</v>
      </c>
      <c r="M63" s="212" t="s">
        <v>819</v>
      </c>
      <c r="N63" s="212" t="s">
        <v>427</v>
      </c>
      <c r="O63" s="120"/>
      <c r="P63" s="120"/>
      <c r="Q63" s="120"/>
      <c r="X63" s="49"/>
      <c r="Z63" s="15"/>
    </row>
    <row r="64" spans="1:26" ht="25.5" customHeight="1" x14ac:dyDescent="0.25">
      <c r="A64" s="467"/>
      <c r="B64" s="467"/>
      <c r="C64" s="467"/>
      <c r="D64" s="467"/>
      <c r="E64" s="467"/>
      <c r="F64" s="467"/>
      <c r="G64" s="467"/>
      <c r="H64" s="467"/>
      <c r="I64" s="467"/>
      <c r="J64" s="467"/>
      <c r="K64" s="477"/>
      <c r="L64" s="469"/>
      <c r="M64" s="467"/>
      <c r="N64" s="467"/>
      <c r="O64" s="18"/>
      <c r="P64" s="18"/>
      <c r="Q64" s="18"/>
      <c r="X64" s="49"/>
      <c r="Z64" s="15"/>
    </row>
    <row r="65" spans="3:26" ht="15" customHeight="1" x14ac:dyDescent="0.25">
      <c r="O65" s="18"/>
      <c r="P65" s="18"/>
      <c r="Q65" s="18"/>
      <c r="X65" s="49"/>
      <c r="Z65" s="15"/>
    </row>
    <row r="66" spans="3:26" ht="15" customHeight="1" x14ac:dyDescent="0.25">
      <c r="D66" s="26">
        <f>SUM(D6:D63)</f>
        <v>90441023.415583327</v>
      </c>
      <c r="E66" s="26">
        <f>SUM(E6:E36,E42:E62)</f>
        <v>23039529.416666664</v>
      </c>
      <c r="L66" s="26"/>
      <c r="X66" s="49"/>
      <c r="Z66" s="15"/>
    </row>
    <row r="67" spans="3:26" x14ac:dyDescent="0.25">
      <c r="I67" s="478" t="s">
        <v>469</v>
      </c>
      <c r="J67" s="479"/>
      <c r="K67" s="479"/>
      <c r="L67" s="479"/>
      <c r="M67" s="479"/>
      <c r="N67" s="480"/>
      <c r="Z67" s="15"/>
    </row>
    <row r="68" spans="3:26" x14ac:dyDescent="0.25">
      <c r="I68" s="481"/>
      <c r="J68" s="477"/>
      <c r="K68" s="477"/>
      <c r="L68" s="477"/>
      <c r="M68" s="477"/>
      <c r="N68" s="482"/>
    </row>
    <row r="69" spans="3:26" x14ac:dyDescent="0.25">
      <c r="I69" s="483" t="s">
        <v>565</v>
      </c>
      <c r="J69" s="484"/>
      <c r="K69" s="484"/>
      <c r="L69" s="484"/>
      <c r="M69" s="484"/>
      <c r="N69" s="466"/>
    </row>
    <row r="70" spans="3:26" x14ac:dyDescent="0.25">
      <c r="C70" s="81"/>
      <c r="D70" s="120"/>
      <c r="E70" s="120"/>
    </row>
    <row r="71" spans="3:26" x14ac:dyDescent="0.25">
      <c r="I71" s="485" t="s">
        <v>422</v>
      </c>
      <c r="J71" s="479"/>
      <c r="K71" s="479"/>
      <c r="L71" s="479"/>
      <c r="M71" s="479"/>
      <c r="N71" s="480"/>
    </row>
    <row r="72" spans="3:26" x14ac:dyDescent="0.25">
      <c r="I72" s="481"/>
      <c r="J72" s="477"/>
      <c r="K72" s="477"/>
      <c r="L72" s="477"/>
      <c r="M72" s="477"/>
      <c r="N72" s="482"/>
    </row>
    <row r="73" spans="3:26" x14ac:dyDescent="0.25">
      <c r="I73" s="483" t="s">
        <v>1743</v>
      </c>
      <c r="J73" s="484"/>
      <c r="K73" s="484"/>
      <c r="L73" s="484"/>
      <c r="M73" s="484"/>
      <c r="N73" s="466"/>
    </row>
  </sheetData>
  <mergeCells count="1">
    <mergeCell ref="O3:T3"/>
  </mergeCells>
  <printOptions gridLines="1"/>
  <pageMargins left="0.43307086614173229" right="0.39370078740157483" top="0.86614173228346458" bottom="0.78740157480314965" header="0.31496062992125984" footer="0.31496062992125984"/>
  <pageSetup paperSize="9" scale="58" fitToHeight="2" orientation="landscape" cellComments="asDisplayed" r:id="rId1"/>
  <headerFooter>
    <oddHeader xml:space="preserve">&amp;LUMEÅ UNIVERSITET
Lärarhögskolan
A Simm&amp;CGU-RESURSER
2019&amp;RBOKFÖRINGSORDER
</oddHeader>
    <oddFooter>&amp;L&amp;F&amp;C&amp;A&amp;R&amp;P (&amp;N)</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Z73"/>
  <sheetViews>
    <sheetView topLeftCell="A21" workbookViewId="0">
      <selection activeCell="Q45" sqref="Q45"/>
    </sheetView>
  </sheetViews>
  <sheetFormatPr defaultRowHeight="15" x14ac:dyDescent="0.25"/>
  <cols>
    <col min="1" max="2" width="11.5703125" customWidth="1"/>
    <col min="3" max="3" width="34.5703125" customWidth="1"/>
    <col min="4" max="4" width="17" customWidth="1"/>
    <col min="5" max="5" width="16.85546875" customWidth="1"/>
    <col min="6" max="6" width="4.42578125" customWidth="1"/>
    <col min="8" max="8" width="13.42578125" customWidth="1"/>
    <col min="9" max="9" width="3.42578125" customWidth="1"/>
    <col min="10" max="10" width="6.5703125" customWidth="1"/>
    <col min="11" max="11" width="13.85546875" customWidth="1"/>
    <col min="12" max="12" width="16.140625" customWidth="1"/>
    <col min="13" max="13" width="5" customWidth="1"/>
    <col min="14" max="14" width="32.42578125" customWidth="1"/>
    <col min="15" max="15" width="12.5703125" customWidth="1"/>
    <col min="16" max="17" width="13.85546875" customWidth="1"/>
    <col min="18" max="18" width="44.5703125" customWidth="1"/>
    <col min="19" max="19" width="8" customWidth="1"/>
    <col min="20" max="20" width="30.85546875" customWidth="1"/>
    <col min="21" max="21" width="13.85546875" customWidth="1"/>
    <col min="22" max="22" width="12.42578125" customWidth="1"/>
    <col min="24" max="24" width="10.28515625" customWidth="1"/>
    <col min="25" max="25" width="14.140625" customWidth="1"/>
    <col min="26" max="26" width="15.140625" customWidth="1"/>
  </cols>
  <sheetData>
    <row r="1" spans="1:26" ht="28.5" customHeight="1" x14ac:dyDescent="0.25">
      <c r="C1" s="39" t="s">
        <v>321</v>
      </c>
      <c r="L1" s="198" t="s">
        <v>420</v>
      </c>
      <c r="M1" s="198"/>
      <c r="N1" s="199"/>
      <c r="O1" s="18"/>
      <c r="P1" s="18"/>
      <c r="Q1" s="18"/>
    </row>
    <row r="2" spans="1:26" ht="27.75" customHeight="1" x14ac:dyDescent="0.3">
      <c r="C2" s="160" t="s">
        <v>2133</v>
      </c>
      <c r="D2" s="205"/>
      <c r="L2" s="198" t="s">
        <v>421</v>
      </c>
      <c r="M2" s="198"/>
      <c r="N2" s="199"/>
      <c r="O2" s="18"/>
      <c r="P2" s="18"/>
      <c r="Q2" s="18"/>
    </row>
    <row r="3" spans="1:26" ht="27.75" customHeight="1" x14ac:dyDescent="0.25">
      <c r="A3" s="18"/>
      <c r="B3" s="18"/>
      <c r="O3" s="533"/>
      <c r="P3" s="534"/>
      <c r="Q3" s="534"/>
      <c r="R3" s="534"/>
      <c r="S3" s="534"/>
      <c r="T3" s="534"/>
    </row>
    <row r="4" spans="1:26" ht="51.75" customHeight="1" x14ac:dyDescent="0.25">
      <c r="A4" s="27" t="s">
        <v>71</v>
      </c>
      <c r="B4" s="27" t="s">
        <v>817</v>
      </c>
      <c r="C4" s="27" t="s">
        <v>35</v>
      </c>
      <c r="D4" s="162" t="s">
        <v>2173</v>
      </c>
      <c r="E4" s="162" t="s">
        <v>2174</v>
      </c>
      <c r="G4" s="161" t="s">
        <v>423</v>
      </c>
      <c r="H4" s="161" t="s">
        <v>424</v>
      </c>
      <c r="I4" s="161"/>
      <c r="J4" s="161" t="s">
        <v>425</v>
      </c>
      <c r="K4" s="416" t="s">
        <v>1104</v>
      </c>
      <c r="L4" s="416" t="s">
        <v>2134</v>
      </c>
      <c r="M4" s="161" t="s">
        <v>428</v>
      </c>
      <c r="N4" s="161" t="s">
        <v>426</v>
      </c>
      <c r="O4" s="268"/>
      <c r="P4" s="276"/>
      <c r="Q4" s="276"/>
      <c r="T4" s="64" t="s">
        <v>462</v>
      </c>
    </row>
    <row r="5" spans="1:26" ht="22.5" customHeight="1" x14ac:dyDescent="0.25">
      <c r="O5" s="18"/>
      <c r="P5" s="18"/>
      <c r="Q5" s="18"/>
      <c r="T5">
        <v>2019</v>
      </c>
      <c r="U5" t="s">
        <v>375</v>
      </c>
      <c r="V5" t="s">
        <v>149</v>
      </c>
      <c r="X5" s="49"/>
    </row>
    <row r="6" spans="1:26" ht="22.5" customHeight="1" x14ac:dyDescent="0.25">
      <c r="A6" s="209" t="s">
        <v>410</v>
      </c>
      <c r="B6" s="209">
        <v>1620</v>
      </c>
      <c r="C6" s="210" t="s">
        <v>176</v>
      </c>
      <c r="D6" s="211">
        <f>U6</f>
        <v>10500482.090158761</v>
      </c>
      <c r="E6" s="211">
        <f>V6</f>
        <v>1806084.9166666667</v>
      </c>
      <c r="F6" s="212"/>
      <c r="G6" s="212">
        <v>3094</v>
      </c>
      <c r="H6" s="212">
        <v>162000100</v>
      </c>
      <c r="I6" s="212"/>
      <c r="J6" s="212">
        <v>11</v>
      </c>
      <c r="K6" s="26"/>
      <c r="L6" s="211">
        <f>(D6+E6-K6)/12*2</f>
        <v>2051094.5011375712</v>
      </c>
      <c r="M6" s="212" t="s">
        <v>818</v>
      </c>
      <c r="N6" s="212" t="s">
        <v>427</v>
      </c>
      <c r="O6" s="64"/>
      <c r="P6" s="81"/>
      <c r="Q6" s="120"/>
      <c r="S6" s="64">
        <v>1620</v>
      </c>
      <c r="T6" s="81" t="str">
        <f>VLOOKUP(S6,Orgenheter!$A$3:$C$165,2,FALSE)</f>
        <v>Inst för språkstudier</v>
      </c>
      <c r="U6" s="15">
        <v>10500482.090158761</v>
      </c>
      <c r="V6" s="15">
        <v>1806084.9166666667</v>
      </c>
      <c r="X6" s="15"/>
      <c r="Y6" s="15"/>
      <c r="Z6" s="15"/>
    </row>
    <row r="7" spans="1:26" ht="22.5" customHeight="1" x14ac:dyDescent="0.25">
      <c r="A7" s="212"/>
      <c r="B7" s="212"/>
      <c r="C7" s="209"/>
      <c r="D7" s="212"/>
      <c r="E7" s="212"/>
      <c r="F7" s="212"/>
      <c r="G7" s="212">
        <v>3094</v>
      </c>
      <c r="H7" s="212">
        <v>600011100</v>
      </c>
      <c r="I7" s="212"/>
      <c r="J7" s="212">
        <v>11</v>
      </c>
      <c r="K7" s="26"/>
      <c r="L7" s="211">
        <f>L6</f>
        <v>2051094.5011375712</v>
      </c>
      <c r="M7" s="212" t="s">
        <v>819</v>
      </c>
      <c r="N7" s="212" t="s">
        <v>427</v>
      </c>
      <c r="O7" s="18"/>
      <c r="P7" s="81"/>
      <c r="Q7" s="120"/>
      <c r="S7" s="18">
        <v>1630</v>
      </c>
      <c r="T7" s="81" t="str">
        <f>VLOOKUP(S7,Orgenheter!$A$3:$C$165,2,FALSE)</f>
        <v>Inst för ide- o samhällsstudier</v>
      </c>
      <c r="U7" s="15">
        <v>5937676.3254366769</v>
      </c>
      <c r="V7" s="15">
        <v>807286.16666666651</v>
      </c>
      <c r="X7" s="15"/>
      <c r="Y7" s="15"/>
      <c r="Z7" s="15"/>
    </row>
    <row r="8" spans="1:26" ht="22.5" customHeight="1" x14ac:dyDescent="0.25">
      <c r="A8" s="212"/>
      <c r="B8" s="212">
        <v>1630</v>
      </c>
      <c r="C8" s="210" t="s">
        <v>172</v>
      </c>
      <c r="D8" s="211">
        <f>U7</f>
        <v>5937676.3254366769</v>
      </c>
      <c r="E8" s="211">
        <f>V7</f>
        <v>807286.16666666651</v>
      </c>
      <c r="F8" s="212"/>
      <c r="G8" s="212">
        <v>3094</v>
      </c>
      <c r="H8" s="218">
        <v>163000100</v>
      </c>
      <c r="I8" s="212"/>
      <c r="J8" s="212">
        <v>11</v>
      </c>
      <c r="K8" s="26"/>
      <c r="L8" s="211">
        <f>(D8+E8-K8)/12*2</f>
        <v>1124160.4153505573</v>
      </c>
      <c r="M8" s="212" t="s">
        <v>818</v>
      </c>
      <c r="N8" s="212" t="s">
        <v>427</v>
      </c>
      <c r="O8" s="18"/>
      <c r="P8" s="81"/>
      <c r="Q8" s="120"/>
      <c r="S8" s="18">
        <v>1640</v>
      </c>
      <c r="T8" s="81" t="str">
        <f>VLOOKUP(S8,Orgenheter!$A$3:$C$165,2,FALSE)</f>
        <v>Inst för kultur- o medievetenskap</v>
      </c>
      <c r="U8" s="15">
        <v>1745740.1951175001</v>
      </c>
      <c r="V8" s="15">
        <v>267075.5</v>
      </c>
      <c r="X8" s="15"/>
      <c r="Y8" s="15"/>
      <c r="Z8" s="15"/>
    </row>
    <row r="9" spans="1:26" ht="22.5" customHeight="1" x14ac:dyDescent="0.25">
      <c r="A9" s="212"/>
      <c r="B9" s="212"/>
      <c r="C9" s="209"/>
      <c r="D9" s="212"/>
      <c r="E9" s="212"/>
      <c r="F9" s="212"/>
      <c r="G9" s="212">
        <v>3094</v>
      </c>
      <c r="H9" s="212">
        <v>600011100</v>
      </c>
      <c r="I9" s="212"/>
      <c r="J9" s="212">
        <v>11</v>
      </c>
      <c r="K9" s="26"/>
      <c r="L9" s="211">
        <f>L8</f>
        <v>1124160.4153505573</v>
      </c>
      <c r="M9" s="212" t="s">
        <v>819</v>
      </c>
      <c r="N9" s="212" t="s">
        <v>427</v>
      </c>
      <c r="O9" s="159"/>
      <c r="P9" s="81"/>
      <c r="Q9" s="120"/>
      <c r="S9" s="258">
        <v>1650</v>
      </c>
      <c r="T9" s="259" t="str">
        <f>VLOOKUP(S9,Orgenheter!$A$3:$C$165,2,FALSE)</f>
        <v xml:space="preserve">Estetiska ämnen               </v>
      </c>
      <c r="U9" s="260">
        <v>14196752.206762923</v>
      </c>
      <c r="V9" s="260">
        <v>8166305.75</v>
      </c>
      <c r="X9" s="15"/>
      <c r="Y9" s="15"/>
      <c r="Z9" s="15"/>
    </row>
    <row r="10" spans="1:26" ht="22.5" customHeight="1" x14ac:dyDescent="0.25">
      <c r="A10" s="212"/>
      <c r="B10" s="212">
        <v>1640</v>
      </c>
      <c r="C10" s="213" t="s">
        <v>173</v>
      </c>
      <c r="D10" s="211">
        <f>U8</f>
        <v>1745740.1951175001</v>
      </c>
      <c r="E10" s="211">
        <f>V8</f>
        <v>267075.5</v>
      </c>
      <c r="F10" s="212"/>
      <c r="G10" s="212">
        <v>3094</v>
      </c>
      <c r="H10" s="212">
        <v>164016100</v>
      </c>
      <c r="I10" s="212"/>
      <c r="J10" s="212">
        <v>11</v>
      </c>
      <c r="K10" s="26"/>
      <c r="L10" s="211">
        <f>(D10+E10-K10)/12*2</f>
        <v>335469.28251958336</v>
      </c>
      <c r="M10" s="212" t="s">
        <v>818</v>
      </c>
      <c r="N10" s="212" t="s">
        <v>427</v>
      </c>
      <c r="O10" s="120"/>
      <c r="P10" s="120"/>
      <c r="Q10" s="120"/>
      <c r="T10" s="39" t="s">
        <v>466</v>
      </c>
      <c r="U10" s="261">
        <v>-1020989.025</v>
      </c>
      <c r="V10" s="261">
        <v>-1510450</v>
      </c>
      <c r="X10" s="49"/>
      <c r="Y10" s="459"/>
      <c r="Z10" s="459"/>
    </row>
    <row r="11" spans="1:26" ht="22.5" customHeight="1" x14ac:dyDescent="0.25">
      <c r="A11" s="212"/>
      <c r="B11" s="212"/>
      <c r="C11" s="209"/>
      <c r="D11" s="212"/>
      <c r="E11" s="212"/>
      <c r="F11" s="212"/>
      <c r="G11" s="212">
        <v>3094</v>
      </c>
      <c r="H11" s="212">
        <v>600011100</v>
      </c>
      <c r="I11" s="212"/>
      <c r="J11" s="212">
        <v>11</v>
      </c>
      <c r="K11" s="26"/>
      <c r="L11" s="211">
        <f>L10</f>
        <v>335469.28251958336</v>
      </c>
      <c r="M11" s="212" t="s">
        <v>819</v>
      </c>
      <c r="N11" s="212" t="s">
        <v>427</v>
      </c>
      <c r="O11" s="120"/>
      <c r="P11" s="120"/>
      <c r="Q11" s="120"/>
      <c r="X11" s="49"/>
      <c r="Y11" s="15"/>
      <c r="Z11" s="15"/>
    </row>
    <row r="12" spans="1:26" ht="22.5" customHeight="1" x14ac:dyDescent="0.25">
      <c r="A12" s="212"/>
      <c r="B12" s="218">
        <v>1650</v>
      </c>
      <c r="C12" s="213" t="s">
        <v>11</v>
      </c>
      <c r="D12" s="219">
        <f>U9+U10</f>
        <v>13175763.181762923</v>
      </c>
      <c r="E12" s="219">
        <f>V9+V10</f>
        <v>6655855.75</v>
      </c>
      <c r="F12" s="218"/>
      <c r="G12" s="218">
        <v>3094</v>
      </c>
      <c r="H12" s="218">
        <v>165000001</v>
      </c>
      <c r="I12" s="218"/>
      <c r="J12" s="218">
        <v>11</v>
      </c>
      <c r="K12" s="26"/>
      <c r="L12" s="211">
        <f>(D12+E12-K12)/12*2</f>
        <v>3305269.8219604869</v>
      </c>
      <c r="M12" s="218" t="s">
        <v>818</v>
      </c>
      <c r="N12" s="218" t="s">
        <v>427</v>
      </c>
      <c r="O12" s="120"/>
      <c r="P12" s="120"/>
      <c r="Q12" s="120"/>
      <c r="R12" s="39"/>
      <c r="X12" s="49"/>
      <c r="Y12" s="15"/>
      <c r="Z12" s="15"/>
    </row>
    <row r="13" spans="1:26" ht="22.5" customHeight="1" x14ac:dyDescent="0.25">
      <c r="A13" s="212"/>
      <c r="B13" s="218"/>
      <c r="C13" s="213"/>
      <c r="D13" s="218"/>
      <c r="E13" s="218"/>
      <c r="F13" s="218"/>
      <c r="G13" s="218">
        <v>3094</v>
      </c>
      <c r="H13" s="218">
        <v>600011100</v>
      </c>
      <c r="I13" s="218"/>
      <c r="J13" s="218">
        <v>11</v>
      </c>
      <c r="K13" s="26"/>
      <c r="L13" s="219">
        <f>L12</f>
        <v>3305269.8219604869</v>
      </c>
      <c r="M13" s="218" t="s">
        <v>819</v>
      </c>
      <c r="N13" s="218" t="s">
        <v>427</v>
      </c>
      <c r="O13" s="120"/>
      <c r="P13" s="120"/>
      <c r="Q13" s="120"/>
      <c r="X13" s="49"/>
      <c r="Y13" s="15"/>
      <c r="Z13" s="15"/>
    </row>
    <row r="14" spans="1:26" ht="22.5" customHeight="1" x14ac:dyDescent="0.25">
      <c r="A14" s="214"/>
      <c r="B14" s="214"/>
      <c r="C14" s="214"/>
      <c r="D14" s="214"/>
      <c r="E14" s="214"/>
      <c r="F14" s="214"/>
      <c r="G14" s="214"/>
      <c r="H14" s="214"/>
      <c r="I14" s="214"/>
      <c r="J14" s="214"/>
      <c r="K14" s="264"/>
      <c r="L14" s="215"/>
      <c r="M14" s="214"/>
      <c r="N14" s="214"/>
      <c r="O14" s="120"/>
      <c r="P14" s="120"/>
      <c r="Q14" s="120"/>
      <c r="X14" s="49"/>
      <c r="Y14" s="15"/>
      <c r="Z14" s="15"/>
    </row>
    <row r="15" spans="1:26" ht="22.5" customHeight="1" x14ac:dyDescent="0.25">
      <c r="A15" s="209"/>
      <c r="K15" s="26"/>
      <c r="O15" s="120"/>
      <c r="P15" s="120"/>
      <c r="Q15" s="120"/>
      <c r="T15">
        <v>2019</v>
      </c>
      <c r="U15" t="s">
        <v>375</v>
      </c>
      <c r="V15" t="s">
        <v>149</v>
      </c>
      <c r="X15" s="49"/>
      <c r="Y15" s="15"/>
      <c r="Z15" s="15"/>
    </row>
    <row r="16" spans="1:26" ht="22.5" customHeight="1" x14ac:dyDescent="0.25">
      <c r="A16" s="212" t="s">
        <v>411</v>
      </c>
      <c r="B16" s="212">
        <v>2180</v>
      </c>
      <c r="C16" s="210" t="s">
        <v>192</v>
      </c>
      <c r="D16" s="211">
        <f>U16</f>
        <v>14752023.060662922</v>
      </c>
      <c r="E16" s="216">
        <f>V16</f>
        <v>2922218.166666667</v>
      </c>
      <c r="F16" s="212"/>
      <c r="G16" s="212">
        <v>3094</v>
      </c>
      <c r="H16" s="218">
        <v>218000101</v>
      </c>
      <c r="I16" s="212"/>
      <c r="J16" s="212">
        <v>11</v>
      </c>
      <c r="K16" s="26"/>
      <c r="L16" s="211">
        <f>(D16-K16)/12*2</f>
        <v>2458670.5101104868</v>
      </c>
      <c r="M16" s="212" t="s">
        <v>818</v>
      </c>
      <c r="N16" s="212" t="s">
        <v>464</v>
      </c>
      <c r="O16" s="18"/>
      <c r="P16" s="120"/>
      <c r="Q16" s="275"/>
      <c r="S16" s="18">
        <v>2180</v>
      </c>
      <c r="T16" s="81" t="str">
        <f>VLOOKUP(S16,Orgenheter!$A$3:$C$165,2,FALSE)</f>
        <v xml:space="preserve">Pedagogik                     </v>
      </c>
      <c r="U16" s="15">
        <v>14752023.060662922</v>
      </c>
      <c r="V16" s="15">
        <v>2922218.166666667</v>
      </c>
      <c r="X16" s="15"/>
      <c r="Y16" s="15"/>
      <c r="Z16" s="15"/>
    </row>
    <row r="17" spans="1:26" ht="22.5" customHeight="1" x14ac:dyDescent="0.25">
      <c r="B17" s="212"/>
      <c r="C17" s="213"/>
      <c r="D17" s="211"/>
      <c r="E17" s="216"/>
      <c r="F17" s="212"/>
      <c r="G17" s="212">
        <v>3094</v>
      </c>
      <c r="H17" s="212">
        <v>600011100</v>
      </c>
      <c r="I17" s="212"/>
      <c r="J17" s="212">
        <v>11</v>
      </c>
      <c r="K17" s="26"/>
      <c r="L17" s="211">
        <f>L16</f>
        <v>2458670.5101104868</v>
      </c>
      <c r="M17" s="212" t="s">
        <v>819</v>
      </c>
      <c r="N17" s="212" t="s">
        <v>464</v>
      </c>
      <c r="O17" s="18"/>
      <c r="P17" s="120"/>
      <c r="S17" s="18">
        <v>2193</v>
      </c>
      <c r="T17" s="81" t="str">
        <f>VLOOKUP(S17,Orgenheter!$A$3:$C$165,2,FALSE)</f>
        <v xml:space="preserve">TUV </v>
      </c>
      <c r="U17" s="15">
        <v>19848427.626996201</v>
      </c>
      <c r="V17" s="15">
        <v>3081263.833333333</v>
      </c>
      <c r="X17" s="15"/>
      <c r="Y17" s="15"/>
      <c r="Z17" s="15"/>
    </row>
    <row r="18" spans="1:26" ht="22.5" customHeight="1" x14ac:dyDescent="0.25">
      <c r="B18" s="212">
        <v>2193</v>
      </c>
      <c r="C18" s="210" t="s">
        <v>441</v>
      </c>
      <c r="D18" s="211">
        <f>U17</f>
        <v>19848427.626996201</v>
      </c>
      <c r="E18" s="216">
        <f>V17</f>
        <v>3081263.833333333</v>
      </c>
      <c r="F18" s="212"/>
      <c r="G18" s="212">
        <v>3094</v>
      </c>
      <c r="H18" s="212">
        <v>219300001</v>
      </c>
      <c r="I18" s="212"/>
      <c r="J18" s="212">
        <v>11</v>
      </c>
      <c r="K18" s="26"/>
      <c r="L18" s="211">
        <f>(D18-K18)/12*2</f>
        <v>3308071.2711660336</v>
      </c>
      <c r="M18" s="212" t="s">
        <v>818</v>
      </c>
      <c r="N18" s="212" t="s">
        <v>464</v>
      </c>
      <c r="O18" s="18"/>
      <c r="P18" s="120"/>
      <c r="Q18" s="275"/>
      <c r="S18" s="18">
        <v>2200</v>
      </c>
      <c r="T18" s="81" t="str">
        <f>VLOOKUP(S18,Orgenheter!$A$3:$C$165,2,FALSE)</f>
        <v xml:space="preserve">Inst för psykologi            </v>
      </c>
      <c r="U18" s="15">
        <v>1910286.98263</v>
      </c>
      <c r="V18" s="15">
        <v>274059.66666666663</v>
      </c>
      <c r="X18" s="15"/>
      <c r="Y18" s="15"/>
      <c r="Z18" s="15"/>
    </row>
    <row r="19" spans="1:26" ht="22.5" customHeight="1" x14ac:dyDescent="0.25">
      <c r="B19" s="212"/>
      <c r="C19" s="209"/>
      <c r="D19" s="212"/>
      <c r="E19" s="217"/>
      <c r="F19" s="212"/>
      <c r="G19" s="212">
        <v>3094</v>
      </c>
      <c r="H19" s="212">
        <v>600011100</v>
      </c>
      <c r="I19" s="212"/>
      <c r="J19" s="212">
        <v>11</v>
      </c>
      <c r="K19" s="26"/>
      <c r="L19" s="211">
        <f>L18</f>
        <v>3308071.2711660336</v>
      </c>
      <c r="M19" s="212" t="s">
        <v>819</v>
      </c>
      <c r="N19" s="212" t="s">
        <v>464</v>
      </c>
      <c r="O19" s="159"/>
      <c r="P19" s="120"/>
      <c r="Q19" s="275"/>
      <c r="S19" s="159">
        <v>2220</v>
      </c>
      <c r="T19" s="81" t="str">
        <f>VLOOKUP(S19,Orgenheter!$A$3:$C$165,2,FALSE)</f>
        <v xml:space="preserve">Sociologi                     </v>
      </c>
      <c r="U19" s="15">
        <v>136091.94990000001</v>
      </c>
      <c r="V19" s="15">
        <v>26680.000000000004</v>
      </c>
      <c r="X19" s="15"/>
      <c r="Y19" s="15"/>
      <c r="Z19" s="15"/>
    </row>
    <row r="20" spans="1:26" ht="22.5" customHeight="1" x14ac:dyDescent="0.25">
      <c r="A20" s="212"/>
      <c r="B20" s="212">
        <v>2200</v>
      </c>
      <c r="C20" s="210" t="s">
        <v>574</v>
      </c>
      <c r="D20" s="211">
        <f>U18</f>
        <v>1910286.98263</v>
      </c>
      <c r="E20" s="216">
        <f>V18</f>
        <v>274059.66666666663</v>
      </c>
      <c r="F20" s="212"/>
      <c r="G20" s="212">
        <v>3094</v>
      </c>
      <c r="H20" s="212">
        <v>220000100</v>
      </c>
      <c r="I20" s="212"/>
      <c r="J20" s="212">
        <v>11</v>
      </c>
      <c r="K20" s="26"/>
      <c r="L20" s="211">
        <f>(D20-K20)/12*2</f>
        <v>318381.16377166664</v>
      </c>
      <c r="M20" s="212" t="s">
        <v>818</v>
      </c>
      <c r="N20" s="212" t="s">
        <v>464</v>
      </c>
      <c r="O20" s="18"/>
      <c r="P20" s="120"/>
      <c r="Q20" s="275"/>
      <c r="S20" s="18">
        <v>2271</v>
      </c>
      <c r="T20" s="81" t="s">
        <v>1392</v>
      </c>
      <c r="U20" s="15">
        <v>257275.18256749999</v>
      </c>
      <c r="V20" s="15">
        <v>48691</v>
      </c>
      <c r="X20" s="15"/>
      <c r="Y20" s="15"/>
      <c r="Z20" s="15"/>
    </row>
    <row r="21" spans="1:26" ht="22.5" customHeight="1" x14ac:dyDescent="0.25">
      <c r="A21" s="212"/>
      <c r="B21" s="212"/>
      <c r="C21" s="209"/>
      <c r="D21" s="212"/>
      <c r="E21" s="217"/>
      <c r="F21" s="212"/>
      <c r="G21" s="212">
        <v>3094</v>
      </c>
      <c r="H21" s="212">
        <v>600011100</v>
      </c>
      <c r="I21" s="212"/>
      <c r="J21" s="212">
        <v>11</v>
      </c>
      <c r="K21" s="26"/>
      <c r="L21" s="211">
        <f>L20</f>
        <v>318381.16377166664</v>
      </c>
      <c r="M21" s="212" t="s">
        <v>819</v>
      </c>
      <c r="N21" s="212" t="s">
        <v>464</v>
      </c>
      <c r="O21" s="196"/>
      <c r="P21" s="120"/>
      <c r="Q21" s="275"/>
      <c r="S21" s="196">
        <v>2272</v>
      </c>
      <c r="T21" s="81" t="str">
        <f>VLOOKUP(S21,Orgenheter!$A$3:$C$165,2,FALSE)</f>
        <v xml:space="preserve">Statistik                     </v>
      </c>
      <c r="U21" s="15">
        <v>459793.1014300001</v>
      </c>
      <c r="V21" s="15">
        <v>59604.666666666672</v>
      </c>
      <c r="X21" s="15"/>
      <c r="Y21" s="15"/>
      <c r="Z21" s="15"/>
    </row>
    <row r="22" spans="1:26" ht="22.5" customHeight="1" x14ac:dyDescent="0.25">
      <c r="A22" s="212"/>
      <c r="B22" s="212">
        <v>2220</v>
      </c>
      <c r="C22" s="210" t="s">
        <v>195</v>
      </c>
      <c r="D22" s="211">
        <f>U19</f>
        <v>136091.94990000001</v>
      </c>
      <c r="E22" s="216">
        <f>V19</f>
        <v>26680.000000000004</v>
      </c>
      <c r="F22" s="212"/>
      <c r="G22" s="212">
        <v>3094</v>
      </c>
      <c r="H22" s="212">
        <v>222000100</v>
      </c>
      <c r="I22" s="212"/>
      <c r="J22" s="212">
        <v>11</v>
      </c>
      <c r="K22" s="26"/>
      <c r="L22" s="211">
        <f>(D22-K22)/12*2</f>
        <v>22681.99165</v>
      </c>
      <c r="M22" s="212" t="s">
        <v>818</v>
      </c>
      <c r="N22" s="212" t="s">
        <v>464</v>
      </c>
      <c r="O22" s="159"/>
      <c r="P22" s="120"/>
      <c r="Q22" s="275"/>
      <c r="S22" s="159">
        <v>2300</v>
      </c>
      <c r="T22" s="81" t="str">
        <f>VLOOKUP(S22,Orgenheter!$A$3:$C$165,2,FALSE)</f>
        <v xml:space="preserve">Juridiska institutionen       </v>
      </c>
      <c r="U22" s="15">
        <v>737078.31837250013</v>
      </c>
      <c r="V22" s="15">
        <v>95550.166666666672</v>
      </c>
      <c r="X22" s="15"/>
      <c r="Y22" s="15"/>
      <c r="Z22" s="15"/>
    </row>
    <row r="23" spans="1:26" ht="22.5" customHeight="1" x14ac:dyDescent="0.25">
      <c r="A23" s="212"/>
      <c r="B23" s="212"/>
      <c r="C23" s="213"/>
      <c r="F23" s="212"/>
      <c r="G23" s="212">
        <v>3094</v>
      </c>
      <c r="H23" s="212">
        <v>600011100</v>
      </c>
      <c r="I23" s="212"/>
      <c r="J23" s="212">
        <v>11</v>
      </c>
      <c r="K23" s="26"/>
      <c r="L23" s="211">
        <f>L22</f>
        <v>22681.99165</v>
      </c>
      <c r="M23" s="212" t="s">
        <v>819</v>
      </c>
      <c r="N23" s="212" t="s">
        <v>464</v>
      </c>
      <c r="O23" s="18"/>
      <c r="P23" s="120"/>
      <c r="Q23" s="275"/>
      <c r="S23" s="18">
        <v>2340</v>
      </c>
      <c r="T23" s="81" t="str">
        <f>VLOOKUP(S23,Orgenheter!$A$3:$C$165,2,FALSE)</f>
        <v xml:space="preserve">Statsvetenskap                </v>
      </c>
      <c r="U23" s="15">
        <v>1666798.5926274997</v>
      </c>
      <c r="V23" s="15">
        <v>278433.83333333331</v>
      </c>
      <c r="X23" s="15"/>
      <c r="Y23" s="15"/>
      <c r="Z23" s="15"/>
    </row>
    <row r="24" spans="1:26" ht="22.5" customHeight="1" x14ac:dyDescent="0.25">
      <c r="B24" s="212">
        <v>2271</v>
      </c>
      <c r="C24" s="213" t="s">
        <v>1392</v>
      </c>
      <c r="D24" s="211">
        <f>U20</f>
        <v>257275.18256749999</v>
      </c>
      <c r="E24" s="216">
        <f>V20</f>
        <v>48691</v>
      </c>
      <c r="G24" s="218">
        <v>3094</v>
      </c>
      <c r="H24" s="218">
        <v>227100100</v>
      </c>
      <c r="J24" s="212">
        <v>11</v>
      </c>
      <c r="K24" s="26"/>
      <c r="L24" s="211">
        <f>(D24-K24)/12*2</f>
        <v>42879.197094583331</v>
      </c>
      <c r="M24" s="212" t="s">
        <v>818</v>
      </c>
      <c r="N24" s="212" t="s">
        <v>464</v>
      </c>
      <c r="O24" s="196"/>
      <c r="P24" s="120"/>
      <c r="Q24" s="275"/>
      <c r="S24" s="196">
        <v>2360</v>
      </c>
      <c r="T24" s="81" t="str">
        <f>VLOOKUP(S24,Orgenheter!$A$3:$C$165,2,FALSE)</f>
        <v xml:space="preserve">Ekonomisk historia            </v>
      </c>
      <c r="U24" s="15">
        <v>171742.12373249998</v>
      </c>
      <c r="V24" s="15">
        <v>33669</v>
      </c>
      <c r="X24" s="15"/>
      <c r="Y24" s="15"/>
      <c r="Z24" s="15"/>
    </row>
    <row r="25" spans="1:26" ht="22.5" customHeight="1" x14ac:dyDescent="0.25">
      <c r="G25" s="218">
        <v>3094</v>
      </c>
      <c r="H25" s="218">
        <v>600011100</v>
      </c>
      <c r="J25" s="212">
        <v>11</v>
      </c>
      <c r="K25" s="26"/>
      <c r="L25" s="211">
        <f>L24</f>
        <v>42879.197094583331</v>
      </c>
      <c r="M25" s="212" t="s">
        <v>819</v>
      </c>
      <c r="N25" s="212" t="s">
        <v>464</v>
      </c>
      <c r="O25" s="196"/>
      <c r="P25" s="120"/>
      <c r="Q25" s="275"/>
      <c r="S25" s="196">
        <v>2500</v>
      </c>
      <c r="T25" s="81" t="str">
        <f>VLOOKUP(S25,Orgenheter!$A$3:$C$165,2,FALSE)</f>
        <v>Geografi</v>
      </c>
      <c r="U25" s="15">
        <v>211615.26814062503</v>
      </c>
      <c r="V25" s="15">
        <v>46221.666666666664</v>
      </c>
      <c r="X25" s="15"/>
      <c r="Y25" s="15"/>
      <c r="Z25" s="15"/>
    </row>
    <row r="26" spans="1:26" ht="22.5" customHeight="1" x14ac:dyDescent="0.25">
      <c r="A26" s="212"/>
      <c r="B26" s="212">
        <v>2272</v>
      </c>
      <c r="C26" s="210" t="s">
        <v>200</v>
      </c>
      <c r="D26" s="211">
        <f>U21</f>
        <v>459793.1014300001</v>
      </c>
      <c r="E26" s="216">
        <f>V21</f>
        <v>59604.666666666672</v>
      </c>
      <c r="F26" s="212"/>
      <c r="G26" s="212">
        <v>3094</v>
      </c>
      <c r="H26" s="218">
        <v>227200100</v>
      </c>
      <c r="I26" s="212"/>
      <c r="J26" s="212">
        <v>11</v>
      </c>
      <c r="K26" s="26"/>
      <c r="L26" s="211">
        <f>(D26-K26)/12*2</f>
        <v>76632.183571666683</v>
      </c>
      <c r="M26" s="212" t="s">
        <v>818</v>
      </c>
      <c r="N26" s="212" t="s">
        <v>464</v>
      </c>
      <c r="O26" s="196"/>
      <c r="P26" s="120"/>
      <c r="Q26" s="275"/>
      <c r="S26" s="196">
        <v>2750</v>
      </c>
      <c r="T26" s="81" t="str">
        <f>VLOOKUP(S26,Orgenheter!$A$3:$C$165,2,FALSE)</f>
        <v xml:space="preserve">Kostvetenskap                 </v>
      </c>
      <c r="U26" s="15">
        <v>2245587.2100749998</v>
      </c>
      <c r="V26" s="15">
        <v>989187.5</v>
      </c>
      <c r="X26" s="15"/>
      <c r="Y26" s="15"/>
      <c r="Z26" s="15"/>
    </row>
    <row r="27" spans="1:26" ht="22.5" customHeight="1" x14ac:dyDescent="0.25">
      <c r="A27" s="212"/>
      <c r="G27" s="212">
        <v>3094</v>
      </c>
      <c r="H27" s="212">
        <v>600011100</v>
      </c>
      <c r="J27" s="212">
        <v>11</v>
      </c>
      <c r="K27" s="26"/>
      <c r="L27" s="211">
        <f>L26</f>
        <v>76632.183571666683</v>
      </c>
      <c r="M27" s="212" t="s">
        <v>819</v>
      </c>
      <c r="N27" s="212" t="s">
        <v>464</v>
      </c>
      <c r="O27" s="120"/>
      <c r="P27" s="120"/>
      <c r="Q27" s="275"/>
      <c r="X27" s="49"/>
      <c r="Y27" s="15"/>
      <c r="Z27" s="15"/>
    </row>
    <row r="28" spans="1:26" ht="22.5" customHeight="1" x14ac:dyDescent="0.25">
      <c r="B28" s="212">
        <v>2300</v>
      </c>
      <c r="C28" s="210" t="s">
        <v>924</v>
      </c>
      <c r="D28" s="211">
        <f>U22</f>
        <v>737078.31837250013</v>
      </c>
      <c r="E28" s="216">
        <f>V22</f>
        <v>95550.166666666672</v>
      </c>
      <c r="F28" s="212"/>
      <c r="G28" s="212">
        <v>3094</v>
      </c>
      <c r="H28" s="218">
        <v>230000100</v>
      </c>
      <c r="I28" s="212"/>
      <c r="J28" s="212">
        <v>11</v>
      </c>
      <c r="K28" s="26"/>
      <c r="L28" s="211">
        <f>(D28-K28)/12*2</f>
        <v>122846.38639541669</v>
      </c>
      <c r="M28" s="212" t="s">
        <v>818</v>
      </c>
      <c r="N28" s="212" t="s">
        <v>464</v>
      </c>
      <c r="O28" s="120"/>
      <c r="P28" s="120"/>
      <c r="Q28" s="275"/>
      <c r="X28" s="49"/>
      <c r="Y28" s="15"/>
      <c r="Z28" s="15"/>
    </row>
    <row r="29" spans="1:26" ht="22.5" customHeight="1" x14ac:dyDescent="0.25">
      <c r="G29" s="212">
        <v>3094</v>
      </c>
      <c r="H29" s="212">
        <v>600011100</v>
      </c>
      <c r="J29" s="212">
        <v>11</v>
      </c>
      <c r="K29" s="26"/>
      <c r="L29" s="211">
        <f>L28</f>
        <v>122846.38639541669</v>
      </c>
      <c r="M29" s="212" t="s">
        <v>819</v>
      </c>
      <c r="N29" s="212" t="s">
        <v>464</v>
      </c>
      <c r="O29" s="120"/>
      <c r="P29" s="120"/>
      <c r="Q29" s="275"/>
      <c r="X29" s="49"/>
      <c r="Y29" s="15"/>
      <c r="Z29" s="15"/>
    </row>
    <row r="30" spans="1:26" ht="22.5" customHeight="1" x14ac:dyDescent="0.25">
      <c r="A30" s="212"/>
      <c r="B30" s="212">
        <v>2340</v>
      </c>
      <c r="C30" s="210" t="s">
        <v>198</v>
      </c>
      <c r="D30" s="219">
        <f>U23</f>
        <v>1666798.5926274997</v>
      </c>
      <c r="E30" s="220">
        <f>V23</f>
        <v>278433.83333333331</v>
      </c>
      <c r="F30" s="212"/>
      <c r="G30" s="212">
        <v>3094</v>
      </c>
      <c r="H30" s="212">
        <v>234000100</v>
      </c>
      <c r="I30" s="212"/>
      <c r="J30" s="212">
        <v>11</v>
      </c>
      <c r="K30" s="26"/>
      <c r="L30" s="211">
        <f>(D30-K30)/12*2</f>
        <v>277799.76543791662</v>
      </c>
      <c r="M30" s="212" t="s">
        <v>818</v>
      </c>
      <c r="N30" s="212" t="s">
        <v>464</v>
      </c>
      <c r="O30" s="120"/>
      <c r="P30" s="120"/>
      <c r="Q30" s="275"/>
      <c r="X30" s="49"/>
      <c r="Y30" s="15"/>
      <c r="Z30" s="15"/>
    </row>
    <row r="31" spans="1:26" ht="22.5" customHeight="1" x14ac:dyDescent="0.25">
      <c r="A31" s="212"/>
      <c r="B31" s="212"/>
      <c r="C31" s="209"/>
      <c r="D31" s="212"/>
      <c r="E31" s="217"/>
      <c r="F31" s="212"/>
      <c r="G31" s="212">
        <v>3094</v>
      </c>
      <c r="H31" s="212">
        <v>600011100</v>
      </c>
      <c r="I31" s="212"/>
      <c r="J31" s="212">
        <v>11</v>
      </c>
      <c r="K31" s="26"/>
      <c r="L31" s="211">
        <f>L30</f>
        <v>277799.76543791662</v>
      </c>
      <c r="M31" s="212" t="s">
        <v>819</v>
      </c>
      <c r="N31" s="212" t="s">
        <v>464</v>
      </c>
      <c r="O31" s="120"/>
      <c r="P31" s="120"/>
      <c r="Q31" s="275"/>
      <c r="X31" s="49"/>
      <c r="Y31" s="15"/>
      <c r="Z31" s="15"/>
    </row>
    <row r="32" spans="1:26" ht="22.5" customHeight="1" x14ac:dyDescent="0.25">
      <c r="A32" s="212"/>
      <c r="B32" s="212">
        <v>2360</v>
      </c>
      <c r="C32" s="210" t="s">
        <v>575</v>
      </c>
      <c r="D32" s="211">
        <f>U24</f>
        <v>171742.12373249998</v>
      </c>
      <c r="E32" s="216">
        <f>V24</f>
        <v>33669</v>
      </c>
      <c r="F32" s="212"/>
      <c r="G32" s="218">
        <v>3094</v>
      </c>
      <c r="H32" s="212">
        <v>236000100</v>
      </c>
      <c r="I32" s="212"/>
      <c r="J32" s="212">
        <v>11</v>
      </c>
      <c r="K32" s="26"/>
      <c r="L32" s="211">
        <f>(D32-K32)/12*2</f>
        <v>28623.687288749996</v>
      </c>
      <c r="M32" s="212" t="s">
        <v>818</v>
      </c>
      <c r="N32" s="212" t="s">
        <v>464</v>
      </c>
      <c r="O32" s="120"/>
      <c r="P32" s="120"/>
      <c r="Q32" s="275"/>
      <c r="S32" s="167"/>
      <c r="T32" s="167"/>
      <c r="U32" s="167"/>
      <c r="X32" s="49"/>
      <c r="Y32" s="15"/>
      <c r="Z32" s="15"/>
    </row>
    <row r="33" spans="1:26" ht="22.5" customHeight="1" x14ac:dyDescent="0.25">
      <c r="A33" s="212"/>
      <c r="G33" s="218">
        <v>3094</v>
      </c>
      <c r="H33" s="212">
        <v>600011100</v>
      </c>
      <c r="J33" s="212">
        <v>11</v>
      </c>
      <c r="K33" s="26"/>
      <c r="L33" s="211">
        <f>L32</f>
        <v>28623.687288749996</v>
      </c>
      <c r="M33" s="212" t="s">
        <v>819</v>
      </c>
      <c r="N33" s="212" t="s">
        <v>464</v>
      </c>
      <c r="O33" s="120"/>
      <c r="P33" s="120"/>
      <c r="Q33" s="275"/>
      <c r="X33" s="49"/>
      <c r="Y33" s="15"/>
      <c r="Z33" s="15"/>
    </row>
    <row r="34" spans="1:26" ht="22.5" customHeight="1" x14ac:dyDescent="0.25">
      <c r="A34" s="212"/>
      <c r="B34" s="212">
        <v>2500</v>
      </c>
      <c r="C34" s="210" t="s">
        <v>2169</v>
      </c>
      <c r="D34" s="211">
        <f>U25</f>
        <v>211615.26814062503</v>
      </c>
      <c r="E34" s="216">
        <f>V25</f>
        <v>46221.666666666664</v>
      </c>
      <c r="F34" s="212"/>
      <c r="G34" s="212">
        <v>3094</v>
      </c>
      <c r="H34" s="212">
        <v>250000010</v>
      </c>
      <c r="I34" s="212"/>
      <c r="J34" s="212">
        <v>11</v>
      </c>
      <c r="K34" s="26"/>
      <c r="L34" s="211">
        <f>(D34-K34)/12*2</f>
        <v>35269.211356770837</v>
      </c>
      <c r="M34" s="212" t="s">
        <v>818</v>
      </c>
      <c r="N34" s="212" t="s">
        <v>464</v>
      </c>
      <c r="O34" s="120"/>
      <c r="P34" s="120"/>
      <c r="Q34" s="275"/>
      <c r="X34" s="49"/>
      <c r="Y34" s="15"/>
      <c r="Z34" s="15"/>
    </row>
    <row r="35" spans="1:26" ht="22.5" customHeight="1" x14ac:dyDescent="0.25">
      <c r="A35" s="212"/>
      <c r="G35" s="212">
        <v>3094</v>
      </c>
      <c r="H35" s="212">
        <v>600011100</v>
      </c>
      <c r="J35" s="212">
        <v>11</v>
      </c>
      <c r="K35" s="26"/>
      <c r="L35" s="211">
        <f>L34</f>
        <v>35269.211356770837</v>
      </c>
      <c r="M35" s="212" t="s">
        <v>819</v>
      </c>
      <c r="N35" s="212" t="s">
        <v>464</v>
      </c>
      <c r="O35" s="120"/>
      <c r="P35" s="120"/>
      <c r="Q35" s="275"/>
      <c r="X35" s="49"/>
      <c r="Y35" s="15"/>
      <c r="Z35" s="15"/>
    </row>
    <row r="36" spans="1:26" ht="22.5" customHeight="1" x14ac:dyDescent="0.25">
      <c r="A36" s="212"/>
      <c r="B36" s="212">
        <v>2750</v>
      </c>
      <c r="C36" s="210" t="s">
        <v>205</v>
      </c>
      <c r="D36" s="211">
        <f>U26</f>
        <v>2245587.2100749998</v>
      </c>
      <c r="E36" s="216">
        <f>V26</f>
        <v>989187.5</v>
      </c>
      <c r="F36" s="212"/>
      <c r="G36" s="212">
        <v>3094</v>
      </c>
      <c r="H36" s="212">
        <v>275000100</v>
      </c>
      <c r="I36" s="212"/>
      <c r="J36" s="212">
        <v>11</v>
      </c>
      <c r="K36" s="26"/>
      <c r="L36" s="211">
        <f>(D36-K36)/12*2</f>
        <v>374264.53501249995</v>
      </c>
      <c r="M36" s="212" t="s">
        <v>818</v>
      </c>
      <c r="N36" s="212" t="s">
        <v>464</v>
      </c>
      <c r="O36" s="120"/>
      <c r="P36" s="120"/>
      <c r="Q36" s="275"/>
      <c r="X36" s="49"/>
      <c r="Y36" s="15"/>
      <c r="Z36" s="15"/>
    </row>
    <row r="37" spans="1:26" ht="22.5" customHeight="1" x14ac:dyDescent="0.25">
      <c r="A37" s="212"/>
      <c r="B37" s="212"/>
      <c r="C37" s="209"/>
      <c r="D37" s="212"/>
      <c r="E37" s="217"/>
      <c r="F37" s="212"/>
      <c r="G37" s="212">
        <v>3094</v>
      </c>
      <c r="H37" s="212">
        <v>600011100</v>
      </c>
      <c r="I37" s="212"/>
      <c r="J37" s="212">
        <v>11</v>
      </c>
      <c r="K37" s="26"/>
      <c r="L37" s="211">
        <f>L36</f>
        <v>374264.53501249995</v>
      </c>
      <c r="M37" s="212" t="s">
        <v>819</v>
      </c>
      <c r="N37" s="212" t="s">
        <v>464</v>
      </c>
      <c r="O37" s="120"/>
      <c r="P37" s="120"/>
      <c r="Q37" s="275"/>
      <c r="X37" s="49"/>
      <c r="Y37" s="15"/>
      <c r="Z37" s="15"/>
    </row>
    <row r="38" spans="1:26" ht="22.5" customHeight="1" x14ac:dyDescent="0.25">
      <c r="A38" s="209"/>
      <c r="B38" s="209">
        <v>2000</v>
      </c>
      <c r="C38" s="213" t="s">
        <v>463</v>
      </c>
      <c r="D38" s="209"/>
      <c r="E38" s="224">
        <f>SUM(E16:E37)</f>
        <v>7855579.5000000009</v>
      </c>
      <c r="F38" s="209"/>
      <c r="G38" s="209">
        <v>3094</v>
      </c>
      <c r="H38" s="209">
        <v>200000001</v>
      </c>
      <c r="I38" s="209"/>
      <c r="J38" s="212">
        <v>11</v>
      </c>
      <c r="K38" s="26"/>
      <c r="L38" s="211">
        <f>(E38-K38)/12*2</f>
        <v>1309263.2500000002</v>
      </c>
      <c r="M38" s="212" t="s">
        <v>818</v>
      </c>
      <c r="N38" s="209" t="s">
        <v>404</v>
      </c>
      <c r="O38" s="120"/>
      <c r="P38" s="120"/>
      <c r="Q38" s="275"/>
      <c r="X38" s="49"/>
      <c r="Y38" s="15"/>
      <c r="Z38" s="15"/>
    </row>
    <row r="39" spans="1:26" ht="22.5" customHeight="1" x14ac:dyDescent="0.25">
      <c r="G39" s="257">
        <v>3094</v>
      </c>
      <c r="H39" s="212">
        <v>600011100</v>
      </c>
      <c r="J39" s="212">
        <v>11</v>
      </c>
      <c r="K39" s="26"/>
      <c r="L39" s="211">
        <f>L38</f>
        <v>1309263.2500000002</v>
      </c>
      <c r="M39" s="212" t="s">
        <v>819</v>
      </c>
      <c r="N39" s="209" t="s">
        <v>404</v>
      </c>
      <c r="O39" s="120"/>
      <c r="P39" s="120"/>
      <c r="Q39" s="120"/>
      <c r="X39" s="49"/>
      <c r="Y39" s="15"/>
      <c r="Z39" s="15"/>
    </row>
    <row r="40" spans="1:26" ht="22.5" customHeight="1" x14ac:dyDescent="0.25">
      <c r="A40" s="214"/>
      <c r="B40" s="214"/>
      <c r="C40" s="221"/>
      <c r="D40" s="214"/>
      <c r="E40" s="222"/>
      <c r="F40" s="214"/>
      <c r="G40" s="214"/>
      <c r="H40" s="214"/>
      <c r="I40" s="214"/>
      <c r="J40" s="214"/>
      <c r="K40" s="264"/>
      <c r="L40" s="223"/>
      <c r="M40" s="214"/>
      <c r="N40" s="214"/>
      <c r="O40" s="120"/>
      <c r="P40" s="120"/>
      <c r="Q40" s="120"/>
      <c r="X40" s="49"/>
      <c r="Y40" s="15"/>
      <c r="Z40" s="15"/>
    </row>
    <row r="41" spans="1:26" ht="22.5" customHeight="1" x14ac:dyDescent="0.25">
      <c r="A41" s="209"/>
      <c r="K41" s="26"/>
      <c r="O41" s="120"/>
      <c r="P41" s="120"/>
      <c r="Q41" s="120"/>
      <c r="T41">
        <v>2019</v>
      </c>
      <c r="U41" t="s">
        <v>375</v>
      </c>
      <c r="V41" t="s">
        <v>149</v>
      </c>
      <c r="X41" s="49"/>
      <c r="Y41" s="15"/>
      <c r="Z41" s="15"/>
    </row>
    <row r="42" spans="1:26" ht="22.5" customHeight="1" x14ac:dyDescent="0.25">
      <c r="A42" s="209" t="s">
        <v>413</v>
      </c>
      <c r="B42" s="212">
        <v>3306</v>
      </c>
      <c r="C42" s="210" t="s">
        <v>242</v>
      </c>
      <c r="D42" s="225">
        <f>U42</f>
        <v>516017.63775000005</v>
      </c>
      <c r="E42" s="225">
        <f>V42</f>
        <v>267375</v>
      </c>
      <c r="F42" s="209"/>
      <c r="G42" s="257">
        <v>3094</v>
      </c>
      <c r="H42" s="257">
        <v>330600100</v>
      </c>
      <c r="I42" s="257"/>
      <c r="J42" s="257">
        <v>11</v>
      </c>
      <c r="K42" s="26"/>
      <c r="L42" s="211">
        <f>(D42+E42-K42)/12*2</f>
        <v>130565.439625</v>
      </c>
      <c r="M42" s="212" t="s">
        <v>818</v>
      </c>
      <c r="N42" s="209" t="s">
        <v>427</v>
      </c>
      <c r="O42" s="120"/>
      <c r="P42" s="120"/>
      <c r="Q42" s="120"/>
      <c r="S42" s="64">
        <v>3306</v>
      </c>
      <c r="T42" s="81" t="str">
        <f>VLOOKUP(S42,Orgenheter!$A$3:$C$165,2,FALSE)</f>
        <v xml:space="preserve">Idrottsmedicin                </v>
      </c>
      <c r="U42" s="15">
        <v>516017.63775000005</v>
      </c>
      <c r="V42" s="15">
        <v>267375</v>
      </c>
      <c r="X42" s="15"/>
      <c r="Y42" s="15"/>
      <c r="Z42" s="15"/>
    </row>
    <row r="43" spans="1:26" ht="22.5" customHeight="1" x14ac:dyDescent="0.25">
      <c r="B43" s="212"/>
      <c r="C43" s="210"/>
      <c r="G43" s="257">
        <v>3094</v>
      </c>
      <c r="H43" s="212">
        <v>600011100</v>
      </c>
      <c r="J43" s="257">
        <v>11</v>
      </c>
      <c r="K43" s="26"/>
      <c r="L43" s="225">
        <f>L42</f>
        <v>130565.439625</v>
      </c>
      <c r="M43" s="212" t="s">
        <v>819</v>
      </c>
      <c r="N43" s="209" t="s">
        <v>427</v>
      </c>
      <c r="O43" s="120"/>
      <c r="P43" s="120"/>
      <c r="Q43" s="120"/>
      <c r="S43">
        <v>3704</v>
      </c>
      <c r="T43" s="81" t="e">
        <f>VLOOKUP(S43,Orgenheter!$A$3:$C$165,2,FALSE)</f>
        <v>#N/A</v>
      </c>
      <c r="U43" s="15">
        <v>149732.70475</v>
      </c>
      <c r="V43" s="15">
        <v>77625</v>
      </c>
      <c r="X43" s="15"/>
      <c r="Y43" s="15"/>
      <c r="Z43" s="15"/>
    </row>
    <row r="44" spans="1:26" ht="22.5" customHeight="1" x14ac:dyDescent="0.25">
      <c r="B44" s="212">
        <v>3704</v>
      </c>
      <c r="C44" s="81" t="e">
        <f>VLOOKUP(B44,Orgenheter!$A$3:$C$165,2,FALSE)</f>
        <v>#N/A</v>
      </c>
      <c r="D44" s="225">
        <f>U43</f>
        <v>149732.70475</v>
      </c>
      <c r="E44" s="225">
        <f>V43</f>
        <v>77625</v>
      </c>
      <c r="G44" s="257">
        <v>3094</v>
      </c>
      <c r="H44" s="218">
        <v>370400002</v>
      </c>
      <c r="J44" s="257">
        <v>11</v>
      </c>
      <c r="K44" s="26"/>
      <c r="L44" s="211">
        <f>(D44+E44-K44)/12*2</f>
        <v>37892.95079166667</v>
      </c>
      <c r="M44" s="212" t="s">
        <v>818</v>
      </c>
      <c r="N44" s="209" t="s">
        <v>427</v>
      </c>
      <c r="O44" s="120"/>
      <c r="P44" s="120"/>
      <c r="Q44" s="120"/>
      <c r="T44" s="81"/>
      <c r="X44" s="49"/>
      <c r="Y44" s="15"/>
      <c r="Z44" s="15"/>
    </row>
    <row r="45" spans="1:26" ht="22.5" customHeight="1" x14ac:dyDescent="0.25">
      <c r="G45" s="257">
        <v>3094</v>
      </c>
      <c r="H45" s="212">
        <v>600011100</v>
      </c>
      <c r="J45" s="257">
        <v>11</v>
      </c>
      <c r="K45" s="26"/>
      <c r="L45" s="225">
        <f>L44</f>
        <v>37892.95079166667</v>
      </c>
      <c r="M45" s="212" t="s">
        <v>819</v>
      </c>
      <c r="N45" s="209" t="s">
        <v>427</v>
      </c>
      <c r="O45" s="120"/>
      <c r="P45" s="120"/>
      <c r="Q45" s="120"/>
      <c r="X45" s="49"/>
      <c r="Y45" s="15"/>
      <c r="Z45" s="15"/>
    </row>
    <row r="46" spans="1:26" ht="22.5" customHeight="1" x14ac:dyDescent="0.25">
      <c r="A46" s="214"/>
      <c r="B46" s="214"/>
      <c r="C46" s="226"/>
      <c r="D46" s="223"/>
      <c r="E46" s="223"/>
      <c r="F46" s="214"/>
      <c r="G46" s="227"/>
      <c r="H46" s="227"/>
      <c r="I46" s="227"/>
      <c r="J46" s="227"/>
      <c r="K46" s="264"/>
      <c r="L46" s="223"/>
      <c r="M46" s="214"/>
      <c r="N46" s="214"/>
      <c r="O46" s="120"/>
      <c r="P46" s="120"/>
      <c r="Q46" s="120"/>
      <c r="X46" s="49"/>
      <c r="Y46" s="15"/>
      <c r="Z46" s="15"/>
    </row>
    <row r="47" spans="1:26" ht="22.5" customHeight="1" x14ac:dyDescent="0.25">
      <c r="K47" s="26"/>
      <c r="O47" s="120"/>
      <c r="P47" s="120"/>
      <c r="Q47" s="120"/>
      <c r="S47" s="120"/>
      <c r="T47">
        <v>2019</v>
      </c>
      <c r="U47" t="s">
        <v>375</v>
      </c>
      <c r="V47" t="s">
        <v>149</v>
      </c>
      <c r="X47" s="49"/>
      <c r="Y47" s="15"/>
      <c r="Z47" s="15"/>
    </row>
    <row r="48" spans="1:26" ht="22.5" customHeight="1" x14ac:dyDescent="0.25">
      <c r="A48" s="212" t="s">
        <v>465</v>
      </c>
      <c r="B48" s="212">
        <v>5100</v>
      </c>
      <c r="C48" s="210" t="s">
        <v>164</v>
      </c>
      <c r="D48" s="299">
        <f>U48</f>
        <v>753431.78235937527</v>
      </c>
      <c r="E48" s="299">
        <f>V48</f>
        <v>330125</v>
      </c>
      <c r="G48" s="257">
        <v>3094</v>
      </c>
      <c r="H48" s="218">
        <v>510010100</v>
      </c>
      <c r="J48" s="257">
        <v>11</v>
      </c>
      <c r="L48" s="211">
        <f>(D48+E48-K48)/12*2</f>
        <v>180592.79705989585</v>
      </c>
      <c r="M48" s="257" t="s">
        <v>818</v>
      </c>
      <c r="N48" s="209" t="s">
        <v>427</v>
      </c>
      <c r="P48" s="120"/>
      <c r="Q48" s="120"/>
      <c r="S48">
        <v>5100</v>
      </c>
      <c r="T48" s="81" t="str">
        <f>VLOOKUP(S48,Orgenheter!$A$3:$C$165,2,FALSE)</f>
        <v>EMG</v>
      </c>
      <c r="U48" s="15">
        <v>753431.78235937527</v>
      </c>
      <c r="V48" s="15">
        <v>330125</v>
      </c>
      <c r="X48" s="120"/>
      <c r="Y48" s="15"/>
      <c r="Z48" s="15"/>
    </row>
    <row r="49" spans="1:26" ht="22.5" customHeight="1" x14ac:dyDescent="0.25">
      <c r="G49" s="257">
        <v>3094</v>
      </c>
      <c r="H49" s="218">
        <v>600011100</v>
      </c>
      <c r="J49" s="257">
        <v>11</v>
      </c>
      <c r="L49" s="225">
        <f>L48</f>
        <v>180592.79705989585</v>
      </c>
      <c r="M49" s="257" t="s">
        <v>819</v>
      </c>
      <c r="N49" s="209" t="s">
        <v>427</v>
      </c>
      <c r="P49" s="120"/>
      <c r="Q49" s="120"/>
      <c r="S49">
        <v>5160</v>
      </c>
      <c r="T49" s="81" t="str">
        <f>VLOOKUP(S49,Orgenheter!$A$3:$C$165,2,FALSE)</f>
        <v xml:space="preserve">Inst för Fysiologisk botanik  </v>
      </c>
      <c r="U49" s="15">
        <v>122645.24999999999</v>
      </c>
      <c r="V49" s="15">
        <v>54500</v>
      </c>
      <c r="X49" s="120"/>
      <c r="Y49" s="15"/>
      <c r="Z49" s="15"/>
    </row>
    <row r="50" spans="1:26" ht="22.5" customHeight="1" x14ac:dyDescent="0.25">
      <c r="B50" s="212">
        <v>5160</v>
      </c>
      <c r="C50" s="210" t="str">
        <f>VLOOKUP(B50,Orgenheter!$A$3:$C$165,2,FALSE)</f>
        <v xml:space="preserve">Inst för Fysiologisk botanik  </v>
      </c>
      <c r="D50" s="299">
        <f>U49</f>
        <v>122645.24999999999</v>
      </c>
      <c r="E50" s="299">
        <f>V49</f>
        <v>54500</v>
      </c>
      <c r="G50" s="218">
        <v>3094</v>
      </c>
      <c r="H50" s="218">
        <v>516001100</v>
      </c>
      <c r="J50" s="257">
        <v>11</v>
      </c>
      <c r="L50" s="211">
        <f>(D50+E50-K50)/12*2</f>
        <v>29524.208333333332</v>
      </c>
      <c r="M50" s="257" t="s">
        <v>818</v>
      </c>
      <c r="N50" s="209" t="s">
        <v>427</v>
      </c>
      <c r="O50" s="18"/>
      <c r="P50" s="120"/>
      <c r="Q50" s="120"/>
      <c r="S50">
        <v>5400</v>
      </c>
      <c r="T50" s="81" t="str">
        <f>VLOOKUP(S50,Orgenheter!$A$3:$C$165,2,FALSE)</f>
        <v xml:space="preserve">Inst för Fysik                </v>
      </c>
      <c r="U50" s="15">
        <v>236705.33250000002</v>
      </c>
      <c r="V50" s="15">
        <v>105185</v>
      </c>
      <c r="X50" s="120"/>
      <c r="Y50" s="15"/>
      <c r="Z50" s="15"/>
    </row>
    <row r="51" spans="1:26" ht="22.5" customHeight="1" x14ac:dyDescent="0.25">
      <c r="G51" s="218">
        <v>3094</v>
      </c>
      <c r="H51" s="218">
        <v>600011100</v>
      </c>
      <c r="I51" s="31"/>
      <c r="J51" s="257">
        <v>11</v>
      </c>
      <c r="L51" s="225">
        <f>L50</f>
        <v>29524.208333333332</v>
      </c>
      <c r="M51" s="257" t="s">
        <v>819</v>
      </c>
      <c r="N51" s="209" t="s">
        <v>427</v>
      </c>
      <c r="O51" s="18"/>
      <c r="P51" s="120"/>
      <c r="Q51" s="120"/>
      <c r="S51">
        <v>5410</v>
      </c>
      <c r="T51" s="81" t="s">
        <v>1105</v>
      </c>
      <c r="U51" s="15">
        <v>9811.6200000000008</v>
      </c>
      <c r="V51" s="15">
        <v>4360</v>
      </c>
      <c r="X51" s="120"/>
      <c r="Y51" s="15"/>
      <c r="Z51" s="15"/>
    </row>
    <row r="52" spans="1:26" ht="22.5" customHeight="1" x14ac:dyDescent="0.25">
      <c r="B52" s="218">
        <v>5400</v>
      </c>
      <c r="C52" s="213" t="s">
        <v>923</v>
      </c>
      <c r="D52" s="299">
        <f>U50</f>
        <v>236705.33250000002</v>
      </c>
      <c r="E52" s="299">
        <f>V50</f>
        <v>105185</v>
      </c>
      <c r="F52" s="31"/>
      <c r="G52" s="218">
        <v>3094</v>
      </c>
      <c r="H52" s="218">
        <v>540000100</v>
      </c>
      <c r="I52" s="31"/>
      <c r="J52" s="257">
        <v>11</v>
      </c>
      <c r="K52" s="300"/>
      <c r="L52" s="211">
        <f>(D52+E52-K52)/12*2</f>
        <v>56981.722083333334</v>
      </c>
      <c r="M52" s="218" t="s">
        <v>818</v>
      </c>
      <c r="N52" s="257" t="s">
        <v>427</v>
      </c>
      <c r="O52" s="18"/>
      <c r="P52" s="120"/>
      <c r="Q52" s="120"/>
      <c r="S52" s="18">
        <v>5500</v>
      </c>
      <c r="T52" s="81" t="str">
        <f>VLOOKUP(S52,Orgenheter!$A$3:$C$165,2,FALSE)</f>
        <v xml:space="preserve">Kemiska institutionen         </v>
      </c>
      <c r="U52" s="15">
        <v>171703.34999999995</v>
      </c>
      <c r="V52" s="15">
        <v>76300</v>
      </c>
      <c r="X52" s="120"/>
      <c r="Y52" s="15"/>
      <c r="Z52" s="15"/>
    </row>
    <row r="53" spans="1:26" ht="22.5" customHeight="1" x14ac:dyDescent="0.25">
      <c r="B53" s="218"/>
      <c r="C53" s="213"/>
      <c r="D53" s="218"/>
      <c r="E53" s="218"/>
      <c r="F53" s="31"/>
      <c r="G53" s="218">
        <v>3094</v>
      </c>
      <c r="H53" s="218">
        <v>600011100</v>
      </c>
      <c r="I53" s="31"/>
      <c r="J53" s="257">
        <v>11</v>
      </c>
      <c r="K53" s="300"/>
      <c r="L53" s="299">
        <f>L52</f>
        <v>56981.722083333334</v>
      </c>
      <c r="M53" s="218" t="s">
        <v>819</v>
      </c>
      <c r="N53" s="257" t="s">
        <v>427</v>
      </c>
      <c r="O53" s="120"/>
      <c r="P53" s="120"/>
      <c r="Q53" s="120"/>
      <c r="S53" s="159">
        <v>5700</v>
      </c>
      <c r="T53" s="81" t="s">
        <v>313</v>
      </c>
      <c r="U53">
        <v>59147.25</v>
      </c>
      <c r="V53">
        <v>27250</v>
      </c>
      <c r="X53" s="120"/>
      <c r="Y53" s="15"/>
      <c r="Z53" s="15"/>
    </row>
    <row r="54" spans="1:26" ht="22.5" customHeight="1" x14ac:dyDescent="0.25">
      <c r="B54" s="218">
        <v>5410</v>
      </c>
      <c r="C54" s="213" t="s">
        <v>1105</v>
      </c>
      <c r="D54" s="299">
        <f>U51</f>
        <v>9811.6200000000008</v>
      </c>
      <c r="E54" s="299">
        <f>V51</f>
        <v>4360</v>
      </c>
      <c r="F54" s="31"/>
      <c r="G54" s="218">
        <v>3094</v>
      </c>
      <c r="H54" s="218">
        <v>541000100</v>
      </c>
      <c r="I54" s="31"/>
      <c r="J54" s="257">
        <v>11</v>
      </c>
      <c r="K54" s="300"/>
      <c r="L54" s="211">
        <f>(D54+E54-K54)/12*2</f>
        <v>2361.936666666667</v>
      </c>
      <c r="M54" s="218" t="s">
        <v>818</v>
      </c>
      <c r="N54" s="257" t="s">
        <v>427</v>
      </c>
      <c r="O54" s="120"/>
      <c r="P54" s="120"/>
      <c r="Q54" s="120"/>
      <c r="S54" s="18">
        <v>5730</v>
      </c>
      <c r="T54" s="81" t="str">
        <f>VLOOKUP(S54,Orgenheter!$A$3:$C$165,2,FALSE)</f>
        <v>Inst för MA och MA statistik</v>
      </c>
      <c r="U54" s="15">
        <v>2125550.8831249992</v>
      </c>
      <c r="V54" s="15">
        <v>876851.66666666663</v>
      </c>
      <c r="X54" s="120"/>
      <c r="Y54" s="15"/>
      <c r="Z54" s="15"/>
    </row>
    <row r="55" spans="1:26" ht="22.5" customHeight="1" x14ac:dyDescent="0.25">
      <c r="B55" s="218"/>
      <c r="C55" s="213"/>
      <c r="D55" s="218"/>
      <c r="E55" s="218"/>
      <c r="F55" s="31"/>
      <c r="G55" s="218">
        <v>3094</v>
      </c>
      <c r="H55" s="218">
        <v>600011100</v>
      </c>
      <c r="I55" s="31"/>
      <c r="J55" s="257">
        <v>11</v>
      </c>
      <c r="K55" s="300"/>
      <c r="L55" s="299">
        <f>L54</f>
        <v>2361.936666666667</v>
      </c>
      <c r="M55" s="218" t="s">
        <v>819</v>
      </c>
      <c r="N55" s="257" t="s">
        <v>427</v>
      </c>
      <c r="O55" s="120"/>
      <c r="P55" s="120"/>
      <c r="Q55" s="120"/>
      <c r="S55" s="18">
        <v>5740</v>
      </c>
      <c r="T55" s="81" t="str">
        <f>VLOOKUP(S55,Orgenheter!$A$3:$C$165,2,FALSE)</f>
        <v>NMD</v>
      </c>
      <c r="U55" s="15">
        <v>12539896.395488337</v>
      </c>
      <c r="V55" s="15">
        <v>3828075.9166666674</v>
      </c>
      <c r="X55" s="49"/>
      <c r="Y55" s="15"/>
      <c r="Z55" s="15"/>
    </row>
    <row r="56" spans="1:26" ht="22.5" customHeight="1" x14ac:dyDescent="0.25">
      <c r="B56" s="218">
        <v>5500</v>
      </c>
      <c r="C56" s="213" t="s">
        <v>165</v>
      </c>
      <c r="D56" s="299">
        <f>U52</f>
        <v>171703.34999999995</v>
      </c>
      <c r="E56" s="299">
        <f>V52</f>
        <v>76300</v>
      </c>
      <c r="F56" s="218"/>
      <c r="G56" s="218">
        <v>3094</v>
      </c>
      <c r="H56" s="218">
        <v>550001100</v>
      </c>
      <c r="I56" s="218"/>
      <c r="J56" s="218">
        <v>11</v>
      </c>
      <c r="K56" s="300"/>
      <c r="L56" s="211">
        <f>(D56+E56-K56)/12*2</f>
        <v>41333.891666666656</v>
      </c>
      <c r="M56" s="218" t="s">
        <v>818</v>
      </c>
      <c r="N56" s="218" t="s">
        <v>427</v>
      </c>
      <c r="O56" s="120"/>
      <c r="P56" s="120"/>
      <c r="Q56" s="120"/>
      <c r="X56" s="49"/>
      <c r="Y56" s="15"/>
      <c r="Z56" s="15"/>
    </row>
    <row r="57" spans="1:26" ht="22.5" customHeight="1" x14ac:dyDescent="0.25">
      <c r="A57" s="212"/>
      <c r="B57" s="218"/>
      <c r="C57" s="213"/>
      <c r="D57" s="218"/>
      <c r="E57" s="218"/>
      <c r="F57" s="218"/>
      <c r="G57" s="218">
        <v>3094</v>
      </c>
      <c r="H57" s="218">
        <v>600011100</v>
      </c>
      <c r="I57" s="218"/>
      <c r="J57" s="218">
        <v>11</v>
      </c>
      <c r="K57" s="300"/>
      <c r="L57" s="299">
        <f>L56</f>
        <v>41333.891666666656</v>
      </c>
      <c r="M57" s="218" t="s">
        <v>819</v>
      </c>
      <c r="N57" s="218" t="s">
        <v>427</v>
      </c>
      <c r="O57" s="166"/>
      <c r="P57" s="166"/>
      <c r="Q57" s="166"/>
      <c r="X57" s="49"/>
      <c r="Y57" s="15"/>
      <c r="Z57" s="15"/>
    </row>
    <row r="58" spans="1:26" ht="22.5" customHeight="1" x14ac:dyDescent="0.25">
      <c r="B58" s="218">
        <v>5700</v>
      </c>
      <c r="C58" s="213" t="s">
        <v>313</v>
      </c>
      <c r="D58" s="299">
        <f>U53</f>
        <v>59147.25</v>
      </c>
      <c r="E58" s="299">
        <f>V53</f>
        <v>27250</v>
      </c>
      <c r="G58" s="218">
        <v>3094</v>
      </c>
      <c r="H58" s="218">
        <v>570001100</v>
      </c>
      <c r="J58" s="218">
        <v>11</v>
      </c>
      <c r="L58" s="211">
        <f>(D58+E58-K58)/12*2</f>
        <v>14399.541666666666</v>
      </c>
      <c r="M58" s="218" t="s">
        <v>818</v>
      </c>
      <c r="N58" s="218" t="s">
        <v>427</v>
      </c>
      <c r="O58" s="120"/>
      <c r="P58" s="120"/>
      <c r="Q58" s="120"/>
      <c r="X58" s="49"/>
      <c r="Y58" s="15"/>
      <c r="Z58" s="15"/>
    </row>
    <row r="59" spans="1:26" ht="22.5" customHeight="1" x14ac:dyDescent="0.25">
      <c r="G59" s="218">
        <v>3094</v>
      </c>
      <c r="H59" s="218">
        <v>600011100</v>
      </c>
      <c r="I59" s="218"/>
      <c r="J59" s="218">
        <v>11</v>
      </c>
      <c r="L59" s="299">
        <f>L58</f>
        <v>14399.541666666666</v>
      </c>
      <c r="M59" s="218" t="s">
        <v>819</v>
      </c>
      <c r="N59" s="218" t="s">
        <v>427</v>
      </c>
      <c r="O59" s="166"/>
      <c r="P59" s="166"/>
      <c r="Q59" s="166"/>
      <c r="X59" s="49"/>
      <c r="Y59" s="15"/>
      <c r="Z59" s="15"/>
    </row>
    <row r="60" spans="1:26" ht="22.5" customHeight="1" x14ac:dyDescent="0.25">
      <c r="A60" s="212"/>
      <c r="B60" s="212">
        <v>5730</v>
      </c>
      <c r="C60" s="210" t="s">
        <v>166</v>
      </c>
      <c r="D60" s="225">
        <f>U54</f>
        <v>2125550.8831249992</v>
      </c>
      <c r="E60" s="225">
        <f>V54</f>
        <v>876851.66666666663</v>
      </c>
      <c r="F60" s="212"/>
      <c r="G60" s="212">
        <v>3094</v>
      </c>
      <c r="H60" s="212">
        <v>573000111</v>
      </c>
      <c r="I60" s="212"/>
      <c r="J60" s="212">
        <v>11</v>
      </c>
      <c r="K60" s="26"/>
      <c r="L60" s="211">
        <f>(D60+E60-K60)/12*2</f>
        <v>500400.42496527761</v>
      </c>
      <c r="M60" s="212" t="s">
        <v>818</v>
      </c>
      <c r="N60" s="212" t="s">
        <v>427</v>
      </c>
      <c r="O60" s="120"/>
      <c r="P60" s="120"/>
      <c r="Q60" s="120"/>
      <c r="X60" s="49"/>
      <c r="Y60" s="15"/>
      <c r="Z60" s="15"/>
    </row>
    <row r="61" spans="1:26" ht="22.5" customHeight="1" x14ac:dyDescent="0.25">
      <c r="A61" s="212"/>
      <c r="B61" s="212"/>
      <c r="C61" s="210"/>
      <c r="F61" s="212"/>
      <c r="G61" s="212">
        <v>3094</v>
      </c>
      <c r="H61" s="212">
        <v>600011100</v>
      </c>
      <c r="I61" s="212"/>
      <c r="J61" s="212">
        <v>11</v>
      </c>
      <c r="K61" s="26"/>
      <c r="L61" s="225">
        <f>L60</f>
        <v>500400.42496527761</v>
      </c>
      <c r="M61" s="212" t="s">
        <v>819</v>
      </c>
      <c r="N61" s="212" t="s">
        <v>427</v>
      </c>
      <c r="O61" s="120"/>
      <c r="P61" s="120"/>
      <c r="Q61" s="120"/>
      <c r="X61" s="49"/>
      <c r="Z61" s="15"/>
    </row>
    <row r="62" spans="1:26" ht="22.5" customHeight="1" x14ac:dyDescent="0.25">
      <c r="B62" s="212">
        <v>5740</v>
      </c>
      <c r="C62" s="210" t="s">
        <v>461</v>
      </c>
      <c r="D62" s="225">
        <f>U55</f>
        <v>12539896.395488337</v>
      </c>
      <c r="E62" s="225">
        <f>V55</f>
        <v>3828075.9166666674</v>
      </c>
      <c r="F62" s="212"/>
      <c r="G62" s="212">
        <v>3094</v>
      </c>
      <c r="H62" s="218">
        <v>574002011</v>
      </c>
      <c r="I62" s="212"/>
      <c r="J62" s="212">
        <v>11</v>
      </c>
      <c r="K62" s="26"/>
      <c r="L62" s="211">
        <f>(D62+E62-K62)/12*2</f>
        <v>2727995.3853591676</v>
      </c>
      <c r="M62" s="212" t="s">
        <v>818</v>
      </c>
      <c r="N62" s="212" t="s">
        <v>427</v>
      </c>
      <c r="O62" s="166"/>
      <c r="P62" s="166"/>
      <c r="Q62" s="166"/>
      <c r="X62" s="49"/>
      <c r="Z62" s="15"/>
    </row>
    <row r="63" spans="1:26" ht="22.5" customHeight="1" x14ac:dyDescent="0.25">
      <c r="B63" s="212"/>
      <c r="C63" s="209"/>
      <c r="D63" s="212"/>
      <c r="E63" s="212"/>
      <c r="F63" s="212"/>
      <c r="G63" s="212">
        <v>3094</v>
      </c>
      <c r="H63" s="212">
        <v>600011100</v>
      </c>
      <c r="I63" s="212"/>
      <c r="J63" s="212">
        <v>11</v>
      </c>
      <c r="K63" s="26"/>
      <c r="L63" s="225">
        <f>L62</f>
        <v>2727995.3853591676</v>
      </c>
      <c r="M63" s="212" t="s">
        <v>819</v>
      </c>
      <c r="N63" s="212" t="s">
        <v>427</v>
      </c>
      <c r="O63" s="120"/>
      <c r="P63" s="120"/>
      <c r="Q63" s="120"/>
      <c r="X63" s="49"/>
      <c r="Z63" s="15"/>
    </row>
    <row r="64" spans="1:26" ht="25.5" customHeight="1" x14ac:dyDescent="0.25">
      <c r="A64" s="214"/>
      <c r="B64" s="214"/>
      <c r="C64" s="214"/>
      <c r="D64" s="214"/>
      <c r="E64" s="214"/>
      <c r="F64" s="214"/>
      <c r="G64" s="214"/>
      <c r="H64" s="214"/>
      <c r="I64" s="214"/>
      <c r="J64" s="214"/>
      <c r="K64" s="262"/>
      <c r="L64" s="215"/>
      <c r="M64" s="214"/>
      <c r="N64" s="214"/>
      <c r="O64" s="18"/>
      <c r="P64" s="18"/>
      <c r="Q64" s="18"/>
      <c r="X64" s="49"/>
      <c r="Z64" s="15"/>
    </row>
    <row r="65" spans="3:26" ht="15" customHeight="1" x14ac:dyDescent="0.25">
      <c r="O65" s="18"/>
      <c r="P65" s="18"/>
      <c r="Q65" s="18"/>
      <c r="X65" s="49"/>
      <c r="Z65" s="15"/>
    </row>
    <row r="66" spans="3:26" ht="15" customHeight="1" x14ac:dyDescent="0.25">
      <c r="D66" s="26">
        <f>SUM(D6:D63)</f>
        <v>90441023.415583327</v>
      </c>
      <c r="E66" s="26">
        <f>SUM(E6:E36,E42:E62)</f>
        <v>23039529.416666664</v>
      </c>
      <c r="L66" s="26"/>
      <c r="X66" s="49"/>
      <c r="Z66" s="15"/>
    </row>
    <row r="67" spans="3:26" x14ac:dyDescent="0.25">
      <c r="I67" s="202" t="s">
        <v>469</v>
      </c>
      <c r="J67" s="184"/>
      <c r="K67" s="184"/>
      <c r="L67" s="184"/>
      <c r="M67" s="184"/>
      <c r="N67" s="201"/>
      <c r="Z67" s="15"/>
    </row>
    <row r="68" spans="3:26" x14ac:dyDescent="0.25">
      <c r="I68" s="165"/>
      <c r="J68" s="163"/>
      <c r="K68" s="262"/>
      <c r="L68" s="163"/>
      <c r="M68" s="163"/>
      <c r="N68" s="164"/>
    </row>
    <row r="69" spans="3:26" x14ac:dyDescent="0.25">
      <c r="I69" s="203" t="s">
        <v>565</v>
      </c>
      <c r="J69" s="204"/>
      <c r="K69" s="263"/>
      <c r="L69" s="204"/>
      <c r="M69" s="204"/>
      <c r="N69" s="199"/>
    </row>
    <row r="70" spans="3:26" x14ac:dyDescent="0.25">
      <c r="C70" s="81"/>
      <c r="D70" s="120"/>
      <c r="E70" s="120"/>
    </row>
    <row r="71" spans="3:26" x14ac:dyDescent="0.25">
      <c r="I71" s="200" t="s">
        <v>422</v>
      </c>
      <c r="J71" s="184"/>
      <c r="K71" s="184"/>
      <c r="L71" s="184"/>
      <c r="M71" s="184"/>
      <c r="N71" s="201"/>
    </row>
    <row r="72" spans="3:26" x14ac:dyDescent="0.25">
      <c r="I72" s="165"/>
      <c r="J72" s="163"/>
      <c r="K72" s="262"/>
      <c r="L72" s="163"/>
      <c r="M72" s="163"/>
      <c r="N72" s="164"/>
    </row>
    <row r="73" spans="3:26" x14ac:dyDescent="0.25">
      <c r="I73" s="203" t="s">
        <v>1743</v>
      </c>
      <c r="J73" s="204"/>
      <c r="K73" s="263"/>
      <c r="L73" s="204"/>
      <c r="M73" s="204"/>
      <c r="N73" s="199"/>
    </row>
  </sheetData>
  <mergeCells count="1">
    <mergeCell ref="O3:T3"/>
  </mergeCells>
  <printOptions gridLines="1"/>
  <pageMargins left="0.43307086614173229" right="0.39370078740157483" top="0.86614173228346458" bottom="0.78740157480314965" header="0.31496062992125984" footer="0.31496062992125984"/>
  <pageSetup paperSize="9" scale="58" fitToHeight="2" orientation="landscape" cellComments="asDisplayed" r:id="rId1"/>
  <headerFooter>
    <oddHeader xml:space="preserve">&amp;LUMEÅ UNIVERSITET
Lärarhögskolan
A Simm&amp;CGU-RESURSER
2019&amp;RBOKFÖRINGSORDER
</oddHeader>
    <oddFooter>&amp;L&amp;F&amp;C&amp;A&amp;R&amp;P (&amp;N)</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1"/>
  <sheetViews>
    <sheetView topLeftCell="B1" workbookViewId="0">
      <selection activeCell="B1" sqref="B1"/>
    </sheetView>
  </sheetViews>
  <sheetFormatPr defaultRowHeight="15" x14ac:dyDescent="0.25"/>
  <cols>
    <col min="2" max="2" width="38.42578125" customWidth="1"/>
    <col min="3" max="6" width="16.28515625" customWidth="1"/>
    <col min="7" max="7" width="18.5703125" customWidth="1"/>
    <col min="8" max="9" width="17" customWidth="1"/>
    <col min="10" max="11" width="16.85546875" customWidth="1"/>
    <col min="12" max="12" width="17.7109375" customWidth="1"/>
    <col min="13" max="13" width="16.85546875" customWidth="1"/>
    <col min="16" max="19" width="17" customWidth="1"/>
  </cols>
  <sheetData>
    <row r="1" spans="1:19" ht="45" x14ac:dyDescent="0.25">
      <c r="A1" s="503" t="s">
        <v>817</v>
      </c>
      <c r="B1" s="503" t="s">
        <v>35</v>
      </c>
      <c r="C1" s="489" t="s">
        <v>2223</v>
      </c>
      <c r="D1" s="489" t="s">
        <v>2224</v>
      </c>
      <c r="E1" s="489" t="s">
        <v>2225</v>
      </c>
      <c r="F1" s="489" t="s">
        <v>2226</v>
      </c>
      <c r="G1" s="489" t="s">
        <v>2227</v>
      </c>
      <c r="H1" s="489" t="s">
        <v>2311</v>
      </c>
      <c r="I1" s="489" t="s">
        <v>2312</v>
      </c>
      <c r="J1" s="489" t="s">
        <v>2313</v>
      </c>
      <c r="K1" s="489" t="s">
        <v>2314</v>
      </c>
      <c r="L1" s="489" t="s">
        <v>2315</v>
      </c>
      <c r="M1" s="503"/>
    </row>
    <row r="2" spans="1:19" x14ac:dyDescent="0.25">
      <c r="L2" s="26"/>
      <c r="M2" s="26"/>
    </row>
    <row r="3" spans="1:19" x14ac:dyDescent="0.25">
      <c r="A3">
        <v>1620</v>
      </c>
      <c r="B3" t="s">
        <v>176</v>
      </c>
      <c r="C3" s="26">
        <v>10500482.090158761</v>
      </c>
      <c r="D3" s="26">
        <v>1806084.9166666667</v>
      </c>
      <c r="E3" s="15">
        <f>C3/12*5</f>
        <v>4375200.8708994836</v>
      </c>
      <c r="F3" s="15">
        <f>D3/12*5</f>
        <v>752535.3819444445</v>
      </c>
      <c r="G3" s="15">
        <f>SUM(E3:F3)</f>
        <v>5127736.2528439276</v>
      </c>
      <c r="H3" s="15">
        <v>9849095.7614191771</v>
      </c>
      <c r="I3" s="15">
        <v>1687177.4166666667</v>
      </c>
      <c r="J3" s="26">
        <f>((H3-E3)/7*3)+E3</f>
        <v>6721155.8239793517</v>
      </c>
      <c r="K3" s="26">
        <f>((I3-F3)/7*3)+F3</f>
        <v>1153096.253968254</v>
      </c>
      <c r="L3" s="26">
        <f>SUM(J3:K3)</f>
        <v>7874252.0779476054</v>
      </c>
      <c r="R3" s="15"/>
      <c r="S3" s="15"/>
    </row>
    <row r="4" spans="1:19" x14ac:dyDescent="0.25">
      <c r="A4">
        <v>1630</v>
      </c>
      <c r="B4" t="s">
        <v>172</v>
      </c>
      <c r="C4" s="26">
        <v>5937676.3254366769</v>
      </c>
      <c r="D4" s="26">
        <v>807286.16666666651</v>
      </c>
      <c r="E4" s="15">
        <f t="shared" ref="E4:F19" si="0">C4/12*5</f>
        <v>2474031.8022652818</v>
      </c>
      <c r="F4" s="15">
        <f t="shared" si="0"/>
        <v>336369.23611111101</v>
      </c>
      <c r="G4" s="15">
        <f t="shared" ref="G4:G26" si="1">SUM(E4:F4)</f>
        <v>2810401.0383763928</v>
      </c>
      <c r="H4" s="15">
        <v>5968480.0704908334</v>
      </c>
      <c r="I4" s="15">
        <v>814452.83333333337</v>
      </c>
      <c r="J4" s="26">
        <f t="shared" ref="J4:J28" si="2">((H4-E4)/7*3)+E4</f>
        <v>3971652.4886476612</v>
      </c>
      <c r="K4" s="26">
        <f t="shared" ref="K4:K28" si="3">((I4-F4)/7*3)+F4</f>
        <v>541262.20634920627</v>
      </c>
      <c r="L4" s="26">
        <f t="shared" ref="L4:L28" si="4">SUM(J4:K4)</f>
        <v>4512914.6949968673</v>
      </c>
      <c r="M4" s="26"/>
      <c r="R4" s="15"/>
      <c r="S4" s="15"/>
    </row>
    <row r="5" spans="1:19" x14ac:dyDescent="0.25">
      <c r="A5">
        <v>1640</v>
      </c>
      <c r="B5" t="s">
        <v>173</v>
      </c>
      <c r="C5" s="26">
        <v>1745740.1951175001</v>
      </c>
      <c r="D5" s="26">
        <v>267075.5</v>
      </c>
      <c r="E5" s="15">
        <f t="shared" si="0"/>
        <v>727391.74796562514</v>
      </c>
      <c r="F5" s="15">
        <f t="shared" si="0"/>
        <v>111281.45833333334</v>
      </c>
      <c r="G5" s="15">
        <f t="shared" si="1"/>
        <v>838673.20629895851</v>
      </c>
      <c r="H5" s="15">
        <v>1714900.08207375</v>
      </c>
      <c r="I5" s="15">
        <v>262218</v>
      </c>
      <c r="J5" s="26">
        <f t="shared" si="2"/>
        <v>1150609.6054405358</v>
      </c>
      <c r="K5" s="26">
        <f t="shared" si="3"/>
        <v>175968.54761904763</v>
      </c>
      <c r="L5" s="26">
        <f t="shared" si="4"/>
        <v>1326578.1530595834</v>
      </c>
      <c r="R5" s="15"/>
      <c r="S5" s="15"/>
    </row>
    <row r="6" spans="1:19" x14ac:dyDescent="0.25">
      <c r="A6">
        <v>1650</v>
      </c>
      <c r="B6" t="s">
        <v>11</v>
      </c>
      <c r="C6" s="26">
        <v>13175763.181762923</v>
      </c>
      <c r="D6" s="26">
        <v>6655855.75</v>
      </c>
      <c r="E6" s="15">
        <f t="shared" si="0"/>
        <v>5489901.3257345511</v>
      </c>
      <c r="F6" s="15">
        <f t="shared" si="0"/>
        <v>2773273.229166667</v>
      </c>
      <c r="G6" s="15">
        <f t="shared" si="1"/>
        <v>8263174.554901218</v>
      </c>
      <c r="H6" s="15">
        <v>12077292.521921251</v>
      </c>
      <c r="I6" s="15">
        <v>6184859.083333333</v>
      </c>
      <c r="J6" s="26">
        <f t="shared" si="2"/>
        <v>8313068.9812431373</v>
      </c>
      <c r="K6" s="26">
        <f t="shared" si="3"/>
        <v>4235381.4523809524</v>
      </c>
      <c r="L6" s="26">
        <f t="shared" si="4"/>
        <v>12548450.433624089</v>
      </c>
      <c r="M6" s="26"/>
      <c r="R6" s="15"/>
      <c r="S6" s="15"/>
    </row>
    <row r="7" spans="1:19" x14ac:dyDescent="0.25">
      <c r="A7">
        <v>2180</v>
      </c>
      <c r="B7" t="s">
        <v>192</v>
      </c>
      <c r="C7" s="26">
        <v>14752023.060662922</v>
      </c>
      <c r="D7" s="490">
        <v>2922218.166666667</v>
      </c>
      <c r="E7" s="414">
        <f t="shared" si="0"/>
        <v>6146676.2752762167</v>
      </c>
      <c r="F7" s="491">
        <f t="shared" si="0"/>
        <v>1217590.902777778</v>
      </c>
      <c r="G7" s="15">
        <f t="shared" si="1"/>
        <v>7364267.1780539947</v>
      </c>
      <c r="H7" s="15">
        <v>13937076.470072009</v>
      </c>
      <c r="I7" s="491">
        <v>2726217.2333333371</v>
      </c>
      <c r="J7" s="26">
        <f t="shared" si="2"/>
        <v>9485419.2159029841</v>
      </c>
      <c r="K7" s="490">
        <f t="shared" si="3"/>
        <v>1864145.0444444462</v>
      </c>
      <c r="L7" s="26">
        <f t="shared" si="4"/>
        <v>11349564.26034743</v>
      </c>
      <c r="R7" s="15"/>
      <c r="S7" s="15"/>
    </row>
    <row r="8" spans="1:19" x14ac:dyDescent="0.25">
      <c r="A8">
        <v>2193</v>
      </c>
      <c r="B8" t="s">
        <v>441</v>
      </c>
      <c r="C8" s="26">
        <v>19848427.626996201</v>
      </c>
      <c r="D8" s="490">
        <v>3081263.833333333</v>
      </c>
      <c r="E8" s="414">
        <f t="shared" si="0"/>
        <v>8270178.1779150842</v>
      </c>
      <c r="F8" s="491">
        <f t="shared" si="0"/>
        <v>1283859.9305555555</v>
      </c>
      <c r="G8" s="15">
        <f t="shared" si="1"/>
        <v>9554038.1084706392</v>
      </c>
      <c r="H8" s="15">
        <v>19270790.545138761</v>
      </c>
      <c r="I8" s="491">
        <v>2992382.5</v>
      </c>
      <c r="J8" s="26">
        <f t="shared" si="2"/>
        <v>12984726.335296661</v>
      </c>
      <c r="K8" s="490">
        <f t="shared" si="3"/>
        <v>2016083.888888889</v>
      </c>
      <c r="L8" s="26">
        <f t="shared" si="4"/>
        <v>15000810.224185549</v>
      </c>
      <c r="M8" s="26"/>
      <c r="R8" s="15"/>
      <c r="S8" s="15"/>
    </row>
    <row r="9" spans="1:19" x14ac:dyDescent="0.25">
      <c r="A9">
        <v>2200</v>
      </c>
      <c r="B9" t="s">
        <v>574</v>
      </c>
      <c r="C9" s="26">
        <v>1910286.98263</v>
      </c>
      <c r="D9" s="490">
        <v>274059.66666666663</v>
      </c>
      <c r="E9" s="414">
        <f t="shared" si="0"/>
        <v>795952.90942916658</v>
      </c>
      <c r="F9" s="491">
        <f t="shared" si="0"/>
        <v>114191.52777777775</v>
      </c>
      <c r="G9" s="15">
        <f t="shared" si="1"/>
        <v>910144.43720694433</v>
      </c>
      <c r="H9" s="15">
        <v>1897573.3062237499</v>
      </c>
      <c r="I9" s="491">
        <v>271232.16666666663</v>
      </c>
      <c r="J9" s="26">
        <f t="shared" si="2"/>
        <v>1268075.936626845</v>
      </c>
      <c r="K9" s="490">
        <f t="shared" si="3"/>
        <v>181494.6587301587</v>
      </c>
      <c r="L9" s="26">
        <f t="shared" si="4"/>
        <v>1449570.5953570036</v>
      </c>
      <c r="M9" s="26"/>
      <c r="R9" s="15"/>
      <c r="S9" s="15"/>
    </row>
    <row r="10" spans="1:19" x14ac:dyDescent="0.25">
      <c r="A10">
        <v>2220</v>
      </c>
      <c r="B10" t="s">
        <v>195</v>
      </c>
      <c r="C10" s="26">
        <v>136091.94990000001</v>
      </c>
      <c r="D10" s="490">
        <v>26680.000000000004</v>
      </c>
      <c r="E10" s="414">
        <f t="shared" si="0"/>
        <v>56704.979124999998</v>
      </c>
      <c r="F10" s="491">
        <f t="shared" si="0"/>
        <v>11116.666666666668</v>
      </c>
      <c r="G10" s="15">
        <f t="shared" si="1"/>
        <v>67821.64579166667</v>
      </c>
      <c r="H10" s="15">
        <v>124257.86729999998</v>
      </c>
      <c r="I10" s="491">
        <v>24360</v>
      </c>
      <c r="J10" s="26">
        <f t="shared" si="2"/>
        <v>85656.216914285702</v>
      </c>
      <c r="K10" s="490">
        <f t="shared" si="3"/>
        <v>16792.380952380954</v>
      </c>
      <c r="L10" s="26">
        <f t="shared" si="4"/>
        <v>102448.59786666665</v>
      </c>
      <c r="M10" s="490"/>
      <c r="N10" s="31"/>
      <c r="R10" s="15"/>
      <c r="S10" s="15"/>
    </row>
    <row r="11" spans="1:19" x14ac:dyDescent="0.25">
      <c r="A11">
        <v>2271</v>
      </c>
      <c r="B11" t="s">
        <v>196</v>
      </c>
      <c r="C11" s="26">
        <v>257275.18256749999</v>
      </c>
      <c r="D11" s="490">
        <v>48691</v>
      </c>
      <c r="E11" s="414">
        <f t="shared" si="0"/>
        <v>107197.99273645833</v>
      </c>
      <c r="F11" s="491">
        <f t="shared" si="0"/>
        <v>20287.916666666668</v>
      </c>
      <c r="G11" s="15">
        <f t="shared" si="1"/>
        <v>127485.909403125</v>
      </c>
      <c r="H11" s="15">
        <v>245345.6638175</v>
      </c>
      <c r="I11" s="491">
        <v>46516</v>
      </c>
      <c r="J11" s="26">
        <f t="shared" si="2"/>
        <v>166404.13748547618</v>
      </c>
      <c r="K11" s="490">
        <f t="shared" si="3"/>
        <v>31528.523809523809</v>
      </c>
      <c r="L11" s="26">
        <f t="shared" si="4"/>
        <v>197932.661295</v>
      </c>
      <c r="M11" s="490"/>
      <c r="N11" s="31"/>
      <c r="R11" s="15"/>
      <c r="S11" s="15"/>
    </row>
    <row r="12" spans="1:19" x14ac:dyDescent="0.25">
      <c r="A12">
        <v>2272</v>
      </c>
      <c r="B12" t="s">
        <v>200</v>
      </c>
      <c r="C12" s="26">
        <v>459793.1014300001</v>
      </c>
      <c r="D12" s="490">
        <v>59604.666666666672</v>
      </c>
      <c r="E12" s="414">
        <f t="shared" si="0"/>
        <v>191580.45892916672</v>
      </c>
      <c r="F12" s="491">
        <f t="shared" si="0"/>
        <v>24835.277777777777</v>
      </c>
      <c r="G12" s="15">
        <f t="shared" si="1"/>
        <v>216415.7367069445</v>
      </c>
      <c r="H12" s="15">
        <v>456810.33723000012</v>
      </c>
      <c r="I12" s="491">
        <v>59218.000000000015</v>
      </c>
      <c r="J12" s="26">
        <f t="shared" si="2"/>
        <v>305250.40677238104</v>
      </c>
      <c r="K12" s="490">
        <f t="shared" si="3"/>
        <v>39570.730158730163</v>
      </c>
      <c r="L12" s="26">
        <f t="shared" si="4"/>
        <v>344821.13693111122</v>
      </c>
      <c r="M12" s="490"/>
      <c r="N12" s="31"/>
      <c r="R12" s="15"/>
      <c r="S12" s="15"/>
    </row>
    <row r="13" spans="1:19" x14ac:dyDescent="0.25">
      <c r="A13">
        <v>2300</v>
      </c>
      <c r="B13" t="s">
        <v>924</v>
      </c>
      <c r="C13" s="26">
        <v>737078.31837250013</v>
      </c>
      <c r="D13" s="490">
        <v>95550.166666666672</v>
      </c>
      <c r="E13" s="414">
        <f t="shared" si="0"/>
        <v>307115.96598854172</v>
      </c>
      <c r="F13" s="491">
        <f t="shared" si="0"/>
        <v>39812.569444444445</v>
      </c>
      <c r="G13" s="15">
        <f t="shared" si="1"/>
        <v>346928.53543298616</v>
      </c>
      <c r="H13" s="15">
        <v>705050.88777500007</v>
      </c>
      <c r="I13" s="491">
        <v>91398.333333333343</v>
      </c>
      <c r="J13" s="26">
        <f t="shared" si="2"/>
        <v>477659.50389702385</v>
      </c>
      <c r="K13" s="490">
        <f t="shared" si="3"/>
        <v>61920.753968253972</v>
      </c>
      <c r="L13" s="26">
        <f t="shared" si="4"/>
        <v>539580.25786527782</v>
      </c>
      <c r="M13" s="492"/>
      <c r="N13" s="31"/>
      <c r="R13" s="15"/>
      <c r="S13" s="15"/>
    </row>
    <row r="14" spans="1:19" x14ac:dyDescent="0.25">
      <c r="A14">
        <v>2340</v>
      </c>
      <c r="B14" t="s">
        <v>198</v>
      </c>
      <c r="C14" s="26">
        <v>1666798.5926274997</v>
      </c>
      <c r="D14" s="490">
        <v>278433.83333333331</v>
      </c>
      <c r="E14" s="414">
        <f t="shared" si="0"/>
        <v>694499.41359479155</v>
      </c>
      <c r="F14" s="491">
        <f t="shared" si="0"/>
        <v>116014.0972222222</v>
      </c>
      <c r="G14" s="15">
        <f t="shared" si="1"/>
        <v>810513.5108170138</v>
      </c>
      <c r="H14" s="15">
        <v>1550977.6054729992</v>
      </c>
      <c r="I14" s="491">
        <v>259213.59999999998</v>
      </c>
      <c r="J14" s="26">
        <f t="shared" si="2"/>
        <v>1061561.4958283091</v>
      </c>
      <c r="K14" s="490">
        <f t="shared" si="3"/>
        <v>177385.31269841269</v>
      </c>
      <c r="L14" s="26">
        <f t="shared" si="4"/>
        <v>1238946.8085267218</v>
      </c>
      <c r="M14" s="490"/>
      <c r="N14" s="31"/>
      <c r="R14" s="15"/>
      <c r="S14" s="15"/>
    </row>
    <row r="15" spans="1:19" x14ac:dyDescent="0.25">
      <c r="A15">
        <v>2360</v>
      </c>
      <c r="B15" t="s">
        <v>575</v>
      </c>
      <c r="C15" s="26">
        <v>171742.12373249998</v>
      </c>
      <c r="D15" s="490">
        <v>33669</v>
      </c>
      <c r="E15" s="414">
        <f t="shared" si="0"/>
        <v>71559.218221874995</v>
      </c>
      <c r="F15" s="491">
        <f t="shared" si="0"/>
        <v>14028.75</v>
      </c>
      <c r="G15" s="15">
        <f t="shared" si="1"/>
        <v>85587.968221874995</v>
      </c>
      <c r="H15" s="15">
        <v>175440.27454499999</v>
      </c>
      <c r="I15" s="491">
        <v>34394</v>
      </c>
      <c r="J15" s="26">
        <f t="shared" si="2"/>
        <v>116079.67093178572</v>
      </c>
      <c r="K15" s="490">
        <f t="shared" si="3"/>
        <v>22756.714285714286</v>
      </c>
      <c r="L15" s="26">
        <f t="shared" si="4"/>
        <v>138836.38521750001</v>
      </c>
      <c r="M15" s="492"/>
      <c r="N15" s="31"/>
      <c r="R15" s="15"/>
      <c r="S15" s="15"/>
    </row>
    <row r="16" spans="1:19" x14ac:dyDescent="0.25">
      <c r="A16">
        <v>2500</v>
      </c>
      <c r="B16" t="s">
        <v>2169</v>
      </c>
      <c r="C16" s="26">
        <v>211615.26814062503</v>
      </c>
      <c r="D16" s="490">
        <v>46221.666666666664</v>
      </c>
      <c r="E16" s="414">
        <f t="shared" si="0"/>
        <v>88173.028391927088</v>
      </c>
      <c r="F16" s="491">
        <f t="shared" si="0"/>
        <v>19259.027777777777</v>
      </c>
      <c r="G16" s="15">
        <f t="shared" si="1"/>
        <v>107432.05616970487</v>
      </c>
      <c r="H16" s="15">
        <v>218546.47669531254</v>
      </c>
      <c r="I16" s="491">
        <v>48059.166666666664</v>
      </c>
      <c r="J16" s="26">
        <f t="shared" si="2"/>
        <v>144047.36337909228</v>
      </c>
      <c r="K16" s="490">
        <f t="shared" si="3"/>
        <v>31601.944444444445</v>
      </c>
      <c r="L16" s="26">
        <f t="shared" si="4"/>
        <v>175649.30782353671</v>
      </c>
      <c r="M16" s="490"/>
      <c r="N16" s="31"/>
      <c r="R16" s="15"/>
      <c r="S16" s="15"/>
    </row>
    <row r="17" spans="1:19" x14ac:dyDescent="0.25">
      <c r="A17">
        <v>2750</v>
      </c>
      <c r="B17" t="s">
        <v>205</v>
      </c>
      <c r="C17" s="26">
        <v>2245587.2100749998</v>
      </c>
      <c r="D17" s="490">
        <v>989187.5</v>
      </c>
      <c r="E17" s="414">
        <f t="shared" si="0"/>
        <v>935661.33753124985</v>
      </c>
      <c r="F17" s="491">
        <f t="shared" si="0"/>
        <v>412161.45833333337</v>
      </c>
      <c r="G17" s="15">
        <f t="shared" si="1"/>
        <v>1347822.7958645832</v>
      </c>
      <c r="H17" s="15">
        <v>2220162.6017124997</v>
      </c>
      <c r="I17" s="491">
        <v>981112.5</v>
      </c>
      <c r="J17" s="26">
        <f t="shared" si="2"/>
        <v>1486161.8793232141</v>
      </c>
      <c r="K17" s="490">
        <f t="shared" si="3"/>
        <v>655997.61904761905</v>
      </c>
      <c r="L17" s="26">
        <f t="shared" si="4"/>
        <v>2142159.4983708332</v>
      </c>
      <c r="M17" s="492"/>
      <c r="N17" s="31"/>
      <c r="R17" s="15"/>
      <c r="S17" s="15"/>
    </row>
    <row r="18" spans="1:19" x14ac:dyDescent="0.25">
      <c r="A18">
        <v>2000</v>
      </c>
      <c r="B18" t="s">
        <v>463</v>
      </c>
      <c r="D18" s="493">
        <v>7855579.5000000009</v>
      </c>
      <c r="E18" s="15">
        <f>C18/12*5</f>
        <v>0</v>
      </c>
      <c r="F18" s="414">
        <f t="shared" si="0"/>
        <v>3273158.1250000005</v>
      </c>
      <c r="G18" s="15">
        <f t="shared" si="1"/>
        <v>3273158.1250000005</v>
      </c>
      <c r="I18" s="514">
        <f>SUM(I7:I17)</f>
        <v>7534103.5000000037</v>
      </c>
      <c r="J18" s="26">
        <f t="shared" si="2"/>
        <v>0</v>
      </c>
      <c r="K18" s="515">
        <f t="shared" si="3"/>
        <v>5099277.5714285728</v>
      </c>
      <c r="L18" s="26"/>
      <c r="M18" s="490"/>
      <c r="N18" s="31"/>
    </row>
    <row r="19" spans="1:19" x14ac:dyDescent="0.25">
      <c r="A19">
        <v>3306</v>
      </c>
      <c r="B19" t="s">
        <v>242</v>
      </c>
      <c r="C19" s="26">
        <v>516017.63775000005</v>
      </c>
      <c r="D19" s="26">
        <v>267375</v>
      </c>
      <c r="E19" s="15">
        <f>C19/12*5</f>
        <v>215007.34906250003</v>
      </c>
      <c r="F19" s="15">
        <f t="shared" si="0"/>
        <v>111406.25</v>
      </c>
      <c r="G19" s="15">
        <f t="shared" si="1"/>
        <v>326413.59906250006</v>
      </c>
      <c r="H19" s="15">
        <v>491143.68337500002</v>
      </c>
      <c r="I19" s="15">
        <v>254437.5</v>
      </c>
      <c r="J19" s="26">
        <f t="shared" si="2"/>
        <v>333351.49233928573</v>
      </c>
      <c r="K19" s="26">
        <f t="shared" si="3"/>
        <v>172705.35714285716</v>
      </c>
      <c r="L19" s="26">
        <f t="shared" si="4"/>
        <v>506056.84948214289</v>
      </c>
      <c r="M19" s="492"/>
      <c r="N19" s="31"/>
      <c r="R19" s="15"/>
      <c r="S19" s="15"/>
    </row>
    <row r="20" spans="1:19" x14ac:dyDescent="0.25">
      <c r="A20">
        <v>3850</v>
      </c>
      <c r="B20" t="s">
        <v>822</v>
      </c>
      <c r="C20" s="26">
        <v>149732.70475</v>
      </c>
      <c r="D20" s="26">
        <v>77625</v>
      </c>
      <c r="E20" s="15">
        <f t="shared" ref="E20:F26" si="5">C20/12*5</f>
        <v>62388.626979166664</v>
      </c>
      <c r="F20" s="15">
        <f t="shared" si="5"/>
        <v>32343.75</v>
      </c>
      <c r="G20" s="15">
        <f t="shared" si="1"/>
        <v>94732.376979166671</v>
      </c>
      <c r="H20" s="15">
        <v>122135.72587499999</v>
      </c>
      <c r="I20" s="15">
        <v>63250</v>
      </c>
      <c r="J20" s="26">
        <f t="shared" si="2"/>
        <v>87994.526505952381</v>
      </c>
      <c r="K20" s="26">
        <f t="shared" si="3"/>
        <v>45589.28571428571</v>
      </c>
      <c r="L20" s="26">
        <f t="shared" si="4"/>
        <v>133583.81222023809</v>
      </c>
      <c r="M20" s="490"/>
      <c r="N20" s="31"/>
      <c r="R20" s="15"/>
      <c r="S20" s="15"/>
    </row>
    <row r="21" spans="1:19" x14ac:dyDescent="0.25">
      <c r="A21">
        <v>5100</v>
      </c>
      <c r="B21" t="s">
        <v>164</v>
      </c>
      <c r="C21" s="26">
        <v>753431.78235937527</v>
      </c>
      <c r="D21" s="26">
        <v>330125</v>
      </c>
      <c r="E21" s="15">
        <f t="shared" si="5"/>
        <v>313929.90931640635</v>
      </c>
      <c r="F21" s="15">
        <f t="shared" si="5"/>
        <v>137552.08333333334</v>
      </c>
      <c r="G21" s="15">
        <f t="shared" si="1"/>
        <v>451481.99264973972</v>
      </c>
      <c r="H21" s="15">
        <v>694208.83942968783</v>
      </c>
      <c r="I21" s="15">
        <v>303487.5</v>
      </c>
      <c r="J21" s="26">
        <f t="shared" si="2"/>
        <v>476906.59365066985</v>
      </c>
      <c r="K21" s="26">
        <f t="shared" si="3"/>
        <v>208667.26190476189</v>
      </c>
      <c r="L21" s="26">
        <f t="shared" si="4"/>
        <v>685573.85555543168</v>
      </c>
      <c r="M21" s="492"/>
      <c r="N21" s="31"/>
      <c r="R21" s="15"/>
      <c r="S21" s="15"/>
    </row>
    <row r="22" spans="1:19" x14ac:dyDescent="0.25">
      <c r="A22">
        <v>5160</v>
      </c>
      <c r="B22" t="s">
        <v>305</v>
      </c>
      <c r="C22" s="26">
        <v>122645.24999999999</v>
      </c>
      <c r="D22" s="26">
        <v>54500</v>
      </c>
      <c r="E22" s="15">
        <f t="shared" si="5"/>
        <v>51102.187499999993</v>
      </c>
      <c r="F22" s="15">
        <f t="shared" si="5"/>
        <v>22708.333333333336</v>
      </c>
      <c r="G22" s="15">
        <f t="shared" si="1"/>
        <v>73810.520833333328</v>
      </c>
      <c r="H22" s="15">
        <v>110380.72499999998</v>
      </c>
      <c r="I22" s="15">
        <v>49050</v>
      </c>
      <c r="J22" s="26">
        <f t="shared" si="2"/>
        <v>76507.274999999994</v>
      </c>
      <c r="K22" s="26">
        <f t="shared" si="3"/>
        <v>33997.619047619053</v>
      </c>
      <c r="L22" s="26">
        <f t="shared" si="4"/>
        <v>110504.89404761905</v>
      </c>
      <c r="M22" s="490"/>
      <c r="N22" s="31"/>
      <c r="R22" s="15"/>
      <c r="S22" s="15"/>
    </row>
    <row r="23" spans="1:19" x14ac:dyDescent="0.25">
      <c r="A23">
        <v>5400</v>
      </c>
      <c r="B23" t="s">
        <v>923</v>
      </c>
      <c r="C23" s="26">
        <v>236705.33250000002</v>
      </c>
      <c r="D23" s="26">
        <v>105185</v>
      </c>
      <c r="E23" s="15">
        <f t="shared" si="5"/>
        <v>98627.221875000017</v>
      </c>
      <c r="F23" s="15">
        <f t="shared" si="5"/>
        <v>43827.083333333328</v>
      </c>
      <c r="G23" s="15">
        <f t="shared" si="1"/>
        <v>142454.30520833336</v>
      </c>
      <c r="H23" s="15">
        <v>183967.875</v>
      </c>
      <c r="I23" s="15">
        <v>81750</v>
      </c>
      <c r="J23" s="26">
        <f t="shared" si="2"/>
        <v>135201.78750000001</v>
      </c>
      <c r="K23" s="26">
        <f t="shared" si="3"/>
        <v>60079.761904761901</v>
      </c>
      <c r="L23" s="26">
        <f t="shared" si="4"/>
        <v>195281.5494047619</v>
      </c>
      <c r="M23" s="492"/>
      <c r="N23" s="31"/>
      <c r="R23" s="15"/>
      <c r="S23" s="15"/>
    </row>
    <row r="24" spans="1:19" x14ac:dyDescent="0.25">
      <c r="A24">
        <v>5410</v>
      </c>
      <c r="B24" t="s">
        <v>1105</v>
      </c>
      <c r="C24" s="26">
        <v>9811.6200000000008</v>
      </c>
      <c r="D24" s="26">
        <v>4360</v>
      </c>
      <c r="E24" s="15">
        <f t="shared" si="5"/>
        <v>4088.1750000000006</v>
      </c>
      <c r="F24" s="15">
        <f t="shared" si="5"/>
        <v>1816.6666666666665</v>
      </c>
      <c r="G24" s="15">
        <f t="shared" si="1"/>
        <v>5904.8416666666672</v>
      </c>
      <c r="H24" s="15">
        <v>4905.8100000000004</v>
      </c>
      <c r="I24" s="15">
        <v>2180</v>
      </c>
      <c r="J24" s="26">
        <f t="shared" si="2"/>
        <v>4438.59</v>
      </c>
      <c r="K24" s="26">
        <f t="shared" si="3"/>
        <v>1972.3809523809523</v>
      </c>
      <c r="L24" s="26">
        <f t="shared" si="4"/>
        <v>6410.9709523809524</v>
      </c>
      <c r="M24" s="490"/>
      <c r="N24" s="31"/>
      <c r="R24" s="15"/>
      <c r="S24" s="15"/>
    </row>
    <row r="25" spans="1:19" x14ac:dyDescent="0.25">
      <c r="A25">
        <v>5500</v>
      </c>
      <c r="B25" t="s">
        <v>165</v>
      </c>
      <c r="C25" s="26">
        <v>171703.34999999995</v>
      </c>
      <c r="D25" s="26">
        <v>76300</v>
      </c>
      <c r="E25" s="15">
        <f t="shared" si="5"/>
        <v>71543.062499999971</v>
      </c>
      <c r="F25" s="15">
        <f t="shared" si="5"/>
        <v>31791.666666666664</v>
      </c>
      <c r="G25" s="15">
        <f t="shared" si="1"/>
        <v>103334.72916666663</v>
      </c>
      <c r="H25" s="15">
        <v>220761.44999999998</v>
      </c>
      <c r="I25" s="15">
        <v>98100</v>
      </c>
      <c r="J25" s="26">
        <f t="shared" si="2"/>
        <v>135493.79999999999</v>
      </c>
      <c r="K25" s="26">
        <f t="shared" si="3"/>
        <v>60209.523809523816</v>
      </c>
      <c r="L25" s="26">
        <f t="shared" si="4"/>
        <v>195703.3238095238</v>
      </c>
      <c r="M25" s="492"/>
      <c r="N25" s="31"/>
      <c r="R25" s="15"/>
      <c r="S25" s="15"/>
    </row>
    <row r="26" spans="1:19" x14ac:dyDescent="0.25">
      <c r="A26">
        <v>5700</v>
      </c>
      <c r="B26" t="s">
        <v>313</v>
      </c>
      <c r="C26" s="26">
        <v>59147.25</v>
      </c>
      <c r="D26" s="26">
        <v>27250</v>
      </c>
      <c r="E26" s="15">
        <f t="shared" si="5"/>
        <v>24644.6875</v>
      </c>
      <c r="F26" s="15">
        <f t="shared" si="5"/>
        <v>11354.166666666668</v>
      </c>
      <c r="G26" s="15">
        <f t="shared" si="1"/>
        <v>35998.854166666672</v>
      </c>
      <c r="H26" s="15">
        <v>65279.512499999997</v>
      </c>
      <c r="I26" s="15">
        <v>29975</v>
      </c>
      <c r="J26" s="26">
        <f t="shared" si="2"/>
        <v>42059.612500000003</v>
      </c>
      <c r="K26" s="26">
        <f t="shared" si="3"/>
        <v>19334.523809523809</v>
      </c>
      <c r="L26" s="26">
        <f t="shared" si="4"/>
        <v>61394.136309523812</v>
      </c>
      <c r="M26" s="490"/>
      <c r="N26" s="31"/>
      <c r="R26" s="15"/>
      <c r="S26" s="15"/>
    </row>
    <row r="27" spans="1:19" x14ac:dyDescent="0.25">
      <c r="A27">
        <v>5730</v>
      </c>
      <c r="B27" t="s">
        <v>166</v>
      </c>
      <c r="C27" s="26">
        <v>2125550.8831249992</v>
      </c>
      <c r="D27" s="26">
        <v>876851.66666666663</v>
      </c>
      <c r="E27" s="15">
        <f>C27/12*5</f>
        <v>885646.20130208309</v>
      </c>
      <c r="F27" s="15">
        <f>D27/12*5</f>
        <v>365354.86111111112</v>
      </c>
      <c r="G27" s="15">
        <f>SUM(E27:F27)</f>
        <v>1251001.0624131942</v>
      </c>
      <c r="H27" s="15">
        <v>2010175.2217499991</v>
      </c>
      <c r="I27" s="15">
        <v>819653.33333333337</v>
      </c>
      <c r="J27" s="26">
        <f t="shared" si="2"/>
        <v>1367587.2100654757</v>
      </c>
      <c r="K27" s="26">
        <f t="shared" si="3"/>
        <v>560054.20634920639</v>
      </c>
      <c r="L27" s="26">
        <f t="shared" si="4"/>
        <v>1927641.4164146821</v>
      </c>
      <c r="M27" s="492"/>
      <c r="N27" s="31"/>
      <c r="R27" s="15"/>
      <c r="S27" s="15"/>
    </row>
    <row r="28" spans="1:19" x14ac:dyDescent="0.25">
      <c r="A28">
        <v>5740</v>
      </c>
      <c r="B28" t="s">
        <v>461</v>
      </c>
      <c r="C28" s="26">
        <v>12539896.395488337</v>
      </c>
      <c r="D28" s="26">
        <v>3828075.9166666674</v>
      </c>
      <c r="E28" s="15">
        <f>C28/12*5</f>
        <v>5224956.8314534733</v>
      </c>
      <c r="F28" s="15">
        <f>D28/12*5</f>
        <v>1595031.6319444447</v>
      </c>
      <c r="G28" s="15">
        <f>SUM(E28:F28)</f>
        <v>6819988.4633979183</v>
      </c>
      <c r="H28" s="15">
        <v>11970171.842724178</v>
      </c>
      <c r="I28" s="15">
        <v>3590959.9166666688</v>
      </c>
      <c r="J28" s="26">
        <f t="shared" si="2"/>
        <v>8115763.2648552042</v>
      </c>
      <c r="K28" s="26">
        <f t="shared" si="3"/>
        <v>2450429.4682539692</v>
      </c>
      <c r="L28" s="26">
        <f t="shared" si="4"/>
        <v>10566192.733109172</v>
      </c>
      <c r="M28" s="490"/>
      <c r="N28" s="31"/>
      <c r="R28" s="15"/>
      <c r="S28" s="15"/>
    </row>
    <row r="29" spans="1:19" x14ac:dyDescent="0.25">
      <c r="M29" s="492"/>
      <c r="N29" s="31"/>
    </row>
    <row r="30" spans="1:19" x14ac:dyDescent="0.25">
      <c r="L30" s="26"/>
      <c r="M30" s="490"/>
      <c r="N30" s="31"/>
    </row>
    <row r="31" spans="1:19" x14ac:dyDescent="0.25">
      <c r="L31" s="26"/>
      <c r="M31" s="490"/>
    </row>
    <row r="33" spans="12:13" x14ac:dyDescent="0.25">
      <c r="M33" s="26"/>
    </row>
    <row r="35" spans="12:13" x14ac:dyDescent="0.25">
      <c r="L35" s="26"/>
      <c r="M35" s="26"/>
    </row>
    <row r="37" spans="12:13" x14ac:dyDescent="0.25">
      <c r="L37" s="26"/>
      <c r="M37" s="26"/>
    </row>
    <row r="39" spans="12:13" x14ac:dyDescent="0.25">
      <c r="L39" s="26"/>
      <c r="M39" s="26"/>
    </row>
    <row r="41" spans="12:13" x14ac:dyDescent="0.25">
      <c r="L41" s="26"/>
      <c r="M41" s="26"/>
    </row>
    <row r="43" spans="12:13" x14ac:dyDescent="0.25">
      <c r="L43" s="26"/>
      <c r="M43" s="26"/>
    </row>
    <row r="45" spans="12:13" x14ac:dyDescent="0.25">
      <c r="L45" s="26"/>
      <c r="M45" s="26"/>
    </row>
    <row r="47" spans="12:13" x14ac:dyDescent="0.25">
      <c r="L47" s="26"/>
      <c r="M47" s="26"/>
    </row>
    <row r="49" spans="12:13" x14ac:dyDescent="0.25">
      <c r="L49" s="26"/>
      <c r="M49" s="26"/>
    </row>
    <row r="51" spans="12:13" x14ac:dyDescent="0.25">
      <c r="L51" s="26"/>
      <c r="M51" s="26"/>
    </row>
  </sheetData>
  <sheetProtection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G3" sqref="G3"/>
    </sheetView>
  </sheetViews>
  <sheetFormatPr defaultRowHeight="15" x14ac:dyDescent="0.25"/>
  <cols>
    <col min="2" max="2" width="38.42578125" customWidth="1"/>
    <col min="3" max="6" width="16.28515625" customWidth="1"/>
    <col min="7" max="7" width="18.5703125" customWidth="1"/>
    <col min="8" max="9" width="20.42578125" customWidth="1"/>
    <col min="11" max="11" width="34.5703125" customWidth="1"/>
    <col min="12" max="12" width="17" customWidth="1"/>
    <col min="13" max="13" width="16.85546875" customWidth="1"/>
  </cols>
  <sheetData>
    <row r="1" spans="1:14" ht="45" x14ac:dyDescent="0.25">
      <c r="A1" s="488" t="s">
        <v>817</v>
      </c>
      <c r="B1" s="488" t="s">
        <v>35</v>
      </c>
      <c r="C1" s="489" t="s">
        <v>2223</v>
      </c>
      <c r="D1" s="489" t="s">
        <v>2224</v>
      </c>
      <c r="E1" s="489" t="s">
        <v>2225</v>
      </c>
      <c r="F1" s="489" t="s">
        <v>2226</v>
      </c>
      <c r="G1" s="489" t="s">
        <v>2227</v>
      </c>
      <c r="L1" s="488"/>
      <c r="M1" s="488"/>
    </row>
    <row r="2" spans="1:14" x14ac:dyDescent="0.25">
      <c r="L2" s="26"/>
      <c r="M2" s="26"/>
    </row>
    <row r="3" spans="1:14" x14ac:dyDescent="0.25">
      <c r="A3">
        <v>1620</v>
      </c>
      <c r="B3" t="s">
        <v>176</v>
      </c>
      <c r="C3" s="26">
        <v>10500482.090158761</v>
      </c>
      <c r="D3" s="26">
        <v>1806084.9166666667</v>
      </c>
      <c r="E3" s="15">
        <f>C3/12*5</f>
        <v>4375200.8708994836</v>
      </c>
      <c r="F3" s="15">
        <f>D3/12*5</f>
        <v>752535.3819444445</v>
      </c>
      <c r="G3" s="15">
        <f>SUM(E3:F3)</f>
        <v>5127736.2528439276</v>
      </c>
    </row>
    <row r="4" spans="1:14" x14ac:dyDescent="0.25">
      <c r="A4">
        <v>1630</v>
      </c>
      <c r="B4" t="s">
        <v>172</v>
      </c>
      <c r="C4" s="26">
        <v>5937676.3254366769</v>
      </c>
      <c r="D4" s="26">
        <v>807286.16666666651</v>
      </c>
      <c r="E4" s="15">
        <f t="shared" ref="E4:F19" si="0">C4/12*5</f>
        <v>2474031.8022652818</v>
      </c>
      <c r="F4" s="15">
        <f t="shared" si="0"/>
        <v>336369.23611111101</v>
      </c>
      <c r="G4" s="15">
        <f t="shared" ref="G4:G26" si="1">SUM(E4:F4)</f>
        <v>2810401.0383763928</v>
      </c>
      <c r="L4" s="26"/>
      <c r="M4" s="26"/>
    </row>
    <row r="5" spans="1:14" x14ac:dyDescent="0.25">
      <c r="A5">
        <v>1640</v>
      </c>
      <c r="B5" t="s">
        <v>173</v>
      </c>
      <c r="C5" s="26">
        <v>1745740.1951175001</v>
      </c>
      <c r="D5" s="26">
        <v>267075.5</v>
      </c>
      <c r="E5" s="15">
        <f t="shared" si="0"/>
        <v>727391.74796562514</v>
      </c>
      <c r="F5" s="15">
        <f t="shared" si="0"/>
        <v>111281.45833333334</v>
      </c>
      <c r="G5" s="15">
        <f t="shared" si="1"/>
        <v>838673.20629895851</v>
      </c>
    </row>
    <row r="6" spans="1:14" x14ac:dyDescent="0.25">
      <c r="A6">
        <v>1650</v>
      </c>
      <c r="B6" t="s">
        <v>11</v>
      </c>
      <c r="C6" s="26">
        <v>13175763.181762923</v>
      </c>
      <c r="D6" s="26">
        <v>6655855.75</v>
      </c>
      <c r="E6" s="15">
        <f t="shared" si="0"/>
        <v>5489901.3257345511</v>
      </c>
      <c r="F6" s="15">
        <f t="shared" si="0"/>
        <v>2773273.229166667</v>
      </c>
      <c r="G6" s="15">
        <f t="shared" si="1"/>
        <v>8263174.554901218</v>
      </c>
      <c r="L6" s="26"/>
      <c r="M6" s="26"/>
    </row>
    <row r="7" spans="1:14" x14ac:dyDescent="0.25">
      <c r="A7">
        <v>2180</v>
      </c>
      <c r="B7" t="s">
        <v>192</v>
      </c>
      <c r="C7" s="26">
        <v>14752023.060662922</v>
      </c>
      <c r="D7" s="490">
        <v>2922218.166666667</v>
      </c>
      <c r="E7" s="414">
        <f t="shared" si="0"/>
        <v>6146676.2752762167</v>
      </c>
      <c r="F7" s="491">
        <f t="shared" si="0"/>
        <v>1217590.902777778</v>
      </c>
      <c r="G7" s="15">
        <f t="shared" si="1"/>
        <v>7364267.1780539947</v>
      </c>
    </row>
    <row r="8" spans="1:14" x14ac:dyDescent="0.25">
      <c r="A8">
        <v>2193</v>
      </c>
      <c r="B8" t="s">
        <v>441</v>
      </c>
      <c r="C8" s="26">
        <v>19848427.626996201</v>
      </c>
      <c r="D8" s="490">
        <v>3081263.833333333</v>
      </c>
      <c r="E8" s="414">
        <f t="shared" si="0"/>
        <v>8270178.1779150842</v>
      </c>
      <c r="F8" s="491">
        <f t="shared" si="0"/>
        <v>1283859.9305555555</v>
      </c>
      <c r="G8" s="15">
        <f t="shared" si="1"/>
        <v>9554038.1084706392</v>
      </c>
      <c r="L8" s="26"/>
      <c r="M8" s="26"/>
    </row>
    <row r="9" spans="1:14" x14ac:dyDescent="0.25">
      <c r="A9">
        <v>2200</v>
      </c>
      <c r="B9" t="s">
        <v>574</v>
      </c>
      <c r="C9" s="26">
        <v>1910286.98263</v>
      </c>
      <c r="D9" s="490">
        <v>274059.66666666663</v>
      </c>
      <c r="E9" s="414">
        <f t="shared" si="0"/>
        <v>795952.90942916658</v>
      </c>
      <c r="F9" s="491">
        <f t="shared" si="0"/>
        <v>114191.52777777775</v>
      </c>
      <c r="G9" s="15">
        <f t="shared" si="1"/>
        <v>910144.43720694433</v>
      </c>
      <c r="L9" s="26"/>
      <c r="M9" s="26"/>
    </row>
    <row r="10" spans="1:14" x14ac:dyDescent="0.25">
      <c r="A10">
        <v>2220</v>
      </c>
      <c r="B10" t="s">
        <v>195</v>
      </c>
      <c r="C10" s="26">
        <v>136091.94990000001</v>
      </c>
      <c r="D10" s="490">
        <v>26680.000000000004</v>
      </c>
      <c r="E10" s="414">
        <f t="shared" si="0"/>
        <v>56704.979124999998</v>
      </c>
      <c r="F10" s="491">
        <f t="shared" si="0"/>
        <v>11116.666666666668</v>
      </c>
      <c r="G10" s="15">
        <f t="shared" si="1"/>
        <v>67821.64579166667</v>
      </c>
      <c r="L10" s="26"/>
      <c r="M10" s="490"/>
      <c r="N10" s="31"/>
    </row>
    <row r="11" spans="1:14" x14ac:dyDescent="0.25">
      <c r="A11">
        <v>2271</v>
      </c>
      <c r="B11" t="s">
        <v>196</v>
      </c>
      <c r="C11" s="26">
        <v>257275.18256749999</v>
      </c>
      <c r="D11" s="490">
        <v>48691</v>
      </c>
      <c r="E11" s="414">
        <f t="shared" si="0"/>
        <v>107197.99273645833</v>
      </c>
      <c r="F11" s="491">
        <f t="shared" si="0"/>
        <v>20287.916666666668</v>
      </c>
      <c r="G11" s="15">
        <f t="shared" si="1"/>
        <v>127485.909403125</v>
      </c>
      <c r="L11" s="26"/>
      <c r="M11" s="490"/>
      <c r="N11" s="31"/>
    </row>
    <row r="12" spans="1:14" x14ac:dyDescent="0.25">
      <c r="A12">
        <v>2272</v>
      </c>
      <c r="B12" t="s">
        <v>200</v>
      </c>
      <c r="C12" s="26">
        <v>459793.1014300001</v>
      </c>
      <c r="D12" s="490">
        <v>59604.666666666672</v>
      </c>
      <c r="E12" s="414">
        <f t="shared" si="0"/>
        <v>191580.45892916672</v>
      </c>
      <c r="F12" s="491">
        <f t="shared" si="0"/>
        <v>24835.277777777777</v>
      </c>
      <c r="G12" s="15">
        <f t="shared" si="1"/>
        <v>216415.7367069445</v>
      </c>
      <c r="L12" s="26"/>
      <c r="M12" s="490"/>
      <c r="N12" s="31"/>
    </row>
    <row r="13" spans="1:14" x14ac:dyDescent="0.25">
      <c r="A13">
        <v>2300</v>
      </c>
      <c r="B13" t="s">
        <v>924</v>
      </c>
      <c r="C13" s="26">
        <v>737078.31837250013</v>
      </c>
      <c r="D13" s="490">
        <v>95550.166666666672</v>
      </c>
      <c r="E13" s="414">
        <f t="shared" si="0"/>
        <v>307115.96598854172</v>
      </c>
      <c r="F13" s="491">
        <f t="shared" si="0"/>
        <v>39812.569444444445</v>
      </c>
      <c r="G13" s="15">
        <f t="shared" si="1"/>
        <v>346928.53543298616</v>
      </c>
      <c r="M13" s="492"/>
      <c r="N13" s="31"/>
    </row>
    <row r="14" spans="1:14" x14ac:dyDescent="0.25">
      <c r="A14">
        <v>2340</v>
      </c>
      <c r="B14" t="s">
        <v>198</v>
      </c>
      <c r="C14" s="26">
        <v>1666798.5926274997</v>
      </c>
      <c r="D14" s="490">
        <v>278433.83333333331</v>
      </c>
      <c r="E14" s="414">
        <f t="shared" si="0"/>
        <v>694499.41359479155</v>
      </c>
      <c r="F14" s="491">
        <f t="shared" si="0"/>
        <v>116014.0972222222</v>
      </c>
      <c r="G14" s="15">
        <f t="shared" si="1"/>
        <v>810513.5108170138</v>
      </c>
      <c r="L14" s="26"/>
      <c r="M14" s="490"/>
      <c r="N14" s="31"/>
    </row>
    <row r="15" spans="1:14" x14ac:dyDescent="0.25">
      <c r="A15">
        <v>2360</v>
      </c>
      <c r="B15" t="s">
        <v>575</v>
      </c>
      <c r="C15" s="26">
        <v>171742.12373249998</v>
      </c>
      <c r="D15" s="490">
        <v>33669</v>
      </c>
      <c r="E15" s="414">
        <f t="shared" si="0"/>
        <v>71559.218221874995</v>
      </c>
      <c r="F15" s="491">
        <f t="shared" si="0"/>
        <v>14028.75</v>
      </c>
      <c r="G15" s="15">
        <f t="shared" si="1"/>
        <v>85587.968221874995</v>
      </c>
      <c r="M15" s="492"/>
      <c r="N15" s="31"/>
    </row>
    <row r="16" spans="1:14" x14ac:dyDescent="0.25">
      <c r="A16">
        <v>2500</v>
      </c>
      <c r="B16" t="s">
        <v>2169</v>
      </c>
      <c r="C16" s="26">
        <v>211615.26814062503</v>
      </c>
      <c r="D16" s="490">
        <v>46221.666666666664</v>
      </c>
      <c r="E16" s="414">
        <f t="shared" si="0"/>
        <v>88173.028391927088</v>
      </c>
      <c r="F16" s="491">
        <f t="shared" si="0"/>
        <v>19259.027777777777</v>
      </c>
      <c r="G16" s="15">
        <f t="shared" si="1"/>
        <v>107432.05616970487</v>
      </c>
      <c r="L16" s="26"/>
      <c r="M16" s="490"/>
      <c r="N16" s="31"/>
    </row>
    <row r="17" spans="1:14" x14ac:dyDescent="0.25">
      <c r="A17">
        <v>2750</v>
      </c>
      <c r="B17" t="s">
        <v>205</v>
      </c>
      <c r="C17" s="26">
        <v>2245587.2100749998</v>
      </c>
      <c r="D17" s="490">
        <v>989187.5</v>
      </c>
      <c r="E17" s="414">
        <f t="shared" si="0"/>
        <v>935661.33753124985</v>
      </c>
      <c r="F17" s="491">
        <f t="shared" si="0"/>
        <v>412161.45833333337</v>
      </c>
      <c r="G17" s="15">
        <f t="shared" si="1"/>
        <v>1347822.7958645832</v>
      </c>
      <c r="M17" s="492"/>
      <c r="N17" s="31"/>
    </row>
    <row r="18" spans="1:14" x14ac:dyDescent="0.25">
      <c r="A18">
        <v>2000</v>
      </c>
      <c r="B18" t="s">
        <v>463</v>
      </c>
      <c r="D18" s="493">
        <v>7855579.5000000009</v>
      </c>
      <c r="E18" s="15">
        <f>C18/12*5</f>
        <v>0</v>
      </c>
      <c r="F18" s="414">
        <f t="shared" si="0"/>
        <v>3273158.1250000005</v>
      </c>
      <c r="G18" s="15">
        <f t="shared" si="1"/>
        <v>3273158.1250000005</v>
      </c>
      <c r="L18" s="26"/>
      <c r="M18" s="490"/>
      <c r="N18" s="31"/>
    </row>
    <row r="19" spans="1:14" x14ac:dyDescent="0.25">
      <c r="A19">
        <v>3306</v>
      </c>
      <c r="B19" t="s">
        <v>242</v>
      </c>
      <c r="C19" s="26">
        <v>516017.63775000005</v>
      </c>
      <c r="D19" s="26">
        <v>267375</v>
      </c>
      <c r="E19" s="15">
        <f>C19/12*5</f>
        <v>215007.34906250003</v>
      </c>
      <c r="F19" s="15">
        <f t="shared" si="0"/>
        <v>111406.25</v>
      </c>
      <c r="G19" s="15">
        <f t="shared" si="1"/>
        <v>326413.59906250006</v>
      </c>
      <c r="M19" s="492"/>
      <c r="N19" s="31"/>
    </row>
    <row r="20" spans="1:14" x14ac:dyDescent="0.25">
      <c r="A20">
        <v>3850</v>
      </c>
      <c r="B20" t="s">
        <v>822</v>
      </c>
      <c r="C20" s="26">
        <v>149732.70475</v>
      </c>
      <c r="D20" s="26">
        <v>77625</v>
      </c>
      <c r="E20" s="15">
        <f t="shared" ref="E20:F26" si="2">C20/12*5</f>
        <v>62388.626979166664</v>
      </c>
      <c r="F20" s="15">
        <f t="shared" si="2"/>
        <v>32343.75</v>
      </c>
      <c r="G20" s="15">
        <f t="shared" si="1"/>
        <v>94732.376979166671</v>
      </c>
      <c r="L20" s="26"/>
      <c r="M20" s="490"/>
      <c r="N20" s="31"/>
    </row>
    <row r="21" spans="1:14" x14ac:dyDescent="0.25">
      <c r="A21">
        <v>5100</v>
      </c>
      <c r="B21" t="s">
        <v>164</v>
      </c>
      <c r="C21" s="26">
        <v>753431.78235937527</v>
      </c>
      <c r="D21" s="26">
        <v>330125</v>
      </c>
      <c r="E21" s="15">
        <f t="shared" si="2"/>
        <v>313929.90931640635</v>
      </c>
      <c r="F21" s="15">
        <f t="shared" si="2"/>
        <v>137552.08333333334</v>
      </c>
      <c r="G21" s="15">
        <f t="shared" si="1"/>
        <v>451481.99264973972</v>
      </c>
      <c r="M21" s="492"/>
      <c r="N21" s="31"/>
    </row>
    <row r="22" spans="1:14" x14ac:dyDescent="0.25">
      <c r="A22">
        <v>5160</v>
      </c>
      <c r="B22" t="s">
        <v>305</v>
      </c>
      <c r="C22" s="26">
        <v>122645.24999999999</v>
      </c>
      <c r="D22" s="26">
        <v>54500</v>
      </c>
      <c r="E22" s="15">
        <f t="shared" si="2"/>
        <v>51102.187499999993</v>
      </c>
      <c r="F22" s="15">
        <f t="shared" si="2"/>
        <v>22708.333333333336</v>
      </c>
      <c r="G22" s="15">
        <f t="shared" si="1"/>
        <v>73810.520833333328</v>
      </c>
      <c r="L22" s="26"/>
      <c r="M22" s="490"/>
      <c r="N22" s="31"/>
    </row>
    <row r="23" spans="1:14" x14ac:dyDescent="0.25">
      <c r="A23">
        <v>5400</v>
      </c>
      <c r="B23" t="s">
        <v>923</v>
      </c>
      <c r="C23" s="26">
        <v>236705.33250000002</v>
      </c>
      <c r="D23" s="26">
        <v>105185</v>
      </c>
      <c r="E23" s="15">
        <f t="shared" si="2"/>
        <v>98627.221875000017</v>
      </c>
      <c r="F23" s="15">
        <f t="shared" si="2"/>
        <v>43827.083333333328</v>
      </c>
      <c r="G23" s="15">
        <f t="shared" si="1"/>
        <v>142454.30520833336</v>
      </c>
      <c r="M23" s="492"/>
      <c r="N23" s="31"/>
    </row>
    <row r="24" spans="1:14" x14ac:dyDescent="0.25">
      <c r="A24">
        <v>5410</v>
      </c>
      <c r="B24" t="s">
        <v>1105</v>
      </c>
      <c r="C24" s="26">
        <v>9811.6200000000008</v>
      </c>
      <c r="D24" s="26">
        <v>4360</v>
      </c>
      <c r="E24" s="15">
        <f t="shared" si="2"/>
        <v>4088.1750000000006</v>
      </c>
      <c r="F24" s="15">
        <f t="shared" si="2"/>
        <v>1816.6666666666665</v>
      </c>
      <c r="G24" s="15">
        <f t="shared" si="1"/>
        <v>5904.8416666666672</v>
      </c>
      <c r="L24" s="26"/>
      <c r="M24" s="490"/>
      <c r="N24" s="31"/>
    </row>
    <row r="25" spans="1:14" x14ac:dyDescent="0.25">
      <c r="A25">
        <v>5500</v>
      </c>
      <c r="B25" t="s">
        <v>165</v>
      </c>
      <c r="C25" s="26">
        <v>171703.34999999995</v>
      </c>
      <c r="D25" s="26">
        <v>76300</v>
      </c>
      <c r="E25" s="15">
        <f t="shared" si="2"/>
        <v>71543.062499999971</v>
      </c>
      <c r="F25" s="15">
        <f t="shared" si="2"/>
        <v>31791.666666666664</v>
      </c>
      <c r="G25" s="15">
        <f t="shared" si="1"/>
        <v>103334.72916666663</v>
      </c>
      <c r="M25" s="492"/>
      <c r="N25" s="31"/>
    </row>
    <row r="26" spans="1:14" x14ac:dyDescent="0.25">
      <c r="A26">
        <v>5700</v>
      </c>
      <c r="B26" t="s">
        <v>313</v>
      </c>
      <c r="C26" s="26">
        <v>59147.25</v>
      </c>
      <c r="D26" s="26">
        <v>27250</v>
      </c>
      <c r="E26" s="15">
        <f t="shared" si="2"/>
        <v>24644.6875</v>
      </c>
      <c r="F26" s="15">
        <f t="shared" si="2"/>
        <v>11354.166666666668</v>
      </c>
      <c r="G26" s="15">
        <f t="shared" si="1"/>
        <v>35998.854166666672</v>
      </c>
      <c r="L26" s="26"/>
      <c r="M26" s="490"/>
      <c r="N26" s="31"/>
    </row>
    <row r="27" spans="1:14" x14ac:dyDescent="0.25">
      <c r="A27">
        <v>5730</v>
      </c>
      <c r="B27" t="s">
        <v>166</v>
      </c>
      <c r="C27" s="26">
        <v>2125550.8831249992</v>
      </c>
      <c r="D27" s="26">
        <v>876851.66666666663</v>
      </c>
      <c r="E27" s="15">
        <f>C27/12*5</f>
        <v>885646.20130208309</v>
      </c>
      <c r="F27" s="15">
        <f>D27/12*5</f>
        <v>365354.86111111112</v>
      </c>
      <c r="G27" s="15">
        <f>SUM(E27:F27)</f>
        <v>1251001.0624131942</v>
      </c>
      <c r="M27" s="492"/>
      <c r="N27" s="31"/>
    </row>
    <row r="28" spans="1:14" x14ac:dyDescent="0.25">
      <c r="A28">
        <v>5740</v>
      </c>
      <c r="B28" t="s">
        <v>461</v>
      </c>
      <c r="C28" s="26">
        <v>12539896.395488337</v>
      </c>
      <c r="D28" s="26">
        <v>3828075.9166666674</v>
      </c>
      <c r="E28" s="15">
        <f>C28/12*5</f>
        <v>5224956.8314534733</v>
      </c>
      <c r="F28" s="15">
        <f>D28/12*5</f>
        <v>1595031.6319444447</v>
      </c>
      <c r="G28" s="15">
        <f>SUM(E28:F28)</f>
        <v>6819988.4633979183</v>
      </c>
      <c r="L28" s="26"/>
      <c r="M28" s="490"/>
      <c r="N28" s="31"/>
    </row>
    <row r="29" spans="1:14" x14ac:dyDescent="0.25">
      <c r="M29" s="492"/>
      <c r="N29" s="31"/>
    </row>
    <row r="30" spans="1:14" x14ac:dyDescent="0.25">
      <c r="L30" s="26"/>
      <c r="M30" s="490"/>
      <c r="N30" s="31"/>
    </row>
    <row r="31" spans="1:14" x14ac:dyDescent="0.25">
      <c r="L31" s="26"/>
      <c r="M31" s="490"/>
    </row>
    <row r="33" spans="12:13" x14ac:dyDescent="0.25">
      <c r="M33" s="26"/>
    </row>
    <row r="35" spans="12:13" x14ac:dyDescent="0.25">
      <c r="L35" s="26"/>
      <c r="M35" s="26"/>
    </row>
    <row r="37" spans="12:13" x14ac:dyDescent="0.25">
      <c r="L37" s="26"/>
      <c r="M37" s="26"/>
    </row>
    <row r="39" spans="12:13" x14ac:dyDescent="0.25">
      <c r="L39" s="26"/>
      <c r="M39" s="26"/>
    </row>
    <row r="41" spans="12:13" x14ac:dyDescent="0.25">
      <c r="L41" s="26"/>
      <c r="M41" s="26"/>
    </row>
    <row r="43" spans="12:13" x14ac:dyDescent="0.25">
      <c r="L43" s="26"/>
      <c r="M43" s="26"/>
    </row>
    <row r="45" spans="12:13" x14ac:dyDescent="0.25">
      <c r="L45" s="26"/>
      <c r="M45" s="26"/>
    </row>
    <row r="47" spans="12:13" x14ac:dyDescent="0.25">
      <c r="L47" s="26"/>
      <c r="M47" s="26"/>
    </row>
    <row r="49" spans="12:13" x14ac:dyDescent="0.25">
      <c r="L49" s="26"/>
      <c r="M49" s="26"/>
    </row>
    <row r="51" spans="12:13" x14ac:dyDescent="0.25">
      <c r="L51" s="26"/>
      <c r="M51" s="26"/>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22</vt:i4>
      </vt:variant>
      <vt:variant>
        <vt:lpstr>Namngivna områden</vt:lpstr>
      </vt:variant>
      <vt:variant>
        <vt:i4>21</vt:i4>
      </vt:variant>
    </vt:vector>
  </HeadingPairs>
  <TitlesOfParts>
    <vt:vector size="43" baseType="lpstr">
      <vt:lpstr>INFO RTV 2019</vt:lpstr>
      <vt:lpstr>Start</vt:lpstr>
      <vt:lpstr>Totalt per inst</vt:lpstr>
      <vt:lpstr>Bokforder Sept--</vt:lpstr>
      <vt:lpstr>Bokforder Juni--</vt:lpstr>
      <vt:lpstr>Bokforder Mars---</vt:lpstr>
      <vt:lpstr>Bokforder Januari --</vt:lpstr>
      <vt:lpstr>Utfördelat tom aug</vt:lpstr>
      <vt:lpstr>Utfördelat tom maj</vt:lpstr>
      <vt:lpstr>Medv</vt:lpstr>
      <vt:lpstr>Kursansv till medv</vt:lpstr>
      <vt:lpstr>Inst per termin</vt:lpstr>
      <vt:lpstr>kurser alla</vt:lpstr>
      <vt:lpstr>Prislapp</vt:lpstr>
      <vt:lpstr>kurspris</vt:lpstr>
      <vt:lpstr>Orgenheter</vt:lpstr>
      <vt:lpstr>Program</vt:lpstr>
      <vt:lpstr>Ansvar kurs</vt:lpstr>
      <vt:lpstr>Totalt pivot</vt:lpstr>
      <vt:lpstr>Pivot Kursmedv % (2)</vt:lpstr>
      <vt:lpstr>Pivot Kursmedv %</vt:lpstr>
      <vt:lpstr>underlag medverkande 2</vt:lpstr>
      <vt:lpstr>'Ansvar kurs'!Utskriftsområde</vt:lpstr>
      <vt:lpstr>'Bokforder Januari --'!Utskriftsområde</vt:lpstr>
      <vt:lpstr>'Bokforder Juni--'!Utskriftsområde</vt:lpstr>
      <vt:lpstr>'Bokforder Mars---'!Utskriftsområde</vt:lpstr>
      <vt:lpstr>'Bokforder Sept--'!Utskriftsområde</vt:lpstr>
      <vt:lpstr>'kurser alla'!Utskriftsområde</vt:lpstr>
      <vt:lpstr>kurspris!Utskriftsområde</vt:lpstr>
      <vt:lpstr>Medv!Utskriftsområde</vt:lpstr>
      <vt:lpstr>Start!Utskriftsområde</vt:lpstr>
      <vt:lpstr>'Totalt per inst'!Utskriftsområde</vt:lpstr>
      <vt:lpstr>'underlag medverkande 2'!Utskriftsområde</vt:lpstr>
      <vt:lpstr>'Ansvar kurs'!Utskriftsrubriker</vt:lpstr>
      <vt:lpstr>'Bokforder Januari --'!Utskriftsrubriker</vt:lpstr>
      <vt:lpstr>'Bokforder Juni--'!Utskriftsrubriker</vt:lpstr>
      <vt:lpstr>'Bokforder Mars---'!Utskriftsrubriker</vt:lpstr>
      <vt:lpstr>'Bokforder Sept--'!Utskriftsrubriker</vt:lpstr>
      <vt:lpstr>'Kursansv till medv'!Utskriftsrubriker</vt:lpstr>
      <vt:lpstr>kurspris!Utskriftsrubriker</vt:lpstr>
      <vt:lpstr>Medv!Utskriftsrubriker</vt:lpstr>
      <vt:lpstr>'Pivot Kursmedv % (2)'!Utskriftsrubriker</vt:lpstr>
      <vt:lpstr>'Totalt pivot'!Utskriftsrubriker</vt:lpstr>
    </vt:vector>
  </TitlesOfParts>
  <Company>USE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Ulla Sehlberg</dc:creator>
  <cp:lastModifiedBy>Agnetha Simm</cp:lastModifiedBy>
  <cp:lastPrinted>2019-09-30T06:18:19Z</cp:lastPrinted>
  <dcterms:created xsi:type="dcterms:W3CDTF">2005-02-02T07:57:19Z</dcterms:created>
  <dcterms:modified xsi:type="dcterms:W3CDTF">2019-09-30T06:39:54Z</dcterms:modified>
</cp:coreProperties>
</file>